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defaultThemeVersion="166925"/>
  <mc:AlternateContent xmlns:mc="http://schemas.openxmlformats.org/markup-compatibility/2006">
    <mc:Choice Requires="x15">
      <x15ac:absPath xmlns:x15ac="http://schemas.microsoft.com/office/spreadsheetml/2010/11/ac" url="C:\Users\Jagath\Downloads\"/>
    </mc:Choice>
  </mc:AlternateContent>
  <xr:revisionPtr revIDLastSave="0" documentId="13_ncr:1_{56849373-F5BF-4E0E-A26F-5DFDCE53ED06}" xr6:coauthVersionLast="47" xr6:coauthVersionMax="47" xr10:uidLastSave="{00000000-0000-0000-0000-000000000000}"/>
  <bookViews>
    <workbookView xWindow="-96" yWindow="-96" windowWidth="19392" windowHeight="11472" tabRatio="1000" firstSheet="3" activeTab="9" xr2:uid="{00000000-000D-0000-FFFF-FFFF00000000}"/>
  </bookViews>
  <sheets>
    <sheet name="SR PRO Flex 14" sheetId="1" state="hidden" r:id="rId1"/>
    <sheet name="Rythu Vedhika -14'Trep sheet(H)" sheetId="2" state="hidden" r:id="rId2"/>
    <sheet name="SR 22.00  (2)" sheetId="3" state="hidden" r:id="rId3"/>
    <sheet name="input sheet" sheetId="55" r:id="rId4"/>
    <sheet name="Cover2" sheetId="59" r:id="rId5"/>
    <sheet name="MGNREGS input sheet" sheetId="56" r:id="rId6"/>
    <sheet name="General Abs" sheetId="52" state="hidden" r:id="rId7"/>
    <sheet name="Specification" sheetId="54" r:id="rId8"/>
    <sheet name="Mbook 1st" sheetId="60" state="hidden" r:id="rId9"/>
    <sheet name="Building-Estimate" sheetId="57" r:id="rId10"/>
    <sheet name="Est 02.03.23" sheetId="53" state="hidden" r:id="rId11"/>
    <sheet name="SR 22.00 " sheetId="6" state="hidden" r:id="rId12"/>
    <sheet name="Rythu Vedhika -12'Trep  (M) (2)" sheetId="7" state="hidden" r:id="rId13"/>
    <sheet name="Rythu Vedhika model estimate" sheetId="9" state="hidden" r:id="rId14"/>
    <sheet name="Rythu Vedhika -12'Trep TeaK Doo" sheetId="10" state="hidden" r:id="rId15"/>
    <sheet name="Spicification Report  (2)" sheetId="11" state="hidden" r:id="rId16"/>
    <sheet name="Rythu Vedhika -12'Trep  (M)" sheetId="12" state="hidden" r:id="rId17"/>
    <sheet name="Rythu Vedhika -12' ht Proflex" sheetId="13" state="hidden" r:id="rId18"/>
    <sheet name="GP BUILDiNG" sheetId="47" state="hidden" r:id="rId19"/>
    <sheet name="sanitary est" sheetId="50" state="hidden" r:id="rId20"/>
    <sheet name="electrcal est" sheetId="48" state="hidden" r:id="rId21"/>
    <sheet name=" Doors window-Country Wood " sheetId="58" r:id="rId22"/>
    <sheet name="Datas" sheetId="15" r:id="rId23"/>
    <sheet name=" data-Doors window- Sal Wood " sheetId="30" state="hidden" r:id="rId24"/>
    <sheet name="data- Doors window- Teak" sheetId="31" state="hidden" r:id="rId25"/>
    <sheet name=" DATA -Sanitary&amp;water supply" sheetId="35" state="hidden" r:id="rId26"/>
    <sheet name="SANITARY DATA2" sheetId="51" state="hidden" r:id="rId27"/>
    <sheet name="data-Elec " sheetId="34" state="hidden" r:id="rId28"/>
    <sheet name="Lead- Input sheet " sheetId="14" r:id="rId29"/>
    <sheet name="Data Truss and steel works" sheetId="16" state="hidden" r:id="rId30"/>
    <sheet name="Spicification Report " sheetId="17" state="hidden" r:id="rId31"/>
    <sheet name="Bar Bending Schedule" sheetId="18" state="hidden" r:id="rId32"/>
    <sheet name="Sheet1" sheetId="19" state="hidden" r:id="rId33"/>
    <sheet name="Modal Estimate " sheetId="20" state="hidden" r:id="rId34"/>
    <sheet name="Elec Estimate" sheetId="21" state="hidden" r:id="rId35"/>
    <sheet name="Sanitory Estimate" sheetId="22" state="hidden" r:id="rId36"/>
    <sheet name="Septic tank" sheetId="23" state="hidden" r:id="rId37"/>
    <sheet name="Bore &amp; Pumpset" sheetId="24" state="hidden" r:id="rId38"/>
    <sheet name="Furniture " sheetId="25" state="hidden" r:id="rId39"/>
    <sheet name="20 TNs Detailed Est " sheetId="26" state="hidden" r:id="rId40"/>
    <sheet name=" Doors window- Country 2.0- 1.2" sheetId="27" state="hidden" r:id="rId41"/>
    <sheet name="Datas  Side wall " sheetId="28" state="hidden" r:id="rId42"/>
    <sheet name="Sheet2" sheetId="29" state="hidden" r:id="rId43"/>
    <sheet name="Flush Door  Shutter Country" sheetId="32" state="hidden" r:id="rId44"/>
    <sheet name=" Doors window- Flush  Door " sheetId="33" state="hidden" r:id="rId45"/>
    <sheet name=" Doors window Rythu" sheetId="36" state="hidden" r:id="rId46"/>
    <sheet name=" Doors window- Country " sheetId="37" state="hidden" r:id="rId47"/>
    <sheet name=" Doors window- Country  -2.0 m" sheetId="38" state="hidden" r:id="rId48"/>
    <sheet name=" Doors and windows " sheetId="39" state="hidden" r:id="rId49"/>
    <sheet name="Conveyance 25-26" sheetId="40" state="hidden" r:id="rId50"/>
    <sheet name="Sheet3" sheetId="41" state="hidden" r:id="rId51"/>
    <sheet name="Sheet6" sheetId="44" state="hidden" r:id="rId52"/>
    <sheet name="Sheet6 (2)" sheetId="45" state="hidden" r:id="rId53"/>
    <sheet name="Sheet4" sheetId="46" state="hidden" r:id="rId54"/>
  </sheets>
  <externalReferences>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 r:id="rId251"/>
    <externalReference r:id="rId252"/>
    <externalReference r:id="rId253"/>
    <externalReference r:id="rId254"/>
    <externalReference r:id="rId255"/>
    <externalReference r:id="rId256"/>
    <externalReference r:id="rId257"/>
    <externalReference r:id="rId258"/>
    <externalReference r:id="rId259"/>
    <externalReference r:id="rId260"/>
    <externalReference r:id="rId261"/>
    <externalReference r:id="rId262"/>
    <externalReference r:id="rId263"/>
    <externalReference r:id="rId264"/>
    <externalReference r:id="rId265"/>
    <externalReference r:id="rId266"/>
    <externalReference r:id="rId267"/>
    <externalReference r:id="rId268"/>
    <externalReference r:id="rId269"/>
    <externalReference r:id="rId270"/>
    <externalReference r:id="rId271"/>
    <externalReference r:id="rId272"/>
    <externalReference r:id="rId273"/>
    <externalReference r:id="rId274"/>
    <externalReference r:id="rId275"/>
    <externalReference r:id="rId276"/>
  </externalReferences>
  <definedNames>
    <definedName name="\" localSheetId="21">#REF!</definedName>
    <definedName name="\" localSheetId="9">#REF!</definedName>
    <definedName name="\" localSheetId="4">#REF!</definedName>
    <definedName name="\" localSheetId="8">#REF!</definedName>
    <definedName name="\">#REF!</definedName>
    <definedName name="_____________________________________________bla1">[1]leads!$H$7</definedName>
    <definedName name="_____________________________________________l1">[2]leads!$A$3:$E$108</definedName>
    <definedName name="_____________________________________________l12">#REF!</definedName>
    <definedName name="_____________________________________________l3">#REF!</definedName>
    <definedName name="_____________________________________________l4">[3]Sheet1!$W$2:$Y$103</definedName>
    <definedName name="_____________________________________________l5">#REF!</definedName>
    <definedName name="_____________________________________________mm1">[4]r!$F$4</definedName>
    <definedName name="_____________________________________________rr3">[5]v!$A$2:$E$51</definedName>
    <definedName name="_____________________________________________rrr1">[5]r!$B$1:$I$145</definedName>
    <definedName name="_____________________________________________ss12">[6]rdamdata!$J$8</definedName>
    <definedName name="_____________________________________________ss20">[6]rdamdata!$J$7</definedName>
    <definedName name="_____________________________________________ss40">[6]rdamdata!$J$6</definedName>
    <definedName name="_____________________________________________var1">#REF!</definedName>
    <definedName name="_____________________________________________var4">#REF!</definedName>
    <definedName name="____________________________________________bla1">[7]leads!$H$7</definedName>
    <definedName name="____________________________________________l1">[8]leads!$A$3:$E$108</definedName>
    <definedName name="____________________________________________l12">#REF!</definedName>
    <definedName name="____________________________________________l3">#REF!</definedName>
    <definedName name="____________________________________________l4">[9]Sheet1!$W$2:$Y$103</definedName>
    <definedName name="____________________________________________l5">#REF!</definedName>
    <definedName name="____________________________________________mm1">[10]r!$F$4</definedName>
    <definedName name="____________________________________________rr3">[11]v!$A$2:$E$51</definedName>
    <definedName name="____________________________________________rrr1">[11]r!$B$1:$I$145</definedName>
    <definedName name="____________________________________________ss12">[12]rdamdata!$J$8</definedName>
    <definedName name="____________________________________________ss20">[12]rdamdata!$J$7</definedName>
    <definedName name="____________________________________________ss40">[12]rdamdata!$J$6</definedName>
    <definedName name="____________________________________________var1">#REF!</definedName>
    <definedName name="____________________________________________var4">#REF!</definedName>
    <definedName name="___________________________________________bla1" localSheetId="21">[7]leads!$H$7</definedName>
    <definedName name="___________________________________________l1" localSheetId="21">[8]leads!$A$3:$E$108</definedName>
    <definedName name="___________________________________________l12" localSheetId="21">#REF!</definedName>
    <definedName name="___________________________________________l3" localSheetId="21">#REF!</definedName>
    <definedName name="___________________________________________l4" localSheetId="21">[9]Sheet1!$W$2:$Y$103</definedName>
    <definedName name="___________________________________________l5" localSheetId="21">#REF!</definedName>
    <definedName name="___________________________________________mm1" localSheetId="21">[10]r!$F$4</definedName>
    <definedName name="___________________________________________rr3" localSheetId="21">[11]v!$A$2:$E$51</definedName>
    <definedName name="___________________________________________rrr1" localSheetId="21">[11]r!$B$1:$I$145</definedName>
    <definedName name="___________________________________________ss12" localSheetId="21">[12]rdamdata!$J$8</definedName>
    <definedName name="___________________________________________ss20" localSheetId="21">[12]rdamdata!$J$7</definedName>
    <definedName name="___________________________________________ss40" localSheetId="21">[12]rdamdata!$J$6</definedName>
    <definedName name="___________________________________________var1" localSheetId="21">#REF!</definedName>
    <definedName name="___________________________________________var4" localSheetId="21">#REF!</definedName>
    <definedName name="__________________________________________bla1">[7]leads!$H$7</definedName>
    <definedName name="__________________________________________cur1">[13]r!$F$30</definedName>
    <definedName name="__________________________________________l1">[8]leads!$A$3:$E$108</definedName>
    <definedName name="__________________________________________l12">#REF!</definedName>
    <definedName name="__________________________________________l2">[13]r!$F$29</definedName>
    <definedName name="__________________________________________l3">#REF!</definedName>
    <definedName name="__________________________________________l4">[9]Sheet1!$W$2:$Y$103</definedName>
    <definedName name="__________________________________________l5">#REF!</definedName>
    <definedName name="__________________________________________l6">[13]r!$F$4</definedName>
    <definedName name="__________________________________________l7">[14]r!$F$4</definedName>
    <definedName name="__________________________________________l8">[13]r!$F$2</definedName>
    <definedName name="__________________________________________l9">[13]r!$F$3</definedName>
    <definedName name="__________________________________________mm1">[10]r!$F$4</definedName>
    <definedName name="__________________________________________mm11">[13]r!$F$4</definedName>
    <definedName name="__________________________________________mm111">[14]r!$F$4</definedName>
    <definedName name="__________________________________________pc2">#REF!</definedName>
    <definedName name="__________________________________________pv2">#REF!</definedName>
    <definedName name="__________________________________________rr3">[11]v!$A$2:$E$51</definedName>
    <definedName name="__________________________________________rrr1">[11]r!$B$1:$I$145</definedName>
    <definedName name="__________________________________________ss12">[12]rdamdata!$J$8</definedName>
    <definedName name="__________________________________________ss20">[12]rdamdata!$J$7</definedName>
    <definedName name="__________________________________________ss40">[12]rdamdata!$J$6</definedName>
    <definedName name="__________________________________________var1">#REF!</definedName>
    <definedName name="__________________________________________var4">#REF!</definedName>
    <definedName name="_________________________________________bla1">#REF!</definedName>
    <definedName name="_________________________________________cur1">[13]r!$F$30</definedName>
    <definedName name="_________________________________________l1">#REF!</definedName>
    <definedName name="_________________________________________l12">#REF!</definedName>
    <definedName name="_________________________________________l2">[13]r!$F$29</definedName>
    <definedName name="_________________________________________l3">#REF!</definedName>
    <definedName name="_________________________________________l4">#REF!</definedName>
    <definedName name="_________________________________________l5">#REF!</definedName>
    <definedName name="_________________________________________l6">[13]r!$F$4</definedName>
    <definedName name="_________________________________________l7">[14]r!$F$4</definedName>
    <definedName name="_________________________________________l8">[13]r!$F$2</definedName>
    <definedName name="_________________________________________l9">[13]r!$F$3</definedName>
    <definedName name="_________________________________________mm1">#REF!</definedName>
    <definedName name="_________________________________________mm11">[13]r!$F$4</definedName>
    <definedName name="_________________________________________mm111">[14]r!$F$4</definedName>
    <definedName name="_________________________________________pc2">#REF!</definedName>
    <definedName name="_________________________________________pv2">#REF!</definedName>
    <definedName name="_________________________________________rr3">#REF!</definedName>
    <definedName name="_________________________________________rrr1">#REF!</definedName>
    <definedName name="_________________________________________ss12">#REF!</definedName>
    <definedName name="_________________________________________ss20">#REF!</definedName>
    <definedName name="_________________________________________ss40">#REF!</definedName>
    <definedName name="_________________________________________var1">#REF!</definedName>
    <definedName name="_________________________________________var4">#REF!</definedName>
    <definedName name="________________________________________bla1">#REF!</definedName>
    <definedName name="________________________________________cur1">[13]r!$F$30</definedName>
    <definedName name="________________________________________l1">#REF!</definedName>
    <definedName name="________________________________________l12">#REF!</definedName>
    <definedName name="________________________________________l2">[13]r!$F$29</definedName>
    <definedName name="________________________________________l3">#REF!</definedName>
    <definedName name="________________________________________l4">#REF!</definedName>
    <definedName name="________________________________________l5">#REF!</definedName>
    <definedName name="________________________________________l6">[13]r!$F$4</definedName>
    <definedName name="________________________________________l7">[14]r!$F$4</definedName>
    <definedName name="________________________________________l8">[13]r!$F$2</definedName>
    <definedName name="________________________________________l9">[13]r!$F$3</definedName>
    <definedName name="________________________________________mm1">#REF!</definedName>
    <definedName name="________________________________________mm11">[13]r!$F$4</definedName>
    <definedName name="________________________________________mm111">[14]r!$F$4</definedName>
    <definedName name="________________________________________pc2">#REF!</definedName>
    <definedName name="________________________________________pv2">#REF!</definedName>
    <definedName name="________________________________________rr3">#REF!</definedName>
    <definedName name="________________________________________rrr1">#REF!</definedName>
    <definedName name="________________________________________ss12">#REF!</definedName>
    <definedName name="________________________________________ss20">#REF!</definedName>
    <definedName name="________________________________________ss40">#REF!</definedName>
    <definedName name="________________________________________var1">#REF!</definedName>
    <definedName name="________________________________________var4">#REF!</definedName>
    <definedName name="_______________________________________bla1">#REF!</definedName>
    <definedName name="_______________________________________cur1">#REF!</definedName>
    <definedName name="_______________________________________l1">#REF!</definedName>
    <definedName name="_______________________________________l12">#REF!</definedName>
    <definedName name="_______________________________________l2">#REF!</definedName>
    <definedName name="_______________________________________l3">#REF!</definedName>
    <definedName name="_______________________________________l4">#REF!</definedName>
    <definedName name="_______________________________________l5">#REF!</definedName>
    <definedName name="_______________________________________l6">#REF!</definedName>
    <definedName name="_______________________________________l7">#REF!</definedName>
    <definedName name="_______________________________________l8">#REF!</definedName>
    <definedName name="_______________________________________l9">#REF!</definedName>
    <definedName name="_______________________________________mm1">#REF!</definedName>
    <definedName name="_______________________________________mm11">#REF!</definedName>
    <definedName name="_______________________________________mm111">#REF!</definedName>
    <definedName name="_______________________________________pc2">#REF!</definedName>
    <definedName name="_______________________________________pv2">#REF!</definedName>
    <definedName name="_______________________________________rr3">#REF!</definedName>
    <definedName name="_______________________________________rrr1">#REF!</definedName>
    <definedName name="_______________________________________ss12">#REF!</definedName>
    <definedName name="_______________________________________ss20">#REF!</definedName>
    <definedName name="_______________________________________ss40">#REF!</definedName>
    <definedName name="_______________________________________var1">#REF!</definedName>
    <definedName name="_______________________________________var4">#REF!</definedName>
    <definedName name="______________________________________bla1">#REF!</definedName>
    <definedName name="______________________________________cur1">#REF!</definedName>
    <definedName name="______________________________________l1">#REF!</definedName>
    <definedName name="______________________________________l12">#REF!</definedName>
    <definedName name="______________________________________l2">#REF!</definedName>
    <definedName name="______________________________________l3">#REF!</definedName>
    <definedName name="______________________________________l4">#REF!</definedName>
    <definedName name="______________________________________l5">#REF!</definedName>
    <definedName name="______________________________________l6">#REF!</definedName>
    <definedName name="______________________________________l7">#REF!</definedName>
    <definedName name="______________________________________l8">#REF!</definedName>
    <definedName name="______________________________________l9">#REF!</definedName>
    <definedName name="______________________________________mm1">#REF!</definedName>
    <definedName name="______________________________________mm11">#REF!</definedName>
    <definedName name="______________________________________mm111">#REF!</definedName>
    <definedName name="______________________________________pc2">#REF!</definedName>
    <definedName name="______________________________________pv2">#REF!</definedName>
    <definedName name="______________________________________rr3">#REF!</definedName>
    <definedName name="______________________________________rrr1">#REF!</definedName>
    <definedName name="______________________________________ss12">#REF!</definedName>
    <definedName name="______________________________________ss20">#REF!</definedName>
    <definedName name="______________________________________ss40">#REF!</definedName>
    <definedName name="______________________________________var1">#REF!</definedName>
    <definedName name="______________________________________var4">#REF!</definedName>
    <definedName name="_____________________________________bla1">#REF!</definedName>
    <definedName name="_____________________________________cur1">#REF!</definedName>
    <definedName name="_____________________________________l1">#REF!</definedName>
    <definedName name="_____________________________________l12">#REF!</definedName>
    <definedName name="_____________________________________l2">#REF!</definedName>
    <definedName name="_____________________________________l3">#REF!</definedName>
    <definedName name="_____________________________________l4">#REF!</definedName>
    <definedName name="_____________________________________l5">#REF!</definedName>
    <definedName name="_____________________________________l6">#REF!</definedName>
    <definedName name="_____________________________________l7">#REF!</definedName>
    <definedName name="_____________________________________l8">#REF!</definedName>
    <definedName name="_____________________________________l9">#REF!</definedName>
    <definedName name="_____________________________________mm1">#REF!</definedName>
    <definedName name="_____________________________________mm11">#REF!</definedName>
    <definedName name="_____________________________________mm111">#REF!</definedName>
    <definedName name="_____________________________________pc2">#REF!</definedName>
    <definedName name="_____________________________________pv2">#REF!</definedName>
    <definedName name="_____________________________________rr3">#REF!</definedName>
    <definedName name="_____________________________________rrr1">#REF!</definedName>
    <definedName name="_____________________________________ss12">#REF!</definedName>
    <definedName name="_____________________________________ss20">#REF!</definedName>
    <definedName name="_____________________________________ss40">#REF!</definedName>
    <definedName name="_____________________________________var1">#REF!</definedName>
    <definedName name="_____________________________________var4">#REF!</definedName>
    <definedName name="____________________________________bla1">#REF!</definedName>
    <definedName name="____________________________________cur1">#REF!</definedName>
    <definedName name="____________________________________l1">#REF!</definedName>
    <definedName name="____________________________________l12">#REF!</definedName>
    <definedName name="____________________________________l2">#REF!</definedName>
    <definedName name="____________________________________l3">#REF!</definedName>
    <definedName name="____________________________________l4">#REF!</definedName>
    <definedName name="____________________________________l5">#REF!</definedName>
    <definedName name="____________________________________l6">#REF!</definedName>
    <definedName name="____________________________________l7">#REF!</definedName>
    <definedName name="____________________________________l8">#REF!</definedName>
    <definedName name="____________________________________l9">#REF!</definedName>
    <definedName name="____________________________________mm1">#REF!</definedName>
    <definedName name="____________________________________mm11">#REF!</definedName>
    <definedName name="____________________________________mm111">#REF!</definedName>
    <definedName name="____________________________________pc2">#REF!</definedName>
    <definedName name="____________________________________pv2">#REF!</definedName>
    <definedName name="____________________________________rr3">#REF!</definedName>
    <definedName name="____________________________________rrr1">#REF!</definedName>
    <definedName name="____________________________________ss12">#REF!</definedName>
    <definedName name="____________________________________ss20">#REF!</definedName>
    <definedName name="____________________________________ss40">#REF!</definedName>
    <definedName name="____________________________________var1">#REF!</definedName>
    <definedName name="____________________________________var4">#REF!</definedName>
    <definedName name="___________________________________bla1" localSheetId="10">#REF!</definedName>
    <definedName name="___________________________________bla1">#REF!</definedName>
    <definedName name="___________________________________cur1">#REF!</definedName>
    <definedName name="___________________________________l1" localSheetId="10">#REF!</definedName>
    <definedName name="___________________________________l1">#REF!</definedName>
    <definedName name="___________________________________l12" localSheetId="10">#REF!</definedName>
    <definedName name="___________________________________l12">#REF!</definedName>
    <definedName name="___________________________________l2">#REF!</definedName>
    <definedName name="___________________________________l3" localSheetId="10">#REF!</definedName>
    <definedName name="___________________________________l3">#REF!</definedName>
    <definedName name="___________________________________l4" localSheetId="10">#REF!</definedName>
    <definedName name="___________________________________l4">#REF!</definedName>
    <definedName name="___________________________________l5" localSheetId="10">#REF!</definedName>
    <definedName name="___________________________________l5">#REF!</definedName>
    <definedName name="___________________________________l6">#REF!</definedName>
    <definedName name="___________________________________l7">#REF!</definedName>
    <definedName name="___________________________________l8">#REF!</definedName>
    <definedName name="___________________________________l9">#REF!</definedName>
    <definedName name="___________________________________mm1" localSheetId="10">#REF!</definedName>
    <definedName name="___________________________________mm1">#REF!</definedName>
    <definedName name="___________________________________mm11">#REF!</definedName>
    <definedName name="___________________________________mm111">#REF!</definedName>
    <definedName name="___________________________________pc2">#REF!</definedName>
    <definedName name="___________________________________pv2">#REF!</definedName>
    <definedName name="___________________________________rr3" localSheetId="10">#REF!</definedName>
    <definedName name="___________________________________rr3">#REF!</definedName>
    <definedName name="___________________________________rrr1" localSheetId="10">#REF!</definedName>
    <definedName name="___________________________________rrr1">#REF!</definedName>
    <definedName name="___________________________________ss12" localSheetId="10">#REF!</definedName>
    <definedName name="___________________________________ss12">#REF!</definedName>
    <definedName name="___________________________________ss20" localSheetId="10">#REF!</definedName>
    <definedName name="___________________________________ss20">#REF!</definedName>
    <definedName name="___________________________________ss40" localSheetId="10">#REF!</definedName>
    <definedName name="___________________________________ss40">#REF!</definedName>
    <definedName name="___________________________________var1" localSheetId="10">#REF!</definedName>
    <definedName name="___________________________________var1">#REF!</definedName>
    <definedName name="___________________________________var4" localSheetId="10">#REF!</definedName>
    <definedName name="___________________________________var4">#REF!</definedName>
    <definedName name="__________________________________bla1">#REF!</definedName>
    <definedName name="__________________________________cur1">#REF!</definedName>
    <definedName name="__________________________________l1">#REF!</definedName>
    <definedName name="__________________________________l12">#REF!</definedName>
    <definedName name="__________________________________l2">#REF!</definedName>
    <definedName name="__________________________________l3">#REF!</definedName>
    <definedName name="__________________________________l4">#REF!</definedName>
    <definedName name="__________________________________l5">#REF!</definedName>
    <definedName name="__________________________________l6">#REF!</definedName>
    <definedName name="__________________________________l7">#REF!</definedName>
    <definedName name="__________________________________l8">#REF!</definedName>
    <definedName name="__________________________________l9">#REF!</definedName>
    <definedName name="__________________________________mm1">#REF!</definedName>
    <definedName name="__________________________________mm11">#REF!</definedName>
    <definedName name="__________________________________mm111">#REF!</definedName>
    <definedName name="__________________________________pc2">#REF!</definedName>
    <definedName name="__________________________________pv2">#REF!</definedName>
    <definedName name="__________________________________rr3">#REF!</definedName>
    <definedName name="__________________________________rrr1">#REF!</definedName>
    <definedName name="__________________________________ss12">#REF!</definedName>
    <definedName name="__________________________________ss20">#REF!</definedName>
    <definedName name="__________________________________ss40">#REF!</definedName>
    <definedName name="__________________________________var1">#REF!</definedName>
    <definedName name="__________________________________var4">#REF!</definedName>
    <definedName name="_________________________________bla1">#REF!</definedName>
    <definedName name="_________________________________cur1">#REF!</definedName>
    <definedName name="_________________________________l1">#REF!</definedName>
    <definedName name="_________________________________l12">#REF!</definedName>
    <definedName name="_________________________________l2">#REF!</definedName>
    <definedName name="_________________________________l3">#REF!</definedName>
    <definedName name="_________________________________l4">#REF!</definedName>
    <definedName name="_________________________________l5">#REF!</definedName>
    <definedName name="_________________________________l6">#REF!</definedName>
    <definedName name="_________________________________l7">#REF!</definedName>
    <definedName name="_________________________________l8">#REF!</definedName>
    <definedName name="_________________________________l9">#REF!</definedName>
    <definedName name="_________________________________mm1">#REF!</definedName>
    <definedName name="_________________________________mm11">#REF!</definedName>
    <definedName name="_________________________________mm111">#REF!</definedName>
    <definedName name="_________________________________pc2">#REF!</definedName>
    <definedName name="_________________________________pv2">#REF!</definedName>
    <definedName name="_________________________________rr3">#REF!</definedName>
    <definedName name="_________________________________rrr1">#REF!</definedName>
    <definedName name="_________________________________ss12">#REF!</definedName>
    <definedName name="_________________________________ss20">#REF!</definedName>
    <definedName name="_________________________________ss40">#REF!</definedName>
    <definedName name="_________________________________var1">#REF!</definedName>
    <definedName name="_________________________________var4">#REF!</definedName>
    <definedName name="________________________________bla1">#REF!</definedName>
    <definedName name="________________________________cur1">#REF!</definedName>
    <definedName name="________________________________l1">#REF!</definedName>
    <definedName name="________________________________l12">#REF!</definedName>
    <definedName name="________________________________l2">#REF!</definedName>
    <definedName name="________________________________l3">#REF!</definedName>
    <definedName name="________________________________l4">#REF!</definedName>
    <definedName name="________________________________l5">#REF!</definedName>
    <definedName name="________________________________l6">#REF!</definedName>
    <definedName name="________________________________l7">#REF!</definedName>
    <definedName name="________________________________l8">#REF!</definedName>
    <definedName name="________________________________l9">#REF!</definedName>
    <definedName name="________________________________mm1">#REF!</definedName>
    <definedName name="________________________________mm11">#REF!</definedName>
    <definedName name="________________________________mm111">#REF!</definedName>
    <definedName name="________________________________pc2">#REF!</definedName>
    <definedName name="________________________________pv2">#REF!</definedName>
    <definedName name="________________________________rr3">#REF!</definedName>
    <definedName name="________________________________rrr1">#REF!</definedName>
    <definedName name="________________________________ss12">#REF!</definedName>
    <definedName name="________________________________ss20">#REF!</definedName>
    <definedName name="________________________________ss40">#REF!</definedName>
    <definedName name="________________________________var1">#REF!</definedName>
    <definedName name="________________________________var4">#REF!</definedName>
    <definedName name="_______________________________bla1">#REF!</definedName>
    <definedName name="_______________________________cur1">#REF!</definedName>
    <definedName name="_______________________________l1">#REF!</definedName>
    <definedName name="_______________________________l12">#REF!</definedName>
    <definedName name="_______________________________l2">#REF!</definedName>
    <definedName name="_______________________________l3">#REF!</definedName>
    <definedName name="_______________________________l4">#REF!</definedName>
    <definedName name="_______________________________l5">#REF!</definedName>
    <definedName name="_______________________________l6">#REF!</definedName>
    <definedName name="_______________________________l7">#REF!</definedName>
    <definedName name="_______________________________l8">#REF!</definedName>
    <definedName name="_______________________________l9">#REF!</definedName>
    <definedName name="_______________________________mm1">#REF!</definedName>
    <definedName name="_______________________________mm11">#REF!</definedName>
    <definedName name="_______________________________mm111">#REF!</definedName>
    <definedName name="_______________________________pc2">#REF!</definedName>
    <definedName name="_______________________________pv2">#REF!</definedName>
    <definedName name="_______________________________rr3">#REF!</definedName>
    <definedName name="_______________________________rrr1">#REF!</definedName>
    <definedName name="_______________________________ss12">#REF!</definedName>
    <definedName name="_______________________________ss20">#REF!</definedName>
    <definedName name="_______________________________ss40">#REF!</definedName>
    <definedName name="_______________________________var1">#REF!</definedName>
    <definedName name="_______________________________var4">#REF!</definedName>
    <definedName name="______________________________bla1">#REF!</definedName>
    <definedName name="______________________________cur1">#REF!</definedName>
    <definedName name="______________________________l1">#REF!</definedName>
    <definedName name="______________________________l12">#REF!</definedName>
    <definedName name="______________________________l2">#REF!</definedName>
    <definedName name="______________________________l3">#REF!</definedName>
    <definedName name="______________________________l4">#REF!</definedName>
    <definedName name="______________________________l5">#REF!</definedName>
    <definedName name="______________________________l6">#REF!</definedName>
    <definedName name="______________________________l7">#REF!</definedName>
    <definedName name="______________________________l8">#REF!</definedName>
    <definedName name="______________________________l9">#REF!</definedName>
    <definedName name="______________________________mm1">#REF!</definedName>
    <definedName name="______________________________mm11">#REF!</definedName>
    <definedName name="______________________________mm111">#REF!</definedName>
    <definedName name="______________________________pc2">#REF!</definedName>
    <definedName name="______________________________pv2">#REF!</definedName>
    <definedName name="______________________________rr3">#REF!</definedName>
    <definedName name="______________________________rrr1">#REF!</definedName>
    <definedName name="______________________________ss12">#REF!</definedName>
    <definedName name="______________________________ss20">#REF!</definedName>
    <definedName name="______________________________ss40">#REF!</definedName>
    <definedName name="______________________________var1">#REF!</definedName>
    <definedName name="______________________________var4">#REF!</definedName>
    <definedName name="_____________________________bla1">#REF!</definedName>
    <definedName name="_____________________________cur1">#REF!</definedName>
    <definedName name="_____________________________l1">#REF!</definedName>
    <definedName name="_____________________________l12">#REF!</definedName>
    <definedName name="_____________________________l2">#REF!</definedName>
    <definedName name="_____________________________l3">#REF!</definedName>
    <definedName name="_____________________________l4">#REF!</definedName>
    <definedName name="_____________________________l5">#REF!</definedName>
    <definedName name="_____________________________l6">#REF!</definedName>
    <definedName name="_____________________________l7">#REF!</definedName>
    <definedName name="_____________________________l8">#REF!</definedName>
    <definedName name="_____________________________l9">#REF!</definedName>
    <definedName name="_____________________________mm1">#REF!</definedName>
    <definedName name="_____________________________mm11">#REF!</definedName>
    <definedName name="_____________________________mm111">#REF!</definedName>
    <definedName name="_____________________________pc2">#REF!</definedName>
    <definedName name="_____________________________pv2">#REF!</definedName>
    <definedName name="_____________________________rr3">#REF!</definedName>
    <definedName name="_____________________________rrr1">#REF!</definedName>
    <definedName name="_____________________________ss12">#REF!</definedName>
    <definedName name="_____________________________ss20">#REF!</definedName>
    <definedName name="_____________________________ss40">#REF!</definedName>
    <definedName name="_____________________________var1">#REF!</definedName>
    <definedName name="_____________________________var4">#REF!</definedName>
    <definedName name="____________________________bla1">#REF!</definedName>
    <definedName name="____________________________cur1">#REF!</definedName>
    <definedName name="____________________________l1">#REF!</definedName>
    <definedName name="____________________________l12">#REF!</definedName>
    <definedName name="____________________________l2">#REF!</definedName>
    <definedName name="____________________________l3">#REF!</definedName>
    <definedName name="____________________________l4">#REF!</definedName>
    <definedName name="____________________________l5">#REF!</definedName>
    <definedName name="____________________________l6">#REF!</definedName>
    <definedName name="____________________________l7">#REF!</definedName>
    <definedName name="____________________________l8">#REF!</definedName>
    <definedName name="____________________________l9">#REF!</definedName>
    <definedName name="____________________________mm1">#REF!</definedName>
    <definedName name="____________________________mm11">#REF!</definedName>
    <definedName name="____________________________mm111">#REF!</definedName>
    <definedName name="____________________________pc2">#REF!</definedName>
    <definedName name="____________________________pv2">#REF!</definedName>
    <definedName name="____________________________rr3">#REF!</definedName>
    <definedName name="____________________________rrr1">#REF!</definedName>
    <definedName name="____________________________ss12">#REF!</definedName>
    <definedName name="____________________________ss20">#REF!</definedName>
    <definedName name="____________________________ss40">#REF!</definedName>
    <definedName name="____________________________var1">#REF!</definedName>
    <definedName name="____________________________var4">#REF!</definedName>
    <definedName name="___________________________bla1">#REF!</definedName>
    <definedName name="___________________________cur1">#REF!</definedName>
    <definedName name="___________________________l1">#REF!</definedName>
    <definedName name="___________________________l12">#REF!</definedName>
    <definedName name="___________________________l2">#REF!</definedName>
    <definedName name="___________________________l3">#REF!</definedName>
    <definedName name="___________________________l4">#REF!</definedName>
    <definedName name="___________________________l5">#REF!</definedName>
    <definedName name="___________________________l6">#REF!</definedName>
    <definedName name="___________________________l7">#REF!</definedName>
    <definedName name="___________________________l8">#REF!</definedName>
    <definedName name="___________________________l9">#REF!</definedName>
    <definedName name="___________________________mm1">#REF!</definedName>
    <definedName name="___________________________mm11">#REF!</definedName>
    <definedName name="___________________________mm111">#REF!</definedName>
    <definedName name="___________________________pc2">#REF!</definedName>
    <definedName name="___________________________pv2">#REF!</definedName>
    <definedName name="___________________________rr3">#REF!</definedName>
    <definedName name="___________________________rrr1">#REF!</definedName>
    <definedName name="___________________________ss12">#REF!</definedName>
    <definedName name="___________________________ss20">#REF!</definedName>
    <definedName name="___________________________ss40">#REF!</definedName>
    <definedName name="___________________________var1">#REF!</definedName>
    <definedName name="___________________________var4">#REF!</definedName>
    <definedName name="__________________________bla1">#REF!</definedName>
    <definedName name="__________________________cur1">#REF!</definedName>
    <definedName name="__________________________l1">#REF!</definedName>
    <definedName name="__________________________l12">#REF!</definedName>
    <definedName name="__________________________l2">#REF!</definedName>
    <definedName name="__________________________l3">#REF!</definedName>
    <definedName name="__________________________l4">#REF!</definedName>
    <definedName name="__________________________l5">#REF!</definedName>
    <definedName name="__________________________l6">#REF!</definedName>
    <definedName name="__________________________l7">#REF!</definedName>
    <definedName name="__________________________l8">#REF!</definedName>
    <definedName name="__________________________l9">#REF!</definedName>
    <definedName name="__________________________mm1">#REF!</definedName>
    <definedName name="__________________________mm11">#REF!</definedName>
    <definedName name="__________________________mm111">#REF!</definedName>
    <definedName name="__________________________pc2">#REF!</definedName>
    <definedName name="__________________________pv2">#REF!</definedName>
    <definedName name="__________________________rr3">#REF!</definedName>
    <definedName name="__________________________rrr1">#REF!</definedName>
    <definedName name="__________________________ss12">#REF!</definedName>
    <definedName name="__________________________ss20">#REF!</definedName>
    <definedName name="__________________________ss40">#REF!</definedName>
    <definedName name="__________________________var1">#REF!</definedName>
    <definedName name="__________________________var4">#REF!</definedName>
    <definedName name="_________________________bla1">#REF!</definedName>
    <definedName name="_________________________cur1">#REF!</definedName>
    <definedName name="_________________________l1">#REF!</definedName>
    <definedName name="_________________________l12">#REF!</definedName>
    <definedName name="_________________________l2">#REF!</definedName>
    <definedName name="_________________________l3">#REF!</definedName>
    <definedName name="_________________________l4">#REF!</definedName>
    <definedName name="_________________________l5">#REF!</definedName>
    <definedName name="_________________________l6">#REF!</definedName>
    <definedName name="_________________________l7">#REF!</definedName>
    <definedName name="_________________________l8">#REF!</definedName>
    <definedName name="_________________________l9">#REF!</definedName>
    <definedName name="_________________________mm1">#REF!</definedName>
    <definedName name="_________________________mm11">#REF!</definedName>
    <definedName name="_________________________mm111">#REF!</definedName>
    <definedName name="_________________________pc2">#REF!</definedName>
    <definedName name="_________________________pv2">#REF!</definedName>
    <definedName name="_________________________rr3">#REF!</definedName>
    <definedName name="_________________________rrr1">#REF!</definedName>
    <definedName name="_________________________ss12">#REF!</definedName>
    <definedName name="_________________________ss20">#REF!</definedName>
    <definedName name="_________________________ss40">#REF!</definedName>
    <definedName name="_________________________var1">#REF!</definedName>
    <definedName name="_________________________var4">#REF!</definedName>
    <definedName name="________________________bla1">#REF!</definedName>
    <definedName name="________________________cur1">#REF!</definedName>
    <definedName name="________________________l1">#REF!</definedName>
    <definedName name="________________________l12">#REF!</definedName>
    <definedName name="________________________l2">#REF!</definedName>
    <definedName name="________________________l3">#REF!</definedName>
    <definedName name="________________________l4">#REF!</definedName>
    <definedName name="________________________l5">#REF!</definedName>
    <definedName name="________________________l6">#REF!</definedName>
    <definedName name="________________________l7">#REF!</definedName>
    <definedName name="________________________l8">#REF!</definedName>
    <definedName name="________________________l9">#REF!</definedName>
    <definedName name="________________________mm1">#REF!</definedName>
    <definedName name="________________________mm11">#REF!</definedName>
    <definedName name="________________________mm111">#REF!</definedName>
    <definedName name="________________________pc2">#REF!</definedName>
    <definedName name="________________________pv2">#REF!</definedName>
    <definedName name="________________________rr3">#REF!</definedName>
    <definedName name="________________________rrr1">#REF!</definedName>
    <definedName name="________________________ss12">#REF!</definedName>
    <definedName name="________________________ss20">#REF!</definedName>
    <definedName name="________________________ss40">#REF!</definedName>
    <definedName name="________________________var1">#REF!</definedName>
    <definedName name="________________________var4">#REF!</definedName>
    <definedName name="_______________________bla1">#REF!</definedName>
    <definedName name="_______________________can430">40.73</definedName>
    <definedName name="_______________________can435">43.3</definedName>
    <definedName name="_______________________cur1">#REF!</definedName>
    <definedName name="_______________________l1">#REF!</definedName>
    <definedName name="_______________________l12">#REF!</definedName>
    <definedName name="_______________________l2">#REF!</definedName>
    <definedName name="_______________________l3">#REF!</definedName>
    <definedName name="_______________________l4">#REF!</definedName>
    <definedName name="_______________________l5">#REF!</definedName>
    <definedName name="_______________________l6">#REF!</definedName>
    <definedName name="_______________________l7">#REF!</definedName>
    <definedName name="_______________________l8">#REF!</definedName>
    <definedName name="_______________________l9">#REF!</definedName>
    <definedName name="_______________________mm1">#REF!</definedName>
    <definedName name="_______________________mm11">#REF!</definedName>
    <definedName name="_______________________mm111">#REF!</definedName>
    <definedName name="_______________________pc2">#REF!</definedName>
    <definedName name="_______________________pv2">#REF!</definedName>
    <definedName name="_______________________rr3">#REF!</definedName>
    <definedName name="_______________________rrr1">#REF!</definedName>
    <definedName name="_______________________ss12">#REF!</definedName>
    <definedName name="_______________________ss20">#REF!</definedName>
    <definedName name="_______________________ss40">#REF!</definedName>
    <definedName name="_______________________var1">#REF!</definedName>
    <definedName name="_______________________var4">#REF!</definedName>
    <definedName name="______________________bla1" localSheetId="10">#REF!</definedName>
    <definedName name="______________________bla1">#REF!</definedName>
    <definedName name="______________________can430">40.73</definedName>
    <definedName name="______________________can435">43.3</definedName>
    <definedName name="______________________cur1">#REF!</definedName>
    <definedName name="______________________knr2">#REF!</definedName>
    <definedName name="______________________l1" localSheetId="10">#REF!</definedName>
    <definedName name="______________________l1">#REF!</definedName>
    <definedName name="______________________l12" localSheetId="10">#REF!</definedName>
    <definedName name="______________________l12">#REF!</definedName>
    <definedName name="______________________l2">#REF!</definedName>
    <definedName name="______________________l3" localSheetId="10">#REF!</definedName>
    <definedName name="______________________l3">#REF!</definedName>
    <definedName name="______________________l4" localSheetId="10">#REF!</definedName>
    <definedName name="______________________l4">#REF!</definedName>
    <definedName name="______________________l5" localSheetId="10">#REF!</definedName>
    <definedName name="______________________l5">#REF!</definedName>
    <definedName name="______________________l6">#REF!</definedName>
    <definedName name="______________________l7">#REF!</definedName>
    <definedName name="______________________l8">#REF!</definedName>
    <definedName name="______________________l9">#REF!</definedName>
    <definedName name="______________________mm1" localSheetId="10">#REF!</definedName>
    <definedName name="______________________mm1">#REF!</definedName>
    <definedName name="______________________mm11">#REF!</definedName>
    <definedName name="______________________mm111">#REF!</definedName>
    <definedName name="______________________pc2">#REF!</definedName>
    <definedName name="______________________pv2">#REF!</definedName>
    <definedName name="______________________rr3" localSheetId="10">#REF!</definedName>
    <definedName name="______________________rr3">#REF!</definedName>
    <definedName name="______________________rrr1" localSheetId="10">#REF!</definedName>
    <definedName name="______________________rrr1">#REF!</definedName>
    <definedName name="______________________ss12" localSheetId="10">#REF!</definedName>
    <definedName name="______________________ss12">#REF!</definedName>
    <definedName name="______________________ss20" localSheetId="10">#REF!</definedName>
    <definedName name="______________________ss20">#REF!</definedName>
    <definedName name="______________________ss40" localSheetId="10">#REF!</definedName>
    <definedName name="______________________ss40">#REF!</definedName>
    <definedName name="______________________var1" localSheetId="10">#REF!</definedName>
    <definedName name="______________________var1">#REF!</definedName>
    <definedName name="______________________var4" localSheetId="10">#REF!</definedName>
    <definedName name="______________________var4">#REF!</definedName>
    <definedName name="_____________________bla1" localSheetId="10">#REF!</definedName>
    <definedName name="_____________________bla1">#REF!</definedName>
    <definedName name="_____________________can430">40.73</definedName>
    <definedName name="_____________________can435">43.3</definedName>
    <definedName name="_____________________cur1">#REF!</definedName>
    <definedName name="_____________________knr2">#REF!</definedName>
    <definedName name="_____________________l1" localSheetId="10">#REF!</definedName>
    <definedName name="_____________________l1">#REF!</definedName>
    <definedName name="_____________________l12" localSheetId="10">#REF!</definedName>
    <definedName name="_____________________l12">#REF!</definedName>
    <definedName name="_____________________l2">#REF!</definedName>
    <definedName name="_____________________l3" localSheetId="10">#REF!</definedName>
    <definedName name="_____________________l3">#REF!</definedName>
    <definedName name="_____________________l4" localSheetId="10">#REF!</definedName>
    <definedName name="_____________________l4">#REF!</definedName>
    <definedName name="_____________________l5" localSheetId="10">#REF!</definedName>
    <definedName name="_____________________l5">#REF!</definedName>
    <definedName name="_____________________l6">#REF!</definedName>
    <definedName name="_____________________l7">#REF!</definedName>
    <definedName name="_____________________l8">#REF!</definedName>
    <definedName name="_____________________l9">#REF!</definedName>
    <definedName name="_____________________mm1" localSheetId="10">#REF!</definedName>
    <definedName name="_____________________mm1">#REF!</definedName>
    <definedName name="_____________________mm11">#REF!</definedName>
    <definedName name="_____________________mm111">#REF!</definedName>
    <definedName name="_____________________pc2" localSheetId="10">#REF!</definedName>
    <definedName name="_____________________pc2">#REF!</definedName>
    <definedName name="_____________________pv2" localSheetId="10">#REF!</definedName>
    <definedName name="_____________________pv2">#REF!</definedName>
    <definedName name="_____________________rr3" localSheetId="10">#REF!</definedName>
    <definedName name="_____________________rr3">#REF!</definedName>
    <definedName name="_____________________rrr1" localSheetId="10">#REF!</definedName>
    <definedName name="_____________________rrr1">#REF!</definedName>
    <definedName name="_____________________ss12" localSheetId="10">#REF!</definedName>
    <definedName name="_____________________ss12">#REF!</definedName>
    <definedName name="_____________________ss20" localSheetId="10">#REF!</definedName>
    <definedName name="_____________________ss20">#REF!</definedName>
    <definedName name="_____________________ss40" localSheetId="10">#REF!</definedName>
    <definedName name="_____________________ss40">#REF!</definedName>
    <definedName name="_____________________var1" localSheetId="10">#REF!</definedName>
    <definedName name="_____________________var1">#REF!</definedName>
    <definedName name="_____________________var4" localSheetId="10">#REF!</definedName>
    <definedName name="_____________________var4">#REF!</definedName>
    <definedName name="____________________bla1" localSheetId="10">#REF!</definedName>
    <definedName name="____________________bla1">#REF!</definedName>
    <definedName name="____________________can430">40.73</definedName>
    <definedName name="____________________can435">43.3</definedName>
    <definedName name="____________________cur1">#REF!</definedName>
    <definedName name="____________________knr2">#REF!</definedName>
    <definedName name="____________________l1" localSheetId="10">#REF!</definedName>
    <definedName name="____________________l1">#REF!</definedName>
    <definedName name="____________________l12" localSheetId="10">#REF!</definedName>
    <definedName name="____________________l12">#REF!</definedName>
    <definedName name="____________________l2">#REF!</definedName>
    <definedName name="____________________l3" localSheetId="10">#REF!</definedName>
    <definedName name="____________________l3">#REF!</definedName>
    <definedName name="____________________l4" localSheetId="10">#REF!</definedName>
    <definedName name="____________________l4">#REF!</definedName>
    <definedName name="____________________l5" localSheetId="10">#REF!</definedName>
    <definedName name="____________________l5">#REF!</definedName>
    <definedName name="____________________l6">#REF!</definedName>
    <definedName name="____________________l7">#REF!</definedName>
    <definedName name="____________________l8">#REF!</definedName>
    <definedName name="____________________l9">#REF!</definedName>
    <definedName name="____________________mm1" localSheetId="10">#REF!</definedName>
    <definedName name="____________________mm1">#REF!</definedName>
    <definedName name="____________________mm11">#REF!</definedName>
    <definedName name="____________________mm111">#REF!</definedName>
    <definedName name="____________________pc2" localSheetId="10">#REF!</definedName>
    <definedName name="____________________pc2">#REF!</definedName>
    <definedName name="____________________pv2" localSheetId="10">#REF!</definedName>
    <definedName name="____________________pv2">#REF!</definedName>
    <definedName name="____________________rr3" localSheetId="10">#REF!</definedName>
    <definedName name="____________________rr3">#REF!</definedName>
    <definedName name="____________________rrr1" localSheetId="10">#REF!</definedName>
    <definedName name="____________________rrr1">#REF!</definedName>
    <definedName name="____________________ss12" localSheetId="10">#REF!</definedName>
    <definedName name="____________________ss12">#REF!</definedName>
    <definedName name="____________________ss20" localSheetId="10">#REF!</definedName>
    <definedName name="____________________ss20">#REF!</definedName>
    <definedName name="____________________ss40" localSheetId="10">#REF!</definedName>
    <definedName name="____________________ss40">#REF!</definedName>
    <definedName name="____________________var1" localSheetId="10">#REF!</definedName>
    <definedName name="____________________var1">#REF!</definedName>
    <definedName name="____________________var4" localSheetId="10">#REF!</definedName>
    <definedName name="____________________var4">#REF!</definedName>
    <definedName name="___________________bla1" localSheetId="21">[15]leads!$H$7</definedName>
    <definedName name="___________________bla1" localSheetId="9">[15]leads!$H$7</definedName>
    <definedName name="___________________bla1" localSheetId="4">[15]leads!$H$7</definedName>
    <definedName name="___________________bla1" localSheetId="10">#REF!</definedName>
    <definedName name="___________________bla1" localSheetId="8">[15]leads!$H$7</definedName>
    <definedName name="___________________bla1">#REF!</definedName>
    <definedName name="___________________can430">40.73</definedName>
    <definedName name="___________________can435">43.3</definedName>
    <definedName name="___________________cur1" localSheetId="21">[13]r!$F$30</definedName>
    <definedName name="___________________cur1" localSheetId="9">[13]r!$F$30</definedName>
    <definedName name="___________________cur1" localSheetId="4">[13]r!$F$30</definedName>
    <definedName name="___________________cur1" localSheetId="8">[13]r!$F$30</definedName>
    <definedName name="___________________cur1">#REF!</definedName>
    <definedName name="___________________knr2">#REF!</definedName>
    <definedName name="___________________l1" localSheetId="21">[16]leads!$A$3:$E$108</definedName>
    <definedName name="___________________l1" localSheetId="9">[16]leads!$A$3:$E$108</definedName>
    <definedName name="___________________l1" localSheetId="4">[16]leads!$A$3:$E$108</definedName>
    <definedName name="___________________l1" localSheetId="10">#REF!</definedName>
    <definedName name="___________________l1" localSheetId="8">[16]leads!$A$3:$E$108</definedName>
    <definedName name="___________________l1">#REF!</definedName>
    <definedName name="___________________l12" localSheetId="21">#REF!</definedName>
    <definedName name="___________________l12" localSheetId="9">#REF!</definedName>
    <definedName name="___________________l12" localSheetId="4">#REF!</definedName>
    <definedName name="___________________l12" localSheetId="10">#REF!</definedName>
    <definedName name="___________________l12" localSheetId="8">#REF!</definedName>
    <definedName name="___________________l12">#REF!</definedName>
    <definedName name="___________________l2" localSheetId="21">[13]r!$F$29</definedName>
    <definedName name="___________________l2" localSheetId="9">[13]r!$F$29</definedName>
    <definedName name="___________________l2" localSheetId="4">[13]r!$F$29</definedName>
    <definedName name="___________________l2" localSheetId="8">[13]r!$F$29</definedName>
    <definedName name="___________________l2">#REF!</definedName>
    <definedName name="___________________l3" localSheetId="21">#REF!</definedName>
    <definedName name="___________________l3" localSheetId="9">#REF!</definedName>
    <definedName name="___________________l3" localSheetId="4">#REF!</definedName>
    <definedName name="___________________l3" localSheetId="10">#REF!</definedName>
    <definedName name="___________________l3" localSheetId="8">#REF!</definedName>
    <definedName name="___________________l3">#REF!</definedName>
    <definedName name="___________________l4" localSheetId="21">[17]Sheet1!$W$2:$Y$103</definedName>
    <definedName name="___________________l4" localSheetId="9">[17]Sheet1!$W$2:$Y$103</definedName>
    <definedName name="___________________l4" localSheetId="4">[17]Sheet1!$W$2:$Y$103</definedName>
    <definedName name="___________________l4" localSheetId="10">#REF!</definedName>
    <definedName name="___________________l4" localSheetId="8">[17]Sheet1!$W$2:$Y$103</definedName>
    <definedName name="___________________l4">#REF!</definedName>
    <definedName name="___________________l5" localSheetId="21">#REF!</definedName>
    <definedName name="___________________l5" localSheetId="9">#REF!</definedName>
    <definedName name="___________________l5" localSheetId="4">#REF!</definedName>
    <definedName name="___________________l5" localSheetId="10">#REF!</definedName>
    <definedName name="___________________l5" localSheetId="8">#REF!</definedName>
    <definedName name="___________________l5">#REF!</definedName>
    <definedName name="___________________l6" localSheetId="21">[13]r!$F$4</definedName>
    <definedName name="___________________l6" localSheetId="9">[13]r!$F$4</definedName>
    <definedName name="___________________l6" localSheetId="4">[13]r!$F$4</definedName>
    <definedName name="___________________l6" localSheetId="8">[13]r!$F$4</definedName>
    <definedName name="___________________l6">#REF!</definedName>
    <definedName name="___________________l7" localSheetId="21">[14]r!$F$4</definedName>
    <definedName name="___________________l7" localSheetId="9">[14]r!$F$4</definedName>
    <definedName name="___________________l7" localSheetId="4">[14]r!$F$4</definedName>
    <definedName name="___________________l7" localSheetId="8">[14]r!$F$4</definedName>
    <definedName name="___________________l7">#REF!</definedName>
    <definedName name="___________________l8" localSheetId="21">[13]r!$F$2</definedName>
    <definedName name="___________________l8" localSheetId="9">[13]r!$F$2</definedName>
    <definedName name="___________________l8" localSheetId="4">[13]r!$F$2</definedName>
    <definedName name="___________________l8" localSheetId="8">[13]r!$F$2</definedName>
    <definedName name="___________________l8">#REF!</definedName>
    <definedName name="___________________l9" localSheetId="21">[13]r!$F$3</definedName>
    <definedName name="___________________l9" localSheetId="9">[13]r!$F$3</definedName>
    <definedName name="___________________l9" localSheetId="4">[13]r!$F$3</definedName>
    <definedName name="___________________l9" localSheetId="8">[13]r!$F$3</definedName>
    <definedName name="___________________l9">#REF!</definedName>
    <definedName name="___________________MIX124">[18]maya!$A$11:$A$18</definedName>
    <definedName name="___________________mm1" localSheetId="21">[19]r!$F$4</definedName>
    <definedName name="___________________mm1" localSheetId="9">[19]r!$F$4</definedName>
    <definedName name="___________________mm1" localSheetId="4">[19]r!$F$4</definedName>
    <definedName name="___________________mm1" localSheetId="10">#REF!</definedName>
    <definedName name="___________________mm1" localSheetId="8">[19]r!$F$4</definedName>
    <definedName name="___________________mm1">#REF!</definedName>
    <definedName name="___________________mm11" localSheetId="21">[13]r!$F$4</definedName>
    <definedName name="___________________mm11" localSheetId="9">[13]r!$F$4</definedName>
    <definedName name="___________________mm11" localSheetId="4">[13]r!$F$4</definedName>
    <definedName name="___________________mm11" localSheetId="8">[13]r!$F$4</definedName>
    <definedName name="___________________mm11">#REF!</definedName>
    <definedName name="___________________mm111" localSheetId="21">[14]r!$F$4</definedName>
    <definedName name="___________________mm111" localSheetId="9">[14]r!$F$4</definedName>
    <definedName name="___________________mm111" localSheetId="4">[14]r!$F$4</definedName>
    <definedName name="___________________mm111" localSheetId="8">[14]r!$F$4</definedName>
    <definedName name="___________________mm111">#REF!</definedName>
    <definedName name="___________________pc2" localSheetId="21">#REF!</definedName>
    <definedName name="___________________pc2" localSheetId="9">#REF!</definedName>
    <definedName name="___________________pc2" localSheetId="4">#REF!</definedName>
    <definedName name="___________________pc2" localSheetId="10">#REF!</definedName>
    <definedName name="___________________pc2" localSheetId="8">#REF!</definedName>
    <definedName name="___________________pc2">#REF!</definedName>
    <definedName name="___________________pv2" localSheetId="21">#REF!</definedName>
    <definedName name="___________________pv2" localSheetId="9">#REF!</definedName>
    <definedName name="___________________pv2" localSheetId="4">#REF!</definedName>
    <definedName name="___________________pv2" localSheetId="10">#REF!</definedName>
    <definedName name="___________________pv2" localSheetId="8">#REF!</definedName>
    <definedName name="___________________pv2">#REF!</definedName>
    <definedName name="___________________rr3" localSheetId="21">[20]v!$A$2:$E$51</definedName>
    <definedName name="___________________rr3" localSheetId="9">[20]v!$A$2:$E$51</definedName>
    <definedName name="___________________rr3" localSheetId="4">[20]v!$A$2:$E$51</definedName>
    <definedName name="___________________rr3" localSheetId="10">#REF!</definedName>
    <definedName name="___________________rr3" localSheetId="8">[20]v!$A$2:$E$51</definedName>
    <definedName name="___________________rr3">#REF!</definedName>
    <definedName name="___________________rrr1" localSheetId="21">[20]r!$B$1:$I$145</definedName>
    <definedName name="___________________rrr1" localSheetId="9">[20]r!$B$1:$I$145</definedName>
    <definedName name="___________________rrr1" localSheetId="4">[20]r!$B$1:$I$145</definedName>
    <definedName name="___________________rrr1" localSheetId="10">#REF!</definedName>
    <definedName name="___________________rrr1" localSheetId="8">[20]r!$B$1:$I$145</definedName>
    <definedName name="___________________rrr1">#REF!</definedName>
    <definedName name="___________________ss12" localSheetId="21">[21]rdamdata!$J$8</definedName>
    <definedName name="___________________ss12" localSheetId="9">[21]rdamdata!$J$8</definedName>
    <definedName name="___________________ss12" localSheetId="4">[21]rdamdata!$J$8</definedName>
    <definedName name="___________________ss12" localSheetId="10">#REF!</definedName>
    <definedName name="___________________ss12" localSheetId="8">[21]rdamdata!$J$8</definedName>
    <definedName name="___________________ss12">#REF!</definedName>
    <definedName name="___________________ss20" localSheetId="21">[21]rdamdata!$J$7</definedName>
    <definedName name="___________________ss20" localSheetId="9">[21]rdamdata!$J$7</definedName>
    <definedName name="___________________ss20" localSheetId="4">[21]rdamdata!$J$7</definedName>
    <definedName name="___________________ss20" localSheetId="10">#REF!</definedName>
    <definedName name="___________________ss20" localSheetId="8">[21]rdamdata!$J$7</definedName>
    <definedName name="___________________ss20">#REF!</definedName>
    <definedName name="___________________ss40" localSheetId="21">[21]rdamdata!$J$6</definedName>
    <definedName name="___________________ss40" localSheetId="9">[21]rdamdata!$J$6</definedName>
    <definedName name="___________________ss40" localSheetId="4">[21]rdamdata!$J$6</definedName>
    <definedName name="___________________ss40" localSheetId="10">#REF!</definedName>
    <definedName name="___________________ss40" localSheetId="8">[21]rdamdata!$J$6</definedName>
    <definedName name="___________________ss40">#REF!</definedName>
    <definedName name="___________________var1" localSheetId="21">#REF!</definedName>
    <definedName name="___________________var1" localSheetId="9">#REF!</definedName>
    <definedName name="___________________var1" localSheetId="4">#REF!</definedName>
    <definedName name="___________________var1" localSheetId="10">#REF!</definedName>
    <definedName name="___________________var1" localSheetId="8">#REF!</definedName>
    <definedName name="___________________var1">#REF!</definedName>
    <definedName name="___________________var4" localSheetId="21">#REF!</definedName>
    <definedName name="___________________var4" localSheetId="9">#REF!</definedName>
    <definedName name="___________________var4" localSheetId="4">#REF!</definedName>
    <definedName name="___________________var4" localSheetId="10">#REF!</definedName>
    <definedName name="___________________var4" localSheetId="8">#REF!</definedName>
    <definedName name="___________________var4">#REF!</definedName>
    <definedName name="__________________bla1" localSheetId="21">[22]leads!$H$7</definedName>
    <definedName name="__________________bla1" localSheetId="9">[22]leads!$H$7</definedName>
    <definedName name="__________________bla1" localSheetId="4">[22]leads!$H$7</definedName>
    <definedName name="__________________bla1" localSheetId="8">[22]leads!$H$7</definedName>
    <definedName name="__________________bla1">#REF!</definedName>
    <definedName name="__________________BSG100">#REF!</definedName>
    <definedName name="__________________BSG150">#REF!</definedName>
    <definedName name="__________________BSG5">#REF!</definedName>
    <definedName name="__________________BSG75">#REF!</definedName>
    <definedName name="__________________BTC1">#REF!</definedName>
    <definedName name="__________________BTC10">#REF!</definedName>
    <definedName name="__________________BTC11">#REF!</definedName>
    <definedName name="__________________BTC12">#REF!</definedName>
    <definedName name="__________________BTC13">#REF!</definedName>
    <definedName name="__________________BTC14">#REF!</definedName>
    <definedName name="__________________BTC15">#REF!</definedName>
    <definedName name="__________________BTC2">#REF!</definedName>
    <definedName name="__________________BTC3">#REF!</definedName>
    <definedName name="__________________BTC4">#REF!</definedName>
    <definedName name="__________________BTC5">#REF!</definedName>
    <definedName name="__________________BTC6">#REF!</definedName>
    <definedName name="__________________BTC7">#REF!</definedName>
    <definedName name="__________________BTC8">#REF!</definedName>
    <definedName name="__________________BTC9">#REF!</definedName>
    <definedName name="__________________BTS1">#REF!</definedName>
    <definedName name="__________________BTS10">#REF!</definedName>
    <definedName name="__________________BTS11">#REF!</definedName>
    <definedName name="__________________BTS12">#REF!</definedName>
    <definedName name="__________________BTS13">#REF!</definedName>
    <definedName name="__________________BTS14">#REF!</definedName>
    <definedName name="__________________BTS15">#REF!</definedName>
    <definedName name="__________________BTS2">#REF!</definedName>
    <definedName name="__________________BTS3">#REF!</definedName>
    <definedName name="__________________BTS4">#REF!</definedName>
    <definedName name="__________________BTS5">#REF!</definedName>
    <definedName name="__________________BTS6">#REF!</definedName>
    <definedName name="__________________BTS7">#REF!</definedName>
    <definedName name="__________________BTS8">#REF!</definedName>
    <definedName name="__________________BTS9">#REF!</definedName>
    <definedName name="__________________can430">40.73</definedName>
    <definedName name="__________________can435">43.3</definedName>
    <definedName name="__________________cur1" localSheetId="21">[13]r!$F$30</definedName>
    <definedName name="__________________cur1" localSheetId="9">[13]r!$F$30</definedName>
    <definedName name="__________________cur1" localSheetId="4">[13]r!$F$30</definedName>
    <definedName name="__________________cur1" localSheetId="8">[13]r!$F$30</definedName>
    <definedName name="__________________cur1">#REF!</definedName>
    <definedName name="__________________GBS11">#REF!</definedName>
    <definedName name="__________________GBS110">#REF!</definedName>
    <definedName name="__________________GBS111">#REF!</definedName>
    <definedName name="__________________GBS112">#REF!</definedName>
    <definedName name="__________________GBS113">#REF!</definedName>
    <definedName name="__________________GBS114">#REF!</definedName>
    <definedName name="__________________GBS115">#REF!</definedName>
    <definedName name="__________________GBS12">#REF!</definedName>
    <definedName name="__________________GBS13">#REF!</definedName>
    <definedName name="__________________GBS14">#REF!</definedName>
    <definedName name="__________________GBS15">#REF!</definedName>
    <definedName name="__________________GBS16">#REF!</definedName>
    <definedName name="__________________GBS17">#REF!</definedName>
    <definedName name="__________________GBS18">#REF!</definedName>
    <definedName name="__________________GBS19">#REF!</definedName>
    <definedName name="__________________GBS21">#REF!</definedName>
    <definedName name="__________________GBS210">#REF!</definedName>
    <definedName name="__________________GBS211">#REF!</definedName>
    <definedName name="__________________GBS212">#REF!</definedName>
    <definedName name="__________________GBS213">#REF!</definedName>
    <definedName name="__________________GBS214">#REF!</definedName>
    <definedName name="__________________GBS215">#REF!</definedName>
    <definedName name="__________________GBS22">#REF!</definedName>
    <definedName name="__________________GBS23">#REF!</definedName>
    <definedName name="__________________GBS24">#REF!</definedName>
    <definedName name="__________________GBS25">#REF!</definedName>
    <definedName name="__________________GBS26">#REF!</definedName>
    <definedName name="__________________GBS27">#REF!</definedName>
    <definedName name="__________________GBS28">#REF!</definedName>
    <definedName name="__________________GBS29">#REF!</definedName>
    <definedName name="__________________knr2">#REF!</definedName>
    <definedName name="__________________l1" localSheetId="21">[23]leads!$A$3:$E$108</definedName>
    <definedName name="__________________l1" localSheetId="9">[23]leads!$A$3:$E$108</definedName>
    <definedName name="__________________l1" localSheetId="4">[23]leads!$A$3:$E$108</definedName>
    <definedName name="__________________l1" localSheetId="8">[23]leads!$A$3:$E$108</definedName>
    <definedName name="__________________l1">#REF!</definedName>
    <definedName name="__________________l12" localSheetId="21">#REF!</definedName>
    <definedName name="__________________l12" localSheetId="9">#REF!</definedName>
    <definedName name="__________________l12" localSheetId="4">#REF!</definedName>
    <definedName name="__________________l12" localSheetId="10">#REF!</definedName>
    <definedName name="__________________l12" localSheetId="8">#REF!</definedName>
    <definedName name="__________________l12">#REF!</definedName>
    <definedName name="__________________l2" localSheetId="21">[13]r!$F$29</definedName>
    <definedName name="__________________l2" localSheetId="9">[13]r!$F$29</definedName>
    <definedName name="__________________l2" localSheetId="4">[13]r!$F$29</definedName>
    <definedName name="__________________l2" localSheetId="8">[13]r!$F$29</definedName>
    <definedName name="__________________l2">#REF!</definedName>
    <definedName name="__________________l3" localSheetId="21">#REF!</definedName>
    <definedName name="__________________l3" localSheetId="9">#REF!</definedName>
    <definedName name="__________________l3" localSheetId="4">#REF!</definedName>
    <definedName name="__________________l3" localSheetId="10">#REF!</definedName>
    <definedName name="__________________l3" localSheetId="8">#REF!</definedName>
    <definedName name="__________________l3">#REF!</definedName>
    <definedName name="__________________l4" localSheetId="21">[24]Sheet1!$W$2:$Y$103</definedName>
    <definedName name="__________________l4" localSheetId="9">[24]Sheet1!$W$2:$Y$103</definedName>
    <definedName name="__________________l4" localSheetId="4">[24]Sheet1!$W$2:$Y$103</definedName>
    <definedName name="__________________l4" localSheetId="8">[24]Sheet1!$W$2:$Y$103</definedName>
    <definedName name="__________________l4">#REF!</definedName>
    <definedName name="__________________l5" localSheetId="21">#REF!</definedName>
    <definedName name="__________________l5" localSheetId="9">#REF!</definedName>
    <definedName name="__________________l5" localSheetId="4">#REF!</definedName>
    <definedName name="__________________l5" localSheetId="10">#REF!</definedName>
    <definedName name="__________________l5" localSheetId="8">#REF!</definedName>
    <definedName name="__________________l5">#REF!</definedName>
    <definedName name="__________________l6" localSheetId="21">[13]r!$F$4</definedName>
    <definedName name="__________________l6" localSheetId="9">[13]r!$F$4</definedName>
    <definedName name="__________________l6" localSheetId="4">[13]r!$F$4</definedName>
    <definedName name="__________________l6" localSheetId="8">[13]r!$F$4</definedName>
    <definedName name="__________________l6">#REF!</definedName>
    <definedName name="__________________l7" localSheetId="21">[14]r!$F$4</definedName>
    <definedName name="__________________l7" localSheetId="9">[14]r!$F$4</definedName>
    <definedName name="__________________l7" localSheetId="4">[14]r!$F$4</definedName>
    <definedName name="__________________l7" localSheetId="8">[14]r!$F$4</definedName>
    <definedName name="__________________l7">#REF!</definedName>
    <definedName name="__________________l8" localSheetId="21">[13]r!$F$2</definedName>
    <definedName name="__________________l8" localSheetId="9">[13]r!$F$2</definedName>
    <definedName name="__________________l8" localSheetId="4">[13]r!$F$2</definedName>
    <definedName name="__________________l8" localSheetId="8">[13]r!$F$2</definedName>
    <definedName name="__________________l8">#REF!</definedName>
    <definedName name="__________________l9" localSheetId="21">[13]r!$F$3</definedName>
    <definedName name="__________________l9" localSheetId="9">[13]r!$F$3</definedName>
    <definedName name="__________________l9" localSheetId="4">[13]r!$F$3</definedName>
    <definedName name="__________________l9" localSheetId="8">[13]r!$F$3</definedName>
    <definedName name="__________________l9">#REF!</definedName>
    <definedName name="__________________MIX124">[18]maya!$A$11:$A$18</definedName>
    <definedName name="__________________ML21">#REF!</definedName>
    <definedName name="__________________ML210">#REF!</definedName>
    <definedName name="__________________ML211">#REF!</definedName>
    <definedName name="__________________ML212">#REF!</definedName>
    <definedName name="__________________ML213">#REF!</definedName>
    <definedName name="__________________ML214">#REF!</definedName>
    <definedName name="__________________ML215">#REF!</definedName>
    <definedName name="__________________ML22">#REF!</definedName>
    <definedName name="__________________ML23">#REF!</definedName>
    <definedName name="__________________ML24">#REF!</definedName>
    <definedName name="__________________ML25">#REF!</definedName>
    <definedName name="__________________ML26">#REF!</definedName>
    <definedName name="__________________ML27">#REF!</definedName>
    <definedName name="__________________ML28">#REF!</definedName>
    <definedName name="__________________ML29">#REF!</definedName>
    <definedName name="__________________ML31">#REF!</definedName>
    <definedName name="__________________ML310">#REF!</definedName>
    <definedName name="__________________ML311">#REF!</definedName>
    <definedName name="__________________ML312">#REF!</definedName>
    <definedName name="__________________ML313">#REF!</definedName>
    <definedName name="__________________ML314">#REF!</definedName>
    <definedName name="__________________ML315">#REF!</definedName>
    <definedName name="__________________ML32">#REF!</definedName>
    <definedName name="__________________ML33">#REF!</definedName>
    <definedName name="__________________ML34">#REF!</definedName>
    <definedName name="__________________ML35">#REF!</definedName>
    <definedName name="__________________ML36">#REF!</definedName>
    <definedName name="__________________ML37">#REF!</definedName>
    <definedName name="__________________ML38">#REF!</definedName>
    <definedName name="__________________ML39">#REF!</definedName>
    <definedName name="__________________ML7">#REF!</definedName>
    <definedName name="__________________ML8">#REF!</definedName>
    <definedName name="__________________ML9">#REF!</definedName>
    <definedName name="__________________mm1" localSheetId="21">[25]r!$F$4</definedName>
    <definedName name="__________________mm1" localSheetId="9">[25]r!$F$4</definedName>
    <definedName name="__________________mm1" localSheetId="4">[25]r!$F$4</definedName>
    <definedName name="__________________mm1" localSheetId="8">[25]r!$F$4</definedName>
    <definedName name="__________________mm1">#REF!</definedName>
    <definedName name="__________________mm11" localSheetId="21">[13]r!$F$4</definedName>
    <definedName name="__________________mm11" localSheetId="9">[13]r!$F$4</definedName>
    <definedName name="__________________mm11" localSheetId="4">[13]r!$F$4</definedName>
    <definedName name="__________________mm11" localSheetId="8">[13]r!$F$4</definedName>
    <definedName name="__________________mm11">#REF!</definedName>
    <definedName name="__________________mm111" localSheetId="21">[14]r!$F$4</definedName>
    <definedName name="__________________mm111" localSheetId="9">[14]r!$F$4</definedName>
    <definedName name="__________________mm111" localSheetId="4">[14]r!$F$4</definedName>
    <definedName name="__________________mm111" localSheetId="8">[14]r!$F$4</definedName>
    <definedName name="__________________mm111">#REF!</definedName>
    <definedName name="__________________Mzd1">#REF!</definedName>
    <definedName name="__________________pc2" localSheetId="21">#REF!</definedName>
    <definedName name="__________________pc2" localSheetId="9">#REF!</definedName>
    <definedName name="__________________pc2" localSheetId="4">#REF!</definedName>
    <definedName name="__________________pc2" localSheetId="10">#REF!</definedName>
    <definedName name="__________________pc2" localSheetId="8">#REF!</definedName>
    <definedName name="__________________pc2">#REF!</definedName>
    <definedName name="__________________pv2" localSheetId="21">#REF!</definedName>
    <definedName name="__________________pv2" localSheetId="9">#REF!</definedName>
    <definedName name="__________________pv2" localSheetId="4">#REF!</definedName>
    <definedName name="__________________pv2" localSheetId="10">#REF!</definedName>
    <definedName name="__________________pv2" localSheetId="8">#REF!</definedName>
    <definedName name="__________________pv2">#REF!</definedName>
    <definedName name="__________________rr3" localSheetId="21">[26]v!$A$2:$E$51</definedName>
    <definedName name="__________________rr3" localSheetId="9">[26]v!$A$2:$E$51</definedName>
    <definedName name="__________________rr3" localSheetId="4">[26]v!$A$2:$E$51</definedName>
    <definedName name="__________________rr3" localSheetId="8">[26]v!$A$2:$E$51</definedName>
    <definedName name="__________________rr3">#REF!</definedName>
    <definedName name="__________________rrr1" localSheetId="21">[26]r!$B$1:$I$145</definedName>
    <definedName name="__________________rrr1" localSheetId="9">[26]r!$B$1:$I$145</definedName>
    <definedName name="__________________rrr1" localSheetId="4">[26]r!$B$1:$I$145</definedName>
    <definedName name="__________________rrr1" localSheetId="8">[26]r!$B$1:$I$145</definedName>
    <definedName name="__________________rrr1">#REF!</definedName>
    <definedName name="__________________ss12" localSheetId="21">[27]rdamdata!$J$8</definedName>
    <definedName name="__________________ss12" localSheetId="9">[27]rdamdata!$J$8</definedName>
    <definedName name="__________________ss12" localSheetId="4">[27]rdamdata!$J$8</definedName>
    <definedName name="__________________ss12" localSheetId="8">[27]rdamdata!$J$8</definedName>
    <definedName name="__________________ss12">#REF!</definedName>
    <definedName name="__________________ss20" localSheetId="21">[27]rdamdata!$J$7</definedName>
    <definedName name="__________________ss20" localSheetId="9">[27]rdamdata!$J$7</definedName>
    <definedName name="__________________ss20" localSheetId="4">[27]rdamdata!$J$7</definedName>
    <definedName name="__________________ss20" localSheetId="8">[27]rdamdata!$J$7</definedName>
    <definedName name="__________________ss20">#REF!</definedName>
    <definedName name="__________________ss40" localSheetId="21">[27]rdamdata!$J$6</definedName>
    <definedName name="__________________ss40" localSheetId="9">[27]rdamdata!$J$6</definedName>
    <definedName name="__________________ss40" localSheetId="4">[27]rdamdata!$J$6</definedName>
    <definedName name="__________________ss40" localSheetId="8">[27]rdamdata!$J$6</definedName>
    <definedName name="__________________ss40">#REF!</definedName>
    <definedName name="__________________var1" localSheetId="21">#REF!</definedName>
    <definedName name="__________________var1" localSheetId="9">#REF!</definedName>
    <definedName name="__________________var1" localSheetId="4">#REF!</definedName>
    <definedName name="__________________var1" localSheetId="10">#REF!</definedName>
    <definedName name="__________________var1" localSheetId="8">#REF!</definedName>
    <definedName name="__________________var1">#REF!</definedName>
    <definedName name="__________________var4" localSheetId="21">#REF!</definedName>
    <definedName name="__________________var4" localSheetId="9">#REF!</definedName>
    <definedName name="__________________var4" localSheetId="4">#REF!</definedName>
    <definedName name="__________________var4" localSheetId="10">#REF!</definedName>
    <definedName name="__________________var4" localSheetId="8">#REF!</definedName>
    <definedName name="__________________var4">#REF!</definedName>
    <definedName name="_________________bla1" localSheetId="21">[28]leads!$H$7</definedName>
    <definedName name="_________________bla1" localSheetId="9">[28]leads!$H$7</definedName>
    <definedName name="_________________bla1" localSheetId="4">[28]leads!$H$7</definedName>
    <definedName name="_________________bla1" localSheetId="8">[28]leads!$H$7</definedName>
    <definedName name="_________________bla1">#REF!</definedName>
    <definedName name="_________________BSG100">#REF!</definedName>
    <definedName name="_________________BSG150">#REF!</definedName>
    <definedName name="_________________BSG5">#REF!</definedName>
    <definedName name="_________________BSG75">#REF!</definedName>
    <definedName name="_________________BTC1">#REF!</definedName>
    <definedName name="_________________BTC10">#REF!</definedName>
    <definedName name="_________________BTC11">#REF!</definedName>
    <definedName name="_________________BTC12">#REF!</definedName>
    <definedName name="_________________BTC13">#REF!</definedName>
    <definedName name="_________________BTC14">#REF!</definedName>
    <definedName name="_________________BTC15">#REF!</definedName>
    <definedName name="_________________BTC2">#REF!</definedName>
    <definedName name="_________________BTC3">#REF!</definedName>
    <definedName name="_________________BTC4">#REF!</definedName>
    <definedName name="_________________BTC5">#REF!</definedName>
    <definedName name="_________________BTC6">#REF!</definedName>
    <definedName name="_________________BTC7">#REF!</definedName>
    <definedName name="_________________BTC8">#REF!</definedName>
    <definedName name="_________________BTC9">#REF!</definedName>
    <definedName name="_________________BTS1">#REF!</definedName>
    <definedName name="_________________BTS10">#REF!</definedName>
    <definedName name="_________________BTS11">#REF!</definedName>
    <definedName name="_________________BTS12">#REF!</definedName>
    <definedName name="_________________BTS13">#REF!</definedName>
    <definedName name="_________________BTS14">#REF!</definedName>
    <definedName name="_________________BTS15">#REF!</definedName>
    <definedName name="_________________BTS2">#REF!</definedName>
    <definedName name="_________________BTS3">#REF!</definedName>
    <definedName name="_________________BTS4">#REF!</definedName>
    <definedName name="_________________BTS5">#REF!</definedName>
    <definedName name="_________________BTS6">#REF!</definedName>
    <definedName name="_________________BTS7">#REF!</definedName>
    <definedName name="_________________BTS8">#REF!</definedName>
    <definedName name="_________________BTS9">#REF!</definedName>
    <definedName name="_________________can430">40.73</definedName>
    <definedName name="_________________can435">43.3</definedName>
    <definedName name="_________________cur1" localSheetId="21">[13]r!$F$30</definedName>
    <definedName name="_________________cur1" localSheetId="9">[13]r!$F$30</definedName>
    <definedName name="_________________cur1" localSheetId="4">[13]r!$F$30</definedName>
    <definedName name="_________________cur1" localSheetId="8">[13]r!$F$30</definedName>
    <definedName name="_________________cur1">#REF!</definedName>
    <definedName name="_________________GBS11">#REF!</definedName>
    <definedName name="_________________GBS110">#REF!</definedName>
    <definedName name="_________________GBS111">#REF!</definedName>
    <definedName name="_________________GBS112">#REF!</definedName>
    <definedName name="_________________GBS113">#REF!</definedName>
    <definedName name="_________________GBS114">#REF!</definedName>
    <definedName name="_________________GBS115">#REF!</definedName>
    <definedName name="_________________GBS12">#REF!</definedName>
    <definedName name="_________________GBS13">#REF!</definedName>
    <definedName name="_________________GBS14">#REF!</definedName>
    <definedName name="_________________GBS15">#REF!</definedName>
    <definedName name="_________________GBS16">#REF!</definedName>
    <definedName name="_________________GBS17">#REF!</definedName>
    <definedName name="_________________GBS18">#REF!</definedName>
    <definedName name="_________________GBS19">#REF!</definedName>
    <definedName name="_________________GBS21">#REF!</definedName>
    <definedName name="_________________GBS210">#REF!</definedName>
    <definedName name="_________________GBS211">#REF!</definedName>
    <definedName name="_________________GBS212">#REF!</definedName>
    <definedName name="_________________GBS213">#REF!</definedName>
    <definedName name="_________________GBS214">#REF!</definedName>
    <definedName name="_________________GBS215">#REF!</definedName>
    <definedName name="_________________GBS22">#REF!</definedName>
    <definedName name="_________________GBS23">#REF!</definedName>
    <definedName name="_________________GBS24">#REF!</definedName>
    <definedName name="_________________GBS25">#REF!</definedName>
    <definedName name="_________________GBS26">#REF!</definedName>
    <definedName name="_________________GBS27">#REF!</definedName>
    <definedName name="_________________GBS28">#REF!</definedName>
    <definedName name="_________________GBS29">#REF!</definedName>
    <definedName name="_________________knr2">#REF!</definedName>
    <definedName name="_________________l1" localSheetId="21">[29]leads!$A$3:$E$108</definedName>
    <definedName name="_________________l1" localSheetId="9">[29]leads!$A$3:$E$108</definedName>
    <definedName name="_________________l1" localSheetId="4">[29]leads!$A$3:$E$108</definedName>
    <definedName name="_________________l1" localSheetId="8">[29]leads!$A$3:$E$108</definedName>
    <definedName name="_________________l1">#REF!</definedName>
    <definedName name="_________________l12" localSheetId="21">#REF!</definedName>
    <definedName name="_________________l12" localSheetId="9">#REF!</definedName>
    <definedName name="_________________l12" localSheetId="4">#REF!</definedName>
    <definedName name="_________________l12" localSheetId="8">#REF!</definedName>
    <definedName name="_________________l12">#REF!</definedName>
    <definedName name="_________________l2" localSheetId="21">[13]r!$F$29</definedName>
    <definedName name="_________________l2" localSheetId="9">[13]r!$F$29</definedName>
    <definedName name="_________________l2" localSheetId="4">[13]r!$F$29</definedName>
    <definedName name="_________________l2" localSheetId="8">[13]r!$F$29</definedName>
    <definedName name="_________________l2">#REF!</definedName>
    <definedName name="_________________l3" localSheetId="21">#REF!</definedName>
    <definedName name="_________________l3" localSheetId="9">#REF!</definedName>
    <definedName name="_________________l3" localSheetId="4">#REF!</definedName>
    <definedName name="_________________l3" localSheetId="8">#REF!</definedName>
    <definedName name="_________________l3">#REF!</definedName>
    <definedName name="_________________l4" localSheetId="21">[30]Sheet1!$W$2:$Y$103</definedName>
    <definedName name="_________________l4" localSheetId="9">[30]Sheet1!$W$2:$Y$103</definedName>
    <definedName name="_________________l4" localSheetId="4">[30]Sheet1!$W$2:$Y$103</definedName>
    <definedName name="_________________l4" localSheetId="8">[30]Sheet1!$W$2:$Y$103</definedName>
    <definedName name="_________________l4">#REF!</definedName>
    <definedName name="_________________l5" localSheetId="21">#REF!</definedName>
    <definedName name="_________________l5" localSheetId="9">#REF!</definedName>
    <definedName name="_________________l5" localSheetId="4">#REF!</definedName>
    <definedName name="_________________l5" localSheetId="8">#REF!</definedName>
    <definedName name="_________________l5">#REF!</definedName>
    <definedName name="_________________l6" localSheetId="21">[13]r!$F$4</definedName>
    <definedName name="_________________l6" localSheetId="9">[13]r!$F$4</definedName>
    <definedName name="_________________l6" localSheetId="4">[13]r!$F$4</definedName>
    <definedName name="_________________l6" localSheetId="8">[13]r!$F$4</definedName>
    <definedName name="_________________l6">#REF!</definedName>
    <definedName name="_________________l7" localSheetId="21">[14]r!$F$4</definedName>
    <definedName name="_________________l7" localSheetId="9">[14]r!$F$4</definedName>
    <definedName name="_________________l7" localSheetId="4">[14]r!$F$4</definedName>
    <definedName name="_________________l7" localSheetId="8">[14]r!$F$4</definedName>
    <definedName name="_________________l7">#REF!</definedName>
    <definedName name="_________________l8" localSheetId="21">[13]r!$F$2</definedName>
    <definedName name="_________________l8" localSheetId="9">[13]r!$F$2</definedName>
    <definedName name="_________________l8" localSheetId="4">[13]r!$F$2</definedName>
    <definedName name="_________________l8" localSheetId="8">[13]r!$F$2</definedName>
    <definedName name="_________________l8">#REF!</definedName>
    <definedName name="_________________l9" localSheetId="21">[13]r!$F$3</definedName>
    <definedName name="_________________l9" localSheetId="9">[13]r!$F$3</definedName>
    <definedName name="_________________l9" localSheetId="4">[13]r!$F$3</definedName>
    <definedName name="_________________l9" localSheetId="8">[13]r!$F$3</definedName>
    <definedName name="_________________l9">#REF!</definedName>
    <definedName name="_________________MIX124">[18]maya!$A$11:$A$18</definedName>
    <definedName name="_________________ML21">#REF!</definedName>
    <definedName name="_________________ML210">#REF!</definedName>
    <definedName name="_________________ML211">#REF!</definedName>
    <definedName name="_________________ML212">#REF!</definedName>
    <definedName name="_________________ML213">#REF!</definedName>
    <definedName name="_________________ML214">#REF!</definedName>
    <definedName name="_________________ML215">#REF!</definedName>
    <definedName name="_________________ML22">#REF!</definedName>
    <definedName name="_________________ML23">#REF!</definedName>
    <definedName name="_________________ML24">#REF!</definedName>
    <definedName name="_________________ML25">#REF!</definedName>
    <definedName name="_________________ML26">#REF!</definedName>
    <definedName name="_________________ML27">#REF!</definedName>
    <definedName name="_________________ML28">#REF!</definedName>
    <definedName name="_________________ML29">#REF!</definedName>
    <definedName name="_________________ML31">#REF!</definedName>
    <definedName name="_________________ML310">#REF!</definedName>
    <definedName name="_________________ML311">#REF!</definedName>
    <definedName name="_________________ML312">#REF!</definedName>
    <definedName name="_________________ML313">#REF!</definedName>
    <definedName name="_________________ML314">#REF!</definedName>
    <definedName name="_________________ML315">#REF!</definedName>
    <definedName name="_________________ML32">#REF!</definedName>
    <definedName name="_________________ML33">#REF!</definedName>
    <definedName name="_________________ML34">#REF!</definedName>
    <definedName name="_________________ML35">#REF!</definedName>
    <definedName name="_________________ML36">#REF!</definedName>
    <definedName name="_________________ML37">#REF!</definedName>
    <definedName name="_________________ML38">#REF!</definedName>
    <definedName name="_________________ML39">#REF!</definedName>
    <definedName name="_________________ML7">#REF!</definedName>
    <definedName name="_________________ML8">#REF!</definedName>
    <definedName name="_________________ML9">#REF!</definedName>
    <definedName name="_________________mm1" localSheetId="21">[31]r!$F$4</definedName>
    <definedName name="_________________mm1" localSheetId="9">[31]r!$F$4</definedName>
    <definedName name="_________________mm1" localSheetId="4">[31]r!$F$4</definedName>
    <definedName name="_________________mm1" localSheetId="8">[31]r!$F$4</definedName>
    <definedName name="_________________mm1">#REF!</definedName>
    <definedName name="_________________mm11" localSheetId="21">[13]r!$F$4</definedName>
    <definedName name="_________________mm11" localSheetId="9">[13]r!$F$4</definedName>
    <definedName name="_________________mm11" localSheetId="4">[13]r!$F$4</definedName>
    <definedName name="_________________mm11" localSheetId="8">[13]r!$F$4</definedName>
    <definedName name="_________________mm11">#REF!</definedName>
    <definedName name="_________________mm111" localSheetId="21">[14]r!$F$4</definedName>
    <definedName name="_________________mm111" localSheetId="9">[14]r!$F$4</definedName>
    <definedName name="_________________mm111" localSheetId="4">[14]r!$F$4</definedName>
    <definedName name="_________________mm111" localSheetId="8">[14]r!$F$4</definedName>
    <definedName name="_________________mm111">#REF!</definedName>
    <definedName name="_________________pc2" localSheetId="21">#REF!</definedName>
    <definedName name="_________________pc2" localSheetId="9">#REF!</definedName>
    <definedName name="_________________pc2" localSheetId="4">#REF!</definedName>
    <definedName name="_________________pc2" localSheetId="10">#REF!</definedName>
    <definedName name="_________________pc2" localSheetId="8">#REF!</definedName>
    <definedName name="_________________pc2">#REF!</definedName>
    <definedName name="_________________pv2" localSheetId="21">#REF!</definedName>
    <definedName name="_________________pv2" localSheetId="9">#REF!</definedName>
    <definedName name="_________________pv2" localSheetId="4">#REF!</definedName>
    <definedName name="_________________pv2" localSheetId="10">#REF!</definedName>
    <definedName name="_________________pv2" localSheetId="8">#REF!</definedName>
    <definedName name="_________________pv2">#REF!</definedName>
    <definedName name="_________________rr3" localSheetId="21">[32]v!$A$2:$E$51</definedName>
    <definedName name="_________________rr3" localSheetId="9">[32]v!$A$2:$E$51</definedName>
    <definedName name="_________________rr3" localSheetId="4">[32]v!$A$2:$E$51</definedName>
    <definedName name="_________________rr3" localSheetId="8">[32]v!$A$2:$E$51</definedName>
    <definedName name="_________________rr3">#REF!</definedName>
    <definedName name="_________________rrr1" localSheetId="21">[32]r!$B$1:$I$145</definedName>
    <definedName name="_________________rrr1" localSheetId="9">[32]r!$B$1:$I$145</definedName>
    <definedName name="_________________rrr1" localSheetId="4">[32]r!$B$1:$I$145</definedName>
    <definedName name="_________________rrr1" localSheetId="8">[32]r!$B$1:$I$145</definedName>
    <definedName name="_________________rrr1">#REF!</definedName>
    <definedName name="_________________ss12" localSheetId="21">[33]rdamdata!$J$8</definedName>
    <definedName name="_________________ss12" localSheetId="9">[33]rdamdata!$J$8</definedName>
    <definedName name="_________________ss12" localSheetId="4">[33]rdamdata!$J$8</definedName>
    <definedName name="_________________ss12" localSheetId="8">[33]rdamdata!$J$8</definedName>
    <definedName name="_________________ss12">#REF!</definedName>
    <definedName name="_________________ss20" localSheetId="21">[33]rdamdata!$J$7</definedName>
    <definedName name="_________________ss20" localSheetId="9">[33]rdamdata!$J$7</definedName>
    <definedName name="_________________ss20" localSheetId="4">[33]rdamdata!$J$7</definedName>
    <definedName name="_________________ss20" localSheetId="8">[33]rdamdata!$J$7</definedName>
    <definedName name="_________________ss20">#REF!</definedName>
    <definedName name="_________________ss40" localSheetId="21">[33]rdamdata!$J$6</definedName>
    <definedName name="_________________ss40" localSheetId="9">[33]rdamdata!$J$6</definedName>
    <definedName name="_________________ss40" localSheetId="4">[33]rdamdata!$J$6</definedName>
    <definedName name="_________________ss40" localSheetId="8">[33]rdamdata!$J$6</definedName>
    <definedName name="_________________ss40">#REF!</definedName>
    <definedName name="_________________var1" localSheetId="21">#REF!</definedName>
    <definedName name="_________________var1" localSheetId="9">#REF!</definedName>
    <definedName name="_________________var1" localSheetId="4">#REF!</definedName>
    <definedName name="_________________var1" localSheetId="8">#REF!</definedName>
    <definedName name="_________________var1">#REF!</definedName>
    <definedName name="_________________var4" localSheetId="21">#REF!</definedName>
    <definedName name="_________________var4" localSheetId="9">#REF!</definedName>
    <definedName name="_________________var4" localSheetId="4">#REF!</definedName>
    <definedName name="_________________var4" localSheetId="8">#REF!</definedName>
    <definedName name="_________________var4">#REF!</definedName>
    <definedName name="________________bla1" localSheetId="21">[34]leads!$H$7</definedName>
    <definedName name="________________bla1" localSheetId="9">[34]leads!$H$7</definedName>
    <definedName name="________________bla1" localSheetId="4">[34]leads!$H$7</definedName>
    <definedName name="________________bla1" localSheetId="8">[34]leads!$H$7</definedName>
    <definedName name="________________bla1">#REF!</definedName>
    <definedName name="________________BSG100">#REF!</definedName>
    <definedName name="________________BSG150">#REF!</definedName>
    <definedName name="________________BSG5">#REF!</definedName>
    <definedName name="________________BSG75">#REF!</definedName>
    <definedName name="________________BTC1">#REF!</definedName>
    <definedName name="________________BTC10">#REF!</definedName>
    <definedName name="________________BTC11">#REF!</definedName>
    <definedName name="________________BTC12">#REF!</definedName>
    <definedName name="________________BTC13">#REF!</definedName>
    <definedName name="________________BTC14">#REF!</definedName>
    <definedName name="________________BTC15">#REF!</definedName>
    <definedName name="________________BTC2">#REF!</definedName>
    <definedName name="________________BTC3">#REF!</definedName>
    <definedName name="________________BTC4">#REF!</definedName>
    <definedName name="________________BTC5">#REF!</definedName>
    <definedName name="________________BTC6">#REF!</definedName>
    <definedName name="________________BTC7">#REF!</definedName>
    <definedName name="________________BTC8">#REF!</definedName>
    <definedName name="________________BTC9">#REF!</definedName>
    <definedName name="________________BTS1">#REF!</definedName>
    <definedName name="________________BTS10">#REF!</definedName>
    <definedName name="________________BTS11">#REF!</definedName>
    <definedName name="________________BTS12">#REF!</definedName>
    <definedName name="________________BTS13">#REF!</definedName>
    <definedName name="________________BTS14">#REF!</definedName>
    <definedName name="________________BTS15">#REF!</definedName>
    <definedName name="________________BTS2">#REF!</definedName>
    <definedName name="________________BTS3">#REF!</definedName>
    <definedName name="________________BTS4">#REF!</definedName>
    <definedName name="________________BTS5">#REF!</definedName>
    <definedName name="________________BTS6">#REF!</definedName>
    <definedName name="________________BTS7">#REF!</definedName>
    <definedName name="________________BTS8">#REF!</definedName>
    <definedName name="________________BTS9">#REF!</definedName>
    <definedName name="________________can430">40.73</definedName>
    <definedName name="________________can435">43.3</definedName>
    <definedName name="________________cur1" localSheetId="21">[13]r!$F$30</definedName>
    <definedName name="________________cur1" localSheetId="9">[13]r!$F$30</definedName>
    <definedName name="________________cur1" localSheetId="4">[13]r!$F$30</definedName>
    <definedName name="________________cur1" localSheetId="8">[13]r!$F$30</definedName>
    <definedName name="________________cur1">#REF!</definedName>
    <definedName name="________________GBS11">#REF!</definedName>
    <definedName name="________________GBS110">#REF!</definedName>
    <definedName name="________________GBS111">#REF!</definedName>
    <definedName name="________________GBS112">#REF!</definedName>
    <definedName name="________________GBS113">#REF!</definedName>
    <definedName name="________________GBS114">#REF!</definedName>
    <definedName name="________________GBS115">#REF!</definedName>
    <definedName name="________________GBS12">#REF!</definedName>
    <definedName name="________________GBS13">#REF!</definedName>
    <definedName name="________________GBS14">#REF!</definedName>
    <definedName name="________________GBS15">#REF!</definedName>
    <definedName name="________________GBS16">#REF!</definedName>
    <definedName name="________________GBS17">#REF!</definedName>
    <definedName name="________________GBS18">#REF!</definedName>
    <definedName name="________________GBS19">#REF!</definedName>
    <definedName name="________________GBS21">#REF!</definedName>
    <definedName name="________________GBS210">#REF!</definedName>
    <definedName name="________________GBS211">#REF!</definedName>
    <definedName name="________________GBS212">#REF!</definedName>
    <definedName name="________________GBS213">#REF!</definedName>
    <definedName name="________________GBS214">#REF!</definedName>
    <definedName name="________________GBS215">#REF!</definedName>
    <definedName name="________________GBS22">#REF!</definedName>
    <definedName name="________________GBS23">#REF!</definedName>
    <definedName name="________________GBS24">#REF!</definedName>
    <definedName name="________________GBS25">#REF!</definedName>
    <definedName name="________________GBS26">#REF!</definedName>
    <definedName name="________________GBS27">#REF!</definedName>
    <definedName name="________________GBS28">#REF!</definedName>
    <definedName name="________________GBS29">#REF!</definedName>
    <definedName name="________________knr2">#REF!</definedName>
    <definedName name="________________l1" localSheetId="21">[35]leads!$A$3:$E$108</definedName>
    <definedName name="________________l1" localSheetId="9">[35]leads!$A$3:$E$108</definedName>
    <definedName name="________________l1" localSheetId="4">[35]leads!$A$3:$E$108</definedName>
    <definedName name="________________l1" localSheetId="8">[35]leads!$A$3:$E$108</definedName>
    <definedName name="________________l1">#REF!</definedName>
    <definedName name="________________l12" localSheetId="21">#REF!</definedName>
    <definedName name="________________l12" localSheetId="9">#REF!</definedName>
    <definedName name="________________l12" localSheetId="4">#REF!</definedName>
    <definedName name="________________l12" localSheetId="10">#REF!</definedName>
    <definedName name="________________l12" localSheetId="8">#REF!</definedName>
    <definedName name="________________l12">#REF!</definedName>
    <definedName name="________________l2" localSheetId="21">[13]r!$F$29</definedName>
    <definedName name="________________l2" localSheetId="9">[13]r!$F$29</definedName>
    <definedName name="________________l2" localSheetId="4">[13]r!$F$29</definedName>
    <definedName name="________________l2" localSheetId="8">[13]r!$F$29</definedName>
    <definedName name="________________l2">#REF!</definedName>
    <definedName name="________________l3" localSheetId="21">#REF!</definedName>
    <definedName name="________________l3" localSheetId="9">#REF!</definedName>
    <definedName name="________________l3" localSheetId="4">#REF!</definedName>
    <definedName name="________________l3" localSheetId="10">#REF!</definedName>
    <definedName name="________________l3" localSheetId="8">#REF!</definedName>
    <definedName name="________________l3">#REF!</definedName>
    <definedName name="________________l4" localSheetId="21">[36]Sheet1!$W$2:$Y$103</definedName>
    <definedName name="________________l4" localSheetId="9">[36]Sheet1!$W$2:$Y$103</definedName>
    <definedName name="________________l4" localSheetId="4">[36]Sheet1!$W$2:$Y$103</definedName>
    <definedName name="________________l4" localSheetId="8">[36]Sheet1!$W$2:$Y$103</definedName>
    <definedName name="________________l4">#REF!</definedName>
    <definedName name="________________l5" localSheetId="21">#REF!</definedName>
    <definedName name="________________l5" localSheetId="9">#REF!</definedName>
    <definedName name="________________l5" localSheetId="4">#REF!</definedName>
    <definedName name="________________l5" localSheetId="10">#REF!</definedName>
    <definedName name="________________l5" localSheetId="8">#REF!</definedName>
    <definedName name="________________l5">#REF!</definedName>
    <definedName name="________________l6" localSheetId="21">[13]r!$F$4</definedName>
    <definedName name="________________l6" localSheetId="9">[13]r!$F$4</definedName>
    <definedName name="________________l6" localSheetId="4">[13]r!$F$4</definedName>
    <definedName name="________________l6" localSheetId="8">[13]r!$F$4</definedName>
    <definedName name="________________l6">#REF!</definedName>
    <definedName name="________________l7" localSheetId="21">[14]r!$F$4</definedName>
    <definedName name="________________l7" localSheetId="9">[14]r!$F$4</definedName>
    <definedName name="________________l7" localSheetId="4">[14]r!$F$4</definedName>
    <definedName name="________________l7" localSheetId="8">[14]r!$F$4</definedName>
    <definedName name="________________l7">#REF!</definedName>
    <definedName name="________________l8" localSheetId="21">[13]r!$F$2</definedName>
    <definedName name="________________l8" localSheetId="9">[13]r!$F$2</definedName>
    <definedName name="________________l8" localSheetId="4">[13]r!$F$2</definedName>
    <definedName name="________________l8" localSheetId="8">[13]r!$F$2</definedName>
    <definedName name="________________l8">#REF!</definedName>
    <definedName name="________________l9" localSheetId="21">[13]r!$F$3</definedName>
    <definedName name="________________l9" localSheetId="9">[13]r!$F$3</definedName>
    <definedName name="________________l9" localSheetId="4">[13]r!$F$3</definedName>
    <definedName name="________________l9" localSheetId="8">[13]r!$F$3</definedName>
    <definedName name="________________l9">#REF!</definedName>
    <definedName name="________________MIX124">#REF!</definedName>
    <definedName name="________________ML21">#REF!</definedName>
    <definedName name="________________ML210">#REF!</definedName>
    <definedName name="________________ML211">#REF!</definedName>
    <definedName name="________________ML212">#REF!</definedName>
    <definedName name="________________ML213">#REF!</definedName>
    <definedName name="________________ML214">#REF!</definedName>
    <definedName name="________________ML215">#REF!</definedName>
    <definedName name="________________ML22">#REF!</definedName>
    <definedName name="________________ML23">#REF!</definedName>
    <definedName name="________________ML24">#REF!</definedName>
    <definedName name="________________ML25">#REF!</definedName>
    <definedName name="________________ML26">#REF!</definedName>
    <definedName name="________________ML27">#REF!</definedName>
    <definedName name="________________ML28">#REF!</definedName>
    <definedName name="________________ML29">#REF!</definedName>
    <definedName name="________________ML31">#REF!</definedName>
    <definedName name="________________ML310">#REF!</definedName>
    <definedName name="________________ML311">#REF!</definedName>
    <definedName name="________________ML312">#REF!</definedName>
    <definedName name="________________ML313">#REF!</definedName>
    <definedName name="________________ML314">#REF!</definedName>
    <definedName name="________________ML315">#REF!</definedName>
    <definedName name="________________ML32">#REF!</definedName>
    <definedName name="________________ML33">#REF!</definedName>
    <definedName name="________________ML34">#REF!</definedName>
    <definedName name="________________ML35">#REF!</definedName>
    <definedName name="________________ML36">#REF!</definedName>
    <definedName name="________________ML37">#REF!</definedName>
    <definedName name="________________ML38">#REF!</definedName>
    <definedName name="________________ML39">#REF!</definedName>
    <definedName name="________________ML7">#REF!</definedName>
    <definedName name="________________ML8">#REF!</definedName>
    <definedName name="________________ML9">#REF!</definedName>
    <definedName name="________________mm1" localSheetId="21">[37]r!$F$4</definedName>
    <definedName name="________________mm1" localSheetId="9">[37]r!$F$4</definedName>
    <definedName name="________________mm1" localSheetId="4">[37]r!$F$4</definedName>
    <definedName name="________________mm1" localSheetId="8">[37]r!$F$4</definedName>
    <definedName name="________________mm1">#REF!</definedName>
    <definedName name="________________mm11" localSheetId="21">[13]r!$F$4</definedName>
    <definedName name="________________mm11" localSheetId="9">[13]r!$F$4</definedName>
    <definedName name="________________mm11" localSheetId="4">[13]r!$F$4</definedName>
    <definedName name="________________mm11" localSheetId="8">[13]r!$F$4</definedName>
    <definedName name="________________mm11">#REF!</definedName>
    <definedName name="________________mm111" localSheetId="21">[14]r!$F$4</definedName>
    <definedName name="________________mm111" localSheetId="9">[14]r!$F$4</definedName>
    <definedName name="________________mm111" localSheetId="4">[14]r!$F$4</definedName>
    <definedName name="________________mm111" localSheetId="8">[14]r!$F$4</definedName>
    <definedName name="________________mm111">#REF!</definedName>
    <definedName name="________________pc2" localSheetId="21">#REF!</definedName>
    <definedName name="________________pc2" localSheetId="9">#REF!</definedName>
    <definedName name="________________pc2" localSheetId="4">#REF!</definedName>
    <definedName name="________________pc2" localSheetId="10">#REF!</definedName>
    <definedName name="________________pc2" localSheetId="8">#REF!</definedName>
    <definedName name="________________pc2">#REF!</definedName>
    <definedName name="________________PMS2">#REF!</definedName>
    <definedName name="________________pv2" localSheetId="21">#REF!</definedName>
    <definedName name="________________pv2" localSheetId="9">#REF!</definedName>
    <definedName name="________________pv2" localSheetId="4">#REF!</definedName>
    <definedName name="________________pv2" localSheetId="10">#REF!</definedName>
    <definedName name="________________pv2" localSheetId="8">#REF!</definedName>
    <definedName name="________________pv2">#REF!</definedName>
    <definedName name="________________rr3" localSheetId="21">[38]v!$A$2:$E$51</definedName>
    <definedName name="________________rr3" localSheetId="9">[38]v!$A$2:$E$51</definedName>
    <definedName name="________________rr3" localSheetId="4">[38]v!$A$2:$E$51</definedName>
    <definedName name="________________rr3" localSheetId="8">[38]v!$A$2:$E$51</definedName>
    <definedName name="________________rr3">#REF!</definedName>
    <definedName name="________________rrr1" localSheetId="21">[38]r!$B$1:$I$145</definedName>
    <definedName name="________________rrr1" localSheetId="9">[38]r!$B$1:$I$145</definedName>
    <definedName name="________________rrr1" localSheetId="4">[38]r!$B$1:$I$145</definedName>
    <definedName name="________________rrr1" localSheetId="8">[38]r!$B$1:$I$145</definedName>
    <definedName name="________________rrr1">#REF!</definedName>
    <definedName name="________________ss12" localSheetId="21">[39]rdamdata!$J$8</definedName>
    <definedName name="________________ss12" localSheetId="9">[39]rdamdata!$J$8</definedName>
    <definedName name="________________ss12" localSheetId="4">[39]rdamdata!$J$8</definedName>
    <definedName name="________________ss12" localSheetId="8">[39]rdamdata!$J$8</definedName>
    <definedName name="________________ss12">#REF!</definedName>
    <definedName name="________________ss20" localSheetId="21">[39]rdamdata!$J$7</definedName>
    <definedName name="________________ss20" localSheetId="9">[39]rdamdata!$J$7</definedName>
    <definedName name="________________ss20" localSheetId="4">[39]rdamdata!$J$7</definedName>
    <definedName name="________________ss20" localSheetId="8">[39]rdamdata!$J$7</definedName>
    <definedName name="________________ss20">#REF!</definedName>
    <definedName name="________________ss40" localSheetId="21">[39]rdamdata!$J$6</definedName>
    <definedName name="________________ss40" localSheetId="9">[39]rdamdata!$J$6</definedName>
    <definedName name="________________ss40" localSheetId="4">[39]rdamdata!$J$6</definedName>
    <definedName name="________________ss40" localSheetId="8">[39]rdamdata!$J$6</definedName>
    <definedName name="________________ss40">#REF!</definedName>
    <definedName name="________________var1" localSheetId="21">#REF!</definedName>
    <definedName name="________________var1" localSheetId="9">#REF!</definedName>
    <definedName name="________________var1" localSheetId="4">#REF!</definedName>
    <definedName name="________________var1" localSheetId="10">#REF!</definedName>
    <definedName name="________________var1" localSheetId="8">#REF!</definedName>
    <definedName name="________________var1">#REF!</definedName>
    <definedName name="________________var4" localSheetId="21">#REF!</definedName>
    <definedName name="________________var4" localSheetId="9">#REF!</definedName>
    <definedName name="________________var4" localSheetId="4">#REF!</definedName>
    <definedName name="________________var4" localSheetId="10">#REF!</definedName>
    <definedName name="________________var4" localSheetId="8">#REF!</definedName>
    <definedName name="________________var4">#REF!</definedName>
    <definedName name="_______________bla1" localSheetId="21">[28]leads!$H$7</definedName>
    <definedName name="_______________bla1" localSheetId="9">[28]leads!$H$7</definedName>
    <definedName name="_______________bla1" localSheetId="4">[28]leads!$H$7</definedName>
    <definedName name="_______________bla1" localSheetId="10">#REF!</definedName>
    <definedName name="_______________bla1" localSheetId="8">[28]leads!$H$7</definedName>
    <definedName name="_______________bla1">#REF!</definedName>
    <definedName name="_______________BSG100">#REF!</definedName>
    <definedName name="_______________BSG150">#REF!</definedName>
    <definedName name="_______________BSG5">#REF!</definedName>
    <definedName name="_______________BSG75">#REF!</definedName>
    <definedName name="_______________BTC1">#REF!</definedName>
    <definedName name="_______________BTC10">#REF!</definedName>
    <definedName name="_______________BTC11">#REF!</definedName>
    <definedName name="_______________BTC12">#REF!</definedName>
    <definedName name="_______________BTC13">#REF!</definedName>
    <definedName name="_______________BTC14">#REF!</definedName>
    <definedName name="_______________BTC15">#REF!</definedName>
    <definedName name="_______________BTC2">#REF!</definedName>
    <definedName name="_______________BTC3">#REF!</definedName>
    <definedName name="_______________BTC4">#REF!</definedName>
    <definedName name="_______________BTC5">#REF!</definedName>
    <definedName name="_______________BTC6">#REF!</definedName>
    <definedName name="_______________BTC7">#REF!</definedName>
    <definedName name="_______________BTC8">#REF!</definedName>
    <definedName name="_______________BTC9">#REF!</definedName>
    <definedName name="_______________BTS1">#REF!</definedName>
    <definedName name="_______________BTS10">#REF!</definedName>
    <definedName name="_______________BTS11">#REF!</definedName>
    <definedName name="_______________BTS12">#REF!</definedName>
    <definedName name="_______________BTS13">#REF!</definedName>
    <definedName name="_______________BTS14">#REF!</definedName>
    <definedName name="_______________BTS15">#REF!</definedName>
    <definedName name="_______________BTS2">#REF!</definedName>
    <definedName name="_______________BTS3">#REF!</definedName>
    <definedName name="_______________BTS4">#REF!</definedName>
    <definedName name="_______________BTS5">#REF!</definedName>
    <definedName name="_______________BTS6">#REF!</definedName>
    <definedName name="_______________BTS7">#REF!</definedName>
    <definedName name="_______________BTS8">#REF!</definedName>
    <definedName name="_______________BTS9">#REF!</definedName>
    <definedName name="_______________can430">40.73</definedName>
    <definedName name="_______________can435">43.3</definedName>
    <definedName name="_______________cur1" localSheetId="21">[13]r!$F$30</definedName>
    <definedName name="_______________cur1" localSheetId="9">[13]r!$F$30</definedName>
    <definedName name="_______________cur1" localSheetId="4">[13]r!$F$30</definedName>
    <definedName name="_______________cur1" localSheetId="8">[13]r!$F$30</definedName>
    <definedName name="_______________cur1">#REF!</definedName>
    <definedName name="_______________GBS11">#REF!</definedName>
    <definedName name="_______________GBS110">#REF!</definedName>
    <definedName name="_______________GBS111">#REF!</definedName>
    <definedName name="_______________GBS112">#REF!</definedName>
    <definedName name="_______________GBS113">#REF!</definedName>
    <definedName name="_______________GBS114">#REF!</definedName>
    <definedName name="_______________GBS115">#REF!</definedName>
    <definedName name="_______________GBS12">#REF!</definedName>
    <definedName name="_______________GBS13">#REF!</definedName>
    <definedName name="_______________GBS14">#REF!</definedName>
    <definedName name="_______________GBS15">#REF!</definedName>
    <definedName name="_______________GBS16">#REF!</definedName>
    <definedName name="_______________GBS17">#REF!</definedName>
    <definedName name="_______________GBS18">#REF!</definedName>
    <definedName name="_______________GBS19">#REF!</definedName>
    <definedName name="_______________GBS21">#REF!</definedName>
    <definedName name="_______________GBS210">#REF!</definedName>
    <definedName name="_______________GBS211">#REF!</definedName>
    <definedName name="_______________GBS212">#REF!</definedName>
    <definedName name="_______________GBS213">#REF!</definedName>
    <definedName name="_______________GBS214">#REF!</definedName>
    <definedName name="_______________GBS215">#REF!</definedName>
    <definedName name="_______________GBS22">#REF!</definedName>
    <definedName name="_______________GBS23">#REF!</definedName>
    <definedName name="_______________GBS24">#REF!</definedName>
    <definedName name="_______________GBS25">#REF!</definedName>
    <definedName name="_______________GBS26">#REF!</definedName>
    <definedName name="_______________GBS27">#REF!</definedName>
    <definedName name="_______________GBS28">#REF!</definedName>
    <definedName name="_______________GBS29">#REF!</definedName>
    <definedName name="_______________knr2">#REF!</definedName>
    <definedName name="_______________l1" localSheetId="21">[29]leads!$A$3:$E$108</definedName>
    <definedName name="_______________l1" localSheetId="9">[29]leads!$A$3:$E$108</definedName>
    <definedName name="_______________l1" localSheetId="4">[29]leads!$A$3:$E$108</definedName>
    <definedName name="_______________l1" localSheetId="10">#REF!</definedName>
    <definedName name="_______________l1" localSheetId="8">[29]leads!$A$3:$E$108</definedName>
    <definedName name="_______________l1">#REF!</definedName>
    <definedName name="_______________l12" localSheetId="21">#REF!</definedName>
    <definedName name="_______________l12" localSheetId="9">#REF!</definedName>
    <definedName name="_______________l12" localSheetId="4">#REF!</definedName>
    <definedName name="_______________l12" localSheetId="10">#REF!</definedName>
    <definedName name="_______________l12" localSheetId="8">#REF!</definedName>
    <definedName name="_______________l12">#REF!</definedName>
    <definedName name="_______________l2" localSheetId="21">[13]r!$F$29</definedName>
    <definedName name="_______________l2" localSheetId="9">[13]r!$F$29</definedName>
    <definedName name="_______________l2" localSheetId="4">[13]r!$F$29</definedName>
    <definedName name="_______________l2" localSheetId="8">[13]r!$F$29</definedName>
    <definedName name="_______________l2">#REF!</definedName>
    <definedName name="_______________l3" localSheetId="21">#REF!</definedName>
    <definedName name="_______________l3" localSheetId="9">#REF!</definedName>
    <definedName name="_______________l3" localSheetId="4">#REF!</definedName>
    <definedName name="_______________l3" localSheetId="10">#REF!</definedName>
    <definedName name="_______________l3" localSheetId="8">#REF!</definedName>
    <definedName name="_______________l3">#REF!</definedName>
    <definedName name="_______________l4" localSheetId="21">[30]Sheet1!$W$2:$Y$103</definedName>
    <definedName name="_______________l4" localSheetId="9">[30]Sheet1!$W$2:$Y$103</definedName>
    <definedName name="_______________l4" localSheetId="4">[30]Sheet1!$W$2:$Y$103</definedName>
    <definedName name="_______________l4" localSheetId="10">#REF!</definedName>
    <definedName name="_______________l4" localSheetId="8">[30]Sheet1!$W$2:$Y$103</definedName>
    <definedName name="_______________l4">#REF!</definedName>
    <definedName name="_______________l5" localSheetId="21">#REF!</definedName>
    <definedName name="_______________l5" localSheetId="9">#REF!</definedName>
    <definedName name="_______________l5" localSheetId="4">#REF!</definedName>
    <definedName name="_______________l5" localSheetId="10">#REF!</definedName>
    <definedName name="_______________l5" localSheetId="8">#REF!</definedName>
    <definedName name="_______________l5">#REF!</definedName>
    <definedName name="_______________l6" localSheetId="21">[13]r!$F$4</definedName>
    <definedName name="_______________l6" localSheetId="9">[13]r!$F$4</definedName>
    <definedName name="_______________l6" localSheetId="4">[13]r!$F$4</definedName>
    <definedName name="_______________l6" localSheetId="8">[13]r!$F$4</definedName>
    <definedName name="_______________l6">#REF!</definedName>
    <definedName name="_______________l7" localSheetId="21">[14]r!$F$4</definedName>
    <definedName name="_______________l7" localSheetId="9">[14]r!$F$4</definedName>
    <definedName name="_______________l7" localSheetId="4">[14]r!$F$4</definedName>
    <definedName name="_______________l7" localSheetId="8">[14]r!$F$4</definedName>
    <definedName name="_______________l7">#REF!</definedName>
    <definedName name="_______________l8" localSheetId="21">[13]r!$F$2</definedName>
    <definedName name="_______________l8" localSheetId="9">[13]r!$F$2</definedName>
    <definedName name="_______________l8" localSheetId="4">[13]r!$F$2</definedName>
    <definedName name="_______________l8" localSheetId="8">[13]r!$F$2</definedName>
    <definedName name="_______________l8">#REF!</definedName>
    <definedName name="_______________l9" localSheetId="21">[13]r!$F$3</definedName>
    <definedName name="_______________l9" localSheetId="9">[13]r!$F$3</definedName>
    <definedName name="_______________l9" localSheetId="4">[13]r!$F$3</definedName>
    <definedName name="_______________l9" localSheetId="8">[13]r!$F$3</definedName>
    <definedName name="_______________l9">#REF!</definedName>
    <definedName name="_______________LI9">#REF!</definedName>
    <definedName name="_______________LII9">#REF!</definedName>
    <definedName name="_______________MIX124">#REF!</definedName>
    <definedName name="_______________ML11">#REF!</definedName>
    <definedName name="_______________ML110">#REF!</definedName>
    <definedName name="_______________ML111">#REF!</definedName>
    <definedName name="_______________ML112">#REF!</definedName>
    <definedName name="_______________ML113">#REF!</definedName>
    <definedName name="_______________ML114">#REF!</definedName>
    <definedName name="_______________ML115">#REF!</definedName>
    <definedName name="_______________ML12">#REF!</definedName>
    <definedName name="_______________ML13">#REF!</definedName>
    <definedName name="_______________ML14">#REF!</definedName>
    <definedName name="_______________ML15">#REF!</definedName>
    <definedName name="_______________ML16">#REF!</definedName>
    <definedName name="_______________ML17">#REF!</definedName>
    <definedName name="_______________ML18">#REF!</definedName>
    <definedName name="_______________ML19">#REF!</definedName>
    <definedName name="_______________ML21">#REF!</definedName>
    <definedName name="_______________ML210">#REF!</definedName>
    <definedName name="_______________ML211">#REF!</definedName>
    <definedName name="_______________ML212">#REF!</definedName>
    <definedName name="_______________ML213">#REF!</definedName>
    <definedName name="_______________ML214">#REF!</definedName>
    <definedName name="_______________ML215">#REF!</definedName>
    <definedName name="_______________ML22">#REF!</definedName>
    <definedName name="_______________ML23">#REF!</definedName>
    <definedName name="_______________ML24">#REF!</definedName>
    <definedName name="_______________ML25">#REF!</definedName>
    <definedName name="_______________ML26">#REF!</definedName>
    <definedName name="_______________ML27">#REF!</definedName>
    <definedName name="_______________ML28">#REF!</definedName>
    <definedName name="_______________ML29">#REF!</definedName>
    <definedName name="_______________ML31">#REF!</definedName>
    <definedName name="_______________ML310">#REF!</definedName>
    <definedName name="_______________ML311">#REF!</definedName>
    <definedName name="_______________ML312">#REF!</definedName>
    <definedName name="_______________ML313">#REF!</definedName>
    <definedName name="_______________ML314">#REF!</definedName>
    <definedName name="_______________ML315">#REF!</definedName>
    <definedName name="_______________ML32">#REF!</definedName>
    <definedName name="_______________ML33">#REF!</definedName>
    <definedName name="_______________ML34">#REF!</definedName>
    <definedName name="_______________ML35">#REF!</definedName>
    <definedName name="_______________ML36">#REF!</definedName>
    <definedName name="_______________ML37">#REF!</definedName>
    <definedName name="_______________ML38">#REF!</definedName>
    <definedName name="_______________ML39">#REF!</definedName>
    <definedName name="_______________ML7">#REF!</definedName>
    <definedName name="_______________ML8">#REF!</definedName>
    <definedName name="_______________ML9">#REF!</definedName>
    <definedName name="_______________mm1" localSheetId="21">[31]r!$F$4</definedName>
    <definedName name="_______________mm1" localSheetId="9">[31]r!$F$4</definedName>
    <definedName name="_______________mm1" localSheetId="4">[31]r!$F$4</definedName>
    <definedName name="_______________mm1" localSheetId="10">#REF!</definedName>
    <definedName name="_______________mm1" localSheetId="8">[31]r!$F$4</definedName>
    <definedName name="_______________mm1">#REF!</definedName>
    <definedName name="_______________mm11" localSheetId="21">[13]r!$F$4</definedName>
    <definedName name="_______________mm11" localSheetId="9">[13]r!$F$4</definedName>
    <definedName name="_______________mm11" localSheetId="4">[13]r!$F$4</definedName>
    <definedName name="_______________mm11" localSheetId="8">[13]r!$F$4</definedName>
    <definedName name="_______________mm11">#REF!</definedName>
    <definedName name="_______________mm111" localSheetId="21">[14]r!$F$4</definedName>
    <definedName name="_______________mm111" localSheetId="9">[14]r!$F$4</definedName>
    <definedName name="_______________mm111" localSheetId="4">[14]r!$F$4</definedName>
    <definedName name="_______________mm111" localSheetId="8">[14]r!$F$4</definedName>
    <definedName name="_______________mm111">#REF!</definedName>
    <definedName name="_______________pc2" localSheetId="21">#REF!</definedName>
    <definedName name="_______________pc2" localSheetId="9">#REF!</definedName>
    <definedName name="_______________pc2" localSheetId="4">#REF!</definedName>
    <definedName name="_______________pc2" localSheetId="10">#REF!</definedName>
    <definedName name="_______________pc2" localSheetId="8">#REF!</definedName>
    <definedName name="_______________pc2">#REF!</definedName>
    <definedName name="_______________PMS2">#REF!</definedName>
    <definedName name="_______________pv2" localSheetId="21">#REF!</definedName>
    <definedName name="_______________pv2" localSheetId="9">#REF!</definedName>
    <definedName name="_______________pv2" localSheetId="4">#REF!</definedName>
    <definedName name="_______________pv2" localSheetId="10">#REF!</definedName>
    <definedName name="_______________pv2" localSheetId="8">#REF!</definedName>
    <definedName name="_______________pv2">#REF!</definedName>
    <definedName name="_______________rr3" localSheetId="21">[32]v!$A$2:$E$51</definedName>
    <definedName name="_______________rr3" localSheetId="9">[32]v!$A$2:$E$51</definedName>
    <definedName name="_______________rr3" localSheetId="4">[32]v!$A$2:$E$51</definedName>
    <definedName name="_______________rr3" localSheetId="10">#REF!</definedName>
    <definedName name="_______________rr3" localSheetId="8">[32]v!$A$2:$E$51</definedName>
    <definedName name="_______________rr3">#REF!</definedName>
    <definedName name="_______________rrr1" localSheetId="21">[32]r!$B$1:$I$145</definedName>
    <definedName name="_______________rrr1" localSheetId="9">[32]r!$B$1:$I$145</definedName>
    <definedName name="_______________rrr1" localSheetId="4">[32]r!$B$1:$I$145</definedName>
    <definedName name="_______________rrr1" localSheetId="10">#REF!</definedName>
    <definedName name="_______________rrr1" localSheetId="8">[32]r!$B$1:$I$145</definedName>
    <definedName name="_______________rrr1">#REF!</definedName>
    <definedName name="_______________ss12" localSheetId="21">[33]rdamdata!$J$8</definedName>
    <definedName name="_______________ss12" localSheetId="9">[33]rdamdata!$J$8</definedName>
    <definedName name="_______________ss12" localSheetId="4">[33]rdamdata!$J$8</definedName>
    <definedName name="_______________ss12" localSheetId="10">#REF!</definedName>
    <definedName name="_______________ss12" localSheetId="8">[33]rdamdata!$J$8</definedName>
    <definedName name="_______________ss12">#REF!</definedName>
    <definedName name="_______________ss20" localSheetId="21">[33]rdamdata!$J$7</definedName>
    <definedName name="_______________ss20" localSheetId="9">[33]rdamdata!$J$7</definedName>
    <definedName name="_______________ss20" localSheetId="4">[33]rdamdata!$J$7</definedName>
    <definedName name="_______________ss20" localSheetId="10">#REF!</definedName>
    <definedName name="_______________ss20" localSheetId="8">[33]rdamdata!$J$7</definedName>
    <definedName name="_______________ss20">#REF!</definedName>
    <definedName name="_______________ss40" localSheetId="21">[33]rdamdata!$J$6</definedName>
    <definedName name="_______________ss40" localSheetId="9">[33]rdamdata!$J$6</definedName>
    <definedName name="_______________ss40" localSheetId="4">[33]rdamdata!$J$6</definedName>
    <definedName name="_______________ss40" localSheetId="10">#REF!</definedName>
    <definedName name="_______________ss40" localSheetId="8">[33]rdamdata!$J$6</definedName>
    <definedName name="_______________ss40">#REF!</definedName>
    <definedName name="_______________var1" localSheetId="21">#REF!</definedName>
    <definedName name="_______________var1" localSheetId="9">#REF!</definedName>
    <definedName name="_______________var1" localSheetId="4">#REF!</definedName>
    <definedName name="_______________var1" localSheetId="10">#REF!</definedName>
    <definedName name="_______________var1" localSheetId="8">#REF!</definedName>
    <definedName name="_______________var1">#REF!</definedName>
    <definedName name="_______________var4" localSheetId="21">#REF!</definedName>
    <definedName name="_______________var4" localSheetId="9">#REF!</definedName>
    <definedName name="_______________var4" localSheetId="4">#REF!</definedName>
    <definedName name="_______________var4" localSheetId="10">#REF!</definedName>
    <definedName name="_______________var4" localSheetId="8">#REF!</definedName>
    <definedName name="_______________var4">#REF!</definedName>
    <definedName name="_______________xh2256">[40]HDPE!$L$30</definedName>
    <definedName name="_______________xh2506">[40]HDPE!$M$30</definedName>
    <definedName name="_______________xh2806">[40]HDPE!$N$30</definedName>
    <definedName name="_______________xh3156">[40]HDPE!$O$30</definedName>
    <definedName name="_______________xh634">[40]HDPE!$C$16</definedName>
    <definedName name="_______________xk7100">[40]DI!$C$37</definedName>
    <definedName name="_______________xk7150">[40]DI!$D$37</definedName>
    <definedName name="_______________xk7250">[40]DI!$F$37</definedName>
    <definedName name="_______________xk7300">[40]DI!$G$37</definedName>
    <definedName name="_______________xp11010">[40]pvc!$F$61</definedName>
    <definedName name="_______________xp1104">[40]pvc!$F$31</definedName>
    <definedName name="_______________xp1106">[40]pvc!$F$46</definedName>
    <definedName name="_______________xp1254">[40]pvc!$G$31</definedName>
    <definedName name="_______________xp1256">[40]pvc!$G$46</definedName>
    <definedName name="_______________xp14010">[40]pvc!$H$61</definedName>
    <definedName name="_______________xp1404">[40]pvc!$H$31</definedName>
    <definedName name="_______________xp1406">[40]pvc!$H$46</definedName>
    <definedName name="_______________xp1604">[40]pvc!$I$31</definedName>
    <definedName name="_______________xp1606">[40]pvc!$I$46</definedName>
    <definedName name="_______________xp1804">[40]pvc!$J$31</definedName>
    <definedName name="_______________xp1806">[40]pvc!$J$46</definedName>
    <definedName name="_______________xp2006">[40]pvc!$K$46</definedName>
    <definedName name="_______________xp6310">[40]pvc!$C$61</definedName>
    <definedName name="_______________xp636">[40]pvc!$C$46</definedName>
    <definedName name="_______________xp7510">[40]pvc!$D$61</definedName>
    <definedName name="_______________xp754">[40]pvc!$D$31</definedName>
    <definedName name="_______________xp756">[40]pvc!$D$46</definedName>
    <definedName name="_______________xp9010">[40]pvc!$E$61</definedName>
    <definedName name="_______________xp904">[40]pvc!$E$31</definedName>
    <definedName name="_______________xp906">[40]pvc!$E$46</definedName>
    <definedName name="______________bla1" localSheetId="21">[28]leads!$H$7</definedName>
    <definedName name="______________bla1" localSheetId="9">[28]leads!$H$7</definedName>
    <definedName name="______________bla1" localSheetId="4">[28]leads!$H$7</definedName>
    <definedName name="______________bla1" localSheetId="10">#REF!</definedName>
    <definedName name="______________bla1" localSheetId="8">[28]leads!$H$7</definedName>
    <definedName name="______________bla1">#REF!</definedName>
    <definedName name="______________BSG100">#REF!</definedName>
    <definedName name="______________BSG150">#REF!</definedName>
    <definedName name="______________BSG5">#REF!</definedName>
    <definedName name="______________BSG75">#REF!</definedName>
    <definedName name="______________BTC1">#REF!</definedName>
    <definedName name="______________BTC10">#REF!</definedName>
    <definedName name="______________BTC11">#REF!</definedName>
    <definedName name="______________BTC12">#REF!</definedName>
    <definedName name="______________BTC13">#REF!</definedName>
    <definedName name="______________BTC14">#REF!</definedName>
    <definedName name="______________BTC15">#REF!</definedName>
    <definedName name="______________BTC2">#REF!</definedName>
    <definedName name="______________BTC3">#REF!</definedName>
    <definedName name="______________BTC4">#REF!</definedName>
    <definedName name="______________BTC5">#REF!</definedName>
    <definedName name="______________BTC6">#REF!</definedName>
    <definedName name="______________BTC7">#REF!</definedName>
    <definedName name="______________BTC8">#REF!</definedName>
    <definedName name="______________BTC9">#REF!</definedName>
    <definedName name="______________BTS1">#REF!</definedName>
    <definedName name="______________BTS10">#REF!</definedName>
    <definedName name="______________BTS11">#REF!</definedName>
    <definedName name="______________BTS12">#REF!</definedName>
    <definedName name="______________BTS13">#REF!</definedName>
    <definedName name="______________BTS14">#REF!</definedName>
    <definedName name="______________BTS15">#REF!</definedName>
    <definedName name="______________BTS2">#REF!</definedName>
    <definedName name="______________BTS3">#REF!</definedName>
    <definedName name="______________BTS4">#REF!</definedName>
    <definedName name="______________BTS5">#REF!</definedName>
    <definedName name="______________BTS6">#REF!</definedName>
    <definedName name="______________BTS7">#REF!</definedName>
    <definedName name="______________BTS8">#REF!</definedName>
    <definedName name="______________BTS9">#REF!</definedName>
    <definedName name="______________can430">40.73</definedName>
    <definedName name="______________can435">43.3</definedName>
    <definedName name="______________cur1" localSheetId="21">[13]r!$F$30</definedName>
    <definedName name="______________cur1" localSheetId="9">[13]r!$F$30</definedName>
    <definedName name="______________cur1" localSheetId="4">[13]r!$F$30</definedName>
    <definedName name="______________cur1" localSheetId="8">[13]r!$F$30</definedName>
    <definedName name="______________cur1">#REF!</definedName>
    <definedName name="______________ewe1">#REF!</definedName>
    <definedName name="______________GBS11">#REF!</definedName>
    <definedName name="______________GBS110">#REF!</definedName>
    <definedName name="______________GBS111">#REF!</definedName>
    <definedName name="______________GBS112">#REF!</definedName>
    <definedName name="______________GBS113">#REF!</definedName>
    <definedName name="______________GBS114">#REF!</definedName>
    <definedName name="______________GBS115">#REF!</definedName>
    <definedName name="______________GBS12">#REF!</definedName>
    <definedName name="______________GBS13">#REF!</definedName>
    <definedName name="______________GBS14">#REF!</definedName>
    <definedName name="______________GBS15">#REF!</definedName>
    <definedName name="______________GBS16">#REF!</definedName>
    <definedName name="______________GBS17">#REF!</definedName>
    <definedName name="______________GBS18">#REF!</definedName>
    <definedName name="______________GBS19">#REF!</definedName>
    <definedName name="______________GBS21">#REF!</definedName>
    <definedName name="______________GBS210">#REF!</definedName>
    <definedName name="______________GBS211">#REF!</definedName>
    <definedName name="______________GBS212">#REF!</definedName>
    <definedName name="______________GBS213">#REF!</definedName>
    <definedName name="______________GBS214">#REF!</definedName>
    <definedName name="______________GBS215">#REF!</definedName>
    <definedName name="______________GBS22">#REF!</definedName>
    <definedName name="______________GBS23">#REF!</definedName>
    <definedName name="______________GBS24">#REF!</definedName>
    <definedName name="______________GBS25">#REF!</definedName>
    <definedName name="______________GBS26">#REF!</definedName>
    <definedName name="______________GBS27">#REF!</definedName>
    <definedName name="______________GBS28">#REF!</definedName>
    <definedName name="______________GBS29">#REF!</definedName>
    <definedName name="______________knr2">#REF!</definedName>
    <definedName name="______________l1" localSheetId="21">[29]leads!$A$3:$E$108</definedName>
    <definedName name="______________l1" localSheetId="9">[29]leads!$A$3:$E$108</definedName>
    <definedName name="______________l1" localSheetId="4">[29]leads!$A$3:$E$108</definedName>
    <definedName name="______________l1" localSheetId="10">#REF!</definedName>
    <definedName name="______________l1" localSheetId="8">[29]leads!$A$3:$E$108</definedName>
    <definedName name="______________l1">#REF!</definedName>
    <definedName name="______________l12" localSheetId="21">#REF!</definedName>
    <definedName name="______________l12" localSheetId="9">#REF!</definedName>
    <definedName name="______________l12" localSheetId="4">#REF!</definedName>
    <definedName name="______________l12" localSheetId="10">#REF!</definedName>
    <definedName name="______________l12" localSheetId="8">#REF!</definedName>
    <definedName name="______________l12">#REF!</definedName>
    <definedName name="______________l2" localSheetId="21">[13]r!$F$29</definedName>
    <definedName name="______________l2" localSheetId="9">[13]r!$F$29</definedName>
    <definedName name="______________l2" localSheetId="4">[13]r!$F$29</definedName>
    <definedName name="______________l2" localSheetId="8">[13]r!$F$29</definedName>
    <definedName name="______________l2">#REF!</definedName>
    <definedName name="______________l3" localSheetId="21">#REF!</definedName>
    <definedName name="______________l3" localSheetId="9">#REF!</definedName>
    <definedName name="______________l3" localSheetId="4">#REF!</definedName>
    <definedName name="______________l3" localSheetId="10">#REF!</definedName>
    <definedName name="______________l3" localSheetId="8">#REF!</definedName>
    <definedName name="______________l3">#REF!</definedName>
    <definedName name="______________l4" localSheetId="21">[30]Sheet1!$W$2:$Y$103</definedName>
    <definedName name="______________l4" localSheetId="9">[30]Sheet1!$W$2:$Y$103</definedName>
    <definedName name="______________l4" localSheetId="4">[30]Sheet1!$W$2:$Y$103</definedName>
    <definedName name="______________l4" localSheetId="10">#REF!</definedName>
    <definedName name="______________l4" localSheetId="8">[30]Sheet1!$W$2:$Y$103</definedName>
    <definedName name="______________l4">#REF!</definedName>
    <definedName name="______________l5" localSheetId="21">#REF!</definedName>
    <definedName name="______________l5" localSheetId="9">#REF!</definedName>
    <definedName name="______________l5" localSheetId="4">#REF!</definedName>
    <definedName name="______________l5" localSheetId="10">#REF!</definedName>
    <definedName name="______________l5" localSheetId="8">#REF!</definedName>
    <definedName name="______________l5">#REF!</definedName>
    <definedName name="______________l6" localSheetId="21">[13]r!$F$4</definedName>
    <definedName name="______________l6" localSheetId="9">[13]r!$F$4</definedName>
    <definedName name="______________l6" localSheetId="4">[13]r!$F$4</definedName>
    <definedName name="______________l6" localSheetId="8">[13]r!$F$4</definedName>
    <definedName name="______________l6">#REF!</definedName>
    <definedName name="______________l7" localSheetId="21">[14]r!$F$4</definedName>
    <definedName name="______________l7" localSheetId="9">[14]r!$F$4</definedName>
    <definedName name="______________l7" localSheetId="4">[14]r!$F$4</definedName>
    <definedName name="______________l7" localSheetId="8">[14]r!$F$4</definedName>
    <definedName name="______________l7">#REF!</definedName>
    <definedName name="______________l8" localSheetId="21">[13]r!$F$2</definedName>
    <definedName name="______________l8" localSheetId="9">[13]r!$F$2</definedName>
    <definedName name="______________l8" localSheetId="4">[13]r!$F$2</definedName>
    <definedName name="______________l8" localSheetId="8">[13]r!$F$2</definedName>
    <definedName name="______________l8">#REF!</definedName>
    <definedName name="______________l9" localSheetId="21">[13]r!$F$3</definedName>
    <definedName name="______________l9" localSheetId="9">[13]r!$F$3</definedName>
    <definedName name="______________l9" localSheetId="4">[13]r!$F$3</definedName>
    <definedName name="______________l9" localSheetId="8">[13]r!$F$3</definedName>
    <definedName name="______________l9">#REF!</definedName>
    <definedName name="______________LI9">#REF!</definedName>
    <definedName name="______________LII9">#REF!</definedName>
    <definedName name="______________MIX124">#REF!</definedName>
    <definedName name="______________ML11">#REF!</definedName>
    <definedName name="______________ML110">#REF!</definedName>
    <definedName name="______________ML111">#REF!</definedName>
    <definedName name="______________ML112">#REF!</definedName>
    <definedName name="______________ML113">#REF!</definedName>
    <definedName name="______________ML114">#REF!</definedName>
    <definedName name="______________ML115">#REF!</definedName>
    <definedName name="______________ML12">#REF!</definedName>
    <definedName name="______________ML13">#REF!</definedName>
    <definedName name="______________ML14">#REF!</definedName>
    <definedName name="______________ML15">#REF!</definedName>
    <definedName name="______________ML16">#REF!</definedName>
    <definedName name="______________ML17">#REF!</definedName>
    <definedName name="______________ML18">#REF!</definedName>
    <definedName name="______________ML19">#REF!</definedName>
    <definedName name="______________ML21">#REF!</definedName>
    <definedName name="______________ML210">#REF!</definedName>
    <definedName name="______________ML211">#REF!</definedName>
    <definedName name="______________ML212">#REF!</definedName>
    <definedName name="______________ML213">#REF!</definedName>
    <definedName name="______________ML214">#REF!</definedName>
    <definedName name="______________ML215">#REF!</definedName>
    <definedName name="______________ML22">#REF!</definedName>
    <definedName name="______________ML23">#REF!</definedName>
    <definedName name="______________ML24">#REF!</definedName>
    <definedName name="______________ML25">#REF!</definedName>
    <definedName name="______________ML26">#REF!</definedName>
    <definedName name="______________ML27">#REF!</definedName>
    <definedName name="______________ML28">#REF!</definedName>
    <definedName name="______________ML29">#REF!</definedName>
    <definedName name="______________ML31">#REF!</definedName>
    <definedName name="______________ML310">#REF!</definedName>
    <definedName name="______________ML311">#REF!</definedName>
    <definedName name="______________ML312">#REF!</definedName>
    <definedName name="______________ML313">#REF!</definedName>
    <definedName name="______________ML314">#REF!</definedName>
    <definedName name="______________ML315">#REF!</definedName>
    <definedName name="______________ML32">#REF!</definedName>
    <definedName name="______________ML33">#REF!</definedName>
    <definedName name="______________ML34">#REF!</definedName>
    <definedName name="______________ML35">#REF!</definedName>
    <definedName name="______________ML36">#REF!</definedName>
    <definedName name="______________ML37">#REF!</definedName>
    <definedName name="______________ML38">#REF!</definedName>
    <definedName name="______________ML39">#REF!</definedName>
    <definedName name="______________ML7">#REF!</definedName>
    <definedName name="______________ML8">#REF!</definedName>
    <definedName name="______________ML9">#REF!</definedName>
    <definedName name="______________mm1" localSheetId="21">[31]r!$F$4</definedName>
    <definedName name="______________mm1" localSheetId="9">[31]r!$F$4</definedName>
    <definedName name="______________mm1" localSheetId="4">[31]r!$F$4</definedName>
    <definedName name="______________mm1" localSheetId="10">#REF!</definedName>
    <definedName name="______________mm1" localSheetId="8">[31]r!$F$4</definedName>
    <definedName name="______________mm1">#REF!</definedName>
    <definedName name="______________mm11" localSheetId="21">[13]r!$F$4</definedName>
    <definedName name="______________mm11" localSheetId="9">[13]r!$F$4</definedName>
    <definedName name="______________mm11" localSheetId="4">[13]r!$F$4</definedName>
    <definedName name="______________mm11" localSheetId="8">[13]r!$F$4</definedName>
    <definedName name="______________mm11">#REF!</definedName>
    <definedName name="______________mm111" localSheetId="21">[14]r!$F$4</definedName>
    <definedName name="______________mm111" localSheetId="9">[14]r!$F$4</definedName>
    <definedName name="______________mm111" localSheetId="4">[14]r!$F$4</definedName>
    <definedName name="______________mm111" localSheetId="8">[14]r!$F$4</definedName>
    <definedName name="______________mm111">#REF!</definedName>
    <definedName name="______________pc2" localSheetId="21">#REF!</definedName>
    <definedName name="______________pc2" localSheetId="9">#REF!</definedName>
    <definedName name="______________pc2" localSheetId="4">#REF!</definedName>
    <definedName name="______________pc2" localSheetId="10">#REF!</definedName>
    <definedName name="______________pc2" localSheetId="8">#REF!</definedName>
    <definedName name="______________pc2">#REF!</definedName>
    <definedName name="______________PMS2">#REF!</definedName>
    <definedName name="______________pv2" localSheetId="21">#REF!</definedName>
    <definedName name="______________pv2" localSheetId="9">#REF!</definedName>
    <definedName name="______________pv2" localSheetId="4">#REF!</definedName>
    <definedName name="______________pv2" localSheetId="10">#REF!</definedName>
    <definedName name="______________pv2" localSheetId="8">#REF!</definedName>
    <definedName name="______________pv2">#REF!</definedName>
    <definedName name="______________rr3" localSheetId="21">[32]v!$A$2:$E$51</definedName>
    <definedName name="______________rr3" localSheetId="9">[32]v!$A$2:$E$51</definedName>
    <definedName name="______________rr3" localSheetId="4">[32]v!$A$2:$E$51</definedName>
    <definedName name="______________rr3" localSheetId="10">#REF!</definedName>
    <definedName name="______________rr3" localSheetId="8">[32]v!$A$2:$E$51</definedName>
    <definedName name="______________rr3">#REF!</definedName>
    <definedName name="______________rrr1" localSheetId="21">[32]r!$B$1:$I$145</definedName>
    <definedName name="______________rrr1" localSheetId="9">[32]r!$B$1:$I$145</definedName>
    <definedName name="______________rrr1" localSheetId="4">[32]r!$B$1:$I$145</definedName>
    <definedName name="______________rrr1" localSheetId="10">#REF!</definedName>
    <definedName name="______________rrr1" localSheetId="8">[32]r!$B$1:$I$145</definedName>
    <definedName name="______________rrr1">#REF!</definedName>
    <definedName name="______________ss12" localSheetId="21">[33]rdamdata!$J$8</definedName>
    <definedName name="______________ss12" localSheetId="9">[33]rdamdata!$J$8</definedName>
    <definedName name="______________ss12" localSheetId="4">[33]rdamdata!$J$8</definedName>
    <definedName name="______________ss12" localSheetId="10">#REF!</definedName>
    <definedName name="______________ss12" localSheetId="8">[33]rdamdata!$J$8</definedName>
    <definedName name="______________ss12">#REF!</definedName>
    <definedName name="______________ss20" localSheetId="21">[33]rdamdata!$J$7</definedName>
    <definedName name="______________ss20" localSheetId="9">[33]rdamdata!$J$7</definedName>
    <definedName name="______________ss20" localSheetId="4">[33]rdamdata!$J$7</definedName>
    <definedName name="______________ss20" localSheetId="10">#REF!</definedName>
    <definedName name="______________ss20" localSheetId="8">[33]rdamdata!$J$7</definedName>
    <definedName name="______________ss20">#REF!</definedName>
    <definedName name="______________ss40" localSheetId="21">[33]rdamdata!$J$6</definedName>
    <definedName name="______________ss40" localSheetId="9">[33]rdamdata!$J$6</definedName>
    <definedName name="______________ss40" localSheetId="4">[33]rdamdata!$J$6</definedName>
    <definedName name="______________ss40" localSheetId="10">#REF!</definedName>
    <definedName name="______________ss40" localSheetId="8">[33]rdamdata!$J$6</definedName>
    <definedName name="______________ss40">#REF!</definedName>
    <definedName name="______________var1" localSheetId="21">#REF!</definedName>
    <definedName name="______________var1" localSheetId="9">#REF!</definedName>
    <definedName name="______________var1" localSheetId="4">#REF!</definedName>
    <definedName name="______________var1" localSheetId="10">#REF!</definedName>
    <definedName name="______________var1" localSheetId="8">#REF!</definedName>
    <definedName name="______________var1">#REF!</definedName>
    <definedName name="______________var4" localSheetId="21">#REF!</definedName>
    <definedName name="______________var4" localSheetId="9">#REF!</definedName>
    <definedName name="______________var4" localSheetId="4">#REF!</definedName>
    <definedName name="______________var4" localSheetId="10">#REF!</definedName>
    <definedName name="______________var4" localSheetId="8">#REF!</definedName>
    <definedName name="______________var4">#REF!</definedName>
    <definedName name="______________xh2256">[40]HDPE!$L$30</definedName>
    <definedName name="______________xh2506">[40]HDPE!$M$30</definedName>
    <definedName name="______________xh2806">[40]HDPE!$N$30</definedName>
    <definedName name="______________xh3156">[40]HDPE!$O$30</definedName>
    <definedName name="______________xh634">[40]HDPE!$C$16</definedName>
    <definedName name="______________xk7100">[40]DI!$C$37</definedName>
    <definedName name="______________xk7150">[40]DI!$D$37</definedName>
    <definedName name="______________xk7250">[40]DI!$F$37</definedName>
    <definedName name="______________xk7300">[40]DI!$G$37</definedName>
    <definedName name="______________xp11010">[40]pvc!$F$61</definedName>
    <definedName name="______________xp1104">[40]pvc!$F$31</definedName>
    <definedName name="______________xp1106">[40]pvc!$F$46</definedName>
    <definedName name="______________xp1254">[40]pvc!$G$31</definedName>
    <definedName name="______________xp1256">[40]pvc!$G$46</definedName>
    <definedName name="______________xp14010">[40]pvc!$H$61</definedName>
    <definedName name="______________xp1404">[40]pvc!$H$31</definedName>
    <definedName name="______________xp1406">[40]pvc!$H$46</definedName>
    <definedName name="______________xp1604">[40]pvc!$I$31</definedName>
    <definedName name="______________xp1606">[40]pvc!$I$46</definedName>
    <definedName name="______________xp1804">[40]pvc!$J$31</definedName>
    <definedName name="______________xp1806">[40]pvc!$J$46</definedName>
    <definedName name="______________xp2006">[40]pvc!$K$46</definedName>
    <definedName name="______________xp6310">[40]pvc!$C$61</definedName>
    <definedName name="______________xp636">[40]pvc!$C$46</definedName>
    <definedName name="______________xp7510">[40]pvc!$D$61</definedName>
    <definedName name="______________xp754">[40]pvc!$D$31</definedName>
    <definedName name="______________xp756">[40]pvc!$D$46</definedName>
    <definedName name="______________xp9010">[40]pvc!$E$61</definedName>
    <definedName name="______________xp904">[40]pvc!$E$31</definedName>
    <definedName name="______________xp906">[40]pvc!$E$46</definedName>
    <definedName name="_____________bla1" localSheetId="21">[28]leads!$H$7</definedName>
    <definedName name="_____________bla1" localSheetId="9">[28]leads!$H$7</definedName>
    <definedName name="_____________bla1" localSheetId="4">[28]leads!$H$7</definedName>
    <definedName name="_____________bla1" localSheetId="10">#REF!</definedName>
    <definedName name="_____________bla1" localSheetId="8">[28]leads!$H$7</definedName>
    <definedName name="_____________bla1">#REF!</definedName>
    <definedName name="_____________BSG100">#REF!</definedName>
    <definedName name="_____________BSG150">#REF!</definedName>
    <definedName name="_____________BSG5">#REF!</definedName>
    <definedName name="_____________BSG75">#REF!</definedName>
    <definedName name="_____________BTC1">#REF!</definedName>
    <definedName name="_____________BTC10">#REF!</definedName>
    <definedName name="_____________BTC11">#REF!</definedName>
    <definedName name="_____________BTC12">#REF!</definedName>
    <definedName name="_____________BTC13">#REF!</definedName>
    <definedName name="_____________BTC14">#REF!</definedName>
    <definedName name="_____________BTC15">#REF!</definedName>
    <definedName name="_____________BTC2">#REF!</definedName>
    <definedName name="_____________BTC3">#REF!</definedName>
    <definedName name="_____________BTC4">#REF!</definedName>
    <definedName name="_____________BTC5">#REF!</definedName>
    <definedName name="_____________BTC6">#REF!</definedName>
    <definedName name="_____________BTC7">#REF!</definedName>
    <definedName name="_____________BTC8">#REF!</definedName>
    <definedName name="_____________BTC9">#REF!</definedName>
    <definedName name="_____________BTS1">#REF!</definedName>
    <definedName name="_____________BTS10">#REF!</definedName>
    <definedName name="_____________BTS11">#REF!</definedName>
    <definedName name="_____________BTS12">#REF!</definedName>
    <definedName name="_____________BTS13">#REF!</definedName>
    <definedName name="_____________BTS14">#REF!</definedName>
    <definedName name="_____________BTS15">#REF!</definedName>
    <definedName name="_____________BTS2">#REF!</definedName>
    <definedName name="_____________BTS3">#REF!</definedName>
    <definedName name="_____________BTS4">#REF!</definedName>
    <definedName name="_____________BTS5">#REF!</definedName>
    <definedName name="_____________BTS6">#REF!</definedName>
    <definedName name="_____________BTS7">#REF!</definedName>
    <definedName name="_____________BTS8">#REF!</definedName>
    <definedName name="_____________BTS9">#REF!</definedName>
    <definedName name="_____________can430">40.73</definedName>
    <definedName name="_____________can435">43.3</definedName>
    <definedName name="_____________cbr1">#REF!</definedName>
    <definedName name="_____________cbr2">#REF!</definedName>
    <definedName name="_____________cbr3">#REF!</definedName>
    <definedName name="_____________cbr4">#REF!</definedName>
    <definedName name="_____________cur1" localSheetId="21">[13]r!$F$30</definedName>
    <definedName name="_____________cur1" localSheetId="9">[13]r!$F$30</definedName>
    <definedName name="_____________cur1" localSheetId="4">[13]r!$F$30</definedName>
    <definedName name="_____________cur1" localSheetId="8">[13]r!$F$30</definedName>
    <definedName name="_____________cur1">#REF!</definedName>
    <definedName name="_____________ewe1">#REF!</definedName>
    <definedName name="_____________f1">#REF!</definedName>
    <definedName name="_____________GBS11">#REF!</definedName>
    <definedName name="_____________GBS110">#REF!</definedName>
    <definedName name="_____________GBS111">#REF!</definedName>
    <definedName name="_____________GBS112">#REF!</definedName>
    <definedName name="_____________GBS113">#REF!</definedName>
    <definedName name="_____________GBS114">#REF!</definedName>
    <definedName name="_____________GBS115">#REF!</definedName>
    <definedName name="_____________GBS12">#REF!</definedName>
    <definedName name="_____________GBS13">#REF!</definedName>
    <definedName name="_____________GBS14">#REF!</definedName>
    <definedName name="_____________GBS15">#REF!</definedName>
    <definedName name="_____________GBS16">#REF!</definedName>
    <definedName name="_____________GBS17">#REF!</definedName>
    <definedName name="_____________GBS18">#REF!</definedName>
    <definedName name="_____________GBS19">#REF!</definedName>
    <definedName name="_____________GBS21">#REF!</definedName>
    <definedName name="_____________GBS210">#REF!</definedName>
    <definedName name="_____________GBS211">#REF!</definedName>
    <definedName name="_____________GBS212">#REF!</definedName>
    <definedName name="_____________GBS213">#REF!</definedName>
    <definedName name="_____________GBS214">#REF!</definedName>
    <definedName name="_____________GBS215">#REF!</definedName>
    <definedName name="_____________GBS22">#REF!</definedName>
    <definedName name="_____________GBS23">#REF!</definedName>
    <definedName name="_____________GBS24">#REF!</definedName>
    <definedName name="_____________GBS25">#REF!</definedName>
    <definedName name="_____________GBS26">#REF!</definedName>
    <definedName name="_____________GBS27">#REF!</definedName>
    <definedName name="_____________GBS28">#REF!</definedName>
    <definedName name="_____________GBS29">#REF!</definedName>
    <definedName name="_____________knr2">#REF!</definedName>
    <definedName name="_____________l1" localSheetId="21">[29]leads!$A$3:$E$108</definedName>
    <definedName name="_____________l1" localSheetId="9">[29]leads!$A$3:$E$108</definedName>
    <definedName name="_____________l1" localSheetId="4">[29]leads!$A$3:$E$108</definedName>
    <definedName name="_____________l1" localSheetId="10">#REF!</definedName>
    <definedName name="_____________l1" localSheetId="8">[29]leads!$A$3:$E$108</definedName>
    <definedName name="_____________l1">#REF!</definedName>
    <definedName name="_____________l12" localSheetId="21">#REF!</definedName>
    <definedName name="_____________l12" localSheetId="9">#REF!</definedName>
    <definedName name="_____________l12" localSheetId="4">#REF!</definedName>
    <definedName name="_____________l12" localSheetId="10">#REF!</definedName>
    <definedName name="_____________l12" localSheetId="8">#REF!</definedName>
    <definedName name="_____________l12">#REF!</definedName>
    <definedName name="_____________l2" localSheetId="21">[13]r!$F$29</definedName>
    <definedName name="_____________l2" localSheetId="9">[13]r!$F$29</definedName>
    <definedName name="_____________l2" localSheetId="4">[13]r!$F$29</definedName>
    <definedName name="_____________l2" localSheetId="8">[13]r!$F$29</definedName>
    <definedName name="_____________l2">#REF!</definedName>
    <definedName name="_____________l3" localSheetId="21">#REF!</definedName>
    <definedName name="_____________l3" localSheetId="9">#REF!</definedName>
    <definedName name="_____________l3" localSheetId="4">#REF!</definedName>
    <definedName name="_____________l3" localSheetId="10">#REF!</definedName>
    <definedName name="_____________l3" localSheetId="8">#REF!</definedName>
    <definedName name="_____________l3">#REF!</definedName>
    <definedName name="_____________l4" localSheetId="21">[30]Sheet1!$W$2:$Y$103</definedName>
    <definedName name="_____________l4" localSheetId="9">[30]Sheet1!$W$2:$Y$103</definedName>
    <definedName name="_____________l4" localSheetId="4">[30]Sheet1!$W$2:$Y$103</definedName>
    <definedName name="_____________l4" localSheetId="10">#REF!</definedName>
    <definedName name="_____________l4" localSheetId="8">[30]Sheet1!$W$2:$Y$103</definedName>
    <definedName name="_____________l4">#REF!</definedName>
    <definedName name="_____________l5" localSheetId="21">#REF!</definedName>
    <definedName name="_____________l5" localSheetId="9">#REF!</definedName>
    <definedName name="_____________l5" localSheetId="4">#REF!</definedName>
    <definedName name="_____________l5" localSheetId="10">#REF!</definedName>
    <definedName name="_____________l5" localSheetId="8">#REF!</definedName>
    <definedName name="_____________l5">#REF!</definedName>
    <definedName name="_____________l6" localSheetId="21">[13]r!$F$4</definedName>
    <definedName name="_____________l6" localSheetId="9">[13]r!$F$4</definedName>
    <definedName name="_____________l6" localSheetId="4">[13]r!$F$4</definedName>
    <definedName name="_____________l6" localSheetId="8">[13]r!$F$4</definedName>
    <definedName name="_____________l6">#REF!</definedName>
    <definedName name="_____________l7" localSheetId="21">[14]r!$F$4</definedName>
    <definedName name="_____________l7" localSheetId="9">[14]r!$F$4</definedName>
    <definedName name="_____________l7" localSheetId="4">[14]r!$F$4</definedName>
    <definedName name="_____________l7" localSheetId="8">[14]r!$F$4</definedName>
    <definedName name="_____________l7">#REF!</definedName>
    <definedName name="_____________l8" localSheetId="21">[13]r!$F$2</definedName>
    <definedName name="_____________l8" localSheetId="9">[13]r!$F$2</definedName>
    <definedName name="_____________l8" localSheetId="4">[13]r!$F$2</definedName>
    <definedName name="_____________l8" localSheetId="8">[13]r!$F$2</definedName>
    <definedName name="_____________l8">#REF!</definedName>
    <definedName name="_____________l9" localSheetId="21">[13]r!$F$3</definedName>
    <definedName name="_____________l9" localSheetId="9">[13]r!$F$3</definedName>
    <definedName name="_____________l9" localSheetId="4">[13]r!$F$3</definedName>
    <definedName name="_____________l9" localSheetId="8">[13]r!$F$3</definedName>
    <definedName name="_____________l9">#REF!</definedName>
    <definedName name="_____________LI9">#REF!</definedName>
    <definedName name="_____________LII9">#REF!</definedName>
    <definedName name="_____________man1">[41]m!$B$149</definedName>
    <definedName name="_____________MIX124">#REF!</definedName>
    <definedName name="_____________ML11">#REF!</definedName>
    <definedName name="_____________ML110">#REF!</definedName>
    <definedName name="_____________ML111">#REF!</definedName>
    <definedName name="_____________ML112">#REF!</definedName>
    <definedName name="_____________ML113">#REF!</definedName>
    <definedName name="_____________ML114">#REF!</definedName>
    <definedName name="_____________ML115">#REF!</definedName>
    <definedName name="_____________ML12">#REF!</definedName>
    <definedName name="_____________ML13">#REF!</definedName>
    <definedName name="_____________ML14">#REF!</definedName>
    <definedName name="_____________ML15">#REF!</definedName>
    <definedName name="_____________ML16">#REF!</definedName>
    <definedName name="_____________ML17">#REF!</definedName>
    <definedName name="_____________ML18">#REF!</definedName>
    <definedName name="_____________ML19">#REF!</definedName>
    <definedName name="_____________ML21">#REF!</definedName>
    <definedName name="_____________ML210">#REF!</definedName>
    <definedName name="_____________ML211">#REF!</definedName>
    <definedName name="_____________ML212">#REF!</definedName>
    <definedName name="_____________ML213">#REF!</definedName>
    <definedName name="_____________ML214">#REF!</definedName>
    <definedName name="_____________ML215">#REF!</definedName>
    <definedName name="_____________ML22">#REF!</definedName>
    <definedName name="_____________ML23">#REF!</definedName>
    <definedName name="_____________ML24">#REF!</definedName>
    <definedName name="_____________ML25">#REF!</definedName>
    <definedName name="_____________ML26">#REF!</definedName>
    <definedName name="_____________ML27">#REF!</definedName>
    <definedName name="_____________ML28">#REF!</definedName>
    <definedName name="_____________ML29">#REF!</definedName>
    <definedName name="_____________ML31">#REF!</definedName>
    <definedName name="_____________ML310">#REF!</definedName>
    <definedName name="_____________ML311">#REF!</definedName>
    <definedName name="_____________ML312">#REF!</definedName>
    <definedName name="_____________ML313">#REF!</definedName>
    <definedName name="_____________ML314">#REF!</definedName>
    <definedName name="_____________ML315">#REF!</definedName>
    <definedName name="_____________ML32">#REF!</definedName>
    <definedName name="_____________ML33">#REF!</definedName>
    <definedName name="_____________ML34">#REF!</definedName>
    <definedName name="_____________ML35">#REF!</definedName>
    <definedName name="_____________ML36">#REF!</definedName>
    <definedName name="_____________ML37">#REF!</definedName>
    <definedName name="_____________ML38">#REF!</definedName>
    <definedName name="_____________ML39">#REF!</definedName>
    <definedName name="_____________ML7">#REF!</definedName>
    <definedName name="_____________ML8">#REF!</definedName>
    <definedName name="_____________ML9">#REF!</definedName>
    <definedName name="_____________mm1" localSheetId="21">[31]r!$F$4</definedName>
    <definedName name="_____________mm1" localSheetId="9">[31]r!$F$4</definedName>
    <definedName name="_____________mm1" localSheetId="4">[31]r!$F$4</definedName>
    <definedName name="_____________mm1" localSheetId="10">#REF!</definedName>
    <definedName name="_____________mm1" localSheetId="8">[31]r!$F$4</definedName>
    <definedName name="_____________mm1">#REF!</definedName>
    <definedName name="_____________mm11" localSheetId="21">[13]r!$F$4</definedName>
    <definedName name="_____________mm11" localSheetId="9">[13]r!$F$4</definedName>
    <definedName name="_____________mm11" localSheetId="4">[13]r!$F$4</definedName>
    <definedName name="_____________mm11" localSheetId="8">[13]r!$F$4</definedName>
    <definedName name="_____________mm11">#REF!</definedName>
    <definedName name="_____________mm111" localSheetId="21">[14]r!$F$4</definedName>
    <definedName name="_____________mm111" localSheetId="9">[14]r!$F$4</definedName>
    <definedName name="_____________mm111" localSheetId="4">[14]r!$F$4</definedName>
    <definedName name="_____________mm111" localSheetId="8">[14]r!$F$4</definedName>
    <definedName name="_____________mm111">#REF!</definedName>
    <definedName name="_____________pc2" localSheetId="21">#REF!</definedName>
    <definedName name="_____________pc2" localSheetId="9">#REF!</definedName>
    <definedName name="_____________pc2" localSheetId="4">#REF!</definedName>
    <definedName name="_____________pc2" localSheetId="10">#REF!</definedName>
    <definedName name="_____________pc2" localSheetId="8">#REF!</definedName>
    <definedName name="_____________pc2">#REF!</definedName>
    <definedName name="_____________PMS2">#REF!</definedName>
    <definedName name="_____________pv2" localSheetId="21">#REF!</definedName>
    <definedName name="_____________pv2" localSheetId="9">#REF!</definedName>
    <definedName name="_____________pv2" localSheetId="4">#REF!</definedName>
    <definedName name="_____________pv2" localSheetId="10">#REF!</definedName>
    <definedName name="_____________pv2" localSheetId="8">#REF!</definedName>
    <definedName name="_____________pv2">#REF!</definedName>
    <definedName name="_____________rr3" localSheetId="21">[32]v!$A$2:$E$51</definedName>
    <definedName name="_____________rr3" localSheetId="9">[32]v!$A$2:$E$51</definedName>
    <definedName name="_____________rr3" localSheetId="4">[32]v!$A$2:$E$51</definedName>
    <definedName name="_____________rr3" localSheetId="10">#REF!</definedName>
    <definedName name="_____________rr3" localSheetId="8">[32]v!$A$2:$E$51</definedName>
    <definedName name="_____________rr3">#REF!</definedName>
    <definedName name="_____________rrr1" localSheetId="21">[32]r!$B$1:$I$145</definedName>
    <definedName name="_____________rrr1" localSheetId="9">[32]r!$B$1:$I$145</definedName>
    <definedName name="_____________rrr1" localSheetId="4">[32]r!$B$1:$I$145</definedName>
    <definedName name="_____________rrr1" localSheetId="10">#REF!</definedName>
    <definedName name="_____________rrr1" localSheetId="8">[32]r!$B$1:$I$145</definedName>
    <definedName name="_____________rrr1">#REF!</definedName>
    <definedName name="_____________sd1">[41]m!$D$149</definedName>
    <definedName name="_____________ss12" localSheetId="21">[33]rdamdata!$J$8</definedName>
    <definedName name="_____________ss12" localSheetId="9">[33]rdamdata!$J$8</definedName>
    <definedName name="_____________ss12" localSheetId="4">[33]rdamdata!$J$8</definedName>
    <definedName name="_____________ss12" localSheetId="10">#REF!</definedName>
    <definedName name="_____________ss12" localSheetId="8">[33]rdamdata!$J$8</definedName>
    <definedName name="_____________ss12">#REF!</definedName>
    <definedName name="_____________ss20" localSheetId="21">[33]rdamdata!$J$7</definedName>
    <definedName name="_____________ss20" localSheetId="9">[33]rdamdata!$J$7</definedName>
    <definedName name="_____________ss20" localSheetId="4">[33]rdamdata!$J$7</definedName>
    <definedName name="_____________ss20" localSheetId="10">#REF!</definedName>
    <definedName name="_____________ss20" localSheetId="8">[33]rdamdata!$J$7</definedName>
    <definedName name="_____________ss20">#REF!</definedName>
    <definedName name="_____________ss40" localSheetId="21">[33]rdamdata!$J$6</definedName>
    <definedName name="_____________ss40" localSheetId="9">[33]rdamdata!$J$6</definedName>
    <definedName name="_____________ss40" localSheetId="4">[33]rdamdata!$J$6</definedName>
    <definedName name="_____________ss40" localSheetId="10">#REF!</definedName>
    <definedName name="_____________ss40" localSheetId="8">[33]rdamdata!$J$6</definedName>
    <definedName name="_____________ss40">#REF!</definedName>
    <definedName name="_____________var1" localSheetId="21">#REF!</definedName>
    <definedName name="_____________var1" localSheetId="9">#REF!</definedName>
    <definedName name="_____________var1" localSheetId="4">#REF!</definedName>
    <definedName name="_____________var1" localSheetId="10">#REF!</definedName>
    <definedName name="_____________var1" localSheetId="8">#REF!</definedName>
    <definedName name="_____________var1">#REF!</definedName>
    <definedName name="_____________var4" localSheetId="21">#REF!</definedName>
    <definedName name="_____________var4" localSheetId="9">#REF!</definedName>
    <definedName name="_____________var4" localSheetId="4">#REF!</definedName>
    <definedName name="_____________var4" localSheetId="10">#REF!</definedName>
    <definedName name="_____________var4" localSheetId="8">#REF!</definedName>
    <definedName name="_____________var4">#REF!</definedName>
    <definedName name="_____________vat1">#REF!</definedName>
    <definedName name="_____________vat2">#REF!</definedName>
    <definedName name="_____________xh2256">[40]HDPE!$L$30</definedName>
    <definedName name="_____________xh2506">[40]HDPE!$M$30</definedName>
    <definedName name="_____________xh2806">[40]HDPE!$N$30</definedName>
    <definedName name="_____________xh3156">[40]HDPE!$O$30</definedName>
    <definedName name="_____________xh634">[40]HDPE!$C$16</definedName>
    <definedName name="_____________xk7100">[40]DI!$C$37</definedName>
    <definedName name="_____________xk7150">[40]DI!$D$37</definedName>
    <definedName name="_____________xk7250">[40]DI!$F$37</definedName>
    <definedName name="_____________xk7300">[40]DI!$G$37</definedName>
    <definedName name="_____________xp11010">[40]pvc!$F$61</definedName>
    <definedName name="_____________xp1104">[40]pvc!$F$31</definedName>
    <definedName name="_____________xp1106">[40]pvc!$F$46</definedName>
    <definedName name="_____________xp1254">[40]pvc!$G$31</definedName>
    <definedName name="_____________xp1256">[40]pvc!$G$46</definedName>
    <definedName name="_____________xp14010">[40]pvc!$H$61</definedName>
    <definedName name="_____________xp1404">[40]pvc!$H$31</definedName>
    <definedName name="_____________xp1406">[40]pvc!$H$46</definedName>
    <definedName name="_____________xp1604">[40]pvc!$I$31</definedName>
    <definedName name="_____________xp1606">[40]pvc!$I$46</definedName>
    <definedName name="_____________xp1804">[40]pvc!$J$31</definedName>
    <definedName name="_____________xp1806">[40]pvc!$J$46</definedName>
    <definedName name="_____________xp2006">[40]pvc!$K$46</definedName>
    <definedName name="_____________xp6310">[40]pvc!$C$61</definedName>
    <definedName name="_____________xp636">[40]pvc!$C$46</definedName>
    <definedName name="_____________xp7510">[40]pvc!$D$61</definedName>
    <definedName name="_____________xp754">[40]pvc!$D$31</definedName>
    <definedName name="_____________xp756">[40]pvc!$D$46</definedName>
    <definedName name="_____________xp9010">[40]pvc!$E$61</definedName>
    <definedName name="_____________xp904">[40]pvc!$E$31</definedName>
    <definedName name="_____________xp906">[40]pvc!$E$46</definedName>
    <definedName name="____________bla1" localSheetId="21">[28]leads!$H$7</definedName>
    <definedName name="____________bla1" localSheetId="9">[28]leads!$H$7</definedName>
    <definedName name="____________bla1" localSheetId="4">[28]leads!$H$7</definedName>
    <definedName name="____________bla1" localSheetId="10">#REF!</definedName>
    <definedName name="____________bla1" localSheetId="8">[28]leads!$H$7</definedName>
    <definedName name="____________bla1">#REF!</definedName>
    <definedName name="____________BSG100">#REF!</definedName>
    <definedName name="____________BSG150">#REF!</definedName>
    <definedName name="____________BSG5">#REF!</definedName>
    <definedName name="____________BSG75">#REF!</definedName>
    <definedName name="____________BTC1">#REF!</definedName>
    <definedName name="____________BTC10">#REF!</definedName>
    <definedName name="____________BTC11">#REF!</definedName>
    <definedName name="____________BTC12">#REF!</definedName>
    <definedName name="____________BTC13">#REF!</definedName>
    <definedName name="____________BTC14">#REF!</definedName>
    <definedName name="____________BTC15">#REF!</definedName>
    <definedName name="____________BTC2">#REF!</definedName>
    <definedName name="____________BTC3">#REF!</definedName>
    <definedName name="____________BTC4">#REF!</definedName>
    <definedName name="____________BTC5">#REF!</definedName>
    <definedName name="____________BTC6">#REF!</definedName>
    <definedName name="____________BTC7">#REF!</definedName>
    <definedName name="____________BTC8">#REF!</definedName>
    <definedName name="____________BTC9">#REF!</definedName>
    <definedName name="____________BTS1">#REF!</definedName>
    <definedName name="____________BTS10">#REF!</definedName>
    <definedName name="____________BTS11">#REF!</definedName>
    <definedName name="____________BTS12">#REF!</definedName>
    <definedName name="____________BTS13">#REF!</definedName>
    <definedName name="____________BTS14">#REF!</definedName>
    <definedName name="____________BTS15">#REF!</definedName>
    <definedName name="____________BTS2">#REF!</definedName>
    <definedName name="____________BTS3">#REF!</definedName>
    <definedName name="____________BTS4">#REF!</definedName>
    <definedName name="____________BTS5">#REF!</definedName>
    <definedName name="____________BTS6">#REF!</definedName>
    <definedName name="____________BTS7">#REF!</definedName>
    <definedName name="____________BTS8">#REF!</definedName>
    <definedName name="____________BTS9">#REF!</definedName>
    <definedName name="____________can430">40.73</definedName>
    <definedName name="____________can435">43.3</definedName>
    <definedName name="____________cbr1">#REF!</definedName>
    <definedName name="____________cbr2">#REF!</definedName>
    <definedName name="____________cbr3">#REF!</definedName>
    <definedName name="____________cbr4">#REF!</definedName>
    <definedName name="____________cur1" localSheetId="21">[13]r!$F$30</definedName>
    <definedName name="____________cur1" localSheetId="9">[13]r!$F$30</definedName>
    <definedName name="____________cur1" localSheetId="4">[13]r!$F$30</definedName>
    <definedName name="____________cur1" localSheetId="8">[13]r!$F$30</definedName>
    <definedName name="____________cur1">#REF!</definedName>
    <definedName name="____________ewe1">#REF!</definedName>
    <definedName name="____________f1">#REF!</definedName>
    <definedName name="____________GBS11">#REF!</definedName>
    <definedName name="____________GBS110">#REF!</definedName>
    <definedName name="____________GBS111">#REF!</definedName>
    <definedName name="____________GBS112">#REF!</definedName>
    <definedName name="____________GBS113">#REF!</definedName>
    <definedName name="____________GBS114">#REF!</definedName>
    <definedName name="____________GBS115">#REF!</definedName>
    <definedName name="____________GBS12">#REF!</definedName>
    <definedName name="____________GBS13">#REF!</definedName>
    <definedName name="____________GBS14">#REF!</definedName>
    <definedName name="____________GBS15">#REF!</definedName>
    <definedName name="____________GBS16">#REF!</definedName>
    <definedName name="____________GBS17">#REF!</definedName>
    <definedName name="____________GBS18">#REF!</definedName>
    <definedName name="____________GBS19">#REF!</definedName>
    <definedName name="____________GBS21">#REF!</definedName>
    <definedName name="____________GBS210">#REF!</definedName>
    <definedName name="____________GBS211">#REF!</definedName>
    <definedName name="____________GBS212">#REF!</definedName>
    <definedName name="____________GBS213">#REF!</definedName>
    <definedName name="____________GBS214">#REF!</definedName>
    <definedName name="____________GBS215">#REF!</definedName>
    <definedName name="____________GBS22">#REF!</definedName>
    <definedName name="____________GBS23">#REF!</definedName>
    <definedName name="____________GBS24">#REF!</definedName>
    <definedName name="____________GBS25">#REF!</definedName>
    <definedName name="____________GBS26">#REF!</definedName>
    <definedName name="____________GBS27">#REF!</definedName>
    <definedName name="____________GBS28">#REF!</definedName>
    <definedName name="____________GBS29">#REF!</definedName>
    <definedName name="____________knr2">#REF!</definedName>
    <definedName name="____________l1" localSheetId="21">[29]leads!$A$3:$E$108</definedName>
    <definedName name="____________l1" localSheetId="9">[29]leads!$A$3:$E$108</definedName>
    <definedName name="____________l1" localSheetId="4">[29]leads!$A$3:$E$108</definedName>
    <definedName name="____________l1" localSheetId="10">#REF!</definedName>
    <definedName name="____________l1" localSheetId="8">[29]leads!$A$3:$E$108</definedName>
    <definedName name="____________l1">#REF!</definedName>
    <definedName name="____________l12" localSheetId="21">#REF!</definedName>
    <definedName name="____________l12" localSheetId="9">#REF!</definedName>
    <definedName name="____________l12" localSheetId="4">#REF!</definedName>
    <definedName name="____________l12" localSheetId="10">#REF!</definedName>
    <definedName name="____________l12" localSheetId="8">#REF!</definedName>
    <definedName name="____________l12">#REF!</definedName>
    <definedName name="____________l2" localSheetId="21">[13]r!$F$29</definedName>
    <definedName name="____________l2" localSheetId="9">[13]r!$F$29</definedName>
    <definedName name="____________l2" localSheetId="4">[13]r!$F$29</definedName>
    <definedName name="____________l2" localSheetId="8">[13]r!$F$29</definedName>
    <definedName name="____________l2">#REF!</definedName>
    <definedName name="____________l3" localSheetId="21">#REF!</definedName>
    <definedName name="____________l3" localSheetId="9">#REF!</definedName>
    <definedName name="____________l3" localSheetId="4">#REF!</definedName>
    <definedName name="____________l3" localSheetId="10">#REF!</definedName>
    <definedName name="____________l3" localSheetId="8">#REF!</definedName>
    <definedName name="____________l3">#REF!</definedName>
    <definedName name="____________l4" localSheetId="21">[30]Sheet1!$W$2:$Y$103</definedName>
    <definedName name="____________l4" localSheetId="9">[30]Sheet1!$W$2:$Y$103</definedName>
    <definedName name="____________l4" localSheetId="4">[30]Sheet1!$W$2:$Y$103</definedName>
    <definedName name="____________l4" localSheetId="10">#REF!</definedName>
    <definedName name="____________l4" localSheetId="8">[30]Sheet1!$W$2:$Y$103</definedName>
    <definedName name="____________l4">#REF!</definedName>
    <definedName name="____________l5" localSheetId="21">#REF!</definedName>
    <definedName name="____________l5" localSheetId="9">#REF!</definedName>
    <definedName name="____________l5" localSheetId="4">#REF!</definedName>
    <definedName name="____________l5" localSheetId="10">#REF!</definedName>
    <definedName name="____________l5" localSheetId="8">#REF!</definedName>
    <definedName name="____________l5">#REF!</definedName>
    <definedName name="____________l6" localSheetId="21">[13]r!$F$4</definedName>
    <definedName name="____________l6" localSheetId="9">[13]r!$F$4</definedName>
    <definedName name="____________l6" localSheetId="4">[13]r!$F$4</definedName>
    <definedName name="____________l6" localSheetId="8">[13]r!$F$4</definedName>
    <definedName name="____________l6">#REF!</definedName>
    <definedName name="____________l7" localSheetId="21">[14]r!$F$4</definedName>
    <definedName name="____________l7" localSheetId="9">[14]r!$F$4</definedName>
    <definedName name="____________l7" localSheetId="4">[14]r!$F$4</definedName>
    <definedName name="____________l7" localSheetId="8">[14]r!$F$4</definedName>
    <definedName name="____________l7">#REF!</definedName>
    <definedName name="____________l8" localSheetId="21">[13]r!$F$2</definedName>
    <definedName name="____________l8" localSheetId="9">[13]r!$F$2</definedName>
    <definedName name="____________l8" localSheetId="4">[13]r!$F$2</definedName>
    <definedName name="____________l8" localSheetId="8">[13]r!$F$2</definedName>
    <definedName name="____________l8">#REF!</definedName>
    <definedName name="____________l9" localSheetId="21">[13]r!$F$3</definedName>
    <definedName name="____________l9" localSheetId="9">[13]r!$F$3</definedName>
    <definedName name="____________l9" localSheetId="4">[13]r!$F$3</definedName>
    <definedName name="____________l9" localSheetId="8">[13]r!$F$3</definedName>
    <definedName name="____________l9">#REF!</definedName>
    <definedName name="____________LI9">#REF!</definedName>
    <definedName name="____________LII9">#REF!</definedName>
    <definedName name="____________man1">[41]m!$B$149</definedName>
    <definedName name="____________MIX124">#REF!</definedName>
    <definedName name="____________ML11">#REF!</definedName>
    <definedName name="____________ML110">#REF!</definedName>
    <definedName name="____________ML111">#REF!</definedName>
    <definedName name="____________ML112">#REF!</definedName>
    <definedName name="____________ML113">#REF!</definedName>
    <definedName name="____________ML114">#REF!</definedName>
    <definedName name="____________ML115">#REF!</definedName>
    <definedName name="____________ML12">#REF!</definedName>
    <definedName name="____________ML13">#REF!</definedName>
    <definedName name="____________ML14">#REF!</definedName>
    <definedName name="____________ML15">#REF!</definedName>
    <definedName name="____________ML16">#REF!</definedName>
    <definedName name="____________ML17">#REF!</definedName>
    <definedName name="____________ML18">#REF!</definedName>
    <definedName name="____________ML19">#REF!</definedName>
    <definedName name="____________ML21">#REF!</definedName>
    <definedName name="____________ML210">#REF!</definedName>
    <definedName name="____________ML211">#REF!</definedName>
    <definedName name="____________ML212">#REF!</definedName>
    <definedName name="____________ML213">#REF!</definedName>
    <definedName name="____________ML214">#REF!</definedName>
    <definedName name="____________ML215">#REF!</definedName>
    <definedName name="____________ML22">#REF!</definedName>
    <definedName name="____________ML23">#REF!</definedName>
    <definedName name="____________ML24">#REF!</definedName>
    <definedName name="____________ML25">#REF!</definedName>
    <definedName name="____________ML26">#REF!</definedName>
    <definedName name="____________ML27">#REF!</definedName>
    <definedName name="____________ML28">#REF!</definedName>
    <definedName name="____________ML29">#REF!</definedName>
    <definedName name="____________ML31">#REF!</definedName>
    <definedName name="____________ML310">#REF!</definedName>
    <definedName name="____________ML311">#REF!</definedName>
    <definedName name="____________ML312">#REF!</definedName>
    <definedName name="____________ML313">#REF!</definedName>
    <definedName name="____________ML314">#REF!</definedName>
    <definedName name="____________ML315">#REF!</definedName>
    <definedName name="____________ML32">#REF!</definedName>
    <definedName name="____________ML33">#REF!</definedName>
    <definedName name="____________ML34">#REF!</definedName>
    <definedName name="____________ML35">#REF!</definedName>
    <definedName name="____________ML36">#REF!</definedName>
    <definedName name="____________ML37">#REF!</definedName>
    <definedName name="____________ML38">#REF!</definedName>
    <definedName name="____________ML39">#REF!</definedName>
    <definedName name="____________ML7">#REF!</definedName>
    <definedName name="____________ML8">#REF!</definedName>
    <definedName name="____________ML9">#REF!</definedName>
    <definedName name="____________mm1" localSheetId="21">[31]r!$F$4</definedName>
    <definedName name="____________mm1" localSheetId="9">[31]r!$F$4</definedName>
    <definedName name="____________mm1" localSheetId="4">[31]r!$F$4</definedName>
    <definedName name="____________mm1" localSheetId="10">#REF!</definedName>
    <definedName name="____________mm1" localSheetId="8">[31]r!$F$4</definedName>
    <definedName name="____________mm1">#REF!</definedName>
    <definedName name="____________mm11" localSheetId="21">[13]r!$F$4</definedName>
    <definedName name="____________mm11" localSheetId="9">[13]r!$F$4</definedName>
    <definedName name="____________mm11" localSheetId="4">[13]r!$F$4</definedName>
    <definedName name="____________mm11" localSheetId="8">[13]r!$F$4</definedName>
    <definedName name="____________mm11">#REF!</definedName>
    <definedName name="____________mm111" localSheetId="21">[14]r!$F$4</definedName>
    <definedName name="____________mm111" localSheetId="9">[14]r!$F$4</definedName>
    <definedName name="____________mm111" localSheetId="4">[14]r!$F$4</definedName>
    <definedName name="____________mm111" localSheetId="8">[14]r!$F$4</definedName>
    <definedName name="____________mm111">#REF!</definedName>
    <definedName name="____________pc2" localSheetId="21">#REF!</definedName>
    <definedName name="____________pc2" localSheetId="9">#REF!</definedName>
    <definedName name="____________pc2" localSheetId="4">#REF!</definedName>
    <definedName name="____________pc2" localSheetId="10">#REF!</definedName>
    <definedName name="____________pc2" localSheetId="8">#REF!</definedName>
    <definedName name="____________pc2">#REF!</definedName>
    <definedName name="____________PMS2">#REF!</definedName>
    <definedName name="____________pv2" localSheetId="21">#REF!</definedName>
    <definedName name="____________pv2" localSheetId="9">#REF!</definedName>
    <definedName name="____________pv2" localSheetId="4">#REF!</definedName>
    <definedName name="____________pv2" localSheetId="10">#REF!</definedName>
    <definedName name="____________pv2" localSheetId="8">#REF!</definedName>
    <definedName name="____________pv2">#REF!</definedName>
    <definedName name="____________rr3" localSheetId="21">[32]v!$A$2:$E$51</definedName>
    <definedName name="____________rr3" localSheetId="9">[32]v!$A$2:$E$51</definedName>
    <definedName name="____________rr3" localSheetId="4">[32]v!$A$2:$E$51</definedName>
    <definedName name="____________rr3" localSheetId="10">#REF!</definedName>
    <definedName name="____________rr3" localSheetId="8">[32]v!$A$2:$E$51</definedName>
    <definedName name="____________rr3">#REF!</definedName>
    <definedName name="____________rrr1" localSheetId="21">[32]r!$B$1:$I$145</definedName>
    <definedName name="____________rrr1" localSheetId="9">[32]r!$B$1:$I$145</definedName>
    <definedName name="____________rrr1" localSheetId="4">[32]r!$B$1:$I$145</definedName>
    <definedName name="____________rrr1" localSheetId="10">#REF!</definedName>
    <definedName name="____________rrr1" localSheetId="8">[32]r!$B$1:$I$145</definedName>
    <definedName name="____________rrr1">#REF!</definedName>
    <definedName name="____________sd1">[41]m!$D$149</definedName>
    <definedName name="____________ss12" localSheetId="21">[33]rdamdata!$J$8</definedName>
    <definedName name="____________ss12" localSheetId="9">[33]rdamdata!$J$8</definedName>
    <definedName name="____________ss12" localSheetId="4">[33]rdamdata!$J$8</definedName>
    <definedName name="____________ss12" localSheetId="10">#REF!</definedName>
    <definedName name="____________ss12" localSheetId="8">[33]rdamdata!$J$8</definedName>
    <definedName name="____________ss12">#REF!</definedName>
    <definedName name="____________ss20" localSheetId="21">[33]rdamdata!$J$7</definedName>
    <definedName name="____________ss20" localSheetId="9">[33]rdamdata!$J$7</definedName>
    <definedName name="____________ss20" localSheetId="4">[33]rdamdata!$J$7</definedName>
    <definedName name="____________ss20" localSheetId="10">#REF!</definedName>
    <definedName name="____________ss20" localSheetId="8">[33]rdamdata!$J$7</definedName>
    <definedName name="____________ss20">#REF!</definedName>
    <definedName name="____________ss40" localSheetId="21">[33]rdamdata!$J$6</definedName>
    <definedName name="____________ss40" localSheetId="9">[33]rdamdata!$J$6</definedName>
    <definedName name="____________ss40" localSheetId="4">[33]rdamdata!$J$6</definedName>
    <definedName name="____________ss40" localSheetId="10">#REF!</definedName>
    <definedName name="____________ss40" localSheetId="8">[33]rdamdata!$J$6</definedName>
    <definedName name="____________ss40">#REF!</definedName>
    <definedName name="____________var1" localSheetId="21">#REF!</definedName>
    <definedName name="____________var1" localSheetId="9">#REF!</definedName>
    <definedName name="____________var1" localSheetId="4">#REF!</definedName>
    <definedName name="____________var1" localSheetId="10">#REF!</definedName>
    <definedName name="____________var1" localSheetId="8">#REF!</definedName>
    <definedName name="____________var1">#REF!</definedName>
    <definedName name="____________var4" localSheetId="21">#REF!</definedName>
    <definedName name="____________var4" localSheetId="9">#REF!</definedName>
    <definedName name="____________var4" localSheetId="4">#REF!</definedName>
    <definedName name="____________var4" localSheetId="10">#REF!</definedName>
    <definedName name="____________var4" localSheetId="8">#REF!</definedName>
    <definedName name="____________var4">#REF!</definedName>
    <definedName name="____________vat1">#REF!</definedName>
    <definedName name="____________vat2">#REF!</definedName>
    <definedName name="____________xh2256">#REF!</definedName>
    <definedName name="____________xh2506">#REF!</definedName>
    <definedName name="____________xh2806">#REF!</definedName>
    <definedName name="____________xh3156">#REF!</definedName>
    <definedName name="____________xh634">#REF!</definedName>
    <definedName name="____________xk7100">#REF!</definedName>
    <definedName name="____________xk7150">#REF!</definedName>
    <definedName name="____________xk7250">#REF!</definedName>
    <definedName name="____________xk7300">#REF!</definedName>
    <definedName name="____________xp11010">#REF!</definedName>
    <definedName name="____________xp1104">#REF!</definedName>
    <definedName name="____________xp1106">#REF!</definedName>
    <definedName name="____________xp1254">#REF!</definedName>
    <definedName name="____________xp1256">#REF!</definedName>
    <definedName name="____________xp14010">#REF!</definedName>
    <definedName name="____________xp1404">#REF!</definedName>
    <definedName name="____________xp1406">#REF!</definedName>
    <definedName name="____________xp1604">#REF!</definedName>
    <definedName name="____________xp1606">#REF!</definedName>
    <definedName name="____________xp1804">#REF!</definedName>
    <definedName name="____________xp1806">#REF!</definedName>
    <definedName name="____________xp2006">#REF!</definedName>
    <definedName name="____________xp6310">#REF!</definedName>
    <definedName name="____________xp636">#REF!</definedName>
    <definedName name="____________xp7510">#REF!</definedName>
    <definedName name="____________xp754">#REF!</definedName>
    <definedName name="____________xp756">#REF!</definedName>
    <definedName name="____________xp9010">#REF!</definedName>
    <definedName name="____________xp904">#REF!</definedName>
    <definedName name="____________xp906">#REF!</definedName>
    <definedName name="___________bla1" localSheetId="21">[28]leads!$H$7</definedName>
    <definedName name="___________bla1" localSheetId="9">[28]leads!$H$7</definedName>
    <definedName name="___________bla1" localSheetId="4">[28]leads!$H$7</definedName>
    <definedName name="___________bla1" localSheetId="10">#REF!</definedName>
    <definedName name="___________bla1" localSheetId="8">[28]leads!$H$7</definedName>
    <definedName name="___________bla1">#REF!</definedName>
    <definedName name="___________BSG100">#REF!</definedName>
    <definedName name="___________BSG150">#REF!</definedName>
    <definedName name="___________BSG5">#REF!</definedName>
    <definedName name="___________BSG75">#REF!</definedName>
    <definedName name="___________BTC1">#REF!</definedName>
    <definedName name="___________BTC10">#REF!</definedName>
    <definedName name="___________BTC11">#REF!</definedName>
    <definedName name="___________BTC12">#REF!</definedName>
    <definedName name="___________BTC13">#REF!</definedName>
    <definedName name="___________BTC14">#REF!</definedName>
    <definedName name="___________BTC15">#REF!</definedName>
    <definedName name="___________BTC2">#REF!</definedName>
    <definedName name="___________BTC3">#REF!</definedName>
    <definedName name="___________BTC4">#REF!</definedName>
    <definedName name="___________BTC5">#REF!</definedName>
    <definedName name="___________BTC6">#REF!</definedName>
    <definedName name="___________BTC7">#REF!</definedName>
    <definedName name="___________BTC8">#REF!</definedName>
    <definedName name="___________BTC9">#REF!</definedName>
    <definedName name="___________BTS1">#REF!</definedName>
    <definedName name="___________BTS10">#REF!</definedName>
    <definedName name="___________BTS11">#REF!</definedName>
    <definedName name="___________BTS12">#REF!</definedName>
    <definedName name="___________BTS13">#REF!</definedName>
    <definedName name="___________BTS14">#REF!</definedName>
    <definedName name="___________BTS15">#REF!</definedName>
    <definedName name="___________BTS2">#REF!</definedName>
    <definedName name="___________BTS3">#REF!</definedName>
    <definedName name="___________BTS4">#REF!</definedName>
    <definedName name="___________BTS5">#REF!</definedName>
    <definedName name="___________BTS6">#REF!</definedName>
    <definedName name="___________BTS7">#REF!</definedName>
    <definedName name="___________BTS8">#REF!</definedName>
    <definedName name="___________BTS9">#REF!</definedName>
    <definedName name="___________can430">40.73</definedName>
    <definedName name="___________can435">43.3</definedName>
    <definedName name="___________cbr1" localSheetId="21">#REF!</definedName>
    <definedName name="___________cbr2" localSheetId="21">#REF!</definedName>
    <definedName name="___________cbr3" localSheetId="21">#REF!</definedName>
    <definedName name="___________cbr4" localSheetId="21">#REF!</definedName>
    <definedName name="___________cur1" localSheetId="21">[13]r!$F$30</definedName>
    <definedName name="___________cur1" localSheetId="9">[13]r!$F$30</definedName>
    <definedName name="___________cur1" localSheetId="4">[13]r!$F$30</definedName>
    <definedName name="___________cur1" localSheetId="8">[13]r!$F$30</definedName>
    <definedName name="___________cur1">#REF!</definedName>
    <definedName name="___________ewe1">#REF!</definedName>
    <definedName name="___________f1">#REF!</definedName>
    <definedName name="___________GBS11">#REF!</definedName>
    <definedName name="___________GBS110">#REF!</definedName>
    <definedName name="___________GBS111">#REF!</definedName>
    <definedName name="___________GBS112">#REF!</definedName>
    <definedName name="___________GBS113">#REF!</definedName>
    <definedName name="___________GBS114">#REF!</definedName>
    <definedName name="___________GBS115">#REF!</definedName>
    <definedName name="___________GBS12">#REF!</definedName>
    <definedName name="___________GBS13">#REF!</definedName>
    <definedName name="___________GBS14">#REF!</definedName>
    <definedName name="___________GBS15">#REF!</definedName>
    <definedName name="___________GBS16">#REF!</definedName>
    <definedName name="___________GBS17">#REF!</definedName>
    <definedName name="___________GBS18">#REF!</definedName>
    <definedName name="___________GBS19">#REF!</definedName>
    <definedName name="___________GBS21">#REF!</definedName>
    <definedName name="___________GBS210">#REF!</definedName>
    <definedName name="___________GBS211">#REF!</definedName>
    <definedName name="___________GBS212">#REF!</definedName>
    <definedName name="___________GBS213">#REF!</definedName>
    <definedName name="___________GBS214">#REF!</definedName>
    <definedName name="___________GBS215">#REF!</definedName>
    <definedName name="___________GBS22">#REF!</definedName>
    <definedName name="___________GBS23">#REF!</definedName>
    <definedName name="___________GBS24">#REF!</definedName>
    <definedName name="___________GBS25">#REF!</definedName>
    <definedName name="___________GBS26">#REF!</definedName>
    <definedName name="___________GBS27">#REF!</definedName>
    <definedName name="___________GBS28">#REF!</definedName>
    <definedName name="___________GBS29">#REF!</definedName>
    <definedName name="___________knr2">#REF!</definedName>
    <definedName name="___________l1" localSheetId="21">[29]leads!$A$3:$E$108</definedName>
    <definedName name="___________l1" localSheetId="9">[29]leads!$A$3:$E$108</definedName>
    <definedName name="___________l1" localSheetId="4">[29]leads!$A$3:$E$108</definedName>
    <definedName name="___________l1" localSheetId="10">#REF!</definedName>
    <definedName name="___________l1" localSheetId="8">[29]leads!$A$3:$E$108</definedName>
    <definedName name="___________l1">#REF!</definedName>
    <definedName name="___________l12" localSheetId="21">#REF!</definedName>
    <definedName name="___________l12" localSheetId="9">#REF!</definedName>
    <definedName name="___________l12" localSheetId="4">#REF!</definedName>
    <definedName name="___________l12" localSheetId="10">#REF!</definedName>
    <definedName name="___________l12" localSheetId="8">#REF!</definedName>
    <definedName name="___________l12">#REF!</definedName>
    <definedName name="___________l2" localSheetId="21">[13]r!$F$29</definedName>
    <definedName name="___________l2" localSheetId="9">[13]r!$F$29</definedName>
    <definedName name="___________l2" localSheetId="4">[13]r!$F$29</definedName>
    <definedName name="___________l2" localSheetId="8">[13]r!$F$29</definedName>
    <definedName name="___________l2">#REF!</definedName>
    <definedName name="___________l3" localSheetId="21">#REF!</definedName>
    <definedName name="___________l3" localSheetId="9">#REF!</definedName>
    <definedName name="___________l3" localSheetId="4">#REF!</definedName>
    <definedName name="___________l3" localSheetId="10">#REF!</definedName>
    <definedName name="___________l3" localSheetId="8">#REF!</definedName>
    <definedName name="___________l3">#REF!</definedName>
    <definedName name="___________l4" localSheetId="21">[30]Sheet1!$W$2:$Y$103</definedName>
    <definedName name="___________l4" localSheetId="9">[30]Sheet1!$W$2:$Y$103</definedName>
    <definedName name="___________l4" localSheetId="4">[30]Sheet1!$W$2:$Y$103</definedName>
    <definedName name="___________l4" localSheetId="10">#REF!</definedName>
    <definedName name="___________l4" localSheetId="8">[30]Sheet1!$W$2:$Y$103</definedName>
    <definedName name="___________l4">#REF!</definedName>
    <definedName name="___________l5" localSheetId="21">#REF!</definedName>
    <definedName name="___________l5" localSheetId="9">#REF!</definedName>
    <definedName name="___________l5" localSheetId="4">#REF!</definedName>
    <definedName name="___________l5" localSheetId="10">#REF!</definedName>
    <definedName name="___________l5" localSheetId="8">#REF!</definedName>
    <definedName name="___________l5">#REF!</definedName>
    <definedName name="___________l6" localSheetId="21">[13]r!$F$4</definedName>
    <definedName name="___________l6" localSheetId="9">[13]r!$F$4</definedName>
    <definedName name="___________l6" localSheetId="4">[13]r!$F$4</definedName>
    <definedName name="___________l6" localSheetId="8">[13]r!$F$4</definedName>
    <definedName name="___________l6">#REF!</definedName>
    <definedName name="___________l7" localSheetId="21">[14]r!$F$4</definedName>
    <definedName name="___________l7" localSheetId="9">[14]r!$F$4</definedName>
    <definedName name="___________l7" localSheetId="4">[14]r!$F$4</definedName>
    <definedName name="___________l7" localSheetId="8">[14]r!$F$4</definedName>
    <definedName name="___________l7">#REF!</definedName>
    <definedName name="___________l8" localSheetId="21">[13]r!$F$2</definedName>
    <definedName name="___________l8" localSheetId="9">[13]r!$F$2</definedName>
    <definedName name="___________l8" localSheetId="4">[13]r!$F$2</definedName>
    <definedName name="___________l8" localSheetId="8">[13]r!$F$2</definedName>
    <definedName name="___________l8">#REF!</definedName>
    <definedName name="___________l9" localSheetId="21">[13]r!$F$3</definedName>
    <definedName name="___________l9" localSheetId="9">[13]r!$F$3</definedName>
    <definedName name="___________l9" localSheetId="4">[13]r!$F$3</definedName>
    <definedName name="___________l9" localSheetId="8">[13]r!$F$3</definedName>
    <definedName name="___________l9">#REF!</definedName>
    <definedName name="___________LI9">#REF!</definedName>
    <definedName name="___________LII9">#REF!</definedName>
    <definedName name="___________man1">[41]m!$B$149</definedName>
    <definedName name="___________MIX124">#REF!</definedName>
    <definedName name="___________ML11">#REF!</definedName>
    <definedName name="___________ML110">#REF!</definedName>
    <definedName name="___________ML111">#REF!</definedName>
    <definedName name="___________ML112">#REF!</definedName>
    <definedName name="___________ML113">#REF!</definedName>
    <definedName name="___________ML114">#REF!</definedName>
    <definedName name="___________ML115">#REF!</definedName>
    <definedName name="___________ML12">#REF!</definedName>
    <definedName name="___________ML13">#REF!</definedName>
    <definedName name="___________ML14">#REF!</definedName>
    <definedName name="___________ML15">#REF!</definedName>
    <definedName name="___________ML16">#REF!</definedName>
    <definedName name="___________ML17">#REF!</definedName>
    <definedName name="___________ML18">#REF!</definedName>
    <definedName name="___________ML19">#REF!</definedName>
    <definedName name="___________ML21">#REF!</definedName>
    <definedName name="___________ML210">#REF!</definedName>
    <definedName name="___________ML211">#REF!</definedName>
    <definedName name="___________ML212">#REF!</definedName>
    <definedName name="___________ML213">#REF!</definedName>
    <definedName name="___________ML214">#REF!</definedName>
    <definedName name="___________ML215">#REF!</definedName>
    <definedName name="___________ML22">#REF!</definedName>
    <definedName name="___________ML23">#REF!</definedName>
    <definedName name="___________ML24">#REF!</definedName>
    <definedName name="___________ML25">#REF!</definedName>
    <definedName name="___________ML26">#REF!</definedName>
    <definedName name="___________ML27">#REF!</definedName>
    <definedName name="___________ML28">#REF!</definedName>
    <definedName name="___________ML29">#REF!</definedName>
    <definedName name="___________ML31">#REF!</definedName>
    <definedName name="___________ML310">#REF!</definedName>
    <definedName name="___________ML311">#REF!</definedName>
    <definedName name="___________ML312">#REF!</definedName>
    <definedName name="___________ML313">#REF!</definedName>
    <definedName name="___________ML314">#REF!</definedName>
    <definedName name="___________ML315">#REF!</definedName>
    <definedName name="___________ML32">#REF!</definedName>
    <definedName name="___________ML33">#REF!</definedName>
    <definedName name="___________ML34">#REF!</definedName>
    <definedName name="___________ML35">#REF!</definedName>
    <definedName name="___________ML36">#REF!</definedName>
    <definedName name="___________ML37">#REF!</definedName>
    <definedName name="___________ML38">#REF!</definedName>
    <definedName name="___________ML39">#REF!</definedName>
    <definedName name="___________ML7">#REF!</definedName>
    <definedName name="___________ML8">#REF!</definedName>
    <definedName name="___________ML9">#REF!</definedName>
    <definedName name="___________mm1" localSheetId="21">[31]r!$F$4</definedName>
    <definedName name="___________mm1" localSheetId="9">[31]r!$F$4</definedName>
    <definedName name="___________mm1" localSheetId="4">[31]r!$F$4</definedName>
    <definedName name="___________mm1" localSheetId="10">#REF!</definedName>
    <definedName name="___________mm1" localSheetId="8">[31]r!$F$4</definedName>
    <definedName name="___________mm1">#REF!</definedName>
    <definedName name="___________mm11" localSheetId="21">[13]r!$F$4</definedName>
    <definedName name="___________mm11" localSheetId="9">[13]r!$F$4</definedName>
    <definedName name="___________mm11" localSheetId="4">[13]r!$F$4</definedName>
    <definedName name="___________mm11" localSheetId="8">[13]r!$F$4</definedName>
    <definedName name="___________mm11">#REF!</definedName>
    <definedName name="___________mm111" localSheetId="21">[14]r!$F$4</definedName>
    <definedName name="___________mm111" localSheetId="9">[14]r!$F$4</definedName>
    <definedName name="___________mm111" localSheetId="4">[14]r!$F$4</definedName>
    <definedName name="___________mm111" localSheetId="8">[14]r!$F$4</definedName>
    <definedName name="___________mm111">#REF!</definedName>
    <definedName name="___________pc2" localSheetId="21">#REF!</definedName>
    <definedName name="___________pc2" localSheetId="9">#REF!</definedName>
    <definedName name="___________pc2" localSheetId="4">#REF!</definedName>
    <definedName name="___________pc2" localSheetId="10">#REF!</definedName>
    <definedName name="___________pc2" localSheetId="8">#REF!</definedName>
    <definedName name="___________pc2">#REF!</definedName>
    <definedName name="___________PMS2">#REF!</definedName>
    <definedName name="___________pv2" localSheetId="21">#REF!</definedName>
    <definedName name="___________pv2" localSheetId="9">#REF!</definedName>
    <definedName name="___________pv2" localSheetId="4">#REF!</definedName>
    <definedName name="___________pv2" localSheetId="10">#REF!</definedName>
    <definedName name="___________pv2" localSheetId="8">#REF!</definedName>
    <definedName name="___________pv2">#REF!</definedName>
    <definedName name="___________rr3" localSheetId="21">[32]v!$A$2:$E$51</definedName>
    <definedName name="___________rr3" localSheetId="9">[32]v!$A$2:$E$51</definedName>
    <definedName name="___________rr3" localSheetId="4">[32]v!$A$2:$E$51</definedName>
    <definedName name="___________rr3" localSheetId="10">#REF!</definedName>
    <definedName name="___________rr3" localSheetId="8">[32]v!$A$2:$E$51</definedName>
    <definedName name="___________rr3">#REF!</definedName>
    <definedName name="___________rrr1" localSheetId="21">[32]r!$B$1:$I$145</definedName>
    <definedName name="___________rrr1" localSheetId="9">[32]r!$B$1:$I$145</definedName>
    <definedName name="___________rrr1" localSheetId="4">[32]r!$B$1:$I$145</definedName>
    <definedName name="___________rrr1" localSheetId="10">#REF!</definedName>
    <definedName name="___________rrr1" localSheetId="8">[32]r!$B$1:$I$145</definedName>
    <definedName name="___________rrr1">#REF!</definedName>
    <definedName name="___________sd1">[41]m!$D$149</definedName>
    <definedName name="___________ss12" localSheetId="21">[33]rdamdata!$J$8</definedName>
    <definedName name="___________ss12" localSheetId="9">[33]rdamdata!$J$8</definedName>
    <definedName name="___________ss12" localSheetId="4">[33]rdamdata!$J$8</definedName>
    <definedName name="___________ss12" localSheetId="10">#REF!</definedName>
    <definedName name="___________ss12" localSheetId="8">[33]rdamdata!$J$8</definedName>
    <definedName name="___________ss12">#REF!</definedName>
    <definedName name="___________ss20" localSheetId="21">[33]rdamdata!$J$7</definedName>
    <definedName name="___________ss20" localSheetId="9">[33]rdamdata!$J$7</definedName>
    <definedName name="___________ss20" localSheetId="4">[33]rdamdata!$J$7</definedName>
    <definedName name="___________ss20" localSheetId="10">#REF!</definedName>
    <definedName name="___________ss20" localSheetId="8">[33]rdamdata!$J$7</definedName>
    <definedName name="___________ss20">#REF!</definedName>
    <definedName name="___________ss40" localSheetId="21">[33]rdamdata!$J$6</definedName>
    <definedName name="___________ss40" localSheetId="9">[33]rdamdata!$J$6</definedName>
    <definedName name="___________ss40" localSheetId="4">[33]rdamdata!$J$6</definedName>
    <definedName name="___________ss40" localSheetId="10">#REF!</definedName>
    <definedName name="___________ss40" localSheetId="8">[33]rdamdata!$J$6</definedName>
    <definedName name="___________ss40">#REF!</definedName>
    <definedName name="___________var1" localSheetId="21">#REF!</definedName>
    <definedName name="___________var1" localSheetId="9">#REF!</definedName>
    <definedName name="___________var1" localSheetId="4">#REF!</definedName>
    <definedName name="___________var1" localSheetId="10">#REF!</definedName>
    <definedName name="___________var1" localSheetId="8">#REF!</definedName>
    <definedName name="___________var1">#REF!</definedName>
    <definedName name="___________var4" localSheetId="21">#REF!</definedName>
    <definedName name="___________var4" localSheetId="9">#REF!</definedName>
    <definedName name="___________var4" localSheetId="4">#REF!</definedName>
    <definedName name="___________var4" localSheetId="10">#REF!</definedName>
    <definedName name="___________var4" localSheetId="8">#REF!</definedName>
    <definedName name="___________var4">#REF!</definedName>
    <definedName name="___________vat1" localSheetId="21">#REF!</definedName>
    <definedName name="___________vat2" localSheetId="21">#REF!</definedName>
    <definedName name="___________xh2256">#REF!</definedName>
    <definedName name="___________xh2506">#REF!</definedName>
    <definedName name="___________xh2806">#REF!</definedName>
    <definedName name="___________xh3156">#REF!</definedName>
    <definedName name="___________xh634">#REF!</definedName>
    <definedName name="___________xk7100">#REF!</definedName>
    <definedName name="___________xk7150">#REF!</definedName>
    <definedName name="___________xk7250">#REF!</definedName>
    <definedName name="___________xk7300">#REF!</definedName>
    <definedName name="___________xp11010">#REF!</definedName>
    <definedName name="___________xp1104">#REF!</definedName>
    <definedName name="___________xp1106">#REF!</definedName>
    <definedName name="___________xp1254">#REF!</definedName>
    <definedName name="___________xp1256">#REF!</definedName>
    <definedName name="___________xp14010">#REF!</definedName>
    <definedName name="___________xp1404">#REF!</definedName>
    <definedName name="___________xp1406">#REF!</definedName>
    <definedName name="___________xp1604">#REF!</definedName>
    <definedName name="___________xp1606">#REF!</definedName>
    <definedName name="___________xp1804">#REF!</definedName>
    <definedName name="___________xp1806">#REF!</definedName>
    <definedName name="___________xp2006">#REF!</definedName>
    <definedName name="___________xp6310">#REF!</definedName>
    <definedName name="___________xp636">#REF!</definedName>
    <definedName name="___________xp7510">#REF!</definedName>
    <definedName name="___________xp754">#REF!</definedName>
    <definedName name="___________xp756">#REF!</definedName>
    <definedName name="___________xp9010">#REF!</definedName>
    <definedName name="___________xp904">#REF!</definedName>
    <definedName name="___________xp906">#REF!</definedName>
    <definedName name="__________bla1" localSheetId="21">[28]leads!$H$7</definedName>
    <definedName name="__________bla1" localSheetId="9">[28]leads!$H$7</definedName>
    <definedName name="__________bla1" localSheetId="4">[28]leads!$H$7</definedName>
    <definedName name="__________bla1" localSheetId="8">[28]leads!$H$7</definedName>
    <definedName name="__________bla1">#REF!</definedName>
    <definedName name="__________BSG100">#REF!</definedName>
    <definedName name="__________BSG150">#REF!</definedName>
    <definedName name="__________BSG5">#REF!</definedName>
    <definedName name="__________BSG75">#REF!</definedName>
    <definedName name="__________BTC1">#REF!</definedName>
    <definedName name="__________BTC10">#REF!</definedName>
    <definedName name="__________BTC11">#REF!</definedName>
    <definedName name="__________BTC12">#REF!</definedName>
    <definedName name="__________BTC13">#REF!</definedName>
    <definedName name="__________BTC14">#REF!</definedName>
    <definedName name="__________BTC15">#REF!</definedName>
    <definedName name="__________BTC2">#REF!</definedName>
    <definedName name="__________BTC3">#REF!</definedName>
    <definedName name="__________BTC4">#REF!</definedName>
    <definedName name="__________BTC5">#REF!</definedName>
    <definedName name="__________BTC6">#REF!</definedName>
    <definedName name="__________BTC7">#REF!</definedName>
    <definedName name="__________BTC8">#REF!</definedName>
    <definedName name="__________BTC9">#REF!</definedName>
    <definedName name="__________BTS1">#REF!</definedName>
    <definedName name="__________BTS10">#REF!</definedName>
    <definedName name="__________BTS11">#REF!</definedName>
    <definedName name="__________BTS12">#REF!</definedName>
    <definedName name="__________BTS13">#REF!</definedName>
    <definedName name="__________BTS14">#REF!</definedName>
    <definedName name="__________BTS15">#REF!</definedName>
    <definedName name="__________BTS2">#REF!</definedName>
    <definedName name="__________BTS3">#REF!</definedName>
    <definedName name="__________BTS4">#REF!</definedName>
    <definedName name="__________BTS5">#REF!</definedName>
    <definedName name="__________BTS6">#REF!</definedName>
    <definedName name="__________BTS7">#REF!</definedName>
    <definedName name="__________BTS8">#REF!</definedName>
    <definedName name="__________BTS9">#REF!</definedName>
    <definedName name="__________can430">40.73</definedName>
    <definedName name="__________can435">43.3</definedName>
    <definedName name="__________cbr1">#REF!</definedName>
    <definedName name="__________cbr2">#REF!</definedName>
    <definedName name="__________cbr3">#REF!</definedName>
    <definedName name="__________cbr4">#REF!</definedName>
    <definedName name="__________cra10">#REF!</definedName>
    <definedName name="__________cra11">#REF!</definedName>
    <definedName name="__________cra12">#REF!</definedName>
    <definedName name="__________cra13">#REF!</definedName>
    <definedName name="__________cra20">#REF!</definedName>
    <definedName name="__________cra22">#REF!</definedName>
    <definedName name="__________cra25">#REF!</definedName>
    <definedName name="__________cra26">#REF!</definedName>
    <definedName name="__________cra40">#REF!</definedName>
    <definedName name="__________cra45">#REF!</definedName>
    <definedName name="__________cra50">#REF!</definedName>
    <definedName name="__________cra6">#REF!</definedName>
    <definedName name="__________cur1" localSheetId="21">[13]r!$F$30</definedName>
    <definedName name="__________cur1" localSheetId="9">[13]r!$F$30</definedName>
    <definedName name="__________cur1" localSheetId="4">[13]r!$F$30</definedName>
    <definedName name="__________cur1" localSheetId="8">[13]r!$F$30</definedName>
    <definedName name="__________cur1">#REF!</definedName>
    <definedName name="__________ewe1">#REF!</definedName>
    <definedName name="__________f1">#REF!</definedName>
    <definedName name="__________GBS11">#REF!</definedName>
    <definedName name="__________GBS110">#REF!</definedName>
    <definedName name="__________GBS111">#REF!</definedName>
    <definedName name="__________GBS112">#REF!</definedName>
    <definedName name="__________GBS113">#REF!</definedName>
    <definedName name="__________GBS114">#REF!</definedName>
    <definedName name="__________GBS115">#REF!</definedName>
    <definedName name="__________GBS12">#REF!</definedName>
    <definedName name="__________GBS13">#REF!</definedName>
    <definedName name="__________GBS14">#REF!</definedName>
    <definedName name="__________GBS15">#REF!</definedName>
    <definedName name="__________GBS16">#REF!</definedName>
    <definedName name="__________GBS17">#REF!</definedName>
    <definedName name="__________GBS18">#REF!</definedName>
    <definedName name="__________GBS19">#REF!</definedName>
    <definedName name="__________GBS21">#REF!</definedName>
    <definedName name="__________GBS210">#REF!</definedName>
    <definedName name="__________GBS211">#REF!</definedName>
    <definedName name="__________GBS212">#REF!</definedName>
    <definedName name="__________GBS213">#REF!</definedName>
    <definedName name="__________GBS214">#REF!</definedName>
    <definedName name="__________GBS215">#REF!</definedName>
    <definedName name="__________GBS22">#REF!</definedName>
    <definedName name="__________GBS23">#REF!</definedName>
    <definedName name="__________GBS24">#REF!</definedName>
    <definedName name="__________GBS25">#REF!</definedName>
    <definedName name="__________GBS26">#REF!</definedName>
    <definedName name="__________GBS27">#REF!</definedName>
    <definedName name="__________GBS28">#REF!</definedName>
    <definedName name="__________GBS29">#REF!</definedName>
    <definedName name="__________knr2">#REF!</definedName>
    <definedName name="__________l1" localSheetId="21">[29]leads!$A$3:$E$108</definedName>
    <definedName name="__________l1" localSheetId="9">[29]leads!$A$3:$E$108</definedName>
    <definedName name="__________l1" localSheetId="4">[29]leads!$A$3:$E$108</definedName>
    <definedName name="__________l1" localSheetId="8">[29]leads!$A$3:$E$108</definedName>
    <definedName name="__________l1">#REF!</definedName>
    <definedName name="__________l12" localSheetId="21">#REF!</definedName>
    <definedName name="__________l12" localSheetId="9">#REF!</definedName>
    <definedName name="__________l12" localSheetId="4">#REF!</definedName>
    <definedName name="__________l12" localSheetId="10">#REF!</definedName>
    <definedName name="__________l12" localSheetId="8">#REF!</definedName>
    <definedName name="__________l12">#REF!</definedName>
    <definedName name="__________l2" localSheetId="21">[13]r!$F$29</definedName>
    <definedName name="__________l2" localSheetId="9">[13]r!$F$29</definedName>
    <definedName name="__________l2" localSheetId="4">[13]r!$F$29</definedName>
    <definedName name="__________l2" localSheetId="8">[13]r!$F$29</definedName>
    <definedName name="__________l2">#REF!</definedName>
    <definedName name="__________l3" localSheetId="21">#REF!</definedName>
    <definedName name="__________l3" localSheetId="9">#REF!</definedName>
    <definedName name="__________l3" localSheetId="4">#REF!</definedName>
    <definedName name="__________l3" localSheetId="10">#REF!</definedName>
    <definedName name="__________l3" localSheetId="8">#REF!</definedName>
    <definedName name="__________l3">#REF!</definedName>
    <definedName name="__________l4" localSheetId="21">[30]Sheet1!$W$2:$Y$103</definedName>
    <definedName name="__________l4" localSheetId="9">[30]Sheet1!$W$2:$Y$103</definedName>
    <definedName name="__________l4" localSheetId="4">[30]Sheet1!$W$2:$Y$103</definedName>
    <definedName name="__________l4" localSheetId="8">[30]Sheet1!$W$2:$Y$103</definedName>
    <definedName name="__________l4">#REF!</definedName>
    <definedName name="__________l5" localSheetId="21">#REF!</definedName>
    <definedName name="__________l5" localSheetId="9">#REF!</definedName>
    <definedName name="__________l5" localSheetId="4">#REF!</definedName>
    <definedName name="__________l5" localSheetId="10">#REF!</definedName>
    <definedName name="__________l5" localSheetId="8">#REF!</definedName>
    <definedName name="__________l5">#REF!</definedName>
    <definedName name="__________l6" localSheetId="21">[13]r!$F$4</definedName>
    <definedName name="__________l6" localSheetId="9">[13]r!$F$4</definedName>
    <definedName name="__________l6" localSheetId="4">[13]r!$F$4</definedName>
    <definedName name="__________l6" localSheetId="8">[13]r!$F$4</definedName>
    <definedName name="__________l6">#REF!</definedName>
    <definedName name="__________l7" localSheetId="21">[14]r!$F$4</definedName>
    <definedName name="__________l7" localSheetId="9">[14]r!$F$4</definedName>
    <definedName name="__________l7" localSheetId="4">[14]r!$F$4</definedName>
    <definedName name="__________l7" localSheetId="8">[14]r!$F$4</definedName>
    <definedName name="__________l7">#REF!</definedName>
    <definedName name="__________l8" localSheetId="21">[13]r!$F$2</definedName>
    <definedName name="__________l8" localSheetId="9">[13]r!$F$2</definedName>
    <definedName name="__________l8" localSheetId="4">[13]r!$F$2</definedName>
    <definedName name="__________l8" localSheetId="8">[13]r!$F$2</definedName>
    <definedName name="__________l8">#REF!</definedName>
    <definedName name="__________l9" localSheetId="21">[13]r!$F$3</definedName>
    <definedName name="__________l9" localSheetId="9">[13]r!$F$3</definedName>
    <definedName name="__________l9" localSheetId="4">[13]r!$F$3</definedName>
    <definedName name="__________l9" localSheetId="8">[13]r!$F$3</definedName>
    <definedName name="__________l9">#REF!</definedName>
    <definedName name="__________LI9">#REF!</definedName>
    <definedName name="__________LII9">#REF!</definedName>
    <definedName name="__________man1">#REF!</definedName>
    <definedName name="__________MIX124">#REF!</definedName>
    <definedName name="__________ML11">#REF!</definedName>
    <definedName name="__________ML110">#REF!</definedName>
    <definedName name="__________ML111">#REF!</definedName>
    <definedName name="__________ML112">#REF!</definedName>
    <definedName name="__________ML113">#REF!</definedName>
    <definedName name="__________ML114">#REF!</definedName>
    <definedName name="__________ML115">#REF!</definedName>
    <definedName name="__________ML12">#REF!</definedName>
    <definedName name="__________ML13">#REF!</definedName>
    <definedName name="__________ML14">#REF!</definedName>
    <definedName name="__________ML15">#REF!</definedName>
    <definedName name="__________ML16">#REF!</definedName>
    <definedName name="__________ML17">#REF!</definedName>
    <definedName name="__________ML18">#REF!</definedName>
    <definedName name="__________ML19">#REF!</definedName>
    <definedName name="__________ML21">#REF!</definedName>
    <definedName name="__________ML210">#REF!</definedName>
    <definedName name="__________ML211">#REF!</definedName>
    <definedName name="__________ML212">#REF!</definedName>
    <definedName name="__________ML213">#REF!</definedName>
    <definedName name="__________ML214">#REF!</definedName>
    <definedName name="__________ML215">#REF!</definedName>
    <definedName name="__________ML22">#REF!</definedName>
    <definedName name="__________ML23">#REF!</definedName>
    <definedName name="__________ML24">#REF!</definedName>
    <definedName name="__________ML25">#REF!</definedName>
    <definedName name="__________ML26">#REF!</definedName>
    <definedName name="__________ML27">#REF!</definedName>
    <definedName name="__________ML28">#REF!</definedName>
    <definedName name="__________ML29">#REF!</definedName>
    <definedName name="__________ML31">#REF!</definedName>
    <definedName name="__________ML310">#REF!</definedName>
    <definedName name="__________ML311">#REF!</definedName>
    <definedName name="__________ML312">#REF!</definedName>
    <definedName name="__________ML313">#REF!</definedName>
    <definedName name="__________ML314">#REF!</definedName>
    <definedName name="__________ML315">#REF!</definedName>
    <definedName name="__________ML32">#REF!</definedName>
    <definedName name="__________ML33">#REF!</definedName>
    <definedName name="__________ML34">#REF!</definedName>
    <definedName name="__________ML35">#REF!</definedName>
    <definedName name="__________ML36">#REF!</definedName>
    <definedName name="__________ML37">#REF!</definedName>
    <definedName name="__________ML38">#REF!</definedName>
    <definedName name="__________ML39">#REF!</definedName>
    <definedName name="__________ML7">#REF!</definedName>
    <definedName name="__________ML8">#REF!</definedName>
    <definedName name="__________ML9">#REF!</definedName>
    <definedName name="__________mm1" localSheetId="21">[31]r!$F$4</definedName>
    <definedName name="__________mm1" localSheetId="9">[31]r!$F$4</definedName>
    <definedName name="__________mm1" localSheetId="4">[31]r!$F$4</definedName>
    <definedName name="__________mm1" localSheetId="8">[31]r!$F$4</definedName>
    <definedName name="__________mm1">#REF!</definedName>
    <definedName name="__________mm11" localSheetId="21">[13]r!$F$4</definedName>
    <definedName name="__________mm11" localSheetId="9">[13]r!$F$4</definedName>
    <definedName name="__________mm11" localSheetId="4">[13]r!$F$4</definedName>
    <definedName name="__________mm11" localSheetId="8">[13]r!$F$4</definedName>
    <definedName name="__________mm11">#REF!</definedName>
    <definedName name="__________mm111" localSheetId="21">[14]r!$F$4</definedName>
    <definedName name="__________mm111" localSheetId="9">[14]r!$F$4</definedName>
    <definedName name="__________mm111" localSheetId="4">[14]r!$F$4</definedName>
    <definedName name="__________mm111" localSheetId="8">[14]r!$F$4</definedName>
    <definedName name="__________mm111">#REF!</definedName>
    <definedName name="__________mm20">#REF!</definedName>
    <definedName name="__________mm40">#REF!</definedName>
    <definedName name="__________pc2" localSheetId="21">#REF!</definedName>
    <definedName name="__________pc2" localSheetId="9">#REF!</definedName>
    <definedName name="__________pc2" localSheetId="4">#REF!</definedName>
    <definedName name="__________pc2" localSheetId="10">#REF!</definedName>
    <definedName name="__________pc2" localSheetId="8">#REF!</definedName>
    <definedName name="__________pc2">#REF!</definedName>
    <definedName name="__________PMS2">#REF!</definedName>
    <definedName name="__________pv2" localSheetId="21">#REF!</definedName>
    <definedName name="__________pv2" localSheetId="9">#REF!</definedName>
    <definedName name="__________pv2" localSheetId="4">#REF!</definedName>
    <definedName name="__________pv2" localSheetId="10">#REF!</definedName>
    <definedName name="__________pv2" localSheetId="8">#REF!</definedName>
    <definedName name="__________pv2">#REF!</definedName>
    <definedName name="__________rr3" localSheetId="21">[32]v!$A$2:$E$51</definedName>
    <definedName name="__________rr3" localSheetId="9">[32]v!$A$2:$E$51</definedName>
    <definedName name="__________rr3" localSheetId="4">[32]v!$A$2:$E$51</definedName>
    <definedName name="__________rr3" localSheetId="8">[32]v!$A$2:$E$51</definedName>
    <definedName name="__________rr3">#REF!</definedName>
    <definedName name="__________rrr1" localSheetId="21">[32]r!$B$1:$I$145</definedName>
    <definedName name="__________rrr1" localSheetId="9">[32]r!$B$1:$I$145</definedName>
    <definedName name="__________rrr1" localSheetId="4">[32]r!$B$1:$I$145</definedName>
    <definedName name="__________rrr1" localSheetId="8">[32]r!$B$1:$I$145</definedName>
    <definedName name="__________rrr1">#REF!</definedName>
    <definedName name="__________sd1">#REF!</definedName>
    <definedName name="__________ss12" localSheetId="21">[33]rdamdata!$J$8</definedName>
    <definedName name="__________ss12" localSheetId="9">[33]rdamdata!$J$8</definedName>
    <definedName name="__________ss12" localSheetId="4">[33]rdamdata!$J$8</definedName>
    <definedName name="__________ss12" localSheetId="8">[33]rdamdata!$J$8</definedName>
    <definedName name="__________ss12">#REF!</definedName>
    <definedName name="__________ss20" localSheetId="21">[33]rdamdata!$J$7</definedName>
    <definedName name="__________ss20" localSheetId="9">[33]rdamdata!$J$7</definedName>
    <definedName name="__________ss20" localSheetId="4">[33]rdamdata!$J$7</definedName>
    <definedName name="__________ss20" localSheetId="8">[33]rdamdata!$J$7</definedName>
    <definedName name="__________ss20">#REF!</definedName>
    <definedName name="__________ss40" localSheetId="21">[33]rdamdata!$J$6</definedName>
    <definedName name="__________ss40" localSheetId="9">[33]rdamdata!$J$6</definedName>
    <definedName name="__________ss40" localSheetId="4">[33]rdamdata!$J$6</definedName>
    <definedName name="__________ss40" localSheetId="8">[33]rdamdata!$J$6</definedName>
    <definedName name="__________ss40">#REF!</definedName>
    <definedName name="__________var1" localSheetId="21">#REF!</definedName>
    <definedName name="__________var1" localSheetId="9">#REF!</definedName>
    <definedName name="__________var1" localSheetId="4">#REF!</definedName>
    <definedName name="__________var1" localSheetId="10">#REF!</definedName>
    <definedName name="__________var1" localSheetId="8">#REF!</definedName>
    <definedName name="__________var1">#REF!</definedName>
    <definedName name="__________var4" localSheetId="21">#REF!</definedName>
    <definedName name="__________var4" localSheetId="9">#REF!</definedName>
    <definedName name="__________var4" localSheetId="4">#REF!</definedName>
    <definedName name="__________var4" localSheetId="10">#REF!</definedName>
    <definedName name="__________var4" localSheetId="8">#REF!</definedName>
    <definedName name="__________var4">#REF!</definedName>
    <definedName name="__________vat1">#REF!</definedName>
    <definedName name="__________vat2">#REF!</definedName>
    <definedName name="__________xh2256">#REF!</definedName>
    <definedName name="__________xh2506">#REF!</definedName>
    <definedName name="__________xh2806">#REF!</definedName>
    <definedName name="__________xh3156">#REF!</definedName>
    <definedName name="__________xh634">#REF!</definedName>
    <definedName name="__________xk7100">#REF!</definedName>
    <definedName name="__________xk7150">#REF!</definedName>
    <definedName name="__________xk7250">#REF!</definedName>
    <definedName name="__________xk7300">#REF!</definedName>
    <definedName name="__________xp11010">#REF!</definedName>
    <definedName name="__________xp1104">#REF!</definedName>
    <definedName name="__________xp1106">#REF!</definedName>
    <definedName name="__________xp1254">#REF!</definedName>
    <definedName name="__________xp1256">#REF!</definedName>
    <definedName name="__________xp14010">#REF!</definedName>
    <definedName name="__________xp1404">#REF!</definedName>
    <definedName name="__________xp1406">#REF!</definedName>
    <definedName name="__________xp1604">#REF!</definedName>
    <definedName name="__________xp1606">#REF!</definedName>
    <definedName name="__________xp1804">#REF!</definedName>
    <definedName name="__________xp1806">#REF!</definedName>
    <definedName name="__________xp2006">#REF!</definedName>
    <definedName name="__________xp6310">#REF!</definedName>
    <definedName name="__________xp636">#REF!</definedName>
    <definedName name="__________xp7510">#REF!</definedName>
    <definedName name="__________xp754">#REF!</definedName>
    <definedName name="__________xp756">#REF!</definedName>
    <definedName name="__________xp9010">#REF!</definedName>
    <definedName name="__________xp904">#REF!</definedName>
    <definedName name="__________xp906">#REF!</definedName>
    <definedName name="_________bla1" localSheetId="21">[28]leads!$H$7</definedName>
    <definedName name="_________bla1" localSheetId="9">[28]leads!$H$7</definedName>
    <definedName name="_________bla1" localSheetId="4">[28]leads!$H$7</definedName>
    <definedName name="_________bla1" localSheetId="10">#REF!</definedName>
    <definedName name="_________bla1" localSheetId="8">[28]leads!$H$7</definedName>
    <definedName name="_________bla1">#REF!</definedName>
    <definedName name="_________BSG100">#REF!</definedName>
    <definedName name="_________BSG150">#REF!</definedName>
    <definedName name="_________BSG5">#REF!</definedName>
    <definedName name="_________BSG75">#REF!</definedName>
    <definedName name="_________BTC1">#REF!</definedName>
    <definedName name="_________BTC10">#REF!</definedName>
    <definedName name="_________BTC11">#REF!</definedName>
    <definedName name="_________BTC12">#REF!</definedName>
    <definedName name="_________BTC13">#REF!</definedName>
    <definedName name="_________BTC14">#REF!</definedName>
    <definedName name="_________BTC15">#REF!</definedName>
    <definedName name="_________BTC2">#REF!</definedName>
    <definedName name="_________BTC3">#REF!</definedName>
    <definedName name="_________BTC4">#REF!</definedName>
    <definedName name="_________BTC5">#REF!</definedName>
    <definedName name="_________BTC6">#REF!</definedName>
    <definedName name="_________BTC7">#REF!</definedName>
    <definedName name="_________BTC8">#REF!</definedName>
    <definedName name="_________BTC9">#REF!</definedName>
    <definedName name="_________BTS1">#REF!</definedName>
    <definedName name="_________BTS10">#REF!</definedName>
    <definedName name="_________BTS11">#REF!</definedName>
    <definedName name="_________BTS12">#REF!</definedName>
    <definedName name="_________BTS13">#REF!</definedName>
    <definedName name="_________BTS14">#REF!</definedName>
    <definedName name="_________BTS15">#REF!</definedName>
    <definedName name="_________BTS2">#REF!</definedName>
    <definedName name="_________BTS3">#REF!</definedName>
    <definedName name="_________BTS4">#REF!</definedName>
    <definedName name="_________BTS5">#REF!</definedName>
    <definedName name="_________BTS6">#REF!</definedName>
    <definedName name="_________BTS7">#REF!</definedName>
    <definedName name="_________BTS8">#REF!</definedName>
    <definedName name="_________BTS9">#REF!</definedName>
    <definedName name="_________can430">40.73</definedName>
    <definedName name="_________can435">43.3</definedName>
    <definedName name="_________cbr1" localSheetId="4">#REF!</definedName>
    <definedName name="_________cbr1">#REF!</definedName>
    <definedName name="_________cbr2" localSheetId="4">#REF!</definedName>
    <definedName name="_________cbr2">#REF!</definedName>
    <definedName name="_________cbr3" localSheetId="4">#REF!</definedName>
    <definedName name="_________cbr3">#REF!</definedName>
    <definedName name="_________cbr4" localSheetId="4">#REF!</definedName>
    <definedName name="_________cbr4">#REF!</definedName>
    <definedName name="_________CCW1">[42]DATA!$H$67</definedName>
    <definedName name="_________CCW2">[42]DATA!$H$97</definedName>
    <definedName name="_________cur1" localSheetId="21">[13]r!$F$30</definedName>
    <definedName name="_________cur1" localSheetId="9">[13]r!$F$30</definedName>
    <definedName name="_________cur1" localSheetId="4">[13]r!$F$30</definedName>
    <definedName name="_________cur1" localSheetId="8">[13]r!$F$30</definedName>
    <definedName name="_________cur1">#REF!</definedName>
    <definedName name="_________ewe1">#REF!</definedName>
    <definedName name="_________f1">#REF!</definedName>
    <definedName name="_________GBS11">#REF!</definedName>
    <definedName name="_________GBS110">#REF!</definedName>
    <definedName name="_________GBS111">#REF!</definedName>
    <definedName name="_________GBS112">#REF!</definedName>
    <definedName name="_________GBS113">#REF!</definedName>
    <definedName name="_________GBS114">#REF!</definedName>
    <definedName name="_________GBS115">#REF!</definedName>
    <definedName name="_________GBS12">#REF!</definedName>
    <definedName name="_________GBS13">#REF!</definedName>
    <definedName name="_________GBS14">#REF!</definedName>
    <definedName name="_________GBS15">#REF!</definedName>
    <definedName name="_________GBS16">#REF!</definedName>
    <definedName name="_________GBS17">#REF!</definedName>
    <definedName name="_________GBS18">#REF!</definedName>
    <definedName name="_________GBS19">#REF!</definedName>
    <definedName name="_________GBS21">#REF!</definedName>
    <definedName name="_________GBS210">#REF!</definedName>
    <definedName name="_________GBS211">#REF!</definedName>
    <definedName name="_________GBS212">#REF!</definedName>
    <definedName name="_________GBS213">#REF!</definedName>
    <definedName name="_________GBS214">#REF!</definedName>
    <definedName name="_________GBS215">#REF!</definedName>
    <definedName name="_________GBS22">#REF!</definedName>
    <definedName name="_________GBS23">#REF!</definedName>
    <definedName name="_________GBS24">#REF!</definedName>
    <definedName name="_________GBS25">#REF!</definedName>
    <definedName name="_________GBS26">#REF!</definedName>
    <definedName name="_________GBS27">#REF!</definedName>
    <definedName name="_________GBS28">#REF!</definedName>
    <definedName name="_________GBS29">#REF!</definedName>
    <definedName name="_________knr2">#REF!</definedName>
    <definedName name="_________l1" localSheetId="21">[29]leads!$A$3:$E$108</definedName>
    <definedName name="_________l1" localSheetId="9">[29]leads!$A$3:$E$108</definedName>
    <definedName name="_________l1" localSheetId="4">[29]leads!$A$3:$E$108</definedName>
    <definedName name="_________l1" localSheetId="10">#REF!</definedName>
    <definedName name="_________l1" localSheetId="8">[29]leads!$A$3:$E$108</definedName>
    <definedName name="_________l1">#REF!</definedName>
    <definedName name="_________l12" localSheetId="21">#REF!</definedName>
    <definedName name="_________l12" localSheetId="9">#REF!</definedName>
    <definedName name="_________l12" localSheetId="4">#REF!</definedName>
    <definedName name="_________l12" localSheetId="10">#REF!</definedName>
    <definedName name="_________l12" localSheetId="8">#REF!</definedName>
    <definedName name="_________l12">#REF!</definedName>
    <definedName name="_________l2" localSheetId="21">[13]r!$F$29</definedName>
    <definedName name="_________l2" localSheetId="9">[13]r!$F$29</definedName>
    <definedName name="_________l2" localSheetId="4">[13]r!$F$29</definedName>
    <definedName name="_________l2" localSheetId="8">[13]r!$F$29</definedName>
    <definedName name="_________l2">#REF!</definedName>
    <definedName name="_________l3" localSheetId="21">#REF!</definedName>
    <definedName name="_________l3" localSheetId="9">#REF!</definedName>
    <definedName name="_________l3" localSheetId="4">#REF!</definedName>
    <definedName name="_________l3" localSheetId="10">#REF!</definedName>
    <definedName name="_________l3" localSheetId="8">#REF!</definedName>
    <definedName name="_________l3">#REF!</definedName>
    <definedName name="_________l4" localSheetId="21">[30]Sheet1!$W$2:$Y$103</definedName>
    <definedName name="_________l4" localSheetId="9">[30]Sheet1!$W$2:$Y$103</definedName>
    <definedName name="_________l4" localSheetId="4">[30]Sheet1!$W$2:$Y$103</definedName>
    <definedName name="_________l4" localSheetId="10">#REF!</definedName>
    <definedName name="_________l4" localSheetId="8">[30]Sheet1!$W$2:$Y$103</definedName>
    <definedName name="_________l4">#REF!</definedName>
    <definedName name="_________l5" localSheetId="21">#REF!</definedName>
    <definedName name="_________l5" localSheetId="9">#REF!</definedName>
    <definedName name="_________l5" localSheetId="4">#REF!</definedName>
    <definedName name="_________l5" localSheetId="10">#REF!</definedName>
    <definedName name="_________l5" localSheetId="8">#REF!</definedName>
    <definedName name="_________l5">#REF!</definedName>
    <definedName name="_________l6" localSheetId="21">[13]r!$F$4</definedName>
    <definedName name="_________l6" localSheetId="9">[13]r!$F$4</definedName>
    <definedName name="_________l6" localSheetId="4">[13]r!$F$4</definedName>
    <definedName name="_________l6" localSheetId="8">[13]r!$F$4</definedName>
    <definedName name="_________l6">#REF!</definedName>
    <definedName name="_________l7" localSheetId="21">[14]r!$F$4</definedName>
    <definedName name="_________l7" localSheetId="9">[14]r!$F$4</definedName>
    <definedName name="_________l7" localSheetId="4">[14]r!$F$4</definedName>
    <definedName name="_________l7" localSheetId="8">[14]r!$F$4</definedName>
    <definedName name="_________l7">#REF!</definedName>
    <definedName name="_________l8" localSheetId="21">[13]r!$F$2</definedName>
    <definedName name="_________l8" localSheetId="9">[13]r!$F$2</definedName>
    <definedName name="_________l8" localSheetId="4">[13]r!$F$2</definedName>
    <definedName name="_________l8" localSheetId="8">[13]r!$F$2</definedName>
    <definedName name="_________l8">#REF!</definedName>
    <definedName name="_________l9" localSheetId="21">[13]r!$F$3</definedName>
    <definedName name="_________l9" localSheetId="9">[13]r!$F$3</definedName>
    <definedName name="_________l9" localSheetId="4">[13]r!$F$3</definedName>
    <definedName name="_________l9" localSheetId="8">[13]r!$F$3</definedName>
    <definedName name="_________l9">#REF!</definedName>
    <definedName name="_________LI9">#REF!</definedName>
    <definedName name="_________LII9">#REF!</definedName>
    <definedName name="_________LJ6">[42]DATA!$H$245</definedName>
    <definedName name="_________man1">#REF!</definedName>
    <definedName name="_________MIX124">#REF!</definedName>
    <definedName name="_________ML11">#REF!</definedName>
    <definedName name="_________ML110">#REF!</definedName>
    <definedName name="_________ML111">#REF!</definedName>
    <definedName name="_________ML112">#REF!</definedName>
    <definedName name="_________ML113">#REF!</definedName>
    <definedName name="_________ML114">#REF!</definedName>
    <definedName name="_________ML115">#REF!</definedName>
    <definedName name="_________ML12">#REF!</definedName>
    <definedName name="_________ML13">#REF!</definedName>
    <definedName name="_________ML14">#REF!</definedName>
    <definedName name="_________ML15">#REF!</definedName>
    <definedName name="_________ML16">#REF!</definedName>
    <definedName name="_________ML17">#REF!</definedName>
    <definedName name="_________ML18">#REF!</definedName>
    <definedName name="_________ML19">#REF!</definedName>
    <definedName name="_________ML21">#REF!</definedName>
    <definedName name="_________ML210">#REF!</definedName>
    <definedName name="_________ML211">#REF!</definedName>
    <definedName name="_________ML212">#REF!</definedName>
    <definedName name="_________ML213">#REF!</definedName>
    <definedName name="_________ML214">#REF!</definedName>
    <definedName name="_________ML215">#REF!</definedName>
    <definedName name="_________ML22">#REF!</definedName>
    <definedName name="_________ML23">#REF!</definedName>
    <definedName name="_________ML24">#REF!</definedName>
    <definedName name="_________ML25">#REF!</definedName>
    <definedName name="_________ML26">#REF!</definedName>
    <definedName name="_________ML27">#REF!</definedName>
    <definedName name="_________ML28">#REF!</definedName>
    <definedName name="_________ML29">#REF!</definedName>
    <definedName name="_________ML31">#REF!</definedName>
    <definedName name="_________ML310">#REF!</definedName>
    <definedName name="_________ML311">#REF!</definedName>
    <definedName name="_________ML312">#REF!</definedName>
    <definedName name="_________ML313">#REF!</definedName>
    <definedName name="_________ML314">#REF!</definedName>
    <definedName name="_________ML315">#REF!</definedName>
    <definedName name="_________ML32">#REF!</definedName>
    <definedName name="_________ML33">#REF!</definedName>
    <definedName name="_________ML34">#REF!</definedName>
    <definedName name="_________ML35">#REF!</definedName>
    <definedName name="_________ML36">#REF!</definedName>
    <definedName name="_________ML37">#REF!</definedName>
    <definedName name="_________ML38">#REF!</definedName>
    <definedName name="_________ML39">#REF!</definedName>
    <definedName name="_________ML7">#REF!</definedName>
    <definedName name="_________ML8">#REF!</definedName>
    <definedName name="_________ML9">#REF!</definedName>
    <definedName name="_________mm1" localSheetId="21">[31]r!$F$4</definedName>
    <definedName name="_________mm1" localSheetId="9">[31]r!$F$4</definedName>
    <definedName name="_________mm1" localSheetId="4">[31]r!$F$4</definedName>
    <definedName name="_________mm1" localSheetId="10">#REF!</definedName>
    <definedName name="_________mm1" localSheetId="8">[31]r!$F$4</definedName>
    <definedName name="_________mm1">#REF!</definedName>
    <definedName name="_________mm11" localSheetId="21">[13]r!$F$4</definedName>
    <definedName name="_________mm11" localSheetId="9">[13]r!$F$4</definedName>
    <definedName name="_________mm11" localSheetId="4">[13]r!$F$4</definedName>
    <definedName name="_________mm11" localSheetId="8">[13]r!$F$4</definedName>
    <definedName name="_________mm11">#REF!</definedName>
    <definedName name="_________mm111" localSheetId="21">[14]r!$F$4</definedName>
    <definedName name="_________mm111" localSheetId="9">[14]r!$F$4</definedName>
    <definedName name="_________mm111" localSheetId="4">[14]r!$F$4</definedName>
    <definedName name="_________mm111" localSheetId="8">[14]r!$F$4</definedName>
    <definedName name="_________mm111">#REF!</definedName>
    <definedName name="_________mm20">#REF!</definedName>
    <definedName name="_________mm40">#REF!</definedName>
    <definedName name="_________pc2" localSheetId="21">#REF!</definedName>
    <definedName name="_________pc2" localSheetId="9">#REF!</definedName>
    <definedName name="_________pc2" localSheetId="4">#REF!</definedName>
    <definedName name="_________pc2" localSheetId="10">#REF!</definedName>
    <definedName name="_________pc2" localSheetId="8">#REF!</definedName>
    <definedName name="_________pc2">#REF!</definedName>
    <definedName name="_________PMS2">#REF!</definedName>
    <definedName name="_________pv2" localSheetId="21">#REF!</definedName>
    <definedName name="_________pv2" localSheetId="9">#REF!</definedName>
    <definedName name="_________pv2" localSheetId="4">#REF!</definedName>
    <definedName name="_________pv2" localSheetId="10">#REF!</definedName>
    <definedName name="_________pv2" localSheetId="8">#REF!</definedName>
    <definedName name="_________pv2">#REF!</definedName>
    <definedName name="_________rr3" localSheetId="21">[32]v!$A$2:$E$51</definedName>
    <definedName name="_________rr3" localSheetId="9">[32]v!$A$2:$E$51</definedName>
    <definedName name="_________rr3" localSheetId="4">[32]v!$A$2:$E$51</definedName>
    <definedName name="_________rr3" localSheetId="10">#REF!</definedName>
    <definedName name="_________rr3" localSheetId="8">[32]v!$A$2:$E$51</definedName>
    <definedName name="_________rr3">#REF!</definedName>
    <definedName name="_________rrr1" localSheetId="21">[32]r!$B$1:$I$145</definedName>
    <definedName name="_________rrr1" localSheetId="9">[32]r!$B$1:$I$145</definedName>
    <definedName name="_________rrr1" localSheetId="4">[32]r!$B$1:$I$145</definedName>
    <definedName name="_________rrr1" localSheetId="10">#REF!</definedName>
    <definedName name="_________rrr1" localSheetId="8">[32]r!$B$1:$I$145</definedName>
    <definedName name="_________rrr1">#REF!</definedName>
    <definedName name="_________sd1">#REF!</definedName>
    <definedName name="_________ss12" localSheetId="21">[33]rdamdata!$J$8</definedName>
    <definedName name="_________ss12" localSheetId="9">[33]rdamdata!$J$8</definedName>
    <definedName name="_________ss12" localSheetId="4">[33]rdamdata!$J$8</definedName>
    <definedName name="_________ss12" localSheetId="10">#REF!</definedName>
    <definedName name="_________ss12" localSheetId="8">[33]rdamdata!$J$8</definedName>
    <definedName name="_________ss12">#REF!</definedName>
    <definedName name="_________ss20" localSheetId="21">[33]rdamdata!$J$7</definedName>
    <definedName name="_________ss20" localSheetId="9">[33]rdamdata!$J$7</definedName>
    <definedName name="_________ss20" localSheetId="4">[33]rdamdata!$J$7</definedName>
    <definedName name="_________ss20" localSheetId="10">#REF!</definedName>
    <definedName name="_________ss20" localSheetId="8">[33]rdamdata!$J$7</definedName>
    <definedName name="_________ss20">#REF!</definedName>
    <definedName name="_________ss40" localSheetId="21">[33]rdamdata!$J$6</definedName>
    <definedName name="_________ss40" localSheetId="9">[33]rdamdata!$J$6</definedName>
    <definedName name="_________ss40" localSheetId="4">[33]rdamdata!$J$6</definedName>
    <definedName name="_________ss40" localSheetId="10">#REF!</definedName>
    <definedName name="_________ss40" localSheetId="8">[33]rdamdata!$J$6</definedName>
    <definedName name="_________ss40">#REF!</definedName>
    <definedName name="_________var1" localSheetId="21">#REF!</definedName>
    <definedName name="_________var1" localSheetId="9">#REF!</definedName>
    <definedName name="_________var1" localSheetId="4">#REF!</definedName>
    <definedName name="_________var1" localSheetId="10">#REF!</definedName>
    <definedName name="_________var1" localSheetId="8">#REF!</definedName>
    <definedName name="_________var1">#REF!</definedName>
    <definedName name="_________var4" localSheetId="21">#REF!</definedName>
    <definedName name="_________var4" localSheetId="9">#REF!</definedName>
    <definedName name="_________var4" localSheetId="4">#REF!</definedName>
    <definedName name="_________var4" localSheetId="10">#REF!</definedName>
    <definedName name="_________var4" localSheetId="8">#REF!</definedName>
    <definedName name="_________var4">#REF!</definedName>
    <definedName name="_________vat1" localSheetId="4">#REF!</definedName>
    <definedName name="_________vat1">#REF!</definedName>
    <definedName name="_________vat2" localSheetId="4">#REF!</definedName>
    <definedName name="_________vat2">#REF!</definedName>
    <definedName name="_________xh2256">#REF!</definedName>
    <definedName name="_________xh2506">#REF!</definedName>
    <definedName name="_________xh2806">#REF!</definedName>
    <definedName name="_________xh3156">#REF!</definedName>
    <definedName name="_________xh634">#REF!</definedName>
    <definedName name="_________xk7100">#REF!</definedName>
    <definedName name="_________xk7150">#REF!</definedName>
    <definedName name="_________xk7250">#REF!</definedName>
    <definedName name="_________xk7300">#REF!</definedName>
    <definedName name="_________xp11010">#REF!</definedName>
    <definedName name="_________xp1104">#REF!</definedName>
    <definedName name="_________xp1106">#REF!</definedName>
    <definedName name="_________xp1254">#REF!</definedName>
    <definedName name="_________xp1256">#REF!</definedName>
    <definedName name="_________xp14010">#REF!</definedName>
    <definedName name="_________xp1404">#REF!</definedName>
    <definedName name="_________xp1406">#REF!</definedName>
    <definedName name="_________xp1604">#REF!</definedName>
    <definedName name="_________xp1606">#REF!</definedName>
    <definedName name="_________xp1804">#REF!</definedName>
    <definedName name="_________xp1806">#REF!</definedName>
    <definedName name="_________xp2006">#REF!</definedName>
    <definedName name="_________xp6310">#REF!</definedName>
    <definedName name="_________xp636">#REF!</definedName>
    <definedName name="_________xp7510">#REF!</definedName>
    <definedName name="_________xp754">#REF!</definedName>
    <definedName name="_________xp756">#REF!</definedName>
    <definedName name="_________xp9010">#REF!</definedName>
    <definedName name="_________xp904">#REF!</definedName>
    <definedName name="_________xp906">#REF!</definedName>
    <definedName name="________bla1" localSheetId="21">[15]leads!$H$7</definedName>
    <definedName name="________bla1" localSheetId="9">[15]leads!$H$7</definedName>
    <definedName name="________bla1" localSheetId="4">[15]leads!$H$7</definedName>
    <definedName name="________bla1" localSheetId="8">[15]leads!$H$7</definedName>
    <definedName name="________bla1">#REF!</definedName>
    <definedName name="________BSG100">#REF!</definedName>
    <definedName name="________BSG150">#REF!</definedName>
    <definedName name="________BSG5">#REF!</definedName>
    <definedName name="________BSG75">#REF!</definedName>
    <definedName name="________BTC1">#REF!</definedName>
    <definedName name="________BTC10">#REF!</definedName>
    <definedName name="________BTC11">#REF!</definedName>
    <definedName name="________BTC12">#REF!</definedName>
    <definedName name="________BTC13">#REF!</definedName>
    <definedName name="________BTC14">#REF!</definedName>
    <definedName name="________BTC15">#REF!</definedName>
    <definedName name="________BTC2">#REF!</definedName>
    <definedName name="________BTC3">#REF!</definedName>
    <definedName name="________BTC4">#REF!</definedName>
    <definedName name="________BTC5">#REF!</definedName>
    <definedName name="________BTC6">#REF!</definedName>
    <definedName name="________BTC7">#REF!</definedName>
    <definedName name="________BTC8">#REF!</definedName>
    <definedName name="________BTC9">#REF!</definedName>
    <definedName name="________BTS1">#REF!</definedName>
    <definedName name="________BTS10">#REF!</definedName>
    <definedName name="________BTS11">#REF!</definedName>
    <definedName name="________BTS12">#REF!</definedName>
    <definedName name="________BTS13">#REF!</definedName>
    <definedName name="________BTS14">#REF!</definedName>
    <definedName name="________BTS15">#REF!</definedName>
    <definedName name="________BTS2">#REF!</definedName>
    <definedName name="________BTS3">#REF!</definedName>
    <definedName name="________BTS4">#REF!</definedName>
    <definedName name="________BTS5">#REF!</definedName>
    <definedName name="________BTS6">#REF!</definedName>
    <definedName name="________BTS7">#REF!</definedName>
    <definedName name="________BTS8">#REF!</definedName>
    <definedName name="________BTS9">#REF!</definedName>
    <definedName name="________can430">40.73</definedName>
    <definedName name="________can435">43.3</definedName>
    <definedName name="________cbr1" localSheetId="4">#REF!</definedName>
    <definedName name="________cbr1">#REF!</definedName>
    <definedName name="________cbr2" localSheetId="4">#REF!</definedName>
    <definedName name="________cbr2">#REF!</definedName>
    <definedName name="________cbr3" localSheetId="4">#REF!</definedName>
    <definedName name="________cbr3">#REF!</definedName>
    <definedName name="________cbr4" localSheetId="4">#REF!</definedName>
    <definedName name="________cbr4">#REF!</definedName>
    <definedName name="________CCW1">[43]DATA!$H$67</definedName>
    <definedName name="________CCW2">[43]DATA!$H$97</definedName>
    <definedName name="________cur1" localSheetId="21">[13]r!$F$30</definedName>
    <definedName name="________cur1" localSheetId="9">[13]r!$F$30</definedName>
    <definedName name="________cur1" localSheetId="4">[13]r!$F$30</definedName>
    <definedName name="________cur1" localSheetId="8">[13]r!$F$30</definedName>
    <definedName name="________cur1">#REF!</definedName>
    <definedName name="________ewe1">#REF!</definedName>
    <definedName name="________f1">#REF!</definedName>
    <definedName name="________GBS11">#REF!</definedName>
    <definedName name="________GBS110">#REF!</definedName>
    <definedName name="________GBS111">#REF!</definedName>
    <definedName name="________GBS112">#REF!</definedName>
    <definedName name="________GBS113">#REF!</definedName>
    <definedName name="________GBS114">#REF!</definedName>
    <definedName name="________GBS115">#REF!</definedName>
    <definedName name="________GBS12">#REF!</definedName>
    <definedName name="________GBS13">#REF!</definedName>
    <definedName name="________GBS14">#REF!</definedName>
    <definedName name="________GBS15">#REF!</definedName>
    <definedName name="________GBS16">#REF!</definedName>
    <definedName name="________GBS17">#REF!</definedName>
    <definedName name="________GBS18">#REF!</definedName>
    <definedName name="________GBS19">#REF!</definedName>
    <definedName name="________GBS21">#REF!</definedName>
    <definedName name="________GBS210">#REF!</definedName>
    <definedName name="________GBS211">#REF!</definedName>
    <definedName name="________GBS212">#REF!</definedName>
    <definedName name="________GBS213">#REF!</definedName>
    <definedName name="________GBS214">#REF!</definedName>
    <definedName name="________GBS215">#REF!</definedName>
    <definedName name="________GBS22">#REF!</definedName>
    <definedName name="________GBS23">#REF!</definedName>
    <definedName name="________GBS24">#REF!</definedName>
    <definedName name="________GBS25">#REF!</definedName>
    <definedName name="________GBS26">#REF!</definedName>
    <definedName name="________GBS27">#REF!</definedName>
    <definedName name="________GBS28">#REF!</definedName>
    <definedName name="________GBS29">#REF!</definedName>
    <definedName name="________imp1">[44]DATA_PRG!$H$245</definedName>
    <definedName name="________knr2">#REF!</definedName>
    <definedName name="________l1" localSheetId="21">[16]leads!$A$3:$E$108</definedName>
    <definedName name="________l1" localSheetId="9">[16]leads!$A$3:$E$108</definedName>
    <definedName name="________l1" localSheetId="4">[16]leads!$A$3:$E$108</definedName>
    <definedName name="________l1" localSheetId="8">[16]leads!$A$3:$E$108</definedName>
    <definedName name="________l1">#REF!</definedName>
    <definedName name="________l12" localSheetId="21">#REF!</definedName>
    <definedName name="________l12" localSheetId="9">#REF!</definedName>
    <definedName name="________l12" localSheetId="4">#REF!</definedName>
    <definedName name="________l12" localSheetId="10">#REF!</definedName>
    <definedName name="________l12" localSheetId="8">#REF!</definedName>
    <definedName name="________l12">#REF!</definedName>
    <definedName name="________l2" localSheetId="21">[13]r!$F$29</definedName>
    <definedName name="________l2" localSheetId="9">[13]r!$F$29</definedName>
    <definedName name="________l2" localSheetId="4">[13]r!$F$29</definedName>
    <definedName name="________l2" localSheetId="8">[13]r!$F$29</definedName>
    <definedName name="________l2">#REF!</definedName>
    <definedName name="________l3" localSheetId="21">#REF!</definedName>
    <definedName name="________l3" localSheetId="9">#REF!</definedName>
    <definedName name="________l3" localSheetId="4">#REF!</definedName>
    <definedName name="________l3" localSheetId="10">#REF!</definedName>
    <definedName name="________l3" localSheetId="8">#REF!</definedName>
    <definedName name="________l3">#REF!</definedName>
    <definedName name="________l4" localSheetId="21">[17]Sheet1!$W$2:$Y$103</definedName>
    <definedName name="________l4" localSheetId="9">[17]Sheet1!$W$2:$Y$103</definedName>
    <definedName name="________l4" localSheetId="4">[17]Sheet1!$W$2:$Y$103</definedName>
    <definedName name="________l4" localSheetId="8">[17]Sheet1!$W$2:$Y$103</definedName>
    <definedName name="________l4">#REF!</definedName>
    <definedName name="________l5" localSheetId="21">#REF!</definedName>
    <definedName name="________l5" localSheetId="9">#REF!</definedName>
    <definedName name="________l5" localSheetId="4">#REF!</definedName>
    <definedName name="________l5" localSheetId="10">#REF!</definedName>
    <definedName name="________l5" localSheetId="8">#REF!</definedName>
    <definedName name="________l5">#REF!</definedName>
    <definedName name="________l6" localSheetId="21">[13]r!$F$4</definedName>
    <definedName name="________l6" localSheetId="9">[13]r!$F$4</definedName>
    <definedName name="________l6" localSheetId="4">[13]r!$F$4</definedName>
    <definedName name="________l6" localSheetId="8">[13]r!$F$4</definedName>
    <definedName name="________l6">#REF!</definedName>
    <definedName name="________l7" localSheetId="21">[14]r!$F$4</definedName>
    <definedName name="________l7" localSheetId="9">[14]r!$F$4</definedName>
    <definedName name="________l7" localSheetId="4">[14]r!$F$4</definedName>
    <definedName name="________l7" localSheetId="8">[14]r!$F$4</definedName>
    <definedName name="________l7">#REF!</definedName>
    <definedName name="________l8" localSheetId="21">[13]r!$F$2</definedName>
    <definedName name="________l8" localSheetId="9">[13]r!$F$2</definedName>
    <definedName name="________l8" localSheetId="4">[13]r!$F$2</definedName>
    <definedName name="________l8" localSheetId="8">[13]r!$F$2</definedName>
    <definedName name="________l8">#REF!</definedName>
    <definedName name="________l9" localSheetId="21">[13]r!$F$3</definedName>
    <definedName name="________l9" localSheetId="9">[13]r!$F$3</definedName>
    <definedName name="________l9" localSheetId="4">[13]r!$F$3</definedName>
    <definedName name="________l9" localSheetId="8">[13]r!$F$3</definedName>
    <definedName name="________l9">#REF!</definedName>
    <definedName name="________LI9">#REF!</definedName>
    <definedName name="________LII9">#REF!</definedName>
    <definedName name="________LJ6">[43]DATA!$H$245</definedName>
    <definedName name="________MA2">#REF!</definedName>
    <definedName name="________man1">#REF!</definedName>
    <definedName name="________MIX124">#REF!</definedName>
    <definedName name="________ML11">#REF!</definedName>
    <definedName name="________ML110">#REF!</definedName>
    <definedName name="________ML111">#REF!</definedName>
    <definedName name="________ML112">#REF!</definedName>
    <definedName name="________ML113">#REF!</definedName>
    <definedName name="________ML114">#REF!</definedName>
    <definedName name="________ML115">#REF!</definedName>
    <definedName name="________ML12">#REF!</definedName>
    <definedName name="________ML13">#REF!</definedName>
    <definedName name="________ML14">#REF!</definedName>
    <definedName name="________ML15">#REF!</definedName>
    <definedName name="________ML16">#REF!</definedName>
    <definedName name="________ML17">#REF!</definedName>
    <definedName name="________ML18">#REF!</definedName>
    <definedName name="________ML19">#REF!</definedName>
    <definedName name="________ML21">#REF!</definedName>
    <definedName name="________ML210">#REF!</definedName>
    <definedName name="________ML211">#REF!</definedName>
    <definedName name="________ML212">#REF!</definedName>
    <definedName name="________ML213">#REF!</definedName>
    <definedName name="________ML214">#REF!</definedName>
    <definedName name="________ML215">#REF!</definedName>
    <definedName name="________ML22">#REF!</definedName>
    <definedName name="________ML23">#REF!</definedName>
    <definedName name="________ML24">#REF!</definedName>
    <definedName name="________ML25">#REF!</definedName>
    <definedName name="________ML26">#REF!</definedName>
    <definedName name="________ML27">#REF!</definedName>
    <definedName name="________ML28">#REF!</definedName>
    <definedName name="________ML29">#REF!</definedName>
    <definedName name="________ML31">#REF!</definedName>
    <definedName name="________ML310">#REF!</definedName>
    <definedName name="________ML311">#REF!</definedName>
    <definedName name="________ML312">#REF!</definedName>
    <definedName name="________ML313">#REF!</definedName>
    <definedName name="________ML314">#REF!</definedName>
    <definedName name="________ML315">#REF!</definedName>
    <definedName name="________ML32">#REF!</definedName>
    <definedName name="________ML33">#REF!</definedName>
    <definedName name="________ML34">#REF!</definedName>
    <definedName name="________ML35">#REF!</definedName>
    <definedName name="________ML36">#REF!</definedName>
    <definedName name="________ML37">#REF!</definedName>
    <definedName name="________ML38">#REF!</definedName>
    <definedName name="________ML39">#REF!</definedName>
    <definedName name="________ML7">#REF!</definedName>
    <definedName name="________ML8">#REF!</definedName>
    <definedName name="________ML9">#REF!</definedName>
    <definedName name="________mm1" localSheetId="21">[19]r!$F$4</definedName>
    <definedName name="________mm1" localSheetId="9">[19]r!$F$4</definedName>
    <definedName name="________mm1" localSheetId="4">[19]r!$F$4</definedName>
    <definedName name="________mm1" localSheetId="8">[19]r!$F$4</definedName>
    <definedName name="________mm1">#REF!</definedName>
    <definedName name="________mm11" localSheetId="21">[13]r!$F$4</definedName>
    <definedName name="________mm11" localSheetId="9">[13]r!$F$4</definedName>
    <definedName name="________mm11" localSheetId="4">[13]r!$F$4</definedName>
    <definedName name="________mm11" localSheetId="8">[13]r!$F$4</definedName>
    <definedName name="________mm11">#REF!</definedName>
    <definedName name="________mm111" localSheetId="21">[14]r!$F$4</definedName>
    <definedName name="________mm111" localSheetId="9">[14]r!$F$4</definedName>
    <definedName name="________mm111" localSheetId="4">[14]r!$F$4</definedName>
    <definedName name="________mm111" localSheetId="8">[14]r!$F$4</definedName>
    <definedName name="________mm111">#REF!</definedName>
    <definedName name="________mm2">[45]r!$F$4</definedName>
    <definedName name="________mm20" localSheetId="21">#REF!</definedName>
    <definedName name="________mm40" localSheetId="21">#REF!</definedName>
    <definedName name="________pc2" localSheetId="21">#REF!</definedName>
    <definedName name="________pc2" localSheetId="9">#REF!</definedName>
    <definedName name="________pc2" localSheetId="4">#REF!</definedName>
    <definedName name="________pc2" localSheetId="10">#REF!</definedName>
    <definedName name="________pc2" localSheetId="8">#REF!</definedName>
    <definedName name="________pc2">#REF!</definedName>
    <definedName name="________pla4">[46]DATA_PRG!$H$269</definedName>
    <definedName name="________PMS2">#REF!</definedName>
    <definedName name="________pv2" localSheetId="21">#REF!</definedName>
    <definedName name="________pv2" localSheetId="9">#REF!</definedName>
    <definedName name="________pv2" localSheetId="4">#REF!</definedName>
    <definedName name="________pv2" localSheetId="10">#REF!</definedName>
    <definedName name="________pv2" localSheetId="8">#REF!</definedName>
    <definedName name="________pv2">#REF!</definedName>
    <definedName name="________rr3" localSheetId="21">[20]v!$A$2:$E$51</definedName>
    <definedName name="________rr3" localSheetId="9">[20]v!$A$2:$E$51</definedName>
    <definedName name="________rr3" localSheetId="4">[20]v!$A$2:$E$51</definedName>
    <definedName name="________rr3" localSheetId="8">[20]v!$A$2:$E$51</definedName>
    <definedName name="________rr3">#REF!</definedName>
    <definedName name="________rrr1" localSheetId="21">[20]r!$B$1:$I$145</definedName>
    <definedName name="________rrr1" localSheetId="9">[20]r!$B$1:$I$145</definedName>
    <definedName name="________rrr1" localSheetId="4">[20]r!$B$1:$I$145</definedName>
    <definedName name="________rrr1" localSheetId="8">[20]r!$B$1:$I$145</definedName>
    <definedName name="________rrr1">#REF!</definedName>
    <definedName name="________sd1">#REF!</definedName>
    <definedName name="________SP10">[47]Sheet1!$C$18</definedName>
    <definedName name="________SP16">[47]Sheet1!$C$24</definedName>
    <definedName name="________SP7">[47]Sheet1!$C$15</definedName>
    <definedName name="________ss12" localSheetId="21">[21]rdamdata!$J$8</definedName>
    <definedName name="________ss12" localSheetId="9">[21]rdamdata!$J$8</definedName>
    <definedName name="________ss12" localSheetId="4">[21]rdamdata!$J$8</definedName>
    <definedName name="________ss12" localSheetId="8">[21]rdamdata!$J$8</definedName>
    <definedName name="________ss12">#REF!</definedName>
    <definedName name="________ss20" localSheetId="21">[21]rdamdata!$J$7</definedName>
    <definedName name="________ss20" localSheetId="9">[21]rdamdata!$J$7</definedName>
    <definedName name="________ss20" localSheetId="4">[21]rdamdata!$J$7</definedName>
    <definedName name="________ss20" localSheetId="8">[21]rdamdata!$J$7</definedName>
    <definedName name="________ss20">#REF!</definedName>
    <definedName name="________ss40" localSheetId="21">[21]rdamdata!$J$6</definedName>
    <definedName name="________ss40" localSheetId="9">[21]rdamdata!$J$6</definedName>
    <definedName name="________ss40" localSheetId="4">[21]rdamdata!$J$6</definedName>
    <definedName name="________ss40" localSheetId="8">[21]rdamdata!$J$6</definedName>
    <definedName name="________ss40">#REF!</definedName>
    <definedName name="________var1" localSheetId="21">#REF!</definedName>
    <definedName name="________var1" localSheetId="9">#REF!</definedName>
    <definedName name="________var1" localSheetId="4">#REF!</definedName>
    <definedName name="________var1" localSheetId="10">#REF!</definedName>
    <definedName name="________var1" localSheetId="8">#REF!</definedName>
    <definedName name="________var1">#REF!</definedName>
    <definedName name="________var4" localSheetId="21">#REF!</definedName>
    <definedName name="________var4" localSheetId="9">#REF!</definedName>
    <definedName name="________var4" localSheetId="4">#REF!</definedName>
    <definedName name="________var4" localSheetId="10">#REF!</definedName>
    <definedName name="________var4" localSheetId="8">#REF!</definedName>
    <definedName name="________var4">#REF!</definedName>
    <definedName name="________vat1" localSheetId="4">#REF!</definedName>
    <definedName name="________vat1">#REF!</definedName>
    <definedName name="________vat2" localSheetId="4">#REF!</definedName>
    <definedName name="________vat2">#REF!</definedName>
    <definedName name="________xh2256">#REF!</definedName>
    <definedName name="________xh2506">#REF!</definedName>
    <definedName name="________xh2806">#REF!</definedName>
    <definedName name="________xh3156">#REF!</definedName>
    <definedName name="________xh634">#REF!</definedName>
    <definedName name="________xk7100">#REF!</definedName>
    <definedName name="________xk7150">#REF!</definedName>
    <definedName name="________xk7250">#REF!</definedName>
    <definedName name="________xk7300">#REF!</definedName>
    <definedName name="________xp11010">#REF!</definedName>
    <definedName name="________xp1104">#REF!</definedName>
    <definedName name="________xp1106">#REF!</definedName>
    <definedName name="________xp1254">#REF!</definedName>
    <definedName name="________xp1256">#REF!</definedName>
    <definedName name="________xp14010">#REF!</definedName>
    <definedName name="________xp1404">#REF!</definedName>
    <definedName name="________xp1406">#REF!</definedName>
    <definedName name="________xp1604">#REF!</definedName>
    <definedName name="________xp1606">#REF!</definedName>
    <definedName name="________xp1804">#REF!</definedName>
    <definedName name="________xp1806">#REF!</definedName>
    <definedName name="________xp2006">#REF!</definedName>
    <definedName name="________xp6310">#REF!</definedName>
    <definedName name="________xp636">#REF!</definedName>
    <definedName name="________xp7510">#REF!</definedName>
    <definedName name="________xp754">#REF!</definedName>
    <definedName name="________xp756">#REF!</definedName>
    <definedName name="________xp9010">#REF!</definedName>
    <definedName name="________xp904">#REF!</definedName>
    <definedName name="________xp906">#REF!</definedName>
    <definedName name="_______bla1" localSheetId="21">[28]leads!$H$7</definedName>
    <definedName name="_______bla1" localSheetId="9">[28]leads!$H$7</definedName>
    <definedName name="_______bla1" localSheetId="4">[28]leads!$H$7</definedName>
    <definedName name="_______bla1" localSheetId="10">#REF!</definedName>
    <definedName name="_______bla1" localSheetId="8">[28]leads!$H$7</definedName>
    <definedName name="_______bla1">#REF!</definedName>
    <definedName name="_______BSG100">#REF!</definedName>
    <definedName name="_______BSG150">#REF!</definedName>
    <definedName name="_______BSG5">#REF!</definedName>
    <definedName name="_______BSG75">#REF!</definedName>
    <definedName name="_______BTC1">#REF!</definedName>
    <definedName name="_______BTC10">#REF!</definedName>
    <definedName name="_______BTC11">#REF!</definedName>
    <definedName name="_______BTC12">#REF!</definedName>
    <definedName name="_______BTC13">#REF!</definedName>
    <definedName name="_______BTC14">#REF!</definedName>
    <definedName name="_______BTC15">#REF!</definedName>
    <definedName name="_______BTC2">#REF!</definedName>
    <definedName name="_______BTC3">#REF!</definedName>
    <definedName name="_______BTC4">#REF!</definedName>
    <definedName name="_______BTC5">#REF!</definedName>
    <definedName name="_______BTC6">#REF!</definedName>
    <definedName name="_______BTC7">#REF!</definedName>
    <definedName name="_______BTC8">#REF!</definedName>
    <definedName name="_______BTC9">#REF!</definedName>
    <definedName name="_______BTS1">#REF!</definedName>
    <definedName name="_______BTS10">#REF!</definedName>
    <definedName name="_______BTS11">#REF!</definedName>
    <definedName name="_______BTS12">#REF!</definedName>
    <definedName name="_______BTS13">#REF!</definedName>
    <definedName name="_______BTS14">#REF!</definedName>
    <definedName name="_______BTS15">#REF!</definedName>
    <definedName name="_______BTS2">#REF!</definedName>
    <definedName name="_______BTS3">#REF!</definedName>
    <definedName name="_______BTS4">#REF!</definedName>
    <definedName name="_______BTS5">#REF!</definedName>
    <definedName name="_______BTS6">#REF!</definedName>
    <definedName name="_______BTS7">#REF!</definedName>
    <definedName name="_______BTS8">#REF!</definedName>
    <definedName name="_______BTS9">#REF!</definedName>
    <definedName name="_______can430">40.73</definedName>
    <definedName name="_______can435">43.3</definedName>
    <definedName name="_______cbr1" localSheetId="4">#REF!</definedName>
    <definedName name="_______cbr1">#REF!</definedName>
    <definedName name="_______cbr2" localSheetId="4">#REF!</definedName>
    <definedName name="_______cbr2">#REF!</definedName>
    <definedName name="_______cbr3" localSheetId="4">#REF!</definedName>
    <definedName name="_______cbr3">#REF!</definedName>
    <definedName name="_______cbr4" localSheetId="4">#REF!</definedName>
    <definedName name="_______cbr4">#REF!</definedName>
    <definedName name="_______CCW1" localSheetId="21">[43]DATA!$H$67</definedName>
    <definedName name="_______CCW2" localSheetId="21">[43]DATA!$H$97</definedName>
    <definedName name="_______cur1" localSheetId="21">[13]r!$F$30</definedName>
    <definedName name="_______cur1" localSheetId="9">[13]r!$F$30</definedName>
    <definedName name="_______cur1" localSheetId="4">[13]r!$F$30</definedName>
    <definedName name="_______cur1" localSheetId="8">[13]r!$F$30</definedName>
    <definedName name="_______cur1">#REF!</definedName>
    <definedName name="_______ewe1">#REF!</definedName>
    <definedName name="_______f1">#REF!</definedName>
    <definedName name="_______GBS11">#REF!</definedName>
    <definedName name="_______GBS110">#REF!</definedName>
    <definedName name="_______GBS111">#REF!</definedName>
    <definedName name="_______GBS112">#REF!</definedName>
    <definedName name="_______GBS113">#REF!</definedName>
    <definedName name="_______GBS114">#REF!</definedName>
    <definedName name="_______GBS115">#REF!</definedName>
    <definedName name="_______GBS12">#REF!</definedName>
    <definedName name="_______GBS13">#REF!</definedName>
    <definedName name="_______GBS14">#REF!</definedName>
    <definedName name="_______GBS15">#REF!</definedName>
    <definedName name="_______GBS16">#REF!</definedName>
    <definedName name="_______GBS17">#REF!</definedName>
    <definedName name="_______GBS18">#REF!</definedName>
    <definedName name="_______GBS19">#REF!</definedName>
    <definedName name="_______GBS21">#REF!</definedName>
    <definedName name="_______GBS210">#REF!</definedName>
    <definedName name="_______GBS211">#REF!</definedName>
    <definedName name="_______GBS212">#REF!</definedName>
    <definedName name="_______GBS213">#REF!</definedName>
    <definedName name="_______GBS214">#REF!</definedName>
    <definedName name="_______GBS215">#REF!</definedName>
    <definedName name="_______GBS22">#REF!</definedName>
    <definedName name="_______GBS23">#REF!</definedName>
    <definedName name="_______GBS24">#REF!</definedName>
    <definedName name="_______GBS25">#REF!</definedName>
    <definedName name="_______GBS26">#REF!</definedName>
    <definedName name="_______GBS27">#REF!</definedName>
    <definedName name="_______GBS28">#REF!</definedName>
    <definedName name="_______GBS29">#REF!</definedName>
    <definedName name="_______imp1">[44]DATA_PRG!$H$245</definedName>
    <definedName name="_______knr2">#REF!</definedName>
    <definedName name="_______l1" localSheetId="21">[29]leads!$A$3:$E$108</definedName>
    <definedName name="_______l1" localSheetId="9">[29]leads!$A$3:$E$108</definedName>
    <definedName name="_______l1" localSheetId="4">[29]leads!$A$3:$E$108</definedName>
    <definedName name="_______l1" localSheetId="10">#REF!</definedName>
    <definedName name="_______l1" localSheetId="8">[29]leads!$A$3:$E$108</definedName>
    <definedName name="_______l1">#REF!</definedName>
    <definedName name="_______l12" localSheetId="21">#REF!</definedName>
    <definedName name="_______l12" localSheetId="9">#REF!</definedName>
    <definedName name="_______l12" localSheetId="4">#REF!</definedName>
    <definedName name="_______l12" localSheetId="10">#REF!</definedName>
    <definedName name="_______l12" localSheetId="8">#REF!</definedName>
    <definedName name="_______l12">#REF!</definedName>
    <definedName name="_______l2" localSheetId="21">[13]r!$F$29</definedName>
    <definedName name="_______l2" localSheetId="9">[13]r!$F$29</definedName>
    <definedName name="_______l2" localSheetId="4">[13]r!$F$29</definedName>
    <definedName name="_______l2" localSheetId="8">[13]r!$F$29</definedName>
    <definedName name="_______l2">#REF!</definedName>
    <definedName name="_______l3" localSheetId="21">#REF!</definedName>
    <definedName name="_______l3" localSheetId="9">#REF!</definedName>
    <definedName name="_______l3" localSheetId="4">#REF!</definedName>
    <definedName name="_______l3" localSheetId="10">#REF!</definedName>
    <definedName name="_______l3" localSheetId="8">#REF!</definedName>
    <definedName name="_______l3">#REF!</definedName>
    <definedName name="_______l4" localSheetId="21">[30]Sheet1!$W$2:$Y$103</definedName>
    <definedName name="_______l4" localSheetId="9">[30]Sheet1!$W$2:$Y$103</definedName>
    <definedName name="_______l4" localSheetId="4">[30]Sheet1!$W$2:$Y$103</definedName>
    <definedName name="_______l4" localSheetId="10">#REF!</definedName>
    <definedName name="_______l4" localSheetId="8">[30]Sheet1!$W$2:$Y$103</definedName>
    <definedName name="_______l4">#REF!</definedName>
    <definedName name="_______l5" localSheetId="21">#REF!</definedName>
    <definedName name="_______l5" localSheetId="9">#REF!</definedName>
    <definedName name="_______l5" localSheetId="4">#REF!</definedName>
    <definedName name="_______l5" localSheetId="10">#REF!</definedName>
    <definedName name="_______l5" localSheetId="8">#REF!</definedName>
    <definedName name="_______l5">#REF!</definedName>
    <definedName name="_______l6" localSheetId="21">[13]r!$F$4</definedName>
    <definedName name="_______l6" localSheetId="9">[13]r!$F$4</definedName>
    <definedName name="_______l6" localSheetId="4">[13]r!$F$4</definedName>
    <definedName name="_______l6" localSheetId="8">[13]r!$F$4</definedName>
    <definedName name="_______l6">#REF!</definedName>
    <definedName name="_______l7" localSheetId="21">[14]r!$F$4</definedName>
    <definedName name="_______l7" localSheetId="9">[14]r!$F$4</definedName>
    <definedName name="_______l7" localSheetId="4">[14]r!$F$4</definedName>
    <definedName name="_______l7" localSheetId="8">[14]r!$F$4</definedName>
    <definedName name="_______l7">#REF!</definedName>
    <definedName name="_______l8" localSheetId="21">[13]r!$F$2</definedName>
    <definedName name="_______l8" localSheetId="9">[13]r!$F$2</definedName>
    <definedName name="_______l8" localSheetId="4">[13]r!$F$2</definedName>
    <definedName name="_______l8" localSheetId="8">[13]r!$F$2</definedName>
    <definedName name="_______l8">#REF!</definedName>
    <definedName name="_______l9" localSheetId="21">[13]r!$F$3</definedName>
    <definedName name="_______l9" localSheetId="9">[13]r!$F$3</definedName>
    <definedName name="_______l9" localSheetId="4">[13]r!$F$3</definedName>
    <definedName name="_______l9" localSheetId="8">[13]r!$F$3</definedName>
    <definedName name="_______l9">#REF!</definedName>
    <definedName name="_______LI9">#REF!</definedName>
    <definedName name="_______LII9">#REF!</definedName>
    <definedName name="_______LJ6" localSheetId="21">[43]DATA!$H$245</definedName>
    <definedName name="_______lj900">#REF!</definedName>
    <definedName name="_______MA1">#REF!</definedName>
    <definedName name="_______MA2">#REF!</definedName>
    <definedName name="_______man1">#REF!</definedName>
    <definedName name="_______MIX124">#REF!</definedName>
    <definedName name="_______ML11">#REF!</definedName>
    <definedName name="_______ML110">#REF!</definedName>
    <definedName name="_______ML111">#REF!</definedName>
    <definedName name="_______ML112">#REF!</definedName>
    <definedName name="_______ML113">#REF!</definedName>
    <definedName name="_______ML114">#REF!</definedName>
    <definedName name="_______ML115">#REF!</definedName>
    <definedName name="_______ML12">#REF!</definedName>
    <definedName name="_______ML13">#REF!</definedName>
    <definedName name="_______ML14">#REF!</definedName>
    <definedName name="_______ML15">#REF!</definedName>
    <definedName name="_______ML16">#REF!</definedName>
    <definedName name="_______ML17">#REF!</definedName>
    <definedName name="_______ML18">#REF!</definedName>
    <definedName name="_______ML19">#REF!</definedName>
    <definedName name="_______ML21">#REF!</definedName>
    <definedName name="_______ML210">#REF!</definedName>
    <definedName name="_______ML211">#REF!</definedName>
    <definedName name="_______ML212">#REF!</definedName>
    <definedName name="_______ML213">#REF!</definedName>
    <definedName name="_______ML214">#REF!</definedName>
    <definedName name="_______ML215">#REF!</definedName>
    <definedName name="_______ML22">#REF!</definedName>
    <definedName name="_______ML23">#REF!</definedName>
    <definedName name="_______ML24">#REF!</definedName>
    <definedName name="_______ML25">#REF!</definedName>
    <definedName name="_______ML26">#REF!</definedName>
    <definedName name="_______ML27">#REF!</definedName>
    <definedName name="_______ML28">#REF!</definedName>
    <definedName name="_______ML29">#REF!</definedName>
    <definedName name="_______ML31">#REF!</definedName>
    <definedName name="_______ML310">#REF!</definedName>
    <definedName name="_______ML311">#REF!</definedName>
    <definedName name="_______ML312">#REF!</definedName>
    <definedName name="_______ML313">#REF!</definedName>
    <definedName name="_______ML314">#REF!</definedName>
    <definedName name="_______ML315">#REF!</definedName>
    <definedName name="_______ML32">#REF!</definedName>
    <definedName name="_______ML33">#REF!</definedName>
    <definedName name="_______ML34">#REF!</definedName>
    <definedName name="_______ML35">#REF!</definedName>
    <definedName name="_______ML36">#REF!</definedName>
    <definedName name="_______ML37">#REF!</definedName>
    <definedName name="_______ML38">#REF!</definedName>
    <definedName name="_______ML39">#REF!</definedName>
    <definedName name="_______ML7">#REF!</definedName>
    <definedName name="_______ML8">#REF!</definedName>
    <definedName name="_______ML9">#REF!</definedName>
    <definedName name="_______mm1" localSheetId="21">[31]r!$F$4</definedName>
    <definedName name="_______mm1" localSheetId="9">[31]r!$F$4</definedName>
    <definedName name="_______mm1" localSheetId="4">[31]r!$F$4</definedName>
    <definedName name="_______mm1" localSheetId="10">#REF!</definedName>
    <definedName name="_______mm1" localSheetId="8">[31]r!$F$4</definedName>
    <definedName name="_______mm1">#REF!</definedName>
    <definedName name="_______mm11" localSheetId="21">[13]r!$F$4</definedName>
    <definedName name="_______mm11" localSheetId="9">[13]r!$F$4</definedName>
    <definedName name="_______mm11" localSheetId="4">[13]r!$F$4</definedName>
    <definedName name="_______mm11" localSheetId="8">[13]r!$F$4</definedName>
    <definedName name="_______mm11">#REF!</definedName>
    <definedName name="_______mm111" localSheetId="21">[14]r!$F$4</definedName>
    <definedName name="_______mm111" localSheetId="9">[14]r!$F$4</definedName>
    <definedName name="_______mm111" localSheetId="4">[14]r!$F$4</definedName>
    <definedName name="_______mm111" localSheetId="8">[14]r!$F$4</definedName>
    <definedName name="_______mm111">#REF!</definedName>
    <definedName name="_______mm2">[45]r!$F$4</definedName>
    <definedName name="_______mm20">#REF!</definedName>
    <definedName name="_______mm40">#REF!</definedName>
    <definedName name="_______pc2" localSheetId="21">#REF!</definedName>
    <definedName name="_______pc2" localSheetId="9">#REF!</definedName>
    <definedName name="_______pc2" localSheetId="4">#REF!</definedName>
    <definedName name="_______pc2" localSheetId="10">#REF!</definedName>
    <definedName name="_______pc2" localSheetId="8">#REF!</definedName>
    <definedName name="_______pc2">#REF!</definedName>
    <definedName name="_______pla4">[46]DATA_PRG!$H$269</definedName>
    <definedName name="_______PMS2">#REF!</definedName>
    <definedName name="_______pv2" localSheetId="21">#REF!</definedName>
    <definedName name="_______pv2" localSheetId="9">#REF!</definedName>
    <definedName name="_______pv2" localSheetId="4">#REF!</definedName>
    <definedName name="_______pv2" localSheetId="10">#REF!</definedName>
    <definedName name="_______pv2" localSheetId="8">#REF!</definedName>
    <definedName name="_______pv2">#REF!</definedName>
    <definedName name="_______rr3" localSheetId="21">[32]v!$A$2:$E$51</definedName>
    <definedName name="_______rr3" localSheetId="9">[32]v!$A$2:$E$51</definedName>
    <definedName name="_______rr3" localSheetId="4">[32]v!$A$2:$E$51</definedName>
    <definedName name="_______rr3" localSheetId="10">#REF!</definedName>
    <definedName name="_______rr3" localSheetId="8">[32]v!$A$2:$E$51</definedName>
    <definedName name="_______rr3">#REF!</definedName>
    <definedName name="_______rrr1" localSheetId="21">[32]r!$B$1:$I$145</definedName>
    <definedName name="_______rrr1" localSheetId="9">[32]r!$B$1:$I$145</definedName>
    <definedName name="_______rrr1" localSheetId="4">[32]r!$B$1:$I$145</definedName>
    <definedName name="_______rrr1" localSheetId="10">#REF!</definedName>
    <definedName name="_______rrr1" localSheetId="8">[32]r!$B$1:$I$145</definedName>
    <definedName name="_______rrr1">#REF!</definedName>
    <definedName name="_______sd1">#REF!</definedName>
    <definedName name="_______SP10">[47]Sheet1!$C$18</definedName>
    <definedName name="_______SP16">[47]Sheet1!$C$24</definedName>
    <definedName name="_______SP7">[47]Sheet1!$C$15</definedName>
    <definedName name="_______ss12" localSheetId="21">[33]rdamdata!$J$8</definedName>
    <definedName name="_______ss12" localSheetId="9">[33]rdamdata!$J$8</definedName>
    <definedName name="_______ss12" localSheetId="4">[33]rdamdata!$J$8</definedName>
    <definedName name="_______ss12" localSheetId="10">#REF!</definedName>
    <definedName name="_______ss12" localSheetId="8">[33]rdamdata!$J$8</definedName>
    <definedName name="_______ss12">#REF!</definedName>
    <definedName name="_______ss20" localSheetId="21">[33]rdamdata!$J$7</definedName>
    <definedName name="_______ss20" localSheetId="9">[33]rdamdata!$J$7</definedName>
    <definedName name="_______ss20" localSheetId="4">[33]rdamdata!$J$7</definedName>
    <definedName name="_______ss20" localSheetId="10">#REF!</definedName>
    <definedName name="_______ss20" localSheetId="8">[33]rdamdata!$J$7</definedName>
    <definedName name="_______ss20">#REF!</definedName>
    <definedName name="_______ss40" localSheetId="21">[33]rdamdata!$J$6</definedName>
    <definedName name="_______ss40" localSheetId="9">[33]rdamdata!$J$6</definedName>
    <definedName name="_______ss40" localSheetId="4">[33]rdamdata!$J$6</definedName>
    <definedName name="_______ss40" localSheetId="10">#REF!</definedName>
    <definedName name="_______ss40" localSheetId="8">[33]rdamdata!$J$6</definedName>
    <definedName name="_______ss40">#REF!</definedName>
    <definedName name="_______var1" localSheetId="21">#REF!</definedName>
    <definedName name="_______var1" localSheetId="9">#REF!</definedName>
    <definedName name="_______var1" localSheetId="4">#REF!</definedName>
    <definedName name="_______var1" localSheetId="10">#REF!</definedName>
    <definedName name="_______var1" localSheetId="8">#REF!</definedName>
    <definedName name="_______var1">#REF!</definedName>
    <definedName name="_______var4" localSheetId="21">#REF!</definedName>
    <definedName name="_______var4" localSheetId="9">#REF!</definedName>
    <definedName name="_______var4" localSheetId="4">#REF!</definedName>
    <definedName name="_______var4" localSheetId="10">#REF!</definedName>
    <definedName name="_______var4" localSheetId="8">#REF!</definedName>
    <definedName name="_______var4">#REF!</definedName>
    <definedName name="_______vat1" localSheetId="4">#REF!</definedName>
    <definedName name="_______vat1">#REF!</definedName>
    <definedName name="_______vat2" localSheetId="4">#REF!</definedName>
    <definedName name="_______vat2">#REF!</definedName>
    <definedName name="_______xh2256">#REF!</definedName>
    <definedName name="_______xh2506">#REF!</definedName>
    <definedName name="_______xh2806">#REF!</definedName>
    <definedName name="_______xh3156">#REF!</definedName>
    <definedName name="_______xh634">#REF!</definedName>
    <definedName name="_______xk7100">#REF!</definedName>
    <definedName name="_______xk7150">#REF!</definedName>
    <definedName name="_______xk7250">#REF!</definedName>
    <definedName name="_______xk7300">#REF!</definedName>
    <definedName name="_______xp11010">#REF!</definedName>
    <definedName name="_______xp1104">#REF!</definedName>
    <definedName name="_______xp1106">#REF!</definedName>
    <definedName name="_______xp1254">#REF!</definedName>
    <definedName name="_______xp1256">#REF!</definedName>
    <definedName name="_______xp14010">#REF!</definedName>
    <definedName name="_______xp1404">#REF!</definedName>
    <definedName name="_______xp1406">#REF!</definedName>
    <definedName name="_______xp1604">#REF!</definedName>
    <definedName name="_______xp1606">#REF!</definedName>
    <definedName name="_______xp1804">#REF!</definedName>
    <definedName name="_______xp1806">#REF!</definedName>
    <definedName name="_______xp2006">#REF!</definedName>
    <definedName name="_______xp6310">#REF!</definedName>
    <definedName name="_______xp636">#REF!</definedName>
    <definedName name="_______xp7510">#REF!</definedName>
    <definedName name="_______xp754">#REF!</definedName>
    <definedName name="_______xp756">#REF!</definedName>
    <definedName name="_______xp9010">#REF!</definedName>
    <definedName name="_______xp904">#REF!</definedName>
    <definedName name="_______xp906">#REF!</definedName>
    <definedName name="______bla1" localSheetId="21">[28]leads!$H$7</definedName>
    <definedName name="______bla1" localSheetId="9">[28]leads!$H$7</definedName>
    <definedName name="______bla1" localSheetId="4">[28]leads!$H$7</definedName>
    <definedName name="______bla1" localSheetId="10">#REF!</definedName>
    <definedName name="______bla1" localSheetId="8">[28]leads!$H$7</definedName>
    <definedName name="______bla1">#REF!</definedName>
    <definedName name="______BSG100">#REF!</definedName>
    <definedName name="______BSG150">#REF!</definedName>
    <definedName name="______BSG5">#REF!</definedName>
    <definedName name="______BSG75">#REF!</definedName>
    <definedName name="______BTC1">#REF!</definedName>
    <definedName name="______BTC10">#REF!</definedName>
    <definedName name="______BTC11">#REF!</definedName>
    <definedName name="______BTC12">#REF!</definedName>
    <definedName name="______BTC13">#REF!</definedName>
    <definedName name="______BTC14">#REF!</definedName>
    <definedName name="______BTC15">#REF!</definedName>
    <definedName name="______BTC2">#REF!</definedName>
    <definedName name="______BTC3">#REF!</definedName>
    <definedName name="______BTC4">#REF!</definedName>
    <definedName name="______BTC5">#REF!</definedName>
    <definedName name="______BTC6">#REF!</definedName>
    <definedName name="______BTC7">#REF!</definedName>
    <definedName name="______BTC8">#REF!</definedName>
    <definedName name="______BTC9">#REF!</definedName>
    <definedName name="______BTS1">#REF!</definedName>
    <definedName name="______BTS10">#REF!</definedName>
    <definedName name="______BTS11">#REF!</definedName>
    <definedName name="______BTS12">#REF!</definedName>
    <definedName name="______BTS13">#REF!</definedName>
    <definedName name="______BTS14">#REF!</definedName>
    <definedName name="______BTS15">#REF!</definedName>
    <definedName name="______BTS2">#REF!</definedName>
    <definedName name="______BTS3">#REF!</definedName>
    <definedName name="______BTS4">#REF!</definedName>
    <definedName name="______BTS5">#REF!</definedName>
    <definedName name="______BTS6">#REF!</definedName>
    <definedName name="______BTS7">#REF!</definedName>
    <definedName name="______BTS8">#REF!</definedName>
    <definedName name="______BTS9">#REF!</definedName>
    <definedName name="______can430">40.73</definedName>
    <definedName name="______can435">43.3</definedName>
    <definedName name="______cbr1" localSheetId="21">#REF!</definedName>
    <definedName name="______cbr1" localSheetId="9">#REF!</definedName>
    <definedName name="______cbr1" localSheetId="4">#REF!</definedName>
    <definedName name="______cbr1" localSheetId="8">#REF!</definedName>
    <definedName name="______cbr1">#REF!</definedName>
    <definedName name="______cbr2" localSheetId="21">#REF!</definedName>
    <definedName name="______cbr2" localSheetId="9">#REF!</definedName>
    <definedName name="______cbr2" localSheetId="4">#REF!</definedName>
    <definedName name="______cbr2" localSheetId="8">#REF!</definedName>
    <definedName name="______cbr2">#REF!</definedName>
    <definedName name="______cbr3" localSheetId="21">#REF!</definedName>
    <definedName name="______cbr3" localSheetId="9">#REF!</definedName>
    <definedName name="______cbr3" localSheetId="4">#REF!</definedName>
    <definedName name="______cbr3" localSheetId="8">#REF!</definedName>
    <definedName name="______cbr3">#REF!</definedName>
    <definedName name="______cbr4" localSheetId="21">#REF!</definedName>
    <definedName name="______cbr4" localSheetId="9">#REF!</definedName>
    <definedName name="______cbr4" localSheetId="4">#REF!</definedName>
    <definedName name="______cbr4" localSheetId="8">#REF!</definedName>
    <definedName name="______cbr4">#REF!</definedName>
    <definedName name="______CCW1">#REF!</definedName>
    <definedName name="______CCW2">#REF!</definedName>
    <definedName name="______cur1" localSheetId="21">[13]r!$F$30</definedName>
    <definedName name="______cur1" localSheetId="9">[13]r!$F$30</definedName>
    <definedName name="______cur1" localSheetId="4">[13]r!$F$30</definedName>
    <definedName name="______cur1" localSheetId="8">[13]r!$F$30</definedName>
    <definedName name="______cur1">#REF!</definedName>
    <definedName name="______df3">#REF!</definedName>
    <definedName name="______ewe1">#REF!</definedName>
    <definedName name="______f1" localSheetId="21">#REF!</definedName>
    <definedName name="______f1" localSheetId="9">#REF!</definedName>
    <definedName name="______f1" localSheetId="4">#REF!</definedName>
    <definedName name="______f1" localSheetId="8">#REF!</definedName>
    <definedName name="______f1">#REF!</definedName>
    <definedName name="______GBS11">#REF!</definedName>
    <definedName name="______GBS110">#REF!</definedName>
    <definedName name="______GBS111">#REF!</definedName>
    <definedName name="______GBS112">#REF!</definedName>
    <definedName name="______GBS113">#REF!</definedName>
    <definedName name="______GBS114">#REF!</definedName>
    <definedName name="______GBS115">#REF!</definedName>
    <definedName name="______GBS12">#REF!</definedName>
    <definedName name="______GBS13">#REF!</definedName>
    <definedName name="______GBS14">#REF!</definedName>
    <definedName name="______GBS15">#REF!</definedName>
    <definedName name="______GBS16">#REF!</definedName>
    <definedName name="______GBS17">#REF!</definedName>
    <definedName name="______GBS18">#REF!</definedName>
    <definedName name="______GBS19">#REF!</definedName>
    <definedName name="______GBS21">#REF!</definedName>
    <definedName name="______GBS210">#REF!</definedName>
    <definedName name="______GBS211">#REF!</definedName>
    <definedName name="______GBS212">#REF!</definedName>
    <definedName name="______GBS213">#REF!</definedName>
    <definedName name="______GBS214">#REF!</definedName>
    <definedName name="______GBS215">#REF!</definedName>
    <definedName name="______GBS22">#REF!</definedName>
    <definedName name="______GBS23">#REF!</definedName>
    <definedName name="______GBS24">#REF!</definedName>
    <definedName name="______GBS25">#REF!</definedName>
    <definedName name="______GBS26">#REF!</definedName>
    <definedName name="______GBS27">#REF!</definedName>
    <definedName name="______GBS28">#REF!</definedName>
    <definedName name="______GBS29">#REF!</definedName>
    <definedName name="______grp10003">#REF!</definedName>
    <definedName name="______grp3503">#REF!</definedName>
    <definedName name="______grp4003">#REF!</definedName>
    <definedName name="______grp4503">#REF!</definedName>
    <definedName name="______grp5003">#REF!</definedName>
    <definedName name="______grp6003">#REF!</definedName>
    <definedName name="______grp7003">#REF!</definedName>
    <definedName name="______grp8003">#REF!</definedName>
    <definedName name="______grp9003">#REF!</definedName>
    <definedName name="______imp1">[44]DATA_PRG!$H$245</definedName>
    <definedName name="______knr2">#REF!</definedName>
    <definedName name="______l1" localSheetId="21">[29]leads!$A$3:$E$108</definedName>
    <definedName name="______l1" localSheetId="9">[29]leads!$A$3:$E$108</definedName>
    <definedName name="______l1" localSheetId="4">[29]leads!$A$3:$E$108</definedName>
    <definedName name="______l1" localSheetId="10">#REF!</definedName>
    <definedName name="______l1" localSheetId="8">[29]leads!$A$3:$E$108</definedName>
    <definedName name="______l1">#REF!</definedName>
    <definedName name="______l12" localSheetId="21">#REF!</definedName>
    <definedName name="______l12" localSheetId="9">#REF!</definedName>
    <definedName name="______l12" localSheetId="4">#REF!</definedName>
    <definedName name="______l12" localSheetId="10">#REF!</definedName>
    <definedName name="______l12" localSheetId="8">#REF!</definedName>
    <definedName name="______l12">#REF!</definedName>
    <definedName name="______l2" localSheetId="21">[13]r!$F$29</definedName>
    <definedName name="______l2" localSheetId="9">[13]r!$F$29</definedName>
    <definedName name="______l2" localSheetId="4">[13]r!$F$29</definedName>
    <definedName name="______l2" localSheetId="8">[13]r!$F$29</definedName>
    <definedName name="______l2">#REF!</definedName>
    <definedName name="______l3" localSheetId="21">#REF!</definedName>
    <definedName name="______l3" localSheetId="9">#REF!</definedName>
    <definedName name="______l3" localSheetId="4">#REF!</definedName>
    <definedName name="______l3" localSheetId="10">#REF!</definedName>
    <definedName name="______l3" localSheetId="8">#REF!</definedName>
    <definedName name="______l3">#REF!</definedName>
    <definedName name="______l4" localSheetId="21">[30]Sheet1!$W$2:$Y$103</definedName>
    <definedName name="______l4" localSheetId="9">[30]Sheet1!$W$2:$Y$103</definedName>
    <definedName name="______l4" localSheetId="4">[30]Sheet1!$W$2:$Y$103</definedName>
    <definedName name="______l4" localSheetId="10">#REF!</definedName>
    <definedName name="______l4" localSheetId="8">[30]Sheet1!$W$2:$Y$103</definedName>
    <definedName name="______l4">#REF!</definedName>
    <definedName name="______l5" localSheetId="21">#REF!</definedName>
    <definedName name="______l5" localSheetId="9">#REF!</definedName>
    <definedName name="______l5" localSheetId="4">#REF!</definedName>
    <definedName name="______l5" localSheetId="10">#REF!</definedName>
    <definedName name="______l5" localSheetId="8">#REF!</definedName>
    <definedName name="______l5">#REF!</definedName>
    <definedName name="______l6" localSheetId="21">[13]r!$F$4</definedName>
    <definedName name="______l6" localSheetId="9">[13]r!$F$4</definedName>
    <definedName name="______l6" localSheetId="4">[13]r!$F$4</definedName>
    <definedName name="______l6" localSheetId="8">[13]r!$F$4</definedName>
    <definedName name="______l6">#REF!</definedName>
    <definedName name="______l7" localSheetId="21">[14]r!$F$4</definedName>
    <definedName name="______l7" localSheetId="9">[14]r!$F$4</definedName>
    <definedName name="______l7" localSheetId="4">[14]r!$F$4</definedName>
    <definedName name="______l7" localSheetId="8">[14]r!$F$4</definedName>
    <definedName name="______l7">#REF!</definedName>
    <definedName name="______l8" localSheetId="21">[13]r!$F$2</definedName>
    <definedName name="______l8" localSheetId="9">[13]r!$F$2</definedName>
    <definedName name="______l8" localSheetId="4">[13]r!$F$2</definedName>
    <definedName name="______l8" localSheetId="8">[13]r!$F$2</definedName>
    <definedName name="______l8">#REF!</definedName>
    <definedName name="______l9" localSheetId="21">[13]r!$F$3</definedName>
    <definedName name="______l9" localSheetId="9">[13]r!$F$3</definedName>
    <definedName name="______l9" localSheetId="4">[13]r!$F$3</definedName>
    <definedName name="______l9" localSheetId="8">[13]r!$F$3</definedName>
    <definedName name="______l9">#REF!</definedName>
    <definedName name="______LI9">#REF!</definedName>
    <definedName name="______LII9">#REF!</definedName>
    <definedName name="______LJ6">#REF!</definedName>
    <definedName name="______lj900">#REF!</definedName>
    <definedName name="______MA1">#REF!</definedName>
    <definedName name="______MA2">#REF!</definedName>
    <definedName name="______man1" localSheetId="21">[41]m!$B$149</definedName>
    <definedName name="______man1" localSheetId="9">[41]m!$B$149</definedName>
    <definedName name="______man1" localSheetId="4">[41]m!$B$149</definedName>
    <definedName name="______man1" localSheetId="8">[41]m!$B$149</definedName>
    <definedName name="______man1">#REF!</definedName>
    <definedName name="______MIX124">#REF!</definedName>
    <definedName name="______ML11">#REF!</definedName>
    <definedName name="______ML110">#REF!</definedName>
    <definedName name="______ML111">#REF!</definedName>
    <definedName name="______ML112">#REF!</definedName>
    <definedName name="______ML113">#REF!</definedName>
    <definedName name="______ML114">#REF!</definedName>
    <definedName name="______ML115">#REF!</definedName>
    <definedName name="______ML12">#REF!</definedName>
    <definedName name="______ML13">#REF!</definedName>
    <definedName name="______ML14">#REF!</definedName>
    <definedName name="______ML15">#REF!</definedName>
    <definedName name="______ML16">#REF!</definedName>
    <definedName name="______ML17">#REF!</definedName>
    <definedName name="______ML18">#REF!</definedName>
    <definedName name="______ML19">#REF!</definedName>
    <definedName name="______ML21">#REF!</definedName>
    <definedName name="______ML210">#REF!</definedName>
    <definedName name="______ML211">#REF!</definedName>
    <definedName name="______ML212">#REF!</definedName>
    <definedName name="______ML213">#REF!</definedName>
    <definedName name="______ML214">#REF!</definedName>
    <definedName name="______ML215">#REF!</definedName>
    <definedName name="______ML22">#REF!</definedName>
    <definedName name="______ML23">#REF!</definedName>
    <definedName name="______ML24">#REF!</definedName>
    <definedName name="______ML25">#REF!</definedName>
    <definedName name="______ML26">#REF!</definedName>
    <definedName name="______ML27">#REF!</definedName>
    <definedName name="______ML28">#REF!</definedName>
    <definedName name="______ML29">#REF!</definedName>
    <definedName name="______ML31">#REF!</definedName>
    <definedName name="______ML310">#REF!</definedName>
    <definedName name="______ML311">#REF!</definedName>
    <definedName name="______ML312">#REF!</definedName>
    <definedName name="______ML313">#REF!</definedName>
    <definedName name="______ML314">#REF!</definedName>
    <definedName name="______ML315">#REF!</definedName>
    <definedName name="______ML32">#REF!</definedName>
    <definedName name="______ML33">#REF!</definedName>
    <definedName name="______ML34">#REF!</definedName>
    <definedName name="______ML35">#REF!</definedName>
    <definedName name="______ML36">#REF!</definedName>
    <definedName name="______ML37">#REF!</definedName>
    <definedName name="______ML38">#REF!</definedName>
    <definedName name="______ML39">#REF!</definedName>
    <definedName name="______ML7">#REF!</definedName>
    <definedName name="______ML8">#REF!</definedName>
    <definedName name="______ML9">#REF!</definedName>
    <definedName name="______mm1" localSheetId="21">[31]r!$F$4</definedName>
    <definedName name="______mm1" localSheetId="9">[31]r!$F$4</definedName>
    <definedName name="______mm1" localSheetId="4">[31]r!$F$4</definedName>
    <definedName name="______mm1" localSheetId="10">#REF!</definedName>
    <definedName name="______mm1" localSheetId="8">[31]r!$F$4</definedName>
    <definedName name="______mm1">#REF!</definedName>
    <definedName name="______mm11" localSheetId="21">[13]r!$F$4</definedName>
    <definedName name="______mm11" localSheetId="9">[13]r!$F$4</definedName>
    <definedName name="______mm11" localSheetId="4">[13]r!$F$4</definedName>
    <definedName name="______mm11" localSheetId="8">[13]r!$F$4</definedName>
    <definedName name="______mm11">#REF!</definedName>
    <definedName name="______mm111" localSheetId="21">[14]r!$F$4</definedName>
    <definedName name="______mm111" localSheetId="9">[14]r!$F$4</definedName>
    <definedName name="______mm111" localSheetId="4">[14]r!$F$4</definedName>
    <definedName name="______mm111" localSheetId="8">[14]r!$F$4</definedName>
    <definedName name="______mm111">#REF!</definedName>
    <definedName name="______mm2">[45]r!$F$4</definedName>
    <definedName name="______mm20">#REF!</definedName>
    <definedName name="______mm40">#REF!</definedName>
    <definedName name="______pc2" localSheetId="21">#REF!</definedName>
    <definedName name="______pc2" localSheetId="9">#REF!</definedName>
    <definedName name="______pc2" localSheetId="4">#REF!</definedName>
    <definedName name="______pc2" localSheetId="10">#REF!</definedName>
    <definedName name="______pc2" localSheetId="8">#REF!</definedName>
    <definedName name="______pc2">#REF!</definedName>
    <definedName name="______pla4">[46]DATA_PRG!$H$269</definedName>
    <definedName name="______PMS2">#REF!</definedName>
    <definedName name="______psc10006">#REF!</definedName>
    <definedName name="______psc10008">#REF!</definedName>
    <definedName name="______psc3506">#REF!</definedName>
    <definedName name="______psc3508">#REF!</definedName>
    <definedName name="______psc4006">#REF!</definedName>
    <definedName name="______psc4008">#REF!</definedName>
    <definedName name="______psc4506">#REF!</definedName>
    <definedName name="______psc4508">#REF!</definedName>
    <definedName name="______psc5006">#REF!</definedName>
    <definedName name="______psc5008">#REF!</definedName>
    <definedName name="______psc6006">#REF!</definedName>
    <definedName name="______psc6008">#REF!</definedName>
    <definedName name="______psc7006">#REF!</definedName>
    <definedName name="______psc7008">#REF!</definedName>
    <definedName name="______psc8006">#REF!</definedName>
    <definedName name="______psc8008">#REF!</definedName>
    <definedName name="______psc9006">#REF!</definedName>
    <definedName name="______psc9008">#REF!</definedName>
    <definedName name="______pv2" localSheetId="21">#REF!</definedName>
    <definedName name="______pv2" localSheetId="9">#REF!</definedName>
    <definedName name="______pv2" localSheetId="4">#REF!</definedName>
    <definedName name="______pv2" localSheetId="10">#REF!</definedName>
    <definedName name="______pv2" localSheetId="8">#REF!</definedName>
    <definedName name="______pv2">#REF!</definedName>
    <definedName name="______rr3" localSheetId="21">[32]v!$A$2:$E$51</definedName>
    <definedName name="______rr3" localSheetId="9">[32]v!$A$2:$E$51</definedName>
    <definedName name="______rr3" localSheetId="4">[32]v!$A$2:$E$51</definedName>
    <definedName name="______rr3" localSheetId="10">#REF!</definedName>
    <definedName name="______rr3" localSheetId="8">[32]v!$A$2:$E$51</definedName>
    <definedName name="______rr3">#REF!</definedName>
    <definedName name="______rrr1" localSheetId="21">[32]r!$B$1:$I$145</definedName>
    <definedName name="______rrr1" localSheetId="9">[32]r!$B$1:$I$145</definedName>
    <definedName name="______rrr1" localSheetId="4">[32]r!$B$1:$I$145</definedName>
    <definedName name="______rrr1" localSheetId="10">#REF!</definedName>
    <definedName name="______rrr1" localSheetId="8">[32]r!$B$1:$I$145</definedName>
    <definedName name="______rrr1">#REF!</definedName>
    <definedName name="______sd1" localSheetId="21">[41]m!$D$149</definedName>
    <definedName name="______sd1" localSheetId="9">[41]m!$D$149</definedName>
    <definedName name="______sd1" localSheetId="4">[41]m!$D$149</definedName>
    <definedName name="______sd1" localSheetId="8">[41]m!$D$149</definedName>
    <definedName name="______sd1">#REF!</definedName>
    <definedName name="______SP10">[47]Sheet1!$C$18</definedName>
    <definedName name="______SP16">[47]Sheet1!$C$24</definedName>
    <definedName name="______SP7">[47]Sheet1!$C$15</definedName>
    <definedName name="______ss12" localSheetId="21">[33]rdamdata!$J$8</definedName>
    <definedName name="______ss12" localSheetId="9">[33]rdamdata!$J$8</definedName>
    <definedName name="______ss12" localSheetId="4">[33]rdamdata!$J$8</definedName>
    <definedName name="______ss12" localSheetId="10">#REF!</definedName>
    <definedName name="______ss12" localSheetId="8">[33]rdamdata!$J$8</definedName>
    <definedName name="______ss12">#REF!</definedName>
    <definedName name="______ss20" localSheetId="21">[33]rdamdata!$J$7</definedName>
    <definedName name="______ss20" localSheetId="9">[33]rdamdata!$J$7</definedName>
    <definedName name="______ss20" localSheetId="4">[33]rdamdata!$J$7</definedName>
    <definedName name="______ss20" localSheetId="10">#REF!</definedName>
    <definedName name="______ss20" localSheetId="8">[33]rdamdata!$J$7</definedName>
    <definedName name="______ss20">#REF!</definedName>
    <definedName name="______ss40" localSheetId="21">[33]rdamdata!$J$6</definedName>
    <definedName name="______ss40" localSheetId="9">[33]rdamdata!$J$6</definedName>
    <definedName name="______ss40" localSheetId="4">[33]rdamdata!$J$6</definedName>
    <definedName name="______ss40" localSheetId="10">#REF!</definedName>
    <definedName name="______ss40" localSheetId="8">[33]rdamdata!$J$6</definedName>
    <definedName name="______ss40">#REF!</definedName>
    <definedName name="______var1" localSheetId="21">#REF!</definedName>
    <definedName name="______var1" localSheetId="9">#REF!</definedName>
    <definedName name="______var1" localSheetId="4">#REF!</definedName>
    <definedName name="______var1" localSheetId="10">#REF!</definedName>
    <definedName name="______var1" localSheetId="8">#REF!</definedName>
    <definedName name="______var1">#REF!</definedName>
    <definedName name="______var4" localSheetId="21">#REF!</definedName>
    <definedName name="______var4" localSheetId="9">#REF!</definedName>
    <definedName name="______var4" localSheetId="4">#REF!</definedName>
    <definedName name="______var4" localSheetId="10">#REF!</definedName>
    <definedName name="______var4" localSheetId="8">#REF!</definedName>
    <definedName name="______var4">#REF!</definedName>
    <definedName name="______vat1" localSheetId="21">#REF!</definedName>
    <definedName name="______vat1" localSheetId="9">#REF!</definedName>
    <definedName name="______vat1" localSheetId="4">#REF!</definedName>
    <definedName name="______vat1" localSheetId="8">#REF!</definedName>
    <definedName name="______vat1">#REF!</definedName>
    <definedName name="______vat2" localSheetId="21">#REF!</definedName>
    <definedName name="______vat2" localSheetId="9">#REF!</definedName>
    <definedName name="______vat2" localSheetId="4">#REF!</definedName>
    <definedName name="______vat2" localSheetId="8">#REF!</definedName>
    <definedName name="______vat2">#REF!</definedName>
    <definedName name="______xh11010">#REF!</definedName>
    <definedName name="______xh1104">#REF!</definedName>
    <definedName name="______xh1106">#REF!</definedName>
    <definedName name="______xh1108">#REF!</definedName>
    <definedName name="______xh12510">#REF!</definedName>
    <definedName name="______xh1254">#REF!</definedName>
    <definedName name="______xh1256">#REF!</definedName>
    <definedName name="______xh1258">#REF!</definedName>
    <definedName name="______xh14010">#REF!</definedName>
    <definedName name="______xh1404">#REF!</definedName>
    <definedName name="______xh1406">#REF!</definedName>
    <definedName name="______xh1408">#REF!</definedName>
    <definedName name="______xh16010">#REF!</definedName>
    <definedName name="______xh1604">#REF!</definedName>
    <definedName name="______xh1606">#REF!</definedName>
    <definedName name="______xh1608">#REF!</definedName>
    <definedName name="______xh18010">#REF!</definedName>
    <definedName name="______xh1804">#REF!</definedName>
    <definedName name="______xh1806">#REF!</definedName>
    <definedName name="______xh1808">#REF!</definedName>
    <definedName name="______xh20010">#REF!</definedName>
    <definedName name="______xh2004">#REF!</definedName>
    <definedName name="______xh2006">#REF!</definedName>
    <definedName name="______xh2008">#REF!</definedName>
    <definedName name="______xh22510">#REF!</definedName>
    <definedName name="______xh2254">#REF!</definedName>
    <definedName name="______xh2256">#REF!</definedName>
    <definedName name="______xh2258">#REF!</definedName>
    <definedName name="______xh25010">#REF!</definedName>
    <definedName name="______xh2504">#REF!</definedName>
    <definedName name="______xh2506">#REF!</definedName>
    <definedName name="______xh2508">#REF!</definedName>
    <definedName name="______xh28010">#REF!</definedName>
    <definedName name="______xh2804">#REF!</definedName>
    <definedName name="______xh2806">#REF!</definedName>
    <definedName name="______xh2808">#REF!</definedName>
    <definedName name="______xh31510">#REF!</definedName>
    <definedName name="______xh3154">#REF!</definedName>
    <definedName name="______xh3156">#REF!</definedName>
    <definedName name="______xh3158">#REF!</definedName>
    <definedName name="______xh3554">#REF!</definedName>
    <definedName name="______xh3556">#REF!</definedName>
    <definedName name="______xh6310">#REF!</definedName>
    <definedName name="______xh634">#REF!</definedName>
    <definedName name="______xh636">#REF!</definedName>
    <definedName name="______xh638">#REF!</definedName>
    <definedName name="______xh7510">#REF!</definedName>
    <definedName name="______xh754">#REF!</definedName>
    <definedName name="______xh756">#REF!</definedName>
    <definedName name="______xh758">#REF!</definedName>
    <definedName name="______xh9010">#REF!</definedName>
    <definedName name="______xh904">#REF!</definedName>
    <definedName name="______xh906">#REF!</definedName>
    <definedName name="______xh908">#REF!</definedName>
    <definedName name="______xk7100">#REF!</definedName>
    <definedName name="______xk7150">#REF!</definedName>
    <definedName name="______xk7200">#REF!</definedName>
    <definedName name="______xk7250">#REF!</definedName>
    <definedName name="______xk7300">#REF!</definedName>
    <definedName name="______xk7350">#REF!</definedName>
    <definedName name="______xk7400">#REF!</definedName>
    <definedName name="______xk7450">#REF!</definedName>
    <definedName name="______xk7500">#REF!</definedName>
    <definedName name="______xk7600">#REF!</definedName>
    <definedName name="______xk9100">#REF!</definedName>
    <definedName name="______xk91000">#REF!</definedName>
    <definedName name="______xk9150">#REF!</definedName>
    <definedName name="______xk9200">#REF!</definedName>
    <definedName name="______xk9250">#REF!</definedName>
    <definedName name="______xk9300">#REF!</definedName>
    <definedName name="______xk9350">#REF!</definedName>
    <definedName name="______xk9400">#REF!</definedName>
    <definedName name="______xk9450">#REF!</definedName>
    <definedName name="______xk9500">#REF!</definedName>
    <definedName name="______xk9600">#REF!</definedName>
    <definedName name="______xk9700">#REF!</definedName>
    <definedName name="______xk9750">#REF!</definedName>
    <definedName name="______xk9800">#REF!</definedName>
    <definedName name="______xk9900">#REF!</definedName>
    <definedName name="______xp11010">#REF!</definedName>
    <definedName name="______xp1104">#REF!</definedName>
    <definedName name="______xp1106">#REF!</definedName>
    <definedName name="______xp12510">#REF!</definedName>
    <definedName name="______xp1254">#REF!</definedName>
    <definedName name="______xp1256">#REF!</definedName>
    <definedName name="______xp14010">#REF!</definedName>
    <definedName name="______xp1404">#REF!</definedName>
    <definedName name="______xp1406">#REF!</definedName>
    <definedName name="______xp16010">#REF!</definedName>
    <definedName name="______xp1604">#REF!</definedName>
    <definedName name="______xp1606">#REF!</definedName>
    <definedName name="______xp18010">#REF!</definedName>
    <definedName name="______xp1804">#REF!</definedName>
    <definedName name="______xp1806">#REF!</definedName>
    <definedName name="______xp20010">#REF!</definedName>
    <definedName name="______xp2004">#REF!</definedName>
    <definedName name="______xp2006">#REF!</definedName>
    <definedName name="______xp22510">#REF!</definedName>
    <definedName name="______xp2254">#REF!</definedName>
    <definedName name="______xp2256">#REF!</definedName>
    <definedName name="______xp25010">#REF!</definedName>
    <definedName name="______xp2504">#REF!</definedName>
    <definedName name="______xp2506">#REF!</definedName>
    <definedName name="______xp28010">#REF!</definedName>
    <definedName name="______xp2804">#REF!</definedName>
    <definedName name="______xp2806">#REF!</definedName>
    <definedName name="______xp31510">#REF!</definedName>
    <definedName name="______xp3154">#REF!</definedName>
    <definedName name="______xp3156">#REF!</definedName>
    <definedName name="______xp6310">#REF!</definedName>
    <definedName name="______xp634">#REF!</definedName>
    <definedName name="______xp636">#REF!</definedName>
    <definedName name="______xp7510">#REF!</definedName>
    <definedName name="______xp754">#REF!</definedName>
    <definedName name="______xp756">#REF!</definedName>
    <definedName name="______xp9010">#REF!</definedName>
    <definedName name="______xp904">#REF!</definedName>
    <definedName name="______xp906">#REF!</definedName>
    <definedName name="_____bla1" localSheetId="21">[28]leads!$H$7</definedName>
    <definedName name="_____bla1" localSheetId="9">[28]leads!$H$7</definedName>
    <definedName name="_____bla1" localSheetId="4">[28]leads!$H$7</definedName>
    <definedName name="_____bla1" localSheetId="8">[28]leads!$H$7</definedName>
    <definedName name="_____bla1" localSheetId="7">#REF!</definedName>
    <definedName name="_____bla1">#REF!</definedName>
    <definedName name="_____BSG100">#REF!</definedName>
    <definedName name="_____BSG150">#REF!</definedName>
    <definedName name="_____BSG5">#REF!</definedName>
    <definedName name="_____BSG75">#REF!</definedName>
    <definedName name="_____BTC1">#REF!</definedName>
    <definedName name="_____BTC10">#REF!</definedName>
    <definedName name="_____BTC11">#REF!</definedName>
    <definedName name="_____BTC12">#REF!</definedName>
    <definedName name="_____BTC13">#REF!</definedName>
    <definedName name="_____BTC14">#REF!</definedName>
    <definedName name="_____BTC15">#REF!</definedName>
    <definedName name="_____BTC16">#REF!</definedName>
    <definedName name="_____BTC17">#REF!</definedName>
    <definedName name="_____BTC18">#REF!</definedName>
    <definedName name="_____BTC19">#REF!</definedName>
    <definedName name="_____BTC2">#REF!</definedName>
    <definedName name="_____BTC20">#REF!</definedName>
    <definedName name="_____BTC21">#REF!</definedName>
    <definedName name="_____BTC22">#REF!</definedName>
    <definedName name="_____BTC23">#REF!</definedName>
    <definedName name="_____BTC24">#REF!</definedName>
    <definedName name="_____BTC3">#REF!</definedName>
    <definedName name="_____BTC4">#REF!</definedName>
    <definedName name="_____BTC5">#REF!</definedName>
    <definedName name="_____BTC6">#REF!</definedName>
    <definedName name="_____BTC7">#REF!</definedName>
    <definedName name="_____BTC8">#REF!</definedName>
    <definedName name="_____BTC9">#REF!</definedName>
    <definedName name="_____BTR1">#REF!</definedName>
    <definedName name="_____BTR10">#REF!</definedName>
    <definedName name="_____BTR11">#REF!</definedName>
    <definedName name="_____BTR12">#REF!</definedName>
    <definedName name="_____BTR13">#REF!</definedName>
    <definedName name="_____BTR14">#REF!</definedName>
    <definedName name="_____BTR15">#REF!</definedName>
    <definedName name="_____BTR16">#REF!</definedName>
    <definedName name="_____BTR17">#REF!</definedName>
    <definedName name="_____BTR18">#REF!</definedName>
    <definedName name="_____BTR19">#REF!</definedName>
    <definedName name="_____BTR2">#REF!</definedName>
    <definedName name="_____BTR20">#REF!</definedName>
    <definedName name="_____BTR21">#REF!</definedName>
    <definedName name="_____BTR22">#REF!</definedName>
    <definedName name="_____BTR23">#REF!</definedName>
    <definedName name="_____BTR24">#REF!</definedName>
    <definedName name="_____BTR3">#REF!</definedName>
    <definedName name="_____BTR4">#REF!</definedName>
    <definedName name="_____BTR5">#REF!</definedName>
    <definedName name="_____BTR6">#REF!</definedName>
    <definedName name="_____BTR7">#REF!</definedName>
    <definedName name="_____BTR8">#REF!</definedName>
    <definedName name="_____BTR9">#REF!</definedName>
    <definedName name="_____BTS1">#REF!</definedName>
    <definedName name="_____BTS10">#REF!</definedName>
    <definedName name="_____BTS11">#REF!</definedName>
    <definedName name="_____BTS12">#REF!</definedName>
    <definedName name="_____BTS13">#REF!</definedName>
    <definedName name="_____BTS14">#REF!</definedName>
    <definedName name="_____BTS15">#REF!</definedName>
    <definedName name="_____BTS16">#REF!</definedName>
    <definedName name="_____BTS17">#REF!</definedName>
    <definedName name="_____BTS18">#REF!</definedName>
    <definedName name="_____BTS19">#REF!</definedName>
    <definedName name="_____BTS2">#REF!</definedName>
    <definedName name="_____BTS20">#REF!</definedName>
    <definedName name="_____BTS21">#REF!</definedName>
    <definedName name="_____BTS22">#REF!</definedName>
    <definedName name="_____BTS23">#REF!</definedName>
    <definedName name="_____BTS24">#REF!</definedName>
    <definedName name="_____BTS3">#REF!</definedName>
    <definedName name="_____BTS4">#REF!</definedName>
    <definedName name="_____BTS5">#REF!</definedName>
    <definedName name="_____BTS6">#REF!</definedName>
    <definedName name="_____BTS7">#REF!</definedName>
    <definedName name="_____BTS8">#REF!</definedName>
    <definedName name="_____BTS9">#REF!</definedName>
    <definedName name="_____can430">40.73</definedName>
    <definedName name="_____can435">43.3</definedName>
    <definedName name="_____cbr1" localSheetId="4">#REF!</definedName>
    <definedName name="_____cbr1">#REF!</definedName>
    <definedName name="_____cbr2" localSheetId="4">#REF!</definedName>
    <definedName name="_____cbr2">#REF!</definedName>
    <definedName name="_____cbr3" localSheetId="4">#REF!</definedName>
    <definedName name="_____cbr3">#REF!</definedName>
    <definedName name="_____cbr4" localSheetId="4">#REF!</definedName>
    <definedName name="_____cbr4">#REF!</definedName>
    <definedName name="_____CCW1">[43]DATA!$H$67</definedName>
    <definedName name="_____CCW2">[43]DATA!$H$97</definedName>
    <definedName name="_____cur1" localSheetId="21">[13]r!$F$30</definedName>
    <definedName name="_____cur1" localSheetId="9">[13]r!$F$30</definedName>
    <definedName name="_____cur1" localSheetId="4">[13]r!$F$30</definedName>
    <definedName name="_____cur1" localSheetId="8">[13]r!$F$30</definedName>
    <definedName name="_____cur1">#REF!</definedName>
    <definedName name="_____df3">#REF!</definedName>
    <definedName name="_____ewe1">#REF!</definedName>
    <definedName name="_____f1" localSheetId="21">#REF!</definedName>
    <definedName name="_____f1" localSheetId="9">#REF!</definedName>
    <definedName name="_____f1" localSheetId="4">#REF!</definedName>
    <definedName name="_____f1" localSheetId="8">#REF!</definedName>
    <definedName name="_____f1">#REF!</definedName>
    <definedName name="_____GBS11">#REF!</definedName>
    <definedName name="_____GBS110">#REF!</definedName>
    <definedName name="_____GBS111">#REF!</definedName>
    <definedName name="_____GBS112">#REF!</definedName>
    <definedName name="_____GBS113">#REF!</definedName>
    <definedName name="_____GBS114">#REF!</definedName>
    <definedName name="_____GBS115">#REF!</definedName>
    <definedName name="_____GBS116">#REF!</definedName>
    <definedName name="_____GBS117">#REF!</definedName>
    <definedName name="_____GBS118">#REF!</definedName>
    <definedName name="_____GBS119">#REF!</definedName>
    <definedName name="_____GBS12">#REF!</definedName>
    <definedName name="_____GBS120">#REF!</definedName>
    <definedName name="_____GBS121">#REF!</definedName>
    <definedName name="_____GBS122">#REF!</definedName>
    <definedName name="_____GBS123">#REF!</definedName>
    <definedName name="_____GBS124">#REF!</definedName>
    <definedName name="_____GBS13">#REF!</definedName>
    <definedName name="_____GBS14">#REF!</definedName>
    <definedName name="_____GBS15">#REF!</definedName>
    <definedName name="_____GBS16">#REF!</definedName>
    <definedName name="_____GBS17">#REF!</definedName>
    <definedName name="_____GBS18">#REF!</definedName>
    <definedName name="_____GBS19">#REF!</definedName>
    <definedName name="_____GBS21">#REF!</definedName>
    <definedName name="_____GBS210">#REF!</definedName>
    <definedName name="_____GBS211">#REF!</definedName>
    <definedName name="_____GBS212">#REF!</definedName>
    <definedName name="_____GBS213">#REF!</definedName>
    <definedName name="_____GBS214">#REF!</definedName>
    <definedName name="_____GBS215">#REF!</definedName>
    <definedName name="_____GBS216">#REF!</definedName>
    <definedName name="_____GBS217">#REF!</definedName>
    <definedName name="_____GBS218">#REF!</definedName>
    <definedName name="_____GBS219">#REF!</definedName>
    <definedName name="_____GBS22">#REF!</definedName>
    <definedName name="_____GBS220">#REF!</definedName>
    <definedName name="_____GBS221">#REF!</definedName>
    <definedName name="_____GBS222">#REF!</definedName>
    <definedName name="_____GBS223">#REF!</definedName>
    <definedName name="_____GBS224">#REF!</definedName>
    <definedName name="_____GBS23">#REF!</definedName>
    <definedName name="_____GBS24">#REF!</definedName>
    <definedName name="_____GBS25">#REF!</definedName>
    <definedName name="_____GBS26">#REF!</definedName>
    <definedName name="_____GBS27">#REF!</definedName>
    <definedName name="_____GBS28">#REF!</definedName>
    <definedName name="_____GBS29">#REF!</definedName>
    <definedName name="_____grp10003">#REF!</definedName>
    <definedName name="_____grp3503">#REF!</definedName>
    <definedName name="_____grp4003">#REF!</definedName>
    <definedName name="_____grp4503">#REF!</definedName>
    <definedName name="_____grp5003">#REF!</definedName>
    <definedName name="_____grp6003">#REF!</definedName>
    <definedName name="_____grp7003">#REF!</definedName>
    <definedName name="_____grp8003">#REF!</definedName>
    <definedName name="_____grp9003">#REF!</definedName>
    <definedName name="_____I12">#REF!</definedName>
    <definedName name="_____imp1">#REF!</definedName>
    <definedName name="_____knr2">#REF!</definedName>
    <definedName name="_____l1" localSheetId="21">[29]leads!$A$3:$E$108</definedName>
    <definedName name="_____l1" localSheetId="9">[29]leads!$A$3:$E$108</definedName>
    <definedName name="_____l1" localSheetId="4">[29]leads!$A$3:$E$108</definedName>
    <definedName name="_____l1" localSheetId="8">[29]leads!$A$3:$E$108</definedName>
    <definedName name="_____l1" localSheetId="7">#REF!</definedName>
    <definedName name="_____l1">#REF!</definedName>
    <definedName name="_____l12" localSheetId="21">#REF!</definedName>
    <definedName name="_____l12" localSheetId="9">#REF!</definedName>
    <definedName name="_____l12" localSheetId="4">#REF!</definedName>
    <definedName name="_____l12" localSheetId="10">#REF!</definedName>
    <definedName name="_____l12" localSheetId="8">#REF!</definedName>
    <definedName name="_____l12" localSheetId="7">#REF!</definedName>
    <definedName name="_____l12">#REF!</definedName>
    <definedName name="_____l2" localSheetId="21">[13]r!$F$29</definedName>
    <definedName name="_____l2" localSheetId="9">[13]r!$F$29</definedName>
    <definedName name="_____l2" localSheetId="4">[13]r!$F$29</definedName>
    <definedName name="_____l2" localSheetId="8">[13]r!$F$29</definedName>
    <definedName name="_____l2">#REF!</definedName>
    <definedName name="_____l3" localSheetId="21">#REF!</definedName>
    <definedName name="_____l3" localSheetId="9">#REF!</definedName>
    <definedName name="_____l3" localSheetId="4">#REF!</definedName>
    <definedName name="_____l3" localSheetId="10">#REF!</definedName>
    <definedName name="_____l3" localSheetId="8">#REF!</definedName>
    <definedName name="_____l3" localSheetId="7">#REF!</definedName>
    <definedName name="_____l3">#REF!</definedName>
    <definedName name="_____l4" localSheetId="21">[30]Sheet1!$W$2:$Y$103</definedName>
    <definedName name="_____l4" localSheetId="9">[30]Sheet1!$W$2:$Y$103</definedName>
    <definedName name="_____l4" localSheetId="4">[30]Sheet1!$W$2:$Y$103</definedName>
    <definedName name="_____l4" localSheetId="8">[30]Sheet1!$W$2:$Y$103</definedName>
    <definedName name="_____l4" localSheetId="7">#REF!</definedName>
    <definedName name="_____l4">#REF!</definedName>
    <definedName name="_____l5" localSheetId="21">#REF!</definedName>
    <definedName name="_____l5" localSheetId="9">#REF!</definedName>
    <definedName name="_____l5" localSheetId="4">#REF!</definedName>
    <definedName name="_____l5" localSheetId="10">#REF!</definedName>
    <definedName name="_____l5" localSheetId="8">#REF!</definedName>
    <definedName name="_____l5" localSheetId="7">#REF!</definedName>
    <definedName name="_____l5">#REF!</definedName>
    <definedName name="_____l6" localSheetId="21">[13]r!$F$4</definedName>
    <definedName name="_____l6" localSheetId="9">[13]r!$F$4</definedName>
    <definedName name="_____l6" localSheetId="4">[13]r!$F$4</definedName>
    <definedName name="_____l6" localSheetId="8">[13]r!$F$4</definedName>
    <definedName name="_____l6">#REF!</definedName>
    <definedName name="_____l7" localSheetId="21">[14]r!$F$4</definedName>
    <definedName name="_____l7" localSheetId="9">[14]r!$F$4</definedName>
    <definedName name="_____l7" localSheetId="4">[14]r!$F$4</definedName>
    <definedName name="_____l7" localSheetId="8">[14]r!$F$4</definedName>
    <definedName name="_____l7">#REF!</definedName>
    <definedName name="_____l8" localSheetId="21">[13]r!$F$2</definedName>
    <definedName name="_____l8" localSheetId="9">[13]r!$F$2</definedName>
    <definedName name="_____l8" localSheetId="4">[13]r!$F$2</definedName>
    <definedName name="_____l8" localSheetId="8">[13]r!$F$2</definedName>
    <definedName name="_____l8">#REF!</definedName>
    <definedName name="_____l9" localSheetId="21">[13]r!$F$3</definedName>
    <definedName name="_____l9" localSheetId="9">[13]r!$F$3</definedName>
    <definedName name="_____l9" localSheetId="4">[13]r!$F$3</definedName>
    <definedName name="_____l9" localSheetId="8">[13]r!$F$3</definedName>
    <definedName name="_____l9">#REF!</definedName>
    <definedName name="_____LI9">#REF!</definedName>
    <definedName name="_____LII9">#REF!</definedName>
    <definedName name="_____LJ6">[43]DATA!$H$245</definedName>
    <definedName name="_____lj600">#REF!</definedName>
    <definedName name="_____lj900">#REF!</definedName>
    <definedName name="_____LL3">#REF!</definedName>
    <definedName name="_____MA1">#REF!</definedName>
    <definedName name="_____MA2" localSheetId="4">#REF!</definedName>
    <definedName name="_____MA2">#REF!</definedName>
    <definedName name="_____man1" localSheetId="21">[48]m!$B$149</definedName>
    <definedName name="_____man1" localSheetId="9">[48]m!$B$149</definedName>
    <definedName name="_____man1" localSheetId="4">[48]m!$B$149</definedName>
    <definedName name="_____man1" localSheetId="8">[48]m!$B$149</definedName>
    <definedName name="_____man1">#REF!</definedName>
    <definedName name="_____MIX124">#REF!</definedName>
    <definedName name="_____ML11">#REF!</definedName>
    <definedName name="_____ML110">#REF!</definedName>
    <definedName name="_____ML111">#REF!</definedName>
    <definedName name="_____ML112">#REF!</definedName>
    <definedName name="_____ML113">#REF!</definedName>
    <definedName name="_____ML114">#REF!</definedName>
    <definedName name="_____ML115">#REF!</definedName>
    <definedName name="_____ML12">#REF!</definedName>
    <definedName name="_____ML13">#REF!</definedName>
    <definedName name="_____ML14">#REF!</definedName>
    <definedName name="_____ML15">#REF!</definedName>
    <definedName name="_____ML16">#REF!</definedName>
    <definedName name="_____ML17">#REF!</definedName>
    <definedName name="_____ML18">#REF!</definedName>
    <definedName name="_____ML19">#REF!</definedName>
    <definedName name="_____ML21">#REF!</definedName>
    <definedName name="_____ML210">#REF!</definedName>
    <definedName name="_____ML211">#REF!</definedName>
    <definedName name="_____ML212">#REF!</definedName>
    <definedName name="_____ML213">#REF!</definedName>
    <definedName name="_____ML214">#REF!</definedName>
    <definedName name="_____ML215">#REF!</definedName>
    <definedName name="_____ML216">#REF!</definedName>
    <definedName name="_____ML217">#REF!</definedName>
    <definedName name="_____ML218">#REF!</definedName>
    <definedName name="_____ML219">#REF!</definedName>
    <definedName name="_____ML22">#REF!</definedName>
    <definedName name="_____ML220">#REF!</definedName>
    <definedName name="_____ML221">#REF!</definedName>
    <definedName name="_____ML222">#REF!</definedName>
    <definedName name="_____ML223">#REF!</definedName>
    <definedName name="_____ML224">#REF!</definedName>
    <definedName name="_____ML23">#REF!</definedName>
    <definedName name="_____ML24">#REF!</definedName>
    <definedName name="_____ML25">#REF!</definedName>
    <definedName name="_____ML26">#REF!</definedName>
    <definedName name="_____ML27">#REF!</definedName>
    <definedName name="_____ML28">#REF!</definedName>
    <definedName name="_____ML29">#REF!</definedName>
    <definedName name="_____ML31">#REF!</definedName>
    <definedName name="_____ML310">#REF!</definedName>
    <definedName name="_____ML311">#REF!</definedName>
    <definedName name="_____ML312">#REF!</definedName>
    <definedName name="_____ML313">#REF!</definedName>
    <definedName name="_____ML314">#REF!</definedName>
    <definedName name="_____ML315">#REF!</definedName>
    <definedName name="_____ML316">#REF!</definedName>
    <definedName name="_____ML317">#REF!</definedName>
    <definedName name="_____ML318">#REF!</definedName>
    <definedName name="_____ML319">#REF!</definedName>
    <definedName name="_____ML32">#REF!</definedName>
    <definedName name="_____ML320">#REF!</definedName>
    <definedName name="_____ML321">#REF!</definedName>
    <definedName name="_____ML322">#REF!</definedName>
    <definedName name="_____ML323">#REF!</definedName>
    <definedName name="_____ML324">#REF!</definedName>
    <definedName name="_____ML33">#REF!</definedName>
    <definedName name="_____ML34">#REF!</definedName>
    <definedName name="_____ML35">#REF!</definedName>
    <definedName name="_____ML36">#REF!</definedName>
    <definedName name="_____ML37">#REF!</definedName>
    <definedName name="_____ML38">#REF!</definedName>
    <definedName name="_____ML39">#REF!</definedName>
    <definedName name="_____ML7">#REF!</definedName>
    <definedName name="_____ML8">#REF!</definedName>
    <definedName name="_____ML9">#REF!</definedName>
    <definedName name="_____mm1" localSheetId="21">[31]r!$F$4</definedName>
    <definedName name="_____mm1" localSheetId="9">[31]r!$F$4</definedName>
    <definedName name="_____mm1" localSheetId="4">[31]r!$F$4</definedName>
    <definedName name="_____mm1" localSheetId="8">[31]r!$F$4</definedName>
    <definedName name="_____mm1" localSheetId="7">#REF!</definedName>
    <definedName name="_____mm1">#REF!</definedName>
    <definedName name="_____mm11" localSheetId="21">[13]r!$F$4</definedName>
    <definedName name="_____mm11" localSheetId="9">[13]r!$F$4</definedName>
    <definedName name="_____mm11" localSheetId="4">[13]r!$F$4</definedName>
    <definedName name="_____mm11" localSheetId="8">[13]r!$F$4</definedName>
    <definedName name="_____mm11">#REF!</definedName>
    <definedName name="_____mm111" localSheetId="21">[14]r!$F$4</definedName>
    <definedName name="_____mm111" localSheetId="9">[14]r!$F$4</definedName>
    <definedName name="_____mm111" localSheetId="4">[14]r!$F$4</definedName>
    <definedName name="_____mm111" localSheetId="8">[14]r!$F$4</definedName>
    <definedName name="_____mm111">#REF!</definedName>
    <definedName name="_____mm2">#REF!</definedName>
    <definedName name="_____mm20">#REF!</definedName>
    <definedName name="_____mm40">#REF!</definedName>
    <definedName name="_____np3">#REF!</definedName>
    <definedName name="_____PC1">#REF!</definedName>
    <definedName name="_____PC10">#REF!</definedName>
    <definedName name="_____PC11">#REF!</definedName>
    <definedName name="_____PC12">#REF!</definedName>
    <definedName name="_____PC13">#REF!</definedName>
    <definedName name="_____PC14">#REF!</definedName>
    <definedName name="_____PC15">#REF!</definedName>
    <definedName name="_____PC16">#REF!</definedName>
    <definedName name="_____PC17">#REF!</definedName>
    <definedName name="_____PC18">#REF!</definedName>
    <definedName name="_____PC19">#REF!</definedName>
    <definedName name="_____pc2" localSheetId="21">#REF!</definedName>
    <definedName name="_____pc2" localSheetId="9">#REF!</definedName>
    <definedName name="_____pc2" localSheetId="4">#REF!</definedName>
    <definedName name="_____pc2" localSheetId="10">#REF!</definedName>
    <definedName name="_____pc2" localSheetId="8">#REF!</definedName>
    <definedName name="_____pc2" localSheetId="7">#REF!</definedName>
    <definedName name="_____pc2">#REF!</definedName>
    <definedName name="_____PC20">#REF!</definedName>
    <definedName name="_____PC21">#REF!</definedName>
    <definedName name="_____PC22">#REF!</definedName>
    <definedName name="_____PC23">#REF!</definedName>
    <definedName name="_____PC24">#REF!</definedName>
    <definedName name="_____PC3">#REF!</definedName>
    <definedName name="_____PC4">#REF!</definedName>
    <definedName name="_____PC5">#REF!</definedName>
    <definedName name="_____PC6">#REF!</definedName>
    <definedName name="_____pc600">#REF!</definedName>
    <definedName name="_____PC7">#REF!</definedName>
    <definedName name="_____PC8">#REF!</definedName>
    <definedName name="_____PC9">#REF!</definedName>
    <definedName name="_____pc900">#REF!</definedName>
    <definedName name="_____pla4">#REF!</definedName>
    <definedName name="_____PMS2">#REF!</definedName>
    <definedName name="_____psc10006">#REF!</definedName>
    <definedName name="_____psc10008">#REF!</definedName>
    <definedName name="_____psc3506">#REF!</definedName>
    <definedName name="_____psc3508">#REF!</definedName>
    <definedName name="_____psc4006">#REF!</definedName>
    <definedName name="_____psc4008">#REF!</definedName>
    <definedName name="_____psc4506">#REF!</definedName>
    <definedName name="_____psc4508">#REF!</definedName>
    <definedName name="_____psc5006">#REF!</definedName>
    <definedName name="_____psc5008">#REF!</definedName>
    <definedName name="_____psc6006">#REF!</definedName>
    <definedName name="_____psc6008">#REF!</definedName>
    <definedName name="_____psc7006">#REF!</definedName>
    <definedName name="_____psc7008">#REF!</definedName>
    <definedName name="_____psc8006">#REF!</definedName>
    <definedName name="_____psc8008">#REF!</definedName>
    <definedName name="_____psc9006">#REF!</definedName>
    <definedName name="_____psc9008">#REF!</definedName>
    <definedName name="_____pv2" localSheetId="21">#REF!</definedName>
    <definedName name="_____pv2" localSheetId="9">#REF!</definedName>
    <definedName name="_____pv2" localSheetId="4">#REF!</definedName>
    <definedName name="_____pv2" localSheetId="10">#REF!</definedName>
    <definedName name="_____pv2" localSheetId="8">#REF!</definedName>
    <definedName name="_____pv2" localSheetId="7">#REF!</definedName>
    <definedName name="_____pv2">#REF!</definedName>
    <definedName name="_____rr3" localSheetId="21">[32]v!$A$2:$E$51</definedName>
    <definedName name="_____rr3" localSheetId="9">[32]v!$A$2:$E$51</definedName>
    <definedName name="_____rr3" localSheetId="4">[32]v!$A$2:$E$51</definedName>
    <definedName name="_____rr3" localSheetId="8">[32]v!$A$2:$E$51</definedName>
    <definedName name="_____rr3" localSheetId="7">#REF!</definedName>
    <definedName name="_____rr3">#REF!</definedName>
    <definedName name="_____rrr1" localSheetId="21">[32]r!$B$1:$I$145</definedName>
    <definedName name="_____rrr1" localSheetId="9">[32]r!$B$1:$I$145</definedName>
    <definedName name="_____rrr1" localSheetId="4">[32]r!$B$1:$I$145</definedName>
    <definedName name="_____rrr1" localSheetId="8">[32]r!$B$1:$I$145</definedName>
    <definedName name="_____rrr1" localSheetId="7">#REF!</definedName>
    <definedName name="_____rrr1">#REF!</definedName>
    <definedName name="_____sd1" localSheetId="21">[48]m!$D$149</definedName>
    <definedName name="_____sd1" localSheetId="9">[48]m!$D$149</definedName>
    <definedName name="_____sd1" localSheetId="4">[48]m!$D$149</definedName>
    <definedName name="_____sd1" localSheetId="8">[48]m!$D$149</definedName>
    <definedName name="_____sd1">#REF!</definedName>
    <definedName name="_____sp1">#REF!</definedName>
    <definedName name="_____SP10">#REF!</definedName>
    <definedName name="_____sp11">#REF!</definedName>
    <definedName name="_____sp12">#REF!</definedName>
    <definedName name="_____sp13">#REF!</definedName>
    <definedName name="_____sp14">#REF!</definedName>
    <definedName name="_____sp15">#REF!</definedName>
    <definedName name="_____SP16">#REF!</definedName>
    <definedName name="_____sp17">#REF!</definedName>
    <definedName name="_____sp18">#REF!</definedName>
    <definedName name="_____sp19">#REF!</definedName>
    <definedName name="_____sp2">#REF!</definedName>
    <definedName name="_____sp20">#REF!</definedName>
    <definedName name="_____sp21">#REF!</definedName>
    <definedName name="_____sp22">#REF!</definedName>
    <definedName name="_____sp23">#REF!</definedName>
    <definedName name="_____SP7">#REF!</definedName>
    <definedName name="_____ss12" localSheetId="21">[33]rdamdata!$J$8</definedName>
    <definedName name="_____ss12" localSheetId="9">[33]rdamdata!$J$8</definedName>
    <definedName name="_____ss12" localSheetId="4">[33]rdamdata!$J$8</definedName>
    <definedName name="_____ss12" localSheetId="8">[33]rdamdata!$J$8</definedName>
    <definedName name="_____ss12" localSheetId="7">#REF!</definedName>
    <definedName name="_____ss12">#REF!</definedName>
    <definedName name="_____ss20" localSheetId="21">[33]rdamdata!$J$7</definedName>
    <definedName name="_____ss20" localSheetId="9">[33]rdamdata!$J$7</definedName>
    <definedName name="_____ss20" localSheetId="4">[33]rdamdata!$J$7</definedName>
    <definedName name="_____ss20" localSheetId="8">[33]rdamdata!$J$7</definedName>
    <definedName name="_____ss20" localSheetId="7">#REF!</definedName>
    <definedName name="_____ss20">#REF!</definedName>
    <definedName name="_____ss40" localSheetId="21">[33]rdamdata!$J$6</definedName>
    <definedName name="_____ss40" localSheetId="9">[33]rdamdata!$J$6</definedName>
    <definedName name="_____ss40" localSheetId="4">[33]rdamdata!$J$6</definedName>
    <definedName name="_____ss40" localSheetId="8">[33]rdamdata!$J$6</definedName>
    <definedName name="_____ss40" localSheetId="7">#REF!</definedName>
    <definedName name="_____ss40">#REF!</definedName>
    <definedName name="_____var1" localSheetId="21">#REF!</definedName>
    <definedName name="_____var1" localSheetId="9">#REF!</definedName>
    <definedName name="_____var1" localSheetId="4">#REF!</definedName>
    <definedName name="_____var1" localSheetId="10">#REF!</definedName>
    <definedName name="_____var1" localSheetId="8">#REF!</definedName>
    <definedName name="_____var1" localSheetId="7">#REF!</definedName>
    <definedName name="_____var1">#REF!</definedName>
    <definedName name="_____var4" localSheetId="21">#REF!</definedName>
    <definedName name="_____var4" localSheetId="9">#REF!</definedName>
    <definedName name="_____var4" localSheetId="4">#REF!</definedName>
    <definedName name="_____var4" localSheetId="10">#REF!</definedName>
    <definedName name="_____var4" localSheetId="8">#REF!</definedName>
    <definedName name="_____var4" localSheetId="7">#REF!</definedName>
    <definedName name="_____var4">#REF!</definedName>
    <definedName name="_____vat1" localSheetId="4">#REF!</definedName>
    <definedName name="_____vat1">#REF!</definedName>
    <definedName name="_____vat2" localSheetId="4">#REF!</definedName>
    <definedName name="_____vat2">#REF!</definedName>
    <definedName name="_____xh11010">#REF!</definedName>
    <definedName name="_____xh1104">#REF!</definedName>
    <definedName name="_____xh1106">#REF!</definedName>
    <definedName name="_____xh1108">#REF!</definedName>
    <definedName name="_____xh12510">#REF!</definedName>
    <definedName name="_____xh1254">#REF!</definedName>
    <definedName name="_____xh1256">#REF!</definedName>
    <definedName name="_____xh1258">#REF!</definedName>
    <definedName name="_____xh14010">#REF!</definedName>
    <definedName name="_____xh1404">#REF!</definedName>
    <definedName name="_____xh1406">#REF!</definedName>
    <definedName name="_____xh1408">#REF!</definedName>
    <definedName name="_____xh16010">#REF!</definedName>
    <definedName name="_____xh1604">#REF!</definedName>
    <definedName name="_____xh1606">#REF!</definedName>
    <definedName name="_____xh1608">#REF!</definedName>
    <definedName name="_____xh18010">#REF!</definedName>
    <definedName name="_____xh1804">#REF!</definedName>
    <definedName name="_____xh1806">#REF!</definedName>
    <definedName name="_____xh1808">#REF!</definedName>
    <definedName name="_____xh20010">#REF!</definedName>
    <definedName name="_____xh2004">#REF!</definedName>
    <definedName name="_____xh2006">#REF!</definedName>
    <definedName name="_____xh2008">#REF!</definedName>
    <definedName name="_____xh22510">#REF!</definedName>
    <definedName name="_____xh2254">#REF!</definedName>
    <definedName name="_____xh2256">#REF!</definedName>
    <definedName name="_____xh2258">#REF!</definedName>
    <definedName name="_____xh25010">#REF!</definedName>
    <definedName name="_____xh2504">#REF!</definedName>
    <definedName name="_____xh2506">#REF!</definedName>
    <definedName name="_____xh2508">#REF!</definedName>
    <definedName name="_____xh28010">#REF!</definedName>
    <definedName name="_____xh2804">#REF!</definedName>
    <definedName name="_____xh2806">#REF!</definedName>
    <definedName name="_____xh2808">#REF!</definedName>
    <definedName name="_____xh31510">#REF!</definedName>
    <definedName name="_____xh3154">#REF!</definedName>
    <definedName name="_____xh3156">#REF!</definedName>
    <definedName name="_____xh3158">#REF!</definedName>
    <definedName name="_____xh3554">#REF!</definedName>
    <definedName name="_____xh3556">#REF!</definedName>
    <definedName name="_____xh6310">#REF!</definedName>
    <definedName name="_____xh634">#REF!</definedName>
    <definedName name="_____xh636">#REF!</definedName>
    <definedName name="_____xh638">#REF!</definedName>
    <definedName name="_____xh7510">#REF!</definedName>
    <definedName name="_____xh754">#REF!</definedName>
    <definedName name="_____xh756">#REF!</definedName>
    <definedName name="_____xh758">#REF!</definedName>
    <definedName name="_____xh9010">#REF!</definedName>
    <definedName name="_____xh904">#REF!</definedName>
    <definedName name="_____xh906">#REF!</definedName>
    <definedName name="_____xh908">#REF!</definedName>
    <definedName name="_____xk7100">#REF!</definedName>
    <definedName name="_____xk7150">#REF!</definedName>
    <definedName name="_____xk7200">#REF!</definedName>
    <definedName name="_____xk7250">#REF!</definedName>
    <definedName name="_____xk7300">#REF!</definedName>
    <definedName name="_____xk7350">#REF!</definedName>
    <definedName name="_____xk7400">#REF!</definedName>
    <definedName name="_____xk7450">#REF!</definedName>
    <definedName name="_____xk7500">#REF!</definedName>
    <definedName name="_____xk7600">#REF!</definedName>
    <definedName name="_____xk9100">#REF!</definedName>
    <definedName name="_____xk91000">#REF!</definedName>
    <definedName name="_____xk9150">#REF!</definedName>
    <definedName name="_____xk9200">#REF!</definedName>
    <definedName name="_____xk9250">#REF!</definedName>
    <definedName name="_____xk9300">#REF!</definedName>
    <definedName name="_____xk9350">#REF!</definedName>
    <definedName name="_____xk9400">#REF!</definedName>
    <definedName name="_____xk9450">#REF!</definedName>
    <definedName name="_____xk9500">#REF!</definedName>
    <definedName name="_____xk9600">#REF!</definedName>
    <definedName name="_____xk9700">#REF!</definedName>
    <definedName name="_____xk9750">#REF!</definedName>
    <definedName name="_____xk9800">#REF!</definedName>
    <definedName name="_____xk9900">#REF!</definedName>
    <definedName name="_____xp11010">#REF!</definedName>
    <definedName name="_____xp1104">#REF!</definedName>
    <definedName name="_____xp1106">#REF!</definedName>
    <definedName name="_____xp12510">#REF!</definedName>
    <definedName name="_____xp1254">#REF!</definedName>
    <definedName name="_____xp1256">#REF!</definedName>
    <definedName name="_____xp14010">#REF!</definedName>
    <definedName name="_____xp1404">#REF!</definedName>
    <definedName name="_____xp1406">#REF!</definedName>
    <definedName name="_____xp16010">#REF!</definedName>
    <definedName name="_____xp1604">#REF!</definedName>
    <definedName name="_____xp1606">#REF!</definedName>
    <definedName name="_____xp18010">#REF!</definedName>
    <definedName name="_____xp1804">#REF!</definedName>
    <definedName name="_____xp1806">#REF!</definedName>
    <definedName name="_____xp20010">#REF!</definedName>
    <definedName name="_____xp2004">#REF!</definedName>
    <definedName name="_____xp2006">#REF!</definedName>
    <definedName name="_____xp22510">#REF!</definedName>
    <definedName name="_____xp2254">#REF!</definedName>
    <definedName name="_____xp2256">#REF!</definedName>
    <definedName name="_____xp25010">#REF!</definedName>
    <definedName name="_____xp2504">#REF!</definedName>
    <definedName name="_____xp2506">#REF!</definedName>
    <definedName name="_____xp28010">#REF!</definedName>
    <definedName name="_____xp2804">#REF!</definedName>
    <definedName name="_____xp2806">#REF!</definedName>
    <definedName name="_____xp31510">#REF!</definedName>
    <definedName name="_____xp3154">#REF!</definedName>
    <definedName name="_____xp3156">#REF!</definedName>
    <definedName name="_____xp6310">#REF!</definedName>
    <definedName name="_____xp634">#REF!</definedName>
    <definedName name="_____xp636">#REF!</definedName>
    <definedName name="_____xp7510">#REF!</definedName>
    <definedName name="_____xp754">#REF!</definedName>
    <definedName name="_____xp756">#REF!</definedName>
    <definedName name="_____xp9010">#REF!</definedName>
    <definedName name="_____xp904">#REF!</definedName>
    <definedName name="_____xp906">#REF!</definedName>
    <definedName name="____bla1" localSheetId="21">[34]leads!$H$7</definedName>
    <definedName name="____bla1" localSheetId="9">[34]leads!$H$7</definedName>
    <definedName name="____bla1" localSheetId="4">[34]leads!$H$7</definedName>
    <definedName name="____bla1" localSheetId="10">#REF!</definedName>
    <definedName name="____bla1" localSheetId="8">[34]leads!$H$7</definedName>
    <definedName name="____bla1" localSheetId="7">#REF!</definedName>
    <definedName name="____bla1">#REF!</definedName>
    <definedName name="____BSG100">#REF!</definedName>
    <definedName name="____BSG150">#REF!</definedName>
    <definedName name="____BSG5">#REF!</definedName>
    <definedName name="____BSG75">#REF!</definedName>
    <definedName name="____BTC1">#REF!</definedName>
    <definedName name="____BTC10">#REF!</definedName>
    <definedName name="____BTC11">#REF!</definedName>
    <definedName name="____BTC12">#REF!</definedName>
    <definedName name="____BTC13">#REF!</definedName>
    <definedName name="____BTC14">#REF!</definedName>
    <definedName name="____BTC15">#REF!</definedName>
    <definedName name="____BTC16">#REF!</definedName>
    <definedName name="____BTC17">#REF!</definedName>
    <definedName name="____BTC18">#REF!</definedName>
    <definedName name="____BTC19">#REF!</definedName>
    <definedName name="____BTC2">#REF!</definedName>
    <definedName name="____BTC20">#REF!</definedName>
    <definedName name="____BTC21">#REF!</definedName>
    <definedName name="____BTC22">#REF!</definedName>
    <definedName name="____BTC23">#REF!</definedName>
    <definedName name="____BTC24">#REF!</definedName>
    <definedName name="____BTC3">#REF!</definedName>
    <definedName name="____BTC4">#REF!</definedName>
    <definedName name="____BTC5">#REF!</definedName>
    <definedName name="____BTC6">#REF!</definedName>
    <definedName name="____BTC7">#REF!</definedName>
    <definedName name="____BTC8">#REF!</definedName>
    <definedName name="____BTC9">#REF!</definedName>
    <definedName name="____BTR1">#REF!</definedName>
    <definedName name="____BTR10">#REF!</definedName>
    <definedName name="____BTR11">#REF!</definedName>
    <definedName name="____BTR12">#REF!</definedName>
    <definedName name="____BTR13">#REF!</definedName>
    <definedName name="____BTR14">#REF!</definedName>
    <definedName name="____BTR15">#REF!</definedName>
    <definedName name="____BTR16">#REF!</definedName>
    <definedName name="____BTR17">#REF!</definedName>
    <definedName name="____BTR18">#REF!</definedName>
    <definedName name="____BTR19">#REF!</definedName>
    <definedName name="____BTR2">#REF!</definedName>
    <definedName name="____BTR20">#REF!</definedName>
    <definedName name="____BTR21">#REF!</definedName>
    <definedName name="____BTR22">#REF!</definedName>
    <definedName name="____BTR23">#REF!</definedName>
    <definedName name="____BTR24">#REF!</definedName>
    <definedName name="____BTR3">#REF!</definedName>
    <definedName name="____BTR4">#REF!</definedName>
    <definedName name="____BTR5">#REF!</definedName>
    <definedName name="____BTR6">#REF!</definedName>
    <definedName name="____BTR7">#REF!</definedName>
    <definedName name="____BTR8">#REF!</definedName>
    <definedName name="____BTR9">#REF!</definedName>
    <definedName name="____BTS1">#REF!</definedName>
    <definedName name="____BTS10">#REF!</definedName>
    <definedName name="____BTS11">#REF!</definedName>
    <definedName name="____BTS12">#REF!</definedName>
    <definedName name="____BTS13">#REF!</definedName>
    <definedName name="____BTS14">#REF!</definedName>
    <definedName name="____BTS15">#REF!</definedName>
    <definedName name="____BTS16">#REF!</definedName>
    <definedName name="____BTS17">#REF!</definedName>
    <definedName name="____BTS18">#REF!</definedName>
    <definedName name="____BTS19">#REF!</definedName>
    <definedName name="____BTS2">#REF!</definedName>
    <definedName name="____BTS20">#REF!</definedName>
    <definedName name="____BTS21">#REF!</definedName>
    <definedName name="____BTS22">#REF!</definedName>
    <definedName name="____BTS23">#REF!</definedName>
    <definedName name="____BTS24">#REF!</definedName>
    <definedName name="____BTS3">#REF!</definedName>
    <definedName name="____BTS4">#REF!</definedName>
    <definedName name="____BTS5">#REF!</definedName>
    <definedName name="____BTS6">#REF!</definedName>
    <definedName name="____BTS7">#REF!</definedName>
    <definedName name="____BTS8">#REF!</definedName>
    <definedName name="____BTS9">#REF!</definedName>
    <definedName name="____can430">40.73</definedName>
    <definedName name="____can435">43.3</definedName>
    <definedName name="____cbr1" localSheetId="21">#REF!</definedName>
    <definedName name="____cbr1" localSheetId="9">#REF!</definedName>
    <definedName name="____cbr1" localSheetId="4">#REF!</definedName>
    <definedName name="____cbr1" localSheetId="8">#REF!</definedName>
    <definedName name="____cbr1">#REF!</definedName>
    <definedName name="____cbr2" localSheetId="21">#REF!</definedName>
    <definedName name="____cbr2" localSheetId="9">#REF!</definedName>
    <definedName name="____cbr2" localSheetId="4">#REF!</definedName>
    <definedName name="____cbr2" localSheetId="8">#REF!</definedName>
    <definedName name="____cbr2">#REF!</definedName>
    <definedName name="____cbr3" localSheetId="21">#REF!</definedName>
    <definedName name="____cbr3" localSheetId="9">#REF!</definedName>
    <definedName name="____cbr3" localSheetId="4">#REF!</definedName>
    <definedName name="____cbr3" localSheetId="8">#REF!</definedName>
    <definedName name="____cbr3">#REF!</definedName>
    <definedName name="____cbr4" localSheetId="21">#REF!</definedName>
    <definedName name="____cbr4" localSheetId="9">#REF!</definedName>
    <definedName name="____cbr4" localSheetId="4">#REF!</definedName>
    <definedName name="____cbr4" localSheetId="8">#REF!</definedName>
    <definedName name="____cbr4">#REF!</definedName>
    <definedName name="____CCW1">#REF!</definedName>
    <definedName name="____CCW2">#REF!</definedName>
    <definedName name="____cur1" localSheetId="21">[13]r!$F$30</definedName>
    <definedName name="____cur1" localSheetId="9">[13]r!$F$30</definedName>
    <definedName name="____cur1" localSheetId="4">[13]r!$F$30</definedName>
    <definedName name="____cur1" localSheetId="8">[13]r!$F$30</definedName>
    <definedName name="____cur1">#REF!</definedName>
    <definedName name="____df3">#REF!</definedName>
    <definedName name="____ewe1" localSheetId="7">#REF!</definedName>
    <definedName name="____ewe1">#REF!</definedName>
    <definedName name="____f1" localSheetId="21">#REF!</definedName>
    <definedName name="____f1" localSheetId="9">#REF!</definedName>
    <definedName name="____f1" localSheetId="4">#REF!</definedName>
    <definedName name="____f1" localSheetId="8">#REF!</definedName>
    <definedName name="____f1">#REF!</definedName>
    <definedName name="____GBS11">#REF!</definedName>
    <definedName name="____GBS110">#REF!</definedName>
    <definedName name="____GBS111">#REF!</definedName>
    <definedName name="____GBS112">#REF!</definedName>
    <definedName name="____GBS113">#REF!</definedName>
    <definedName name="____GBS114">#REF!</definedName>
    <definedName name="____GBS115">#REF!</definedName>
    <definedName name="____GBS116">#REF!</definedName>
    <definedName name="____GBS117">#REF!</definedName>
    <definedName name="____GBS118">#REF!</definedName>
    <definedName name="____GBS119">#REF!</definedName>
    <definedName name="____GBS12">#REF!</definedName>
    <definedName name="____GBS120">#REF!</definedName>
    <definedName name="____GBS121">#REF!</definedName>
    <definedName name="____GBS122">#REF!</definedName>
    <definedName name="____GBS123">#REF!</definedName>
    <definedName name="____GBS124">#REF!</definedName>
    <definedName name="____GBS13">#REF!</definedName>
    <definedName name="____GBS14">#REF!</definedName>
    <definedName name="____GBS15">#REF!</definedName>
    <definedName name="____GBS16">#REF!</definedName>
    <definedName name="____GBS17">#REF!</definedName>
    <definedName name="____GBS18">#REF!</definedName>
    <definedName name="____GBS19">#REF!</definedName>
    <definedName name="____GBS21">#REF!</definedName>
    <definedName name="____GBS210">#REF!</definedName>
    <definedName name="____GBS211">#REF!</definedName>
    <definedName name="____GBS212">#REF!</definedName>
    <definedName name="____GBS213">#REF!</definedName>
    <definedName name="____GBS214">#REF!</definedName>
    <definedName name="____GBS215">#REF!</definedName>
    <definedName name="____GBS216">#REF!</definedName>
    <definedName name="____GBS217">#REF!</definedName>
    <definedName name="____GBS218">#REF!</definedName>
    <definedName name="____GBS219">#REF!</definedName>
    <definedName name="____GBS22">#REF!</definedName>
    <definedName name="____GBS220">#REF!</definedName>
    <definedName name="____GBS221">#REF!</definedName>
    <definedName name="____GBS222">#REF!</definedName>
    <definedName name="____GBS223">#REF!</definedName>
    <definedName name="____GBS224">#REF!</definedName>
    <definedName name="____GBS23">#REF!</definedName>
    <definedName name="____GBS24">#REF!</definedName>
    <definedName name="____GBS25">#REF!</definedName>
    <definedName name="____GBS26">#REF!</definedName>
    <definedName name="____GBS27">#REF!</definedName>
    <definedName name="____GBS28">#REF!</definedName>
    <definedName name="____GBS29">#REF!</definedName>
    <definedName name="____grp10003">#REF!</definedName>
    <definedName name="____grp3503">#REF!</definedName>
    <definedName name="____grp4003">#REF!</definedName>
    <definedName name="____grp4503">#REF!</definedName>
    <definedName name="____grp5003">#REF!</definedName>
    <definedName name="____grp6003">#REF!</definedName>
    <definedName name="____grp7003">#REF!</definedName>
    <definedName name="____grp8003">#REF!</definedName>
    <definedName name="____grp9003">#REF!</definedName>
    <definedName name="____imp1">#REF!</definedName>
    <definedName name="____knr2">#REF!</definedName>
    <definedName name="____l1" localSheetId="21">[35]leads!$A$3:$E$108</definedName>
    <definedName name="____l1" localSheetId="9">[35]leads!$A$3:$E$108</definedName>
    <definedName name="____l1" localSheetId="4">[35]leads!$A$3:$E$108</definedName>
    <definedName name="____l1" localSheetId="10">#REF!</definedName>
    <definedName name="____l1" localSheetId="8">[35]leads!$A$3:$E$108</definedName>
    <definedName name="____l1" localSheetId="7">#REF!</definedName>
    <definedName name="____l1">#REF!</definedName>
    <definedName name="____l12" localSheetId="21">#REF!</definedName>
    <definedName name="____l12" localSheetId="9">#REF!</definedName>
    <definedName name="____l12" localSheetId="4">#REF!</definedName>
    <definedName name="____l12" localSheetId="10">#REF!</definedName>
    <definedName name="____l12" localSheetId="8">#REF!</definedName>
    <definedName name="____l12" localSheetId="7">#REF!</definedName>
    <definedName name="____l12">#REF!</definedName>
    <definedName name="____l2" localSheetId="21">[13]r!$F$29</definedName>
    <definedName name="____l2" localSheetId="9">[13]r!$F$29</definedName>
    <definedName name="____l2" localSheetId="4">[13]r!$F$29</definedName>
    <definedName name="____l2" localSheetId="8">[13]r!$F$29</definedName>
    <definedName name="____l2">#REF!</definedName>
    <definedName name="____l3" localSheetId="21">#REF!</definedName>
    <definedName name="____l3" localSheetId="9">#REF!</definedName>
    <definedName name="____l3" localSheetId="4">#REF!</definedName>
    <definedName name="____l3" localSheetId="10">#REF!</definedName>
    <definedName name="____l3" localSheetId="8">#REF!</definedName>
    <definedName name="____l3" localSheetId="7">#REF!</definedName>
    <definedName name="____l3">#REF!</definedName>
    <definedName name="____l4" localSheetId="21">[36]Sheet1!$W$2:$Y$103</definedName>
    <definedName name="____l4" localSheetId="9">[36]Sheet1!$W$2:$Y$103</definedName>
    <definedName name="____l4" localSheetId="4">[36]Sheet1!$W$2:$Y$103</definedName>
    <definedName name="____l4" localSheetId="10">#REF!</definedName>
    <definedName name="____l4" localSheetId="8">[36]Sheet1!$W$2:$Y$103</definedName>
    <definedName name="____l4" localSheetId="7">#REF!</definedName>
    <definedName name="____l4">#REF!</definedName>
    <definedName name="____l5" localSheetId="21">#REF!</definedName>
    <definedName name="____l5" localSheetId="9">#REF!</definedName>
    <definedName name="____l5" localSheetId="4">#REF!</definedName>
    <definedName name="____l5" localSheetId="10">#REF!</definedName>
    <definedName name="____l5" localSheetId="8">#REF!</definedName>
    <definedName name="____l5" localSheetId="7">#REF!</definedName>
    <definedName name="____l5">#REF!</definedName>
    <definedName name="____l6" localSheetId="21">[13]r!$F$4</definedName>
    <definedName name="____l6" localSheetId="9">[13]r!$F$4</definedName>
    <definedName name="____l6" localSheetId="4">[13]r!$F$4</definedName>
    <definedName name="____l6" localSheetId="8">[13]r!$F$4</definedName>
    <definedName name="____l6">#REF!</definedName>
    <definedName name="____l7" localSheetId="21">[14]r!$F$4</definedName>
    <definedName name="____l7" localSheetId="9">[14]r!$F$4</definedName>
    <definedName name="____l7" localSheetId="4">[14]r!$F$4</definedName>
    <definedName name="____l7" localSheetId="8">[14]r!$F$4</definedName>
    <definedName name="____l7">#REF!</definedName>
    <definedName name="____l8" localSheetId="21">[13]r!$F$2</definedName>
    <definedName name="____l8" localSheetId="9">[13]r!$F$2</definedName>
    <definedName name="____l8" localSheetId="4">[13]r!$F$2</definedName>
    <definedName name="____l8" localSheetId="8">[13]r!$F$2</definedName>
    <definedName name="____l8">#REF!</definedName>
    <definedName name="____l9" localSheetId="21">[13]r!$F$3</definedName>
    <definedName name="____l9" localSheetId="9">[13]r!$F$3</definedName>
    <definedName name="____l9" localSheetId="4">[13]r!$F$3</definedName>
    <definedName name="____l9" localSheetId="8">[13]r!$F$3</definedName>
    <definedName name="____l9">#REF!</definedName>
    <definedName name="____LI9">#REF!</definedName>
    <definedName name="____LII9">#REF!</definedName>
    <definedName name="____LJ6">#REF!</definedName>
    <definedName name="____lj600">#REF!</definedName>
    <definedName name="____lj900">#REF!</definedName>
    <definedName name="____LL3">#REF!</definedName>
    <definedName name="____MA1" localSheetId="4">#REF!</definedName>
    <definedName name="____MA1">#REF!</definedName>
    <definedName name="____MA2" localSheetId="4">#REF!</definedName>
    <definedName name="____MA2">#REF!</definedName>
    <definedName name="____man1" localSheetId="21">[41]m!$B$149</definedName>
    <definedName name="____man1" localSheetId="9">[41]m!$B$149</definedName>
    <definedName name="____man1" localSheetId="4">[41]m!$B$149</definedName>
    <definedName name="____man1" localSheetId="8">[41]m!$B$149</definedName>
    <definedName name="____man1">#REF!</definedName>
    <definedName name="____MIX124">#REF!</definedName>
    <definedName name="____ML11">#REF!</definedName>
    <definedName name="____ML110">#REF!</definedName>
    <definedName name="____ML111">#REF!</definedName>
    <definedName name="____ML112">#REF!</definedName>
    <definedName name="____ML113">#REF!</definedName>
    <definedName name="____ML114">#REF!</definedName>
    <definedName name="____ML115">#REF!</definedName>
    <definedName name="____ML12">#REF!</definedName>
    <definedName name="____ML13">#REF!</definedName>
    <definedName name="____ML14">#REF!</definedName>
    <definedName name="____ML15">#REF!</definedName>
    <definedName name="____ML16">#REF!</definedName>
    <definedName name="____ML17">#REF!</definedName>
    <definedName name="____ML18">#REF!</definedName>
    <definedName name="____ML19">#REF!</definedName>
    <definedName name="____ML21">#REF!</definedName>
    <definedName name="____ML210">#REF!</definedName>
    <definedName name="____ML211">#REF!</definedName>
    <definedName name="____ML212">#REF!</definedName>
    <definedName name="____ML213">#REF!</definedName>
    <definedName name="____ML214">#REF!</definedName>
    <definedName name="____ML215">#REF!</definedName>
    <definedName name="____ML216">#REF!</definedName>
    <definedName name="____ML217">#REF!</definedName>
    <definedName name="____ML218">#REF!</definedName>
    <definedName name="____ML219">#REF!</definedName>
    <definedName name="____ML22">#REF!</definedName>
    <definedName name="____ML220">#REF!</definedName>
    <definedName name="____ML221">#REF!</definedName>
    <definedName name="____ML222">#REF!</definedName>
    <definedName name="____ML223">#REF!</definedName>
    <definedName name="____ML224">#REF!</definedName>
    <definedName name="____ML23">#REF!</definedName>
    <definedName name="____ML24">#REF!</definedName>
    <definedName name="____ML25">#REF!</definedName>
    <definedName name="____ML26">#REF!</definedName>
    <definedName name="____ML27">#REF!</definedName>
    <definedName name="____ML28">#REF!</definedName>
    <definedName name="____ML29">#REF!</definedName>
    <definedName name="____ML31">#REF!</definedName>
    <definedName name="____ML310">#REF!</definedName>
    <definedName name="____ML311">#REF!</definedName>
    <definedName name="____ML312">#REF!</definedName>
    <definedName name="____ML313">#REF!</definedName>
    <definedName name="____ML314">#REF!</definedName>
    <definedName name="____ML315">#REF!</definedName>
    <definedName name="____ML316">#REF!</definedName>
    <definedName name="____ML317">#REF!</definedName>
    <definedName name="____ML318">#REF!</definedName>
    <definedName name="____ML319">#REF!</definedName>
    <definedName name="____ML32">#REF!</definedName>
    <definedName name="____ML320">#REF!</definedName>
    <definedName name="____ML321">#REF!</definedName>
    <definedName name="____ML322">#REF!</definedName>
    <definedName name="____ML323">#REF!</definedName>
    <definedName name="____ML324">#REF!</definedName>
    <definedName name="____ML33">#REF!</definedName>
    <definedName name="____ML34">#REF!</definedName>
    <definedName name="____ML35">#REF!</definedName>
    <definedName name="____ML36">#REF!</definedName>
    <definedName name="____ML37">#REF!</definedName>
    <definedName name="____ML38">#REF!</definedName>
    <definedName name="____ML39">#REF!</definedName>
    <definedName name="____ML7">#REF!</definedName>
    <definedName name="____ML8">#REF!</definedName>
    <definedName name="____ML9">#REF!</definedName>
    <definedName name="____mm1" localSheetId="21">[37]r!$F$4</definedName>
    <definedName name="____mm1" localSheetId="9">[37]r!$F$4</definedName>
    <definedName name="____mm1" localSheetId="4">[37]r!$F$4</definedName>
    <definedName name="____mm1" localSheetId="10">#REF!</definedName>
    <definedName name="____mm1" localSheetId="8">[37]r!$F$4</definedName>
    <definedName name="____mm1" localSheetId="7">#REF!</definedName>
    <definedName name="____mm1">#REF!</definedName>
    <definedName name="____mm11" localSheetId="21">[13]r!$F$4</definedName>
    <definedName name="____mm11" localSheetId="9">[13]r!$F$4</definedName>
    <definedName name="____mm11" localSheetId="4">[13]r!$F$4</definedName>
    <definedName name="____mm11" localSheetId="8">[13]r!$F$4</definedName>
    <definedName name="____mm11">#REF!</definedName>
    <definedName name="____mm111" localSheetId="21">[14]r!$F$4</definedName>
    <definedName name="____mm111" localSheetId="9">[14]r!$F$4</definedName>
    <definedName name="____mm111" localSheetId="4">[14]r!$F$4</definedName>
    <definedName name="____mm111" localSheetId="8">[14]r!$F$4</definedName>
    <definedName name="____mm111">#REF!</definedName>
    <definedName name="____mm2">#REF!</definedName>
    <definedName name="____mm20">#REF!</definedName>
    <definedName name="____mm40">#REF!</definedName>
    <definedName name="____np3">#REF!</definedName>
    <definedName name="____PC1">#REF!</definedName>
    <definedName name="____PC10">#REF!</definedName>
    <definedName name="____PC11">#REF!</definedName>
    <definedName name="____PC12">#REF!</definedName>
    <definedName name="____PC13">#REF!</definedName>
    <definedName name="____PC14">#REF!</definedName>
    <definedName name="____PC15">#REF!</definedName>
    <definedName name="____PC16">#REF!</definedName>
    <definedName name="____PC17">#REF!</definedName>
    <definedName name="____PC18">#REF!</definedName>
    <definedName name="____PC19">#REF!</definedName>
    <definedName name="____pc2" localSheetId="21">#REF!</definedName>
    <definedName name="____pc2" localSheetId="9">#REF!</definedName>
    <definedName name="____pc2" localSheetId="4">#REF!</definedName>
    <definedName name="____pc2" localSheetId="10">#REF!</definedName>
    <definedName name="____pc2" localSheetId="8">#REF!</definedName>
    <definedName name="____pc2" localSheetId="7">#REF!</definedName>
    <definedName name="____pc2">#REF!</definedName>
    <definedName name="____PC20">#REF!</definedName>
    <definedName name="____PC21">#REF!</definedName>
    <definedName name="____PC22">#REF!</definedName>
    <definedName name="____PC23">#REF!</definedName>
    <definedName name="____PC24">#REF!</definedName>
    <definedName name="____PC3">#REF!</definedName>
    <definedName name="____PC4">#REF!</definedName>
    <definedName name="____PC5">#REF!</definedName>
    <definedName name="____PC6">#REF!</definedName>
    <definedName name="____pc600">#REF!</definedName>
    <definedName name="____PC7">#REF!</definedName>
    <definedName name="____PC8">#REF!</definedName>
    <definedName name="____PC9">#REF!</definedName>
    <definedName name="____pc900">#REF!</definedName>
    <definedName name="____pla4">#REF!</definedName>
    <definedName name="____PMS2">#REF!</definedName>
    <definedName name="____psc10006">#REF!</definedName>
    <definedName name="____psc10008">#REF!</definedName>
    <definedName name="____psc3506">#REF!</definedName>
    <definedName name="____psc3508">#REF!</definedName>
    <definedName name="____psc4006">#REF!</definedName>
    <definedName name="____psc4008">#REF!</definedName>
    <definedName name="____psc4506">#REF!</definedName>
    <definedName name="____psc4508">#REF!</definedName>
    <definedName name="____psc5006">#REF!</definedName>
    <definedName name="____psc5008">#REF!</definedName>
    <definedName name="____psc6006">#REF!</definedName>
    <definedName name="____psc6008">#REF!</definedName>
    <definedName name="____psc7006">#REF!</definedName>
    <definedName name="____psc7008">#REF!</definedName>
    <definedName name="____psc8006">#REF!</definedName>
    <definedName name="____psc8008">#REF!</definedName>
    <definedName name="____psc9006">#REF!</definedName>
    <definedName name="____psc9008">#REF!</definedName>
    <definedName name="____pv2" localSheetId="21">#REF!</definedName>
    <definedName name="____pv2" localSheetId="9">#REF!</definedName>
    <definedName name="____pv2" localSheetId="4">#REF!</definedName>
    <definedName name="____pv2" localSheetId="10">#REF!</definedName>
    <definedName name="____pv2" localSheetId="8">#REF!</definedName>
    <definedName name="____pv2" localSheetId="7">#REF!</definedName>
    <definedName name="____pv2">#REF!</definedName>
    <definedName name="____rr3" localSheetId="21">[38]v!$A$2:$E$51</definedName>
    <definedName name="____rr3" localSheetId="9">[38]v!$A$2:$E$51</definedName>
    <definedName name="____rr3" localSheetId="4">[38]v!$A$2:$E$51</definedName>
    <definedName name="____rr3" localSheetId="10">#REF!</definedName>
    <definedName name="____rr3" localSheetId="8">[38]v!$A$2:$E$51</definedName>
    <definedName name="____rr3" localSheetId="7">#REF!</definedName>
    <definedName name="____rr3">#REF!</definedName>
    <definedName name="____rrr1" localSheetId="21">[38]r!$B$1:$I$145</definedName>
    <definedName name="____rrr1" localSheetId="9">[38]r!$B$1:$I$145</definedName>
    <definedName name="____rrr1" localSheetId="4">[38]r!$B$1:$I$145</definedName>
    <definedName name="____rrr1" localSheetId="10">#REF!</definedName>
    <definedName name="____rrr1" localSheetId="8">[38]r!$B$1:$I$145</definedName>
    <definedName name="____rrr1" localSheetId="7">#REF!</definedName>
    <definedName name="____rrr1">#REF!</definedName>
    <definedName name="____sd1" localSheetId="21">[41]m!$D$149</definedName>
    <definedName name="____sd1" localSheetId="9">[41]m!$D$149</definedName>
    <definedName name="____sd1" localSheetId="4">[41]m!$D$149</definedName>
    <definedName name="____sd1" localSheetId="8">[41]m!$D$149</definedName>
    <definedName name="____sd1">#REF!</definedName>
    <definedName name="____sp1">#REF!</definedName>
    <definedName name="____SP10">#REF!</definedName>
    <definedName name="____sp11">#REF!</definedName>
    <definedName name="____sp12">#REF!</definedName>
    <definedName name="____sp13">#REF!</definedName>
    <definedName name="____sp14">#REF!</definedName>
    <definedName name="____sp15">#REF!</definedName>
    <definedName name="____SP16">#REF!</definedName>
    <definedName name="____sp17">#REF!</definedName>
    <definedName name="____sp18">#REF!</definedName>
    <definedName name="____sp19">#REF!</definedName>
    <definedName name="____sp2">#REF!</definedName>
    <definedName name="____sp20">#REF!</definedName>
    <definedName name="____sp21">#REF!</definedName>
    <definedName name="____sp22">#REF!</definedName>
    <definedName name="____sp23">#REF!</definedName>
    <definedName name="____SP7">#REF!</definedName>
    <definedName name="____ss12" localSheetId="21">[39]rdamdata!$J$8</definedName>
    <definedName name="____ss12" localSheetId="9">[39]rdamdata!$J$8</definedName>
    <definedName name="____ss12" localSheetId="4">[39]rdamdata!$J$8</definedName>
    <definedName name="____ss12" localSheetId="10">#REF!</definedName>
    <definedName name="____ss12" localSheetId="8">[39]rdamdata!$J$8</definedName>
    <definedName name="____ss12" localSheetId="7">#REF!</definedName>
    <definedName name="____ss12">#REF!</definedName>
    <definedName name="____ss20" localSheetId="21">[39]rdamdata!$J$7</definedName>
    <definedName name="____ss20" localSheetId="9">[39]rdamdata!$J$7</definedName>
    <definedName name="____ss20" localSheetId="4">[39]rdamdata!$J$7</definedName>
    <definedName name="____ss20" localSheetId="10">#REF!</definedName>
    <definedName name="____ss20" localSheetId="8">[39]rdamdata!$J$7</definedName>
    <definedName name="____ss20" localSheetId="7">#REF!</definedName>
    <definedName name="____ss20">#REF!</definedName>
    <definedName name="____ss40" localSheetId="21">[39]rdamdata!$J$6</definedName>
    <definedName name="____ss40" localSheetId="9">[39]rdamdata!$J$6</definedName>
    <definedName name="____ss40" localSheetId="4">[39]rdamdata!$J$6</definedName>
    <definedName name="____ss40" localSheetId="10">#REF!</definedName>
    <definedName name="____ss40" localSheetId="8">[39]rdamdata!$J$6</definedName>
    <definedName name="____ss40" localSheetId="7">#REF!</definedName>
    <definedName name="____ss40">#REF!</definedName>
    <definedName name="____var1" localSheetId="21">#REF!</definedName>
    <definedName name="____var1" localSheetId="9">#REF!</definedName>
    <definedName name="____var1" localSheetId="4">#REF!</definedName>
    <definedName name="____var1" localSheetId="10">#REF!</definedName>
    <definedName name="____var1" localSheetId="8">#REF!</definedName>
    <definedName name="____var1" localSheetId="7">#REF!</definedName>
    <definedName name="____var1">#REF!</definedName>
    <definedName name="____var4" localSheetId="21">#REF!</definedName>
    <definedName name="____var4" localSheetId="9">#REF!</definedName>
    <definedName name="____var4" localSheetId="4">#REF!</definedName>
    <definedName name="____var4" localSheetId="10">#REF!</definedName>
    <definedName name="____var4" localSheetId="8">#REF!</definedName>
    <definedName name="____var4" localSheetId="7">#REF!</definedName>
    <definedName name="____var4">#REF!</definedName>
    <definedName name="____vat1" localSheetId="21">#REF!</definedName>
    <definedName name="____vat1" localSheetId="9">#REF!</definedName>
    <definedName name="____vat1" localSheetId="4">#REF!</definedName>
    <definedName name="____vat1" localSheetId="8">#REF!</definedName>
    <definedName name="____vat1">#REF!</definedName>
    <definedName name="____vat2" localSheetId="21">#REF!</definedName>
    <definedName name="____vat2" localSheetId="9">#REF!</definedName>
    <definedName name="____vat2" localSheetId="4">#REF!</definedName>
    <definedName name="____vat2" localSheetId="8">#REF!</definedName>
    <definedName name="____vat2">#REF!</definedName>
    <definedName name="____xcc1153">#REF!</definedName>
    <definedName name="____xcc124">#REF!</definedName>
    <definedName name="____xcc136">#REF!</definedName>
    <definedName name="____xcc148">#REF!</definedName>
    <definedName name="____xcc1510">#REF!</definedName>
    <definedName name="____xcm16">#REF!</definedName>
    <definedName name="____xh11010">#REF!</definedName>
    <definedName name="____xh1104">#REF!</definedName>
    <definedName name="____xh1106">#REF!</definedName>
    <definedName name="____xh1108">#REF!</definedName>
    <definedName name="____xh12510">#REF!</definedName>
    <definedName name="____xh1254">#REF!</definedName>
    <definedName name="____xh1256">#REF!</definedName>
    <definedName name="____xh1258">#REF!</definedName>
    <definedName name="____xh14010">#REF!</definedName>
    <definedName name="____xh1404">#REF!</definedName>
    <definedName name="____xh1406">#REF!</definedName>
    <definedName name="____xh1408">#REF!</definedName>
    <definedName name="____xh16010">#REF!</definedName>
    <definedName name="____xh1604">#REF!</definedName>
    <definedName name="____xh1606">#REF!</definedName>
    <definedName name="____xh1608">#REF!</definedName>
    <definedName name="____xh18010">#REF!</definedName>
    <definedName name="____xh1804">#REF!</definedName>
    <definedName name="____xh1806">#REF!</definedName>
    <definedName name="____xh1808">#REF!</definedName>
    <definedName name="____xh20010">#REF!</definedName>
    <definedName name="____xh2004">#REF!</definedName>
    <definedName name="____xh2006">#REF!</definedName>
    <definedName name="____xh2008">#REF!</definedName>
    <definedName name="____xh22510">#REF!</definedName>
    <definedName name="____xh2254">#REF!</definedName>
    <definedName name="____xh2256">#REF!</definedName>
    <definedName name="____xh2258">#REF!</definedName>
    <definedName name="____xh25010">#REF!</definedName>
    <definedName name="____xh2504">#REF!</definedName>
    <definedName name="____xh2506">#REF!</definedName>
    <definedName name="____xh2508">#REF!</definedName>
    <definedName name="____xh28010">#REF!</definedName>
    <definedName name="____xh2804">#REF!</definedName>
    <definedName name="____xh2806">#REF!</definedName>
    <definedName name="____xh2808">#REF!</definedName>
    <definedName name="____xh31510">#REF!</definedName>
    <definedName name="____xh3154">#REF!</definedName>
    <definedName name="____xh3156">#REF!</definedName>
    <definedName name="____xh3158">#REF!</definedName>
    <definedName name="____xh3554">#REF!</definedName>
    <definedName name="____xh3556">#REF!</definedName>
    <definedName name="____xh6310">#REF!</definedName>
    <definedName name="____xh634">#REF!</definedName>
    <definedName name="____xh636">#REF!</definedName>
    <definedName name="____xh638">#REF!</definedName>
    <definedName name="____xh7510">#REF!</definedName>
    <definedName name="____xh754">#REF!</definedName>
    <definedName name="____xh756">#REF!</definedName>
    <definedName name="____xh758">#REF!</definedName>
    <definedName name="____xh9010">#REF!</definedName>
    <definedName name="____xh904">#REF!</definedName>
    <definedName name="____xh906">#REF!</definedName>
    <definedName name="____xh908">#REF!</definedName>
    <definedName name="____xk7100">#REF!</definedName>
    <definedName name="____xk7150">#REF!</definedName>
    <definedName name="____xk7200">#REF!</definedName>
    <definedName name="____xk7250">#REF!</definedName>
    <definedName name="____xk7300">#REF!</definedName>
    <definedName name="____xk7350">#REF!</definedName>
    <definedName name="____xk7400">#REF!</definedName>
    <definedName name="____xk7450">#REF!</definedName>
    <definedName name="____xk7500">#REF!</definedName>
    <definedName name="____xk7600">#REF!</definedName>
    <definedName name="____xk9100">#REF!</definedName>
    <definedName name="____xk91000">#REF!</definedName>
    <definedName name="____xk9150">#REF!</definedName>
    <definedName name="____xk9200">#REF!</definedName>
    <definedName name="____xk9250">#REF!</definedName>
    <definedName name="____xk9300">#REF!</definedName>
    <definedName name="____xk9350">#REF!</definedName>
    <definedName name="____xk9400">#REF!</definedName>
    <definedName name="____xk9450">#REF!</definedName>
    <definedName name="____xk9500">#REF!</definedName>
    <definedName name="____xk9600">#REF!</definedName>
    <definedName name="____xk9700">#REF!</definedName>
    <definedName name="____xk9750">#REF!</definedName>
    <definedName name="____xk9800">#REF!</definedName>
    <definedName name="____xk9900">#REF!</definedName>
    <definedName name="____xp11010">#REF!</definedName>
    <definedName name="____xp1104">#REF!</definedName>
    <definedName name="____xp1106">#REF!</definedName>
    <definedName name="____xp12510">#REF!</definedName>
    <definedName name="____xp1254">#REF!</definedName>
    <definedName name="____xp1256">#REF!</definedName>
    <definedName name="____xp14010">#REF!</definedName>
    <definedName name="____xp1404">#REF!</definedName>
    <definedName name="____xp1406">#REF!</definedName>
    <definedName name="____xp16010">#REF!</definedName>
    <definedName name="____xp1604">#REF!</definedName>
    <definedName name="____xp1606">#REF!</definedName>
    <definedName name="____xp18010">#REF!</definedName>
    <definedName name="____xp1804">#REF!</definedName>
    <definedName name="____xp1806">#REF!</definedName>
    <definedName name="____xp20010">#REF!</definedName>
    <definedName name="____xp2004">#REF!</definedName>
    <definedName name="____xp2006">#REF!</definedName>
    <definedName name="____xp22510">#REF!</definedName>
    <definedName name="____xp2254">#REF!</definedName>
    <definedName name="____xp2256">#REF!</definedName>
    <definedName name="____xp25010">#REF!</definedName>
    <definedName name="____xp2504">#REF!</definedName>
    <definedName name="____xp2506">#REF!</definedName>
    <definedName name="____xp28010">#REF!</definedName>
    <definedName name="____xp2804">#REF!</definedName>
    <definedName name="____xp2806">#REF!</definedName>
    <definedName name="____xp31510">#REF!</definedName>
    <definedName name="____xp3154">#REF!</definedName>
    <definedName name="____xp3156">#REF!</definedName>
    <definedName name="____xp6310">#REF!</definedName>
    <definedName name="____xp634">#REF!</definedName>
    <definedName name="____xp636">#REF!</definedName>
    <definedName name="____xp7510">#REF!</definedName>
    <definedName name="____xp754">#REF!</definedName>
    <definedName name="____xp756">#REF!</definedName>
    <definedName name="____xp9010">#REF!</definedName>
    <definedName name="____xp904">#REF!</definedName>
    <definedName name="____xp906">#REF!</definedName>
    <definedName name="___bla1" localSheetId="21">[34]leads!$H$7</definedName>
    <definedName name="___bla1" localSheetId="9">[34]leads!$H$7</definedName>
    <definedName name="___bla1" localSheetId="4">[49]leads!$H$7</definedName>
    <definedName name="___bla1" localSheetId="8">[34]leads!$H$7</definedName>
    <definedName name="___bla1" localSheetId="7">#REF!</definedName>
    <definedName name="___bla1">#REF!</definedName>
    <definedName name="___BSG100">#REF!</definedName>
    <definedName name="___BSG150">#REF!</definedName>
    <definedName name="___BSG5">#REF!</definedName>
    <definedName name="___BSG75">#REF!</definedName>
    <definedName name="___BTC1">#REF!</definedName>
    <definedName name="___BTC10">#REF!</definedName>
    <definedName name="___BTC11">#REF!</definedName>
    <definedName name="___BTC12">#REF!</definedName>
    <definedName name="___BTC13">#REF!</definedName>
    <definedName name="___BTC14">#REF!</definedName>
    <definedName name="___BTC15">#REF!</definedName>
    <definedName name="___BTC16">#REF!</definedName>
    <definedName name="___BTC17">#REF!</definedName>
    <definedName name="___BTC18">#REF!</definedName>
    <definedName name="___BTC19">#REF!</definedName>
    <definedName name="___BTC2">#REF!</definedName>
    <definedName name="___BTC20">#REF!</definedName>
    <definedName name="___BTC21">#REF!</definedName>
    <definedName name="___BTC22">#REF!</definedName>
    <definedName name="___BTC23">#REF!</definedName>
    <definedName name="___BTC24">#REF!</definedName>
    <definedName name="___BTC3">#REF!</definedName>
    <definedName name="___BTC4">#REF!</definedName>
    <definedName name="___BTC5">#REF!</definedName>
    <definedName name="___BTC6">#REF!</definedName>
    <definedName name="___BTC7">#REF!</definedName>
    <definedName name="___BTC8">#REF!</definedName>
    <definedName name="___BTC9">#REF!</definedName>
    <definedName name="___BTR1">#REF!</definedName>
    <definedName name="___BTR10">#REF!</definedName>
    <definedName name="___BTR11">#REF!</definedName>
    <definedName name="___BTR12">#REF!</definedName>
    <definedName name="___BTR13">#REF!</definedName>
    <definedName name="___BTR14">#REF!</definedName>
    <definedName name="___BTR15">#REF!</definedName>
    <definedName name="___BTR16">#REF!</definedName>
    <definedName name="___BTR17">#REF!</definedName>
    <definedName name="___BTR18">#REF!</definedName>
    <definedName name="___BTR19">#REF!</definedName>
    <definedName name="___BTR2">#REF!</definedName>
    <definedName name="___BTR20">#REF!</definedName>
    <definedName name="___BTR21">#REF!</definedName>
    <definedName name="___BTR22">#REF!</definedName>
    <definedName name="___BTR23">#REF!</definedName>
    <definedName name="___BTR24">#REF!</definedName>
    <definedName name="___BTR3">#REF!</definedName>
    <definedName name="___BTR4">#REF!</definedName>
    <definedName name="___BTR5">#REF!</definedName>
    <definedName name="___BTR6">#REF!</definedName>
    <definedName name="___BTR7">#REF!</definedName>
    <definedName name="___BTR8">#REF!</definedName>
    <definedName name="___BTR9">#REF!</definedName>
    <definedName name="___BTS1">#REF!</definedName>
    <definedName name="___BTS10">#REF!</definedName>
    <definedName name="___BTS11">#REF!</definedName>
    <definedName name="___BTS12">#REF!</definedName>
    <definedName name="___BTS13">#REF!</definedName>
    <definedName name="___BTS14">#REF!</definedName>
    <definedName name="___BTS15">#REF!</definedName>
    <definedName name="___BTS16">#REF!</definedName>
    <definedName name="___BTS17">#REF!</definedName>
    <definedName name="___BTS18">#REF!</definedName>
    <definedName name="___BTS19">#REF!</definedName>
    <definedName name="___BTS2">#REF!</definedName>
    <definedName name="___BTS20">#REF!</definedName>
    <definedName name="___BTS21">#REF!</definedName>
    <definedName name="___BTS22">#REF!</definedName>
    <definedName name="___BTS23">#REF!</definedName>
    <definedName name="___BTS24">#REF!</definedName>
    <definedName name="___BTS3">#REF!</definedName>
    <definedName name="___BTS4">#REF!</definedName>
    <definedName name="___BTS5">#REF!</definedName>
    <definedName name="___BTS6">#REF!</definedName>
    <definedName name="___BTS7">#REF!</definedName>
    <definedName name="___BTS8">#REF!</definedName>
    <definedName name="___BTS9">#REF!</definedName>
    <definedName name="___can430">40.73</definedName>
    <definedName name="___can435">43.3</definedName>
    <definedName name="___cbr1" localSheetId="21">#REF!</definedName>
    <definedName name="___cbr1" localSheetId="9">#REF!</definedName>
    <definedName name="___cbr1" localSheetId="4">#REF!</definedName>
    <definedName name="___cbr1" localSheetId="8">#REF!</definedName>
    <definedName name="___cbr1">#REF!</definedName>
    <definedName name="___cbr2" localSheetId="21">#REF!</definedName>
    <definedName name="___cbr2" localSheetId="9">#REF!</definedName>
    <definedName name="___cbr2" localSheetId="4">#REF!</definedName>
    <definedName name="___cbr2" localSheetId="8">#REF!</definedName>
    <definedName name="___cbr2" localSheetId="7">#REF!</definedName>
    <definedName name="___cbr2">#REF!</definedName>
    <definedName name="___cbr3" localSheetId="21">#REF!</definedName>
    <definedName name="___cbr3" localSheetId="9">#REF!</definedName>
    <definedName name="___cbr3" localSheetId="4">#REF!</definedName>
    <definedName name="___cbr3" localSheetId="8">#REF!</definedName>
    <definedName name="___cbr3" localSheetId="7">#REF!</definedName>
    <definedName name="___cbr3">#REF!</definedName>
    <definedName name="___cbr4" localSheetId="21">#REF!</definedName>
    <definedName name="___cbr4" localSheetId="9">#REF!</definedName>
    <definedName name="___cbr4" localSheetId="4">#REF!</definedName>
    <definedName name="___cbr4" localSheetId="8">#REF!</definedName>
    <definedName name="___cbr4" localSheetId="7">#REF!</definedName>
    <definedName name="___cbr4">#REF!</definedName>
    <definedName name="___CCW1" localSheetId="21">[50]DATA!$H$67</definedName>
    <definedName name="___CCW1" localSheetId="9">[50]DATA!$H$67</definedName>
    <definedName name="___CCW1" localSheetId="4">[50]DATA!$H$67</definedName>
    <definedName name="___CCW1" localSheetId="8">[50]DATA!$H$67</definedName>
    <definedName name="___CCW1" localSheetId="7">#REF!</definedName>
    <definedName name="___CCW1">#REF!</definedName>
    <definedName name="___CCW2" localSheetId="21">[50]DATA!$H$97</definedName>
    <definedName name="___CCW2" localSheetId="9">[50]DATA!$H$97</definedName>
    <definedName name="___CCW2" localSheetId="4">[50]DATA!$H$97</definedName>
    <definedName name="___CCW2" localSheetId="8">[50]DATA!$H$97</definedName>
    <definedName name="___CCW2" localSheetId="7">#REF!</definedName>
    <definedName name="___CCW2">#REF!</definedName>
    <definedName name="___CD2">#REF!</definedName>
    <definedName name="___cur1" localSheetId="21">[13]r!$F$30</definedName>
    <definedName name="___cur1" localSheetId="9">[13]r!$F$30</definedName>
    <definedName name="___cur1" localSheetId="4">[13]r!$F$30</definedName>
    <definedName name="___cur1" localSheetId="8">[13]r!$F$30</definedName>
    <definedName name="___cur1">#REF!</definedName>
    <definedName name="___df3">#REF!</definedName>
    <definedName name="___ewe1" localSheetId="21">#REF!</definedName>
    <definedName name="___ewe1" localSheetId="9">#REF!</definedName>
    <definedName name="___ewe1" localSheetId="4">#REF!</definedName>
    <definedName name="___ewe1" localSheetId="8">#REF!</definedName>
    <definedName name="___ewe1" localSheetId="7">#REF!</definedName>
    <definedName name="___ewe1">#REF!</definedName>
    <definedName name="___f1" localSheetId="21">#REF!</definedName>
    <definedName name="___f1" localSheetId="9">#REF!</definedName>
    <definedName name="___f1" localSheetId="4">#REF!</definedName>
    <definedName name="___f1" localSheetId="8">#REF!</definedName>
    <definedName name="___f1">#REF!</definedName>
    <definedName name="___GBS11">#REF!</definedName>
    <definedName name="___GBS110">#REF!</definedName>
    <definedName name="___GBS111">#REF!</definedName>
    <definedName name="___GBS112">#REF!</definedName>
    <definedName name="___GBS113">#REF!</definedName>
    <definedName name="___GBS114">#REF!</definedName>
    <definedName name="___GBS115">#REF!</definedName>
    <definedName name="___GBS116">#REF!</definedName>
    <definedName name="___GBS117">#REF!</definedName>
    <definedName name="___GBS118">#REF!</definedName>
    <definedName name="___GBS119">#REF!</definedName>
    <definedName name="___GBS12">#REF!</definedName>
    <definedName name="___GBS120">#REF!</definedName>
    <definedName name="___GBS121">#REF!</definedName>
    <definedName name="___GBS122">#REF!</definedName>
    <definedName name="___GBS123">#REF!</definedName>
    <definedName name="___GBS124">#REF!</definedName>
    <definedName name="___GBS13">#REF!</definedName>
    <definedName name="___GBS14">#REF!</definedName>
    <definedName name="___GBS15">#REF!</definedName>
    <definedName name="___GBS16">#REF!</definedName>
    <definedName name="___GBS17">#REF!</definedName>
    <definedName name="___GBS18">#REF!</definedName>
    <definedName name="___GBS19">#REF!</definedName>
    <definedName name="___GBS21">#REF!</definedName>
    <definedName name="___GBS210">#REF!</definedName>
    <definedName name="___GBS211">#REF!</definedName>
    <definedName name="___GBS212">#REF!</definedName>
    <definedName name="___GBS213">#REF!</definedName>
    <definedName name="___GBS214">#REF!</definedName>
    <definedName name="___GBS215">#REF!</definedName>
    <definedName name="___GBS216">#REF!</definedName>
    <definedName name="___GBS217">#REF!</definedName>
    <definedName name="___GBS218">#REF!</definedName>
    <definedName name="___GBS219">#REF!</definedName>
    <definedName name="___GBS22">#REF!</definedName>
    <definedName name="___GBS220">#REF!</definedName>
    <definedName name="___GBS221">#REF!</definedName>
    <definedName name="___GBS222">#REF!</definedName>
    <definedName name="___GBS223">#REF!</definedName>
    <definedName name="___GBS224">#REF!</definedName>
    <definedName name="___GBS23">#REF!</definedName>
    <definedName name="___GBS24">#REF!</definedName>
    <definedName name="___GBS25">#REF!</definedName>
    <definedName name="___GBS26">#REF!</definedName>
    <definedName name="___GBS27">#REF!</definedName>
    <definedName name="___GBS28">#REF!</definedName>
    <definedName name="___GBS29">#REF!</definedName>
    <definedName name="___grp10003">#REF!</definedName>
    <definedName name="___grp3503">#REF!</definedName>
    <definedName name="___grp4003">#REF!</definedName>
    <definedName name="___grp4503">#REF!</definedName>
    <definedName name="___grp5003">#REF!</definedName>
    <definedName name="___grp6003">#REF!</definedName>
    <definedName name="___grp7003">#REF!</definedName>
    <definedName name="___grp8003">#REF!</definedName>
    <definedName name="___grp9003">#REF!</definedName>
    <definedName name="___imp1">#REF!</definedName>
    <definedName name="___knr2">#REF!</definedName>
    <definedName name="___l1" localSheetId="21">[35]leads!$A$3:$E$108</definedName>
    <definedName name="___l1" localSheetId="9">[35]leads!$A$3:$E$108</definedName>
    <definedName name="___l1" localSheetId="4">[51]leads!$A$3:$E$108</definedName>
    <definedName name="___l1" localSheetId="8">[35]leads!$A$3:$E$108</definedName>
    <definedName name="___l1" localSheetId="7">#REF!</definedName>
    <definedName name="___l1">#REF!</definedName>
    <definedName name="___l12" localSheetId="21">#REF!</definedName>
    <definedName name="___l12" localSheetId="9">#REF!</definedName>
    <definedName name="___l12" localSheetId="4">#REF!</definedName>
    <definedName name="___l12" localSheetId="10">#REF!</definedName>
    <definedName name="___l12" localSheetId="8">#REF!</definedName>
    <definedName name="___l12" localSheetId="7">#REF!</definedName>
    <definedName name="___l12">#REF!</definedName>
    <definedName name="___l2" localSheetId="21">[13]r!$F$29</definedName>
    <definedName name="___l2" localSheetId="9">[13]r!$F$29</definedName>
    <definedName name="___l2" localSheetId="4">[13]r!$F$29</definedName>
    <definedName name="___l2" localSheetId="8">[13]r!$F$29</definedName>
    <definedName name="___l2">#REF!</definedName>
    <definedName name="___l3" localSheetId="21">#REF!</definedName>
    <definedName name="___l3" localSheetId="9">#REF!</definedName>
    <definedName name="___l3" localSheetId="4">#REF!</definedName>
    <definedName name="___l3" localSheetId="10">#REF!</definedName>
    <definedName name="___l3" localSheetId="8">#REF!</definedName>
    <definedName name="___l3" localSheetId="7">#REF!</definedName>
    <definedName name="___l3">#REF!</definedName>
    <definedName name="___l4" localSheetId="21">[36]Sheet1!$W$2:$Y$103</definedName>
    <definedName name="___l4" localSheetId="9">[36]Sheet1!$W$2:$Y$103</definedName>
    <definedName name="___l4" localSheetId="4">[52]Sheet1!$W$2:$Y$103</definedName>
    <definedName name="___l4" localSheetId="8">[36]Sheet1!$W$2:$Y$103</definedName>
    <definedName name="___l4" localSheetId="7">#REF!</definedName>
    <definedName name="___l4">#REF!</definedName>
    <definedName name="___l5" localSheetId="21">#REF!</definedName>
    <definedName name="___l5" localSheetId="9">#REF!</definedName>
    <definedName name="___l5" localSheetId="4">#REF!</definedName>
    <definedName name="___l5" localSheetId="10">#REF!</definedName>
    <definedName name="___l5" localSheetId="8">#REF!</definedName>
    <definedName name="___l5" localSheetId="7">#REF!</definedName>
    <definedName name="___l5">#REF!</definedName>
    <definedName name="___l6" localSheetId="21">[13]r!$F$4</definedName>
    <definedName name="___l6" localSheetId="9">[13]r!$F$4</definedName>
    <definedName name="___l6" localSheetId="4">[13]r!$F$4</definedName>
    <definedName name="___l6" localSheetId="8">[13]r!$F$4</definedName>
    <definedName name="___l6">#REF!</definedName>
    <definedName name="___l7" localSheetId="21">[14]r!$F$4</definedName>
    <definedName name="___l7" localSheetId="9">[14]r!$F$4</definedName>
    <definedName name="___l7" localSheetId="4">[14]r!$F$4</definedName>
    <definedName name="___l7" localSheetId="8">[14]r!$F$4</definedName>
    <definedName name="___l7">#REF!</definedName>
    <definedName name="___l8" localSheetId="21">[13]r!$F$2</definedName>
    <definedName name="___l8" localSheetId="9">[13]r!$F$2</definedName>
    <definedName name="___l8" localSheetId="4">[13]r!$F$2</definedName>
    <definedName name="___l8" localSheetId="8">[13]r!$F$2</definedName>
    <definedName name="___l8">#REF!</definedName>
    <definedName name="___l9" localSheetId="21">[13]r!$F$3</definedName>
    <definedName name="___l9" localSheetId="9">[13]r!$F$3</definedName>
    <definedName name="___l9" localSheetId="4">[13]r!$F$3</definedName>
    <definedName name="___l9" localSheetId="8">[13]r!$F$3</definedName>
    <definedName name="___l9">#REF!</definedName>
    <definedName name="___LI9">#REF!</definedName>
    <definedName name="___LII9">#REF!</definedName>
    <definedName name="___LJ6" localSheetId="21">[50]DATA!$H$245</definedName>
    <definedName name="___LJ6" localSheetId="9">[50]DATA!$H$245</definedName>
    <definedName name="___LJ6" localSheetId="4">[50]DATA!$H$245</definedName>
    <definedName name="___LJ6" localSheetId="8">[50]DATA!$H$245</definedName>
    <definedName name="___LJ6" localSheetId="7">#REF!</definedName>
    <definedName name="___LJ6">#REF!</definedName>
    <definedName name="___lj600">#REF!</definedName>
    <definedName name="___lj900">#REF!</definedName>
    <definedName name="___LL3">#REF!</definedName>
    <definedName name="___MA1" localSheetId="4">#REF!</definedName>
    <definedName name="___MA1">#REF!</definedName>
    <definedName name="___ma2" localSheetId="21">'[53]C-data'!$F$7</definedName>
    <definedName name="___ma2" localSheetId="9">'[53]C-data'!$F$7</definedName>
    <definedName name="___ma2" localSheetId="4">'[53]C-data'!$F$7</definedName>
    <definedName name="___ma2" localSheetId="8">'[53]C-data'!$F$7</definedName>
    <definedName name="___ma2">#REF!</definedName>
    <definedName name="___man1" localSheetId="21">[41]m!$B$149</definedName>
    <definedName name="___man1" localSheetId="9">[41]m!$B$149</definedName>
    <definedName name="___man1" localSheetId="4">[41]m!$B$149</definedName>
    <definedName name="___man1" localSheetId="8">[41]m!$B$149</definedName>
    <definedName name="___man1">#REF!</definedName>
    <definedName name="___MIX124">#REF!</definedName>
    <definedName name="___ML11">#REF!</definedName>
    <definedName name="___ML110">#REF!</definedName>
    <definedName name="___ML111">#REF!</definedName>
    <definedName name="___ML112">#REF!</definedName>
    <definedName name="___ML113">#REF!</definedName>
    <definedName name="___ML114">#REF!</definedName>
    <definedName name="___ML115">#REF!</definedName>
    <definedName name="___ML12">#REF!</definedName>
    <definedName name="___ML13">#REF!</definedName>
    <definedName name="___ML14">#REF!</definedName>
    <definedName name="___ML15">#REF!</definedName>
    <definedName name="___ML16">#REF!</definedName>
    <definedName name="___ML17">#REF!</definedName>
    <definedName name="___ML18">#REF!</definedName>
    <definedName name="___ML19">#REF!</definedName>
    <definedName name="___ML21">#REF!</definedName>
    <definedName name="___ML210">#REF!</definedName>
    <definedName name="___ML211">#REF!</definedName>
    <definedName name="___ML212">#REF!</definedName>
    <definedName name="___ML213">#REF!</definedName>
    <definedName name="___ML214">#REF!</definedName>
    <definedName name="___ML215">#REF!</definedName>
    <definedName name="___ML216">#REF!</definedName>
    <definedName name="___ML217">#REF!</definedName>
    <definedName name="___ML218">#REF!</definedName>
    <definedName name="___ML219">#REF!</definedName>
    <definedName name="___ML22">#REF!</definedName>
    <definedName name="___ML220">#REF!</definedName>
    <definedName name="___ML221">#REF!</definedName>
    <definedName name="___ML222">#REF!</definedName>
    <definedName name="___ML223">#REF!</definedName>
    <definedName name="___ML224">#REF!</definedName>
    <definedName name="___ML23">#REF!</definedName>
    <definedName name="___ML24">#REF!</definedName>
    <definedName name="___ML25">#REF!</definedName>
    <definedName name="___ML26">#REF!</definedName>
    <definedName name="___ML27">#REF!</definedName>
    <definedName name="___ML28">#REF!</definedName>
    <definedName name="___ML29">#REF!</definedName>
    <definedName name="___ML31">#REF!</definedName>
    <definedName name="___ML310">#REF!</definedName>
    <definedName name="___ML311">#REF!</definedName>
    <definedName name="___ML312">#REF!</definedName>
    <definedName name="___ML313">#REF!</definedName>
    <definedName name="___ML314">#REF!</definedName>
    <definedName name="___ML315">#REF!</definedName>
    <definedName name="___ML316">#REF!</definedName>
    <definedName name="___ML317">#REF!</definedName>
    <definedName name="___ML318">#REF!</definedName>
    <definedName name="___ML319">#REF!</definedName>
    <definedName name="___ML32">#REF!</definedName>
    <definedName name="___ML320">#REF!</definedName>
    <definedName name="___ML321">#REF!</definedName>
    <definedName name="___ML322">#REF!</definedName>
    <definedName name="___ML323">#REF!</definedName>
    <definedName name="___ML324">#REF!</definedName>
    <definedName name="___ML33">#REF!</definedName>
    <definedName name="___ML34">#REF!</definedName>
    <definedName name="___ML35">#REF!</definedName>
    <definedName name="___ML36">#REF!</definedName>
    <definedName name="___ML37">#REF!</definedName>
    <definedName name="___ML38">#REF!</definedName>
    <definedName name="___ML39">#REF!</definedName>
    <definedName name="___ML7">#REF!</definedName>
    <definedName name="___ML8">#REF!</definedName>
    <definedName name="___ML9">#REF!</definedName>
    <definedName name="___mm1" localSheetId="21">[37]r!$F$4</definedName>
    <definedName name="___mm1" localSheetId="9">[37]r!$F$4</definedName>
    <definedName name="___mm1" localSheetId="4">[54]r!$F$4</definedName>
    <definedName name="___mm1" localSheetId="8">[37]r!$F$4</definedName>
    <definedName name="___mm1" localSheetId="7">#REF!</definedName>
    <definedName name="___mm1">#REF!</definedName>
    <definedName name="___mm11" localSheetId="21">[13]r!$F$4</definedName>
    <definedName name="___mm11" localSheetId="9">[13]r!$F$4</definedName>
    <definedName name="___mm11" localSheetId="4">[13]r!$F$4</definedName>
    <definedName name="___mm11" localSheetId="8">[13]r!$F$4</definedName>
    <definedName name="___mm11">#REF!</definedName>
    <definedName name="___mm111" localSheetId="21">[14]r!$F$4</definedName>
    <definedName name="___mm111" localSheetId="9">[14]r!$F$4</definedName>
    <definedName name="___mm111" localSheetId="4">[14]r!$F$4</definedName>
    <definedName name="___mm111" localSheetId="8">[14]r!$F$4</definedName>
    <definedName name="___mm111">#REF!</definedName>
    <definedName name="___mm2">#REF!</definedName>
    <definedName name="___mm20" localSheetId="21">#REF!</definedName>
    <definedName name="___mm20" localSheetId="9">#REF!</definedName>
    <definedName name="___mm20" localSheetId="4">#REF!</definedName>
    <definedName name="___mm20" localSheetId="8">#REF!</definedName>
    <definedName name="___mm20" localSheetId="7">#REF!</definedName>
    <definedName name="___mm20">#REF!</definedName>
    <definedName name="___mm40" localSheetId="21">#REF!</definedName>
    <definedName name="___mm40" localSheetId="9">#REF!</definedName>
    <definedName name="___mm40" localSheetId="4">#REF!</definedName>
    <definedName name="___mm40" localSheetId="8">#REF!</definedName>
    <definedName name="___mm40" localSheetId="7">#REF!</definedName>
    <definedName name="___mm40">#REF!</definedName>
    <definedName name="___np3">#REF!</definedName>
    <definedName name="___PC1">#REF!</definedName>
    <definedName name="___PC10">#REF!</definedName>
    <definedName name="___PC11">#REF!</definedName>
    <definedName name="___PC12">#REF!</definedName>
    <definedName name="___PC13">#REF!</definedName>
    <definedName name="___PC14">#REF!</definedName>
    <definedName name="___PC15">#REF!</definedName>
    <definedName name="___PC16">#REF!</definedName>
    <definedName name="___PC17">#REF!</definedName>
    <definedName name="___PC18">#REF!</definedName>
    <definedName name="___PC19">#REF!</definedName>
    <definedName name="___pc2" localSheetId="21">#REF!</definedName>
    <definedName name="___pc2" localSheetId="9">#REF!</definedName>
    <definedName name="___pc2" localSheetId="4">#REF!</definedName>
    <definedName name="___pc2" localSheetId="10">#REF!</definedName>
    <definedName name="___pc2" localSheetId="8">#REF!</definedName>
    <definedName name="___pc2" localSheetId="7">#REF!</definedName>
    <definedName name="___pc2">#REF!</definedName>
    <definedName name="___PC20">#REF!</definedName>
    <definedName name="___PC21">#REF!</definedName>
    <definedName name="___PC22">#REF!</definedName>
    <definedName name="___PC23">#REF!</definedName>
    <definedName name="___PC24">#REF!</definedName>
    <definedName name="___PC3">#REF!</definedName>
    <definedName name="___PC4">#REF!</definedName>
    <definedName name="___PC5">#REF!</definedName>
    <definedName name="___PC6">#REF!</definedName>
    <definedName name="___pc600">#REF!</definedName>
    <definedName name="___PC7">#REF!</definedName>
    <definedName name="___PC8">#REF!</definedName>
    <definedName name="___PC9">#REF!</definedName>
    <definedName name="___pc900">#REF!</definedName>
    <definedName name="___pla4">#REF!</definedName>
    <definedName name="___PMS2">#REF!</definedName>
    <definedName name="___psc10006">#REF!</definedName>
    <definedName name="___psc10008">#REF!</definedName>
    <definedName name="___psc3506">#REF!</definedName>
    <definedName name="___psc3508">#REF!</definedName>
    <definedName name="___psc4006">#REF!</definedName>
    <definedName name="___psc4008">#REF!</definedName>
    <definedName name="___psc4506">#REF!</definedName>
    <definedName name="___psc4508">#REF!</definedName>
    <definedName name="___psc5006">#REF!</definedName>
    <definedName name="___psc5008">#REF!</definedName>
    <definedName name="___psc6006">#REF!</definedName>
    <definedName name="___psc6008">#REF!</definedName>
    <definedName name="___psc7006">#REF!</definedName>
    <definedName name="___psc7008">#REF!</definedName>
    <definedName name="___psc8006">#REF!</definedName>
    <definedName name="___psc8008">#REF!</definedName>
    <definedName name="___psc9006">#REF!</definedName>
    <definedName name="___psc9008">#REF!</definedName>
    <definedName name="___pv2" localSheetId="21">#REF!</definedName>
    <definedName name="___pv2" localSheetId="9">#REF!</definedName>
    <definedName name="___pv2" localSheetId="4">#REF!</definedName>
    <definedName name="___pv2" localSheetId="10">#REF!</definedName>
    <definedName name="___pv2" localSheetId="8">#REF!</definedName>
    <definedName name="___pv2" localSheetId="7">#REF!</definedName>
    <definedName name="___pv2">#REF!</definedName>
    <definedName name="___rr3" localSheetId="21">[38]v!$A$2:$E$51</definedName>
    <definedName name="___rr3" localSheetId="9">[38]v!$A$2:$E$51</definedName>
    <definedName name="___rr3" localSheetId="4">[55]v!$A$2:$E$51</definedName>
    <definedName name="___rr3" localSheetId="8">[38]v!$A$2:$E$51</definedName>
    <definedName name="___rr3" localSheetId="7">#REF!</definedName>
    <definedName name="___rr3">#REF!</definedName>
    <definedName name="___rrr1" localSheetId="21">[38]r!$B$1:$I$145</definedName>
    <definedName name="___rrr1" localSheetId="9">[38]r!$B$1:$I$145</definedName>
    <definedName name="___rrr1" localSheetId="4">[55]r!$B$1:$I$145</definedName>
    <definedName name="___rrr1" localSheetId="8">[38]r!$B$1:$I$145</definedName>
    <definedName name="___rrr1" localSheetId="7">#REF!</definedName>
    <definedName name="___rrr1">#REF!</definedName>
    <definedName name="___sd1" localSheetId="21">[41]m!$D$149</definedName>
    <definedName name="___sd1" localSheetId="9">[41]m!$D$149</definedName>
    <definedName name="___sd1" localSheetId="4">[41]m!$D$149</definedName>
    <definedName name="___sd1" localSheetId="8">[41]m!$D$149</definedName>
    <definedName name="___sd1">#REF!</definedName>
    <definedName name="___sp1">#REF!</definedName>
    <definedName name="___SP10">#REF!</definedName>
    <definedName name="___sp11">#REF!</definedName>
    <definedName name="___sp12">#REF!</definedName>
    <definedName name="___sp13">#REF!</definedName>
    <definedName name="___sp14">#REF!</definedName>
    <definedName name="___sp15">#REF!</definedName>
    <definedName name="___SP16">#REF!</definedName>
    <definedName name="___sp17">#REF!</definedName>
    <definedName name="___sp18">#REF!</definedName>
    <definedName name="___sp19">#REF!</definedName>
    <definedName name="___sp2">#REF!</definedName>
    <definedName name="___sp20">#REF!</definedName>
    <definedName name="___sp21">#REF!</definedName>
    <definedName name="___sp22">#REF!</definedName>
    <definedName name="___sp23">#REF!</definedName>
    <definedName name="___SP7">#REF!</definedName>
    <definedName name="___ss12" localSheetId="21">[39]rdamdata!$J$8</definedName>
    <definedName name="___ss12" localSheetId="9">[39]rdamdata!$J$8</definedName>
    <definedName name="___ss12" localSheetId="4">[56]rdamdata!$J$8</definedName>
    <definedName name="___ss12" localSheetId="8">[39]rdamdata!$J$8</definedName>
    <definedName name="___ss12" localSheetId="7">#REF!</definedName>
    <definedName name="___ss12">#REF!</definedName>
    <definedName name="___ss20" localSheetId="21">[39]rdamdata!$J$7</definedName>
    <definedName name="___ss20" localSheetId="9">[39]rdamdata!$J$7</definedName>
    <definedName name="___ss20" localSheetId="4">[56]rdamdata!$J$7</definedName>
    <definedName name="___ss20" localSheetId="8">[39]rdamdata!$J$7</definedName>
    <definedName name="___ss20" localSheetId="7">#REF!</definedName>
    <definedName name="___ss20">#REF!</definedName>
    <definedName name="___ss40" localSheetId="21">[39]rdamdata!$J$6</definedName>
    <definedName name="___ss40" localSheetId="9">[39]rdamdata!$J$6</definedName>
    <definedName name="___ss40" localSheetId="4">[56]rdamdata!$J$6</definedName>
    <definedName name="___ss40" localSheetId="8">[39]rdamdata!$J$6</definedName>
    <definedName name="___ss40" localSheetId="7">#REF!</definedName>
    <definedName name="___ss40">#REF!</definedName>
    <definedName name="___var1" localSheetId="21">#REF!</definedName>
    <definedName name="___var1" localSheetId="9">#REF!</definedName>
    <definedName name="___var1" localSheetId="4">#REF!</definedName>
    <definedName name="___var1" localSheetId="10">#REF!</definedName>
    <definedName name="___var1" localSheetId="8">#REF!</definedName>
    <definedName name="___var1" localSheetId="7">#REF!</definedName>
    <definedName name="___var1">#REF!</definedName>
    <definedName name="___var4" localSheetId="21">#REF!</definedName>
    <definedName name="___var4" localSheetId="9">#REF!</definedName>
    <definedName name="___var4" localSheetId="4">#REF!</definedName>
    <definedName name="___var4" localSheetId="10">#REF!</definedName>
    <definedName name="___var4" localSheetId="8">#REF!</definedName>
    <definedName name="___var4" localSheetId="7">#REF!</definedName>
    <definedName name="___var4">#REF!</definedName>
    <definedName name="___vat1" localSheetId="21">#REF!</definedName>
    <definedName name="___vat1" localSheetId="9">#REF!</definedName>
    <definedName name="___vat1" localSheetId="4">#REF!</definedName>
    <definedName name="___vat1" localSheetId="8">#REF!</definedName>
    <definedName name="___vat1" localSheetId="7">#REF!</definedName>
    <definedName name="___vat1">#REF!</definedName>
    <definedName name="___vat2" localSheetId="21">#REF!</definedName>
    <definedName name="___vat2" localSheetId="9">#REF!</definedName>
    <definedName name="___vat2" localSheetId="4">#REF!</definedName>
    <definedName name="___vat2" localSheetId="8">#REF!</definedName>
    <definedName name="___vat2" localSheetId="7">#REF!</definedName>
    <definedName name="___vat2">#REF!</definedName>
    <definedName name="___xcc1153">#REF!</definedName>
    <definedName name="___xcc124">#REF!</definedName>
    <definedName name="___xcc136">#REF!</definedName>
    <definedName name="___xcc148">#REF!</definedName>
    <definedName name="___xcc1510">#REF!</definedName>
    <definedName name="___xcm16">#REF!</definedName>
    <definedName name="___xh11010">#REF!</definedName>
    <definedName name="___xh1104">#REF!</definedName>
    <definedName name="___xh1106">#REF!</definedName>
    <definedName name="___xh1108">#REF!</definedName>
    <definedName name="___xh12510">#REF!</definedName>
    <definedName name="___xh1254">#REF!</definedName>
    <definedName name="___xh1256">#REF!</definedName>
    <definedName name="___xh1258">#REF!</definedName>
    <definedName name="___xh14010">#REF!</definedName>
    <definedName name="___xh1404">#REF!</definedName>
    <definedName name="___xh1406">#REF!</definedName>
    <definedName name="___xh1408">#REF!</definedName>
    <definedName name="___xh16010">#REF!</definedName>
    <definedName name="___xh1604">#REF!</definedName>
    <definedName name="___xh1606">#REF!</definedName>
    <definedName name="___xh1608">#REF!</definedName>
    <definedName name="___xh18010">#REF!</definedName>
    <definedName name="___xh1804">#REF!</definedName>
    <definedName name="___xh1806">#REF!</definedName>
    <definedName name="___xh1808">#REF!</definedName>
    <definedName name="___xh20010">#REF!</definedName>
    <definedName name="___xh2004">#REF!</definedName>
    <definedName name="___xh2006">#REF!</definedName>
    <definedName name="___xh2008">#REF!</definedName>
    <definedName name="___xh22510">#REF!</definedName>
    <definedName name="___xh2254">#REF!</definedName>
    <definedName name="___xh2256" localSheetId="21">[40]HDPE!$L$30</definedName>
    <definedName name="___xh2256" localSheetId="9">[40]HDPE!$L$30</definedName>
    <definedName name="___xh2256" localSheetId="4">[40]HDPE!$L$30</definedName>
    <definedName name="___xh2256" localSheetId="8">[40]HDPE!$L$30</definedName>
    <definedName name="___xh2256">#REF!</definedName>
    <definedName name="___xh2258">#REF!</definedName>
    <definedName name="___xh25010">#REF!</definedName>
    <definedName name="___xh2504">#REF!</definedName>
    <definedName name="___xh2506" localSheetId="21">[40]HDPE!$M$30</definedName>
    <definedName name="___xh2506" localSheetId="9">[40]HDPE!$M$30</definedName>
    <definedName name="___xh2506" localSheetId="4">[40]HDPE!$M$30</definedName>
    <definedName name="___xh2506" localSheetId="8">[40]HDPE!$M$30</definedName>
    <definedName name="___xh2506">#REF!</definedName>
    <definedName name="___xh2508">#REF!</definedName>
    <definedName name="___xh28010">#REF!</definedName>
    <definedName name="___xh2804">#REF!</definedName>
    <definedName name="___xh2806" localSheetId="21">[40]HDPE!$N$30</definedName>
    <definedName name="___xh2806" localSheetId="9">[40]HDPE!$N$30</definedName>
    <definedName name="___xh2806" localSheetId="4">[40]HDPE!$N$30</definedName>
    <definedName name="___xh2806" localSheetId="8">[40]HDPE!$N$30</definedName>
    <definedName name="___xh2806">#REF!</definedName>
    <definedName name="___xh2808">#REF!</definedName>
    <definedName name="___xh31510">#REF!</definedName>
    <definedName name="___xh3154">#REF!</definedName>
    <definedName name="___xh3156" localSheetId="21">[40]HDPE!$O$30</definedName>
    <definedName name="___xh3156" localSheetId="9">[40]HDPE!$O$30</definedName>
    <definedName name="___xh3156" localSheetId="4">[40]HDPE!$O$30</definedName>
    <definedName name="___xh3156" localSheetId="8">[40]HDPE!$O$30</definedName>
    <definedName name="___xh3156">#REF!</definedName>
    <definedName name="___xh3158">#REF!</definedName>
    <definedName name="___xh3554">#REF!</definedName>
    <definedName name="___xh3556">#REF!</definedName>
    <definedName name="___xh6310">#REF!</definedName>
    <definedName name="___xh634" localSheetId="21">[40]HDPE!$C$16</definedName>
    <definedName name="___xh634" localSheetId="9">[40]HDPE!$C$16</definedName>
    <definedName name="___xh634" localSheetId="4">[40]HDPE!$C$16</definedName>
    <definedName name="___xh634" localSheetId="8">[40]HDPE!$C$16</definedName>
    <definedName name="___xh634">#REF!</definedName>
    <definedName name="___xh636">#REF!</definedName>
    <definedName name="___xh638">#REF!</definedName>
    <definedName name="___xh7510">#REF!</definedName>
    <definedName name="___xh754">#REF!</definedName>
    <definedName name="___xh756">#REF!</definedName>
    <definedName name="___xh758">#REF!</definedName>
    <definedName name="___xh9010">#REF!</definedName>
    <definedName name="___xh904">#REF!</definedName>
    <definedName name="___xh906">#REF!</definedName>
    <definedName name="___xh908">#REF!</definedName>
    <definedName name="___xk7100" localSheetId="21">[40]DI!$C$37</definedName>
    <definedName name="___xk7100" localSheetId="9">[40]DI!$C$37</definedName>
    <definedName name="___xk7100" localSheetId="4">[40]DI!$C$37</definedName>
    <definedName name="___xk7100" localSheetId="8">[40]DI!$C$37</definedName>
    <definedName name="___xk7100">#REF!</definedName>
    <definedName name="___xk7150" localSheetId="21">[40]DI!$D$37</definedName>
    <definedName name="___xk7150" localSheetId="9">[40]DI!$D$37</definedName>
    <definedName name="___xk7150" localSheetId="4">[40]DI!$D$37</definedName>
    <definedName name="___xk7150" localSheetId="8">[40]DI!$D$37</definedName>
    <definedName name="___xk7150">#REF!</definedName>
    <definedName name="___xk7200">#REF!</definedName>
    <definedName name="___xk7250" localSheetId="21">[40]DI!$F$37</definedName>
    <definedName name="___xk7250" localSheetId="9">[40]DI!$F$37</definedName>
    <definedName name="___xk7250" localSheetId="4">[40]DI!$F$37</definedName>
    <definedName name="___xk7250" localSheetId="8">[40]DI!$F$37</definedName>
    <definedName name="___xk7250">#REF!</definedName>
    <definedName name="___xk7300" localSheetId="21">[40]DI!$G$37</definedName>
    <definedName name="___xk7300" localSheetId="9">[40]DI!$G$37</definedName>
    <definedName name="___xk7300" localSheetId="4">[40]DI!$G$37</definedName>
    <definedName name="___xk7300" localSheetId="8">[40]DI!$G$37</definedName>
    <definedName name="___xk7300">#REF!</definedName>
    <definedName name="___xk7350">#REF!</definedName>
    <definedName name="___xk7400">#REF!</definedName>
    <definedName name="___xk7450">#REF!</definedName>
    <definedName name="___xk7500">#REF!</definedName>
    <definedName name="___xk7600">#REF!</definedName>
    <definedName name="___xk9100">#REF!</definedName>
    <definedName name="___xk91000">#REF!</definedName>
    <definedName name="___xk9150">#REF!</definedName>
    <definedName name="___xk9200">#REF!</definedName>
    <definedName name="___xk9250">#REF!</definedName>
    <definedName name="___xk9300">#REF!</definedName>
    <definedName name="___xk9350">#REF!</definedName>
    <definedName name="___xk9400">#REF!</definedName>
    <definedName name="___xk9450">#REF!</definedName>
    <definedName name="___xk9500">#REF!</definedName>
    <definedName name="___xk9600">#REF!</definedName>
    <definedName name="___xk9700">#REF!</definedName>
    <definedName name="___xk9750">#REF!</definedName>
    <definedName name="___xk9800">#REF!</definedName>
    <definedName name="___xk9900">#REF!</definedName>
    <definedName name="___xp11010" localSheetId="21">[40]pvc!$F$61</definedName>
    <definedName name="___xp11010" localSheetId="9">[40]pvc!$F$61</definedName>
    <definedName name="___xp11010" localSheetId="4">[40]pvc!$F$61</definedName>
    <definedName name="___xp11010" localSheetId="8">[40]pvc!$F$61</definedName>
    <definedName name="___xp11010">#REF!</definedName>
    <definedName name="___xp1104" localSheetId="21">[40]pvc!$F$31</definedName>
    <definedName name="___xp1104" localSheetId="9">[40]pvc!$F$31</definedName>
    <definedName name="___xp1104" localSheetId="4">[40]pvc!$F$31</definedName>
    <definedName name="___xp1104" localSheetId="8">[40]pvc!$F$31</definedName>
    <definedName name="___xp1104">#REF!</definedName>
    <definedName name="___xp1106" localSheetId="21">[40]pvc!$F$46</definedName>
    <definedName name="___xp1106" localSheetId="9">[40]pvc!$F$46</definedName>
    <definedName name="___xp1106" localSheetId="4">[40]pvc!$F$46</definedName>
    <definedName name="___xp1106" localSheetId="8">[40]pvc!$F$46</definedName>
    <definedName name="___xp1106">#REF!</definedName>
    <definedName name="___xp12510">#REF!</definedName>
    <definedName name="___xp1254" localSheetId="21">[40]pvc!$G$31</definedName>
    <definedName name="___xp1254" localSheetId="9">[40]pvc!$G$31</definedName>
    <definedName name="___xp1254" localSheetId="4">[40]pvc!$G$31</definedName>
    <definedName name="___xp1254" localSheetId="8">[40]pvc!$G$31</definedName>
    <definedName name="___xp1254">#REF!</definedName>
    <definedName name="___xp1256" localSheetId="21">[40]pvc!$G$46</definedName>
    <definedName name="___xp1256" localSheetId="9">[40]pvc!$G$46</definedName>
    <definedName name="___xp1256" localSheetId="4">[40]pvc!$G$46</definedName>
    <definedName name="___xp1256" localSheetId="8">[40]pvc!$G$46</definedName>
    <definedName name="___xp1256">#REF!</definedName>
    <definedName name="___xp14010" localSheetId="21">[40]pvc!$H$61</definedName>
    <definedName name="___xp14010" localSheetId="9">[40]pvc!$H$61</definedName>
    <definedName name="___xp14010" localSheetId="4">[40]pvc!$H$61</definedName>
    <definedName name="___xp14010" localSheetId="8">[40]pvc!$H$61</definedName>
    <definedName name="___xp14010">#REF!</definedName>
    <definedName name="___xp1404" localSheetId="21">[40]pvc!$H$31</definedName>
    <definedName name="___xp1404" localSheetId="9">[40]pvc!$H$31</definedName>
    <definedName name="___xp1404" localSheetId="4">[40]pvc!$H$31</definedName>
    <definedName name="___xp1404" localSheetId="8">[40]pvc!$H$31</definedName>
    <definedName name="___xp1404">#REF!</definedName>
    <definedName name="___xp1406" localSheetId="21">[40]pvc!$H$46</definedName>
    <definedName name="___xp1406" localSheetId="9">[40]pvc!$H$46</definedName>
    <definedName name="___xp1406" localSheetId="4">[40]pvc!$H$46</definedName>
    <definedName name="___xp1406" localSheetId="8">[40]pvc!$H$46</definedName>
    <definedName name="___xp1406">#REF!</definedName>
    <definedName name="___xp16010">#REF!</definedName>
    <definedName name="___xp1604" localSheetId="21">[40]pvc!$I$31</definedName>
    <definedName name="___xp1604" localSheetId="9">[40]pvc!$I$31</definedName>
    <definedName name="___xp1604" localSheetId="4">[40]pvc!$I$31</definedName>
    <definedName name="___xp1604" localSheetId="8">[40]pvc!$I$31</definedName>
    <definedName name="___xp1604">#REF!</definedName>
    <definedName name="___xp1606" localSheetId="21">[40]pvc!$I$46</definedName>
    <definedName name="___xp1606" localSheetId="9">[40]pvc!$I$46</definedName>
    <definedName name="___xp1606" localSheetId="4">[40]pvc!$I$46</definedName>
    <definedName name="___xp1606" localSheetId="8">[40]pvc!$I$46</definedName>
    <definedName name="___xp1606">#REF!</definedName>
    <definedName name="___xp18010">#REF!</definedName>
    <definedName name="___xp1804" localSheetId="21">[40]pvc!$J$31</definedName>
    <definedName name="___xp1804" localSheetId="9">[40]pvc!$J$31</definedName>
    <definedName name="___xp1804" localSheetId="4">[40]pvc!$J$31</definedName>
    <definedName name="___xp1804" localSheetId="8">[40]pvc!$J$31</definedName>
    <definedName name="___xp1804">#REF!</definedName>
    <definedName name="___xp1806" localSheetId="21">[40]pvc!$J$46</definedName>
    <definedName name="___xp1806" localSheetId="9">[40]pvc!$J$46</definedName>
    <definedName name="___xp1806" localSheetId="4">[40]pvc!$J$46</definedName>
    <definedName name="___xp1806" localSheetId="8">[40]pvc!$J$46</definedName>
    <definedName name="___xp1806">#REF!</definedName>
    <definedName name="___xp20010">#REF!</definedName>
    <definedName name="___xp2004">#REF!</definedName>
    <definedName name="___xp2006" localSheetId="21">[40]pvc!$K$46</definedName>
    <definedName name="___xp2006" localSheetId="9">[40]pvc!$K$46</definedName>
    <definedName name="___xp2006" localSheetId="4">[40]pvc!$K$46</definedName>
    <definedName name="___xp2006" localSheetId="8">[40]pvc!$K$46</definedName>
    <definedName name="___xp2006">#REF!</definedName>
    <definedName name="___xp22510">#REF!</definedName>
    <definedName name="___xp2254">#REF!</definedName>
    <definedName name="___xp2256">#REF!</definedName>
    <definedName name="___xp25010">#REF!</definedName>
    <definedName name="___xp2504">#REF!</definedName>
    <definedName name="___xp2506">#REF!</definedName>
    <definedName name="___xp28010">#REF!</definedName>
    <definedName name="___xp2804">#REF!</definedName>
    <definedName name="___xp2806">#REF!</definedName>
    <definedName name="___xp31510">#REF!</definedName>
    <definedName name="___xp3154">#REF!</definedName>
    <definedName name="___xp3156">#REF!</definedName>
    <definedName name="___xp6310" localSheetId="21">[40]pvc!$C$61</definedName>
    <definedName name="___xp6310" localSheetId="9">[40]pvc!$C$61</definedName>
    <definedName name="___xp6310" localSheetId="4">[40]pvc!$C$61</definedName>
    <definedName name="___xp6310" localSheetId="8">[40]pvc!$C$61</definedName>
    <definedName name="___xp6310">#REF!</definedName>
    <definedName name="___xp634">#REF!</definedName>
    <definedName name="___xp636" localSheetId="21">[40]pvc!$C$46</definedName>
    <definedName name="___xp636" localSheetId="9">[40]pvc!$C$46</definedName>
    <definedName name="___xp636" localSheetId="4">[40]pvc!$C$46</definedName>
    <definedName name="___xp636" localSheetId="8">[40]pvc!$C$46</definedName>
    <definedName name="___xp636">#REF!</definedName>
    <definedName name="___xp7510" localSheetId="21">[40]pvc!$D$61</definedName>
    <definedName name="___xp7510" localSheetId="9">[40]pvc!$D$61</definedName>
    <definedName name="___xp7510" localSheetId="4">[40]pvc!$D$61</definedName>
    <definedName name="___xp7510" localSheetId="8">[40]pvc!$D$61</definedName>
    <definedName name="___xp7510">#REF!</definedName>
    <definedName name="___xp754" localSheetId="21">[40]pvc!$D$31</definedName>
    <definedName name="___xp754" localSheetId="9">[40]pvc!$D$31</definedName>
    <definedName name="___xp754" localSheetId="4">[40]pvc!$D$31</definedName>
    <definedName name="___xp754" localSheetId="8">[40]pvc!$D$31</definedName>
    <definedName name="___xp754">#REF!</definedName>
    <definedName name="___xp756" localSheetId="21">[40]pvc!$D$46</definedName>
    <definedName name="___xp756" localSheetId="9">[40]pvc!$D$46</definedName>
    <definedName name="___xp756" localSheetId="4">[40]pvc!$D$46</definedName>
    <definedName name="___xp756" localSheetId="8">[40]pvc!$D$46</definedName>
    <definedName name="___xp756">#REF!</definedName>
    <definedName name="___xp9010" localSheetId="21">[40]pvc!$E$61</definedName>
    <definedName name="___xp9010" localSheetId="9">[40]pvc!$E$61</definedName>
    <definedName name="___xp9010" localSheetId="4">[40]pvc!$E$61</definedName>
    <definedName name="___xp9010" localSheetId="8">[40]pvc!$E$61</definedName>
    <definedName name="___xp9010">#REF!</definedName>
    <definedName name="___xp904" localSheetId="21">[40]pvc!$E$31</definedName>
    <definedName name="___xp904" localSheetId="9">[40]pvc!$E$31</definedName>
    <definedName name="___xp904" localSheetId="4">[40]pvc!$E$31</definedName>
    <definedName name="___xp904" localSheetId="8">[40]pvc!$E$31</definedName>
    <definedName name="___xp904">#REF!</definedName>
    <definedName name="___xp906" localSheetId="21">[40]pvc!$E$46</definedName>
    <definedName name="___xp906" localSheetId="9">[40]pvc!$E$46</definedName>
    <definedName name="___xp906" localSheetId="4">[40]pvc!$E$46</definedName>
    <definedName name="___xp906" localSheetId="8">[40]pvc!$E$46</definedName>
    <definedName name="___xp906">#REF!</definedName>
    <definedName name="__atw2" localSheetId="21">'[53]C-data'!$F$92</definedName>
    <definedName name="__atw2" localSheetId="9">'[53]C-data'!$F$92</definedName>
    <definedName name="__atw2" localSheetId="4">'[53]C-data'!$F$92</definedName>
    <definedName name="__atw2" localSheetId="8">'[53]C-data'!$F$92</definedName>
    <definedName name="__atw2">#REF!</definedName>
    <definedName name="__bla1" localSheetId="21">[34]leads!$H$7</definedName>
    <definedName name="__bla1" localSheetId="9">[34]leads!$H$7</definedName>
    <definedName name="__bla1" localSheetId="4">[28]leads!$H$7</definedName>
    <definedName name="__bla1" localSheetId="8">[34]leads!$H$7</definedName>
    <definedName name="__bla1" localSheetId="7">#REF!</definedName>
    <definedName name="__bla1">#REF!</definedName>
    <definedName name="__BSG100" localSheetId="21">#REF!</definedName>
    <definedName name="__BSG100" localSheetId="9">#REF!</definedName>
    <definedName name="__BSG100" localSheetId="4">#REF!</definedName>
    <definedName name="__BSG100" localSheetId="8">#REF!</definedName>
    <definedName name="__BSG100">#REF!</definedName>
    <definedName name="__BSG150" localSheetId="21">#REF!</definedName>
    <definedName name="__BSG150" localSheetId="9">#REF!</definedName>
    <definedName name="__BSG150" localSheetId="4">#REF!</definedName>
    <definedName name="__BSG150" localSheetId="8">#REF!</definedName>
    <definedName name="__BSG150">#REF!</definedName>
    <definedName name="__BSG5" localSheetId="21">#REF!</definedName>
    <definedName name="__BSG5" localSheetId="9">#REF!</definedName>
    <definedName name="__BSG5" localSheetId="4">#REF!</definedName>
    <definedName name="__BSG5" localSheetId="8">#REF!</definedName>
    <definedName name="__BSG5">#REF!</definedName>
    <definedName name="__BSG75" localSheetId="21">#REF!</definedName>
    <definedName name="__BSG75" localSheetId="9">#REF!</definedName>
    <definedName name="__BSG75" localSheetId="4">#REF!</definedName>
    <definedName name="__BSG75" localSheetId="8">#REF!</definedName>
    <definedName name="__BSG75">#REF!</definedName>
    <definedName name="__BTC1" localSheetId="21">#REF!</definedName>
    <definedName name="__BTC1" localSheetId="9">#REF!</definedName>
    <definedName name="__BTC1" localSheetId="4">#REF!</definedName>
    <definedName name="__BTC1" localSheetId="8">#REF!</definedName>
    <definedName name="__BTC1">#REF!</definedName>
    <definedName name="__BTC10" localSheetId="21">#REF!</definedName>
    <definedName name="__BTC10" localSheetId="9">#REF!</definedName>
    <definedName name="__BTC10" localSheetId="4">#REF!</definedName>
    <definedName name="__BTC10" localSheetId="8">#REF!</definedName>
    <definedName name="__BTC10">#REF!</definedName>
    <definedName name="__BTC11" localSheetId="21">#REF!</definedName>
    <definedName name="__BTC11" localSheetId="9">#REF!</definedName>
    <definedName name="__BTC11" localSheetId="4">#REF!</definedName>
    <definedName name="__BTC11" localSheetId="8">#REF!</definedName>
    <definedName name="__BTC11">#REF!</definedName>
    <definedName name="__BTC12" localSheetId="21">#REF!</definedName>
    <definedName name="__BTC12" localSheetId="9">#REF!</definedName>
    <definedName name="__BTC12" localSheetId="4">#REF!</definedName>
    <definedName name="__BTC12" localSheetId="8">#REF!</definedName>
    <definedName name="__BTC12">#REF!</definedName>
    <definedName name="__BTC13" localSheetId="21">#REF!</definedName>
    <definedName name="__BTC13" localSheetId="9">#REF!</definedName>
    <definedName name="__BTC13" localSheetId="4">#REF!</definedName>
    <definedName name="__BTC13" localSheetId="8">#REF!</definedName>
    <definedName name="__BTC13">#REF!</definedName>
    <definedName name="__BTC14" localSheetId="21">#REF!</definedName>
    <definedName name="__BTC14" localSheetId="9">#REF!</definedName>
    <definedName name="__BTC14" localSheetId="4">#REF!</definedName>
    <definedName name="__BTC14" localSheetId="8">#REF!</definedName>
    <definedName name="__BTC14">#REF!</definedName>
    <definedName name="__BTC15" localSheetId="21">#REF!</definedName>
    <definedName name="__BTC15" localSheetId="9">#REF!</definedName>
    <definedName name="__BTC15" localSheetId="4">#REF!</definedName>
    <definedName name="__BTC15" localSheetId="8">#REF!</definedName>
    <definedName name="__BTC15">#REF!</definedName>
    <definedName name="__BTC16" localSheetId="4">#REF!</definedName>
    <definedName name="__BTC16">#REF!</definedName>
    <definedName name="__BTC17" localSheetId="4">#REF!</definedName>
    <definedName name="__BTC17">#REF!</definedName>
    <definedName name="__BTC18" localSheetId="4">#REF!</definedName>
    <definedName name="__BTC18">#REF!</definedName>
    <definedName name="__BTC19" localSheetId="4">#REF!</definedName>
    <definedName name="__BTC19">#REF!</definedName>
    <definedName name="__BTC2" localSheetId="21">#REF!</definedName>
    <definedName name="__BTC2" localSheetId="9">#REF!</definedName>
    <definedName name="__BTC2" localSheetId="4">#REF!</definedName>
    <definedName name="__BTC2" localSheetId="8">#REF!</definedName>
    <definedName name="__BTC2">#REF!</definedName>
    <definedName name="__BTC20" localSheetId="4">#REF!</definedName>
    <definedName name="__BTC20">#REF!</definedName>
    <definedName name="__BTC21" localSheetId="4">#REF!</definedName>
    <definedName name="__BTC21">#REF!</definedName>
    <definedName name="__BTC22" localSheetId="4">#REF!</definedName>
    <definedName name="__BTC22">#REF!</definedName>
    <definedName name="__BTC23" localSheetId="4">#REF!</definedName>
    <definedName name="__BTC23">#REF!</definedName>
    <definedName name="__BTC24" localSheetId="4">#REF!</definedName>
    <definedName name="__BTC24">#REF!</definedName>
    <definedName name="__BTC3" localSheetId="21">#REF!</definedName>
    <definedName name="__BTC3" localSheetId="9">#REF!</definedName>
    <definedName name="__BTC3" localSheetId="4">#REF!</definedName>
    <definedName name="__BTC3" localSheetId="8">#REF!</definedName>
    <definedName name="__BTC3">#REF!</definedName>
    <definedName name="__BTC4" localSheetId="21">#REF!</definedName>
    <definedName name="__BTC4" localSheetId="9">#REF!</definedName>
    <definedName name="__BTC4" localSheetId="4">#REF!</definedName>
    <definedName name="__BTC4" localSheetId="8">#REF!</definedName>
    <definedName name="__BTC4">#REF!</definedName>
    <definedName name="__BTC5" localSheetId="21">#REF!</definedName>
    <definedName name="__BTC5" localSheetId="9">#REF!</definedName>
    <definedName name="__BTC5" localSheetId="4">#REF!</definedName>
    <definedName name="__BTC5" localSheetId="8">#REF!</definedName>
    <definedName name="__BTC5">#REF!</definedName>
    <definedName name="__BTC6" localSheetId="21">#REF!</definedName>
    <definedName name="__BTC6" localSheetId="9">#REF!</definedName>
    <definedName name="__BTC6" localSheetId="4">#REF!</definedName>
    <definedName name="__BTC6" localSheetId="8">#REF!</definedName>
    <definedName name="__BTC6">#REF!</definedName>
    <definedName name="__BTC7" localSheetId="21">#REF!</definedName>
    <definedName name="__BTC7" localSheetId="9">#REF!</definedName>
    <definedName name="__BTC7" localSheetId="4">#REF!</definedName>
    <definedName name="__BTC7" localSheetId="8">#REF!</definedName>
    <definedName name="__BTC7">#REF!</definedName>
    <definedName name="__BTC8" localSheetId="21">#REF!</definedName>
    <definedName name="__BTC8" localSheetId="9">#REF!</definedName>
    <definedName name="__BTC8" localSheetId="4">#REF!</definedName>
    <definedName name="__BTC8" localSheetId="8">#REF!</definedName>
    <definedName name="__BTC8">#REF!</definedName>
    <definedName name="__BTC9" localSheetId="21">#REF!</definedName>
    <definedName name="__BTC9" localSheetId="9">#REF!</definedName>
    <definedName name="__BTC9" localSheetId="4">#REF!</definedName>
    <definedName name="__BTC9" localSheetId="8">#REF!</definedName>
    <definedName name="__BTC9">#REF!</definedName>
    <definedName name="__BTR1" localSheetId="4">#REF!</definedName>
    <definedName name="__BTR1">#REF!</definedName>
    <definedName name="__BTR10" localSheetId="4">#REF!</definedName>
    <definedName name="__BTR10">#REF!</definedName>
    <definedName name="__BTR11" localSheetId="4">#REF!</definedName>
    <definedName name="__BTR11">#REF!</definedName>
    <definedName name="__BTR12" localSheetId="4">#REF!</definedName>
    <definedName name="__BTR12">#REF!</definedName>
    <definedName name="__BTR13" localSheetId="4">#REF!</definedName>
    <definedName name="__BTR13">#REF!</definedName>
    <definedName name="__BTR14" localSheetId="4">#REF!</definedName>
    <definedName name="__BTR14">#REF!</definedName>
    <definedName name="__BTR15" localSheetId="4">#REF!</definedName>
    <definedName name="__BTR15">#REF!</definedName>
    <definedName name="__BTR16" localSheetId="4">#REF!</definedName>
    <definedName name="__BTR16">#REF!</definedName>
    <definedName name="__BTR17" localSheetId="4">#REF!</definedName>
    <definedName name="__BTR17">#REF!</definedName>
    <definedName name="__BTR18" localSheetId="4">#REF!</definedName>
    <definedName name="__BTR18">#REF!</definedName>
    <definedName name="__BTR19" localSheetId="4">#REF!</definedName>
    <definedName name="__BTR19">#REF!</definedName>
    <definedName name="__BTR2" localSheetId="4">#REF!</definedName>
    <definedName name="__BTR2">#REF!</definedName>
    <definedName name="__BTR20" localSheetId="4">#REF!</definedName>
    <definedName name="__BTR20">#REF!</definedName>
    <definedName name="__BTR21" localSheetId="4">#REF!</definedName>
    <definedName name="__BTR21">#REF!</definedName>
    <definedName name="__BTR22" localSheetId="4">#REF!</definedName>
    <definedName name="__BTR22">#REF!</definedName>
    <definedName name="__BTR23" localSheetId="4">#REF!</definedName>
    <definedName name="__BTR23">#REF!</definedName>
    <definedName name="__BTR24" localSheetId="4">#REF!</definedName>
    <definedName name="__BTR24">#REF!</definedName>
    <definedName name="__BTR3" localSheetId="4">#REF!</definedName>
    <definedName name="__BTR3">#REF!</definedName>
    <definedName name="__BTR4" localSheetId="4">#REF!</definedName>
    <definedName name="__BTR4">#REF!</definedName>
    <definedName name="__BTR5" localSheetId="4">#REF!</definedName>
    <definedName name="__BTR5">#REF!</definedName>
    <definedName name="__BTR6" localSheetId="4">#REF!</definedName>
    <definedName name="__BTR6">#REF!</definedName>
    <definedName name="__BTR7" localSheetId="4">#REF!</definedName>
    <definedName name="__BTR7">#REF!</definedName>
    <definedName name="__BTR8" localSheetId="4">#REF!</definedName>
    <definedName name="__BTR8">#REF!</definedName>
    <definedName name="__BTR9" localSheetId="4">#REF!</definedName>
    <definedName name="__BTR9">#REF!</definedName>
    <definedName name="__BTS1" localSheetId="21">#REF!</definedName>
    <definedName name="__BTS1" localSheetId="9">#REF!</definedName>
    <definedName name="__BTS1" localSheetId="4">#REF!</definedName>
    <definedName name="__BTS1" localSheetId="8">#REF!</definedName>
    <definedName name="__BTS1">#REF!</definedName>
    <definedName name="__BTS10" localSheetId="21">#REF!</definedName>
    <definedName name="__BTS10" localSheetId="9">#REF!</definedName>
    <definedName name="__BTS10" localSheetId="4">#REF!</definedName>
    <definedName name="__BTS10" localSheetId="8">#REF!</definedName>
    <definedName name="__BTS10">#REF!</definedName>
    <definedName name="__BTS11" localSheetId="21">#REF!</definedName>
    <definedName name="__BTS11" localSheetId="9">#REF!</definedName>
    <definedName name="__BTS11" localSheetId="4">#REF!</definedName>
    <definedName name="__BTS11" localSheetId="8">#REF!</definedName>
    <definedName name="__BTS11">#REF!</definedName>
    <definedName name="__BTS12" localSheetId="21">#REF!</definedName>
    <definedName name="__BTS12" localSheetId="9">#REF!</definedName>
    <definedName name="__BTS12" localSheetId="4">#REF!</definedName>
    <definedName name="__BTS12" localSheetId="8">#REF!</definedName>
    <definedName name="__BTS12">#REF!</definedName>
    <definedName name="__BTS13" localSheetId="21">#REF!</definedName>
    <definedName name="__BTS13" localSheetId="9">#REF!</definedName>
    <definedName name="__BTS13" localSheetId="4">#REF!</definedName>
    <definedName name="__BTS13" localSheetId="8">#REF!</definedName>
    <definedName name="__BTS13">#REF!</definedName>
    <definedName name="__BTS14" localSheetId="21">#REF!</definedName>
    <definedName name="__BTS14" localSheetId="9">#REF!</definedName>
    <definedName name="__BTS14" localSheetId="4">#REF!</definedName>
    <definedName name="__BTS14" localSheetId="8">#REF!</definedName>
    <definedName name="__BTS14">#REF!</definedName>
    <definedName name="__BTS15" localSheetId="21">#REF!</definedName>
    <definedName name="__BTS15" localSheetId="9">#REF!</definedName>
    <definedName name="__BTS15" localSheetId="4">#REF!</definedName>
    <definedName name="__BTS15" localSheetId="8">#REF!</definedName>
    <definedName name="__BTS15">#REF!</definedName>
    <definedName name="__BTS16" localSheetId="4">#REF!</definedName>
    <definedName name="__BTS16">#REF!</definedName>
    <definedName name="__BTS17" localSheetId="4">#REF!</definedName>
    <definedName name="__BTS17">#REF!</definedName>
    <definedName name="__BTS18" localSheetId="4">#REF!</definedName>
    <definedName name="__BTS18">#REF!</definedName>
    <definedName name="__BTS19" localSheetId="4">#REF!</definedName>
    <definedName name="__BTS19">#REF!</definedName>
    <definedName name="__BTS2" localSheetId="21">#REF!</definedName>
    <definedName name="__BTS2" localSheetId="9">#REF!</definedName>
    <definedName name="__BTS2" localSheetId="4">#REF!</definedName>
    <definedName name="__BTS2" localSheetId="8">#REF!</definedName>
    <definedName name="__BTS2">#REF!</definedName>
    <definedName name="__BTS20" localSheetId="4">#REF!</definedName>
    <definedName name="__BTS20">#REF!</definedName>
    <definedName name="__BTS21" localSheetId="4">#REF!</definedName>
    <definedName name="__BTS21">#REF!</definedName>
    <definedName name="__BTS22" localSheetId="4">#REF!</definedName>
    <definedName name="__BTS22">#REF!</definedName>
    <definedName name="__BTS23" localSheetId="4">#REF!</definedName>
    <definedName name="__BTS23">#REF!</definedName>
    <definedName name="__BTS24" localSheetId="4">#REF!</definedName>
    <definedName name="__BTS24">#REF!</definedName>
    <definedName name="__BTS3" localSheetId="21">#REF!</definedName>
    <definedName name="__BTS3" localSheetId="9">#REF!</definedName>
    <definedName name="__BTS3" localSheetId="4">#REF!</definedName>
    <definedName name="__BTS3" localSheetId="8">#REF!</definedName>
    <definedName name="__BTS3">#REF!</definedName>
    <definedName name="__BTS4" localSheetId="21">#REF!</definedName>
    <definedName name="__BTS4" localSheetId="9">#REF!</definedName>
    <definedName name="__BTS4" localSheetId="4">#REF!</definedName>
    <definedName name="__BTS4" localSheetId="8">#REF!</definedName>
    <definedName name="__BTS4">#REF!</definedName>
    <definedName name="__BTS5" localSheetId="21">#REF!</definedName>
    <definedName name="__BTS5" localSheetId="9">#REF!</definedName>
    <definedName name="__BTS5" localSheetId="4">#REF!</definedName>
    <definedName name="__BTS5" localSheetId="8">#REF!</definedName>
    <definedName name="__BTS5">#REF!</definedName>
    <definedName name="__BTS6" localSheetId="21">#REF!</definedName>
    <definedName name="__BTS6" localSheetId="9">#REF!</definedName>
    <definedName name="__BTS6" localSheetId="4">#REF!</definedName>
    <definedName name="__BTS6" localSheetId="8">#REF!</definedName>
    <definedName name="__BTS6">#REF!</definedName>
    <definedName name="__BTS7" localSheetId="21">#REF!</definedName>
    <definedName name="__BTS7" localSheetId="9">#REF!</definedName>
    <definedName name="__BTS7" localSheetId="4">#REF!</definedName>
    <definedName name="__BTS7" localSheetId="8">#REF!</definedName>
    <definedName name="__BTS7">#REF!</definedName>
    <definedName name="__BTS8" localSheetId="21">#REF!</definedName>
    <definedName name="__BTS8" localSheetId="9">#REF!</definedName>
    <definedName name="__BTS8" localSheetId="4">#REF!</definedName>
    <definedName name="__BTS8" localSheetId="8">#REF!</definedName>
    <definedName name="__BTS8">#REF!</definedName>
    <definedName name="__BTS9" localSheetId="21">#REF!</definedName>
    <definedName name="__BTS9" localSheetId="9">#REF!</definedName>
    <definedName name="__BTS9" localSheetId="4">#REF!</definedName>
    <definedName name="__BTS9" localSheetId="8">#REF!</definedName>
    <definedName name="__BTS9">#REF!</definedName>
    <definedName name="__can430">40.73</definedName>
    <definedName name="__can435">43.3</definedName>
    <definedName name="__cbr1" localSheetId="21">#REF!</definedName>
    <definedName name="__cbr1" localSheetId="9">#REF!</definedName>
    <definedName name="__cbr1" localSheetId="4">#REF!</definedName>
    <definedName name="__cbr1" localSheetId="8">#REF!</definedName>
    <definedName name="__cbr1">#REF!</definedName>
    <definedName name="__cbr2" localSheetId="21">#REF!</definedName>
    <definedName name="__cbr2" localSheetId="9">#REF!</definedName>
    <definedName name="__cbr2" localSheetId="4">#REF!</definedName>
    <definedName name="__cbr2" localSheetId="8">#REF!</definedName>
    <definedName name="__cbr2" localSheetId="7">#REF!</definedName>
    <definedName name="__cbr2">#REF!</definedName>
    <definedName name="__cbr3" localSheetId="21">#REF!</definedName>
    <definedName name="__cbr3" localSheetId="9">#REF!</definedName>
    <definedName name="__cbr3" localSheetId="4">#REF!</definedName>
    <definedName name="__cbr3" localSheetId="8">#REF!</definedName>
    <definedName name="__cbr3" localSheetId="7">#REF!</definedName>
    <definedName name="__cbr3">#REF!</definedName>
    <definedName name="__cbr4" localSheetId="21">#REF!</definedName>
    <definedName name="__cbr4" localSheetId="9">#REF!</definedName>
    <definedName name="__cbr4" localSheetId="4">#REF!</definedName>
    <definedName name="__cbr4" localSheetId="8">#REF!</definedName>
    <definedName name="__cbr4" localSheetId="7">#REF!</definedName>
    <definedName name="__cbr4">#REF!</definedName>
    <definedName name="__CCW1" localSheetId="21">[57]DATA!$H$67</definedName>
    <definedName name="__CCW1" localSheetId="9">[57]DATA!$H$67</definedName>
    <definedName name="__CCW1" localSheetId="4">[50]DATA!$H$67</definedName>
    <definedName name="__CCW1" localSheetId="8">[57]DATA!$H$67</definedName>
    <definedName name="__CCW1" localSheetId="7">#REF!</definedName>
    <definedName name="__CCW1">#REF!</definedName>
    <definedName name="__CCW2" localSheetId="21">[57]DATA!$H$97</definedName>
    <definedName name="__CCW2" localSheetId="9">[57]DATA!$H$97</definedName>
    <definedName name="__CCW2" localSheetId="4">[50]DATA!$H$97</definedName>
    <definedName name="__CCW2" localSheetId="8">[57]DATA!$H$97</definedName>
    <definedName name="__CCW2" localSheetId="7">#REF!</definedName>
    <definedName name="__CCW2">#REF!</definedName>
    <definedName name="__CD2">#REF!</definedName>
    <definedName name="__CHI1">#REF!</definedName>
    <definedName name="__CHI2">#REF!</definedName>
    <definedName name="__cur1" localSheetId="21">[13]r!$F$30</definedName>
    <definedName name="__cur1" localSheetId="9">[13]r!$F$30</definedName>
    <definedName name="__cur1" localSheetId="4">[13]r!$F$30</definedName>
    <definedName name="__cur1" localSheetId="8">[13]r!$F$30</definedName>
    <definedName name="__cur1">#REF!</definedName>
    <definedName name="__df3">#REF!</definedName>
    <definedName name="__ewe1" localSheetId="21">#REF!</definedName>
    <definedName name="__ewe1" localSheetId="9">#REF!</definedName>
    <definedName name="__ewe1" localSheetId="4">#REF!</definedName>
    <definedName name="__ewe1" localSheetId="8">#REF!</definedName>
    <definedName name="__ewe1" localSheetId="7">#REF!</definedName>
    <definedName name="__ewe1">#REF!</definedName>
    <definedName name="__f1" localSheetId="21">#REF!</definedName>
    <definedName name="__f1" localSheetId="9">#REF!</definedName>
    <definedName name="__f1" localSheetId="4">#REF!</definedName>
    <definedName name="__f1" localSheetId="8">#REF!</definedName>
    <definedName name="__f1">#REF!</definedName>
    <definedName name="__GBS11" localSheetId="21">#REF!</definedName>
    <definedName name="__GBS11" localSheetId="9">#REF!</definedName>
    <definedName name="__GBS11" localSheetId="4">#REF!</definedName>
    <definedName name="__GBS11" localSheetId="8">#REF!</definedName>
    <definedName name="__GBS11">#REF!</definedName>
    <definedName name="__GBS110" localSheetId="21">#REF!</definedName>
    <definedName name="__GBS110" localSheetId="9">#REF!</definedName>
    <definedName name="__GBS110" localSheetId="4">#REF!</definedName>
    <definedName name="__GBS110" localSheetId="8">#REF!</definedName>
    <definedName name="__GBS110">#REF!</definedName>
    <definedName name="__GBS111" localSheetId="21">#REF!</definedName>
    <definedName name="__GBS111" localSheetId="9">#REF!</definedName>
    <definedName name="__GBS111" localSheetId="4">#REF!</definedName>
    <definedName name="__GBS111" localSheetId="8">#REF!</definedName>
    <definedName name="__GBS111">#REF!</definedName>
    <definedName name="__GBS112" localSheetId="21">#REF!</definedName>
    <definedName name="__GBS112" localSheetId="9">#REF!</definedName>
    <definedName name="__GBS112" localSheetId="4">#REF!</definedName>
    <definedName name="__GBS112" localSheetId="8">#REF!</definedName>
    <definedName name="__GBS112">#REF!</definedName>
    <definedName name="__GBS113" localSheetId="21">#REF!</definedName>
    <definedName name="__GBS113" localSheetId="9">#REF!</definedName>
    <definedName name="__GBS113" localSheetId="4">#REF!</definedName>
    <definedName name="__GBS113" localSheetId="8">#REF!</definedName>
    <definedName name="__GBS113">#REF!</definedName>
    <definedName name="__GBS114" localSheetId="21">#REF!</definedName>
    <definedName name="__GBS114" localSheetId="9">#REF!</definedName>
    <definedName name="__GBS114" localSheetId="4">#REF!</definedName>
    <definedName name="__GBS114" localSheetId="8">#REF!</definedName>
    <definedName name="__GBS114">#REF!</definedName>
    <definedName name="__GBS115" localSheetId="21">#REF!</definedName>
    <definedName name="__GBS115" localSheetId="9">#REF!</definedName>
    <definedName name="__GBS115" localSheetId="4">#REF!</definedName>
    <definedName name="__GBS115" localSheetId="8">#REF!</definedName>
    <definedName name="__GBS115">#REF!</definedName>
    <definedName name="__GBS116" localSheetId="4">#REF!</definedName>
    <definedName name="__GBS116">#REF!</definedName>
    <definedName name="__GBS117" localSheetId="4">#REF!</definedName>
    <definedName name="__GBS117">#REF!</definedName>
    <definedName name="__GBS118" localSheetId="4">#REF!</definedName>
    <definedName name="__GBS118">#REF!</definedName>
    <definedName name="__GBS119" localSheetId="4">#REF!</definedName>
    <definedName name="__GBS119">#REF!</definedName>
    <definedName name="__GBS12" localSheetId="21">#REF!</definedName>
    <definedName name="__GBS12" localSheetId="9">#REF!</definedName>
    <definedName name="__GBS12" localSheetId="4">#REF!</definedName>
    <definedName name="__GBS12" localSheetId="8">#REF!</definedName>
    <definedName name="__GBS12">#REF!</definedName>
    <definedName name="__GBS120" localSheetId="4">#REF!</definedName>
    <definedName name="__GBS120">#REF!</definedName>
    <definedName name="__GBS121" localSheetId="4">#REF!</definedName>
    <definedName name="__GBS121">#REF!</definedName>
    <definedName name="__GBS122" localSheetId="4">#REF!</definedName>
    <definedName name="__GBS122">#REF!</definedName>
    <definedName name="__GBS123" localSheetId="4">#REF!</definedName>
    <definedName name="__GBS123">#REF!</definedName>
    <definedName name="__GBS124" localSheetId="4">#REF!</definedName>
    <definedName name="__GBS124">#REF!</definedName>
    <definedName name="__GBS13" localSheetId="21">#REF!</definedName>
    <definedName name="__GBS13" localSheetId="9">#REF!</definedName>
    <definedName name="__GBS13" localSheetId="4">#REF!</definedName>
    <definedName name="__GBS13" localSheetId="8">#REF!</definedName>
    <definedName name="__GBS13">#REF!</definedName>
    <definedName name="__GBS14" localSheetId="21">#REF!</definedName>
    <definedName name="__GBS14" localSheetId="9">#REF!</definedName>
    <definedName name="__GBS14" localSheetId="4">#REF!</definedName>
    <definedName name="__GBS14" localSheetId="8">#REF!</definedName>
    <definedName name="__GBS14">#REF!</definedName>
    <definedName name="__GBS15" localSheetId="21">#REF!</definedName>
    <definedName name="__GBS15" localSheetId="9">#REF!</definedName>
    <definedName name="__GBS15" localSheetId="4">#REF!</definedName>
    <definedName name="__GBS15" localSheetId="8">#REF!</definedName>
    <definedName name="__GBS15">#REF!</definedName>
    <definedName name="__GBS16" localSheetId="21">#REF!</definedName>
    <definedName name="__GBS16" localSheetId="9">#REF!</definedName>
    <definedName name="__GBS16" localSheetId="4">#REF!</definedName>
    <definedName name="__GBS16" localSheetId="8">#REF!</definedName>
    <definedName name="__GBS16">#REF!</definedName>
    <definedName name="__GBS17" localSheetId="21">#REF!</definedName>
    <definedName name="__GBS17" localSheetId="9">#REF!</definedName>
    <definedName name="__GBS17" localSheetId="4">#REF!</definedName>
    <definedName name="__GBS17" localSheetId="8">#REF!</definedName>
    <definedName name="__GBS17">#REF!</definedName>
    <definedName name="__GBS18" localSheetId="21">#REF!</definedName>
    <definedName name="__GBS18" localSheetId="9">#REF!</definedName>
    <definedName name="__GBS18" localSheetId="4">#REF!</definedName>
    <definedName name="__GBS18" localSheetId="8">#REF!</definedName>
    <definedName name="__GBS18">#REF!</definedName>
    <definedName name="__GBS19" localSheetId="21">#REF!</definedName>
    <definedName name="__GBS19" localSheetId="9">#REF!</definedName>
    <definedName name="__GBS19" localSheetId="4">#REF!</definedName>
    <definedName name="__GBS19" localSheetId="8">#REF!</definedName>
    <definedName name="__GBS19">#REF!</definedName>
    <definedName name="__GBS21" localSheetId="21">#REF!</definedName>
    <definedName name="__GBS21" localSheetId="9">#REF!</definedName>
    <definedName name="__GBS21" localSheetId="4">#REF!</definedName>
    <definedName name="__GBS21" localSheetId="8">#REF!</definedName>
    <definedName name="__GBS21">#REF!</definedName>
    <definedName name="__GBS210" localSheetId="21">#REF!</definedName>
    <definedName name="__GBS210" localSheetId="9">#REF!</definedName>
    <definedName name="__GBS210" localSheetId="4">#REF!</definedName>
    <definedName name="__GBS210" localSheetId="8">#REF!</definedName>
    <definedName name="__GBS210">#REF!</definedName>
    <definedName name="__GBS211" localSheetId="21">#REF!</definedName>
    <definedName name="__GBS211" localSheetId="9">#REF!</definedName>
    <definedName name="__GBS211" localSheetId="4">#REF!</definedName>
    <definedName name="__GBS211" localSheetId="8">#REF!</definedName>
    <definedName name="__GBS211">#REF!</definedName>
    <definedName name="__GBS212" localSheetId="21">#REF!</definedName>
    <definedName name="__GBS212" localSheetId="9">#REF!</definedName>
    <definedName name="__GBS212" localSheetId="4">#REF!</definedName>
    <definedName name="__GBS212" localSheetId="8">#REF!</definedName>
    <definedName name="__GBS212">#REF!</definedName>
    <definedName name="__GBS213" localSheetId="21">#REF!</definedName>
    <definedName name="__GBS213" localSheetId="9">#REF!</definedName>
    <definedName name="__GBS213" localSheetId="4">#REF!</definedName>
    <definedName name="__GBS213" localSheetId="8">#REF!</definedName>
    <definedName name="__GBS213">#REF!</definedName>
    <definedName name="__GBS214" localSheetId="21">#REF!</definedName>
    <definedName name="__GBS214" localSheetId="9">#REF!</definedName>
    <definedName name="__GBS214" localSheetId="4">#REF!</definedName>
    <definedName name="__GBS214" localSheetId="8">#REF!</definedName>
    <definedName name="__GBS214">#REF!</definedName>
    <definedName name="__GBS215" localSheetId="21">#REF!</definedName>
    <definedName name="__GBS215" localSheetId="9">#REF!</definedName>
    <definedName name="__GBS215" localSheetId="4">#REF!</definedName>
    <definedName name="__GBS215" localSheetId="8">#REF!</definedName>
    <definedName name="__GBS215">#REF!</definedName>
    <definedName name="__GBS216" localSheetId="4">#REF!</definedName>
    <definedName name="__GBS216">#REF!</definedName>
    <definedName name="__GBS217" localSheetId="4">#REF!</definedName>
    <definedName name="__GBS217">#REF!</definedName>
    <definedName name="__GBS218" localSheetId="4">#REF!</definedName>
    <definedName name="__GBS218">#REF!</definedName>
    <definedName name="__GBS219" localSheetId="4">#REF!</definedName>
    <definedName name="__GBS219">#REF!</definedName>
    <definedName name="__GBS22" localSheetId="21">#REF!</definedName>
    <definedName name="__GBS22" localSheetId="9">#REF!</definedName>
    <definedName name="__GBS22" localSheetId="4">#REF!</definedName>
    <definedName name="__GBS22" localSheetId="8">#REF!</definedName>
    <definedName name="__GBS22">#REF!</definedName>
    <definedName name="__GBS220" localSheetId="4">#REF!</definedName>
    <definedName name="__GBS220">#REF!</definedName>
    <definedName name="__GBS221" localSheetId="4">#REF!</definedName>
    <definedName name="__GBS221">#REF!</definedName>
    <definedName name="__GBS222" localSheetId="4">#REF!</definedName>
    <definedName name="__GBS222">#REF!</definedName>
    <definedName name="__GBS223" localSheetId="4">#REF!</definedName>
    <definedName name="__GBS223">#REF!</definedName>
    <definedName name="__GBS224" localSheetId="4">#REF!</definedName>
    <definedName name="__GBS224">#REF!</definedName>
    <definedName name="__GBS23" localSheetId="21">#REF!</definedName>
    <definedName name="__GBS23" localSheetId="9">#REF!</definedName>
    <definedName name="__GBS23" localSheetId="4">#REF!</definedName>
    <definedName name="__GBS23" localSheetId="8">#REF!</definedName>
    <definedName name="__GBS23">#REF!</definedName>
    <definedName name="__GBS24" localSheetId="21">#REF!</definedName>
    <definedName name="__GBS24" localSheetId="9">#REF!</definedName>
    <definedName name="__GBS24" localSheetId="4">#REF!</definedName>
    <definedName name="__GBS24" localSheetId="8">#REF!</definedName>
    <definedName name="__GBS24">#REF!</definedName>
    <definedName name="__GBS25" localSheetId="21">#REF!</definedName>
    <definedName name="__GBS25" localSheetId="9">#REF!</definedName>
    <definedName name="__GBS25" localSheetId="4">#REF!</definedName>
    <definedName name="__GBS25" localSheetId="8">#REF!</definedName>
    <definedName name="__GBS25">#REF!</definedName>
    <definedName name="__GBS26" localSheetId="21">#REF!</definedName>
    <definedName name="__GBS26" localSheetId="9">#REF!</definedName>
    <definedName name="__GBS26" localSheetId="4">#REF!</definedName>
    <definedName name="__GBS26" localSheetId="8">#REF!</definedName>
    <definedName name="__GBS26">#REF!</definedName>
    <definedName name="__GBS27" localSheetId="21">#REF!</definedName>
    <definedName name="__GBS27" localSheetId="9">#REF!</definedName>
    <definedName name="__GBS27" localSheetId="4">#REF!</definedName>
    <definedName name="__GBS27" localSheetId="8">#REF!</definedName>
    <definedName name="__GBS27">#REF!</definedName>
    <definedName name="__GBS28" localSheetId="21">#REF!</definedName>
    <definedName name="__GBS28" localSheetId="9">#REF!</definedName>
    <definedName name="__GBS28" localSheetId="4">#REF!</definedName>
    <definedName name="__GBS28" localSheetId="8">#REF!</definedName>
    <definedName name="__GBS28">#REF!</definedName>
    <definedName name="__GBS29" localSheetId="21">#REF!</definedName>
    <definedName name="__GBS29" localSheetId="9">#REF!</definedName>
    <definedName name="__GBS29" localSheetId="4">#REF!</definedName>
    <definedName name="__GBS29" localSheetId="8">#REF!</definedName>
    <definedName name="__GBS29">#REF!</definedName>
    <definedName name="__grp10003">#REF!</definedName>
    <definedName name="__grp3503">#REF!</definedName>
    <definedName name="__grp4003">#REF!</definedName>
    <definedName name="__grp4503">#REF!</definedName>
    <definedName name="__grp5003">#REF!</definedName>
    <definedName name="__grp6003">#REF!</definedName>
    <definedName name="__grp7003">#REF!</definedName>
    <definedName name="__grp8003">#REF!</definedName>
    <definedName name="__grp9003">#REF!</definedName>
    <definedName name="__imp1" localSheetId="21">[44]DATA_PRG!$H$245</definedName>
    <definedName name="__imp1" localSheetId="9">[44]DATA_PRG!$H$245</definedName>
    <definedName name="__imp1" localSheetId="4">[44]DATA_PRG!$H$245</definedName>
    <definedName name="__imp1" localSheetId="8">[44]DATA_PRG!$H$245</definedName>
    <definedName name="__imp1">#REF!</definedName>
    <definedName name="__knr2">#REF!</definedName>
    <definedName name="__l1" localSheetId="21">[35]leads!$A$3:$E$108</definedName>
    <definedName name="__l1" localSheetId="9">[35]leads!$A$3:$E$108</definedName>
    <definedName name="__l1" localSheetId="4">[29]leads!$A$3:$E$108</definedName>
    <definedName name="__l1" localSheetId="8">[35]leads!$A$3:$E$108</definedName>
    <definedName name="__l1" localSheetId="7">#REF!</definedName>
    <definedName name="__l1">#REF!</definedName>
    <definedName name="__l12" localSheetId="21">#REF!</definedName>
    <definedName name="__l12" localSheetId="9">#REF!</definedName>
    <definedName name="__l12" localSheetId="4">#REF!</definedName>
    <definedName name="__l12" localSheetId="10">#REF!</definedName>
    <definedName name="__l12" localSheetId="8">#REF!</definedName>
    <definedName name="__l12" localSheetId="7">#REF!</definedName>
    <definedName name="__l12">#REF!</definedName>
    <definedName name="__l2" localSheetId="21">[13]r!$F$29</definedName>
    <definedName name="__l2" localSheetId="9">[13]r!$F$29</definedName>
    <definedName name="__l2" localSheetId="4">[13]r!$F$29</definedName>
    <definedName name="__l2" localSheetId="8">[13]r!$F$29</definedName>
    <definedName name="__l2">#REF!</definedName>
    <definedName name="__l3" localSheetId="21">#REF!</definedName>
    <definedName name="__l3" localSheetId="9">#REF!</definedName>
    <definedName name="__l3" localSheetId="4">#REF!</definedName>
    <definedName name="__l3" localSheetId="10">#REF!</definedName>
    <definedName name="__l3" localSheetId="8">#REF!</definedName>
    <definedName name="__l3" localSheetId="7">#REF!</definedName>
    <definedName name="__l3">#REF!</definedName>
    <definedName name="__l4" localSheetId="21">[36]Sheet1!$W$2:$Y$103</definedName>
    <definedName name="__l4" localSheetId="9">[36]Sheet1!$W$2:$Y$103</definedName>
    <definedName name="__l4" localSheetId="4">[30]Sheet1!$W$2:$Y$103</definedName>
    <definedName name="__l4" localSheetId="8">[36]Sheet1!$W$2:$Y$103</definedName>
    <definedName name="__l4" localSheetId="7">#REF!</definedName>
    <definedName name="__l4">#REF!</definedName>
    <definedName name="__l5" localSheetId="21">#REF!</definedName>
    <definedName name="__l5" localSheetId="9">#REF!</definedName>
    <definedName name="__l5" localSheetId="4">#REF!</definedName>
    <definedName name="__l5" localSheetId="10">#REF!</definedName>
    <definedName name="__l5" localSheetId="8">#REF!</definedName>
    <definedName name="__l5" localSheetId="7">#REF!</definedName>
    <definedName name="__l5">#REF!</definedName>
    <definedName name="__l6" localSheetId="21">[13]r!$F$4</definedName>
    <definedName name="__l6" localSheetId="9">[13]r!$F$4</definedName>
    <definedName name="__l6" localSheetId="4">[13]r!$F$4</definedName>
    <definedName name="__l6" localSheetId="8">[13]r!$F$4</definedName>
    <definedName name="__l6">#REF!</definedName>
    <definedName name="__l7" localSheetId="21">[14]r!$F$4</definedName>
    <definedName name="__l7" localSheetId="9">[14]r!$F$4</definedName>
    <definedName name="__l7" localSheetId="4">[14]r!$F$4</definedName>
    <definedName name="__l7" localSheetId="8">[14]r!$F$4</definedName>
    <definedName name="__l7">#REF!</definedName>
    <definedName name="__l8" localSheetId="21">[13]r!$F$2</definedName>
    <definedName name="__l8" localSheetId="9">[13]r!$F$2</definedName>
    <definedName name="__l8" localSheetId="4">[13]r!$F$2</definedName>
    <definedName name="__l8" localSheetId="8">[13]r!$F$2</definedName>
    <definedName name="__l8">#REF!</definedName>
    <definedName name="__l9" localSheetId="21">[13]r!$F$3</definedName>
    <definedName name="__l9" localSheetId="9">[13]r!$F$3</definedName>
    <definedName name="__l9" localSheetId="4">[13]r!$F$3</definedName>
    <definedName name="__l9" localSheetId="8">[13]r!$F$3</definedName>
    <definedName name="__l9">#REF!</definedName>
    <definedName name="__LI9">#REF!</definedName>
    <definedName name="__LII9">#REF!</definedName>
    <definedName name="__LJ6" localSheetId="21">[57]DATA!$H$245</definedName>
    <definedName name="__LJ6" localSheetId="9">[57]DATA!$H$245</definedName>
    <definedName name="__LJ6" localSheetId="4">[50]DATA!$H$245</definedName>
    <definedName name="__LJ6" localSheetId="8">[57]DATA!$H$245</definedName>
    <definedName name="__LJ6" localSheetId="7">#REF!</definedName>
    <definedName name="__LJ6">#REF!</definedName>
    <definedName name="__lj600" localSheetId="4">#REF!</definedName>
    <definedName name="__lj600">#REF!</definedName>
    <definedName name="__lj900" localSheetId="21">#REF!</definedName>
    <definedName name="__lj900" localSheetId="9">#REF!</definedName>
    <definedName name="__lj900" localSheetId="4">#REF!</definedName>
    <definedName name="__lj900" localSheetId="8">#REF!</definedName>
    <definedName name="__lj900">#REF!</definedName>
    <definedName name="__LL3" localSheetId="4">#REF!</definedName>
    <definedName name="__LL3">#REF!</definedName>
    <definedName name="__ma1" localSheetId="21">'[53]C-data'!$F$6</definedName>
    <definedName name="__ma1" localSheetId="9">'[53]C-data'!$F$6</definedName>
    <definedName name="__ma1" localSheetId="4">'[53]C-data'!$F$6</definedName>
    <definedName name="__ma1" localSheetId="8">'[53]C-data'!$F$6</definedName>
    <definedName name="__ma1">#REF!</definedName>
    <definedName name="__ma2" localSheetId="21">#REF!</definedName>
    <definedName name="__ma2" localSheetId="9">#REF!</definedName>
    <definedName name="__ma2" localSheetId="4">#REF!</definedName>
    <definedName name="__ma2" localSheetId="8">#REF!</definedName>
    <definedName name="__ma2">#REF!</definedName>
    <definedName name="__man1" localSheetId="21">[41]m!$B$149</definedName>
    <definedName name="__man1" localSheetId="9">[41]m!$B$149</definedName>
    <definedName name="__man1" localSheetId="4">[41]m!$B$149</definedName>
    <definedName name="__man1" localSheetId="8">[41]m!$B$149</definedName>
    <definedName name="__man1">#REF!</definedName>
    <definedName name="__MIX124" localSheetId="21">[18]maya!$A$11:$A$18</definedName>
    <definedName name="__MIX124" localSheetId="9">[18]maya!$A$11:$A$18</definedName>
    <definedName name="__MIX124" localSheetId="4">[18]maya!$A$11:$A$18</definedName>
    <definedName name="__MIX124" localSheetId="8">[18]maya!$A$11:$A$18</definedName>
    <definedName name="__MIX124">#REF!</definedName>
    <definedName name="__ML11">#REF!</definedName>
    <definedName name="__ML110">#REF!</definedName>
    <definedName name="__ML111">#REF!</definedName>
    <definedName name="__ML112">#REF!</definedName>
    <definedName name="__ML113">#REF!</definedName>
    <definedName name="__ML114">#REF!</definedName>
    <definedName name="__ML115">#REF!</definedName>
    <definedName name="__ML12">#REF!</definedName>
    <definedName name="__ML13">#REF!</definedName>
    <definedName name="__ML14">#REF!</definedName>
    <definedName name="__ML15">#REF!</definedName>
    <definedName name="__ML16">#REF!</definedName>
    <definedName name="__ML17">#REF!</definedName>
    <definedName name="__ML18">#REF!</definedName>
    <definedName name="__ML19">#REF!</definedName>
    <definedName name="__ML21" localSheetId="21">#REF!</definedName>
    <definedName name="__ML21" localSheetId="9">#REF!</definedName>
    <definedName name="__ML21" localSheetId="4">#REF!</definedName>
    <definedName name="__ML21" localSheetId="8">#REF!</definedName>
    <definedName name="__ML21">#REF!</definedName>
    <definedName name="__ML210" localSheetId="21">#REF!</definedName>
    <definedName name="__ML210" localSheetId="9">#REF!</definedName>
    <definedName name="__ML210" localSheetId="4">#REF!</definedName>
    <definedName name="__ML210" localSheetId="8">#REF!</definedName>
    <definedName name="__ML210">#REF!</definedName>
    <definedName name="__ML211" localSheetId="21">#REF!</definedName>
    <definedName name="__ML211" localSheetId="9">#REF!</definedName>
    <definedName name="__ML211" localSheetId="4">#REF!</definedName>
    <definedName name="__ML211" localSheetId="8">#REF!</definedName>
    <definedName name="__ML211">#REF!</definedName>
    <definedName name="__ML212" localSheetId="21">#REF!</definedName>
    <definedName name="__ML212" localSheetId="9">#REF!</definedName>
    <definedName name="__ML212" localSheetId="4">#REF!</definedName>
    <definedName name="__ML212" localSheetId="8">#REF!</definedName>
    <definedName name="__ML212">#REF!</definedName>
    <definedName name="__ML213" localSheetId="21">#REF!</definedName>
    <definedName name="__ML213" localSheetId="9">#REF!</definedName>
    <definedName name="__ML213" localSheetId="4">#REF!</definedName>
    <definedName name="__ML213" localSheetId="8">#REF!</definedName>
    <definedName name="__ML213">#REF!</definedName>
    <definedName name="__ML214" localSheetId="21">#REF!</definedName>
    <definedName name="__ML214" localSheetId="9">#REF!</definedName>
    <definedName name="__ML214" localSheetId="4">#REF!</definedName>
    <definedName name="__ML214" localSheetId="8">#REF!</definedName>
    <definedName name="__ML214">#REF!</definedName>
    <definedName name="__ML215" localSheetId="21">#REF!</definedName>
    <definedName name="__ML215" localSheetId="9">#REF!</definedName>
    <definedName name="__ML215" localSheetId="4">#REF!</definedName>
    <definedName name="__ML215" localSheetId="8">#REF!</definedName>
    <definedName name="__ML215">#REF!</definedName>
    <definedName name="__ML216" localSheetId="4">#REF!</definedName>
    <definedName name="__ML216">#REF!</definedName>
    <definedName name="__ML217" localSheetId="4">#REF!</definedName>
    <definedName name="__ML217">#REF!</definedName>
    <definedName name="__ML218" localSheetId="4">#REF!</definedName>
    <definedName name="__ML218">#REF!</definedName>
    <definedName name="__ML219" localSheetId="4">#REF!</definedName>
    <definedName name="__ML219">#REF!</definedName>
    <definedName name="__ML22" localSheetId="21">#REF!</definedName>
    <definedName name="__ML22" localSheetId="9">#REF!</definedName>
    <definedName name="__ML22" localSheetId="4">#REF!</definedName>
    <definedName name="__ML22" localSheetId="8">#REF!</definedName>
    <definedName name="__ML22">#REF!</definedName>
    <definedName name="__ML220" localSheetId="4">#REF!</definedName>
    <definedName name="__ML220">#REF!</definedName>
    <definedName name="__ML221" localSheetId="4">#REF!</definedName>
    <definedName name="__ML221">#REF!</definedName>
    <definedName name="__ML222" localSheetId="4">#REF!</definedName>
    <definedName name="__ML222">#REF!</definedName>
    <definedName name="__ML223" localSheetId="4">#REF!</definedName>
    <definedName name="__ML223">#REF!</definedName>
    <definedName name="__ML224" localSheetId="4">#REF!</definedName>
    <definedName name="__ML224">#REF!</definedName>
    <definedName name="__ML23" localSheetId="21">#REF!</definedName>
    <definedName name="__ML23" localSheetId="9">#REF!</definedName>
    <definedName name="__ML23" localSheetId="4">#REF!</definedName>
    <definedName name="__ML23" localSheetId="8">#REF!</definedName>
    <definedName name="__ML23">#REF!</definedName>
    <definedName name="__ML24" localSheetId="21">#REF!</definedName>
    <definedName name="__ML24" localSheetId="9">#REF!</definedName>
    <definedName name="__ML24" localSheetId="4">#REF!</definedName>
    <definedName name="__ML24" localSheetId="8">#REF!</definedName>
    <definedName name="__ML24">#REF!</definedName>
    <definedName name="__ML25" localSheetId="21">#REF!</definedName>
    <definedName name="__ML25" localSheetId="9">#REF!</definedName>
    <definedName name="__ML25" localSheetId="4">#REF!</definedName>
    <definedName name="__ML25" localSheetId="8">#REF!</definedName>
    <definedName name="__ML25">#REF!</definedName>
    <definedName name="__ML26" localSheetId="21">#REF!</definedName>
    <definedName name="__ML26" localSheetId="9">#REF!</definedName>
    <definedName name="__ML26" localSheetId="4">#REF!</definedName>
    <definedName name="__ML26" localSheetId="8">#REF!</definedName>
    <definedName name="__ML26">#REF!</definedName>
    <definedName name="__ML27" localSheetId="21">#REF!</definedName>
    <definedName name="__ML27" localSheetId="9">#REF!</definedName>
    <definedName name="__ML27" localSheetId="4">#REF!</definedName>
    <definedName name="__ML27" localSheetId="8">#REF!</definedName>
    <definedName name="__ML27">#REF!</definedName>
    <definedName name="__ML28" localSheetId="21">#REF!</definedName>
    <definedName name="__ML28" localSheetId="9">#REF!</definedName>
    <definedName name="__ML28" localSheetId="4">#REF!</definedName>
    <definedName name="__ML28" localSheetId="8">#REF!</definedName>
    <definedName name="__ML28">#REF!</definedName>
    <definedName name="__ML29" localSheetId="21">#REF!</definedName>
    <definedName name="__ML29" localSheetId="9">#REF!</definedName>
    <definedName name="__ML29" localSheetId="4">#REF!</definedName>
    <definedName name="__ML29" localSheetId="8">#REF!</definedName>
    <definedName name="__ML29">#REF!</definedName>
    <definedName name="__ML31" localSheetId="21">#REF!</definedName>
    <definedName name="__ML31" localSheetId="9">#REF!</definedName>
    <definedName name="__ML31" localSheetId="4">#REF!</definedName>
    <definedName name="__ML31" localSheetId="8">#REF!</definedName>
    <definedName name="__ML31">#REF!</definedName>
    <definedName name="__ML310" localSheetId="21">#REF!</definedName>
    <definedName name="__ML310" localSheetId="9">#REF!</definedName>
    <definedName name="__ML310" localSheetId="4">#REF!</definedName>
    <definedName name="__ML310" localSheetId="8">#REF!</definedName>
    <definedName name="__ML310">#REF!</definedName>
    <definedName name="__ML311" localSheetId="21">#REF!</definedName>
    <definedName name="__ML311" localSheetId="9">#REF!</definedName>
    <definedName name="__ML311" localSheetId="4">#REF!</definedName>
    <definedName name="__ML311" localSheetId="8">#REF!</definedName>
    <definedName name="__ML311">#REF!</definedName>
    <definedName name="__ML312" localSheetId="21">#REF!</definedName>
    <definedName name="__ML312" localSheetId="9">#REF!</definedName>
    <definedName name="__ML312" localSheetId="4">#REF!</definedName>
    <definedName name="__ML312" localSheetId="8">#REF!</definedName>
    <definedName name="__ML312">#REF!</definedName>
    <definedName name="__ML313" localSheetId="21">#REF!</definedName>
    <definedName name="__ML313" localSheetId="9">#REF!</definedName>
    <definedName name="__ML313" localSheetId="4">#REF!</definedName>
    <definedName name="__ML313" localSheetId="8">#REF!</definedName>
    <definedName name="__ML313">#REF!</definedName>
    <definedName name="__ML314" localSheetId="21">#REF!</definedName>
    <definedName name="__ML314" localSheetId="9">#REF!</definedName>
    <definedName name="__ML314" localSheetId="4">#REF!</definedName>
    <definedName name="__ML314" localSheetId="8">#REF!</definedName>
    <definedName name="__ML314">#REF!</definedName>
    <definedName name="__ML315" localSheetId="21">#REF!</definedName>
    <definedName name="__ML315" localSheetId="9">#REF!</definedName>
    <definedName name="__ML315" localSheetId="4">#REF!</definedName>
    <definedName name="__ML315" localSheetId="8">#REF!</definedName>
    <definedName name="__ML315">#REF!</definedName>
    <definedName name="__ML316" localSheetId="4">#REF!</definedName>
    <definedName name="__ML316">#REF!</definedName>
    <definedName name="__ML317" localSheetId="4">#REF!</definedName>
    <definedName name="__ML317">#REF!</definedName>
    <definedName name="__ML318" localSheetId="4">#REF!</definedName>
    <definedName name="__ML318">#REF!</definedName>
    <definedName name="__ML319" localSheetId="4">#REF!</definedName>
    <definedName name="__ML319">#REF!</definedName>
    <definedName name="__ML32" localSheetId="21">#REF!</definedName>
    <definedName name="__ML32" localSheetId="9">#REF!</definedName>
    <definedName name="__ML32" localSheetId="4">#REF!</definedName>
    <definedName name="__ML32" localSheetId="8">#REF!</definedName>
    <definedName name="__ML32">#REF!</definedName>
    <definedName name="__ML320" localSheetId="4">#REF!</definedName>
    <definedName name="__ML320">#REF!</definedName>
    <definedName name="__ML321" localSheetId="4">#REF!</definedName>
    <definedName name="__ML321">#REF!</definedName>
    <definedName name="__ML322" localSheetId="4">#REF!</definedName>
    <definedName name="__ML322">#REF!</definedName>
    <definedName name="__ML323" localSheetId="4">#REF!</definedName>
    <definedName name="__ML323">#REF!</definedName>
    <definedName name="__ML324" localSheetId="4">#REF!</definedName>
    <definedName name="__ML324">#REF!</definedName>
    <definedName name="__ML33" localSheetId="21">#REF!</definedName>
    <definedName name="__ML33" localSheetId="9">#REF!</definedName>
    <definedName name="__ML33" localSheetId="4">#REF!</definedName>
    <definedName name="__ML33" localSheetId="8">#REF!</definedName>
    <definedName name="__ML33">#REF!</definedName>
    <definedName name="__ML34" localSheetId="21">#REF!</definedName>
    <definedName name="__ML34" localSheetId="9">#REF!</definedName>
    <definedName name="__ML34" localSheetId="4">#REF!</definedName>
    <definedName name="__ML34" localSheetId="8">#REF!</definedName>
    <definedName name="__ML34">#REF!</definedName>
    <definedName name="__ML35" localSheetId="21">#REF!</definedName>
    <definedName name="__ML35" localSheetId="9">#REF!</definedName>
    <definedName name="__ML35" localSheetId="4">#REF!</definedName>
    <definedName name="__ML35" localSheetId="8">#REF!</definedName>
    <definedName name="__ML35">#REF!</definedName>
    <definedName name="__ML36" localSheetId="21">#REF!</definedName>
    <definedName name="__ML36" localSheetId="9">#REF!</definedName>
    <definedName name="__ML36" localSheetId="4">#REF!</definedName>
    <definedName name="__ML36" localSheetId="8">#REF!</definedName>
    <definedName name="__ML36">#REF!</definedName>
    <definedName name="__ML37" localSheetId="21">#REF!</definedName>
    <definedName name="__ML37" localSheetId="9">#REF!</definedName>
    <definedName name="__ML37" localSheetId="4">#REF!</definedName>
    <definedName name="__ML37" localSheetId="8">#REF!</definedName>
    <definedName name="__ML37">#REF!</definedName>
    <definedName name="__ML38" localSheetId="21">#REF!</definedName>
    <definedName name="__ML38" localSheetId="9">#REF!</definedName>
    <definedName name="__ML38" localSheetId="4">#REF!</definedName>
    <definedName name="__ML38" localSheetId="8">#REF!</definedName>
    <definedName name="__ML38">#REF!</definedName>
    <definedName name="__ML39" localSheetId="21">#REF!</definedName>
    <definedName name="__ML39" localSheetId="9">#REF!</definedName>
    <definedName name="__ML39" localSheetId="4">#REF!</definedName>
    <definedName name="__ML39" localSheetId="8">#REF!</definedName>
    <definedName name="__ML39">#REF!</definedName>
    <definedName name="__ML7" localSheetId="21">#REF!</definedName>
    <definedName name="__ML7" localSheetId="9">#REF!</definedName>
    <definedName name="__ML7" localSheetId="4">#REF!</definedName>
    <definedName name="__ML7" localSheetId="8">#REF!</definedName>
    <definedName name="__ML7">#REF!</definedName>
    <definedName name="__ML8" localSheetId="21">#REF!</definedName>
    <definedName name="__ML8" localSheetId="9">#REF!</definedName>
    <definedName name="__ML8" localSheetId="4">#REF!</definedName>
    <definedName name="__ML8" localSheetId="8">#REF!</definedName>
    <definedName name="__ML8">#REF!</definedName>
    <definedName name="__ML9" localSheetId="21">#REF!</definedName>
    <definedName name="__ML9" localSheetId="9">#REF!</definedName>
    <definedName name="__ML9" localSheetId="4">#REF!</definedName>
    <definedName name="__ML9" localSheetId="8">#REF!</definedName>
    <definedName name="__ML9">#REF!</definedName>
    <definedName name="__mm1" localSheetId="21">[37]r!$F$4</definedName>
    <definedName name="__mm1" localSheetId="9">[37]r!$F$4</definedName>
    <definedName name="__mm1" localSheetId="4">[31]r!$F$4</definedName>
    <definedName name="__mm1" localSheetId="8">[37]r!$F$4</definedName>
    <definedName name="__mm1" localSheetId="7">#REF!</definedName>
    <definedName name="__mm1">#REF!</definedName>
    <definedName name="__mm11" localSheetId="21">[13]r!$F$4</definedName>
    <definedName name="__mm11" localSheetId="9">[13]r!$F$4</definedName>
    <definedName name="__mm11" localSheetId="4">[13]r!$F$4</definedName>
    <definedName name="__mm11" localSheetId="8">[13]r!$F$4</definedName>
    <definedName name="__mm11">#REF!</definedName>
    <definedName name="__mm111" localSheetId="21">[14]r!$F$4</definedName>
    <definedName name="__mm111" localSheetId="9">[14]r!$F$4</definedName>
    <definedName name="__mm111" localSheetId="4">[14]r!$F$4</definedName>
    <definedName name="__mm111" localSheetId="8">[14]r!$F$4</definedName>
    <definedName name="__mm111">#REF!</definedName>
    <definedName name="__mm2" localSheetId="21">[45]r!$F$4</definedName>
    <definedName name="__mm2" localSheetId="9">[45]r!$F$4</definedName>
    <definedName name="__mm2" localSheetId="4">[45]r!$F$4</definedName>
    <definedName name="__mm2" localSheetId="8">[45]r!$F$4</definedName>
    <definedName name="__mm2">#REF!</definedName>
    <definedName name="__mm20" localSheetId="21">#REF!</definedName>
    <definedName name="__mm20" localSheetId="9">#REF!</definedName>
    <definedName name="__mm20" localSheetId="4">#REF!</definedName>
    <definedName name="__mm20" localSheetId="8">#REF!</definedName>
    <definedName name="__mm20" localSheetId="7">#REF!</definedName>
    <definedName name="__mm20">#REF!</definedName>
    <definedName name="__mm40" localSheetId="21">#REF!</definedName>
    <definedName name="__mm40" localSheetId="9">#REF!</definedName>
    <definedName name="__mm40" localSheetId="4">#REF!</definedName>
    <definedName name="__mm40" localSheetId="8">#REF!</definedName>
    <definedName name="__mm40" localSheetId="7">#REF!</definedName>
    <definedName name="__mm40">#REF!</definedName>
    <definedName name="__np3">#REF!</definedName>
    <definedName name="__PC1" localSheetId="4">#REF!</definedName>
    <definedName name="__PC1">#REF!</definedName>
    <definedName name="__PC10" localSheetId="4">#REF!</definedName>
    <definedName name="__PC10">#REF!</definedName>
    <definedName name="__PC11" localSheetId="4">#REF!</definedName>
    <definedName name="__PC11">#REF!</definedName>
    <definedName name="__PC12" localSheetId="4">#REF!</definedName>
    <definedName name="__PC12">#REF!</definedName>
    <definedName name="__PC13" localSheetId="4">#REF!</definedName>
    <definedName name="__PC13">#REF!</definedName>
    <definedName name="__PC14" localSheetId="4">#REF!</definedName>
    <definedName name="__PC14">#REF!</definedName>
    <definedName name="__PC15" localSheetId="4">#REF!</definedName>
    <definedName name="__PC15">#REF!</definedName>
    <definedName name="__PC16" localSheetId="4">#REF!</definedName>
    <definedName name="__PC16">#REF!</definedName>
    <definedName name="__PC17" localSheetId="4">#REF!</definedName>
    <definedName name="__PC17">#REF!</definedName>
    <definedName name="__PC18" localSheetId="4">#REF!</definedName>
    <definedName name="__PC18">#REF!</definedName>
    <definedName name="__PC19" localSheetId="4">#REF!</definedName>
    <definedName name="__PC19">#REF!</definedName>
    <definedName name="__pc2" localSheetId="21">#REF!</definedName>
    <definedName name="__pc2" localSheetId="9">#REF!</definedName>
    <definedName name="__pc2" localSheetId="4">#REF!</definedName>
    <definedName name="__pc2" localSheetId="10">#REF!</definedName>
    <definedName name="__pc2" localSheetId="8">#REF!</definedName>
    <definedName name="__pc2" localSheetId="7">#REF!</definedName>
    <definedName name="__pc2">#REF!</definedName>
    <definedName name="__PC20" localSheetId="4">#REF!</definedName>
    <definedName name="__PC20">#REF!</definedName>
    <definedName name="__PC21" localSheetId="4">#REF!</definedName>
    <definedName name="__PC21">#REF!</definedName>
    <definedName name="__PC22" localSheetId="4">#REF!</definedName>
    <definedName name="__PC22">#REF!</definedName>
    <definedName name="__PC23" localSheetId="4">#REF!</definedName>
    <definedName name="__PC23">#REF!</definedName>
    <definedName name="__PC24" localSheetId="4">#REF!</definedName>
    <definedName name="__PC24">#REF!</definedName>
    <definedName name="__PC3" localSheetId="4">#REF!</definedName>
    <definedName name="__PC3">#REF!</definedName>
    <definedName name="__PC4" localSheetId="4">#REF!</definedName>
    <definedName name="__PC4">#REF!</definedName>
    <definedName name="__PC5" localSheetId="4">#REF!</definedName>
    <definedName name="__PC5">#REF!</definedName>
    <definedName name="__PC6" localSheetId="4">#REF!</definedName>
    <definedName name="__PC6">#REF!</definedName>
    <definedName name="__pc600" localSheetId="4">#REF!</definedName>
    <definedName name="__pc600">#REF!</definedName>
    <definedName name="__PC7" localSheetId="4">#REF!</definedName>
    <definedName name="__PC7">#REF!</definedName>
    <definedName name="__PC8" localSheetId="4">#REF!</definedName>
    <definedName name="__PC8">#REF!</definedName>
    <definedName name="__PC9" localSheetId="4">#REF!</definedName>
    <definedName name="__PC9">#REF!</definedName>
    <definedName name="__pc900" localSheetId="4">#REF!</definedName>
    <definedName name="__pc900">#REF!</definedName>
    <definedName name="__pi1">#REF!</definedName>
    <definedName name="__pla4" localSheetId="21">[46]DATA_PRG!$H$269</definedName>
    <definedName name="__pla4" localSheetId="9">[46]DATA_PRG!$H$269</definedName>
    <definedName name="__pla4" localSheetId="4">[46]DATA_PRG!$H$269</definedName>
    <definedName name="__pla4" localSheetId="8">[46]DATA_PRG!$H$269</definedName>
    <definedName name="__pla4">#REF!</definedName>
    <definedName name="__PMS2">#REF!</definedName>
    <definedName name="__psc10006">#REF!</definedName>
    <definedName name="__psc10008">#REF!</definedName>
    <definedName name="__psc3506">#REF!</definedName>
    <definedName name="__psc3508">#REF!</definedName>
    <definedName name="__psc4006">#REF!</definedName>
    <definedName name="__psc4008">#REF!</definedName>
    <definedName name="__psc4506">#REF!</definedName>
    <definedName name="__psc4508">#REF!</definedName>
    <definedName name="__psc5006">#REF!</definedName>
    <definedName name="__psc5008">#REF!</definedName>
    <definedName name="__psc6006">#REF!</definedName>
    <definedName name="__psc6008">#REF!</definedName>
    <definedName name="__psc7006">#REF!</definedName>
    <definedName name="__psc7008">#REF!</definedName>
    <definedName name="__psc8006">#REF!</definedName>
    <definedName name="__psc8008">#REF!</definedName>
    <definedName name="__psc9006">#REF!</definedName>
    <definedName name="__psc9008">#REF!</definedName>
    <definedName name="__pv2" localSheetId="21">#REF!</definedName>
    <definedName name="__pv2" localSheetId="9">#REF!</definedName>
    <definedName name="__pv2" localSheetId="4">#REF!</definedName>
    <definedName name="__pv2" localSheetId="10">#REF!</definedName>
    <definedName name="__pv2" localSheetId="8">#REF!</definedName>
    <definedName name="__pv2" localSheetId="7">#REF!</definedName>
    <definedName name="__pv2">#REF!</definedName>
    <definedName name="__RF1">#REF!</definedName>
    <definedName name="__RF10">#REF!</definedName>
    <definedName name="__RF11">#REF!</definedName>
    <definedName name="__RF12">#REF!</definedName>
    <definedName name="__RF2">#REF!</definedName>
    <definedName name="__RF3">#REF!</definedName>
    <definedName name="__RF4">#REF!</definedName>
    <definedName name="__RF5">#REF!</definedName>
    <definedName name="__RF6">#REF!</definedName>
    <definedName name="__RF7">#REF!</definedName>
    <definedName name="__RF8">#REF!</definedName>
    <definedName name="__RF9">#REF!</definedName>
    <definedName name="__rr3" localSheetId="21">[38]v!$A$2:$E$51</definedName>
    <definedName name="__rr3" localSheetId="9">[38]v!$A$2:$E$51</definedName>
    <definedName name="__rr3" localSheetId="4">[32]v!$A$2:$E$51</definedName>
    <definedName name="__rr3" localSheetId="8">[38]v!$A$2:$E$51</definedName>
    <definedName name="__rr3" localSheetId="7">#REF!</definedName>
    <definedName name="__rr3">#REF!</definedName>
    <definedName name="__rrr1" localSheetId="21">[38]r!$B$1:$I$145</definedName>
    <definedName name="__rrr1" localSheetId="9">[38]r!$B$1:$I$145</definedName>
    <definedName name="__rrr1" localSheetId="4">[32]r!$B$1:$I$145</definedName>
    <definedName name="__rrr1" localSheetId="8">[38]r!$B$1:$I$145</definedName>
    <definedName name="__rrr1" localSheetId="7">#REF!</definedName>
    <definedName name="__rrr1">#REF!</definedName>
    <definedName name="__sd1" localSheetId="21">[41]m!$D$149</definedName>
    <definedName name="__sd1" localSheetId="9">[41]m!$D$149</definedName>
    <definedName name="__sd1" localSheetId="4">[41]m!$D$149</definedName>
    <definedName name="__sd1" localSheetId="8">[41]m!$D$149</definedName>
    <definedName name="__sd1">#REF!</definedName>
    <definedName name="__sp1" localSheetId="4">#REF!</definedName>
    <definedName name="__sp1">#REF!</definedName>
    <definedName name="__SP10" localSheetId="21">[47]Sheet1!$C$18</definedName>
    <definedName name="__SP10" localSheetId="9">[47]Sheet1!$C$18</definedName>
    <definedName name="__SP10" localSheetId="4">[47]Sheet1!$C$18</definedName>
    <definedName name="__SP10" localSheetId="8">[47]Sheet1!$C$18</definedName>
    <definedName name="__SP10">#REF!</definedName>
    <definedName name="__sp11" localSheetId="4">#REF!</definedName>
    <definedName name="__sp11">#REF!</definedName>
    <definedName name="__sp12" localSheetId="4">#REF!</definedName>
    <definedName name="__sp12">#REF!</definedName>
    <definedName name="__sp13" localSheetId="4">#REF!</definedName>
    <definedName name="__sp13">#REF!</definedName>
    <definedName name="__sp14" localSheetId="4">#REF!</definedName>
    <definedName name="__sp14">#REF!</definedName>
    <definedName name="__sp15" localSheetId="4">#REF!</definedName>
    <definedName name="__sp15">#REF!</definedName>
    <definedName name="__SP16" localSheetId="21">[47]Sheet1!$C$24</definedName>
    <definedName name="__SP16" localSheetId="9">[47]Sheet1!$C$24</definedName>
    <definedName name="__SP16" localSheetId="4">[47]Sheet1!$C$24</definedName>
    <definedName name="__SP16" localSheetId="8">[47]Sheet1!$C$24</definedName>
    <definedName name="__SP16">#REF!</definedName>
    <definedName name="__sp17" localSheetId="4">#REF!</definedName>
    <definedName name="__sp17">#REF!</definedName>
    <definedName name="__sp18" localSheetId="4">#REF!</definedName>
    <definedName name="__sp18">#REF!</definedName>
    <definedName name="__sp19" localSheetId="4">#REF!</definedName>
    <definedName name="__sp19">#REF!</definedName>
    <definedName name="__sp2" localSheetId="4">#REF!</definedName>
    <definedName name="__sp2">#REF!</definedName>
    <definedName name="__sp20" localSheetId="4">#REF!</definedName>
    <definedName name="__sp20">#REF!</definedName>
    <definedName name="__sp21" localSheetId="4">#REF!</definedName>
    <definedName name="__sp21">#REF!</definedName>
    <definedName name="__sp22" localSheetId="4">#REF!</definedName>
    <definedName name="__sp22">#REF!</definedName>
    <definedName name="__sp23" localSheetId="4">#REF!</definedName>
    <definedName name="__sp23">#REF!</definedName>
    <definedName name="__SP7" localSheetId="21">[47]Sheet1!$C$15</definedName>
    <definedName name="__SP7" localSheetId="9">[47]Sheet1!$C$15</definedName>
    <definedName name="__SP7" localSheetId="4">[47]Sheet1!$C$15</definedName>
    <definedName name="__SP7" localSheetId="8">[47]Sheet1!$C$15</definedName>
    <definedName name="__SP7">#REF!</definedName>
    <definedName name="__ss12" localSheetId="21">[39]rdamdata!$J$8</definedName>
    <definedName name="__ss12" localSheetId="9">[39]rdamdata!$J$8</definedName>
    <definedName name="__ss12" localSheetId="4">[33]rdamdata!$J$8</definedName>
    <definedName name="__ss12" localSheetId="8">[39]rdamdata!$J$8</definedName>
    <definedName name="__ss12" localSheetId="7">#REF!</definedName>
    <definedName name="__ss12">#REF!</definedName>
    <definedName name="__ss20" localSheetId="21">[39]rdamdata!$J$7</definedName>
    <definedName name="__ss20" localSheetId="9">[39]rdamdata!$J$7</definedName>
    <definedName name="__ss20" localSheetId="4">[33]rdamdata!$J$7</definedName>
    <definedName name="__ss20" localSheetId="8">[39]rdamdata!$J$7</definedName>
    <definedName name="__ss20" localSheetId="7">#REF!</definedName>
    <definedName name="__ss20">#REF!</definedName>
    <definedName name="__ss40" localSheetId="21">[39]rdamdata!$J$6</definedName>
    <definedName name="__ss40" localSheetId="9">[39]rdamdata!$J$6</definedName>
    <definedName name="__ss40" localSheetId="4">[33]rdamdata!$J$6</definedName>
    <definedName name="__ss40" localSheetId="8">[39]rdamdata!$J$6</definedName>
    <definedName name="__ss40" localSheetId="7">#REF!</definedName>
    <definedName name="__ss40">#REF!</definedName>
    <definedName name="__tl2">#REF!</definedName>
    <definedName name="__tl3">#REF!</definedName>
    <definedName name="__tl4">#REF!</definedName>
    <definedName name="__tl5">#REF!</definedName>
    <definedName name="__tw2" localSheetId="21">'[53]C-data'!$F$90</definedName>
    <definedName name="__tw2" localSheetId="9">'[53]C-data'!$F$90</definedName>
    <definedName name="__tw2" localSheetId="4">'[53]C-data'!$F$90</definedName>
    <definedName name="__tw2" localSheetId="8">'[53]C-data'!$F$90</definedName>
    <definedName name="__tw2">#REF!</definedName>
    <definedName name="__var1" localSheetId="21">#REF!</definedName>
    <definedName name="__var1" localSheetId="9">#REF!</definedName>
    <definedName name="__var1" localSheetId="4">#REF!</definedName>
    <definedName name="__var1" localSheetId="10">#REF!</definedName>
    <definedName name="__var1" localSheetId="8">#REF!</definedName>
    <definedName name="__var1" localSheetId="7">#REF!</definedName>
    <definedName name="__var1">#REF!</definedName>
    <definedName name="__var4" localSheetId="21">#REF!</definedName>
    <definedName name="__var4" localSheetId="9">#REF!</definedName>
    <definedName name="__var4" localSheetId="4">#REF!</definedName>
    <definedName name="__var4" localSheetId="10">#REF!</definedName>
    <definedName name="__var4" localSheetId="8">#REF!</definedName>
    <definedName name="__var4" localSheetId="7">#REF!</definedName>
    <definedName name="__var4">#REF!</definedName>
    <definedName name="__vat1" localSheetId="21">#REF!</definedName>
    <definedName name="__vat1" localSheetId="9">#REF!</definedName>
    <definedName name="__vat1" localSheetId="4">#REF!</definedName>
    <definedName name="__vat1" localSheetId="8">#REF!</definedName>
    <definedName name="__vat1" localSheetId="7">#REF!</definedName>
    <definedName name="__vat1">#REF!</definedName>
    <definedName name="__vat2" localSheetId="21">#REF!</definedName>
    <definedName name="__vat2" localSheetId="9">#REF!</definedName>
    <definedName name="__vat2" localSheetId="4">#REF!</definedName>
    <definedName name="__vat2" localSheetId="8">#REF!</definedName>
    <definedName name="__vat2" localSheetId="7">#REF!</definedName>
    <definedName name="__vat2">#REF!</definedName>
    <definedName name="__xcc1153">#REF!</definedName>
    <definedName name="__xcc124">#REF!</definedName>
    <definedName name="__xcc136">#REF!</definedName>
    <definedName name="__xcc148">#REF!</definedName>
    <definedName name="__xcc1510">#REF!</definedName>
    <definedName name="__xcm16">#REF!</definedName>
    <definedName name="__xh11010">#REF!</definedName>
    <definedName name="__xh1104">#REF!</definedName>
    <definedName name="__xh1106">#REF!</definedName>
    <definedName name="__xh1108">#REF!</definedName>
    <definedName name="__xh12510">#REF!</definedName>
    <definedName name="__xh1254">#REF!</definedName>
    <definedName name="__xh1256">#REF!</definedName>
    <definedName name="__xh1258">#REF!</definedName>
    <definedName name="__xh14010">#REF!</definedName>
    <definedName name="__xh1404">#REF!</definedName>
    <definedName name="__xh1406">#REF!</definedName>
    <definedName name="__xh1408">#REF!</definedName>
    <definedName name="__xh16010">#REF!</definedName>
    <definedName name="__xh1604">#REF!</definedName>
    <definedName name="__xh1606">#REF!</definedName>
    <definedName name="__xh1608">#REF!</definedName>
    <definedName name="__xh18010">#REF!</definedName>
    <definedName name="__xh1804">#REF!</definedName>
    <definedName name="__xh1806">#REF!</definedName>
    <definedName name="__xh1808">#REF!</definedName>
    <definedName name="__xh20010">#REF!</definedName>
    <definedName name="__xh2004">#REF!</definedName>
    <definedName name="__xh2006">#REF!</definedName>
    <definedName name="__xh2008">#REF!</definedName>
    <definedName name="__xh22510">#REF!</definedName>
    <definedName name="__xh2254">#REF!</definedName>
    <definedName name="__xh2256" localSheetId="21">[40]HDPE!$L$30</definedName>
    <definedName name="__xh2256" localSheetId="9">[40]HDPE!$L$30</definedName>
    <definedName name="__xh2256" localSheetId="4">[40]HDPE!$L$30</definedName>
    <definedName name="__xh2256" localSheetId="8">[40]HDPE!$L$30</definedName>
    <definedName name="__xh2256">#REF!</definedName>
    <definedName name="__xh2258">#REF!</definedName>
    <definedName name="__xh25010">#REF!</definedName>
    <definedName name="__xh2504">#REF!</definedName>
    <definedName name="__xh2506" localSheetId="21">[40]HDPE!$M$30</definedName>
    <definedName name="__xh2506" localSheetId="9">[40]HDPE!$M$30</definedName>
    <definedName name="__xh2506" localSheetId="4">[40]HDPE!$M$30</definedName>
    <definedName name="__xh2506" localSheetId="8">[40]HDPE!$M$30</definedName>
    <definedName name="__xh2506">#REF!</definedName>
    <definedName name="__xh2508">#REF!</definedName>
    <definedName name="__xh28010">#REF!</definedName>
    <definedName name="__xh2804">#REF!</definedName>
    <definedName name="__xh2806" localSheetId="21">[40]HDPE!$N$30</definedName>
    <definedName name="__xh2806" localSheetId="9">[40]HDPE!$N$30</definedName>
    <definedName name="__xh2806" localSheetId="4">[40]HDPE!$N$30</definedName>
    <definedName name="__xh2806" localSheetId="8">[40]HDPE!$N$30</definedName>
    <definedName name="__xh2806">#REF!</definedName>
    <definedName name="__xh2808">#REF!</definedName>
    <definedName name="__xh31510">#REF!</definedName>
    <definedName name="__xh3154">#REF!</definedName>
    <definedName name="__xh3156" localSheetId="21">[40]HDPE!$O$30</definedName>
    <definedName name="__xh3156" localSheetId="9">[40]HDPE!$O$30</definedName>
    <definedName name="__xh3156" localSheetId="4">[40]HDPE!$O$30</definedName>
    <definedName name="__xh3156" localSheetId="8">[40]HDPE!$O$30</definedName>
    <definedName name="__xh3156">#REF!</definedName>
    <definedName name="__xh3158">#REF!</definedName>
    <definedName name="__xh3554">#REF!</definedName>
    <definedName name="__xh3556">#REF!</definedName>
    <definedName name="__xh6310">#REF!</definedName>
    <definedName name="__xh634" localSheetId="21">[40]HDPE!$C$16</definedName>
    <definedName name="__xh634" localSheetId="9">[40]HDPE!$C$16</definedName>
    <definedName name="__xh634" localSheetId="4">[40]HDPE!$C$16</definedName>
    <definedName name="__xh634" localSheetId="8">[40]HDPE!$C$16</definedName>
    <definedName name="__xh634">#REF!</definedName>
    <definedName name="__xh636">#REF!</definedName>
    <definedName name="__xh638">#REF!</definedName>
    <definedName name="__xh7510">#REF!</definedName>
    <definedName name="__xh754">#REF!</definedName>
    <definedName name="__xh756">#REF!</definedName>
    <definedName name="__xh758">#REF!</definedName>
    <definedName name="__xh9010">#REF!</definedName>
    <definedName name="__xh904">#REF!</definedName>
    <definedName name="__xh906">#REF!</definedName>
    <definedName name="__xh908">#REF!</definedName>
    <definedName name="__xk7100" localSheetId="21">[40]DI!$C$37</definedName>
    <definedName name="__xk7100" localSheetId="9">[40]DI!$C$37</definedName>
    <definedName name="__xk7100" localSheetId="4">[40]DI!$C$37</definedName>
    <definedName name="__xk7100" localSheetId="8">[40]DI!$C$37</definedName>
    <definedName name="__xk7100">#REF!</definedName>
    <definedName name="__xk7150" localSheetId="21">[40]DI!$D$37</definedName>
    <definedName name="__xk7150" localSheetId="9">[40]DI!$D$37</definedName>
    <definedName name="__xk7150" localSheetId="4">[40]DI!$D$37</definedName>
    <definedName name="__xk7150" localSheetId="8">[40]DI!$D$37</definedName>
    <definedName name="__xk7150">#REF!</definedName>
    <definedName name="__xk7200">#REF!</definedName>
    <definedName name="__xk7250" localSheetId="21">[40]DI!$F$37</definedName>
    <definedName name="__xk7250" localSheetId="9">[40]DI!$F$37</definedName>
    <definedName name="__xk7250" localSheetId="4">[40]DI!$F$37</definedName>
    <definedName name="__xk7250" localSheetId="8">[40]DI!$F$37</definedName>
    <definedName name="__xk7250">#REF!</definedName>
    <definedName name="__xk7300" localSheetId="21">[40]DI!$G$37</definedName>
    <definedName name="__xk7300" localSheetId="9">[40]DI!$G$37</definedName>
    <definedName name="__xk7300" localSheetId="4">[40]DI!$G$37</definedName>
    <definedName name="__xk7300" localSheetId="8">[40]DI!$G$37</definedName>
    <definedName name="__xk7300">#REF!</definedName>
    <definedName name="__xk7350">#REF!</definedName>
    <definedName name="__xk7400">#REF!</definedName>
    <definedName name="__xk7450">#REF!</definedName>
    <definedName name="__xk7500">#REF!</definedName>
    <definedName name="__xk7600">#REF!</definedName>
    <definedName name="__xk9100">#REF!</definedName>
    <definedName name="__xk91000">#REF!</definedName>
    <definedName name="__xk9150">#REF!</definedName>
    <definedName name="__xk9200">#REF!</definedName>
    <definedName name="__xk9250">#REF!</definedName>
    <definedName name="__xk9300">#REF!</definedName>
    <definedName name="__xk9350">#REF!</definedName>
    <definedName name="__xk9400">#REF!</definedName>
    <definedName name="__xk9450">#REF!</definedName>
    <definedName name="__xk9500">#REF!</definedName>
    <definedName name="__xk9600">#REF!</definedName>
    <definedName name="__xk9700">#REF!</definedName>
    <definedName name="__xk9750">#REF!</definedName>
    <definedName name="__xk9800">#REF!</definedName>
    <definedName name="__xk9900">#REF!</definedName>
    <definedName name="__xp11010" localSheetId="21">[40]pvc!$F$61</definedName>
    <definedName name="__xp11010" localSheetId="9">[40]pvc!$F$61</definedName>
    <definedName name="__xp11010" localSheetId="4">[40]pvc!$F$61</definedName>
    <definedName name="__xp11010" localSheetId="8">[40]pvc!$F$61</definedName>
    <definedName name="__xp11010">#REF!</definedName>
    <definedName name="__xp1104" localSheetId="21">[40]pvc!$F$31</definedName>
    <definedName name="__xp1104" localSheetId="9">[40]pvc!$F$31</definedName>
    <definedName name="__xp1104" localSheetId="4">[40]pvc!$F$31</definedName>
    <definedName name="__xp1104" localSheetId="8">[40]pvc!$F$31</definedName>
    <definedName name="__xp1104">#REF!</definedName>
    <definedName name="__xp1106" localSheetId="21">[40]pvc!$F$46</definedName>
    <definedName name="__xp1106" localSheetId="9">[40]pvc!$F$46</definedName>
    <definedName name="__xp1106" localSheetId="4">[40]pvc!$F$46</definedName>
    <definedName name="__xp1106" localSheetId="8">[40]pvc!$F$46</definedName>
    <definedName name="__xp1106">#REF!</definedName>
    <definedName name="__xp12510">#REF!</definedName>
    <definedName name="__xp1254" localSheetId="21">[40]pvc!$G$31</definedName>
    <definedName name="__xp1254" localSheetId="9">[40]pvc!$G$31</definedName>
    <definedName name="__xp1254" localSheetId="4">[40]pvc!$G$31</definedName>
    <definedName name="__xp1254" localSheetId="8">[40]pvc!$G$31</definedName>
    <definedName name="__xp1254">#REF!</definedName>
    <definedName name="__xp1256" localSheetId="21">[40]pvc!$G$46</definedName>
    <definedName name="__xp1256" localSheetId="9">[40]pvc!$G$46</definedName>
    <definedName name="__xp1256" localSheetId="4">[40]pvc!$G$46</definedName>
    <definedName name="__xp1256" localSheetId="8">[40]pvc!$G$46</definedName>
    <definedName name="__xp1256">#REF!</definedName>
    <definedName name="__xp14010" localSheetId="21">[40]pvc!$H$61</definedName>
    <definedName name="__xp14010" localSheetId="9">[40]pvc!$H$61</definedName>
    <definedName name="__xp14010" localSheetId="4">[40]pvc!$H$61</definedName>
    <definedName name="__xp14010" localSheetId="8">[40]pvc!$H$61</definedName>
    <definedName name="__xp14010">#REF!</definedName>
    <definedName name="__xp1404" localSheetId="21">[40]pvc!$H$31</definedName>
    <definedName name="__xp1404" localSheetId="9">[40]pvc!$H$31</definedName>
    <definedName name="__xp1404" localSheetId="4">[40]pvc!$H$31</definedName>
    <definedName name="__xp1404" localSheetId="8">[40]pvc!$H$31</definedName>
    <definedName name="__xp1404">#REF!</definedName>
    <definedName name="__xp1406" localSheetId="21">[40]pvc!$H$46</definedName>
    <definedName name="__xp1406" localSheetId="9">[40]pvc!$H$46</definedName>
    <definedName name="__xp1406" localSheetId="4">[40]pvc!$H$46</definedName>
    <definedName name="__xp1406" localSheetId="8">[40]pvc!$H$46</definedName>
    <definedName name="__xp1406">#REF!</definedName>
    <definedName name="__xp16010">#REF!</definedName>
    <definedName name="__xp1604" localSheetId="21">[40]pvc!$I$31</definedName>
    <definedName name="__xp1604" localSheetId="9">[40]pvc!$I$31</definedName>
    <definedName name="__xp1604" localSheetId="4">[40]pvc!$I$31</definedName>
    <definedName name="__xp1604" localSheetId="8">[40]pvc!$I$31</definedName>
    <definedName name="__xp1604">#REF!</definedName>
    <definedName name="__xp1606" localSheetId="21">[40]pvc!$I$46</definedName>
    <definedName name="__xp1606" localSheetId="9">[40]pvc!$I$46</definedName>
    <definedName name="__xp1606" localSheetId="4">[40]pvc!$I$46</definedName>
    <definedName name="__xp1606" localSheetId="8">[40]pvc!$I$46</definedName>
    <definedName name="__xp1606">#REF!</definedName>
    <definedName name="__xp18010">#REF!</definedName>
    <definedName name="__xp1804" localSheetId="21">[40]pvc!$J$31</definedName>
    <definedName name="__xp1804" localSheetId="9">[40]pvc!$J$31</definedName>
    <definedName name="__xp1804" localSheetId="4">[40]pvc!$J$31</definedName>
    <definedName name="__xp1804" localSheetId="8">[40]pvc!$J$31</definedName>
    <definedName name="__xp1804">#REF!</definedName>
    <definedName name="__xp1806" localSheetId="21">[40]pvc!$J$46</definedName>
    <definedName name="__xp1806" localSheetId="9">[40]pvc!$J$46</definedName>
    <definedName name="__xp1806" localSheetId="4">[40]pvc!$J$46</definedName>
    <definedName name="__xp1806" localSheetId="8">[40]pvc!$J$46</definedName>
    <definedName name="__xp1806">#REF!</definedName>
    <definedName name="__xp20010">#REF!</definedName>
    <definedName name="__xp2004">#REF!</definedName>
    <definedName name="__xp2006" localSheetId="21">[40]pvc!$K$46</definedName>
    <definedName name="__xp2006" localSheetId="9">[40]pvc!$K$46</definedName>
    <definedName name="__xp2006" localSheetId="4">[40]pvc!$K$46</definedName>
    <definedName name="__xp2006" localSheetId="8">[40]pvc!$K$46</definedName>
    <definedName name="__xp2006">#REF!</definedName>
    <definedName name="__xp22510">#REF!</definedName>
    <definedName name="__xp2254">#REF!</definedName>
    <definedName name="__xp2256">#REF!</definedName>
    <definedName name="__xp25010">#REF!</definedName>
    <definedName name="__xp2504">#REF!</definedName>
    <definedName name="__xp2506">#REF!</definedName>
    <definedName name="__xp28010">#REF!</definedName>
    <definedName name="__xp2804">#REF!</definedName>
    <definedName name="__xp2806">#REF!</definedName>
    <definedName name="__xp31510">#REF!</definedName>
    <definedName name="__xp3154">#REF!</definedName>
    <definedName name="__xp3156">#REF!</definedName>
    <definedName name="__xp6310" localSheetId="21">[40]pvc!$C$61</definedName>
    <definedName name="__xp6310" localSheetId="9">[40]pvc!$C$61</definedName>
    <definedName name="__xp6310" localSheetId="4">[40]pvc!$C$61</definedName>
    <definedName name="__xp6310" localSheetId="8">[40]pvc!$C$61</definedName>
    <definedName name="__xp6310">#REF!</definedName>
    <definedName name="__xp634">#REF!</definedName>
    <definedName name="__xp636" localSheetId="21">[40]pvc!$C$46</definedName>
    <definedName name="__xp636" localSheetId="9">[40]pvc!$C$46</definedName>
    <definedName name="__xp636" localSheetId="4">[40]pvc!$C$46</definedName>
    <definedName name="__xp636" localSheetId="8">[40]pvc!$C$46</definedName>
    <definedName name="__xp636">#REF!</definedName>
    <definedName name="__xp7510" localSheetId="21">[40]pvc!$D$61</definedName>
    <definedName name="__xp7510" localSheetId="9">[40]pvc!$D$61</definedName>
    <definedName name="__xp7510" localSheetId="4">[40]pvc!$D$61</definedName>
    <definedName name="__xp7510" localSheetId="8">[40]pvc!$D$61</definedName>
    <definedName name="__xp7510">#REF!</definedName>
    <definedName name="__xp754" localSheetId="21">[40]pvc!$D$31</definedName>
    <definedName name="__xp754" localSheetId="9">[40]pvc!$D$31</definedName>
    <definedName name="__xp754" localSheetId="4">[40]pvc!$D$31</definedName>
    <definedName name="__xp754" localSheetId="8">[40]pvc!$D$31</definedName>
    <definedName name="__xp754">#REF!</definedName>
    <definedName name="__xp756" localSheetId="21">[40]pvc!$D$46</definedName>
    <definedName name="__xp756" localSheetId="9">[40]pvc!$D$46</definedName>
    <definedName name="__xp756" localSheetId="4">[40]pvc!$D$46</definedName>
    <definedName name="__xp756" localSheetId="8">[40]pvc!$D$46</definedName>
    <definedName name="__xp756">#REF!</definedName>
    <definedName name="__xp9010" localSheetId="21">[40]pvc!$E$61</definedName>
    <definedName name="__xp9010" localSheetId="9">[40]pvc!$E$61</definedName>
    <definedName name="__xp9010" localSheetId="4">[40]pvc!$E$61</definedName>
    <definedName name="__xp9010" localSheetId="8">[40]pvc!$E$61</definedName>
    <definedName name="__xp9010">#REF!</definedName>
    <definedName name="__xp904" localSheetId="21">[40]pvc!$E$31</definedName>
    <definedName name="__xp904" localSheetId="9">[40]pvc!$E$31</definedName>
    <definedName name="__xp904" localSheetId="4">[40]pvc!$E$31</definedName>
    <definedName name="__xp904" localSheetId="8">[40]pvc!$E$31</definedName>
    <definedName name="__xp904">#REF!</definedName>
    <definedName name="__xp906" localSheetId="21">[40]pvc!$E$46</definedName>
    <definedName name="__xp906" localSheetId="9">[40]pvc!$E$46</definedName>
    <definedName name="__xp906" localSheetId="4">[40]pvc!$E$46</definedName>
    <definedName name="__xp906" localSheetId="8">[40]pvc!$E$46</definedName>
    <definedName name="__xp906">#REF!</definedName>
    <definedName name="_055" localSheetId="21">#REF!</definedName>
    <definedName name="_055" localSheetId="9">#REF!</definedName>
    <definedName name="_055" localSheetId="4">#REF!</definedName>
    <definedName name="_055" localSheetId="8">#REF!</definedName>
    <definedName name="_055" localSheetId="7">#REF!</definedName>
    <definedName name="_055">#REF!</definedName>
    <definedName name="_1.76_dmm" localSheetId="4">#REF!</definedName>
    <definedName name="_1.76_dmm">#REF!</definedName>
    <definedName name="_110_mm_dia___45_Degree_Bend___UPVC_SWR_Pipe_fittings__Prince_Sudhakar_Kisan_Supreme_or_any_ISI_Brand">'[58]DATA SHEET FOR 2014-15'!#REF!</definedName>
    <definedName name="_110_mm_dia___Vent_Cowl___UPVC_SWR_Pipe_fittings__Prince_Sudhakar_Kisan_Supreme_or_any_ISI_Brand">'[58]DATA SHEET FOR 2014-15'!#REF!</definedName>
    <definedName name="_110_mm_dia_3_M_Double_Socket_PVC_SWR_pipe___4_Kg_sq.cm___Prince_Sudhakar_Kisan_Supreme_or_any_ISI_Brand">'[58]DATA SHEET FOR 2014-15'!#REF!</definedName>
    <definedName name="_3" localSheetId="21" hidden="1">'[59]final abstract'!#REF!</definedName>
    <definedName name="_3" localSheetId="9" hidden="1">'[59]final abstract'!#REF!</definedName>
    <definedName name="_3" localSheetId="4" hidden="1">'[59]final abstract'!#REF!</definedName>
    <definedName name="_3" localSheetId="8" hidden="1">'[59]final abstract'!#REF!</definedName>
    <definedName name="_3" hidden="1">#REF!</definedName>
    <definedName name="_4___101.6_mm__Floor_Trap___UPVC_SWR_Pipe_fittings__Prince_Sudhakar_Kisan_Supreme_or_any_ISI_Brand">'[58]DATA SHEET FOR 2014-15'!#REF!</definedName>
    <definedName name="_40MM_HBG" localSheetId="23">#REF!</definedName>
    <definedName name="_40MM_HBG" localSheetId="46">#REF!</definedName>
    <definedName name="_40MM_HBG" localSheetId="47">#REF!</definedName>
    <definedName name="_40MM_HBG" localSheetId="40">#REF!</definedName>
    <definedName name="_40MM_HBG" localSheetId="44">#REF!</definedName>
    <definedName name="_40MM_HBG" localSheetId="45">#REF!</definedName>
    <definedName name="_40MM_HBG" localSheetId="21">#REF!</definedName>
    <definedName name="_40MM_HBG" localSheetId="9">#REF!</definedName>
    <definedName name="_40MM_HBG" localSheetId="4">#REF!</definedName>
    <definedName name="_40MM_HBG" localSheetId="24">#REF!</definedName>
    <definedName name="_40MM_HBG" localSheetId="41">#REF!</definedName>
    <definedName name="_40MM_HBG" localSheetId="43">#REF!</definedName>
    <definedName name="_40MM_HBG" localSheetId="8">#REF!</definedName>
    <definedName name="_40MM_HBG" localSheetId="16">#REF!</definedName>
    <definedName name="_40MM_HBG" localSheetId="12">#REF!</definedName>
    <definedName name="_40MM_HBG" localSheetId="14">#REF!</definedName>
    <definedName name="_40MM_HBG" localSheetId="1">#REF!</definedName>
    <definedName name="_40MM_HBG" localSheetId="13">#REF!</definedName>
    <definedName name="_40MM_HBG" localSheetId="52">#REF!</definedName>
    <definedName name="_40MM_HBG" localSheetId="7">#REF!</definedName>
    <definedName name="_40MM_HBG" localSheetId="15">#REF!</definedName>
    <definedName name="_40MM_HBG" localSheetId="11">#REF!</definedName>
    <definedName name="_40MM_HBG" localSheetId="2">#REF!</definedName>
    <definedName name="_40MM_HBG" localSheetId="0">#REF!</definedName>
    <definedName name="_40MM_HBG">#REF!</definedName>
    <definedName name="_65MM_HBG" localSheetId="23">#REF!</definedName>
    <definedName name="_65MM_HBG" localSheetId="46">#REF!</definedName>
    <definedName name="_65MM_HBG" localSheetId="47">#REF!</definedName>
    <definedName name="_65MM_HBG" localSheetId="40">#REF!</definedName>
    <definedName name="_65MM_HBG" localSheetId="44">#REF!</definedName>
    <definedName name="_65MM_HBG" localSheetId="45">#REF!</definedName>
    <definedName name="_65MM_HBG" localSheetId="21">#REF!</definedName>
    <definedName name="_65MM_HBG" localSheetId="9">#REF!</definedName>
    <definedName name="_65MM_HBG" localSheetId="4">#REF!</definedName>
    <definedName name="_65MM_HBG" localSheetId="24">#REF!</definedName>
    <definedName name="_65MM_HBG" localSheetId="43">#REF!</definedName>
    <definedName name="_65MM_HBG" localSheetId="8">#REF!</definedName>
    <definedName name="_65MM_HBG" localSheetId="52">#REF!</definedName>
    <definedName name="_65MM_HBG" localSheetId="7">#REF!</definedName>
    <definedName name="_65MM_HBG">#REF!</definedName>
    <definedName name="_65MM_HBT" localSheetId="23">#REF!</definedName>
    <definedName name="_65MM_HBT" localSheetId="46">#REF!</definedName>
    <definedName name="_65MM_HBT" localSheetId="47">#REF!</definedName>
    <definedName name="_65MM_HBT" localSheetId="40">#REF!</definedName>
    <definedName name="_65MM_HBT" localSheetId="44">#REF!</definedName>
    <definedName name="_65MM_HBT" localSheetId="45">#REF!</definedName>
    <definedName name="_65MM_HBT" localSheetId="21">#REF!</definedName>
    <definedName name="_65MM_HBT" localSheetId="9">#REF!</definedName>
    <definedName name="_65MM_HBT" localSheetId="4">#REF!</definedName>
    <definedName name="_65MM_HBT" localSheetId="24">#REF!</definedName>
    <definedName name="_65MM_HBT" localSheetId="41">#REF!</definedName>
    <definedName name="_65MM_HBT" localSheetId="43">#REF!</definedName>
    <definedName name="_65MM_HBT" localSheetId="8">#REF!</definedName>
    <definedName name="_65MM_HBT" localSheetId="16">#REF!</definedName>
    <definedName name="_65MM_HBT" localSheetId="12">#REF!</definedName>
    <definedName name="_65MM_HBT" localSheetId="14">#REF!</definedName>
    <definedName name="_65MM_HBT" localSheetId="1">#REF!</definedName>
    <definedName name="_65MM_HBT" localSheetId="13">#REF!</definedName>
    <definedName name="_65MM_HBT" localSheetId="52">#REF!</definedName>
    <definedName name="_65MM_HBT" localSheetId="7">#REF!</definedName>
    <definedName name="_65MM_HBT" localSheetId="15">#REF!</definedName>
    <definedName name="_65MM_HBT" localSheetId="11">#REF!</definedName>
    <definedName name="_65MM_HBT" localSheetId="2">#REF!</definedName>
    <definedName name="_65MM_HBT" localSheetId="0">#REF!</definedName>
    <definedName name="_65MM_HBT">#REF!</definedName>
    <definedName name="_65MM_OG" localSheetId="23">#REF!</definedName>
    <definedName name="_65MM_OG" localSheetId="46">#REF!</definedName>
    <definedName name="_65MM_OG" localSheetId="47">#REF!</definedName>
    <definedName name="_65MM_OG" localSheetId="40">#REF!</definedName>
    <definedName name="_65MM_OG" localSheetId="44">#REF!</definedName>
    <definedName name="_65MM_OG" localSheetId="45">#REF!</definedName>
    <definedName name="_65MM_OG" localSheetId="21">#REF!</definedName>
    <definedName name="_65MM_OG" localSheetId="9">#REF!</definedName>
    <definedName name="_65MM_OG" localSheetId="4">#REF!</definedName>
    <definedName name="_65MM_OG" localSheetId="24">#REF!</definedName>
    <definedName name="_65MM_OG" localSheetId="41">#REF!</definedName>
    <definedName name="_65MM_OG" localSheetId="43">#REF!</definedName>
    <definedName name="_65MM_OG" localSheetId="8">#REF!</definedName>
    <definedName name="_65MM_OG" localSheetId="16">#REF!</definedName>
    <definedName name="_65MM_OG" localSheetId="12">#REF!</definedName>
    <definedName name="_65MM_OG" localSheetId="14">#REF!</definedName>
    <definedName name="_65MM_OG" localSheetId="1">#REF!</definedName>
    <definedName name="_65MM_OG" localSheetId="13">#REF!</definedName>
    <definedName name="_65MM_OG" localSheetId="52">#REF!</definedName>
    <definedName name="_65MM_OG" localSheetId="7">#REF!</definedName>
    <definedName name="_65MM_OG" localSheetId="15">#REF!</definedName>
    <definedName name="_65MM_OG" localSheetId="11">#REF!</definedName>
    <definedName name="_65MM_OG" localSheetId="2">#REF!</definedName>
    <definedName name="_65MM_OG" localSheetId="0">#REF!</definedName>
    <definedName name="_65MM_OG">#REF!</definedName>
    <definedName name="_75_mm_dia___45_Degree_Bend___UPVC_SWR_Pipe_fittings__Prince_Sudhakar_Kisan_Supreme_or_any_ISI_Brand">'[58]DATA SHEET FOR 2014-15'!#REF!</definedName>
    <definedName name="_75_mm_dia_3_M_Double_Socket_PVC_SWR_pipe___4_Kg_sq.cm___Prince_Sudhakar_Kisan_Supreme_or_any_ISI_Brand">'[58]DATA SHEET FOR 2014-15'!#REF!</definedName>
    <definedName name="_abs1">#REF!</definedName>
    <definedName name="_atw2" localSheetId="21">#REF!</definedName>
    <definedName name="_atw2" localSheetId="9">#REF!</definedName>
    <definedName name="_atw2" localSheetId="4">#REF!</definedName>
    <definedName name="_atw2" localSheetId="8">#REF!</definedName>
    <definedName name="_atw2">#REF!</definedName>
    <definedName name="_bla1" localSheetId="21">[60]leads!$H$7</definedName>
    <definedName name="_bla1" localSheetId="9">[60]leads!$H$7</definedName>
    <definedName name="_bla1" localSheetId="4">[60]leads!$H$7</definedName>
    <definedName name="_bla1" localSheetId="8">[60]leads!$H$7</definedName>
    <definedName name="_bla1" localSheetId="7">#REF!</definedName>
    <definedName name="_bla1">#REF!</definedName>
    <definedName name="_brush" localSheetId="21">#REF!</definedName>
    <definedName name="_brush" localSheetId="9">#REF!</definedName>
    <definedName name="_brush" localSheetId="4">#REF!</definedName>
    <definedName name="_brush" localSheetId="8">#REF!</definedName>
    <definedName name="_brush">#REF!</definedName>
    <definedName name="_BSG100" localSheetId="21">#REF!</definedName>
    <definedName name="_BSG100" localSheetId="9">#REF!</definedName>
    <definedName name="_BSG100" localSheetId="4">#REF!</definedName>
    <definedName name="_BSG100" localSheetId="8">#REF!</definedName>
    <definedName name="_BSG100">#REF!</definedName>
    <definedName name="_BSG150" localSheetId="21">#REF!</definedName>
    <definedName name="_BSG150" localSheetId="9">#REF!</definedName>
    <definedName name="_BSG150" localSheetId="4">#REF!</definedName>
    <definedName name="_BSG150" localSheetId="8">#REF!</definedName>
    <definedName name="_BSG150">#REF!</definedName>
    <definedName name="_BSG5" localSheetId="21">#REF!</definedName>
    <definedName name="_BSG5" localSheetId="9">#REF!</definedName>
    <definedName name="_BSG5" localSheetId="4">#REF!</definedName>
    <definedName name="_BSG5" localSheetId="8">#REF!</definedName>
    <definedName name="_BSG5">#REF!</definedName>
    <definedName name="_BSG75" localSheetId="21">#REF!</definedName>
    <definedName name="_BSG75" localSheetId="9">#REF!</definedName>
    <definedName name="_BSG75" localSheetId="4">#REF!</definedName>
    <definedName name="_BSG75" localSheetId="8">#REF!</definedName>
    <definedName name="_BSG75">#REF!</definedName>
    <definedName name="_BTC1" localSheetId="21">#REF!</definedName>
    <definedName name="_BTC1" localSheetId="9">#REF!</definedName>
    <definedName name="_BTC1" localSheetId="4">#REF!</definedName>
    <definedName name="_BTC1" localSheetId="8">#REF!</definedName>
    <definedName name="_BTC1">#REF!</definedName>
    <definedName name="_BTC10" localSheetId="21">#REF!</definedName>
    <definedName name="_BTC10" localSheetId="9">#REF!</definedName>
    <definedName name="_BTC10" localSheetId="4">#REF!</definedName>
    <definedName name="_BTC10" localSheetId="8">#REF!</definedName>
    <definedName name="_BTC10">#REF!</definedName>
    <definedName name="_BTC11" localSheetId="21">#REF!</definedName>
    <definedName name="_BTC11" localSheetId="9">#REF!</definedName>
    <definedName name="_BTC11" localSheetId="4">#REF!</definedName>
    <definedName name="_BTC11" localSheetId="8">#REF!</definedName>
    <definedName name="_BTC11">#REF!</definedName>
    <definedName name="_BTC12" localSheetId="21">#REF!</definedName>
    <definedName name="_BTC12" localSheetId="9">#REF!</definedName>
    <definedName name="_BTC12" localSheetId="4">#REF!</definedName>
    <definedName name="_BTC12" localSheetId="8">#REF!</definedName>
    <definedName name="_BTC12">#REF!</definedName>
    <definedName name="_BTC13" localSheetId="21">#REF!</definedName>
    <definedName name="_BTC13" localSheetId="9">#REF!</definedName>
    <definedName name="_BTC13" localSheetId="4">#REF!</definedName>
    <definedName name="_BTC13" localSheetId="8">#REF!</definedName>
    <definedName name="_BTC13">#REF!</definedName>
    <definedName name="_BTC14" localSheetId="21">#REF!</definedName>
    <definedName name="_BTC14" localSheetId="9">#REF!</definedName>
    <definedName name="_BTC14" localSheetId="4">#REF!</definedName>
    <definedName name="_BTC14" localSheetId="8">#REF!</definedName>
    <definedName name="_BTC14">#REF!</definedName>
    <definedName name="_BTC15" localSheetId="21">#REF!</definedName>
    <definedName name="_BTC15" localSheetId="9">#REF!</definedName>
    <definedName name="_BTC15" localSheetId="4">#REF!</definedName>
    <definedName name="_BTC15" localSheetId="8">#REF!</definedName>
    <definedName name="_BTC15">#REF!</definedName>
    <definedName name="_BTC16" localSheetId="4">#REF!</definedName>
    <definedName name="_BTC16">#REF!</definedName>
    <definedName name="_BTC17" localSheetId="4">#REF!</definedName>
    <definedName name="_BTC17">#REF!</definedName>
    <definedName name="_BTC18" localSheetId="4">#REF!</definedName>
    <definedName name="_BTC18">#REF!</definedName>
    <definedName name="_BTC19" localSheetId="4">#REF!</definedName>
    <definedName name="_BTC19">#REF!</definedName>
    <definedName name="_BTC2" localSheetId="21">#REF!</definedName>
    <definedName name="_BTC2" localSheetId="9">#REF!</definedName>
    <definedName name="_BTC2" localSheetId="4">#REF!</definedName>
    <definedName name="_BTC2" localSheetId="8">#REF!</definedName>
    <definedName name="_BTC2">#REF!</definedName>
    <definedName name="_BTC20" localSheetId="4">#REF!</definedName>
    <definedName name="_BTC20">#REF!</definedName>
    <definedName name="_BTC21" localSheetId="4">#REF!</definedName>
    <definedName name="_BTC21">#REF!</definedName>
    <definedName name="_BTC22" localSheetId="4">#REF!</definedName>
    <definedName name="_BTC22">#REF!</definedName>
    <definedName name="_BTC23" localSheetId="4">#REF!</definedName>
    <definedName name="_BTC23">#REF!</definedName>
    <definedName name="_BTC24" localSheetId="4">#REF!</definedName>
    <definedName name="_BTC24">#REF!</definedName>
    <definedName name="_BTC3" localSheetId="21">#REF!</definedName>
    <definedName name="_BTC3" localSheetId="9">#REF!</definedName>
    <definedName name="_BTC3" localSheetId="4">#REF!</definedName>
    <definedName name="_BTC3" localSheetId="8">#REF!</definedName>
    <definedName name="_BTC3">#REF!</definedName>
    <definedName name="_BTC4" localSheetId="21">#REF!</definedName>
    <definedName name="_BTC4" localSheetId="9">#REF!</definedName>
    <definedName name="_BTC4" localSheetId="4">#REF!</definedName>
    <definedName name="_BTC4" localSheetId="8">#REF!</definedName>
    <definedName name="_BTC4">#REF!</definedName>
    <definedName name="_BTC5" localSheetId="21">#REF!</definedName>
    <definedName name="_BTC5" localSheetId="9">#REF!</definedName>
    <definedName name="_BTC5" localSheetId="4">#REF!</definedName>
    <definedName name="_BTC5" localSheetId="8">#REF!</definedName>
    <definedName name="_BTC5">#REF!</definedName>
    <definedName name="_BTC6" localSheetId="21">#REF!</definedName>
    <definedName name="_BTC6" localSheetId="9">#REF!</definedName>
    <definedName name="_BTC6" localSheetId="4">#REF!</definedName>
    <definedName name="_BTC6" localSheetId="8">#REF!</definedName>
    <definedName name="_BTC6">#REF!</definedName>
    <definedName name="_BTC7" localSheetId="21">#REF!</definedName>
    <definedName name="_BTC7" localSheetId="9">#REF!</definedName>
    <definedName name="_BTC7" localSheetId="4">#REF!</definedName>
    <definedName name="_BTC7" localSheetId="8">#REF!</definedName>
    <definedName name="_BTC7">#REF!</definedName>
    <definedName name="_BTC8" localSheetId="21">#REF!</definedName>
    <definedName name="_BTC8" localSheetId="9">#REF!</definedName>
    <definedName name="_BTC8" localSheetId="4">#REF!</definedName>
    <definedName name="_BTC8" localSheetId="8">#REF!</definedName>
    <definedName name="_BTC8">#REF!</definedName>
    <definedName name="_BTC9" localSheetId="21">#REF!</definedName>
    <definedName name="_BTC9" localSheetId="9">#REF!</definedName>
    <definedName name="_BTC9" localSheetId="4">#REF!</definedName>
    <definedName name="_BTC9" localSheetId="8">#REF!</definedName>
    <definedName name="_BTC9">#REF!</definedName>
    <definedName name="_BTR1" localSheetId="4">#REF!</definedName>
    <definedName name="_BTR1">#REF!</definedName>
    <definedName name="_BTR10" localSheetId="4">#REF!</definedName>
    <definedName name="_BTR10">#REF!</definedName>
    <definedName name="_BTR11" localSheetId="4">#REF!</definedName>
    <definedName name="_BTR11">#REF!</definedName>
    <definedName name="_BTR12" localSheetId="4">#REF!</definedName>
    <definedName name="_BTR12">#REF!</definedName>
    <definedName name="_BTR13" localSheetId="4">#REF!</definedName>
    <definedName name="_BTR13">#REF!</definedName>
    <definedName name="_BTR14" localSheetId="4">#REF!</definedName>
    <definedName name="_BTR14">#REF!</definedName>
    <definedName name="_BTR15" localSheetId="4">#REF!</definedName>
    <definedName name="_BTR15">#REF!</definedName>
    <definedName name="_BTR16" localSheetId="4">#REF!</definedName>
    <definedName name="_BTR16">#REF!</definedName>
    <definedName name="_BTR17" localSheetId="4">#REF!</definedName>
    <definedName name="_BTR17">#REF!</definedName>
    <definedName name="_BTR18" localSheetId="4">#REF!</definedName>
    <definedName name="_BTR18">#REF!</definedName>
    <definedName name="_BTR19" localSheetId="4">#REF!</definedName>
    <definedName name="_BTR19">#REF!</definedName>
    <definedName name="_BTR2" localSheetId="4">#REF!</definedName>
    <definedName name="_BTR2">#REF!</definedName>
    <definedName name="_BTR20" localSheetId="4">#REF!</definedName>
    <definedName name="_BTR20">#REF!</definedName>
    <definedName name="_BTR21" localSheetId="4">#REF!</definedName>
    <definedName name="_BTR21">#REF!</definedName>
    <definedName name="_BTR22" localSheetId="4">#REF!</definedName>
    <definedName name="_BTR22">#REF!</definedName>
    <definedName name="_BTR23" localSheetId="4">#REF!</definedName>
    <definedName name="_BTR23">#REF!</definedName>
    <definedName name="_BTR24" localSheetId="4">#REF!</definedName>
    <definedName name="_BTR24">#REF!</definedName>
    <definedName name="_BTR3" localSheetId="4">#REF!</definedName>
    <definedName name="_BTR3">#REF!</definedName>
    <definedName name="_BTR4" localSheetId="4">#REF!</definedName>
    <definedName name="_BTR4">#REF!</definedName>
    <definedName name="_BTR5" localSheetId="4">#REF!</definedName>
    <definedName name="_BTR5">#REF!</definedName>
    <definedName name="_BTR6" localSheetId="4">#REF!</definedName>
    <definedName name="_BTR6">#REF!</definedName>
    <definedName name="_BTR7" localSheetId="4">#REF!</definedName>
    <definedName name="_BTR7">#REF!</definedName>
    <definedName name="_BTR8" localSheetId="4">#REF!</definedName>
    <definedName name="_BTR8">#REF!</definedName>
    <definedName name="_BTR9" localSheetId="4">#REF!</definedName>
    <definedName name="_BTR9">#REF!</definedName>
    <definedName name="_BTS1" localSheetId="21">#REF!</definedName>
    <definedName name="_BTS1" localSheetId="9">#REF!</definedName>
    <definedName name="_BTS1" localSheetId="4">#REF!</definedName>
    <definedName name="_BTS1" localSheetId="8">#REF!</definedName>
    <definedName name="_BTS1">#REF!</definedName>
    <definedName name="_BTS10" localSheetId="21">#REF!</definedName>
    <definedName name="_BTS10" localSheetId="9">#REF!</definedName>
    <definedName name="_BTS10" localSheetId="4">#REF!</definedName>
    <definedName name="_BTS10" localSheetId="8">#REF!</definedName>
    <definedName name="_BTS10">#REF!</definedName>
    <definedName name="_BTS11" localSheetId="21">#REF!</definedName>
    <definedName name="_BTS11" localSheetId="9">#REF!</definedName>
    <definedName name="_BTS11" localSheetId="4">#REF!</definedName>
    <definedName name="_BTS11" localSheetId="8">#REF!</definedName>
    <definedName name="_BTS11">#REF!</definedName>
    <definedName name="_BTS12" localSheetId="21">#REF!</definedName>
    <definedName name="_BTS12" localSheetId="9">#REF!</definedName>
    <definedName name="_BTS12" localSheetId="4">#REF!</definedName>
    <definedName name="_BTS12" localSheetId="8">#REF!</definedName>
    <definedName name="_BTS12">#REF!</definedName>
    <definedName name="_BTS13" localSheetId="21">#REF!</definedName>
    <definedName name="_BTS13" localSheetId="9">#REF!</definedName>
    <definedName name="_BTS13" localSheetId="4">#REF!</definedName>
    <definedName name="_BTS13" localSheetId="8">#REF!</definedName>
    <definedName name="_BTS13">#REF!</definedName>
    <definedName name="_BTS14" localSheetId="21">#REF!</definedName>
    <definedName name="_BTS14" localSheetId="9">#REF!</definedName>
    <definedName name="_BTS14" localSheetId="4">#REF!</definedName>
    <definedName name="_BTS14" localSheetId="8">#REF!</definedName>
    <definedName name="_BTS14">#REF!</definedName>
    <definedName name="_BTS15" localSheetId="21">#REF!</definedName>
    <definedName name="_BTS15" localSheetId="9">#REF!</definedName>
    <definedName name="_BTS15" localSheetId="4">#REF!</definedName>
    <definedName name="_BTS15" localSheetId="8">#REF!</definedName>
    <definedName name="_BTS15">#REF!</definedName>
    <definedName name="_BTS16" localSheetId="4">#REF!</definedName>
    <definedName name="_BTS16">#REF!</definedName>
    <definedName name="_BTS17" localSheetId="4">#REF!</definedName>
    <definedName name="_BTS17">#REF!</definedName>
    <definedName name="_BTS18" localSheetId="4">#REF!</definedName>
    <definedName name="_BTS18">#REF!</definedName>
    <definedName name="_BTS19" localSheetId="4">#REF!</definedName>
    <definedName name="_BTS19">#REF!</definedName>
    <definedName name="_BTS2" localSheetId="21">#REF!</definedName>
    <definedName name="_BTS2" localSheetId="9">#REF!</definedName>
    <definedName name="_BTS2" localSheetId="4">#REF!</definedName>
    <definedName name="_BTS2" localSheetId="8">#REF!</definedName>
    <definedName name="_BTS2">#REF!</definedName>
    <definedName name="_BTS20" localSheetId="4">#REF!</definedName>
    <definedName name="_BTS20">#REF!</definedName>
    <definedName name="_BTS21" localSheetId="4">#REF!</definedName>
    <definedName name="_BTS21">#REF!</definedName>
    <definedName name="_BTS22" localSheetId="4">#REF!</definedName>
    <definedName name="_BTS22">#REF!</definedName>
    <definedName name="_BTS23" localSheetId="4">#REF!</definedName>
    <definedName name="_BTS23">#REF!</definedName>
    <definedName name="_BTS24" localSheetId="4">#REF!</definedName>
    <definedName name="_BTS24">#REF!</definedName>
    <definedName name="_BTS3" localSheetId="21">#REF!</definedName>
    <definedName name="_BTS3" localSheetId="9">#REF!</definedName>
    <definedName name="_BTS3" localSheetId="4">#REF!</definedName>
    <definedName name="_BTS3" localSheetId="8">#REF!</definedName>
    <definedName name="_BTS3">#REF!</definedName>
    <definedName name="_BTS4" localSheetId="21">#REF!</definedName>
    <definedName name="_BTS4" localSheetId="9">#REF!</definedName>
    <definedName name="_BTS4" localSheetId="4">#REF!</definedName>
    <definedName name="_BTS4" localSheetId="8">#REF!</definedName>
    <definedName name="_BTS4">#REF!</definedName>
    <definedName name="_BTS5" localSheetId="21">#REF!</definedName>
    <definedName name="_BTS5" localSheetId="9">#REF!</definedName>
    <definedName name="_BTS5" localSheetId="4">#REF!</definedName>
    <definedName name="_BTS5" localSheetId="8">#REF!</definedName>
    <definedName name="_BTS5">#REF!</definedName>
    <definedName name="_BTS6" localSheetId="21">#REF!</definedName>
    <definedName name="_BTS6" localSheetId="9">#REF!</definedName>
    <definedName name="_BTS6" localSheetId="4">#REF!</definedName>
    <definedName name="_BTS6" localSheetId="8">#REF!</definedName>
    <definedName name="_BTS6">#REF!</definedName>
    <definedName name="_BTS7" localSheetId="21">#REF!</definedName>
    <definedName name="_BTS7" localSheetId="9">#REF!</definedName>
    <definedName name="_BTS7" localSheetId="4">#REF!</definedName>
    <definedName name="_BTS7" localSheetId="8">#REF!</definedName>
    <definedName name="_BTS7">#REF!</definedName>
    <definedName name="_BTS8" localSheetId="21">#REF!</definedName>
    <definedName name="_BTS8" localSheetId="9">#REF!</definedName>
    <definedName name="_BTS8" localSheetId="4">#REF!</definedName>
    <definedName name="_BTS8" localSheetId="8">#REF!</definedName>
    <definedName name="_BTS8">#REF!</definedName>
    <definedName name="_BTS9" localSheetId="21">#REF!</definedName>
    <definedName name="_BTS9" localSheetId="9">#REF!</definedName>
    <definedName name="_BTS9" localSheetId="4">#REF!</definedName>
    <definedName name="_BTS9" localSheetId="8">#REF!</definedName>
    <definedName name="_BTS9">#REF!</definedName>
    <definedName name="_CAN1">#REF!</definedName>
    <definedName name="_CAN10">#REF!</definedName>
    <definedName name="_CAN11">#REF!</definedName>
    <definedName name="_CAN112">13.42</definedName>
    <definedName name="_CAN113">12.98</definedName>
    <definedName name="_CAN117">12.7</definedName>
    <definedName name="_CAN118">13.27</definedName>
    <definedName name="_CAN12">#REF!</definedName>
    <definedName name="_CAN120">11.72</definedName>
    <definedName name="_CAN13">#REF!</definedName>
    <definedName name="_CAN14">#REF!</definedName>
    <definedName name="_CAN15">#REF!</definedName>
    <definedName name="_CAN16">#REF!</definedName>
    <definedName name="_CAN17">#REF!</definedName>
    <definedName name="_CAN18">#REF!</definedName>
    <definedName name="_CAN19">#REF!</definedName>
    <definedName name="_CAN2">#REF!</definedName>
    <definedName name="_CAN20">#REF!</definedName>
    <definedName name="_CAN21">#REF!</definedName>
    <definedName name="_CAN210">10.38</definedName>
    <definedName name="_CAN211">10.58</definedName>
    <definedName name="_CAN213">10.56</definedName>
    <definedName name="_CAN215">10.22</definedName>
    <definedName name="_CAN216">9.61</definedName>
    <definedName name="_CAN217">10.47</definedName>
    <definedName name="_CAN219">10.91</definedName>
    <definedName name="_CAN22">#REF!</definedName>
    <definedName name="_CAN220">11.09</definedName>
    <definedName name="_CAN221">11.25</definedName>
    <definedName name="_CAN222">10.17</definedName>
    <definedName name="_CAN223">9.89</definedName>
    <definedName name="_CAN23">#REF!</definedName>
    <definedName name="_CAN230">10.79</definedName>
    <definedName name="_CAN24">#REF!</definedName>
    <definedName name="_CAN25">#REF!</definedName>
    <definedName name="_CAN26">#REF!</definedName>
    <definedName name="_CAN27">#REF!</definedName>
    <definedName name="_CAN28">#REF!</definedName>
    <definedName name="_CAN3">#REF!</definedName>
    <definedName name="_CAN30">#REF!</definedName>
    <definedName name="_CAN32">#REF!</definedName>
    <definedName name="_CAN33">#REF!</definedName>
    <definedName name="_CAN34">#REF!</definedName>
    <definedName name="_CAN36">#REF!</definedName>
    <definedName name="_CAN37">#REF!</definedName>
    <definedName name="_CAN38">#REF!</definedName>
    <definedName name="_CAN39">#REF!</definedName>
    <definedName name="_CAN4">#REF!</definedName>
    <definedName name="_CAN40">#REF!</definedName>
    <definedName name="_CAN42">#REF!</definedName>
    <definedName name="_can421">40.2</definedName>
    <definedName name="_can422">41.57</definedName>
    <definedName name="_can423">43.9</definedName>
    <definedName name="_can424">41.19</definedName>
    <definedName name="_can425">42.81</definedName>
    <definedName name="_can426">40.77</definedName>
    <definedName name="_can427">40.92</definedName>
    <definedName name="_can428">39.29</definedName>
    <definedName name="_can429">45.19</definedName>
    <definedName name="_CAN43">#REF!</definedName>
    <definedName name="_can430">40.73</definedName>
    <definedName name="_can431">42.52</definedName>
    <definedName name="_can432">42.53</definedName>
    <definedName name="_can433">43.69</definedName>
    <definedName name="_can434">40.43</definedName>
    <definedName name="_can435">43.3</definedName>
    <definedName name="_CAN45">#REF!</definedName>
    <definedName name="_CAN46">#REF!</definedName>
    <definedName name="_CAN48">#REF!</definedName>
    <definedName name="_CAN49">#REF!</definedName>
    <definedName name="_CAN5">#REF!</definedName>
    <definedName name="_CAN50">#REF!</definedName>
    <definedName name="_CAN51">#REF!</definedName>
    <definedName name="_CAN52">#REF!</definedName>
    <definedName name="_CAN53">#REF!</definedName>
    <definedName name="_CAN54">#REF!</definedName>
    <definedName name="_CAN55">#REF!</definedName>
    <definedName name="_CAN6">#REF!</definedName>
    <definedName name="_CAN7">#REF!</definedName>
    <definedName name="_CAN8">#REF!</definedName>
    <definedName name="_CAN9">#REF!</definedName>
    <definedName name="_cbr1" localSheetId="23">#REF!</definedName>
    <definedName name="_cbr1" localSheetId="46">#REF!</definedName>
    <definedName name="_cbr1" localSheetId="47">#REF!</definedName>
    <definedName name="_cbr1" localSheetId="40">#REF!</definedName>
    <definedName name="_cbr1" localSheetId="44">#REF!</definedName>
    <definedName name="_cbr1" localSheetId="45">#REF!</definedName>
    <definedName name="_cbr1" localSheetId="21">#REF!</definedName>
    <definedName name="_cbr1" localSheetId="9">#REF!</definedName>
    <definedName name="_cbr1" localSheetId="4">#REF!</definedName>
    <definedName name="_cbr1" localSheetId="24">#REF!</definedName>
    <definedName name="_cbr1" localSheetId="43">#REF!</definedName>
    <definedName name="_cbr1" localSheetId="8">#REF!</definedName>
    <definedName name="_cbr1" localSheetId="52">#REF!</definedName>
    <definedName name="_cbr1" localSheetId="7">#REF!</definedName>
    <definedName name="_cbr1">#REF!</definedName>
    <definedName name="_cbr2" localSheetId="23">#REF!</definedName>
    <definedName name="_cbr2" localSheetId="46">#REF!</definedName>
    <definedName name="_cbr2" localSheetId="47">#REF!</definedName>
    <definedName name="_cbr2" localSheetId="40">#REF!</definedName>
    <definedName name="_cbr2" localSheetId="44">#REF!</definedName>
    <definedName name="_cbr2" localSheetId="45">#REF!</definedName>
    <definedName name="_cbr2" localSheetId="21">#REF!</definedName>
    <definedName name="_cbr2" localSheetId="9">#REF!</definedName>
    <definedName name="_cbr2" localSheetId="4">#REF!</definedName>
    <definedName name="_cbr2" localSheetId="24">#REF!</definedName>
    <definedName name="_cbr2" localSheetId="43">#REF!</definedName>
    <definedName name="_cbr2" localSheetId="8">#REF!</definedName>
    <definedName name="_cbr2" localSheetId="52">#REF!</definedName>
    <definedName name="_cbr2" localSheetId="7">#REF!</definedName>
    <definedName name="_cbr2">#REF!</definedName>
    <definedName name="_cbr3" localSheetId="23">#REF!</definedName>
    <definedName name="_cbr3" localSheetId="46">#REF!</definedName>
    <definedName name="_cbr3" localSheetId="47">#REF!</definedName>
    <definedName name="_cbr3" localSheetId="40">#REF!</definedName>
    <definedName name="_cbr3" localSheetId="44">#REF!</definedName>
    <definedName name="_cbr3" localSheetId="45">#REF!</definedName>
    <definedName name="_cbr3" localSheetId="21">#REF!</definedName>
    <definedName name="_cbr3" localSheetId="9">#REF!</definedName>
    <definedName name="_cbr3" localSheetId="4">#REF!</definedName>
    <definedName name="_cbr3" localSheetId="24">#REF!</definedName>
    <definedName name="_cbr3" localSheetId="43">#REF!</definedName>
    <definedName name="_cbr3" localSheetId="8">#REF!</definedName>
    <definedName name="_cbr3" localSheetId="52">#REF!</definedName>
    <definedName name="_cbr3" localSheetId="7">#REF!</definedName>
    <definedName name="_cbr3">#REF!</definedName>
    <definedName name="_cbr4" localSheetId="23">#REF!</definedName>
    <definedName name="_cbr4" localSheetId="46">#REF!</definedName>
    <definedName name="_cbr4" localSheetId="47">#REF!</definedName>
    <definedName name="_cbr4" localSheetId="40">#REF!</definedName>
    <definedName name="_cbr4" localSheetId="44">#REF!</definedName>
    <definedName name="_cbr4" localSheetId="45">#REF!</definedName>
    <definedName name="_cbr4" localSheetId="21">#REF!</definedName>
    <definedName name="_cbr4" localSheetId="9">#REF!</definedName>
    <definedName name="_cbr4" localSheetId="4">#REF!</definedName>
    <definedName name="_cbr4" localSheetId="24">#REF!</definedName>
    <definedName name="_cbr4" localSheetId="43">#REF!</definedName>
    <definedName name="_cbr4" localSheetId="8">#REF!</definedName>
    <definedName name="_cbr4" localSheetId="52">#REF!</definedName>
    <definedName name="_cbr4" localSheetId="7">#REF!</definedName>
    <definedName name="_cbr4">#REF!</definedName>
    <definedName name="_CCW1" localSheetId="21">[42]DATA!$H$67</definedName>
    <definedName name="_CCW1" localSheetId="9">[42]DATA!$H$67</definedName>
    <definedName name="_CCW1" localSheetId="4">[42]DATA!$H$67</definedName>
    <definedName name="_CCW1" localSheetId="8">[42]DATA!$H$67</definedName>
    <definedName name="_CCW1" localSheetId="7">#REF!</definedName>
    <definedName name="_CCW1">#REF!</definedName>
    <definedName name="_CCW2" localSheetId="21">[42]DATA!$H$97</definedName>
    <definedName name="_CCW2" localSheetId="9">[42]DATA!$H$97</definedName>
    <definedName name="_CCW2" localSheetId="4">[42]DATA!$H$97</definedName>
    <definedName name="_CCW2" localSheetId="8">[42]DATA!$H$97</definedName>
    <definedName name="_CCW2" localSheetId="7">#REF!</definedName>
    <definedName name="_CCW2">#REF!</definedName>
    <definedName name="_CD2">#REF!</definedName>
    <definedName name="_CEM" localSheetId="21">#REF!</definedName>
    <definedName name="_CEM" localSheetId="9">#REF!</definedName>
    <definedName name="_CEM" localSheetId="4">#REF!</definedName>
    <definedName name="_CEM" localSheetId="8">#REF!</definedName>
    <definedName name="_CEM" localSheetId="7">#REF!</definedName>
    <definedName name="_CEM">#REF!</definedName>
    <definedName name="_ceramic" localSheetId="21">#REF!</definedName>
    <definedName name="_ceramic" localSheetId="9">#REF!</definedName>
    <definedName name="_ceramic" localSheetId="4">#REF!</definedName>
    <definedName name="_ceramic" localSheetId="8">#REF!</definedName>
    <definedName name="_ceramic">#REF!</definedName>
    <definedName name="_cir">#REF!</definedName>
    <definedName name="_cp" localSheetId="21">#REF!</definedName>
    <definedName name="_cp" localSheetId="9">#REF!</definedName>
    <definedName name="_cp" localSheetId="4">#REF!</definedName>
    <definedName name="_cp" localSheetId="8">#REF!</definedName>
    <definedName name="_cp">#REF!</definedName>
    <definedName name="_cur1" localSheetId="21">[13]r!$F$30</definedName>
    <definedName name="_cur1" localSheetId="9">[13]r!$F$30</definedName>
    <definedName name="_cur1" localSheetId="4">[13]r!$F$30</definedName>
    <definedName name="_cur1" localSheetId="8">[13]r!$F$30</definedName>
    <definedName name="_cur1">#REF!</definedName>
    <definedName name="_dadoing" localSheetId="21">#REF!</definedName>
    <definedName name="_dadoing" localSheetId="9">#REF!</definedName>
    <definedName name="_dadoing" localSheetId="4">#REF!</definedName>
    <definedName name="_dadoing" localSheetId="8">#REF!</definedName>
    <definedName name="_dadoing">#REF!</definedName>
    <definedName name="_df3">#REF!</definedName>
    <definedName name="_div">#REF!</definedName>
    <definedName name="_E02">#REF!</definedName>
    <definedName name="_E05">#REF!</definedName>
    <definedName name="_E12">#REF!</definedName>
    <definedName name="_emulsion" localSheetId="21">#REF!</definedName>
    <definedName name="_emulsion" localSheetId="9">#REF!</definedName>
    <definedName name="_emulsion" localSheetId="4">#REF!</definedName>
    <definedName name="_emulsion" localSheetId="8">#REF!</definedName>
    <definedName name="_emulsion">#REF!</definedName>
    <definedName name="_ewe1" localSheetId="21">#REF!</definedName>
    <definedName name="_ewe1" localSheetId="9">#REF!</definedName>
    <definedName name="_ewe1" localSheetId="4">#REF!</definedName>
    <definedName name="_ewe1" localSheetId="8">#REF!</definedName>
    <definedName name="_ewe1" localSheetId="52">#REF!</definedName>
    <definedName name="_ewe1" localSheetId="7">#REF!</definedName>
    <definedName name="_ewe1">#REF!</definedName>
    <definedName name="_f1" localSheetId="21">#REF!</definedName>
    <definedName name="_f1" localSheetId="9">#REF!</definedName>
    <definedName name="_f1" localSheetId="4">#REF!</definedName>
    <definedName name="_f1" localSheetId="8">#REF!</definedName>
    <definedName name="_f1">#REF!</definedName>
    <definedName name="_Fill" localSheetId="21" hidden="1">'[59]final abstract'!#REF!</definedName>
    <definedName name="_Fill" localSheetId="9" hidden="1">'[59]final abstract'!#REF!</definedName>
    <definedName name="_Fill" localSheetId="4" hidden="1">'[59]final abstract'!#REF!</definedName>
    <definedName name="_Fill" localSheetId="8" hidden="1">'[59]final abstract'!#REF!</definedName>
    <definedName name="_Fill" hidden="1">#REF!</definedName>
    <definedName name="_xlnm._FilterDatabase" localSheetId="25" hidden="1">' DATA -Sanitary&amp;water supply'!$A$4:$J$20</definedName>
    <definedName name="_xlnm._FilterDatabase" localSheetId="23" hidden="1">' data-Doors window- Sal Wood '!$A$27:$R$459</definedName>
    <definedName name="_xlnm._FilterDatabase" localSheetId="48" hidden="1">' Doors and windows '!$A$5:$EO$5</definedName>
    <definedName name="_xlnm._FilterDatabase" localSheetId="46" hidden="1">' Doors window- Country '!$A$4:$R$421</definedName>
    <definedName name="_xlnm._FilterDatabase" localSheetId="47" hidden="1">' Doors window- Country  -2.0 m'!$A$4:$R$421</definedName>
    <definedName name="_xlnm._FilterDatabase" localSheetId="40" hidden="1">' Doors window- Country 2.0- 1.2'!$A$4:$L$314</definedName>
    <definedName name="_xlnm._FilterDatabase" localSheetId="44" hidden="1">' Doors window- Flush  Door '!$A$27:$R$463</definedName>
    <definedName name="_xlnm._FilterDatabase" localSheetId="45" hidden="1">' Doors window Rythu'!$A$4:$R$420</definedName>
    <definedName name="_xlnm._FilterDatabase" localSheetId="21" hidden="1">' Doors window-Country Wood '!$A$4:$O$457</definedName>
    <definedName name="_xlnm._FilterDatabase" localSheetId="39" hidden="1">'20 TNs Detailed Est '!$A$5:$V$945</definedName>
    <definedName name="_xlnm._FilterDatabase" localSheetId="31" hidden="1">'Bar Bending Schedule'!$A$5:$M$53</definedName>
    <definedName name="_xlnm._FilterDatabase" localSheetId="9">#REF!</definedName>
    <definedName name="_xlnm._FilterDatabase" localSheetId="4">#REF!</definedName>
    <definedName name="_xlnm._FilterDatabase" localSheetId="24" hidden="1">'data- Doors window- Teak'!$A$27:$R$462</definedName>
    <definedName name="_xlnm._FilterDatabase" localSheetId="27" hidden="1">'data-Elec '!$A$3:$O$109</definedName>
    <definedName name="_xlnm._FilterDatabase" localSheetId="22" hidden="1">Datas!$4:$375</definedName>
    <definedName name="_xlnm._FilterDatabase" localSheetId="41" hidden="1">'Datas  Side wall '!$4:$346</definedName>
    <definedName name="_xlnm._FilterDatabase" localSheetId="34" hidden="1">'Elec Estimate'!$A$5:$P$87</definedName>
    <definedName name="_xlnm._FilterDatabase" localSheetId="10" hidden="1">'Est 02.03.23'!$A$7:$U$7</definedName>
    <definedName name="_xlnm._FilterDatabase" localSheetId="43" hidden="1">'Flush Door  Shutter Country'!$A$4:$L$4</definedName>
    <definedName name="_xlnm._FilterDatabase" localSheetId="8">#REF!</definedName>
    <definedName name="_xlnm._FilterDatabase" localSheetId="33" hidden="1">'Modal Estimate '!$A$5:$R$137</definedName>
    <definedName name="_xlnm._FilterDatabase" localSheetId="17" hidden="1">'Rythu Vedhika -12'' ht Proflex'!$A$5:$R$417</definedName>
    <definedName name="_xlnm._FilterDatabase" localSheetId="16" hidden="1">'Rythu Vedhika -12''Trep  (M)'!$A$5:$R$437</definedName>
    <definedName name="_xlnm._FilterDatabase" localSheetId="12" hidden="1">'Rythu Vedhika -12''Trep  (M) (2)'!$A$5:$R$433</definedName>
    <definedName name="_xlnm._FilterDatabase" localSheetId="14" hidden="1">'Rythu Vedhika -12''Trep TeaK Doo'!$A$5:$R$469</definedName>
    <definedName name="_xlnm._FilterDatabase" localSheetId="1" hidden="1">'Rythu Vedhika -14''Trep sheet(H)'!$A$5:$R$436</definedName>
    <definedName name="_xlnm._FilterDatabase" localSheetId="13" hidden="1">'Rythu Vedhika model estimate'!$A$5:$R$478</definedName>
    <definedName name="_xlnm._FilterDatabase" localSheetId="35" hidden="1">'Sanitory Estimate'!$A$5:$P$86</definedName>
    <definedName name="_xlnm._FilterDatabase" localSheetId="36" hidden="1">'Septic tank'!$A$5:$P$48</definedName>
    <definedName name="_xlnm._FilterDatabase">#REF!</definedName>
    <definedName name="_GBS11" localSheetId="21">#REF!</definedName>
    <definedName name="_GBS11" localSheetId="9">#REF!</definedName>
    <definedName name="_GBS11" localSheetId="4">#REF!</definedName>
    <definedName name="_GBS11" localSheetId="8">#REF!</definedName>
    <definedName name="_GBS11">#REF!</definedName>
    <definedName name="_GBS110" localSheetId="21">#REF!</definedName>
    <definedName name="_GBS110" localSheetId="9">#REF!</definedName>
    <definedName name="_GBS110" localSheetId="4">#REF!</definedName>
    <definedName name="_GBS110" localSheetId="8">#REF!</definedName>
    <definedName name="_GBS110">#REF!</definedName>
    <definedName name="_GBS111" localSheetId="21">#REF!</definedName>
    <definedName name="_GBS111" localSheetId="9">#REF!</definedName>
    <definedName name="_GBS111" localSheetId="4">#REF!</definedName>
    <definedName name="_GBS111" localSheetId="8">#REF!</definedName>
    <definedName name="_GBS111">#REF!</definedName>
    <definedName name="_GBS112" localSheetId="21">#REF!</definedName>
    <definedName name="_GBS112" localSheetId="9">#REF!</definedName>
    <definedName name="_GBS112" localSheetId="4">#REF!</definedName>
    <definedName name="_GBS112" localSheetId="8">#REF!</definedName>
    <definedName name="_GBS112">#REF!</definedName>
    <definedName name="_GBS113" localSheetId="21">#REF!</definedName>
    <definedName name="_GBS113" localSheetId="9">#REF!</definedName>
    <definedName name="_GBS113" localSheetId="4">#REF!</definedName>
    <definedName name="_GBS113" localSheetId="8">#REF!</definedName>
    <definedName name="_GBS113">#REF!</definedName>
    <definedName name="_GBS114" localSheetId="21">#REF!</definedName>
    <definedName name="_GBS114" localSheetId="9">#REF!</definedName>
    <definedName name="_GBS114" localSheetId="4">#REF!</definedName>
    <definedName name="_GBS114" localSheetId="8">#REF!</definedName>
    <definedName name="_GBS114">#REF!</definedName>
    <definedName name="_GBS115" localSheetId="21">#REF!</definedName>
    <definedName name="_GBS115" localSheetId="9">#REF!</definedName>
    <definedName name="_GBS115" localSheetId="4">#REF!</definedName>
    <definedName name="_GBS115" localSheetId="8">#REF!</definedName>
    <definedName name="_GBS115">#REF!</definedName>
    <definedName name="_GBS116" localSheetId="4">#REF!</definedName>
    <definedName name="_GBS116">#REF!</definedName>
    <definedName name="_GBS117" localSheetId="4">#REF!</definedName>
    <definedName name="_GBS117">#REF!</definedName>
    <definedName name="_GBS118" localSheetId="4">#REF!</definedName>
    <definedName name="_GBS118">#REF!</definedName>
    <definedName name="_GBS119" localSheetId="4">#REF!</definedName>
    <definedName name="_GBS119">#REF!</definedName>
    <definedName name="_GBS12" localSheetId="21">#REF!</definedName>
    <definedName name="_GBS12" localSheetId="9">#REF!</definedName>
    <definedName name="_GBS12" localSheetId="4">#REF!</definedName>
    <definedName name="_GBS12" localSheetId="8">#REF!</definedName>
    <definedName name="_GBS12">#REF!</definedName>
    <definedName name="_GBS120" localSheetId="4">#REF!</definedName>
    <definedName name="_GBS120">#REF!</definedName>
    <definedName name="_GBS121" localSheetId="4">#REF!</definedName>
    <definedName name="_GBS121">#REF!</definedName>
    <definedName name="_GBS122" localSheetId="4">#REF!</definedName>
    <definedName name="_GBS122">#REF!</definedName>
    <definedName name="_GBS123" localSheetId="4">#REF!</definedName>
    <definedName name="_GBS123">#REF!</definedName>
    <definedName name="_GBS124" localSheetId="4">#REF!</definedName>
    <definedName name="_GBS124">#REF!</definedName>
    <definedName name="_GBS13" localSheetId="21">#REF!</definedName>
    <definedName name="_GBS13" localSheetId="9">#REF!</definedName>
    <definedName name="_GBS13" localSheetId="4">#REF!</definedName>
    <definedName name="_GBS13" localSheetId="8">#REF!</definedName>
    <definedName name="_GBS13">#REF!</definedName>
    <definedName name="_GBS14" localSheetId="21">#REF!</definedName>
    <definedName name="_GBS14" localSheetId="9">#REF!</definedName>
    <definedName name="_GBS14" localSheetId="4">#REF!</definedName>
    <definedName name="_GBS14" localSheetId="8">#REF!</definedName>
    <definedName name="_GBS14">#REF!</definedName>
    <definedName name="_GBS15" localSheetId="21">#REF!</definedName>
    <definedName name="_GBS15" localSheetId="9">#REF!</definedName>
    <definedName name="_GBS15" localSheetId="4">#REF!</definedName>
    <definedName name="_GBS15" localSheetId="8">#REF!</definedName>
    <definedName name="_GBS15">#REF!</definedName>
    <definedName name="_GBS16" localSheetId="21">#REF!</definedName>
    <definedName name="_GBS16" localSheetId="9">#REF!</definedName>
    <definedName name="_GBS16" localSheetId="4">#REF!</definedName>
    <definedName name="_GBS16" localSheetId="8">#REF!</definedName>
    <definedName name="_GBS16">#REF!</definedName>
    <definedName name="_GBS17" localSheetId="21">#REF!</definedName>
    <definedName name="_GBS17" localSheetId="9">#REF!</definedName>
    <definedName name="_GBS17" localSheetId="4">#REF!</definedName>
    <definedName name="_GBS17" localSheetId="8">#REF!</definedName>
    <definedName name="_GBS17">#REF!</definedName>
    <definedName name="_GBS18" localSheetId="21">#REF!</definedName>
    <definedName name="_GBS18" localSheetId="9">#REF!</definedName>
    <definedName name="_GBS18" localSheetId="4">#REF!</definedName>
    <definedName name="_GBS18" localSheetId="8">#REF!</definedName>
    <definedName name="_GBS18">#REF!</definedName>
    <definedName name="_GBS19" localSheetId="21">#REF!</definedName>
    <definedName name="_GBS19" localSheetId="9">#REF!</definedName>
    <definedName name="_GBS19" localSheetId="4">#REF!</definedName>
    <definedName name="_GBS19" localSheetId="8">#REF!</definedName>
    <definedName name="_GBS19">#REF!</definedName>
    <definedName name="_GBS21" localSheetId="21">#REF!</definedName>
    <definedName name="_GBS21" localSheetId="9">#REF!</definedName>
    <definedName name="_GBS21" localSheetId="4">#REF!</definedName>
    <definedName name="_GBS21" localSheetId="8">#REF!</definedName>
    <definedName name="_GBS21">#REF!</definedName>
    <definedName name="_GBS210" localSheetId="21">#REF!</definedName>
    <definedName name="_GBS210" localSheetId="9">#REF!</definedName>
    <definedName name="_GBS210" localSheetId="4">#REF!</definedName>
    <definedName name="_GBS210" localSheetId="8">#REF!</definedName>
    <definedName name="_GBS210">#REF!</definedName>
    <definedName name="_GBS211" localSheetId="21">#REF!</definedName>
    <definedName name="_GBS211" localSheetId="9">#REF!</definedName>
    <definedName name="_GBS211" localSheetId="4">#REF!</definedName>
    <definedName name="_GBS211" localSheetId="8">#REF!</definedName>
    <definedName name="_GBS211">#REF!</definedName>
    <definedName name="_GBS212" localSheetId="21">#REF!</definedName>
    <definedName name="_GBS212" localSheetId="9">#REF!</definedName>
    <definedName name="_GBS212" localSheetId="4">#REF!</definedName>
    <definedName name="_GBS212" localSheetId="8">#REF!</definedName>
    <definedName name="_GBS212">#REF!</definedName>
    <definedName name="_GBS213" localSheetId="21">#REF!</definedName>
    <definedName name="_GBS213" localSheetId="9">#REF!</definedName>
    <definedName name="_GBS213" localSheetId="4">#REF!</definedName>
    <definedName name="_GBS213" localSheetId="8">#REF!</definedName>
    <definedName name="_GBS213">#REF!</definedName>
    <definedName name="_GBS214" localSheetId="21">#REF!</definedName>
    <definedName name="_GBS214" localSheetId="9">#REF!</definedName>
    <definedName name="_GBS214" localSheetId="4">#REF!</definedName>
    <definedName name="_GBS214" localSheetId="8">#REF!</definedName>
    <definedName name="_GBS214">#REF!</definedName>
    <definedName name="_GBS215" localSheetId="21">#REF!</definedName>
    <definedName name="_GBS215" localSheetId="9">#REF!</definedName>
    <definedName name="_GBS215" localSheetId="4">#REF!</definedName>
    <definedName name="_GBS215" localSheetId="8">#REF!</definedName>
    <definedName name="_GBS215">#REF!</definedName>
    <definedName name="_GBS216" localSheetId="4">#REF!</definedName>
    <definedName name="_GBS216">#REF!</definedName>
    <definedName name="_GBS217" localSheetId="4">#REF!</definedName>
    <definedName name="_GBS217">#REF!</definedName>
    <definedName name="_GBS218" localSheetId="4">#REF!</definedName>
    <definedName name="_GBS218">#REF!</definedName>
    <definedName name="_GBS219" localSheetId="4">#REF!</definedName>
    <definedName name="_GBS219">#REF!</definedName>
    <definedName name="_GBS22" localSheetId="21">#REF!</definedName>
    <definedName name="_GBS22" localSheetId="9">#REF!</definedName>
    <definedName name="_GBS22" localSheetId="4">#REF!</definedName>
    <definedName name="_GBS22" localSheetId="8">#REF!</definedName>
    <definedName name="_GBS22">#REF!</definedName>
    <definedName name="_GBS220" localSheetId="4">#REF!</definedName>
    <definedName name="_GBS220">#REF!</definedName>
    <definedName name="_GBS221" localSheetId="4">#REF!</definedName>
    <definedName name="_GBS221">#REF!</definedName>
    <definedName name="_GBS222" localSheetId="4">#REF!</definedName>
    <definedName name="_GBS222">#REF!</definedName>
    <definedName name="_GBS223" localSheetId="4">#REF!</definedName>
    <definedName name="_GBS223">#REF!</definedName>
    <definedName name="_GBS224" localSheetId="4">#REF!</definedName>
    <definedName name="_GBS224">#REF!</definedName>
    <definedName name="_GBS23" localSheetId="21">#REF!</definedName>
    <definedName name="_GBS23" localSheetId="9">#REF!</definedName>
    <definedName name="_GBS23" localSheetId="4">#REF!</definedName>
    <definedName name="_GBS23" localSheetId="8">#REF!</definedName>
    <definedName name="_GBS23">#REF!</definedName>
    <definedName name="_GBS24" localSheetId="21">#REF!</definedName>
    <definedName name="_GBS24" localSheetId="9">#REF!</definedName>
    <definedName name="_GBS24" localSheetId="4">#REF!</definedName>
    <definedName name="_GBS24" localSheetId="8">#REF!</definedName>
    <definedName name="_GBS24">#REF!</definedName>
    <definedName name="_GBS25" localSheetId="21">#REF!</definedName>
    <definedName name="_GBS25" localSheetId="9">#REF!</definedName>
    <definedName name="_GBS25" localSheetId="4">#REF!</definedName>
    <definedName name="_GBS25" localSheetId="8">#REF!</definedName>
    <definedName name="_GBS25">#REF!</definedName>
    <definedName name="_GBS26" localSheetId="21">#REF!</definedName>
    <definedName name="_GBS26" localSheetId="9">#REF!</definedName>
    <definedName name="_GBS26" localSheetId="4">#REF!</definedName>
    <definedName name="_GBS26" localSheetId="8">#REF!</definedName>
    <definedName name="_GBS26">#REF!</definedName>
    <definedName name="_GBS27" localSheetId="21">#REF!</definedName>
    <definedName name="_GBS27" localSheetId="9">#REF!</definedName>
    <definedName name="_GBS27" localSheetId="4">#REF!</definedName>
    <definedName name="_GBS27" localSheetId="8">#REF!</definedName>
    <definedName name="_GBS27">#REF!</definedName>
    <definedName name="_GBS28" localSheetId="21">#REF!</definedName>
    <definedName name="_GBS28" localSheetId="9">#REF!</definedName>
    <definedName name="_GBS28" localSheetId="4">#REF!</definedName>
    <definedName name="_GBS28" localSheetId="8">#REF!</definedName>
    <definedName name="_GBS28">#REF!</definedName>
    <definedName name="_GBS29" localSheetId="21">#REF!</definedName>
    <definedName name="_GBS29" localSheetId="9">#REF!</definedName>
    <definedName name="_GBS29" localSheetId="4">#REF!</definedName>
    <definedName name="_GBS29" localSheetId="8">#REF!</definedName>
    <definedName name="_GBS29">#REF!</definedName>
    <definedName name="_GRA" localSheetId="21">#REF!</definedName>
    <definedName name="_GRA" localSheetId="9">#REF!</definedName>
    <definedName name="_GRA" localSheetId="4">#REF!</definedName>
    <definedName name="_GRA" localSheetId="8">#REF!</definedName>
    <definedName name="_GRA" localSheetId="7">#REF!</definedName>
    <definedName name="_GRA">#REF!</definedName>
    <definedName name="_grp10003">#REF!</definedName>
    <definedName name="_grp3503">#REF!</definedName>
    <definedName name="_grp4003">#REF!</definedName>
    <definedName name="_grp4503">#REF!</definedName>
    <definedName name="_grp5003">#REF!</definedName>
    <definedName name="_grp6003">#REF!</definedName>
    <definedName name="_grp7003">#REF!</definedName>
    <definedName name="_grp8003">#REF!</definedName>
    <definedName name="_grp9003">#REF!</definedName>
    <definedName name="_grstn" localSheetId="21">#REF!</definedName>
    <definedName name="_grstn" localSheetId="9">#REF!</definedName>
    <definedName name="_grstn" localSheetId="4">#REF!</definedName>
    <definedName name="_grstn" localSheetId="8">#REF!</definedName>
    <definedName name="_grstn">#REF!</definedName>
    <definedName name="_I06" localSheetId="21">#REF!</definedName>
    <definedName name="_I06" localSheetId="9">#REF!</definedName>
    <definedName name="_I06" localSheetId="4">#REF!</definedName>
    <definedName name="_I06" localSheetId="8">#REF!</definedName>
    <definedName name="_I06" localSheetId="7">#REF!</definedName>
    <definedName name="_I06">#REF!</definedName>
    <definedName name="_I10" localSheetId="21">#REF!</definedName>
    <definedName name="_I10" localSheetId="9">#REF!</definedName>
    <definedName name="_I10" localSheetId="4">#REF!</definedName>
    <definedName name="_I10" localSheetId="8">#REF!</definedName>
    <definedName name="_I10" localSheetId="7">#REF!</definedName>
    <definedName name="_I10">#REF!</definedName>
    <definedName name="_I12" localSheetId="21">#REF!</definedName>
    <definedName name="_I12" localSheetId="9">#REF!</definedName>
    <definedName name="_I12" localSheetId="4">#REF!</definedName>
    <definedName name="_I12" localSheetId="8">#REF!</definedName>
    <definedName name="_I12" localSheetId="7">#REF!</definedName>
    <definedName name="_I12">#REF!</definedName>
    <definedName name="_I150" localSheetId="21">#REF!</definedName>
    <definedName name="_I150" localSheetId="9">#REF!</definedName>
    <definedName name="_I150" localSheetId="4">#REF!</definedName>
    <definedName name="_I150" localSheetId="8">#REF!</definedName>
    <definedName name="_I150" localSheetId="7">#REF!</definedName>
    <definedName name="_I150">#REF!</definedName>
    <definedName name="_I20" localSheetId="21">#REF!</definedName>
    <definedName name="_I20" localSheetId="9">#REF!</definedName>
    <definedName name="_I20" localSheetId="4">#REF!</definedName>
    <definedName name="_I20" localSheetId="8">#REF!</definedName>
    <definedName name="_I20" localSheetId="7">#REF!</definedName>
    <definedName name="_I20">#REF!</definedName>
    <definedName name="_I25" localSheetId="21">#REF!</definedName>
    <definedName name="_I25" localSheetId="9">#REF!</definedName>
    <definedName name="_I25" localSheetId="4">#REF!</definedName>
    <definedName name="_I25" localSheetId="8">#REF!</definedName>
    <definedName name="_I25" localSheetId="7">#REF!</definedName>
    <definedName name="_I25">#REF!</definedName>
    <definedName name="_I40" localSheetId="21">#REF!</definedName>
    <definedName name="_I40" localSheetId="9">#REF!</definedName>
    <definedName name="_I40" localSheetId="4">#REF!</definedName>
    <definedName name="_I40" localSheetId="8">#REF!</definedName>
    <definedName name="_I40" localSheetId="7">#REF!</definedName>
    <definedName name="_I40">#REF!</definedName>
    <definedName name="_I50" localSheetId="21">#REF!</definedName>
    <definedName name="_I50" localSheetId="9">#REF!</definedName>
    <definedName name="_I50" localSheetId="4">#REF!</definedName>
    <definedName name="_I50" localSheetId="8">#REF!</definedName>
    <definedName name="_I50" localSheetId="7">#REF!</definedName>
    <definedName name="_I50">#REF!</definedName>
    <definedName name="_I60" localSheetId="21">#REF!</definedName>
    <definedName name="_I60" localSheetId="9">#REF!</definedName>
    <definedName name="_I60" localSheetId="4">#REF!</definedName>
    <definedName name="_I60" localSheetId="8">#REF!</definedName>
    <definedName name="_I60" localSheetId="7">#REF!</definedName>
    <definedName name="_I60">#REF!</definedName>
    <definedName name="_I65" localSheetId="21">#REF!</definedName>
    <definedName name="_I65" localSheetId="9">#REF!</definedName>
    <definedName name="_I65" localSheetId="4">#REF!</definedName>
    <definedName name="_I65" localSheetId="8">#REF!</definedName>
    <definedName name="_I65" localSheetId="7">#REF!</definedName>
    <definedName name="_I65">#REF!</definedName>
    <definedName name="_I75" localSheetId="21">#REF!</definedName>
    <definedName name="_I75" localSheetId="9">#REF!</definedName>
    <definedName name="_I75" localSheetId="4">#REF!</definedName>
    <definedName name="_I75" localSheetId="8">#REF!</definedName>
    <definedName name="_I75" localSheetId="7">#REF!</definedName>
    <definedName name="_I75">#REF!</definedName>
    <definedName name="_imp1" localSheetId="21">[44]DATA_PRG!$H$245</definedName>
    <definedName name="_imp1" localSheetId="9">[44]DATA_PRG!$H$245</definedName>
    <definedName name="_imp1" localSheetId="4">[44]DATA_PRG!$H$245</definedName>
    <definedName name="_imp1" localSheetId="8">[44]DATA_PRG!$H$245</definedName>
    <definedName name="_imp1">#REF!</definedName>
    <definedName name="_knr2" localSheetId="21">#REF!</definedName>
    <definedName name="_knr2" localSheetId="9">#REF!</definedName>
    <definedName name="_knr2" localSheetId="4">#REF!</definedName>
    <definedName name="_knr2" localSheetId="10">#REF!</definedName>
    <definedName name="_knr2" localSheetId="8">#REF!</definedName>
    <definedName name="_knr2">#REF!</definedName>
    <definedName name="_l1" localSheetId="21">[61]leads!$A$3:$E$108</definedName>
    <definedName name="_l1" localSheetId="9">[61]leads!$A$3:$E$108</definedName>
    <definedName name="_l1" localSheetId="4">[61]leads!$A$3:$E$108</definedName>
    <definedName name="_l1" localSheetId="8">[61]leads!$A$3:$E$108</definedName>
    <definedName name="_l1" localSheetId="7">#REF!</definedName>
    <definedName name="_l1">#REF!</definedName>
    <definedName name="_l12" localSheetId="23">#REF!</definedName>
    <definedName name="_l12" localSheetId="46">#REF!</definedName>
    <definedName name="_l12" localSheetId="47">#REF!</definedName>
    <definedName name="_l12" localSheetId="40">#REF!</definedName>
    <definedName name="_l12" localSheetId="44">#REF!</definedName>
    <definedName name="_l12" localSheetId="45">#REF!</definedName>
    <definedName name="_l12" localSheetId="21">#REF!</definedName>
    <definedName name="_l12" localSheetId="39">#REF!</definedName>
    <definedName name="_l12" localSheetId="9">#REF!</definedName>
    <definedName name="_l12" localSheetId="4">#REF!</definedName>
    <definedName name="_l12" localSheetId="24">#REF!</definedName>
    <definedName name="_l12" localSheetId="34">#REF!</definedName>
    <definedName name="_l12" localSheetId="10">#REF!</definedName>
    <definedName name="_l12" localSheetId="43">#REF!</definedName>
    <definedName name="_l12" localSheetId="8">#REF!</definedName>
    <definedName name="_l12" localSheetId="33">#REF!</definedName>
    <definedName name="_l12" localSheetId="17">#REF!</definedName>
    <definedName name="_l12" localSheetId="16">#REF!</definedName>
    <definedName name="_l12" localSheetId="12">#REF!</definedName>
    <definedName name="_l12" localSheetId="14">#REF!</definedName>
    <definedName name="_l12" localSheetId="1">#REF!</definedName>
    <definedName name="_l12" localSheetId="13">#REF!</definedName>
    <definedName name="_l12" localSheetId="35">#REF!</definedName>
    <definedName name="_l12" localSheetId="36">#REF!</definedName>
    <definedName name="_l12" localSheetId="52">#REF!</definedName>
    <definedName name="_l12" localSheetId="7">#REF!</definedName>
    <definedName name="_l12" localSheetId="30">#REF!</definedName>
    <definedName name="_l12" localSheetId="15">#REF!</definedName>
    <definedName name="_l12" localSheetId="11">#REF!</definedName>
    <definedName name="_l12" localSheetId="2">#REF!</definedName>
    <definedName name="_l12" localSheetId="0">#REF!</definedName>
    <definedName name="_l12">#REF!</definedName>
    <definedName name="_l2" localSheetId="21">[13]r!$F$29</definedName>
    <definedName name="_l2" localSheetId="9">[13]r!$F$29</definedName>
    <definedName name="_l2" localSheetId="4">[13]r!$F$29</definedName>
    <definedName name="_l2" localSheetId="8">[13]r!$F$29</definedName>
    <definedName name="_l2">#REF!</definedName>
    <definedName name="_l3" localSheetId="23">#REF!</definedName>
    <definedName name="_l3" localSheetId="46">#REF!</definedName>
    <definedName name="_l3" localSheetId="47">#REF!</definedName>
    <definedName name="_l3" localSheetId="40">#REF!</definedName>
    <definedName name="_l3" localSheetId="44">#REF!</definedName>
    <definedName name="_l3" localSheetId="45">#REF!</definedName>
    <definedName name="_l3" localSheetId="21">#REF!</definedName>
    <definedName name="_l3" localSheetId="39">#REF!</definedName>
    <definedName name="_l3" localSheetId="9">#REF!</definedName>
    <definedName name="_l3" localSheetId="4">#REF!</definedName>
    <definedName name="_l3" localSheetId="24">#REF!</definedName>
    <definedName name="_l3" localSheetId="34">#REF!</definedName>
    <definedName name="_l3" localSheetId="10">#REF!</definedName>
    <definedName name="_l3" localSheetId="43">#REF!</definedName>
    <definedName name="_l3" localSheetId="8">#REF!</definedName>
    <definedName name="_l3" localSheetId="33">#REF!</definedName>
    <definedName name="_l3" localSheetId="17">#REF!</definedName>
    <definedName name="_l3" localSheetId="16">#REF!</definedName>
    <definedName name="_l3" localSheetId="12">#REF!</definedName>
    <definedName name="_l3" localSheetId="14">#REF!</definedName>
    <definedName name="_l3" localSheetId="1">#REF!</definedName>
    <definedName name="_l3" localSheetId="13">#REF!</definedName>
    <definedName name="_l3" localSheetId="35">#REF!</definedName>
    <definedName name="_l3" localSheetId="36">#REF!</definedName>
    <definedName name="_l3" localSheetId="52">#REF!</definedName>
    <definedName name="_l3" localSheetId="7">#REF!</definedName>
    <definedName name="_l3" localSheetId="30">#REF!</definedName>
    <definedName name="_l3" localSheetId="15">#REF!</definedName>
    <definedName name="_l3" localSheetId="11">#REF!</definedName>
    <definedName name="_l3" localSheetId="2">#REF!</definedName>
    <definedName name="_l3" localSheetId="0">#REF!</definedName>
    <definedName name="_l3">#REF!</definedName>
    <definedName name="_l4" localSheetId="21">[62]Sheet1!$W$2:$Y$103</definedName>
    <definedName name="_l4" localSheetId="9">[62]Sheet1!$W$2:$Y$103</definedName>
    <definedName name="_l4" localSheetId="4">[62]Sheet1!$W$2:$Y$103</definedName>
    <definedName name="_l4" localSheetId="8">[62]Sheet1!$W$2:$Y$103</definedName>
    <definedName name="_l4" localSheetId="7">#REF!</definedName>
    <definedName name="_l4">#REF!</definedName>
    <definedName name="_l5" localSheetId="23">#REF!</definedName>
    <definedName name="_l5" localSheetId="46">#REF!</definedName>
    <definedName name="_l5" localSheetId="47">#REF!</definedName>
    <definedName name="_l5" localSheetId="40">#REF!</definedName>
    <definedName name="_l5" localSheetId="44">#REF!</definedName>
    <definedName name="_l5" localSheetId="45">#REF!</definedName>
    <definedName name="_l5" localSheetId="21">#REF!</definedName>
    <definedName name="_l5" localSheetId="39">#REF!</definedName>
    <definedName name="_l5" localSheetId="9">#REF!</definedName>
    <definedName name="_l5" localSheetId="4">#REF!</definedName>
    <definedName name="_l5" localSheetId="24">#REF!</definedName>
    <definedName name="_l5" localSheetId="34">#REF!</definedName>
    <definedName name="_l5" localSheetId="10">#REF!</definedName>
    <definedName name="_l5" localSheetId="43">#REF!</definedName>
    <definedName name="_l5" localSheetId="8">#REF!</definedName>
    <definedName name="_l5" localSheetId="33">#REF!</definedName>
    <definedName name="_l5" localSheetId="17">#REF!</definedName>
    <definedName name="_l5" localSheetId="16">#REF!</definedName>
    <definedName name="_l5" localSheetId="12">#REF!</definedName>
    <definedName name="_l5" localSheetId="14">#REF!</definedName>
    <definedName name="_l5" localSheetId="1">#REF!</definedName>
    <definedName name="_l5" localSheetId="13">#REF!</definedName>
    <definedName name="_l5" localSheetId="35">#REF!</definedName>
    <definedName name="_l5" localSheetId="36">#REF!</definedName>
    <definedName name="_l5" localSheetId="52">#REF!</definedName>
    <definedName name="_l5" localSheetId="7">#REF!</definedName>
    <definedName name="_l5" localSheetId="30">#REF!</definedName>
    <definedName name="_l5" localSheetId="15">#REF!</definedName>
    <definedName name="_l5" localSheetId="11">#REF!</definedName>
    <definedName name="_l5" localSheetId="2">#REF!</definedName>
    <definedName name="_l5" localSheetId="0">#REF!</definedName>
    <definedName name="_l5">#REF!</definedName>
    <definedName name="_l6" localSheetId="21">[13]r!$F$4</definedName>
    <definedName name="_l6" localSheetId="9">[13]r!$F$4</definedName>
    <definedName name="_l6" localSheetId="4">[13]r!$F$4</definedName>
    <definedName name="_l6" localSheetId="8">[13]r!$F$4</definedName>
    <definedName name="_l6">#REF!</definedName>
    <definedName name="_l7" localSheetId="21">[14]r!$F$4</definedName>
    <definedName name="_l7" localSheetId="9">[14]r!$F$4</definedName>
    <definedName name="_l7" localSheetId="4">[14]r!$F$4</definedName>
    <definedName name="_l7" localSheetId="8">[14]r!$F$4</definedName>
    <definedName name="_l7">#REF!</definedName>
    <definedName name="_l8" localSheetId="21">[13]r!$F$2</definedName>
    <definedName name="_l8" localSheetId="9">[13]r!$F$2</definedName>
    <definedName name="_l8" localSheetId="4">[13]r!$F$2</definedName>
    <definedName name="_l8" localSheetId="8">[13]r!$F$2</definedName>
    <definedName name="_l8">#REF!</definedName>
    <definedName name="_l9" localSheetId="21">[13]r!$F$3</definedName>
    <definedName name="_l9" localSheetId="9">[13]r!$F$3</definedName>
    <definedName name="_l9" localSheetId="4">[13]r!$F$3</definedName>
    <definedName name="_l9" localSheetId="8">[13]r!$F$3</definedName>
    <definedName name="_l9">#REF!</definedName>
    <definedName name="_LI9">#REF!</definedName>
    <definedName name="_LII9">#REF!</definedName>
    <definedName name="_LJ6" localSheetId="21">[42]DATA!$H$245</definedName>
    <definedName name="_LJ6" localSheetId="9">[42]DATA!$H$245</definedName>
    <definedName name="_LJ6" localSheetId="4">[42]DATA!$H$245</definedName>
    <definedName name="_LJ6" localSheetId="8">[42]DATA!$H$245</definedName>
    <definedName name="_LJ6" localSheetId="7">#REF!</definedName>
    <definedName name="_LJ6">#REF!</definedName>
    <definedName name="_lj600" localSheetId="4">#REF!</definedName>
    <definedName name="_lj600">#REF!</definedName>
    <definedName name="_lj900" localSheetId="21">#REF!</definedName>
    <definedName name="_lj900" localSheetId="9">#REF!</definedName>
    <definedName name="_lj900" localSheetId="4">#REF!</definedName>
    <definedName name="_lj900" localSheetId="8">#REF!</definedName>
    <definedName name="_lj900">#REF!</definedName>
    <definedName name="_LL3" localSheetId="4">#REF!</definedName>
    <definedName name="_LL3">#REF!</definedName>
    <definedName name="_M17">#REF!</definedName>
    <definedName name="_M38">#REF!</definedName>
    <definedName name="_M67">#REF!</definedName>
    <definedName name="_ma" localSheetId="21">#REF!</definedName>
    <definedName name="_ma" localSheetId="9">#REF!</definedName>
    <definedName name="_ma" localSheetId="4">#REF!</definedName>
    <definedName name="_ma" localSheetId="8">#REF!</definedName>
    <definedName name="_ma">#REF!</definedName>
    <definedName name="_ma1" localSheetId="21">#REF!</definedName>
    <definedName name="_ma1" localSheetId="9">#REF!</definedName>
    <definedName name="_ma1" localSheetId="4">#REF!</definedName>
    <definedName name="_ma1" localSheetId="8">#REF!</definedName>
    <definedName name="_ma1">#REF!</definedName>
    <definedName name="_ma2" localSheetId="21">#REF!</definedName>
    <definedName name="_ma2" localSheetId="9">#REF!</definedName>
    <definedName name="_ma2" localSheetId="4">#REF!</definedName>
    <definedName name="_ma2" localSheetId="8">#REF!</definedName>
    <definedName name="_ma2">#REF!</definedName>
    <definedName name="_man1" localSheetId="21">[41]m!$B$149</definedName>
    <definedName name="_man1" localSheetId="9">[41]m!$B$149</definedName>
    <definedName name="_man1" localSheetId="4">[41]m!$B$149</definedName>
    <definedName name="_man1" localSheetId="8">[41]m!$B$149</definedName>
    <definedName name="_man1">#REF!</definedName>
    <definedName name="_melamine" localSheetId="21">#REF!</definedName>
    <definedName name="_melamine" localSheetId="9">#REF!</definedName>
    <definedName name="_melamine" localSheetId="4">#REF!</definedName>
    <definedName name="_melamine" localSheetId="8">#REF!</definedName>
    <definedName name="_melamine">#REF!</definedName>
    <definedName name="_MIX124" localSheetId="21">[18]maya!$A$11:$A$18</definedName>
    <definedName name="_MIX124" localSheetId="9">[18]maya!$A$11:$A$18</definedName>
    <definedName name="_MIX124" localSheetId="4">[18]maya!$A$11:$A$18</definedName>
    <definedName name="_MIX124" localSheetId="8">[18]maya!$A$11:$A$18</definedName>
    <definedName name="_MIX124">#REF!</definedName>
    <definedName name="_ML11">#REF!</definedName>
    <definedName name="_ML110">#REF!</definedName>
    <definedName name="_ML111">#REF!</definedName>
    <definedName name="_ML112">#REF!</definedName>
    <definedName name="_ML113">#REF!</definedName>
    <definedName name="_ML114">#REF!</definedName>
    <definedName name="_ML115">#REF!</definedName>
    <definedName name="_ML12">#REF!</definedName>
    <definedName name="_ML13">#REF!</definedName>
    <definedName name="_ML14">#REF!</definedName>
    <definedName name="_ML15">#REF!</definedName>
    <definedName name="_ML16">#REF!</definedName>
    <definedName name="_ML17">#REF!</definedName>
    <definedName name="_ML18">#REF!</definedName>
    <definedName name="_ML19">#REF!</definedName>
    <definedName name="_ML21" localSheetId="21">#REF!</definedName>
    <definedName name="_ML21" localSheetId="9">#REF!</definedName>
    <definedName name="_ML21" localSheetId="4">#REF!</definedName>
    <definedName name="_ML21" localSheetId="8">#REF!</definedName>
    <definedName name="_ML21">#REF!</definedName>
    <definedName name="_ML210" localSheetId="21">#REF!</definedName>
    <definedName name="_ML210" localSheetId="9">#REF!</definedName>
    <definedName name="_ML210" localSheetId="4">#REF!</definedName>
    <definedName name="_ML210" localSheetId="8">#REF!</definedName>
    <definedName name="_ML210">#REF!</definedName>
    <definedName name="_ML211" localSheetId="21">#REF!</definedName>
    <definedName name="_ML211" localSheetId="9">#REF!</definedName>
    <definedName name="_ML211" localSheetId="4">#REF!</definedName>
    <definedName name="_ML211" localSheetId="8">#REF!</definedName>
    <definedName name="_ML211">#REF!</definedName>
    <definedName name="_ML212" localSheetId="21">#REF!</definedName>
    <definedName name="_ML212" localSheetId="9">#REF!</definedName>
    <definedName name="_ML212" localSheetId="4">#REF!</definedName>
    <definedName name="_ML212" localSheetId="8">#REF!</definedName>
    <definedName name="_ML212">#REF!</definedName>
    <definedName name="_ML213" localSheetId="21">#REF!</definedName>
    <definedName name="_ML213" localSheetId="9">#REF!</definedName>
    <definedName name="_ML213" localSheetId="4">#REF!</definedName>
    <definedName name="_ML213" localSheetId="8">#REF!</definedName>
    <definedName name="_ML213">#REF!</definedName>
    <definedName name="_ML214" localSheetId="21">#REF!</definedName>
    <definedName name="_ML214" localSheetId="9">#REF!</definedName>
    <definedName name="_ML214" localSheetId="4">#REF!</definedName>
    <definedName name="_ML214" localSheetId="8">#REF!</definedName>
    <definedName name="_ML214">#REF!</definedName>
    <definedName name="_ML215" localSheetId="21">#REF!</definedName>
    <definedName name="_ML215" localSheetId="9">#REF!</definedName>
    <definedName name="_ML215" localSheetId="4">#REF!</definedName>
    <definedName name="_ML215" localSheetId="8">#REF!</definedName>
    <definedName name="_ML215">#REF!</definedName>
    <definedName name="_ML216" localSheetId="4">#REF!</definedName>
    <definedName name="_ML216">#REF!</definedName>
    <definedName name="_ML217" localSheetId="4">#REF!</definedName>
    <definedName name="_ML217">#REF!</definedName>
    <definedName name="_ML218" localSheetId="4">#REF!</definedName>
    <definedName name="_ML218">#REF!</definedName>
    <definedName name="_ML219" localSheetId="4">#REF!</definedName>
    <definedName name="_ML219">#REF!</definedName>
    <definedName name="_ML22" localSheetId="21">#REF!</definedName>
    <definedName name="_ML22" localSheetId="9">#REF!</definedName>
    <definedName name="_ML22" localSheetId="4">#REF!</definedName>
    <definedName name="_ML22" localSheetId="8">#REF!</definedName>
    <definedName name="_ML22">#REF!</definedName>
    <definedName name="_ML220" localSheetId="4">#REF!</definedName>
    <definedName name="_ML220">#REF!</definedName>
    <definedName name="_ML221" localSheetId="4">#REF!</definedName>
    <definedName name="_ML221">#REF!</definedName>
    <definedName name="_ML222" localSheetId="4">#REF!</definedName>
    <definedName name="_ML222">#REF!</definedName>
    <definedName name="_ML223" localSheetId="4">#REF!</definedName>
    <definedName name="_ML223">#REF!</definedName>
    <definedName name="_ML224" localSheetId="4">#REF!</definedName>
    <definedName name="_ML224">#REF!</definedName>
    <definedName name="_ML23" localSheetId="21">#REF!</definedName>
    <definedName name="_ML23" localSheetId="9">#REF!</definedName>
    <definedName name="_ML23" localSheetId="4">#REF!</definedName>
    <definedName name="_ML23" localSheetId="8">#REF!</definedName>
    <definedName name="_ML23">#REF!</definedName>
    <definedName name="_ML24" localSheetId="21">#REF!</definedName>
    <definedName name="_ML24" localSheetId="9">#REF!</definedName>
    <definedName name="_ML24" localSheetId="4">#REF!</definedName>
    <definedName name="_ML24" localSheetId="8">#REF!</definedName>
    <definedName name="_ML24">#REF!</definedName>
    <definedName name="_ML25" localSheetId="21">#REF!</definedName>
    <definedName name="_ML25" localSheetId="9">#REF!</definedName>
    <definedName name="_ML25" localSheetId="4">#REF!</definedName>
    <definedName name="_ML25" localSheetId="8">#REF!</definedName>
    <definedName name="_ML25">#REF!</definedName>
    <definedName name="_ML26" localSheetId="21">#REF!</definedName>
    <definedName name="_ML26" localSheetId="9">#REF!</definedName>
    <definedName name="_ML26" localSheetId="4">#REF!</definedName>
    <definedName name="_ML26" localSheetId="8">#REF!</definedName>
    <definedName name="_ML26">#REF!</definedName>
    <definedName name="_ML27" localSheetId="21">#REF!</definedName>
    <definedName name="_ML27" localSheetId="9">#REF!</definedName>
    <definedName name="_ML27" localSheetId="4">#REF!</definedName>
    <definedName name="_ML27" localSheetId="8">#REF!</definedName>
    <definedName name="_ML27">#REF!</definedName>
    <definedName name="_ML28" localSheetId="21">#REF!</definedName>
    <definedName name="_ML28" localSheetId="9">#REF!</definedName>
    <definedName name="_ML28" localSheetId="4">#REF!</definedName>
    <definedName name="_ML28" localSheetId="8">#REF!</definedName>
    <definedName name="_ML28">#REF!</definedName>
    <definedName name="_ML29" localSheetId="21">#REF!</definedName>
    <definedName name="_ML29" localSheetId="9">#REF!</definedName>
    <definedName name="_ML29" localSheetId="4">#REF!</definedName>
    <definedName name="_ML29" localSheetId="8">#REF!</definedName>
    <definedName name="_ML29">#REF!</definedName>
    <definedName name="_ML31" localSheetId="21">#REF!</definedName>
    <definedName name="_ML31" localSheetId="9">#REF!</definedName>
    <definedName name="_ML31" localSheetId="4">#REF!</definedName>
    <definedName name="_ML31" localSheetId="8">#REF!</definedName>
    <definedName name="_ML31">#REF!</definedName>
    <definedName name="_ML310" localSheetId="21">#REF!</definedName>
    <definedName name="_ML310" localSheetId="9">#REF!</definedName>
    <definedName name="_ML310" localSheetId="4">#REF!</definedName>
    <definedName name="_ML310" localSheetId="8">#REF!</definedName>
    <definedName name="_ML310">#REF!</definedName>
    <definedName name="_ML311" localSheetId="21">#REF!</definedName>
    <definedName name="_ML311" localSheetId="9">#REF!</definedName>
    <definedName name="_ML311" localSheetId="4">#REF!</definedName>
    <definedName name="_ML311" localSheetId="8">#REF!</definedName>
    <definedName name="_ML311">#REF!</definedName>
    <definedName name="_ML312" localSheetId="21">#REF!</definedName>
    <definedName name="_ML312" localSheetId="9">#REF!</definedName>
    <definedName name="_ML312" localSheetId="4">#REF!</definedName>
    <definedName name="_ML312" localSheetId="8">#REF!</definedName>
    <definedName name="_ML312">#REF!</definedName>
    <definedName name="_ML313" localSheetId="21">#REF!</definedName>
    <definedName name="_ML313" localSheetId="9">#REF!</definedName>
    <definedName name="_ML313" localSheetId="4">#REF!</definedName>
    <definedName name="_ML313" localSheetId="8">#REF!</definedName>
    <definedName name="_ML313">#REF!</definedName>
    <definedName name="_ML314" localSheetId="21">#REF!</definedName>
    <definedName name="_ML314" localSheetId="9">#REF!</definedName>
    <definedName name="_ML314" localSheetId="4">#REF!</definedName>
    <definedName name="_ML314" localSheetId="8">#REF!</definedName>
    <definedName name="_ML314">#REF!</definedName>
    <definedName name="_ML315" localSheetId="21">#REF!</definedName>
    <definedName name="_ML315" localSheetId="9">#REF!</definedName>
    <definedName name="_ML315" localSheetId="4">#REF!</definedName>
    <definedName name="_ML315" localSheetId="8">#REF!</definedName>
    <definedName name="_ML315">#REF!</definedName>
    <definedName name="_ML316" localSheetId="4">#REF!</definedName>
    <definedName name="_ML316">#REF!</definedName>
    <definedName name="_ML317" localSheetId="4">#REF!</definedName>
    <definedName name="_ML317">#REF!</definedName>
    <definedName name="_ML318" localSheetId="4">#REF!</definedName>
    <definedName name="_ML318">#REF!</definedName>
    <definedName name="_ML319" localSheetId="4">#REF!</definedName>
    <definedName name="_ML319">#REF!</definedName>
    <definedName name="_ML32" localSheetId="21">#REF!</definedName>
    <definedName name="_ML32" localSheetId="9">#REF!</definedName>
    <definedName name="_ML32" localSheetId="4">#REF!</definedName>
    <definedName name="_ML32" localSheetId="8">#REF!</definedName>
    <definedName name="_ML32">#REF!</definedName>
    <definedName name="_ML320" localSheetId="4">#REF!</definedName>
    <definedName name="_ML320">#REF!</definedName>
    <definedName name="_ML321" localSheetId="4">#REF!</definedName>
    <definedName name="_ML321">#REF!</definedName>
    <definedName name="_ML322" localSheetId="4">#REF!</definedName>
    <definedName name="_ML322">#REF!</definedName>
    <definedName name="_ML323" localSheetId="4">#REF!</definedName>
    <definedName name="_ML323">#REF!</definedName>
    <definedName name="_ML324" localSheetId="4">#REF!</definedName>
    <definedName name="_ML324">#REF!</definedName>
    <definedName name="_ML33" localSheetId="21">#REF!</definedName>
    <definedName name="_ML33" localSheetId="9">#REF!</definedName>
    <definedName name="_ML33" localSheetId="4">#REF!</definedName>
    <definedName name="_ML33" localSheetId="8">#REF!</definedName>
    <definedName name="_ML33">#REF!</definedName>
    <definedName name="_ML34" localSheetId="21">#REF!</definedName>
    <definedName name="_ML34" localSheetId="9">#REF!</definedName>
    <definedName name="_ML34" localSheetId="4">#REF!</definedName>
    <definedName name="_ML34" localSheetId="8">#REF!</definedName>
    <definedName name="_ML34">#REF!</definedName>
    <definedName name="_ML35" localSheetId="21">#REF!</definedName>
    <definedName name="_ML35" localSheetId="9">#REF!</definedName>
    <definedName name="_ML35" localSheetId="4">#REF!</definedName>
    <definedName name="_ML35" localSheetId="8">#REF!</definedName>
    <definedName name="_ML35">#REF!</definedName>
    <definedName name="_ML36" localSheetId="21">#REF!</definedName>
    <definedName name="_ML36" localSheetId="9">#REF!</definedName>
    <definedName name="_ML36" localSheetId="4">#REF!</definedName>
    <definedName name="_ML36" localSheetId="8">#REF!</definedName>
    <definedName name="_ML36">#REF!</definedName>
    <definedName name="_ML37" localSheetId="21">#REF!</definedName>
    <definedName name="_ML37" localSheetId="9">#REF!</definedName>
    <definedName name="_ML37" localSheetId="4">#REF!</definedName>
    <definedName name="_ML37" localSheetId="8">#REF!</definedName>
    <definedName name="_ML37">#REF!</definedName>
    <definedName name="_ML38" localSheetId="21">#REF!</definedName>
    <definedName name="_ML38" localSheetId="9">#REF!</definedName>
    <definedName name="_ML38" localSheetId="4">#REF!</definedName>
    <definedName name="_ML38" localSheetId="8">#REF!</definedName>
    <definedName name="_ML38">#REF!</definedName>
    <definedName name="_ML39" localSheetId="21">#REF!</definedName>
    <definedName name="_ML39" localSheetId="9">#REF!</definedName>
    <definedName name="_ML39" localSheetId="4">#REF!</definedName>
    <definedName name="_ML39" localSheetId="8">#REF!</definedName>
    <definedName name="_ML39">#REF!</definedName>
    <definedName name="_ML7" localSheetId="21">#REF!</definedName>
    <definedName name="_ML7" localSheetId="9">#REF!</definedName>
    <definedName name="_ML7" localSheetId="4">#REF!</definedName>
    <definedName name="_ML7" localSheetId="8">#REF!</definedName>
    <definedName name="_ML7">#REF!</definedName>
    <definedName name="_ML8" localSheetId="21">#REF!</definedName>
    <definedName name="_ML8" localSheetId="9">#REF!</definedName>
    <definedName name="_ML8" localSheetId="4">#REF!</definedName>
    <definedName name="_ML8" localSheetId="8">#REF!</definedName>
    <definedName name="_ML8">#REF!</definedName>
    <definedName name="_ML9" localSheetId="21">#REF!</definedName>
    <definedName name="_ML9" localSheetId="9">#REF!</definedName>
    <definedName name="_ML9" localSheetId="4">#REF!</definedName>
    <definedName name="_ML9" localSheetId="8">#REF!</definedName>
    <definedName name="_ML9">#REF!</definedName>
    <definedName name="_mm" localSheetId="21">#REF!</definedName>
    <definedName name="_mm" localSheetId="9">#REF!</definedName>
    <definedName name="_mm" localSheetId="4">#REF!</definedName>
    <definedName name="_mm" localSheetId="8">#REF!</definedName>
    <definedName name="_mm">#REF!</definedName>
    <definedName name="_mm1" localSheetId="21">[63]r!$F$4</definedName>
    <definedName name="_mm1" localSheetId="9">[63]r!$F$4</definedName>
    <definedName name="_mm1" localSheetId="4">[63]r!$F$4</definedName>
    <definedName name="_mm1" localSheetId="8">[63]r!$F$4</definedName>
    <definedName name="_mm1" localSheetId="7">#REF!</definedName>
    <definedName name="_mm1">#REF!</definedName>
    <definedName name="_mm11" localSheetId="21">[13]r!$F$4</definedName>
    <definedName name="_mm11" localSheetId="9">[13]r!$F$4</definedName>
    <definedName name="_mm11" localSheetId="4">[13]r!$F$4</definedName>
    <definedName name="_mm11" localSheetId="8">[13]r!$F$4</definedName>
    <definedName name="_mm11">#REF!</definedName>
    <definedName name="_mm111" localSheetId="21">[14]r!$F$4</definedName>
    <definedName name="_mm111" localSheetId="9">[14]r!$F$4</definedName>
    <definedName name="_mm111" localSheetId="4">[14]r!$F$4</definedName>
    <definedName name="_mm111" localSheetId="8">[14]r!$F$4</definedName>
    <definedName name="_mm111">#REF!</definedName>
    <definedName name="_mm2" localSheetId="21">[45]r!$F$4</definedName>
    <definedName name="_mm2" localSheetId="9">[45]r!$F$4</definedName>
    <definedName name="_mm2" localSheetId="4">[45]r!$F$4</definedName>
    <definedName name="_mm2" localSheetId="8">[45]r!$F$4</definedName>
    <definedName name="_mm2">#REF!</definedName>
    <definedName name="_mm20" localSheetId="23">#REF!</definedName>
    <definedName name="_mm20" localSheetId="46">#REF!</definedName>
    <definedName name="_mm20" localSheetId="47">#REF!</definedName>
    <definedName name="_mm20" localSheetId="40">#REF!</definedName>
    <definedName name="_mm20" localSheetId="44">#REF!</definedName>
    <definedName name="_mm20" localSheetId="45">#REF!</definedName>
    <definedName name="_mm20" localSheetId="21">#REF!</definedName>
    <definedName name="_mm20" localSheetId="9">#REF!</definedName>
    <definedName name="_mm20" localSheetId="4">#REF!</definedName>
    <definedName name="_mm20" localSheetId="24">#REF!</definedName>
    <definedName name="_mm20" localSheetId="43">#REF!</definedName>
    <definedName name="_mm20" localSheetId="8">#REF!</definedName>
    <definedName name="_mm20" localSheetId="52">#REF!</definedName>
    <definedName name="_mm20" localSheetId="7">#REF!</definedName>
    <definedName name="_mm20">#REF!</definedName>
    <definedName name="_mm40" localSheetId="23">#REF!</definedName>
    <definedName name="_mm40" localSheetId="46">#REF!</definedName>
    <definedName name="_mm40" localSheetId="47">#REF!</definedName>
    <definedName name="_mm40" localSheetId="40">#REF!</definedName>
    <definedName name="_mm40" localSheetId="44">#REF!</definedName>
    <definedName name="_mm40" localSheetId="45">#REF!</definedName>
    <definedName name="_mm40" localSheetId="21">#REF!</definedName>
    <definedName name="_mm40" localSheetId="9">#REF!</definedName>
    <definedName name="_mm40" localSheetId="4">#REF!</definedName>
    <definedName name="_mm40" localSheetId="24">#REF!</definedName>
    <definedName name="_mm40" localSheetId="43">#REF!</definedName>
    <definedName name="_mm40" localSheetId="8">#REF!</definedName>
    <definedName name="_mm40" localSheetId="52">#REF!</definedName>
    <definedName name="_mm40" localSheetId="7">#REF!</definedName>
    <definedName name="_mm40">#REF!</definedName>
    <definedName name="_np3">#REF!</definedName>
    <definedName name="_NW">#REF!</definedName>
    <definedName name="_O10" localSheetId="21">#REF!</definedName>
    <definedName name="_O10" localSheetId="9">#REF!</definedName>
    <definedName name="_O10" localSheetId="4">#REF!</definedName>
    <definedName name="_O10" localSheetId="8">#REF!</definedName>
    <definedName name="_O10" localSheetId="7">#REF!</definedName>
    <definedName name="_O10">#REF!</definedName>
    <definedName name="_O100" localSheetId="21">#REF!</definedName>
    <definedName name="_O100" localSheetId="9">#REF!</definedName>
    <definedName name="_O100" localSheetId="4">#REF!</definedName>
    <definedName name="_O100" localSheetId="8">#REF!</definedName>
    <definedName name="_O100" localSheetId="7">#REF!</definedName>
    <definedName name="_O100">#REF!</definedName>
    <definedName name="_O12" localSheetId="21">#REF!</definedName>
    <definedName name="_O12" localSheetId="9">#REF!</definedName>
    <definedName name="_O12" localSheetId="4">#REF!</definedName>
    <definedName name="_O12" localSheetId="8">#REF!</definedName>
    <definedName name="_O12" localSheetId="7">#REF!</definedName>
    <definedName name="_O12">#REF!</definedName>
    <definedName name="_O150" localSheetId="21">#REF!</definedName>
    <definedName name="_O150" localSheetId="9">#REF!</definedName>
    <definedName name="_O150" localSheetId="4">#REF!</definedName>
    <definedName name="_O150" localSheetId="8">#REF!</definedName>
    <definedName name="_O150" localSheetId="7">#REF!</definedName>
    <definedName name="_O150">#REF!</definedName>
    <definedName name="_O20" localSheetId="21">#REF!</definedName>
    <definedName name="_O20" localSheetId="9">#REF!</definedName>
    <definedName name="_O20" localSheetId="4">#REF!</definedName>
    <definedName name="_O20" localSheetId="8">#REF!</definedName>
    <definedName name="_O20" localSheetId="7">#REF!</definedName>
    <definedName name="_O20">#REF!</definedName>
    <definedName name="_O300" localSheetId="21">#REF!</definedName>
    <definedName name="_O300" localSheetId="9">#REF!</definedName>
    <definedName name="_O300" localSheetId="4">#REF!</definedName>
    <definedName name="_O300" localSheetId="8">#REF!</definedName>
    <definedName name="_O300" localSheetId="7">#REF!</definedName>
    <definedName name="_O300">#REF!</definedName>
    <definedName name="_O45" localSheetId="21">#REF!</definedName>
    <definedName name="_O45" localSheetId="9">#REF!</definedName>
    <definedName name="_O45" localSheetId="4">#REF!</definedName>
    <definedName name="_O45" localSheetId="8">#REF!</definedName>
    <definedName name="_O45" localSheetId="7">#REF!</definedName>
    <definedName name="_O45">#REF!</definedName>
    <definedName name="_O450" localSheetId="21">#REF!</definedName>
    <definedName name="_O450" localSheetId="9">#REF!</definedName>
    <definedName name="_O450" localSheetId="4">#REF!</definedName>
    <definedName name="_O450" localSheetId="8">#REF!</definedName>
    <definedName name="_O450" localSheetId="7">#REF!</definedName>
    <definedName name="_O450">#REF!</definedName>
    <definedName name="_O55" localSheetId="21">#REF!</definedName>
    <definedName name="_O55" localSheetId="9">#REF!</definedName>
    <definedName name="_O55" localSheetId="4">#REF!</definedName>
    <definedName name="_O55" localSheetId="8">#REF!</definedName>
    <definedName name="_O55" localSheetId="7">#REF!</definedName>
    <definedName name="_O55">#REF!</definedName>
    <definedName name="_O65" localSheetId="21">#REF!</definedName>
    <definedName name="_O65" localSheetId="9">#REF!</definedName>
    <definedName name="_O65" localSheetId="4">#REF!</definedName>
    <definedName name="_O65" localSheetId="8">#REF!</definedName>
    <definedName name="_O65" localSheetId="7">#REF!</definedName>
    <definedName name="_O65">#REF!</definedName>
    <definedName name="_O75" localSheetId="21">#REF!</definedName>
    <definedName name="_O75" localSheetId="9">#REF!</definedName>
    <definedName name="_O75" localSheetId="4">#REF!</definedName>
    <definedName name="_O75" localSheetId="8">#REF!</definedName>
    <definedName name="_O75" localSheetId="7">#REF!</definedName>
    <definedName name="_O75">#REF!</definedName>
    <definedName name="_OQUA" localSheetId="21">#REF!</definedName>
    <definedName name="_OQUA" localSheetId="9">#REF!</definedName>
    <definedName name="_OQUA" localSheetId="4">#REF!</definedName>
    <definedName name="_OQUA" localSheetId="8">#REF!</definedName>
    <definedName name="_OQUA" localSheetId="7">#REF!</definedName>
    <definedName name="_OQUA">#REF!</definedName>
    <definedName name="_Order1" hidden="1">255</definedName>
    <definedName name="_Order2" hidden="1">0</definedName>
    <definedName name="_pa1" localSheetId="21">'[53]C-data'!$F$12</definedName>
    <definedName name="_pa1" localSheetId="9">'[53]C-data'!$F$12</definedName>
    <definedName name="_pa1" localSheetId="4">'[53]C-data'!$F$12</definedName>
    <definedName name="_pa1" localSheetId="8">'[53]C-data'!$F$12</definedName>
    <definedName name="_pa1">#REF!</definedName>
    <definedName name="_pa2" localSheetId="21">'[53]C-data'!$F$13</definedName>
    <definedName name="_pa2" localSheetId="9">'[53]C-data'!$F$13</definedName>
    <definedName name="_pa2" localSheetId="4">'[53]C-data'!$F$13</definedName>
    <definedName name="_pa2" localSheetId="8">'[53]C-data'!$F$13</definedName>
    <definedName name="_pa2">#REF!</definedName>
    <definedName name="_PC1" localSheetId="4">#REF!</definedName>
    <definedName name="_PC1">#REF!</definedName>
    <definedName name="_PC10" localSheetId="4">#REF!</definedName>
    <definedName name="_PC10">#REF!</definedName>
    <definedName name="_PC11" localSheetId="4">#REF!</definedName>
    <definedName name="_PC11">#REF!</definedName>
    <definedName name="_PC12" localSheetId="4">#REF!</definedName>
    <definedName name="_PC12">#REF!</definedName>
    <definedName name="_PC13" localSheetId="4">#REF!</definedName>
    <definedName name="_PC13">#REF!</definedName>
    <definedName name="_PC14" localSheetId="4">#REF!</definedName>
    <definedName name="_PC14">#REF!</definedName>
    <definedName name="_PC15" localSheetId="4">#REF!</definedName>
    <definedName name="_PC15">#REF!</definedName>
    <definedName name="_PC16" localSheetId="4">#REF!</definedName>
    <definedName name="_PC16">#REF!</definedName>
    <definedName name="_PC17" localSheetId="4">#REF!</definedName>
    <definedName name="_PC17">#REF!</definedName>
    <definedName name="_PC18" localSheetId="4">#REF!</definedName>
    <definedName name="_PC18">#REF!</definedName>
    <definedName name="_PC19" localSheetId="4">#REF!</definedName>
    <definedName name="_PC19">#REF!</definedName>
    <definedName name="_pc2" localSheetId="21">#REF!</definedName>
    <definedName name="_pc2" localSheetId="9">#REF!</definedName>
    <definedName name="_pc2" localSheetId="4">#REF!</definedName>
    <definedName name="_pc2" localSheetId="10">#REF!</definedName>
    <definedName name="_pc2" localSheetId="8">#REF!</definedName>
    <definedName name="_pc2" localSheetId="52">#REF!</definedName>
    <definedName name="_pc2" localSheetId="7">#REF!</definedName>
    <definedName name="_pc2">#REF!</definedName>
    <definedName name="_PC20" localSheetId="4">#REF!</definedName>
    <definedName name="_PC20">#REF!</definedName>
    <definedName name="_PC21" localSheetId="4">#REF!</definedName>
    <definedName name="_PC21">#REF!</definedName>
    <definedName name="_PC22" localSheetId="4">#REF!</definedName>
    <definedName name="_PC22">#REF!</definedName>
    <definedName name="_PC23" localSheetId="4">#REF!</definedName>
    <definedName name="_PC23">#REF!</definedName>
    <definedName name="_PC24" localSheetId="4">#REF!</definedName>
    <definedName name="_PC24">#REF!</definedName>
    <definedName name="_PC3" localSheetId="4">#REF!</definedName>
    <definedName name="_PC3">#REF!</definedName>
    <definedName name="_PC4" localSheetId="4">#REF!</definedName>
    <definedName name="_PC4">#REF!</definedName>
    <definedName name="_PC5" localSheetId="4">#REF!</definedName>
    <definedName name="_PC5">#REF!</definedName>
    <definedName name="_PC6" localSheetId="4">#REF!</definedName>
    <definedName name="_PC6">#REF!</definedName>
    <definedName name="_pc600" localSheetId="4">#REF!</definedName>
    <definedName name="_pc600">#REF!</definedName>
    <definedName name="_PC7" localSheetId="4">#REF!</definedName>
    <definedName name="_PC7">#REF!</definedName>
    <definedName name="_PC8" localSheetId="4">#REF!</definedName>
    <definedName name="_PC8">#REF!</definedName>
    <definedName name="_PC9" localSheetId="4">#REF!</definedName>
    <definedName name="_PC9">#REF!</definedName>
    <definedName name="_pc900" localSheetId="4">#REF!</definedName>
    <definedName name="_pc900">#REF!</definedName>
    <definedName name="_pi1">#REF!</definedName>
    <definedName name="_pipe_con_1100">#REF!</definedName>
    <definedName name="_pipe_con_500">#REF!</definedName>
    <definedName name="_pipe_con_700">#REF!</definedName>
    <definedName name="_pipe_ic_1100">#REF!</definedName>
    <definedName name="_pipe_ic_500">#REF!</definedName>
    <definedName name="_pipe_ic_700">#REF!</definedName>
    <definedName name="_pla4" localSheetId="21">[46]DATA_PRG!$H$269</definedName>
    <definedName name="_pla4" localSheetId="9">[46]DATA_PRG!$H$269</definedName>
    <definedName name="_pla4" localSheetId="4">[46]DATA_PRG!$H$269</definedName>
    <definedName name="_pla4" localSheetId="8">[46]DATA_PRG!$H$269</definedName>
    <definedName name="_pla4">#REF!</definedName>
    <definedName name="_PMS2">#REF!</definedName>
    <definedName name="_psc10006">#REF!</definedName>
    <definedName name="_psc10008">#REF!</definedName>
    <definedName name="_psc3506">#REF!</definedName>
    <definedName name="_psc3508">#REF!</definedName>
    <definedName name="_psc4006">#REF!</definedName>
    <definedName name="_psc4008">#REF!</definedName>
    <definedName name="_psc4506">#REF!</definedName>
    <definedName name="_psc4508">#REF!</definedName>
    <definedName name="_psc5006">#REF!</definedName>
    <definedName name="_psc5008">#REF!</definedName>
    <definedName name="_psc6006">#REF!</definedName>
    <definedName name="_psc6008">#REF!</definedName>
    <definedName name="_psc7006">#REF!</definedName>
    <definedName name="_psc7008">#REF!</definedName>
    <definedName name="_psc8006">#REF!</definedName>
    <definedName name="_psc8008">#REF!</definedName>
    <definedName name="_psc9006">#REF!</definedName>
    <definedName name="_psc9008">#REF!</definedName>
    <definedName name="_pv1">#REF!</definedName>
    <definedName name="_pv2" localSheetId="21">#REF!</definedName>
    <definedName name="_pv2" localSheetId="9">#REF!</definedName>
    <definedName name="_pv2" localSheetId="4">#REF!</definedName>
    <definedName name="_pv2" localSheetId="10">#REF!</definedName>
    <definedName name="_pv2" localSheetId="8">#REF!</definedName>
    <definedName name="_pv2" localSheetId="52">#REF!</definedName>
    <definedName name="_pv2" localSheetId="7">#REF!</definedName>
    <definedName name="_pv2">#REF!</definedName>
    <definedName name="_QUA" localSheetId="21">#REF!</definedName>
    <definedName name="_QUA" localSheetId="9">#REF!</definedName>
    <definedName name="_QUA" localSheetId="4">#REF!</definedName>
    <definedName name="_QUA" localSheetId="8">#REF!</definedName>
    <definedName name="_QUA" localSheetId="7">#REF!</definedName>
    <definedName name="_QUA">#REF!</definedName>
    <definedName name="_QUA_RABBISH" localSheetId="21">#REF!</definedName>
    <definedName name="_QUA_RABBISH" localSheetId="9">#REF!</definedName>
    <definedName name="_QUA_RABBISH" localSheetId="4">#REF!</definedName>
    <definedName name="_QUA_RABBISH" localSheetId="8">#REF!</definedName>
    <definedName name="_QUA_RABBISH" localSheetId="7">#REF!</definedName>
    <definedName name="_QUA_RABBISH">#REF!</definedName>
    <definedName name="_rabbit" localSheetId="21">#REF!</definedName>
    <definedName name="_rabbit" localSheetId="9">#REF!</definedName>
    <definedName name="_rabbit" localSheetId="4">#REF!</definedName>
    <definedName name="_rabbit" localSheetId="8">#REF!</definedName>
    <definedName name="_rabbit">#REF!</definedName>
    <definedName name="_rr3" localSheetId="21">[64]v!$A$2:$E$51</definedName>
    <definedName name="_rr3" localSheetId="9">[64]v!$A$2:$E$51</definedName>
    <definedName name="_rr3" localSheetId="4">[64]v!$A$2:$E$51</definedName>
    <definedName name="_rr3" localSheetId="8">[64]v!$A$2:$E$51</definedName>
    <definedName name="_rr3" localSheetId="7">#REF!</definedName>
    <definedName name="_rr3">#REF!</definedName>
    <definedName name="_rrr1" localSheetId="21">[64]r!$B$1:$I$145</definedName>
    <definedName name="_rrr1" localSheetId="9">[64]r!$B$1:$I$145</definedName>
    <definedName name="_rrr1" localSheetId="4">[64]r!$B$1:$I$145</definedName>
    <definedName name="_rrr1" localSheetId="8">[64]r!$B$1:$I$145</definedName>
    <definedName name="_rrr1" localSheetId="7">#REF!</definedName>
    <definedName name="_rrr1">#REF!</definedName>
    <definedName name="_S06" localSheetId="21">#REF!</definedName>
    <definedName name="_S06" localSheetId="9">#REF!</definedName>
    <definedName name="_S06" localSheetId="4">#REF!</definedName>
    <definedName name="_S06" localSheetId="8">#REF!</definedName>
    <definedName name="_S06" localSheetId="7">#REF!</definedName>
    <definedName name="_S06">#REF!</definedName>
    <definedName name="_S10" localSheetId="21">#REF!</definedName>
    <definedName name="_S10" localSheetId="9">#REF!</definedName>
    <definedName name="_S10" localSheetId="4">#REF!</definedName>
    <definedName name="_S10" localSheetId="8">#REF!</definedName>
    <definedName name="_S10" localSheetId="7">#REF!</definedName>
    <definedName name="_S10">#REF!</definedName>
    <definedName name="_S100" localSheetId="21">#REF!</definedName>
    <definedName name="_S100" localSheetId="9">#REF!</definedName>
    <definedName name="_S100" localSheetId="4">#REF!</definedName>
    <definedName name="_S100" localSheetId="8">#REF!</definedName>
    <definedName name="_S100" localSheetId="7">#REF!</definedName>
    <definedName name="_S100">#REF!</definedName>
    <definedName name="_S12" localSheetId="21">#REF!</definedName>
    <definedName name="_S12" localSheetId="9">#REF!</definedName>
    <definedName name="_S12" localSheetId="4">#REF!</definedName>
    <definedName name="_S12" localSheetId="8">#REF!</definedName>
    <definedName name="_S12" localSheetId="7">#REF!</definedName>
    <definedName name="_S12">#REF!</definedName>
    <definedName name="_S20" localSheetId="21">#REF!</definedName>
    <definedName name="_S20" localSheetId="9">#REF!</definedName>
    <definedName name="_S20" localSheetId="4">#REF!</definedName>
    <definedName name="_S20" localSheetId="8">#REF!</definedName>
    <definedName name="_S20" localSheetId="7">#REF!</definedName>
    <definedName name="_S20">#REF!</definedName>
    <definedName name="_S25" localSheetId="21">#REF!</definedName>
    <definedName name="_S25" localSheetId="9">#REF!</definedName>
    <definedName name="_S25" localSheetId="4">#REF!</definedName>
    <definedName name="_S25" localSheetId="8">#REF!</definedName>
    <definedName name="_S25" localSheetId="7">#REF!</definedName>
    <definedName name="_S25">#REF!</definedName>
    <definedName name="_S40" localSheetId="21">#REF!</definedName>
    <definedName name="_S40" localSheetId="9">#REF!</definedName>
    <definedName name="_S40" localSheetId="4">#REF!</definedName>
    <definedName name="_S40" localSheetId="8">#REF!</definedName>
    <definedName name="_S40" localSheetId="7">#REF!</definedName>
    <definedName name="_S40">#REF!</definedName>
    <definedName name="_S50" localSheetId="21">#REF!</definedName>
    <definedName name="_S50" localSheetId="9">#REF!</definedName>
    <definedName name="_S50" localSheetId="4">#REF!</definedName>
    <definedName name="_S50" localSheetId="8">#REF!</definedName>
    <definedName name="_S50" localSheetId="7">#REF!</definedName>
    <definedName name="_S50">#REF!</definedName>
    <definedName name="_S60" localSheetId="21">#REF!</definedName>
    <definedName name="_S60" localSheetId="9">#REF!</definedName>
    <definedName name="_S60" localSheetId="4">#REF!</definedName>
    <definedName name="_S60" localSheetId="8">#REF!</definedName>
    <definedName name="_S60" localSheetId="7">#REF!</definedName>
    <definedName name="_S60">#REF!</definedName>
    <definedName name="_S65" localSheetId="21">#REF!</definedName>
    <definedName name="_S65" localSheetId="9">#REF!</definedName>
    <definedName name="_S65" localSheetId="4">#REF!</definedName>
    <definedName name="_S65" localSheetId="8">#REF!</definedName>
    <definedName name="_S65" localSheetId="7">#REF!</definedName>
    <definedName name="_S65">#REF!</definedName>
    <definedName name="_S75" localSheetId="21">#REF!</definedName>
    <definedName name="_S75" localSheetId="9">#REF!</definedName>
    <definedName name="_S75" localSheetId="4">#REF!</definedName>
    <definedName name="_S75" localSheetId="8">#REF!</definedName>
    <definedName name="_S75" localSheetId="7">#REF!</definedName>
    <definedName name="_S75">#REF!</definedName>
    <definedName name="_SANF" localSheetId="21">#REF!</definedName>
    <definedName name="_SANF" localSheetId="9">#REF!</definedName>
    <definedName name="_SANF" localSheetId="4">#REF!</definedName>
    <definedName name="_SANF" localSheetId="8">#REF!</definedName>
    <definedName name="_SANF" localSheetId="7">#REF!</definedName>
    <definedName name="_SANF">#REF!</definedName>
    <definedName name="_SANM" localSheetId="21">#REF!</definedName>
    <definedName name="_SANM" localSheetId="9">#REF!</definedName>
    <definedName name="_SANM" localSheetId="4">#REF!</definedName>
    <definedName name="_SANM" localSheetId="8">#REF!</definedName>
    <definedName name="_SANM" localSheetId="7">#REF!</definedName>
    <definedName name="_SANM">#REF!</definedName>
    <definedName name="_sd1" localSheetId="21">[41]m!$D$149</definedName>
    <definedName name="_sd1" localSheetId="9">[41]m!$D$149</definedName>
    <definedName name="_sd1" localSheetId="4">[41]m!$D$149</definedName>
    <definedName name="_sd1" localSheetId="8">[41]m!$D$149</definedName>
    <definedName name="_sd1">#REF!</definedName>
    <definedName name="_sep1" localSheetId="21">'[53]C-data'!$F$45</definedName>
    <definedName name="_sep1" localSheetId="9">'[53]C-data'!$F$45</definedName>
    <definedName name="_sep1" localSheetId="4">'[53]C-data'!$F$45</definedName>
    <definedName name="_sep1" localSheetId="8">'[53]C-data'!$F$45</definedName>
    <definedName name="_sep1">#REF!</definedName>
    <definedName name="_shahbad" localSheetId="21">#REF!</definedName>
    <definedName name="_shahbad" localSheetId="9">#REF!</definedName>
    <definedName name="_shahbad" localSheetId="4">#REF!</definedName>
    <definedName name="_shahbad" localSheetId="8">#REF!</definedName>
    <definedName name="_shahbad">#REF!</definedName>
    <definedName name="_skirting_grn" localSheetId="21">#REF!</definedName>
    <definedName name="_skirting_grn" localSheetId="9">#REF!</definedName>
    <definedName name="_skirting_grn" localSheetId="4">#REF!</definedName>
    <definedName name="_skirting_grn" localSheetId="8">#REF!</definedName>
    <definedName name="_skirting_grn">#REF!</definedName>
    <definedName name="_skirting_vit" localSheetId="21">#REF!</definedName>
    <definedName name="_skirting_vit" localSheetId="9">#REF!</definedName>
    <definedName name="_skirting_vit" localSheetId="4">#REF!</definedName>
    <definedName name="_skirting_vit" localSheetId="8">#REF!</definedName>
    <definedName name="_skirting_vit">#REF!</definedName>
    <definedName name="_sp1" localSheetId="4">#REF!</definedName>
    <definedName name="_sp1">#REF!</definedName>
    <definedName name="_SP10" localSheetId="21">[47]Sheet1!$C$18</definedName>
    <definedName name="_SP10" localSheetId="9">[47]Sheet1!$C$18</definedName>
    <definedName name="_SP10" localSheetId="4">[47]Sheet1!$C$18</definedName>
    <definedName name="_SP10" localSheetId="8">[47]Sheet1!$C$18</definedName>
    <definedName name="_SP10">#REF!</definedName>
    <definedName name="_sp11" localSheetId="4">#REF!</definedName>
    <definedName name="_sp11">#REF!</definedName>
    <definedName name="_sp12" localSheetId="4">#REF!</definedName>
    <definedName name="_sp12">#REF!</definedName>
    <definedName name="_sp13" localSheetId="4">#REF!</definedName>
    <definedName name="_sp13">#REF!</definedName>
    <definedName name="_sp14" localSheetId="4">#REF!</definedName>
    <definedName name="_sp14">#REF!</definedName>
    <definedName name="_sp15" localSheetId="4">#REF!</definedName>
    <definedName name="_sp15">#REF!</definedName>
    <definedName name="_SP16" localSheetId="21">[47]Sheet1!$C$24</definedName>
    <definedName name="_SP16" localSheetId="9">[47]Sheet1!$C$24</definedName>
    <definedName name="_SP16" localSheetId="4">[47]Sheet1!$C$24</definedName>
    <definedName name="_SP16" localSheetId="8">[47]Sheet1!$C$24</definedName>
    <definedName name="_SP16">#REF!</definedName>
    <definedName name="_sp17" localSheetId="4">#REF!</definedName>
    <definedName name="_sp17">#REF!</definedName>
    <definedName name="_sp18" localSheetId="4">#REF!</definedName>
    <definedName name="_sp18">#REF!</definedName>
    <definedName name="_sp19" localSheetId="4">#REF!</definedName>
    <definedName name="_sp19">#REF!</definedName>
    <definedName name="_sp2" localSheetId="4">#REF!</definedName>
    <definedName name="_sp2">#REF!</definedName>
    <definedName name="_sp20" localSheetId="4">#REF!</definedName>
    <definedName name="_sp20">#REF!</definedName>
    <definedName name="_sp21" localSheetId="4">#REF!</definedName>
    <definedName name="_sp21">#REF!</definedName>
    <definedName name="_sp22" localSheetId="4">#REF!</definedName>
    <definedName name="_sp22">#REF!</definedName>
    <definedName name="_sp23" localSheetId="4">#REF!</definedName>
    <definedName name="_sp23">#REF!</definedName>
    <definedName name="_SP7" localSheetId="21">[47]Sheet1!$C$15</definedName>
    <definedName name="_SP7" localSheetId="9">[47]Sheet1!$C$15</definedName>
    <definedName name="_SP7" localSheetId="4">[47]Sheet1!$C$15</definedName>
    <definedName name="_SP7" localSheetId="8">[47]Sheet1!$C$15</definedName>
    <definedName name="_SP7">#REF!</definedName>
    <definedName name="_ss12" localSheetId="21">[65]rdamdata!$J$8</definedName>
    <definedName name="_ss12" localSheetId="9">[65]rdamdata!$J$8</definedName>
    <definedName name="_ss12" localSheetId="4">[65]rdamdata!$J$8</definedName>
    <definedName name="_ss12" localSheetId="8">[65]rdamdata!$J$8</definedName>
    <definedName name="_ss12" localSheetId="7">#REF!</definedName>
    <definedName name="_ss12">#REF!</definedName>
    <definedName name="_ss20" localSheetId="21">[65]rdamdata!$J$7</definedName>
    <definedName name="_ss20" localSheetId="9">[65]rdamdata!$J$7</definedName>
    <definedName name="_ss20" localSheetId="4">[65]rdamdata!$J$7</definedName>
    <definedName name="_ss20" localSheetId="8">[65]rdamdata!$J$7</definedName>
    <definedName name="_ss20" localSheetId="7">#REF!</definedName>
    <definedName name="_ss20">#REF!</definedName>
    <definedName name="_ss40" localSheetId="21">[65]rdamdata!$J$6</definedName>
    <definedName name="_ss40" localSheetId="9">[65]rdamdata!$J$6</definedName>
    <definedName name="_ss40" localSheetId="4">[65]rdamdata!$J$6</definedName>
    <definedName name="_ss40" localSheetId="8">[65]rdamdata!$J$6</definedName>
    <definedName name="_ss40" localSheetId="7">#REF!</definedName>
    <definedName name="_ss40">#REF!</definedName>
    <definedName name="_ST" localSheetId="21">#REF!</definedName>
    <definedName name="_ST" localSheetId="9">#REF!</definedName>
    <definedName name="_ST" localSheetId="4">#REF!</definedName>
    <definedName name="_ST" localSheetId="8">#REF!</definedName>
    <definedName name="_ST" localSheetId="7">#REF!</definedName>
    <definedName name="_ST">#REF!</definedName>
    <definedName name="_t1" localSheetId="21">#REF!</definedName>
    <definedName name="_t1" localSheetId="9">#REF!</definedName>
    <definedName name="_t1" localSheetId="4">#REF!</definedName>
    <definedName name="_t1" localSheetId="8">#REF!</definedName>
    <definedName name="_t1">#REF!</definedName>
    <definedName name="_t2" localSheetId="21">#REF!</definedName>
    <definedName name="_t2" localSheetId="9">#REF!</definedName>
    <definedName name="_t2" localSheetId="4">#REF!</definedName>
    <definedName name="_t2" localSheetId="8">#REF!</definedName>
    <definedName name="_t2">#REF!</definedName>
    <definedName name="_tab1" localSheetId="21">#REF!</definedName>
    <definedName name="_tab1" localSheetId="9">#REF!</definedName>
    <definedName name="_tab1" localSheetId="4">#REF!</definedName>
    <definedName name="_tab1" localSheetId="8">#REF!</definedName>
    <definedName name="_tab1">#REF!</definedName>
    <definedName name="_tl2">#REF!</definedName>
    <definedName name="_tl3">#REF!</definedName>
    <definedName name="_tl4">#REF!</definedName>
    <definedName name="_tl5">#REF!</definedName>
    <definedName name="_tw2" localSheetId="21">#REF!</definedName>
    <definedName name="_tw2" localSheetId="9">#REF!</definedName>
    <definedName name="_tw2" localSheetId="4">#REF!</definedName>
    <definedName name="_tw2" localSheetId="8">#REF!</definedName>
    <definedName name="_tw2">#REF!</definedName>
    <definedName name="_var1" localSheetId="23">#REF!</definedName>
    <definedName name="_var1" localSheetId="46">#REF!</definedName>
    <definedName name="_var1" localSheetId="47">#REF!</definedName>
    <definedName name="_var1" localSheetId="40">#REF!</definedName>
    <definedName name="_var1" localSheetId="44">#REF!</definedName>
    <definedName name="_var1" localSheetId="45">#REF!</definedName>
    <definedName name="_var1" localSheetId="21">#REF!</definedName>
    <definedName name="_var1" localSheetId="39">#REF!</definedName>
    <definedName name="_var1" localSheetId="9">#REF!</definedName>
    <definedName name="_var1" localSheetId="4">#REF!</definedName>
    <definedName name="_var1" localSheetId="24">#REF!</definedName>
    <definedName name="_var1" localSheetId="34">#REF!</definedName>
    <definedName name="_var1" localSheetId="10">#REF!</definedName>
    <definedName name="_var1" localSheetId="43">#REF!</definedName>
    <definedName name="_var1" localSheetId="8">#REF!</definedName>
    <definedName name="_var1" localSheetId="33">#REF!</definedName>
    <definedName name="_var1" localSheetId="17">#REF!</definedName>
    <definedName name="_var1" localSheetId="16">#REF!</definedName>
    <definedName name="_var1" localSheetId="12">#REF!</definedName>
    <definedName name="_var1" localSheetId="14">#REF!</definedName>
    <definedName name="_var1" localSheetId="1">#REF!</definedName>
    <definedName name="_var1" localSheetId="13">#REF!</definedName>
    <definedName name="_var1" localSheetId="35">#REF!</definedName>
    <definedName name="_var1" localSheetId="36">#REF!</definedName>
    <definedName name="_var1" localSheetId="52">#REF!</definedName>
    <definedName name="_var1" localSheetId="7">#REF!</definedName>
    <definedName name="_var1" localSheetId="30">#REF!</definedName>
    <definedName name="_var1" localSheetId="15">#REF!</definedName>
    <definedName name="_var1" localSheetId="11">#REF!</definedName>
    <definedName name="_var1" localSheetId="2">#REF!</definedName>
    <definedName name="_var1" localSheetId="0">#REF!</definedName>
    <definedName name="_var1">#REF!</definedName>
    <definedName name="_var2" localSheetId="10">#REF!</definedName>
    <definedName name="_var2">#REF!</definedName>
    <definedName name="_var4" localSheetId="23">#REF!</definedName>
    <definedName name="_var4" localSheetId="46">#REF!</definedName>
    <definedName name="_var4" localSheetId="47">#REF!</definedName>
    <definedName name="_var4" localSheetId="40">#REF!</definedName>
    <definedName name="_var4" localSheetId="44">#REF!</definedName>
    <definedName name="_var4" localSheetId="45">#REF!</definedName>
    <definedName name="_var4" localSheetId="21">#REF!</definedName>
    <definedName name="_var4" localSheetId="39">#REF!</definedName>
    <definedName name="_var4" localSheetId="9">#REF!</definedName>
    <definedName name="_var4" localSheetId="4">#REF!</definedName>
    <definedName name="_var4" localSheetId="24">#REF!</definedName>
    <definedName name="_var4" localSheetId="34">#REF!</definedName>
    <definedName name="_var4" localSheetId="10">#REF!</definedName>
    <definedName name="_var4" localSheetId="43">#REF!</definedName>
    <definedName name="_var4" localSheetId="8">#REF!</definedName>
    <definedName name="_var4" localSheetId="33">#REF!</definedName>
    <definedName name="_var4" localSheetId="17">#REF!</definedName>
    <definedName name="_var4" localSheetId="16">#REF!</definedName>
    <definedName name="_var4" localSheetId="12">#REF!</definedName>
    <definedName name="_var4" localSheetId="14">#REF!</definedName>
    <definedName name="_var4" localSheetId="1">#REF!</definedName>
    <definedName name="_var4" localSheetId="13">#REF!</definedName>
    <definedName name="_var4" localSheetId="35">#REF!</definedName>
    <definedName name="_var4" localSheetId="36">#REF!</definedName>
    <definedName name="_var4" localSheetId="52">#REF!</definedName>
    <definedName name="_var4" localSheetId="7">#REF!</definedName>
    <definedName name="_var4" localSheetId="30">#REF!</definedName>
    <definedName name="_var4" localSheetId="15">#REF!</definedName>
    <definedName name="_var4" localSheetId="11">#REF!</definedName>
    <definedName name="_var4" localSheetId="2">#REF!</definedName>
    <definedName name="_var4" localSheetId="0">#REF!</definedName>
    <definedName name="_var4">#REF!</definedName>
    <definedName name="_vat" localSheetId="21">#REF!</definedName>
    <definedName name="_vat" localSheetId="9">#REF!</definedName>
    <definedName name="_vat" localSheetId="4">#REF!</definedName>
    <definedName name="_vat" localSheetId="8">#REF!</definedName>
    <definedName name="_vat">#REF!</definedName>
    <definedName name="_vat1" localSheetId="23">#REF!</definedName>
    <definedName name="_vat1" localSheetId="46">#REF!</definedName>
    <definedName name="_vat1" localSheetId="47">#REF!</definedName>
    <definedName name="_vat1" localSheetId="40">#REF!</definedName>
    <definedName name="_vat1" localSheetId="44">#REF!</definedName>
    <definedName name="_vat1" localSheetId="45">#REF!</definedName>
    <definedName name="_vat1" localSheetId="21">#REF!</definedName>
    <definedName name="_vat1" localSheetId="9">#REF!</definedName>
    <definedName name="_vat1" localSheetId="4">#REF!</definedName>
    <definedName name="_vat1" localSheetId="24">#REF!</definedName>
    <definedName name="_vat1" localSheetId="43">#REF!</definedName>
    <definedName name="_vat1" localSheetId="8">#REF!</definedName>
    <definedName name="_vat1" localSheetId="52">#REF!</definedName>
    <definedName name="_vat1" localSheetId="7">#REF!</definedName>
    <definedName name="_vat1">#REF!</definedName>
    <definedName name="_vat2" localSheetId="23">#REF!</definedName>
    <definedName name="_vat2" localSheetId="46">#REF!</definedName>
    <definedName name="_vat2" localSheetId="47">#REF!</definedName>
    <definedName name="_vat2" localSheetId="40">#REF!</definedName>
    <definedName name="_vat2" localSheetId="44">#REF!</definedName>
    <definedName name="_vat2" localSheetId="45">#REF!</definedName>
    <definedName name="_vat2" localSheetId="21">#REF!</definedName>
    <definedName name="_vat2" localSheetId="9">#REF!</definedName>
    <definedName name="_vat2" localSheetId="4">#REF!</definedName>
    <definedName name="_vat2" localSheetId="24">#REF!</definedName>
    <definedName name="_vat2" localSheetId="43">#REF!</definedName>
    <definedName name="_vat2" localSheetId="8">#REF!</definedName>
    <definedName name="_vat2" localSheetId="52">#REF!</definedName>
    <definedName name="_vat2" localSheetId="7">#REF!</definedName>
    <definedName name="_vat2">#REF!</definedName>
    <definedName name="_vzrzam" localSheetId="10">#REF!</definedName>
    <definedName name="_vzrzam">#REF!</definedName>
    <definedName name="_woodprimer" localSheetId="21">#REF!</definedName>
    <definedName name="_woodprimer" localSheetId="9">#REF!</definedName>
    <definedName name="_woodprimer" localSheetId="4">#REF!</definedName>
    <definedName name="_woodprimer" localSheetId="8">#REF!</definedName>
    <definedName name="_woodprimer">#REF!</definedName>
    <definedName name="_wp" localSheetId="21">#REF!</definedName>
    <definedName name="_wp" localSheetId="9">#REF!</definedName>
    <definedName name="_wp" localSheetId="4">#REF!</definedName>
    <definedName name="_wp" localSheetId="8">#REF!</definedName>
    <definedName name="_wp">#REF!</definedName>
    <definedName name="_xcc1153">#REF!</definedName>
    <definedName name="_xcc124">#REF!</definedName>
    <definedName name="_xcc136">#REF!</definedName>
    <definedName name="_xcc148">#REF!</definedName>
    <definedName name="_xcc1510">#REF!</definedName>
    <definedName name="_xcm16">#REF!</definedName>
    <definedName name="_xh11010">#REF!</definedName>
    <definedName name="_xh1104">#REF!</definedName>
    <definedName name="_xh1106">#REF!</definedName>
    <definedName name="_xh1108">#REF!</definedName>
    <definedName name="_xh12510">#REF!</definedName>
    <definedName name="_xh1254">#REF!</definedName>
    <definedName name="_xh1256">#REF!</definedName>
    <definedName name="_xh1258">#REF!</definedName>
    <definedName name="_xh14010">#REF!</definedName>
    <definedName name="_xh1404">#REF!</definedName>
    <definedName name="_xh1406">#REF!</definedName>
    <definedName name="_xh1408">#REF!</definedName>
    <definedName name="_xh16010">#REF!</definedName>
    <definedName name="_xh1604">#REF!</definedName>
    <definedName name="_xh1606">#REF!</definedName>
    <definedName name="_xh1608">#REF!</definedName>
    <definedName name="_xh18010">#REF!</definedName>
    <definedName name="_xh1804">#REF!</definedName>
    <definedName name="_xh1806">#REF!</definedName>
    <definedName name="_xh1808">#REF!</definedName>
    <definedName name="_xh20010">#REF!</definedName>
    <definedName name="_xh2004">#REF!</definedName>
    <definedName name="_xh2006">#REF!</definedName>
    <definedName name="_xh2008">#REF!</definedName>
    <definedName name="_xh22510">#REF!</definedName>
    <definedName name="_xh2254">#REF!</definedName>
    <definedName name="_xh2256" localSheetId="21">[66]HDPE!$L$30</definedName>
    <definedName name="_xh2256" localSheetId="9">[66]HDPE!$L$30</definedName>
    <definedName name="_xh2256" localSheetId="4">[66]HDPE!$L$30</definedName>
    <definedName name="_xh2256" localSheetId="8">[66]HDPE!$L$30</definedName>
    <definedName name="_xh2256">#REF!</definedName>
    <definedName name="_xh2258">#REF!</definedName>
    <definedName name="_xh25010">#REF!</definedName>
    <definedName name="_xh2504">#REF!</definedName>
    <definedName name="_xh2506" localSheetId="21">[66]HDPE!$M$30</definedName>
    <definedName name="_xh2506" localSheetId="9">[66]HDPE!$M$30</definedName>
    <definedName name="_xh2506" localSheetId="4">[66]HDPE!$M$30</definedName>
    <definedName name="_xh2506" localSheetId="8">[66]HDPE!$M$30</definedName>
    <definedName name="_xh2506">#REF!</definedName>
    <definedName name="_xh2508">#REF!</definedName>
    <definedName name="_xh28010">#REF!</definedName>
    <definedName name="_xh2804">#REF!</definedName>
    <definedName name="_xh2806" localSheetId="21">[66]HDPE!$N$30</definedName>
    <definedName name="_xh2806" localSheetId="9">[66]HDPE!$N$30</definedName>
    <definedName name="_xh2806" localSheetId="4">[66]HDPE!$N$30</definedName>
    <definedName name="_xh2806" localSheetId="8">[66]HDPE!$N$30</definedName>
    <definedName name="_xh2806">#REF!</definedName>
    <definedName name="_xh2808">#REF!</definedName>
    <definedName name="_xh31510">#REF!</definedName>
    <definedName name="_xh3154">#REF!</definedName>
    <definedName name="_xh3156" localSheetId="21">[66]HDPE!$O$30</definedName>
    <definedName name="_xh3156" localSheetId="9">[66]HDPE!$O$30</definedName>
    <definedName name="_xh3156" localSheetId="4">[66]HDPE!$O$30</definedName>
    <definedName name="_xh3156" localSheetId="8">[66]HDPE!$O$30</definedName>
    <definedName name="_xh3156">#REF!</definedName>
    <definedName name="_xh3158">#REF!</definedName>
    <definedName name="_xh3554">#REF!</definedName>
    <definedName name="_xh3556">#REF!</definedName>
    <definedName name="_xh6310">#REF!</definedName>
    <definedName name="_xh634" localSheetId="21">[66]HDPE!$C$16</definedName>
    <definedName name="_xh634" localSheetId="9">[66]HDPE!$C$16</definedName>
    <definedName name="_xh634" localSheetId="4">[66]HDPE!$C$16</definedName>
    <definedName name="_xh634" localSheetId="8">[66]HDPE!$C$16</definedName>
    <definedName name="_xh634">#REF!</definedName>
    <definedName name="_xh636">#REF!</definedName>
    <definedName name="_xh638">#REF!</definedName>
    <definedName name="_xh7510">#REF!</definedName>
    <definedName name="_xh754">#REF!</definedName>
    <definedName name="_xh756">#REF!</definedName>
    <definedName name="_xh758">#REF!</definedName>
    <definedName name="_xh9010">#REF!</definedName>
    <definedName name="_xh904">#REF!</definedName>
    <definedName name="_xh906">#REF!</definedName>
    <definedName name="_xh908">#REF!</definedName>
    <definedName name="_xk7100" localSheetId="21">[66]DI!$C$37</definedName>
    <definedName name="_xk7100" localSheetId="9">[66]DI!$C$37</definedName>
    <definedName name="_xk7100" localSheetId="4">[66]DI!$C$37</definedName>
    <definedName name="_xk7100" localSheetId="8">[66]DI!$C$37</definedName>
    <definedName name="_xk7100">#REF!</definedName>
    <definedName name="_xk7150" localSheetId="21">[66]DI!$D$37</definedName>
    <definedName name="_xk7150" localSheetId="9">[66]DI!$D$37</definedName>
    <definedName name="_xk7150" localSheetId="4">[66]DI!$D$37</definedName>
    <definedName name="_xk7150" localSheetId="8">[66]DI!$D$37</definedName>
    <definedName name="_xk7150">#REF!</definedName>
    <definedName name="_xk7200">#REF!</definedName>
    <definedName name="_xk7250" localSheetId="21">[66]DI!$F$37</definedName>
    <definedName name="_xk7250" localSheetId="9">[66]DI!$F$37</definedName>
    <definedName name="_xk7250" localSheetId="4">[66]DI!$F$37</definedName>
    <definedName name="_xk7250" localSheetId="8">[66]DI!$F$37</definedName>
    <definedName name="_xk7250">#REF!</definedName>
    <definedName name="_xk7300" localSheetId="21">[66]DI!$G$37</definedName>
    <definedName name="_xk7300" localSheetId="9">[66]DI!$G$37</definedName>
    <definedName name="_xk7300" localSheetId="4">[66]DI!$G$37</definedName>
    <definedName name="_xk7300" localSheetId="8">[66]DI!$G$37</definedName>
    <definedName name="_xk7300">#REF!</definedName>
    <definedName name="_xk7350">#REF!</definedName>
    <definedName name="_xk7400">#REF!</definedName>
    <definedName name="_xk7450">#REF!</definedName>
    <definedName name="_xk7500">#REF!</definedName>
    <definedName name="_xk7600">#REF!</definedName>
    <definedName name="_xk9100">#REF!</definedName>
    <definedName name="_xk91000">#REF!</definedName>
    <definedName name="_xk9150">#REF!</definedName>
    <definedName name="_xk9200">#REF!</definedName>
    <definedName name="_xk9250">#REF!</definedName>
    <definedName name="_xk9300">#REF!</definedName>
    <definedName name="_xk9350">#REF!</definedName>
    <definedName name="_xk9400">#REF!</definedName>
    <definedName name="_xk9450">#REF!</definedName>
    <definedName name="_xk9500">#REF!</definedName>
    <definedName name="_xk9600">#REF!</definedName>
    <definedName name="_xk9700">#REF!</definedName>
    <definedName name="_xk9750">#REF!</definedName>
    <definedName name="_xk9800">#REF!</definedName>
    <definedName name="_xk9900">#REF!</definedName>
    <definedName name="_xp11010" localSheetId="21">[66]pvc!$F$61</definedName>
    <definedName name="_xp11010" localSheetId="9">[66]pvc!$F$61</definedName>
    <definedName name="_xp11010" localSheetId="4">[66]pvc!$F$61</definedName>
    <definedName name="_xp11010" localSheetId="8">[66]pvc!$F$61</definedName>
    <definedName name="_xp11010">#REF!</definedName>
    <definedName name="_xp1104" localSheetId="21">[66]pvc!$F$31</definedName>
    <definedName name="_xp1104" localSheetId="9">[66]pvc!$F$31</definedName>
    <definedName name="_xp1104" localSheetId="4">[66]pvc!$F$31</definedName>
    <definedName name="_xp1104" localSheetId="8">[66]pvc!$F$31</definedName>
    <definedName name="_xp1104">#REF!</definedName>
    <definedName name="_xp1106" localSheetId="21">[66]pvc!$F$46</definedName>
    <definedName name="_xp1106" localSheetId="9">[66]pvc!$F$46</definedName>
    <definedName name="_xp1106" localSheetId="4">[66]pvc!$F$46</definedName>
    <definedName name="_xp1106" localSheetId="8">[66]pvc!$F$46</definedName>
    <definedName name="_xp1106">#REF!</definedName>
    <definedName name="_xp12510">#REF!</definedName>
    <definedName name="_xp1254" localSheetId="21">[66]pvc!$G$31</definedName>
    <definedName name="_xp1254" localSheetId="9">[66]pvc!$G$31</definedName>
    <definedName name="_xp1254" localSheetId="4">[66]pvc!$G$31</definedName>
    <definedName name="_xp1254" localSheetId="8">[66]pvc!$G$31</definedName>
    <definedName name="_xp1254">#REF!</definedName>
    <definedName name="_xp1256" localSheetId="21">[66]pvc!$G$46</definedName>
    <definedName name="_xp1256" localSheetId="9">[66]pvc!$G$46</definedName>
    <definedName name="_xp1256" localSheetId="4">[66]pvc!$G$46</definedName>
    <definedName name="_xp1256" localSheetId="8">[66]pvc!$G$46</definedName>
    <definedName name="_xp1256">#REF!</definedName>
    <definedName name="_xp14010" localSheetId="21">[66]pvc!$H$61</definedName>
    <definedName name="_xp14010" localSheetId="9">[66]pvc!$H$61</definedName>
    <definedName name="_xp14010" localSheetId="4">[66]pvc!$H$61</definedName>
    <definedName name="_xp14010" localSheetId="8">[66]pvc!$H$61</definedName>
    <definedName name="_xp14010">#REF!</definedName>
    <definedName name="_xp1404" localSheetId="21">[66]pvc!$H$31</definedName>
    <definedName name="_xp1404" localSheetId="9">[66]pvc!$H$31</definedName>
    <definedName name="_xp1404" localSheetId="4">[66]pvc!$H$31</definedName>
    <definedName name="_xp1404" localSheetId="8">[66]pvc!$H$31</definedName>
    <definedName name="_xp1404">#REF!</definedName>
    <definedName name="_xp1406" localSheetId="21">[66]pvc!$H$46</definedName>
    <definedName name="_xp1406" localSheetId="9">[66]pvc!$H$46</definedName>
    <definedName name="_xp1406" localSheetId="4">[66]pvc!$H$46</definedName>
    <definedName name="_xp1406" localSheetId="8">[66]pvc!$H$46</definedName>
    <definedName name="_xp1406">#REF!</definedName>
    <definedName name="_xp16010">#REF!</definedName>
    <definedName name="_xp1604" localSheetId="21">[66]pvc!$I$31</definedName>
    <definedName name="_xp1604" localSheetId="9">[66]pvc!$I$31</definedName>
    <definedName name="_xp1604" localSheetId="4">[66]pvc!$I$31</definedName>
    <definedName name="_xp1604" localSheetId="8">[66]pvc!$I$31</definedName>
    <definedName name="_xp1604">#REF!</definedName>
    <definedName name="_xp1606" localSheetId="21">[66]pvc!$I$46</definedName>
    <definedName name="_xp1606" localSheetId="9">[66]pvc!$I$46</definedName>
    <definedName name="_xp1606" localSheetId="4">[66]pvc!$I$46</definedName>
    <definedName name="_xp1606" localSheetId="8">[66]pvc!$I$46</definedName>
    <definedName name="_xp1606">#REF!</definedName>
    <definedName name="_xp18010">#REF!</definedName>
    <definedName name="_xp1804" localSheetId="21">[66]pvc!$J$31</definedName>
    <definedName name="_xp1804" localSheetId="9">[66]pvc!$J$31</definedName>
    <definedName name="_xp1804" localSheetId="4">[66]pvc!$J$31</definedName>
    <definedName name="_xp1804" localSheetId="8">[66]pvc!$J$31</definedName>
    <definedName name="_xp1804">#REF!</definedName>
    <definedName name="_xp1806" localSheetId="21">[66]pvc!$J$46</definedName>
    <definedName name="_xp1806" localSheetId="9">[66]pvc!$J$46</definedName>
    <definedName name="_xp1806" localSheetId="4">[66]pvc!$J$46</definedName>
    <definedName name="_xp1806" localSheetId="8">[66]pvc!$J$46</definedName>
    <definedName name="_xp1806">#REF!</definedName>
    <definedName name="_xp20010">#REF!</definedName>
    <definedName name="_xp2004">#REF!</definedName>
    <definedName name="_xp2006" localSheetId="21">[66]pvc!$K$46</definedName>
    <definedName name="_xp2006" localSheetId="9">[66]pvc!$K$46</definedName>
    <definedName name="_xp2006" localSheetId="4">[66]pvc!$K$46</definedName>
    <definedName name="_xp2006" localSheetId="8">[66]pvc!$K$46</definedName>
    <definedName name="_xp2006">#REF!</definedName>
    <definedName name="_xp22510">#REF!</definedName>
    <definedName name="_xp2254">#REF!</definedName>
    <definedName name="_xp2256">#REF!</definedName>
    <definedName name="_xp25010">#REF!</definedName>
    <definedName name="_xp2504">#REF!</definedName>
    <definedName name="_xp2506">#REF!</definedName>
    <definedName name="_xp28010">#REF!</definedName>
    <definedName name="_xp2804">#REF!</definedName>
    <definedName name="_xp2806">#REF!</definedName>
    <definedName name="_xp31510">#REF!</definedName>
    <definedName name="_xp3154">#REF!</definedName>
    <definedName name="_xp3156">#REF!</definedName>
    <definedName name="_xp6310" localSheetId="21">[66]pvc!$C$61</definedName>
    <definedName name="_xp6310" localSheetId="9">[66]pvc!$C$61</definedName>
    <definedName name="_xp6310" localSheetId="4">[66]pvc!$C$61</definedName>
    <definedName name="_xp6310" localSheetId="8">[66]pvc!$C$61</definedName>
    <definedName name="_xp6310">#REF!</definedName>
    <definedName name="_xp634">#REF!</definedName>
    <definedName name="_xp636" localSheetId="21">[66]pvc!$C$46</definedName>
    <definedName name="_xp636" localSheetId="9">[66]pvc!$C$46</definedName>
    <definedName name="_xp636" localSheetId="4">[66]pvc!$C$46</definedName>
    <definedName name="_xp636" localSheetId="8">[66]pvc!$C$46</definedName>
    <definedName name="_xp636">#REF!</definedName>
    <definedName name="_xp7510" localSheetId="21">[66]pvc!$D$61</definedName>
    <definedName name="_xp7510" localSheetId="9">[66]pvc!$D$61</definedName>
    <definedName name="_xp7510" localSheetId="4">[66]pvc!$D$61</definedName>
    <definedName name="_xp7510" localSheetId="8">[66]pvc!$D$61</definedName>
    <definedName name="_xp7510">#REF!</definedName>
    <definedName name="_xp754" localSheetId="21">[66]pvc!$D$31</definedName>
    <definedName name="_xp754" localSheetId="9">[66]pvc!$D$31</definedName>
    <definedName name="_xp754" localSheetId="4">[66]pvc!$D$31</definedName>
    <definedName name="_xp754" localSheetId="8">[66]pvc!$D$31</definedName>
    <definedName name="_xp754">#REF!</definedName>
    <definedName name="_xp756" localSheetId="21">[66]pvc!$D$46</definedName>
    <definedName name="_xp756" localSheetId="9">[66]pvc!$D$46</definedName>
    <definedName name="_xp756" localSheetId="4">[66]pvc!$D$46</definedName>
    <definedName name="_xp756" localSheetId="8">[66]pvc!$D$46</definedName>
    <definedName name="_xp756">#REF!</definedName>
    <definedName name="_xp9010" localSheetId="21">[66]pvc!$E$61</definedName>
    <definedName name="_xp9010" localSheetId="9">[66]pvc!$E$61</definedName>
    <definedName name="_xp9010" localSheetId="4">[66]pvc!$E$61</definedName>
    <definedName name="_xp9010" localSheetId="8">[66]pvc!$E$61</definedName>
    <definedName name="_xp9010">#REF!</definedName>
    <definedName name="_xp904" localSheetId="21">[66]pvc!$E$31</definedName>
    <definedName name="_xp904" localSheetId="9">[66]pvc!$E$31</definedName>
    <definedName name="_xp904" localSheetId="4">[66]pvc!$E$31</definedName>
    <definedName name="_xp904" localSheetId="8">[66]pvc!$E$31</definedName>
    <definedName name="_xp904">#REF!</definedName>
    <definedName name="_xp906" localSheetId="21">[66]pvc!$E$46</definedName>
    <definedName name="_xp906" localSheetId="9">[66]pvc!$E$46</definedName>
    <definedName name="_xp906" localSheetId="4">[66]pvc!$E$46</definedName>
    <definedName name="_xp906" localSheetId="8">[66]pvc!$E$46</definedName>
    <definedName name="_xp906">#REF!</definedName>
    <definedName name="a" localSheetId="23">#REF!</definedName>
    <definedName name="a" localSheetId="46">#REF!</definedName>
    <definedName name="a" localSheetId="47">#REF!</definedName>
    <definedName name="a" localSheetId="40">#REF!</definedName>
    <definedName name="a" localSheetId="44">#REF!</definedName>
    <definedName name="a" localSheetId="45">#REF!</definedName>
    <definedName name="a" localSheetId="21">#REF!</definedName>
    <definedName name="a" localSheetId="9">#REF!</definedName>
    <definedName name="a" localSheetId="4">#REF!</definedName>
    <definedName name="a" localSheetId="24">#REF!</definedName>
    <definedName name="a" localSheetId="10">#REF!</definedName>
    <definedName name="a" localSheetId="43">#REF!</definedName>
    <definedName name="a" localSheetId="8">#REF!</definedName>
    <definedName name="a" localSheetId="52">#REF!</definedName>
    <definedName name="a" localSheetId="7">#REF!</definedName>
    <definedName name="a">#REF!</definedName>
    <definedName name="aa" localSheetId="23">#REF!</definedName>
    <definedName name="aa" localSheetId="46">#REF!</definedName>
    <definedName name="aa" localSheetId="47">#REF!</definedName>
    <definedName name="aa" localSheetId="40">#REF!</definedName>
    <definedName name="aa" localSheetId="44">#REF!</definedName>
    <definedName name="aa" localSheetId="45">#REF!</definedName>
    <definedName name="aa" localSheetId="21">#REF!</definedName>
    <definedName name="aa" localSheetId="9">#REF!</definedName>
    <definedName name="aa" localSheetId="4">#REF!</definedName>
    <definedName name="aa" localSheetId="24">#REF!</definedName>
    <definedName name="AA" localSheetId="10">#REF!</definedName>
    <definedName name="aa" localSheetId="43">#REF!</definedName>
    <definedName name="aa" localSheetId="8">#REF!</definedName>
    <definedName name="aa" localSheetId="52">#REF!</definedName>
    <definedName name="aa" localSheetId="7">#REF!</definedName>
    <definedName name="aa">#REF!</definedName>
    <definedName name="AAA" localSheetId="10">#REF!</definedName>
    <definedName name="aaa">#REF!</definedName>
    <definedName name="aaaaa">#REF!</definedName>
    <definedName name="AAAAAA">#REF!</definedName>
    <definedName name="aastrb">#REF!</definedName>
    <definedName name="aat" localSheetId="23">#REF!</definedName>
    <definedName name="aat" localSheetId="46">#REF!</definedName>
    <definedName name="aat" localSheetId="47">#REF!</definedName>
    <definedName name="aat" localSheetId="40">#REF!</definedName>
    <definedName name="aat" localSheetId="44">#REF!</definedName>
    <definedName name="aat" localSheetId="45">#REF!</definedName>
    <definedName name="aat" localSheetId="21">#REF!</definedName>
    <definedName name="aat" localSheetId="9">#REF!</definedName>
    <definedName name="aat" localSheetId="4">#REF!</definedName>
    <definedName name="aat" localSheetId="24">#REF!</definedName>
    <definedName name="aat" localSheetId="43">#REF!</definedName>
    <definedName name="aat" localSheetId="8">#REF!</definedName>
    <definedName name="aat" localSheetId="52">#REF!</definedName>
    <definedName name="aat" localSheetId="7">#REF!</definedName>
    <definedName name="aat">#REF!</definedName>
    <definedName name="Ab">[67]Sheet2!$H$217</definedName>
    <definedName name="Abbbbb" localSheetId="10">#REF!</definedName>
    <definedName name="Abbbbb">#REF!</definedName>
    <definedName name="ABC">#REF!</definedName>
    <definedName name="abcdefgh">#REF!</definedName>
    <definedName name="abstract">#REF!</definedName>
    <definedName name="AC">#REF!</definedName>
    <definedName name="ac_sheet" localSheetId="21">#REF!</definedName>
    <definedName name="ac_sheet" localSheetId="9">#REF!</definedName>
    <definedName name="ac_sheet" localSheetId="4">#REF!</definedName>
    <definedName name="ac_sheet" localSheetId="8">#REF!</definedName>
    <definedName name="ac_sheet">#REF!</definedName>
    <definedName name="AccessDatabase" hidden="1">"C:\RWS_Reports\ww\Spillww0203.mdb"</definedName>
    <definedName name="acl" localSheetId="4">#REF!</definedName>
    <definedName name="acl">#REF!</definedName>
    <definedName name="acs" localSheetId="4">#REF!</definedName>
    <definedName name="acs">#REF!</definedName>
    <definedName name="actual">#REF!</definedName>
    <definedName name="ad" localSheetId="4">#REF!</definedName>
    <definedName name="ad">#REF!</definedName>
    <definedName name="Address" localSheetId="10">#REF!</definedName>
    <definedName name="Address">#REF!</definedName>
    <definedName name="Admin__Building" localSheetId="21">#REF!</definedName>
    <definedName name="Admin__Building" localSheetId="9">#REF!</definedName>
    <definedName name="Admin__Building" localSheetId="4">#REF!</definedName>
    <definedName name="Admin__Building" localSheetId="8">#REF!</definedName>
    <definedName name="Admin__Building">#REF!</definedName>
    <definedName name="adsa">#REF!</definedName>
    <definedName name="ADT_DATAl" localSheetId="21">'[68]Bitumen trunk'!$DB$2:$DI$196</definedName>
    <definedName name="ADT_DATAl" localSheetId="9">'[68]Bitumen trunk'!$DB$2:$DI$196</definedName>
    <definedName name="ADT_DATAl" localSheetId="4">'[68]Bitumen trunk'!$DB$2:$DI$196</definedName>
    <definedName name="ADT_DATAl" localSheetId="8">'[68]Bitumen trunk'!$DB$2:$DI$196</definedName>
    <definedName name="ADT_DATAl">#REF!</definedName>
    <definedName name="ae" localSheetId="21">[69]Lead!#REF!</definedName>
    <definedName name="ae" localSheetId="9">[69]Lead!#REF!</definedName>
    <definedName name="ae" localSheetId="4">[69]Lead!#REF!</definedName>
    <definedName name="ae" localSheetId="10">#REF!</definedName>
    <definedName name="ae" localSheetId="8">[69]Lead!#REF!</definedName>
    <definedName name="ae" localSheetId="7">#REF!</definedName>
    <definedName name="ae">#REF!</definedName>
    <definedName name="AEE" localSheetId="21">[70]Lead!#REF!</definedName>
    <definedName name="AEE" localSheetId="9">[70]Lead!#REF!</definedName>
    <definedName name="AEE" localSheetId="4">[70]Lead!#REF!</definedName>
    <definedName name="AEE" localSheetId="8">[70]Lead!#REF!</definedName>
    <definedName name="AEE">#REF!</definedName>
    <definedName name="AEW_FOR">#REF!</definedName>
    <definedName name="AEW_SIDE">#REF!</definedName>
    <definedName name="ag" localSheetId="21">[46]DATA_PRG!$H$86</definedName>
    <definedName name="ag" localSheetId="9">[46]DATA_PRG!$H$86</definedName>
    <definedName name="ag" localSheetId="4">[46]DATA_PRG!$H$86</definedName>
    <definedName name="ag" localSheetId="8">[46]DATA_PRG!$H$86</definedName>
    <definedName name="ag">#REF!</definedName>
    <definedName name="AGRA_SHOULDERS">#REF!</definedName>
    <definedName name="AGSB">#REF!</definedName>
    <definedName name="ai">#REF!</definedName>
    <definedName name="aii">#REF!</definedName>
    <definedName name="airvalve">#REF!</definedName>
    <definedName name="AIRVALVES">#REF!</definedName>
    <definedName name="ald" localSheetId="21">#REF!</definedName>
    <definedName name="ald" localSheetId="9">#REF!</definedName>
    <definedName name="ald" localSheetId="4">#REF!</definedName>
    <definedName name="ald" localSheetId="8">#REF!</definedName>
    <definedName name="ald">#REF!</definedName>
    <definedName name="Ali" localSheetId="21">[71]r!$F$2</definedName>
    <definedName name="Ali" localSheetId="9">[71]r!$F$2</definedName>
    <definedName name="Ali" localSheetId="4">[71]r!$F$2</definedName>
    <definedName name="Ali" localSheetId="8">[71]r!$F$2</definedName>
    <definedName name="Ali">#REF!</definedName>
    <definedName name="AMOUNT" localSheetId="21">#REF!</definedName>
    <definedName name="AMOUNT" localSheetId="9">#REF!</definedName>
    <definedName name="AMOUNT" localSheetId="4">#REF!</definedName>
    <definedName name="AMOUNT" localSheetId="8">#REF!</definedName>
    <definedName name="AMOUNT">#REF!</definedName>
    <definedName name="ANALYSIS_DATA" localSheetId="21">'[68]Bitumen trunk'!$BO$2:$DA$196</definedName>
    <definedName name="ANALYSIS_DATA" localSheetId="9">'[68]Bitumen trunk'!$BO$2:$DA$196</definedName>
    <definedName name="ANALYSIS_DATA" localSheetId="4">'[68]Bitumen trunk'!$BO$2:$DA$196</definedName>
    <definedName name="ANALYSIS_DATA" localSheetId="8">'[68]Bitumen trunk'!$BO$2:$DA$196</definedName>
    <definedName name="ANALYSIS_DATA">#REF!</definedName>
    <definedName name="Aname">#REF!</definedName>
    <definedName name="angan">#REF!</definedName>
    <definedName name="anganwadi">#REF!</definedName>
    <definedName name="anscount" hidden="1">1</definedName>
    <definedName name="antitermite" localSheetId="21">#REF!</definedName>
    <definedName name="antitermite" localSheetId="9">#REF!</definedName>
    <definedName name="antitermite" localSheetId="4">#REF!</definedName>
    <definedName name="antitermite" localSheetId="8">#REF!</definedName>
    <definedName name="antitermite">#REF!</definedName>
    <definedName name="April" localSheetId="21">[72]m!$A$2</definedName>
    <definedName name="April" localSheetId="9">[72]m!$A$2</definedName>
    <definedName name="April" localSheetId="4">[72]m!$A$2</definedName>
    <definedName name="April" localSheetId="8">[72]m!$A$2</definedName>
    <definedName name="April">#REF!</definedName>
    <definedName name="aqe">#REF!</definedName>
    <definedName name="Arb">#REF!</definedName>
    <definedName name="as" localSheetId="21">#REF!</definedName>
    <definedName name="as" localSheetId="9">#REF!</definedName>
    <definedName name="as" localSheetId="4">#REF!</definedName>
    <definedName name="as" localSheetId="8">#REF!</definedName>
    <definedName name="as" localSheetId="7">#REF!</definedName>
    <definedName name="as">#REF!</definedName>
    <definedName name="asc">#REF!</definedName>
    <definedName name="ASCSD">#REF!</definedName>
    <definedName name="ASD">#REF!</definedName>
    <definedName name="ASDBC">#REF!</definedName>
    <definedName name="ASDF" localSheetId="21" hidden="1">{"'ridftotal'!$A$4:$S$27"}</definedName>
    <definedName name="ASDF" localSheetId="9" hidden="1">{"'ridftotal'!$A$4:$S$27"}</definedName>
    <definedName name="ASDF" localSheetId="4" hidden="1">{"'ridftotal'!$A$4:$S$27"}</definedName>
    <definedName name="ASDF" localSheetId="10" hidden="1">{"'ridftotal'!$A$4:$S$27"}</definedName>
    <definedName name="ASDF" localSheetId="8" hidden="1">{"'ridftotal'!$A$4:$S$27"}</definedName>
    <definedName name="ASDF" hidden="1">{"'ridftotal'!$A$4:$S$27"}</definedName>
    <definedName name="asds">#REF!</definedName>
    <definedName name="asf" localSheetId="21">#REF!</definedName>
    <definedName name="asf" localSheetId="9">#REF!</definedName>
    <definedName name="asf" localSheetId="4">#REF!</definedName>
    <definedName name="asf" localSheetId="10">#REF!</definedName>
    <definedName name="asf" localSheetId="8">#REF!</definedName>
    <definedName name="asf" localSheetId="52">#REF!</definedName>
    <definedName name="asf" localSheetId="7">#REF!</definedName>
    <definedName name="asf">#REF!</definedName>
    <definedName name="ASFDA" localSheetId="21" hidden="1">{"'ridftotal'!$A$4:$S$27"}</definedName>
    <definedName name="ASFDA" localSheetId="9" hidden="1">{"'ridftotal'!$A$4:$S$27"}</definedName>
    <definedName name="ASFDA" localSheetId="4" hidden="1">{"'ridftotal'!$A$4:$S$27"}</definedName>
    <definedName name="ASFDA" localSheetId="10" hidden="1">{"'ridftotal'!$A$4:$S$27"}</definedName>
    <definedName name="ASFDA" localSheetId="8" hidden="1">{"'ridftotal'!$A$4:$S$27"}</definedName>
    <definedName name="ASFDA" hidden="1">{"'ridftotal'!$A$4:$S$27"}</definedName>
    <definedName name="ash">#REF!</definedName>
    <definedName name="asmin">#REF!</definedName>
    <definedName name="asr">#REF!</definedName>
    <definedName name="astas">#REF!</definedName>
    <definedName name="astb">#REF!</definedName>
    <definedName name="astdm">#REF!</definedName>
    <definedName name="Asth">#REF!</definedName>
    <definedName name="asti">#REF!</definedName>
    <definedName name="astm">#REF!</definedName>
    <definedName name="astmid">#REF!</definedName>
    <definedName name="astmin">#REF!</definedName>
    <definedName name="asto">#REF!</definedName>
    <definedName name="astr">#REF!</definedName>
    <definedName name="astsup">#REF!</definedName>
    <definedName name="asttp">#REF!</definedName>
    <definedName name="asttrb">#REF!</definedName>
    <definedName name="at" localSheetId="4">#REF!</definedName>
    <definedName name="at">#REF!</definedName>
    <definedName name="ATACK">#REF!</definedName>
    <definedName name="att" localSheetId="21">#REF!</definedName>
    <definedName name="att" localSheetId="9">#REF!</definedName>
    <definedName name="att" localSheetId="4">#REF!</definedName>
    <definedName name="att" localSheetId="8">#REF!</definedName>
    <definedName name="att">#REF!</definedName>
    <definedName name="AWBM2">#REF!</definedName>
    <definedName name="AWBM3">#REF!</definedName>
    <definedName name="AZSX">#REF!</definedName>
    <definedName name="b" localSheetId="23">#REF!</definedName>
    <definedName name="b" localSheetId="46">#REF!</definedName>
    <definedName name="b" localSheetId="47">#REF!</definedName>
    <definedName name="b" localSheetId="40">#REF!</definedName>
    <definedName name="b" localSheetId="44">#REF!</definedName>
    <definedName name="b" localSheetId="45">#REF!</definedName>
    <definedName name="b" localSheetId="21">#REF!</definedName>
    <definedName name="b" localSheetId="9">#REF!</definedName>
    <definedName name="b" localSheetId="4">#REF!</definedName>
    <definedName name="b" localSheetId="24">#REF!</definedName>
    <definedName name="b" localSheetId="10">#REF!</definedName>
    <definedName name="b" localSheetId="43">#REF!</definedName>
    <definedName name="b" localSheetId="8">#REF!</definedName>
    <definedName name="b" localSheetId="52">#REF!</definedName>
    <definedName name="b" localSheetId="7">#REF!</definedName>
    <definedName name="b">#REF!</definedName>
    <definedName name="ballies">#REF!</definedName>
    <definedName name="balraju" localSheetId="21">[73]Material!$D$69</definedName>
    <definedName name="balraju" localSheetId="9">[73]Material!$D$69</definedName>
    <definedName name="balraju" localSheetId="4">[73]Material!$D$69</definedName>
    <definedName name="balraju" localSheetId="8">[73]Material!$D$69</definedName>
    <definedName name="balraju">#REF!</definedName>
    <definedName name="balraju1" localSheetId="21">'[73]Plant &amp;  Machinery'!$G$23</definedName>
    <definedName name="balraju1" localSheetId="9">'[73]Plant &amp;  Machinery'!$G$23</definedName>
    <definedName name="balraju1" localSheetId="4">'[73]Plant &amp;  Machinery'!$G$23</definedName>
    <definedName name="balraju1" localSheetId="8">'[73]Plant &amp;  Machinery'!$G$23</definedName>
    <definedName name="balraju1">#REF!</definedName>
    <definedName name="balraju2" localSheetId="21">'[73]Plant &amp;  Machinery'!$G$30</definedName>
    <definedName name="balraju2" localSheetId="9">'[73]Plant &amp;  Machinery'!$G$30</definedName>
    <definedName name="balraju2" localSheetId="4">'[73]Plant &amp;  Machinery'!$G$30</definedName>
    <definedName name="balraju2" localSheetId="8">'[73]Plant &amp;  Machinery'!$G$30</definedName>
    <definedName name="balraju2">#REF!</definedName>
    <definedName name="balraju4" localSheetId="21">'[73]Plant &amp;  Machinery'!$G$31</definedName>
    <definedName name="balraju4" localSheetId="9">'[73]Plant &amp;  Machinery'!$G$31</definedName>
    <definedName name="balraju4" localSheetId="4">'[73]Plant &amp;  Machinery'!$G$31</definedName>
    <definedName name="balraju4" localSheetId="8">'[73]Plant &amp;  Machinery'!$G$31</definedName>
    <definedName name="balraju4">#REF!</definedName>
    <definedName name="balraju5" localSheetId="21">'[74]Plant &amp;  Machinery'!$G$51</definedName>
    <definedName name="balraju5" localSheetId="9">'[74]Plant &amp;  Machinery'!$G$51</definedName>
    <definedName name="balraju5" localSheetId="4">'[74]Plant &amp;  Machinery'!$G$51</definedName>
    <definedName name="balraju5" localSheetId="8">'[74]Plant &amp;  Machinery'!$G$51</definedName>
    <definedName name="balraju5">#REF!</definedName>
    <definedName name="balraju6" localSheetId="21">'[73]Plant &amp;  Machinery'!$G$53</definedName>
    <definedName name="balraju6" localSheetId="9">'[73]Plant &amp;  Machinery'!$G$53</definedName>
    <definedName name="balraju6" localSheetId="4">'[73]Plant &amp;  Machinery'!$G$53</definedName>
    <definedName name="balraju6" localSheetId="8">'[73]Plant &amp;  Machinery'!$G$53</definedName>
    <definedName name="balraju6">#REF!</definedName>
    <definedName name="bar_bender" localSheetId="21">#REF!</definedName>
    <definedName name="bar_bender" localSheetId="9">#REF!</definedName>
    <definedName name="bar_bender" localSheetId="4">#REF!</definedName>
    <definedName name="bar_bender" localSheetId="8">#REF!</definedName>
    <definedName name="bar_bender">#REF!</definedName>
    <definedName name="BB" localSheetId="21">[43]DATA!$H$105</definedName>
    <definedName name="BB" localSheetId="9">[43]DATA!$H$105</definedName>
    <definedName name="BB" localSheetId="4">[42]DATA!$H$105</definedName>
    <definedName name="BB" localSheetId="8">[43]DATA!$H$105</definedName>
    <definedName name="BB" localSheetId="7">#REF!</definedName>
    <definedName name="BB">#REF!</definedName>
    <definedName name="bbbbb" localSheetId="10">#REF!</definedName>
    <definedName name="bbbbb">#REF!</definedName>
    <definedName name="BBdata" localSheetId="21">[75]lead!$L$18</definedName>
    <definedName name="BBdata" localSheetId="9">[75]lead!$L$18</definedName>
    <definedName name="BBdata" localSheetId="4">[75]lead!$L$18</definedName>
    <definedName name="BBdata" localSheetId="8">[75]lead!$L$18</definedName>
    <definedName name="BBdata" localSheetId="7">#REF!</definedName>
    <definedName name="BBdata">#REF!</definedName>
    <definedName name="bc">#REF!</definedName>
    <definedName name="Bdata" localSheetId="21">[76]lead!$L$18</definedName>
    <definedName name="Bdata" localSheetId="9">[76]lead!$L$18</definedName>
    <definedName name="Bdata" localSheetId="4">[76]lead!$L$18</definedName>
    <definedName name="Bdata" localSheetId="8">[76]lead!$L$18</definedName>
    <definedName name="Bdata" localSheetId="7">#REF!</definedName>
    <definedName name="Bdata">#REF!</definedName>
    <definedName name="below_above_gl" localSheetId="21">'[77]data existing_do not delete'!$A$94:$A$95</definedName>
    <definedName name="below_above_gl" localSheetId="9">'[77]data existing_do not delete'!$A$94:$A$95</definedName>
    <definedName name="below_above_gl" localSheetId="4">'[77]data existing_do not delete'!$A$94:$A$95</definedName>
    <definedName name="below_above_gl" localSheetId="8">'[77]data existing_do not delete'!$A$94:$A$95</definedName>
    <definedName name="below_above_gl">#REF!</definedName>
    <definedName name="bf">#REF!</definedName>
    <definedName name="Bfall">#REF!</definedName>
    <definedName name="bfh" localSheetId="21">#REF!</definedName>
    <definedName name="bfh" localSheetId="9">#REF!</definedName>
    <definedName name="bfh" localSheetId="4">#REF!</definedName>
    <definedName name="bfh" localSheetId="8">#REF!</definedName>
    <definedName name="bfh">#REF!</definedName>
    <definedName name="bg">#REF!</definedName>
    <definedName name="bh" localSheetId="21">#REF!</definedName>
    <definedName name="bh" localSheetId="9">#REF!</definedName>
    <definedName name="bh" localSheetId="4">#REF!</definedName>
    <definedName name="bh" localSheetId="8">#REF!</definedName>
    <definedName name="bh">#REF!</definedName>
    <definedName name="bi">[67]Sheet2!$F$9</definedName>
    <definedName name="bii">[67]Sheet2!$F$10</definedName>
    <definedName name="Bill">#REF!</definedName>
    <definedName name="BINDING" localSheetId="23">#REF!</definedName>
    <definedName name="BINDING" localSheetId="46">#REF!</definedName>
    <definedName name="BINDING" localSheetId="47">#REF!</definedName>
    <definedName name="BINDING" localSheetId="40">#REF!</definedName>
    <definedName name="BINDING" localSheetId="44">#REF!</definedName>
    <definedName name="BINDING" localSheetId="45">#REF!</definedName>
    <definedName name="BINDING" localSheetId="21">#REF!</definedName>
    <definedName name="BINDING" localSheetId="9">#REF!</definedName>
    <definedName name="BINDING" localSheetId="4">#REF!</definedName>
    <definedName name="BINDING" localSheetId="24">#REF!</definedName>
    <definedName name="BINDING" localSheetId="43">#REF!</definedName>
    <definedName name="BINDING" localSheetId="8">#REF!</definedName>
    <definedName name="BINDING" localSheetId="52">#REF!</definedName>
    <definedName name="BINDING" localSheetId="7">#REF!</definedName>
    <definedName name="BINDING">#REF!</definedName>
    <definedName name="bindingwire" localSheetId="21">#REF!</definedName>
    <definedName name="bindingwire" localSheetId="9">#REF!</definedName>
    <definedName name="bindingwire" localSheetId="4">#REF!</definedName>
    <definedName name="bindingwire" localSheetId="8">#REF!</definedName>
    <definedName name="bindingwire">#REF!</definedName>
    <definedName name="BITUMEN_TRUNK_ROAD_SECTIONS" localSheetId="21">'[68]Bitumen trunk'!$A$1:$L$198</definedName>
    <definedName name="BITUMEN_TRUNK_ROAD_SECTIONS" localSheetId="9">'[68]Bitumen trunk'!$A$1:$L$198</definedName>
    <definedName name="BITUMEN_TRUNK_ROAD_SECTIONS" localSheetId="4">'[68]Bitumen trunk'!$A$1:$L$198</definedName>
    <definedName name="BITUMEN_TRUNK_ROAD_SECTIONS" localSheetId="8">'[68]Bitumen trunk'!$A$1:$L$198</definedName>
    <definedName name="BITUMEN_TRUNK_ROAD_SECTIONS">#REF!</definedName>
    <definedName name="bk">#REF!</definedName>
    <definedName name="bl" localSheetId="21">#REF!</definedName>
    <definedName name="bl" localSheetId="9">#REF!</definedName>
    <definedName name="bl" localSheetId="4">#REF!</definedName>
    <definedName name="bl" localSheetId="8">#REF!</definedName>
    <definedName name="bl">#REF!</definedName>
    <definedName name="BLA" localSheetId="4">#REF!</definedName>
    <definedName name="BLA">#REF!</definedName>
    <definedName name="blast" localSheetId="21">[78]r!$F$29</definedName>
    <definedName name="blast" localSheetId="9">[78]r!$F$29</definedName>
    <definedName name="blast" localSheetId="4">[78]r!$F$29</definedName>
    <definedName name="blast" localSheetId="8">[78]r!$F$29</definedName>
    <definedName name="blast" localSheetId="7">#REF!</definedName>
    <definedName name="blast">#REF!</definedName>
    <definedName name="blast1" localSheetId="21">[79]r!$F$29</definedName>
    <definedName name="blast1" localSheetId="9">[79]r!$F$29</definedName>
    <definedName name="blast1" localSheetId="4">[80]r!$F$29</definedName>
    <definedName name="blast1" localSheetId="10">#REF!</definedName>
    <definedName name="blast1" localSheetId="8">[79]r!$F$29</definedName>
    <definedName name="blast1" localSheetId="7">#REF!</definedName>
    <definedName name="blast1">#REF!</definedName>
    <definedName name="blast2" localSheetId="21">[79]r!$F$29</definedName>
    <definedName name="blast2" localSheetId="9">[79]r!$F$29</definedName>
    <definedName name="blast2" localSheetId="4">[80]r!$F$29</definedName>
    <definedName name="blast2" localSheetId="10">#REF!</definedName>
    <definedName name="blast2" localSheetId="8">[79]r!$F$29</definedName>
    <definedName name="blast2" localSheetId="7">#REF!</definedName>
    <definedName name="blast2">#REF!</definedName>
    <definedName name="blasting" localSheetId="4">#REF!</definedName>
    <definedName name="blasting">#REF!</definedName>
    <definedName name="BlkS">#REF!</definedName>
    <definedName name="bm" localSheetId="21">[81]DATA_PRG!$H$211</definedName>
    <definedName name="bm" localSheetId="9">[81]DATA_PRG!$H$211</definedName>
    <definedName name="bm" localSheetId="4">[81]DATA_PRG!$H$211</definedName>
    <definedName name="bm" localSheetId="8">[81]DATA_PRG!$H$211</definedName>
    <definedName name="bm">#REF!</definedName>
    <definedName name="bmas">#REF!</definedName>
    <definedName name="bmcf">#REF!</definedName>
    <definedName name="bmcfo">#REF!</definedName>
    <definedName name="bmm">#REF!</definedName>
    <definedName name="bmo">#REF!</definedName>
    <definedName name="bmpcf">#REF!</definedName>
    <definedName name="bmpcfo">#REF!</definedName>
    <definedName name="bo" localSheetId="21">#REF!</definedName>
    <definedName name="bo" localSheetId="9">#REF!</definedName>
    <definedName name="bo" localSheetId="4">#REF!</definedName>
    <definedName name="bo" localSheetId="10">#REF!</definedName>
    <definedName name="bo" localSheetId="8">#REF!</definedName>
    <definedName name="bo">#REF!</definedName>
    <definedName name="BoltsNuts" localSheetId="21">[18]maya!$B$376:$B$381</definedName>
    <definedName name="BoltsNuts" localSheetId="9">[18]maya!$B$376:$B$381</definedName>
    <definedName name="BoltsNuts" localSheetId="4">[18]maya!$B$376:$B$381</definedName>
    <definedName name="BoltsNuts" localSheetId="8">[18]maya!$B$376:$B$381</definedName>
    <definedName name="BoltsNuts">#REF!</definedName>
    <definedName name="bondstone">#REF!</definedName>
    <definedName name="boo" localSheetId="21">#REF!</definedName>
    <definedName name="boo" localSheetId="9">#REF!</definedName>
    <definedName name="boo" localSheetId="4">#REF!</definedName>
    <definedName name="boo" localSheetId="10">#REF!</definedName>
    <definedName name="boo" localSheetId="8">#REF!</definedName>
    <definedName name="boo">#REF!</definedName>
    <definedName name="Bore_wells">#REF!</definedName>
    <definedName name="boreWell">#REF!</definedName>
    <definedName name="borewells">#REF!</definedName>
    <definedName name="BOTTOMDOMEONETOSIX" localSheetId="21">#REF!</definedName>
    <definedName name="BOTTOMDOMEONETOSIX" localSheetId="9">#REF!</definedName>
    <definedName name="BOTTOMDOMEONETOSIX" localSheetId="4">#REF!</definedName>
    <definedName name="BOTTOMDOMEONETOSIX" localSheetId="10">#REF!</definedName>
    <definedName name="BOTTOMDOMEONETOSIX" localSheetId="8">#REF!</definedName>
    <definedName name="BOTTOMDOMEONETOSIX">#REF!</definedName>
    <definedName name="BOTTOMDOMESIXTOTHIRTEEN" localSheetId="21">#REF!</definedName>
    <definedName name="BOTTOMDOMESIXTOTHIRTEEN" localSheetId="9">#REF!</definedName>
    <definedName name="BOTTOMDOMESIXTOTHIRTEEN" localSheetId="4">#REF!</definedName>
    <definedName name="BOTTOMDOMESIXTOTHIRTEEN" localSheetId="10">#REF!</definedName>
    <definedName name="BOTTOMDOMESIXTOTHIRTEEN" localSheetId="8">#REF!</definedName>
    <definedName name="BOTTOMDOMESIXTOTHIRTEEN">#REF!</definedName>
    <definedName name="BOTTOMRINGGIRDERONETOSIX" localSheetId="21">#REF!</definedName>
    <definedName name="BOTTOMRINGGIRDERONETOSIX" localSheetId="9">#REF!</definedName>
    <definedName name="BOTTOMRINGGIRDERONETOSIX" localSheetId="4">#REF!</definedName>
    <definedName name="BOTTOMRINGGIRDERONETOSIX" localSheetId="10">#REF!</definedName>
    <definedName name="BOTTOMRINGGIRDERONETOSIX" localSheetId="8">#REF!</definedName>
    <definedName name="BOTTOMRINGGIRDERONETOSIX">#REF!</definedName>
    <definedName name="BOTTOMRINGGIRDERSEVENTOTHIRTEEN" localSheetId="21">#REF!</definedName>
    <definedName name="BOTTOMRINGGIRDERSEVENTOTHIRTEEN" localSheetId="9">#REF!</definedName>
    <definedName name="BOTTOMRINGGIRDERSEVENTOTHIRTEEN" localSheetId="4">#REF!</definedName>
    <definedName name="BOTTOMRINGGIRDERSEVENTOTHIRTEEN" localSheetId="10">#REF!</definedName>
    <definedName name="BOTTOMRINGGIRDERSEVENTOTHIRTEEN" localSheetId="8">#REF!</definedName>
    <definedName name="BOTTOMRINGGIRDERSEVENTOTHIRTEEN">#REF!</definedName>
    <definedName name="bp">#REF!</definedName>
    <definedName name="bpd">#REF!</definedName>
    <definedName name="br_230" localSheetId="21">#REF!</definedName>
    <definedName name="br_230" localSheetId="9">#REF!</definedName>
    <definedName name="br_230" localSheetId="4">#REF!</definedName>
    <definedName name="br_230" localSheetId="8">#REF!</definedName>
    <definedName name="br_230">#REF!</definedName>
    <definedName name="brick" localSheetId="21">#REF!</definedName>
    <definedName name="brick" localSheetId="9">#REF!</definedName>
    <definedName name="brick" localSheetId="4">#REF!</definedName>
    <definedName name="brick" localSheetId="10">#REF!</definedName>
    <definedName name="brick" localSheetId="8">#REF!</definedName>
    <definedName name="brick" localSheetId="7">#REF!</definedName>
    <definedName name="brick">#REF!</definedName>
    <definedName name="brick_four" localSheetId="21">#REF!</definedName>
    <definedName name="brick_four" localSheetId="9">#REF!</definedName>
    <definedName name="brick_four" localSheetId="4">#REF!</definedName>
    <definedName name="brick_four" localSheetId="8">#REF!</definedName>
    <definedName name="brick_four">#REF!</definedName>
    <definedName name="brick_II" localSheetId="21">'[53]C-data'!#REF!</definedName>
    <definedName name="brick_II" localSheetId="9">'[53]C-data'!#REF!</definedName>
    <definedName name="brick_II" localSheetId="4">'[53]C-data'!#REF!</definedName>
    <definedName name="brick_II" localSheetId="8">'[53]C-data'!#REF!</definedName>
    <definedName name="brick_II">#REF!</definedName>
    <definedName name="brick_nine" localSheetId="21">#REF!</definedName>
    <definedName name="brick_nine" localSheetId="9">#REF!</definedName>
    <definedName name="brick_nine" localSheetId="4">#REF!</definedName>
    <definedName name="brick_nine" localSheetId="8">#REF!</definedName>
    <definedName name="brick_nine">#REF!</definedName>
    <definedName name="brickjelly_basic" localSheetId="21">'[53]C-data'!#REF!</definedName>
    <definedName name="brickjelly_basic" localSheetId="9">'[53]C-data'!#REF!</definedName>
    <definedName name="brickjelly_basic" localSheetId="4">'[53]C-data'!#REF!</definedName>
    <definedName name="brickjelly_basic" localSheetId="8">'[53]C-data'!#REF!</definedName>
    <definedName name="brickjelly_basic">#REF!</definedName>
    <definedName name="Bricks" localSheetId="23">#REF!</definedName>
    <definedName name="Bricks" localSheetId="46">#REF!</definedName>
    <definedName name="Bricks" localSheetId="47">#REF!</definedName>
    <definedName name="Bricks" localSheetId="40">#REF!</definedName>
    <definedName name="Bricks" localSheetId="44">#REF!</definedName>
    <definedName name="Bricks" localSheetId="45">#REF!</definedName>
    <definedName name="Bricks" localSheetId="21">#REF!</definedName>
    <definedName name="Bricks" localSheetId="39">#REF!</definedName>
    <definedName name="Bricks" localSheetId="9">#REF!</definedName>
    <definedName name="Bricks" localSheetId="4">#REF!</definedName>
    <definedName name="Bricks" localSheetId="24">#REF!</definedName>
    <definedName name="Bricks" localSheetId="34">#REF!</definedName>
    <definedName name="Bricks" localSheetId="10">#REF!</definedName>
    <definedName name="Bricks" localSheetId="43">#REF!</definedName>
    <definedName name="Bricks" localSheetId="8">#REF!</definedName>
    <definedName name="Bricks" localSheetId="35">#REF!</definedName>
    <definedName name="Bricks" localSheetId="36">#REF!</definedName>
    <definedName name="Bricks" localSheetId="52">#REF!</definedName>
    <definedName name="Bricks" localSheetId="7">#REF!</definedName>
    <definedName name="Bricks">#REF!</definedName>
    <definedName name="Bridge" localSheetId="21">#REF!</definedName>
    <definedName name="Bridge" localSheetId="9">#REF!</definedName>
    <definedName name="Bridge" localSheetId="4">#REF!</definedName>
    <definedName name="Bridge" localSheetId="8">#REF!</definedName>
    <definedName name="Bridge">#REF!</definedName>
    <definedName name="brk">#REF!</definedName>
    <definedName name="brnm" localSheetId="21">'[53]C-data'!$F$63</definedName>
    <definedName name="brnm" localSheetId="9">'[53]C-data'!$F$63</definedName>
    <definedName name="brnm" localSheetId="4">'[53]C-data'!$F$63</definedName>
    <definedName name="brnm" localSheetId="8">'[53]C-data'!$F$63</definedName>
    <definedName name="brnm">#REF!</definedName>
    <definedName name="BSG" localSheetId="23">#REF!</definedName>
    <definedName name="BSG" localSheetId="46">#REF!</definedName>
    <definedName name="BSG" localSheetId="47">#REF!</definedName>
    <definedName name="BSG" localSheetId="40">#REF!</definedName>
    <definedName name="BSG" localSheetId="44">#REF!</definedName>
    <definedName name="BSG" localSheetId="45">#REF!</definedName>
    <definedName name="BSG" localSheetId="21">#REF!</definedName>
    <definedName name="BSG" localSheetId="9">#REF!</definedName>
    <definedName name="BSG" localSheetId="4">#REF!</definedName>
    <definedName name="BSG" localSheetId="24">#REF!</definedName>
    <definedName name="BSG" localSheetId="41">#REF!</definedName>
    <definedName name="BSG" localSheetId="43">#REF!</definedName>
    <definedName name="BSG" localSheetId="8">#REF!</definedName>
    <definedName name="BSG" localSheetId="16">#REF!</definedName>
    <definedName name="BSG" localSheetId="12">#REF!</definedName>
    <definedName name="BSG" localSheetId="14">#REF!</definedName>
    <definedName name="BSG" localSheetId="1">#REF!</definedName>
    <definedName name="BSG" localSheetId="13">#REF!</definedName>
    <definedName name="BSG" localSheetId="52">#REF!</definedName>
    <definedName name="BSG" localSheetId="7">#REF!</definedName>
    <definedName name="BSG" localSheetId="15">#REF!</definedName>
    <definedName name="BSG" localSheetId="11">#REF!</definedName>
    <definedName name="BSG" localSheetId="2">#REF!</definedName>
    <definedName name="BSG" localSheetId="0">#REF!</definedName>
    <definedName name="BSG">#REF!</definedName>
    <definedName name="bsth">#REF!</definedName>
    <definedName name="bsthi">#REF!</definedName>
    <definedName name="BT" localSheetId="23">#REF!</definedName>
    <definedName name="BT" localSheetId="46">#REF!</definedName>
    <definedName name="BT" localSheetId="47">#REF!</definedName>
    <definedName name="BT" localSheetId="40">#REF!</definedName>
    <definedName name="BT" localSheetId="44">#REF!</definedName>
    <definedName name="BT" localSheetId="45">#REF!</definedName>
    <definedName name="BT" localSheetId="21">#REF!</definedName>
    <definedName name="BT" localSheetId="9">#REF!</definedName>
    <definedName name="BT" localSheetId="4">#REF!</definedName>
    <definedName name="BT" localSheetId="24">#REF!</definedName>
    <definedName name="BT" localSheetId="43">#REF!</definedName>
    <definedName name="BT" localSheetId="8">#REF!</definedName>
    <definedName name="BT" localSheetId="52">#REF!</definedName>
    <definedName name="BT" localSheetId="7">#REF!</definedName>
    <definedName name="BT">#REF!</definedName>
    <definedName name="bt_boil" localSheetId="4">#REF!</definedName>
    <definedName name="bt_boil">#REF!</definedName>
    <definedName name="bt_lead" localSheetId="4">#REF!</definedName>
    <definedName name="bt_lead">#REF!</definedName>
    <definedName name="BT_MIX_SEAL" localSheetId="23">#REF!</definedName>
    <definedName name="BT_MIX_SEAL" localSheetId="46">#REF!</definedName>
    <definedName name="BT_MIX_SEAL" localSheetId="47">#REF!</definedName>
    <definedName name="BT_MIX_SEAL" localSheetId="40">#REF!</definedName>
    <definedName name="BT_MIX_SEAL" localSheetId="44">#REF!</definedName>
    <definedName name="BT_MIX_SEAL" localSheetId="45">#REF!</definedName>
    <definedName name="BT_MIX_SEAL" localSheetId="21">#REF!</definedName>
    <definedName name="BT_MIX_SEAL" localSheetId="9">#REF!</definedName>
    <definedName name="BT_MIX_SEAL" localSheetId="4">#REF!</definedName>
    <definedName name="BT_MIX_SEAL" localSheetId="24">#REF!</definedName>
    <definedName name="BT_MIX_SEAL" localSheetId="41">#REF!</definedName>
    <definedName name="BT_MIX_SEAL" localSheetId="43">#REF!</definedName>
    <definedName name="BT_MIX_SEAL" localSheetId="8">#REF!</definedName>
    <definedName name="BT_MIX_SEAL" localSheetId="16">#REF!</definedName>
    <definedName name="BT_MIX_SEAL" localSheetId="12">#REF!</definedName>
    <definedName name="BT_MIX_SEAL" localSheetId="14">#REF!</definedName>
    <definedName name="BT_MIX_SEAL" localSheetId="1">#REF!</definedName>
    <definedName name="BT_MIX_SEAL" localSheetId="13">#REF!</definedName>
    <definedName name="BT_MIX_SEAL" localSheetId="52">#REF!</definedName>
    <definedName name="BT_MIX_SEAL" localSheetId="7">#REF!</definedName>
    <definedName name="BT_MIX_SEAL" localSheetId="15">#REF!</definedName>
    <definedName name="BT_MIX_SEAL" localSheetId="11">#REF!</definedName>
    <definedName name="BT_MIX_SEAL" localSheetId="2">#REF!</definedName>
    <definedName name="BT_MIX_SEAL" localSheetId="0">#REF!</definedName>
    <definedName name="BT_MIX_SEAL">#REF!</definedName>
    <definedName name="bt_rate" localSheetId="4">#REF!</definedName>
    <definedName name="bt_rate">[82]R!$C$18</definedName>
    <definedName name="BT_Rate_60_70">#REF!</definedName>
    <definedName name="BT_SEAL_COAT" localSheetId="23">#REF!</definedName>
    <definedName name="BT_SEAL_COAT" localSheetId="46">#REF!</definedName>
    <definedName name="BT_SEAL_COAT" localSheetId="47">#REF!</definedName>
    <definedName name="BT_SEAL_COAT" localSheetId="40">#REF!</definedName>
    <definedName name="BT_SEAL_COAT" localSheetId="44">#REF!</definedName>
    <definedName name="BT_SEAL_COAT" localSheetId="45">#REF!</definedName>
    <definedName name="BT_SEAL_COAT" localSheetId="21">#REF!</definedName>
    <definedName name="BT_SEAL_COAT" localSheetId="9">#REF!</definedName>
    <definedName name="BT_SEAL_COAT" localSheetId="4">#REF!</definedName>
    <definedName name="BT_SEAL_COAT" localSheetId="24">#REF!</definedName>
    <definedName name="BT_SEAL_COAT" localSheetId="41">#REF!</definedName>
    <definedName name="BT_SEAL_COAT" localSheetId="43">#REF!</definedName>
    <definedName name="BT_SEAL_COAT" localSheetId="8">#REF!</definedName>
    <definedName name="BT_SEAL_COAT" localSheetId="16">#REF!</definedName>
    <definedName name="BT_SEAL_COAT" localSheetId="12">#REF!</definedName>
    <definedName name="BT_SEAL_COAT" localSheetId="14">#REF!</definedName>
    <definedName name="BT_SEAL_COAT" localSheetId="1">#REF!</definedName>
    <definedName name="BT_SEAL_COAT" localSheetId="13">#REF!</definedName>
    <definedName name="BT_SEAL_COAT" localSheetId="52">#REF!</definedName>
    <definedName name="BT_SEAL_COAT" localSheetId="7">#REF!</definedName>
    <definedName name="BT_SEAL_COAT" localSheetId="15">#REF!</definedName>
    <definedName name="BT_SEAL_COAT" localSheetId="11">#REF!</definedName>
    <definedName name="BT_SEAL_COAT" localSheetId="2">#REF!</definedName>
    <definedName name="BT_SEAL_COAT" localSheetId="0">#REF!</definedName>
    <definedName name="BT_SEAL_COAT">#REF!</definedName>
    <definedName name="BT_SEAL_ON_BTSD" localSheetId="23">#REF!</definedName>
    <definedName name="BT_SEAL_ON_BTSD" localSheetId="46">#REF!</definedName>
    <definedName name="BT_SEAL_ON_BTSD" localSheetId="47">#REF!</definedName>
    <definedName name="BT_SEAL_ON_BTSD" localSheetId="40">#REF!</definedName>
    <definedName name="BT_SEAL_ON_BTSD" localSheetId="44">#REF!</definedName>
    <definedName name="BT_SEAL_ON_BTSD" localSheetId="45">#REF!</definedName>
    <definedName name="BT_SEAL_ON_BTSD" localSheetId="21">#REF!</definedName>
    <definedName name="BT_SEAL_ON_BTSD" localSheetId="9">#REF!</definedName>
    <definedName name="BT_SEAL_ON_BTSD" localSheetId="4">#REF!</definedName>
    <definedName name="BT_SEAL_ON_BTSD" localSheetId="24">#REF!</definedName>
    <definedName name="BT_SEAL_ON_BTSD" localSheetId="41">#REF!</definedName>
    <definedName name="BT_SEAL_ON_BTSD" localSheetId="43">#REF!</definedName>
    <definedName name="BT_SEAL_ON_BTSD" localSheetId="8">#REF!</definedName>
    <definedName name="BT_SEAL_ON_BTSD" localSheetId="16">#REF!</definedName>
    <definedName name="BT_SEAL_ON_BTSD" localSheetId="12">#REF!</definedName>
    <definedName name="BT_SEAL_ON_BTSD" localSheetId="14">#REF!</definedName>
    <definedName name="BT_SEAL_ON_BTSD" localSheetId="1">#REF!</definedName>
    <definedName name="BT_SEAL_ON_BTSD" localSheetId="13">#REF!</definedName>
    <definedName name="BT_SEAL_ON_BTSD" localSheetId="52">#REF!</definedName>
    <definedName name="BT_SEAL_ON_BTSD" localSheetId="7">#REF!</definedName>
    <definedName name="BT_SEAL_ON_BTSD" localSheetId="15">#REF!</definedName>
    <definedName name="BT_SEAL_ON_BTSD" localSheetId="11">#REF!</definedName>
    <definedName name="BT_SEAL_ON_BTSD" localSheetId="2">#REF!</definedName>
    <definedName name="BT_SEAL_ON_BTSD" localSheetId="0">#REF!</definedName>
    <definedName name="BT_SEAL_ON_BTSD">#REF!</definedName>
    <definedName name="BT_SINGLE_30.45" localSheetId="23">#REF!</definedName>
    <definedName name="BT_SINGLE_30.45" localSheetId="46">#REF!</definedName>
    <definedName name="BT_SINGLE_30.45" localSheetId="47">#REF!</definedName>
    <definedName name="BT_SINGLE_30.45" localSheetId="40">#REF!</definedName>
    <definedName name="BT_SINGLE_30.45" localSheetId="44">#REF!</definedName>
    <definedName name="BT_SINGLE_30.45" localSheetId="45">#REF!</definedName>
    <definedName name="BT_SINGLE_30.45" localSheetId="21">#REF!</definedName>
    <definedName name="BT_SINGLE_30.45" localSheetId="9">#REF!</definedName>
    <definedName name="BT_SINGLE_30.45" localSheetId="4">#REF!</definedName>
    <definedName name="BT_SINGLE_30.45" localSheetId="24">#REF!</definedName>
    <definedName name="BT_SINGLE_30.45" localSheetId="41">#REF!</definedName>
    <definedName name="BT_SINGLE_30.45" localSheetId="43">#REF!</definedName>
    <definedName name="BT_SINGLE_30.45" localSheetId="8">#REF!</definedName>
    <definedName name="BT_SINGLE_30.45" localSheetId="16">#REF!</definedName>
    <definedName name="BT_SINGLE_30.45" localSheetId="12">#REF!</definedName>
    <definedName name="BT_SINGLE_30.45" localSheetId="14">#REF!</definedName>
    <definedName name="BT_SINGLE_30.45" localSheetId="1">#REF!</definedName>
    <definedName name="BT_SINGLE_30.45" localSheetId="13">#REF!</definedName>
    <definedName name="BT_SINGLE_30.45" localSheetId="52">#REF!</definedName>
    <definedName name="BT_SINGLE_30.45" localSheetId="7">#REF!</definedName>
    <definedName name="BT_SINGLE_30.45" localSheetId="15">#REF!</definedName>
    <definedName name="BT_SINGLE_30.45" localSheetId="11">#REF!</definedName>
    <definedName name="BT_SINGLE_30.45" localSheetId="2">#REF!</definedName>
    <definedName name="BT_SINGLE_30.45" localSheetId="0">#REF!</definedName>
    <definedName name="BT_SINGLE_30.45">#REF!</definedName>
    <definedName name="BT_WEARING_COAT" localSheetId="23">#REF!</definedName>
    <definedName name="BT_WEARING_COAT" localSheetId="46">#REF!</definedName>
    <definedName name="BT_WEARING_COAT" localSheetId="47">#REF!</definedName>
    <definedName name="BT_WEARING_COAT" localSheetId="40">#REF!</definedName>
    <definedName name="BT_WEARING_COAT" localSheetId="44">#REF!</definedName>
    <definedName name="BT_WEARING_COAT" localSheetId="45">#REF!</definedName>
    <definedName name="BT_WEARING_COAT" localSheetId="21">#REF!</definedName>
    <definedName name="BT_WEARING_COAT" localSheetId="9">#REF!</definedName>
    <definedName name="BT_WEARING_COAT" localSheetId="4">#REF!</definedName>
    <definedName name="BT_WEARING_COAT" localSheetId="24">#REF!</definedName>
    <definedName name="BT_WEARING_COAT" localSheetId="41">#REF!</definedName>
    <definedName name="BT_WEARING_COAT" localSheetId="43">#REF!</definedName>
    <definedName name="BT_WEARING_COAT" localSheetId="8">#REF!</definedName>
    <definedName name="BT_WEARING_COAT" localSheetId="16">#REF!</definedName>
    <definedName name="BT_WEARING_COAT" localSheetId="12">#REF!</definedName>
    <definedName name="BT_WEARING_COAT" localSheetId="14">#REF!</definedName>
    <definedName name="BT_WEARING_COAT" localSheetId="1">#REF!</definedName>
    <definedName name="BT_WEARING_COAT" localSheetId="13">#REF!</definedName>
    <definedName name="BT_WEARING_COAT" localSheetId="52">#REF!</definedName>
    <definedName name="BT_WEARING_COAT" localSheetId="7">#REF!</definedName>
    <definedName name="BT_WEARING_COAT" localSheetId="15">#REF!</definedName>
    <definedName name="BT_WEARING_COAT" localSheetId="11">#REF!</definedName>
    <definedName name="BT_WEARING_COAT" localSheetId="2">#REF!</definedName>
    <definedName name="BT_WEARING_COAT" localSheetId="0">#REF!</definedName>
    <definedName name="BT_WEARING_COAT">#REF!</definedName>
    <definedName name="BTC" localSheetId="21">#REF!</definedName>
    <definedName name="BTC" localSheetId="9">#REF!</definedName>
    <definedName name="BTC" localSheetId="4">#REF!</definedName>
    <definedName name="BTC" localSheetId="8">#REF!</definedName>
    <definedName name="BTC">#REF!</definedName>
    <definedName name="BTEMULTIONSS1" localSheetId="23">#REF!</definedName>
    <definedName name="BTEMULTIONSS1" localSheetId="46">#REF!</definedName>
    <definedName name="BTEMULTIONSS1" localSheetId="47">#REF!</definedName>
    <definedName name="BTEMULTIONSS1" localSheetId="40">#REF!</definedName>
    <definedName name="BTEMULTIONSS1" localSheetId="44">#REF!</definedName>
    <definedName name="BTEMULTIONSS1" localSheetId="45">#REF!</definedName>
    <definedName name="BTEMULTIONSS1" localSheetId="21">#REF!</definedName>
    <definedName name="BTEMULTIONSS1" localSheetId="9">#REF!</definedName>
    <definedName name="BTEMULTIONSS1" localSheetId="4">#REF!</definedName>
    <definedName name="BTEMULTIONSS1" localSheetId="24">#REF!</definedName>
    <definedName name="BTEMULTIONSS1" localSheetId="43">#REF!</definedName>
    <definedName name="BTEMULTIONSS1" localSheetId="8">#REF!</definedName>
    <definedName name="BTEMULTIONSS1" localSheetId="52">#REF!</definedName>
    <definedName name="BTEMULTIONSS1" localSheetId="7">#REF!</definedName>
    <definedName name="BTEMULTIONSS1">#REF!</definedName>
    <definedName name="BTL" localSheetId="21">'[83]MTC-estimate'!$C$7</definedName>
    <definedName name="BTL" localSheetId="9">'[83]MTC-estimate'!$C$7</definedName>
    <definedName name="BTL" localSheetId="4">'[83]MTC-estimate'!$C$7</definedName>
    <definedName name="BTL" localSheetId="8">'[83]MTC-estimate'!$C$7</definedName>
    <definedName name="BTL">#REF!</definedName>
    <definedName name="BTSD_23" localSheetId="23">#REF!</definedName>
    <definedName name="BTSD_23" localSheetId="46">#REF!</definedName>
    <definedName name="BTSD_23" localSheetId="47">#REF!</definedName>
    <definedName name="BTSD_23" localSheetId="40">#REF!</definedName>
    <definedName name="BTSD_23" localSheetId="44">#REF!</definedName>
    <definedName name="BTSD_23" localSheetId="45">#REF!</definedName>
    <definedName name="BTSD_23" localSheetId="21">#REF!</definedName>
    <definedName name="BTSD_23" localSheetId="9">#REF!</definedName>
    <definedName name="BTSD_23" localSheetId="4">#REF!</definedName>
    <definedName name="BTSD_23" localSheetId="24">#REF!</definedName>
    <definedName name="BTSD_23" localSheetId="41">#REF!</definedName>
    <definedName name="BTSD_23" localSheetId="43">#REF!</definedName>
    <definedName name="BTSD_23" localSheetId="8">#REF!</definedName>
    <definedName name="BTSD_23" localSheetId="16">#REF!</definedName>
    <definedName name="BTSD_23" localSheetId="12">#REF!</definedName>
    <definedName name="BTSD_23" localSheetId="14">#REF!</definedName>
    <definedName name="BTSD_23" localSheetId="1">#REF!</definedName>
    <definedName name="BTSD_23" localSheetId="13">#REF!</definedName>
    <definedName name="BTSD_23" localSheetId="52">#REF!</definedName>
    <definedName name="BTSD_23" localSheetId="7">#REF!</definedName>
    <definedName name="BTSD_23" localSheetId="15">#REF!</definedName>
    <definedName name="BTSD_23" localSheetId="11">#REF!</definedName>
    <definedName name="BTSD_23" localSheetId="2">#REF!</definedName>
    <definedName name="BTSD_23" localSheetId="0">#REF!</definedName>
    <definedName name="BTSD_23">#REF!</definedName>
    <definedName name="BTSD_DRY" localSheetId="23">#REF!</definedName>
    <definedName name="BTSD_DRY" localSheetId="46">#REF!</definedName>
    <definedName name="BTSD_DRY" localSheetId="47">#REF!</definedName>
    <definedName name="BTSD_DRY" localSheetId="40">#REF!</definedName>
    <definedName name="BTSD_DRY" localSheetId="44">#REF!</definedName>
    <definedName name="BTSD_DRY" localSheetId="45">#REF!</definedName>
    <definedName name="BTSD_DRY" localSheetId="21">#REF!</definedName>
    <definedName name="BTSD_DRY" localSheetId="9">#REF!</definedName>
    <definedName name="BTSD_DRY" localSheetId="4">#REF!</definedName>
    <definedName name="BTSD_DRY" localSheetId="24">#REF!</definedName>
    <definedName name="BTSD_DRY" localSheetId="41">#REF!</definedName>
    <definedName name="BTSD_DRY" localSheetId="43">#REF!</definedName>
    <definedName name="BTSD_DRY" localSheetId="8">#REF!</definedName>
    <definedName name="BTSD_DRY" localSheetId="16">#REF!</definedName>
    <definedName name="BTSD_DRY" localSheetId="12">#REF!</definedName>
    <definedName name="BTSD_DRY" localSheetId="14">#REF!</definedName>
    <definedName name="BTSD_DRY" localSheetId="1">#REF!</definedName>
    <definedName name="BTSD_DRY" localSheetId="13">#REF!</definedName>
    <definedName name="BTSD_DRY" localSheetId="52">#REF!</definedName>
    <definedName name="BTSD_DRY" localSheetId="7">#REF!</definedName>
    <definedName name="BTSD_DRY" localSheetId="15">#REF!</definedName>
    <definedName name="BTSD_DRY" localSheetId="11">#REF!</definedName>
    <definedName name="BTSD_DRY" localSheetId="2">#REF!</definedName>
    <definedName name="BTSD_DRY" localSheetId="0">#REF!</definedName>
    <definedName name="BTSD_DRY">#REF!</definedName>
    <definedName name="BTSD_SEAL" localSheetId="23">#REF!</definedName>
    <definedName name="BTSD_SEAL" localSheetId="46">#REF!</definedName>
    <definedName name="BTSD_SEAL" localSheetId="47">#REF!</definedName>
    <definedName name="BTSD_SEAL" localSheetId="40">#REF!</definedName>
    <definedName name="BTSD_SEAL" localSheetId="44">#REF!</definedName>
    <definedName name="BTSD_SEAL" localSheetId="45">#REF!</definedName>
    <definedName name="BTSD_SEAL" localSheetId="21">#REF!</definedName>
    <definedName name="BTSD_SEAL" localSheetId="9">#REF!</definedName>
    <definedName name="BTSD_SEAL" localSheetId="4">#REF!</definedName>
    <definedName name="BTSD_SEAL" localSheetId="24">#REF!</definedName>
    <definedName name="BTSD_SEAL" localSheetId="41">#REF!</definedName>
    <definedName name="BTSD_SEAL" localSheetId="43">#REF!</definedName>
    <definedName name="BTSD_SEAL" localSheetId="8">#REF!</definedName>
    <definedName name="BTSD_SEAL" localSheetId="16">#REF!</definedName>
    <definedName name="BTSD_SEAL" localSheetId="12">#REF!</definedName>
    <definedName name="BTSD_SEAL" localSheetId="14">#REF!</definedName>
    <definedName name="BTSD_SEAL" localSheetId="1">#REF!</definedName>
    <definedName name="BTSD_SEAL" localSheetId="13">#REF!</definedName>
    <definedName name="BTSD_SEAL" localSheetId="52">#REF!</definedName>
    <definedName name="BTSD_SEAL" localSheetId="7">#REF!</definedName>
    <definedName name="BTSD_SEAL" localSheetId="15">#REF!</definedName>
    <definedName name="BTSD_SEAL" localSheetId="11">#REF!</definedName>
    <definedName name="BTSD_SEAL" localSheetId="2">#REF!</definedName>
    <definedName name="BTSD_SEAL" localSheetId="0">#REF!</definedName>
    <definedName name="BTSD_SEAL">#REF!</definedName>
    <definedName name="buildings" localSheetId="21">#REF!</definedName>
    <definedName name="buildings" localSheetId="9">#REF!</definedName>
    <definedName name="buildings" localSheetId="4">#REF!</definedName>
    <definedName name="buildings" localSheetId="8">#REF!</definedName>
    <definedName name="buildings">#REF!</definedName>
    <definedName name="buran">#REF!</definedName>
    <definedName name="Button_1">"tlbww_details"</definedName>
    <definedName name="BW" localSheetId="21">[67]Sheet2!$I$47</definedName>
    <definedName name="BW" localSheetId="9">[67]Sheet2!$I$47</definedName>
    <definedName name="BW" localSheetId="4">[67]Sheet2!$I$47</definedName>
    <definedName name="BW" localSheetId="8">[67]Sheet2!$I$47</definedName>
    <definedName name="bw">#REF!</definedName>
    <definedName name="bx" localSheetId="10">#REF!</definedName>
    <definedName name="bx">#REF!</definedName>
    <definedName name="c.c136" localSheetId="21">[84]Sheet1!$A$19:$A$22</definedName>
    <definedName name="c.c136" localSheetId="9">[84]Sheet1!$A$19:$A$22</definedName>
    <definedName name="c.c136" localSheetId="4">[84]Sheet1!$A$19:$A$22</definedName>
    <definedName name="c.c136" localSheetId="8">[84]Sheet1!$A$19:$A$22</definedName>
    <definedName name="c.c136">#REF!</definedName>
    <definedName name="C_">#N/A</definedName>
    <definedName name="C824.">#REF!</definedName>
    <definedName name="calculations" localSheetId="4">#REF!</definedName>
    <definedName name="calculations">#REF!</definedName>
    <definedName name="CANTILEVERONETOSIX" localSheetId="21">#REF!</definedName>
    <definedName name="CANTILEVERONETOSIX" localSheetId="9">#REF!</definedName>
    <definedName name="CANTILEVERONETOSIX" localSheetId="4">#REF!</definedName>
    <definedName name="CANTILEVERONETOSIX" localSheetId="10">#REF!</definedName>
    <definedName name="CANTILEVERONETOSIX" localSheetId="8">#REF!</definedName>
    <definedName name="CANTILEVERONETOSIX">#REF!</definedName>
    <definedName name="CANTILEVERSEVENTOTHIRTEEN" localSheetId="21">#REF!</definedName>
    <definedName name="CANTILEVERSEVENTOTHIRTEEN" localSheetId="9">#REF!</definedName>
    <definedName name="CANTILEVERSEVENTOTHIRTEEN" localSheetId="4">#REF!</definedName>
    <definedName name="CANTILEVERSEVENTOTHIRTEEN" localSheetId="10">#REF!</definedName>
    <definedName name="CANTILEVERSEVENTOTHIRTEEN" localSheetId="8">#REF!</definedName>
    <definedName name="CANTILEVERSEVENTOTHIRTEEN">#REF!</definedName>
    <definedName name="CAUSEWAY">#REF!</definedName>
    <definedName name="cb">#REF!</definedName>
    <definedName name="cbb">#REF!</definedName>
    <definedName name="cbeams" localSheetId="4">#REF!</definedName>
    <definedName name="cbeams">#REF!</definedName>
    <definedName name="cbl">#REF!</definedName>
    <definedName name="cbr" localSheetId="4">#REF!</definedName>
    <definedName name="cbr">#REF!</definedName>
    <definedName name="cc" localSheetId="21">#REF!</definedName>
    <definedName name="cc" localSheetId="9">#REF!</definedName>
    <definedName name="cc" localSheetId="4">#REF!</definedName>
    <definedName name="cc" localSheetId="8">#REF!</definedName>
    <definedName name="cc" localSheetId="7">#REF!</definedName>
    <definedName name="CC">#REF!</definedName>
    <definedName name="CC_1" localSheetId="21">[43]DATA!$I$59</definedName>
    <definedName name="CC_1" localSheetId="9">[43]DATA!$I$59</definedName>
    <definedName name="CC_1" localSheetId="4">[42]DATA!$I$59</definedName>
    <definedName name="CC_1" localSheetId="8">[43]DATA!$I$59</definedName>
    <definedName name="CC_1" localSheetId="7">#REF!</definedName>
    <definedName name="CC_1">#REF!</definedName>
    <definedName name="CC_1st___Part">#REF!</definedName>
    <definedName name="cc_mix" localSheetId="21">'[77]data existing_do not delete'!$D$2:$D$7</definedName>
    <definedName name="cc_mix" localSheetId="9">'[77]data existing_do not delete'!$D$2:$D$7</definedName>
    <definedName name="cc_mix" localSheetId="4">'[77]data existing_do not delete'!$D$2:$D$7</definedName>
    <definedName name="cc_mix" localSheetId="8">'[77]data existing_do not delete'!$D$2:$D$7</definedName>
    <definedName name="cc_mix">#REF!</definedName>
    <definedName name="CCBills">[85]Cover!$N$131:$N$150</definedName>
    <definedName name="cci">#REF!</definedName>
    <definedName name="ccir">#REF!</definedName>
    <definedName name="CCL" localSheetId="21">'[83]MTC-estimate'!$C$8</definedName>
    <definedName name="CCL" localSheetId="9">'[83]MTC-estimate'!$C$8</definedName>
    <definedName name="CCL" localSheetId="4">'[83]MTC-estimate'!$C$8</definedName>
    <definedName name="CCL" localSheetId="8">'[83]MTC-estimate'!$C$8</definedName>
    <definedName name="CCL">#REF!</definedName>
    <definedName name="ccp" localSheetId="4">#REF!</definedName>
    <definedName name="ccp">#REF!</definedName>
    <definedName name="ccwc1" localSheetId="4">#REF!</definedName>
    <definedName name="ccwc1">#REF!</definedName>
    <definedName name="ccwc2" localSheetId="4">#REF!</definedName>
    <definedName name="ccwc2">#REF!</definedName>
    <definedName name="cd" localSheetId="21">#REF!</definedName>
    <definedName name="cd" localSheetId="9">#REF!</definedName>
    <definedName name="cd" localSheetId="4">#REF!</definedName>
    <definedName name="cd" localSheetId="10">#REF!</definedName>
    <definedName name="cd" localSheetId="8">#REF!</definedName>
    <definedName name="cd" localSheetId="52">#REF!</definedName>
    <definedName name="cd" localSheetId="7">#REF!</definedName>
    <definedName name="cd">#REF!</definedName>
    <definedName name="cddata" localSheetId="21">#REF!</definedName>
    <definedName name="cddata" localSheetId="9">#REF!</definedName>
    <definedName name="cddata" localSheetId="4">#REF!</definedName>
    <definedName name="cddata" localSheetId="10">#REF!</definedName>
    <definedName name="cddata" localSheetId="8">#REF!</definedName>
    <definedName name="cddata">#REF!</definedName>
    <definedName name="CDECV">#REF!</definedName>
    <definedName name="CDN" localSheetId="21">'[83]MTC-estimate'!$I$7</definedName>
    <definedName name="CDN" localSheetId="9">'[83]MTC-estimate'!$I$7</definedName>
    <definedName name="CDN" localSheetId="4">'[83]MTC-estimate'!$I$7</definedName>
    <definedName name="CDN" localSheetId="8">'[83]MTC-estimate'!$I$7</definedName>
    <definedName name="CDN">#REF!</definedName>
    <definedName name="CDNO">#REF!</definedName>
    <definedName name="cdno_600">#REF!</definedName>
    <definedName name="CDSC" localSheetId="21">'[83]MTC-estimate'!$I$8</definedName>
    <definedName name="CDSC" localSheetId="9">'[83]MTC-estimate'!$I$8</definedName>
    <definedName name="CDSC" localSheetId="4">'[83]MTC-estimate'!$I$8</definedName>
    <definedName name="CDSC" localSheetId="8">'[83]MTC-estimate'!$I$8</definedName>
    <definedName name="CDSC">#REF!</definedName>
    <definedName name="ce" localSheetId="4">#REF!</definedName>
    <definedName name="ce">#REF!</definedName>
    <definedName name="cem" localSheetId="21">'[53]C-data'!$F$55</definedName>
    <definedName name="cem" localSheetId="9">'[53]C-data'!$F$55</definedName>
    <definedName name="cem" localSheetId="4">'[53]C-data'!$F$55</definedName>
    <definedName name="cem" localSheetId="8">'[53]C-data'!$F$55</definedName>
    <definedName name="cem">#REF!</definedName>
    <definedName name="cem_w" localSheetId="21">'[53]C-data'!#REF!</definedName>
    <definedName name="cem_w" localSheetId="9">'[53]C-data'!#REF!</definedName>
    <definedName name="cem_w" localSheetId="4">'[53]C-data'!#REF!</definedName>
    <definedName name="cem_w" localSheetId="8">'[53]C-data'!#REF!</definedName>
    <definedName name="cem_w">#REF!</definedName>
    <definedName name="CEMENT" localSheetId="23">#REF!</definedName>
    <definedName name="CEMENT" localSheetId="46">#REF!</definedName>
    <definedName name="CEMENT" localSheetId="47">#REF!</definedName>
    <definedName name="CEMENT" localSheetId="40">#REF!</definedName>
    <definedName name="CEMENT" localSheetId="44">#REF!</definedName>
    <definedName name="CEMENT" localSheetId="45">#REF!</definedName>
    <definedName name="CEMENT" localSheetId="21">#REF!</definedName>
    <definedName name="CEMENT" localSheetId="9">#REF!</definedName>
    <definedName name="CEMENT" localSheetId="4">#REF!</definedName>
    <definedName name="CEMENT" localSheetId="24">#REF!</definedName>
    <definedName name="CEMENT" localSheetId="43">#REF!</definedName>
    <definedName name="CEMENT" localSheetId="8">#REF!</definedName>
    <definedName name="CEMENT" localSheetId="52">#REF!</definedName>
    <definedName name="CEMENT" localSheetId="7">#REF!</definedName>
    <definedName name="CEMENT" localSheetId="30">#REF!</definedName>
    <definedName name="CEMENT" localSheetId="15">#REF!</definedName>
    <definedName name="CEMENT" localSheetId="11">#REF!</definedName>
    <definedName name="CEMENT" localSheetId="2">#REF!</definedName>
    <definedName name="CEMENT" localSheetId="0">#REF!</definedName>
    <definedName name="CEMENT">#REF!</definedName>
    <definedName name="Cement_Mortar__1___1">'[58]DATA SHEET FOR 2014-15'!#REF!</definedName>
    <definedName name="Cement_Mortar__1___1.5">'[58]DATA SHEET FOR 2014-15'!#REF!</definedName>
    <definedName name="Cement_Mortar__1___2">'[58]DATA SHEET FOR 2014-15'!#REF!</definedName>
    <definedName name="Cement_Mortar__1___3">'[58]DATA SHEET FOR 2014-15'!#REF!</definedName>
    <definedName name="Cement_Mortar__1___4">'[58]DATA SHEET FOR 2014-15'!#REF!</definedName>
    <definedName name="Cement_Mortar__1___5">'[58]DATA SHEET FOR 2014-15'!#REF!</definedName>
    <definedName name="Cement_Mortar__1___6">'[58]DATA SHEET FOR 2014-15'!#REF!</definedName>
    <definedName name="Cement_Mortar__1___8">'[58]DATA SHEET FOR 2014-15'!#REF!</definedName>
    <definedName name="cenchrcol" localSheetId="21">#REF!</definedName>
    <definedName name="cenchrcol" localSheetId="9">#REF!</definedName>
    <definedName name="cenchrcol" localSheetId="4">#REF!</definedName>
    <definedName name="cenchrcol" localSheetId="8">#REF!</definedName>
    <definedName name="cenchrcol">#REF!</definedName>
    <definedName name="cenchrfoot" localSheetId="21">#REF!</definedName>
    <definedName name="cenchrfoot" localSheetId="9">#REF!</definedName>
    <definedName name="cenchrfoot" localSheetId="4">#REF!</definedName>
    <definedName name="cenchrfoot" localSheetId="8">#REF!</definedName>
    <definedName name="cenchrfoot">#REF!</definedName>
    <definedName name="cenchrpb" localSheetId="21">#REF!</definedName>
    <definedName name="cenchrpb" localSheetId="9">#REF!</definedName>
    <definedName name="cenchrpb" localSheetId="4">#REF!</definedName>
    <definedName name="cenchrpb" localSheetId="8">#REF!</definedName>
    <definedName name="cenchrpb">#REF!</definedName>
    <definedName name="cenchrped" localSheetId="21">#REF!</definedName>
    <definedName name="cenchrped" localSheetId="9">#REF!</definedName>
    <definedName name="cenchrped" localSheetId="4">#REF!</definedName>
    <definedName name="cenchrped" localSheetId="8">#REF!</definedName>
    <definedName name="cenchrped">#REF!</definedName>
    <definedName name="ceramic" localSheetId="21">#REF!</definedName>
    <definedName name="ceramic" localSheetId="9">#REF!</definedName>
    <definedName name="ceramic" localSheetId="4">#REF!</definedName>
    <definedName name="ceramic" localSheetId="8">#REF!</definedName>
    <definedName name="ceramic">#REF!</definedName>
    <definedName name="CEW" localSheetId="4">#REF!</definedName>
    <definedName name="CEW">#REF!</definedName>
    <definedName name="cfb" localSheetId="4">#REF!</definedName>
    <definedName name="cfb">#REF!</definedName>
    <definedName name="cg" localSheetId="21">#REF!</definedName>
    <definedName name="cg" localSheetId="9">#REF!</definedName>
    <definedName name="cg" localSheetId="4">#REF!</definedName>
    <definedName name="cg" localSheetId="8">#REF!</definedName>
    <definedName name="cg">#REF!</definedName>
    <definedName name="chdyrrr" localSheetId="21">[86]Lead!#REF!</definedName>
    <definedName name="chdyrrr" localSheetId="9">[86]Lead!#REF!</definedName>
    <definedName name="chdyrrr" localSheetId="4">[86]Lead!#REF!</definedName>
    <definedName name="chdyrrr" localSheetId="8">[86]Lead!#REF!</definedName>
    <definedName name="chdyrrr">#REF!</definedName>
    <definedName name="chips_10" localSheetId="4">#REF!</definedName>
    <definedName name="chips_10">#REF!</definedName>
    <definedName name="chips_12" localSheetId="4">#REF!</definedName>
    <definedName name="chips_12">#REF!</definedName>
    <definedName name="chips_5" localSheetId="4">#REF!</definedName>
    <definedName name="chips_5">#REF!</definedName>
    <definedName name="CI">#REF!</definedName>
    <definedName name="CIcheckValve">#REF!</definedName>
    <definedName name="cidjoint" localSheetId="21">#REF!</definedName>
    <definedName name="cidjoint" localSheetId="9">#REF!</definedName>
    <definedName name="cidjoint" localSheetId="4">#REF!</definedName>
    <definedName name="cidjoint" localSheetId="10">#REF!</definedName>
    <definedName name="cidjoint" localSheetId="8">#REF!</definedName>
    <definedName name="cidjoint">#REF!</definedName>
    <definedName name="CIDjoints" localSheetId="21">[18]maya!$B$370:$B$375</definedName>
    <definedName name="CIDjoints" localSheetId="9">[18]maya!$B$370:$B$375</definedName>
    <definedName name="CIDjoints" localSheetId="4">[18]maya!$B$370:$B$375</definedName>
    <definedName name="CIDjoints" localSheetId="8">[18]maya!$B$370:$B$375</definedName>
    <definedName name="CIDjoints">#REF!</definedName>
    <definedName name="CIdummy">#REF!</definedName>
    <definedName name="CIfootValve">#REF!</definedName>
    <definedName name="cii">#REF!</definedName>
    <definedName name="ciii">#REF!</definedName>
    <definedName name="cila100">#REF!</definedName>
    <definedName name="cila1000">#REF!</definedName>
    <definedName name="cila125">#REF!</definedName>
    <definedName name="cila150">#REF!</definedName>
    <definedName name="cila200">#REF!</definedName>
    <definedName name="cila250">#REF!</definedName>
    <definedName name="cila300">#REF!</definedName>
    <definedName name="cila350">#REF!</definedName>
    <definedName name="cila400">#REF!</definedName>
    <definedName name="cila450">#REF!</definedName>
    <definedName name="cila500">#REF!</definedName>
    <definedName name="cila600">#REF!</definedName>
    <definedName name="cila700">#REF!</definedName>
    <definedName name="cila750">#REF!</definedName>
    <definedName name="cila80">#REF!</definedName>
    <definedName name="cila800">#REF!</definedName>
    <definedName name="cila900">#REF!</definedName>
    <definedName name="CIR" localSheetId="21">[87]coverpage!$E$27</definedName>
    <definedName name="CIR" localSheetId="9">[87]coverpage!$E$27</definedName>
    <definedName name="CIR" localSheetId="4">[87]coverpage!$E$27</definedName>
    <definedName name="CIR" localSheetId="10">#REF!</definedName>
    <definedName name="CIR" localSheetId="8">[87]coverpage!$E$27</definedName>
    <definedName name="CIR" localSheetId="7">#REF!</definedName>
    <definedName name="CIR">#REF!</definedName>
    <definedName name="City" localSheetId="10">#REF!</definedName>
    <definedName name="City">#REF!</definedName>
    <definedName name="cjv" localSheetId="21">#REF!</definedName>
    <definedName name="cjv" localSheetId="9">#REF!</definedName>
    <definedName name="cjv" localSheetId="4">#REF!</definedName>
    <definedName name="cjv" localSheetId="8">#REF!</definedName>
    <definedName name="cjv">#REF!</definedName>
    <definedName name="CLASSS">#REF!</definedName>
    <definedName name="clp" localSheetId="4">#REF!</definedName>
    <definedName name="clp">#REF!</definedName>
    <definedName name="cm" localSheetId="21">#REF!</definedName>
    <definedName name="cm" localSheetId="9">#REF!</definedName>
    <definedName name="cm" localSheetId="4">#REF!</definedName>
    <definedName name="cm" localSheetId="8">#REF!</definedName>
    <definedName name="cm" localSheetId="7">#REF!</definedName>
    <definedName name="CM">#REF!</definedName>
    <definedName name="cm_mix" localSheetId="21">'[77]data existing_do not delete'!$A$78:$A$84</definedName>
    <definedName name="cm_mix" localSheetId="9">'[77]data existing_do not delete'!$A$78:$A$84</definedName>
    <definedName name="cm_mix" localSheetId="4">'[77]data existing_do not delete'!$A$78:$A$84</definedName>
    <definedName name="cm_mix" localSheetId="8">'[77]data existing_do not delete'!$A$78:$A$84</definedName>
    <definedName name="cm_mix">#REF!</definedName>
    <definedName name="cmt">[88]Lead!$H$41</definedName>
    <definedName name="cnvey" localSheetId="21">[89]Lead!#REF!</definedName>
    <definedName name="cnvey" localSheetId="9">[89]Lead!#REF!</definedName>
    <definedName name="cnvey" localSheetId="4">[89]Lead!#REF!</definedName>
    <definedName name="cnvey" localSheetId="10">#REF!</definedName>
    <definedName name="cnvey" localSheetId="8">[89]Lead!#REF!</definedName>
    <definedName name="cnvey">#REF!</definedName>
    <definedName name="Code" localSheetId="21" hidden="1">#REF!</definedName>
    <definedName name="Code" localSheetId="9" hidden="1">#REF!</definedName>
    <definedName name="Code" localSheetId="4" hidden="1">#REF!</definedName>
    <definedName name="Code" localSheetId="10" hidden="1">#REF!</definedName>
    <definedName name="Code" localSheetId="8" hidden="1">#REF!</definedName>
    <definedName name="Code" hidden="1">#REF!</definedName>
    <definedName name="col" localSheetId="21">[81]DATA_PRG!$H$173</definedName>
    <definedName name="col" localSheetId="9">[81]DATA_PRG!$H$173</definedName>
    <definedName name="col" localSheetId="4">[81]DATA_PRG!$H$173</definedName>
    <definedName name="col" localSheetId="8">[81]DATA_PRG!$H$173</definedName>
    <definedName name="col">#REF!</definedName>
    <definedName name="COLLAR">"Rectangle 67"</definedName>
    <definedName name="Collection_of_gravel_and_stoking_at_site_to_departmental_gauge_and_Spreading__including_cost_and_conveyance_of_all_materials_and_Seign_charges_labour_charges_etc_complete." localSheetId="4">'[90]DATA SHEET FOR 2012 - 13'!#REF!</definedName>
    <definedName name="Collection_of_gravel_and_stoking_at_site_to_departmental_gauge_and_Spreading__including_cost_and_conveyance_of_all_materials_and_Seign_charges_labour_charges_etc_complete.">'[90]DATA SHEET FOR 2012 - 13'!#REF!</definedName>
    <definedName name="Column_Footings" localSheetId="4">'[58]DATA SHEET FOR 2014-15'!#REF!</definedName>
    <definedName name="Column_Footings">'[58]DATA SHEET FOR 2014-15'!#REF!</definedName>
    <definedName name="Columns" localSheetId="4">'[58]DATA SHEET FOR 2014-15'!#REF!</definedName>
    <definedName name="Columns">'[58]DATA SHEET FOR 2014-15'!#REF!</definedName>
    <definedName name="Com.kalvapally" localSheetId="21">[13]r!$F$30</definedName>
    <definedName name="Com.kalvapally" localSheetId="9">[13]r!$F$30</definedName>
    <definedName name="Com.kalvapally" localSheetId="4">[13]r!$F$30</definedName>
    <definedName name="Com.kalvapally" localSheetId="8">[13]r!$F$30</definedName>
    <definedName name="Com.kalvapally">#REF!</definedName>
    <definedName name="comp">#REF!</definedName>
    <definedName name="Company" localSheetId="10">#REF!</definedName>
    <definedName name="Company">#REF!</definedName>
    <definedName name="con_mixer" localSheetId="21">#REF!</definedName>
    <definedName name="con_mixer" localSheetId="9">#REF!</definedName>
    <definedName name="con_mixer" localSheetId="4">#REF!</definedName>
    <definedName name="con_mixer" localSheetId="8">#REF!</definedName>
    <definedName name="con_mixer">#REF!</definedName>
    <definedName name="con_pro" localSheetId="21">#REF!</definedName>
    <definedName name="con_pro" localSheetId="9">#REF!</definedName>
    <definedName name="con_pro" localSheetId="4">#REF!</definedName>
    <definedName name="con_pro" localSheetId="8">#REF!</definedName>
    <definedName name="con_pro">#REF!</definedName>
    <definedName name="Concession_Period">#REF!</definedName>
    <definedName name="Concrete_mixer">'[91]SSR 2015-16'!$F$173</definedName>
    <definedName name="Concrete_mixing">'[91]SSR 2015-16'!$F$173</definedName>
    <definedName name="Constructing_904.0_mm__3’0”__dia_brick_masonry_inspection_chamber_as_per_IS___4111__Part_1_1986_with_cement_mortar__1_6__prop_using_2nd_Class_Clay_Bricks_of_225_mm_thick_from_approved_source_having_a_minimum_crushing_strength_of_5_N_sq.mm_including_plaste" localSheetId="4">'[58]DATA SHEET FOR 2014-15'!#REF!</definedName>
    <definedName name="Constructing_904.0_mm__3’0”__dia_brick_masonry_inspection_chamber_as_per_IS___4111__Part_1_1986_with_cement_mortar__1_6__prop_using_2nd_Class_Clay_Bricks_of_225_mm_thick_from_approved_source_having_a_minimum_crushing_strength_of_5_N_sq.mm_including_plaste">'[58]DATA SHEET FOR 2014-15'!#REF!</definedName>
    <definedName name="Construction" localSheetId="21">'[68]Bitumen trunk'!$W$1:$AN$196</definedName>
    <definedName name="Construction" localSheetId="9">'[68]Bitumen trunk'!$W$1:$AN$196</definedName>
    <definedName name="Construction" localSheetId="4">'[68]Bitumen trunk'!$W$1:$AN$196</definedName>
    <definedName name="Construction" localSheetId="8">'[68]Bitumen trunk'!$W$1:$AN$196</definedName>
    <definedName name="Construction">#REF!</definedName>
    <definedName name="CONVEYANCE">#REF!</definedName>
    <definedName name="convy">#REF!</definedName>
    <definedName name="COP">'[92]Gen Abs'!$D$5</definedName>
    <definedName name="Country" localSheetId="10">#REF!</definedName>
    <definedName name="Country">#REF!</definedName>
    <definedName name="cover">#REF!</definedName>
    <definedName name="cover2" localSheetId="21">#REF!</definedName>
    <definedName name="cover2" localSheetId="9">#REF!</definedName>
    <definedName name="cover2" localSheetId="4">#REF!</definedName>
    <definedName name="cover2" localSheetId="8">#REF!</definedName>
    <definedName name="cover2" localSheetId="7">#REF!</definedName>
    <definedName name="cover2">#REF!</definedName>
    <definedName name="coverpage">#REF!</definedName>
    <definedName name="CP" localSheetId="23">#REF!</definedName>
    <definedName name="CP" localSheetId="46">#REF!</definedName>
    <definedName name="CP" localSheetId="47">#REF!</definedName>
    <definedName name="CP" localSheetId="40">#REF!</definedName>
    <definedName name="CP" localSheetId="44">#REF!</definedName>
    <definedName name="CP" localSheetId="45">#REF!</definedName>
    <definedName name="CP" localSheetId="21">#REF!</definedName>
    <definedName name="CP" localSheetId="9">#REF!</definedName>
    <definedName name="CP" localSheetId="4">#REF!</definedName>
    <definedName name="CP" localSheetId="24">#REF!</definedName>
    <definedName name="cp" localSheetId="10">#REF!</definedName>
    <definedName name="CP" localSheetId="43">#REF!</definedName>
    <definedName name="CP" localSheetId="8">#REF!</definedName>
    <definedName name="CP" localSheetId="52">#REF!</definedName>
    <definedName name="CP" localSheetId="7">#REF!</definedName>
    <definedName name="CP" localSheetId="30">#REF!</definedName>
    <definedName name="CP" localSheetId="15">#REF!</definedName>
    <definedName name="CP" localSheetId="11">#REF!</definedName>
    <definedName name="CP" localSheetId="2">#REF!</definedName>
    <definedName name="CP" localSheetId="0">#REF!</definedName>
    <definedName name="CP">#REF!</definedName>
    <definedName name="cr" localSheetId="21">[43]DATA!$H$17</definedName>
    <definedName name="cr" localSheetId="9">[43]DATA!$H$17</definedName>
    <definedName name="cr" localSheetId="4">[42]DATA!$H$17</definedName>
    <definedName name="cr" localSheetId="8">[43]DATA!$H$17</definedName>
    <definedName name="cr" localSheetId="7">#REF!</definedName>
    <definedName name="cr">#REF!</definedName>
    <definedName name="cr_mpl_divn_corenet_cn_mpl" localSheetId="21">#REF!</definedName>
    <definedName name="cr_mpl_divn_corenet_cn_mpl" localSheetId="9">#REF!</definedName>
    <definedName name="cr_mpl_divn_corenet_cn_mpl" localSheetId="4">#REF!</definedName>
    <definedName name="cr_mpl_divn_corenet_cn_mpl" localSheetId="10">#REF!</definedName>
    <definedName name="cr_mpl_divn_corenet_cn_mpl" localSheetId="8">#REF!</definedName>
    <definedName name="cr_mpl_divn_corenet_cn_mpl">#REF!</definedName>
    <definedName name="crccslab" localSheetId="4">#REF!</definedName>
    <definedName name="crccslab">#REF!</definedName>
    <definedName name="crccslab150" localSheetId="4">#REF!</definedName>
    <definedName name="crccslab150">#REF!</definedName>
    <definedName name="crr">#REF!</definedName>
    <definedName name="CRS" localSheetId="21">[43]DATA!$H$138</definedName>
    <definedName name="CRS" localSheetId="9">[43]DATA!$H$138</definedName>
    <definedName name="CRS" localSheetId="4">[42]DATA!$H$138</definedName>
    <definedName name="CRS" localSheetId="8">[43]DATA!$H$138</definedName>
    <definedName name="CRS" localSheetId="7">#REF!</definedName>
    <definedName name="CRS">#REF!</definedName>
    <definedName name="crsg" localSheetId="21">#REF!</definedName>
    <definedName name="crsg" localSheetId="9">#REF!</definedName>
    <definedName name="crsg" localSheetId="4">#REF!</definedName>
    <definedName name="crsg" localSheetId="8">#REF!</definedName>
    <definedName name="crsg" localSheetId="7">#REF!</definedName>
    <definedName name="crsg">#REF!</definedName>
    <definedName name="crsrate" localSheetId="21">'[12]lead-st'!$L$12</definedName>
    <definedName name="crsrate" localSheetId="9">'[12]lead-st'!$L$12</definedName>
    <definedName name="crsrate" localSheetId="4">'[6]lead-st'!$L$12</definedName>
    <definedName name="crsrate" localSheetId="10">#REF!</definedName>
    <definedName name="crsrate" localSheetId="8">'[12]lead-st'!$L$12</definedName>
    <definedName name="crsrate" localSheetId="7">#REF!</definedName>
    <definedName name="crsrate">#REF!</definedName>
    <definedName name="crss" localSheetId="21">[12]rdamdata!$J$10</definedName>
    <definedName name="crss" localSheetId="9">[12]rdamdata!$J$10</definedName>
    <definedName name="crss" localSheetId="4">[6]rdamdata!$J$10</definedName>
    <definedName name="crss" localSheetId="10">#REF!</definedName>
    <definedName name="crss" localSheetId="8">[12]rdamdata!$J$10</definedName>
    <definedName name="crss" localSheetId="7">#REF!</definedName>
    <definedName name="crss">#REF!</definedName>
    <definedName name="crtts">#REF!</definedName>
    <definedName name="crush" localSheetId="21">[79]r!$F$30</definedName>
    <definedName name="crush" localSheetId="9">[79]r!$F$30</definedName>
    <definedName name="crush" localSheetId="4">[80]r!$F$30</definedName>
    <definedName name="crush" localSheetId="10">#REF!</definedName>
    <definedName name="crush" localSheetId="8">[79]r!$F$30</definedName>
    <definedName name="crush" localSheetId="7">#REF!</definedName>
    <definedName name="crush">#REF!</definedName>
    <definedName name="crust" localSheetId="21">[93]Data.F8.BTR!#REF!</definedName>
    <definedName name="crust" localSheetId="9">[93]Data.F8.BTR!#REF!</definedName>
    <definedName name="crust" localSheetId="4">[93]Data.F8.BTR!#REF!</definedName>
    <definedName name="crust" localSheetId="10">#REF!</definedName>
    <definedName name="crust" localSheetId="8">[93]Data.F8.BTR!#REF!</definedName>
    <definedName name="crust" localSheetId="7">#REF!</definedName>
    <definedName name="crust">#REF!</definedName>
    <definedName name="Cs">[67]Sheet2!$F$18</definedName>
    <definedName name="cshewcen" localSheetId="21">#REF!</definedName>
    <definedName name="cshewcen" localSheetId="9">#REF!</definedName>
    <definedName name="cshewcen" localSheetId="4">#REF!</definedName>
    <definedName name="cshewcen" localSheetId="8">#REF!</definedName>
    <definedName name="cshewcen">#REF!</definedName>
    <definedName name="cshewcenchrfoot" localSheetId="21">#REF!</definedName>
    <definedName name="cshewcenchrfoot" localSheetId="9">#REF!</definedName>
    <definedName name="cshewcenchrfoot" localSheetId="4">#REF!</definedName>
    <definedName name="cshewcenchrfoot" localSheetId="8">#REF!</definedName>
    <definedName name="cshewcenchrfoot">#REF!</definedName>
    <definedName name="cshewcenchrpb" localSheetId="21">#REF!</definedName>
    <definedName name="cshewcenchrpb" localSheetId="9">#REF!</definedName>
    <definedName name="cshewcenchrpb" localSheetId="4">#REF!</definedName>
    <definedName name="cshewcenchrpb" localSheetId="8">#REF!</definedName>
    <definedName name="cshewcenchrpb">#REF!</definedName>
    <definedName name="cshewcenchrped" localSheetId="21">#REF!</definedName>
    <definedName name="cshewcenchrped" localSheetId="9">#REF!</definedName>
    <definedName name="cshewcenchrped" localSheetId="4">#REF!</definedName>
    <definedName name="cshewcenchrped" localSheetId="8">#REF!</definedName>
    <definedName name="cshewcenchrped">#REF!</definedName>
    <definedName name="ct_basic" localSheetId="21">'[53]C-data'!#REF!</definedName>
    <definedName name="ct_basic" localSheetId="9">'[53]C-data'!#REF!</definedName>
    <definedName name="ct_basic" localSheetId="4">'[53]C-data'!#REF!</definedName>
    <definedName name="ct_basic" localSheetId="8">'[53]C-data'!#REF!</definedName>
    <definedName name="ct_basic">#REF!</definedName>
    <definedName name="ctrhabstat" localSheetId="21">#REF!</definedName>
    <definedName name="ctrhabstat" localSheetId="9">#REF!</definedName>
    <definedName name="ctrhabstat" localSheetId="4">#REF!</definedName>
    <definedName name="ctrhabstat" localSheetId="10">#REF!</definedName>
    <definedName name="ctrhabstat" localSheetId="8">#REF!</definedName>
    <definedName name="ctrhabstat">#REF!</definedName>
    <definedName name="cu" localSheetId="21">#REF!</definedName>
    <definedName name="cu" localSheetId="9">#REF!</definedName>
    <definedName name="cu" localSheetId="4">#REF!</definedName>
    <definedName name="cu" localSheetId="8">#REF!</definedName>
    <definedName name="cu">#REF!</definedName>
    <definedName name="culvert">[94]m!$A$2</definedName>
    <definedName name="CulvertEst">#REF!</definedName>
    <definedName name="cum" localSheetId="21">[76]lead!$L$16</definedName>
    <definedName name="cum" localSheetId="9">[76]lead!$L$16</definedName>
    <definedName name="cum" localSheetId="4">[76]lead!$L$16</definedName>
    <definedName name="cum" localSheetId="8">[76]lead!$L$16</definedName>
    <definedName name="cum" localSheetId="7">#REF!</definedName>
    <definedName name="cum">#REF!</definedName>
    <definedName name="Currency">#REF!</definedName>
    <definedName name="cut_holes_bw" localSheetId="21">#REF!</definedName>
    <definedName name="cut_holes_bw" localSheetId="9">#REF!</definedName>
    <definedName name="cut_holes_bw" localSheetId="4">#REF!</definedName>
    <definedName name="cut_holes_bw" localSheetId="8">#REF!</definedName>
    <definedName name="cut_holes_bw">#REF!</definedName>
    <definedName name="cut_holes_rcc" localSheetId="21">#REF!</definedName>
    <definedName name="cut_holes_rcc" localSheetId="9">#REF!</definedName>
    <definedName name="cut_holes_rcc" localSheetId="4">#REF!</definedName>
    <definedName name="cut_holes_rcc" localSheetId="8">#REF!</definedName>
    <definedName name="cut_holes_rcc">#REF!</definedName>
    <definedName name="CWL" localSheetId="21">'[83]MTC-estimate'!$I$6</definedName>
    <definedName name="CWL" localSheetId="9">'[83]MTC-estimate'!$I$6</definedName>
    <definedName name="CWL" localSheetId="4">'[83]MTC-estimate'!$I$6</definedName>
    <definedName name="CWL" localSheetId="8">'[83]MTC-estimate'!$I$6</definedName>
    <definedName name="CWL">#REF!</definedName>
    <definedName name="CWSUMP" localSheetId="21">'[95]DATA-BASE'!$I$6:$T$22</definedName>
    <definedName name="CWSUMP" localSheetId="9">'[95]DATA-BASE'!$I$6:$T$22</definedName>
    <definedName name="CWSUMP" localSheetId="4">'[95]DATA-BASE'!$I$6:$T$22</definedName>
    <definedName name="CWSUMP" localSheetId="8">'[95]DATA-BASE'!$I$6:$T$22</definedName>
    <definedName name="CWSUMP">#REF!</definedName>
    <definedName name="d" localSheetId="21">[96]Lead!#REF!</definedName>
    <definedName name="d" localSheetId="9">[96]Lead!#REF!</definedName>
    <definedName name="d" localSheetId="4">[97]Lead!#REF!</definedName>
    <definedName name="d" localSheetId="10">#REF!</definedName>
    <definedName name="d" localSheetId="8">[96]Lead!#REF!</definedName>
    <definedName name="d" localSheetId="7">#REF!</definedName>
    <definedName name="d">#REF!</definedName>
    <definedName name="D.t" localSheetId="21">[98]data!#REF!</definedName>
    <definedName name="D.t" localSheetId="9">[98]data!#REF!</definedName>
    <definedName name="D.t" localSheetId="4">[98]data!#REF!</definedName>
    <definedName name="D.t" localSheetId="10">#REF!</definedName>
    <definedName name="D.t" localSheetId="8">[98]data!#REF!</definedName>
    <definedName name="D.t" localSheetId="7">#REF!</definedName>
    <definedName name="D.t">#REF!</definedName>
    <definedName name="da" localSheetId="21">#REF!</definedName>
    <definedName name="da" localSheetId="9">#REF!</definedName>
    <definedName name="da" localSheetId="4">#REF!</definedName>
    <definedName name="da" localSheetId="10">#REF!</definedName>
    <definedName name="da" localSheetId="8">#REF!</definedName>
    <definedName name="da">#REF!</definedName>
    <definedName name="dadoing" localSheetId="21">#REF!</definedName>
    <definedName name="dadoing" localSheetId="9">#REF!</definedName>
    <definedName name="dadoing" localSheetId="4">#REF!</definedName>
    <definedName name="dadoing" localSheetId="8">#REF!</definedName>
    <definedName name="dadoing">#REF!</definedName>
    <definedName name="Damerchela" localSheetId="21">[99]v!#REF!</definedName>
    <definedName name="Damerchela" localSheetId="9">[99]v!#REF!</definedName>
    <definedName name="Damerchela" localSheetId="4">[99]v!#REF!</definedName>
    <definedName name="Damerchela" localSheetId="8">[99]v!#REF!</definedName>
    <definedName name="Damerchela" localSheetId="7">#REF!</definedName>
    <definedName name="Damerchela">#REF!</definedName>
    <definedName name="data" localSheetId="21">[100]Data!#REF!</definedName>
    <definedName name="data" localSheetId="9">[100]Data!#REF!</definedName>
    <definedName name="data" localSheetId="4">[100]Data!#REF!</definedName>
    <definedName name="DATA" localSheetId="10">#REF!</definedName>
    <definedName name="data" localSheetId="8">[100]Data!#REF!</definedName>
    <definedName name="data" localSheetId="7">#REF!</definedName>
    <definedName name="DATA">#REF!</definedName>
    <definedName name="Data...CD" localSheetId="21">[101]Labour!$D$5</definedName>
    <definedName name="Data...CD" localSheetId="9">[101]Labour!$D$5</definedName>
    <definedName name="Data...CD" localSheetId="4">[101]Labour!$D$5</definedName>
    <definedName name="Data...CD" localSheetId="8">[101]Labour!$D$5</definedName>
    <definedName name="Data...CD">#REF!</definedName>
    <definedName name="data1" localSheetId="21" hidden="1">#REF!</definedName>
    <definedName name="data1" localSheetId="9" hidden="1">#REF!</definedName>
    <definedName name="data1" localSheetId="4" hidden="1">#REF!</definedName>
    <definedName name="data1" localSheetId="10" hidden="1">#REF!</definedName>
    <definedName name="data1" localSheetId="8" hidden="1">#REF!</definedName>
    <definedName name="data1" localSheetId="7">#REF!</definedName>
    <definedName name="data1" hidden="1">#REF!</definedName>
    <definedName name="data10" localSheetId="21">#REF!</definedName>
    <definedName name="data10" localSheetId="9">#REF!</definedName>
    <definedName name="data10" localSheetId="4">#REF!</definedName>
    <definedName name="data10" localSheetId="8">#REF!</definedName>
    <definedName name="data10" localSheetId="7">#REF!</definedName>
    <definedName name="data10">#REF!</definedName>
    <definedName name="data11" localSheetId="21">#REF!</definedName>
    <definedName name="data11" localSheetId="9">#REF!</definedName>
    <definedName name="data11" localSheetId="4">#REF!</definedName>
    <definedName name="data11" localSheetId="8">#REF!</definedName>
    <definedName name="data11" localSheetId="7">#REF!</definedName>
    <definedName name="data11">#REF!</definedName>
    <definedName name="data12" localSheetId="21">#REF!</definedName>
    <definedName name="data12" localSheetId="9">#REF!</definedName>
    <definedName name="data12" localSheetId="4">#REF!</definedName>
    <definedName name="data12" localSheetId="8">#REF!</definedName>
    <definedName name="data12" localSheetId="7">#REF!</definedName>
    <definedName name="data12">#REF!</definedName>
    <definedName name="data13" localSheetId="21">#REF!</definedName>
    <definedName name="data13" localSheetId="9">#REF!</definedName>
    <definedName name="data13" localSheetId="4">#REF!</definedName>
    <definedName name="data13" localSheetId="8">#REF!</definedName>
    <definedName name="data13" localSheetId="7">#REF!</definedName>
    <definedName name="data13">#REF!</definedName>
    <definedName name="data14" localSheetId="21">#REF!</definedName>
    <definedName name="data14" localSheetId="9">#REF!</definedName>
    <definedName name="data14" localSheetId="4">#REF!</definedName>
    <definedName name="data14" localSheetId="8">#REF!</definedName>
    <definedName name="data14" localSheetId="7">#REF!</definedName>
    <definedName name="data14">#REF!</definedName>
    <definedName name="data15" localSheetId="21">#REF!</definedName>
    <definedName name="data15" localSheetId="9">#REF!</definedName>
    <definedName name="data15" localSheetId="4">#REF!</definedName>
    <definedName name="data15" localSheetId="8">#REF!</definedName>
    <definedName name="data15" localSheetId="7">#REF!</definedName>
    <definedName name="data15">#REF!</definedName>
    <definedName name="data16" localSheetId="21">#REF!</definedName>
    <definedName name="data16" localSheetId="9">#REF!</definedName>
    <definedName name="data16" localSheetId="4">#REF!</definedName>
    <definedName name="data16" localSheetId="8">#REF!</definedName>
    <definedName name="data16" localSheetId="7">#REF!</definedName>
    <definedName name="data16">#REF!</definedName>
    <definedName name="data17" localSheetId="21">#REF!</definedName>
    <definedName name="data17" localSheetId="9">#REF!</definedName>
    <definedName name="data17" localSheetId="4">#REF!</definedName>
    <definedName name="data17" localSheetId="8">#REF!</definedName>
    <definedName name="data17" localSheetId="7">#REF!</definedName>
    <definedName name="data17">#REF!</definedName>
    <definedName name="data18" localSheetId="21">#REF!</definedName>
    <definedName name="data18" localSheetId="9">#REF!</definedName>
    <definedName name="data18" localSheetId="4">#REF!</definedName>
    <definedName name="data18" localSheetId="8">#REF!</definedName>
    <definedName name="data18" localSheetId="7">#REF!</definedName>
    <definedName name="data18">#REF!</definedName>
    <definedName name="data19" localSheetId="21">#REF!</definedName>
    <definedName name="data19" localSheetId="9">#REF!</definedName>
    <definedName name="data19" localSheetId="4">#REF!</definedName>
    <definedName name="data19" localSheetId="8">#REF!</definedName>
    <definedName name="data19" localSheetId="7">#REF!</definedName>
    <definedName name="data19">#REF!</definedName>
    <definedName name="data2" localSheetId="21" hidden="1">#REF!</definedName>
    <definedName name="data2" localSheetId="9" hidden="1">#REF!</definedName>
    <definedName name="data2" localSheetId="4" hidden="1">#REF!</definedName>
    <definedName name="data2" localSheetId="10" hidden="1">#REF!</definedName>
    <definedName name="data2" localSheetId="8" hidden="1">#REF!</definedName>
    <definedName name="data2" localSheetId="7">#REF!</definedName>
    <definedName name="data2" hidden="1">#REF!</definedName>
    <definedName name="data20" localSheetId="21">#REF!</definedName>
    <definedName name="data20" localSheetId="9">#REF!</definedName>
    <definedName name="data20" localSheetId="4">#REF!</definedName>
    <definedName name="data20" localSheetId="8">#REF!</definedName>
    <definedName name="data20" localSheetId="7">#REF!</definedName>
    <definedName name="data20">#REF!</definedName>
    <definedName name="data21" localSheetId="21">#REF!</definedName>
    <definedName name="data21" localSheetId="9">#REF!</definedName>
    <definedName name="data21" localSheetId="4">#REF!</definedName>
    <definedName name="data21" localSheetId="8">#REF!</definedName>
    <definedName name="data21" localSheetId="7">#REF!</definedName>
    <definedName name="data21">#REF!</definedName>
    <definedName name="data22" localSheetId="21">#REF!</definedName>
    <definedName name="data22" localSheetId="9">#REF!</definedName>
    <definedName name="data22" localSheetId="4">#REF!</definedName>
    <definedName name="data22" localSheetId="8">#REF!</definedName>
    <definedName name="data22" localSheetId="7">#REF!</definedName>
    <definedName name="data22">#REF!</definedName>
    <definedName name="data23" localSheetId="21">#REF!</definedName>
    <definedName name="data23" localSheetId="9">#REF!</definedName>
    <definedName name="data23" localSheetId="4">#REF!</definedName>
    <definedName name="data23" localSheetId="8">#REF!</definedName>
    <definedName name="data23" localSheetId="7">#REF!</definedName>
    <definedName name="data23">#REF!</definedName>
    <definedName name="data23b" localSheetId="21">#REF!</definedName>
    <definedName name="data23b" localSheetId="9">#REF!</definedName>
    <definedName name="data23b" localSheetId="4">#REF!</definedName>
    <definedName name="data23b" localSheetId="8">#REF!</definedName>
    <definedName name="data23b" localSheetId="7">#REF!</definedName>
    <definedName name="data23b">#REF!</definedName>
    <definedName name="data23c" localSheetId="21">#REF!</definedName>
    <definedName name="data23c" localSheetId="9">#REF!</definedName>
    <definedName name="data23c" localSheetId="4">#REF!</definedName>
    <definedName name="data23c" localSheetId="8">#REF!</definedName>
    <definedName name="data23c" localSheetId="7">#REF!</definedName>
    <definedName name="data23c">#REF!</definedName>
    <definedName name="data24" localSheetId="21">#REF!</definedName>
    <definedName name="data24" localSheetId="9">#REF!</definedName>
    <definedName name="data24" localSheetId="4">#REF!</definedName>
    <definedName name="data24" localSheetId="8">#REF!</definedName>
    <definedName name="data24" localSheetId="7">#REF!</definedName>
    <definedName name="data24">#REF!</definedName>
    <definedName name="data25" localSheetId="21">#REF!</definedName>
    <definedName name="data25" localSheetId="9">#REF!</definedName>
    <definedName name="data25" localSheetId="4">#REF!</definedName>
    <definedName name="data25" localSheetId="8">#REF!</definedName>
    <definedName name="data25" localSheetId="7">#REF!</definedName>
    <definedName name="data25">#REF!</definedName>
    <definedName name="data26" localSheetId="21">#REF!</definedName>
    <definedName name="data26" localSheetId="9">#REF!</definedName>
    <definedName name="data26" localSheetId="4">#REF!</definedName>
    <definedName name="data26" localSheetId="8">#REF!</definedName>
    <definedName name="data26" localSheetId="7">#REF!</definedName>
    <definedName name="data26">#REF!</definedName>
    <definedName name="data27" localSheetId="21">#REF!</definedName>
    <definedName name="data27" localSheetId="9">#REF!</definedName>
    <definedName name="data27" localSheetId="4">#REF!</definedName>
    <definedName name="data27" localSheetId="8">#REF!</definedName>
    <definedName name="data27" localSheetId="7">#REF!</definedName>
    <definedName name="data27">#REF!</definedName>
    <definedName name="data28" localSheetId="21">#REF!</definedName>
    <definedName name="data28" localSheetId="9">#REF!</definedName>
    <definedName name="data28" localSheetId="4">#REF!</definedName>
    <definedName name="data28" localSheetId="8">#REF!</definedName>
    <definedName name="data28" localSheetId="7">#REF!</definedName>
    <definedName name="data28">#REF!</definedName>
    <definedName name="data29" localSheetId="21">#REF!</definedName>
    <definedName name="data29" localSheetId="9">#REF!</definedName>
    <definedName name="data29" localSheetId="4">#REF!</definedName>
    <definedName name="data29" localSheetId="8">#REF!</definedName>
    <definedName name="data29" localSheetId="7">#REF!</definedName>
    <definedName name="data29">#REF!</definedName>
    <definedName name="data3" localSheetId="21" hidden="1">#REF!</definedName>
    <definedName name="data3" localSheetId="9" hidden="1">#REF!</definedName>
    <definedName name="data3" localSheetId="4" hidden="1">#REF!</definedName>
    <definedName name="data3" localSheetId="10" hidden="1">#REF!</definedName>
    <definedName name="data3" localSheetId="8" hidden="1">#REF!</definedName>
    <definedName name="data3" localSheetId="7">#REF!</definedName>
    <definedName name="data3" hidden="1">#REF!</definedName>
    <definedName name="data30" localSheetId="21">#REF!</definedName>
    <definedName name="data30" localSheetId="9">#REF!</definedName>
    <definedName name="data30" localSheetId="4">#REF!</definedName>
    <definedName name="data30" localSheetId="8">#REF!</definedName>
    <definedName name="data30" localSheetId="7">#REF!</definedName>
    <definedName name="data30">#REF!</definedName>
    <definedName name="data31" localSheetId="21">#REF!</definedName>
    <definedName name="data31" localSheetId="9">#REF!</definedName>
    <definedName name="data31" localSheetId="4">#REF!</definedName>
    <definedName name="data31" localSheetId="8">#REF!</definedName>
    <definedName name="data31" localSheetId="7">#REF!</definedName>
    <definedName name="data31">#REF!</definedName>
    <definedName name="data32" localSheetId="21">#REF!</definedName>
    <definedName name="data32" localSheetId="9">#REF!</definedName>
    <definedName name="data32" localSheetId="4">#REF!</definedName>
    <definedName name="data32" localSheetId="8">#REF!</definedName>
    <definedName name="data32" localSheetId="7">#REF!</definedName>
    <definedName name="data32">#REF!</definedName>
    <definedName name="data33" localSheetId="21">#REF!</definedName>
    <definedName name="data33" localSheetId="9">#REF!</definedName>
    <definedName name="data33" localSheetId="4">#REF!</definedName>
    <definedName name="data33" localSheetId="8">#REF!</definedName>
    <definedName name="data33" localSheetId="7">#REF!</definedName>
    <definedName name="data33">#REF!</definedName>
    <definedName name="data4" localSheetId="21">#REF!</definedName>
    <definedName name="data4" localSheetId="9">#REF!</definedName>
    <definedName name="data4" localSheetId="4">#REF!</definedName>
    <definedName name="data4" localSheetId="8">#REF!</definedName>
    <definedName name="data4" localSheetId="7">#REF!</definedName>
    <definedName name="data4">#REF!</definedName>
    <definedName name="data5" localSheetId="21">#REF!</definedName>
    <definedName name="data5" localSheetId="9">#REF!</definedName>
    <definedName name="data5" localSheetId="4">#REF!</definedName>
    <definedName name="data5" localSheetId="8">#REF!</definedName>
    <definedName name="data5" localSheetId="7">#REF!</definedName>
    <definedName name="data5">#REF!</definedName>
    <definedName name="DATA6" localSheetId="23">#REF!</definedName>
    <definedName name="DATA6" localSheetId="46">#REF!</definedName>
    <definedName name="DATA6" localSheetId="47">#REF!</definedName>
    <definedName name="DATA6" localSheetId="40">#REF!</definedName>
    <definedName name="DATA6" localSheetId="44">#REF!</definedName>
    <definedName name="DATA6" localSheetId="45">#REF!</definedName>
    <definedName name="DATA6" localSheetId="21">#REF!</definedName>
    <definedName name="DATA6" localSheetId="9">#REF!</definedName>
    <definedName name="DATA6" localSheetId="4">#REF!</definedName>
    <definedName name="DATA6" localSheetId="24">#REF!</definedName>
    <definedName name="DATA6" localSheetId="10">#REF!</definedName>
    <definedName name="DATA6" localSheetId="43">#REF!</definedName>
    <definedName name="DATA6" localSheetId="8">#REF!</definedName>
    <definedName name="DATA6" localSheetId="52">#REF!</definedName>
    <definedName name="DATA6" localSheetId="7">#REF!</definedName>
    <definedName name="DATA6">#REF!</definedName>
    <definedName name="data7" localSheetId="21">#REF!</definedName>
    <definedName name="data7" localSheetId="9">#REF!</definedName>
    <definedName name="data7" localSheetId="4">#REF!</definedName>
    <definedName name="Data7" localSheetId="10">#REF!</definedName>
    <definedName name="data7" localSheetId="8">#REF!</definedName>
    <definedName name="data7" localSheetId="7">#REF!</definedName>
    <definedName name="Data7">#REF!</definedName>
    <definedName name="data8" localSheetId="21">#REF!</definedName>
    <definedName name="data8" localSheetId="9">#REF!</definedName>
    <definedName name="data8" localSheetId="4">#REF!</definedName>
    <definedName name="data8" localSheetId="8">#REF!</definedName>
    <definedName name="data8" localSheetId="7">#REF!</definedName>
    <definedName name="data8">#REF!</definedName>
    <definedName name="data9" localSheetId="21">#REF!</definedName>
    <definedName name="data9" localSheetId="9">#REF!</definedName>
    <definedName name="data9" localSheetId="4">#REF!</definedName>
    <definedName name="data9" localSheetId="8">#REF!</definedName>
    <definedName name="data9" localSheetId="7">#REF!</definedName>
    <definedName name="data9">#REF!</definedName>
    <definedName name="Dataa" localSheetId="21">#REF!</definedName>
    <definedName name="Dataa" localSheetId="9">#REF!</definedName>
    <definedName name="Dataa" localSheetId="4">#REF!</definedName>
    <definedName name="Dataa" localSheetId="10">#REF!</definedName>
    <definedName name="Dataa" localSheetId="8">#REF!</definedName>
    <definedName name="Dataa">#REF!</definedName>
    <definedName name="_xlnm.Database" localSheetId="23">#REF!</definedName>
    <definedName name="_xlnm.Database" localSheetId="46">#REF!</definedName>
    <definedName name="_xlnm.Database" localSheetId="47">#REF!</definedName>
    <definedName name="_xlnm.Database" localSheetId="40">#REF!</definedName>
    <definedName name="_xlnm.Database" localSheetId="44">#REF!</definedName>
    <definedName name="_xlnm.Database" localSheetId="45">#REF!</definedName>
    <definedName name="_xlnm.Database" localSheetId="21">#REF!</definedName>
    <definedName name="_xlnm.Database" localSheetId="9">#REF!</definedName>
    <definedName name="_xlnm.Database" localSheetId="4">#REF!</definedName>
    <definedName name="_xlnm.Database" localSheetId="24">#REF!</definedName>
    <definedName name="_xlnm.Database" localSheetId="10">#REF!</definedName>
    <definedName name="_xlnm.Database" localSheetId="43">#REF!</definedName>
    <definedName name="_xlnm.Database" localSheetId="8">#REF!</definedName>
    <definedName name="_xlnm.Database" localSheetId="52">#REF!</definedName>
    <definedName name="_xlnm.Database" localSheetId="7">#REF!</definedName>
    <definedName name="_xlnm.Database">#REF!</definedName>
    <definedName name="database1" localSheetId="21">#REF!</definedName>
    <definedName name="database1" localSheetId="9">#REF!</definedName>
    <definedName name="database1" localSheetId="4">#REF!</definedName>
    <definedName name="database1" localSheetId="8">#REF!</definedName>
    <definedName name="database1">#REF!</definedName>
    <definedName name="db" localSheetId="21">[81]DATA_PRG!$F$366</definedName>
    <definedName name="db" localSheetId="9">[81]DATA_PRG!$F$366</definedName>
    <definedName name="db" localSheetId="4">[81]DATA_PRG!$F$366</definedName>
    <definedName name="db" localSheetId="8">[81]DATA_PRG!$F$366</definedName>
    <definedName name="db">#REF!</definedName>
    <definedName name="dbas">#REF!</definedName>
    <definedName name="dbbs">#REF!</definedName>
    <definedName name="dbbsb">#REF!</definedName>
    <definedName name="dbc">#REF!</definedName>
    <definedName name="dbd">#REF!</definedName>
    <definedName name="dbh">#REF!</definedName>
    <definedName name="dbi">#REF!</definedName>
    <definedName name="DBM" localSheetId="23">#REF!</definedName>
    <definedName name="DBM" localSheetId="46">#REF!</definedName>
    <definedName name="DBM" localSheetId="47">#REF!</definedName>
    <definedName name="DBM" localSheetId="40">#REF!</definedName>
    <definedName name="DBM" localSheetId="44">#REF!</definedName>
    <definedName name="DBM" localSheetId="45">#REF!</definedName>
    <definedName name="DBM" localSheetId="21">#REF!</definedName>
    <definedName name="DBM" localSheetId="9">#REF!</definedName>
    <definedName name="DBM" localSheetId="4">#REF!</definedName>
    <definedName name="DBM" localSheetId="24">#REF!</definedName>
    <definedName name="DBM" localSheetId="41">#REF!</definedName>
    <definedName name="DBM" localSheetId="43">#REF!</definedName>
    <definedName name="DBM" localSheetId="8">#REF!</definedName>
    <definedName name="DBM" localSheetId="16">#REF!</definedName>
    <definedName name="DBM" localSheetId="12">#REF!</definedName>
    <definedName name="DBM" localSheetId="14">#REF!</definedName>
    <definedName name="DBM" localSheetId="1">#REF!</definedName>
    <definedName name="DBM" localSheetId="13">#REF!</definedName>
    <definedName name="DBM" localSheetId="52">#REF!</definedName>
    <definedName name="DBM" localSheetId="7">#REF!</definedName>
    <definedName name="DBM" localSheetId="15">#REF!</definedName>
    <definedName name="DBM" localSheetId="11">#REF!</definedName>
    <definedName name="DBM" localSheetId="2">#REF!</definedName>
    <definedName name="DBM" localSheetId="0">#REF!</definedName>
    <definedName name="DBM">#REF!</definedName>
    <definedName name="dbo">#REF!</definedName>
    <definedName name="dbrb">#REF!</definedName>
    <definedName name="dbs">#REF!</definedName>
    <definedName name="dbsi">#REF!</definedName>
    <definedName name="dbst">#REF!</definedName>
    <definedName name="dbt">#REF!</definedName>
    <definedName name="dc" localSheetId="21">#REF!</definedName>
    <definedName name="dc" localSheetId="9">#REF!</definedName>
    <definedName name="dc" localSheetId="4">#REF!</definedName>
    <definedName name="dc" localSheetId="8">#REF!</definedName>
    <definedName name="dc">#REF!</definedName>
    <definedName name="dcd">#REF!</definedName>
    <definedName name="DD" localSheetId="21">#REF!</definedName>
    <definedName name="DD" localSheetId="9">#REF!</definedName>
    <definedName name="DD" localSheetId="4">#REF!</definedName>
    <definedName name="DD" localSheetId="10">#REF!</definedName>
    <definedName name="DD" localSheetId="8">#REF!</definedName>
    <definedName name="DD" localSheetId="52">#REF!</definedName>
    <definedName name="DD" localSheetId="7">#REF!</definedName>
    <definedName name="DD">#REF!</definedName>
    <definedName name="DD20HB" localSheetId="21">[102]Leads!$Q$39</definedName>
    <definedName name="DD20HB" localSheetId="9">[102]Leads!$Q$39</definedName>
    <definedName name="DD20HB" localSheetId="4">[102]Leads!$Q$39</definedName>
    <definedName name="DD20HB" localSheetId="8">[102]Leads!$Q$39</definedName>
    <definedName name="DD20HB">#REF!</definedName>
    <definedName name="ddd" localSheetId="21" hidden="1">{"'ridftotal'!$A$4:$S$27"}</definedName>
    <definedName name="ddd" localSheetId="9" hidden="1">{"'ridftotal'!$A$4:$S$27"}</definedName>
    <definedName name="ddd" localSheetId="4" hidden="1">{"'ridftotal'!$A$4:$S$27"}</definedName>
    <definedName name="ddd" localSheetId="8" hidden="1">{"'ridftotal'!$A$4:$S$27"}</definedName>
    <definedName name="ddd">#REF!</definedName>
    <definedName name="dddd" localSheetId="21">[103]leads!$H$7</definedName>
    <definedName name="dddd" localSheetId="9">[103]leads!$H$7</definedName>
    <definedName name="dddd" localSheetId="4">[103]leads!$H$7</definedName>
    <definedName name="dddd" localSheetId="10">#REF!</definedName>
    <definedName name="dddd" localSheetId="8">[103]leads!$H$7</definedName>
    <definedName name="dddd">#REF!</definedName>
    <definedName name="dddddd" localSheetId="21">[104]leads!$H$7</definedName>
    <definedName name="dddddd" localSheetId="9">[104]leads!$H$7</definedName>
    <definedName name="dddddd" localSheetId="4">[104]leads!$H$7</definedName>
    <definedName name="dddddd" localSheetId="8">[104]leads!$H$7</definedName>
    <definedName name="dddddd" localSheetId="7">#REF!</definedName>
    <definedName name="dddddd">#REF!</definedName>
    <definedName name="ddddddd">#REF!</definedName>
    <definedName name="dddfff">#REF!</definedName>
    <definedName name="DDSAND" localSheetId="21">[102]Leads!$Q$36</definedName>
    <definedName name="DDSAND" localSheetId="9">[102]Leads!$Q$36</definedName>
    <definedName name="DDSAND" localSheetId="4">[102]Leads!$Q$36</definedName>
    <definedName name="DDSAND" localSheetId="8">[102]Leads!$Q$36</definedName>
    <definedName name="DDSAND">#REF!</definedName>
    <definedName name="de" localSheetId="21">[69]Lead!#REF!</definedName>
    <definedName name="de" localSheetId="9">[69]Lead!#REF!</definedName>
    <definedName name="de" localSheetId="4">[69]Lead!#REF!</definedName>
    <definedName name="de" localSheetId="10">#REF!</definedName>
    <definedName name="de" localSheetId="8">[69]Lead!#REF!</definedName>
    <definedName name="de" localSheetId="7">#REF!</definedName>
    <definedName name="de">#REF!</definedName>
    <definedName name="deaf">#REF!</definedName>
    <definedName name="DEE" localSheetId="21">[105]LEAD!$D$53</definedName>
    <definedName name="DEE" localSheetId="9">[105]LEAD!$D$53</definedName>
    <definedName name="DEE" localSheetId="4">[105]LEAD!$D$53</definedName>
    <definedName name="DEE" localSheetId="8">[105]LEAD!$D$53</definedName>
    <definedName name="DEE">#REF!</definedName>
    <definedName name="deff">#REF!</definedName>
    <definedName name="delifting_depths" localSheetId="21">'[77]data existing_do not delete'!$A$27:$A$40</definedName>
    <definedName name="delifting_depths" localSheetId="9">'[77]data existing_do not delete'!$A$27:$A$40</definedName>
    <definedName name="delifting_depths" localSheetId="4">'[77]data existing_do not delete'!$A$27:$A$40</definedName>
    <definedName name="delifting_depths" localSheetId="8">'[77]data existing_do not delete'!$A$27:$A$40</definedName>
    <definedName name="delifting_depths">#REF!</definedName>
    <definedName name="derse" localSheetId="21">[106]Lead!#REF!</definedName>
    <definedName name="derse" localSheetId="9">[106]Lead!#REF!</definedName>
    <definedName name="derse" localSheetId="4">[106]Lead!#REF!</definedName>
    <definedName name="derse" localSheetId="8">[106]Lead!#REF!</definedName>
    <definedName name="derse">#REF!</definedName>
    <definedName name="description" localSheetId="21">[107]maya!$A$71:$A$98</definedName>
    <definedName name="description" localSheetId="9">[107]maya!$A$71:$A$98</definedName>
    <definedName name="description" localSheetId="4">[107]maya!$A$71:$A$98</definedName>
    <definedName name="description" localSheetId="8">[107]maya!$A$71:$A$98</definedName>
    <definedName name="description">#REF!</definedName>
    <definedName name="df" localSheetId="21">[108]Lead!#REF!</definedName>
    <definedName name="df" localSheetId="9">[108]Lead!#REF!</definedName>
    <definedName name="df" localSheetId="4">[108]Lead!#REF!</definedName>
    <definedName name="df" localSheetId="8">[108]Lead!#REF!</definedName>
    <definedName name="df">#REF!</definedName>
    <definedName name="dfd" localSheetId="21">[22]leads!$H$7</definedName>
    <definedName name="dfd" localSheetId="9">[22]leads!$H$7</definedName>
    <definedName name="dfd" localSheetId="4">[22]leads!$H$7</definedName>
    <definedName name="dfd" localSheetId="8">[22]leads!$H$7</definedName>
    <definedName name="dfd">#REF!</definedName>
    <definedName name="dfdddd" localSheetId="21">#REF!</definedName>
    <definedName name="dfdddd" localSheetId="9">#REF!</definedName>
    <definedName name="dfdddd" localSheetId="4">#REF!</definedName>
    <definedName name="dfdddd" localSheetId="8">#REF!</definedName>
    <definedName name="dfdddd" localSheetId="7">#REF!</definedName>
    <definedName name="dfdddd">#REF!</definedName>
    <definedName name="dfds">#REF!</definedName>
    <definedName name="dfdsfd" localSheetId="21">'[109]Plant &amp;  Machinery'!$G$13</definedName>
    <definedName name="dfdsfd" localSheetId="9">'[109]Plant &amp;  Machinery'!$G$13</definedName>
    <definedName name="dfdsfd" localSheetId="4">'[109]Plant &amp;  Machinery'!$G$13</definedName>
    <definedName name="dfdsfd" localSheetId="8">'[109]Plant &amp;  Machinery'!$G$13</definedName>
    <definedName name="dfdsfd">#REF!</definedName>
    <definedName name="dffg">#REF!</definedName>
    <definedName name="dfg">[110]m!$B$149</definedName>
    <definedName name="dfgh">#REF!</definedName>
    <definedName name="dfsf">#REF!</definedName>
    <definedName name="dggh">#REF!</definedName>
    <definedName name="dghkl" hidden="1">{"'Bill No. 7'!$A$1:$G$32"}</definedName>
    <definedName name="dgl">#REF!</definedName>
    <definedName name="DI">#REF!</definedName>
    <definedName name="dia" localSheetId="21">[111]Sheet2!$A$1:$B$9</definedName>
    <definedName name="dia" localSheetId="9">[111]Sheet2!$A$1:$B$9</definedName>
    <definedName name="dia" localSheetId="4">[111]Sheet2!$A$1:$B$9</definedName>
    <definedName name="dia" localSheetId="8">[111]Sheet2!$A$1:$B$9</definedName>
    <definedName name="dia">#REF!</definedName>
    <definedName name="DIA.SSF">#REF!</definedName>
    <definedName name="DIAA">#REF!</definedName>
    <definedName name="diff_20ab" localSheetId="4">#REF!</definedName>
    <definedName name="diff_20ab">#REF!</definedName>
    <definedName name="dipu" localSheetId="21">#REF!</definedName>
    <definedName name="dipu" localSheetId="9">#REF!</definedName>
    <definedName name="dipu" localSheetId="4">#REF!</definedName>
    <definedName name="dipu" localSheetId="8">#REF!</definedName>
    <definedName name="dipu">#REF!</definedName>
    <definedName name="dis">0.5</definedName>
    <definedName name="discharge" localSheetId="21">#REF!</definedName>
    <definedName name="discharge" localSheetId="9">#REF!</definedName>
    <definedName name="discharge" localSheetId="4">#REF!</definedName>
    <definedName name="discharge" localSheetId="8">#REF!</definedName>
    <definedName name="discharge" localSheetId="7">#REF!</definedName>
    <definedName name="discharge">#REF!</definedName>
    <definedName name="Discount" localSheetId="21" hidden="1">#REF!</definedName>
    <definedName name="Discount" localSheetId="9" hidden="1">#REF!</definedName>
    <definedName name="Discount" localSheetId="4" hidden="1">#REF!</definedName>
    <definedName name="Discount" localSheetId="10" hidden="1">#REF!</definedName>
    <definedName name="Discount" localSheetId="8" hidden="1">#REF!</definedName>
    <definedName name="Discount" hidden="1">#REF!</definedName>
    <definedName name="DISMANTLING_clearing_away_and_carefully_stacking_materials_useful_for_reuse.__Kadapa_slabs_or_Shahabad_stone_slabs_flooring_on_sand_bed">'[58]DATA SHEET FOR 2014-15'!#REF!</definedName>
    <definedName name="display_area_2" localSheetId="21" hidden="1">#REF!</definedName>
    <definedName name="display_area_2" localSheetId="9" hidden="1">#REF!</definedName>
    <definedName name="display_area_2" localSheetId="4" hidden="1">#REF!</definedName>
    <definedName name="display_area_2" localSheetId="10" hidden="1">#REF!</definedName>
    <definedName name="display_area_2" localSheetId="8" hidden="1">#REF!</definedName>
    <definedName name="display_area_2" hidden="1">#REF!</definedName>
    <definedName name="div" localSheetId="23">#REF!</definedName>
    <definedName name="div" localSheetId="46">#REF!</definedName>
    <definedName name="div" localSheetId="47">#REF!</definedName>
    <definedName name="div" localSheetId="40">#REF!</definedName>
    <definedName name="div" localSheetId="44">#REF!</definedName>
    <definedName name="div" localSheetId="45">#REF!</definedName>
    <definedName name="div" localSheetId="21">#REF!</definedName>
    <definedName name="div" localSheetId="9">#REF!</definedName>
    <definedName name="div" localSheetId="4">#REF!</definedName>
    <definedName name="div" localSheetId="24">#REF!</definedName>
    <definedName name="div" localSheetId="41">#REF!</definedName>
    <definedName name="div" localSheetId="10">#REF!</definedName>
    <definedName name="div" localSheetId="43">#REF!</definedName>
    <definedName name="div" localSheetId="8">#REF!</definedName>
    <definedName name="div" localSheetId="52">#REF!</definedName>
    <definedName name="div" localSheetId="7">#REF!</definedName>
    <definedName name="div" localSheetId="15">#REF!</definedName>
    <definedName name="div" localSheetId="11">#REF!</definedName>
    <definedName name="div" localSheetId="2">#REF!</definedName>
    <definedName name="div" localSheetId="0">#REF!</definedName>
    <definedName name="div">#REF!</definedName>
    <definedName name="dj">#REF!</definedName>
    <definedName name="DJD" localSheetId="21">#REF!</definedName>
    <definedName name="DJD" localSheetId="9">#REF!</definedName>
    <definedName name="DJD" localSheetId="4">#REF!</definedName>
    <definedName name="DJD" localSheetId="10">#REF!</definedName>
    <definedName name="DJD" localSheetId="8">#REF!</definedName>
    <definedName name="DJD">#REF!</definedName>
    <definedName name="dk">#REF!</definedName>
    <definedName name="DKDK" localSheetId="21">[112]Labour!$D$5</definedName>
    <definedName name="DKDK" localSheetId="9">[112]Labour!$D$5</definedName>
    <definedName name="DKDK" localSheetId="4">[112]Labour!$D$5</definedName>
    <definedName name="DKDK" localSheetId="10">#REF!</definedName>
    <definedName name="DKDK" localSheetId="8">[112]Labour!$D$5</definedName>
    <definedName name="DKDK">#REF!</definedName>
    <definedName name="DL" localSheetId="21">'[83]MTC-estimate'!$C$9</definedName>
    <definedName name="DL" localSheetId="9">'[83]MTC-estimate'!$C$9</definedName>
    <definedName name="DL" localSheetId="4">'[83]MTC-estimate'!$C$9</definedName>
    <definedName name="DL" localSheetId="8">'[83]MTC-estimate'!$C$9</definedName>
    <definedName name="DL">#REF!</definedName>
    <definedName name="dmin">#REF!</definedName>
    <definedName name="Dname">#REF!</definedName>
    <definedName name="door_one_m" localSheetId="21">#REF!</definedName>
    <definedName name="door_one_m" localSheetId="9">#REF!</definedName>
    <definedName name="door_one_m" localSheetId="4">#REF!</definedName>
    <definedName name="door_one_m" localSheetId="8">#REF!</definedName>
    <definedName name="door_one_m">#REF!</definedName>
    <definedName name="door_sizes" localSheetId="21">'[77]data existing_do not delete'!$E$33:$E$50</definedName>
    <definedName name="door_sizes" localSheetId="9">'[77]data existing_do not delete'!$E$33:$E$50</definedName>
    <definedName name="door_sizes" localSheetId="4">'[77]data existing_do not delete'!$E$33:$E$50</definedName>
    <definedName name="door_sizes" localSheetId="8">'[77]data existing_do not delete'!$E$33:$E$50</definedName>
    <definedName name="door_sizes">#REF!</definedName>
    <definedName name="door_toilet" localSheetId="21">#REF!</definedName>
    <definedName name="door_toilet" localSheetId="9">#REF!</definedName>
    <definedName name="door_toilet" localSheetId="4">#REF!</definedName>
    <definedName name="door_toilet" localSheetId="8">#REF!</definedName>
    <definedName name="door_toilet">#REF!</definedName>
    <definedName name="dpl">#REF!</definedName>
    <definedName name="DPP" localSheetId="21">#REF!</definedName>
    <definedName name="DPP" localSheetId="9">#REF!</definedName>
    <definedName name="DPP" localSheetId="4">#REF!</definedName>
    <definedName name="DPP" localSheetId="8">#REF!</definedName>
    <definedName name="DPP">#REF!</definedName>
    <definedName name="drain" localSheetId="10">#REF!</definedName>
    <definedName name="drain">#REF!</definedName>
    <definedName name="dreq">#REF!</definedName>
    <definedName name="drgfuj">#REF!</definedName>
    <definedName name="Drilling_of_bore_hole_150mm_dia_using_machinery_etc_complete" localSheetId="4">'[58]DATA SHEET FOR 2014-15'!#REF!</definedName>
    <definedName name="Drilling_of_bore_hole_150mm_dia_using_machinery_etc_complete">'[58]DATA SHEET FOR 2014-15'!#REF!</definedName>
    <definedName name="DRL">#REF!</definedName>
    <definedName name="drr_hire" localSheetId="4">#REF!</definedName>
    <definedName name="drr_hire">#REF!</definedName>
    <definedName name="DRY_ROLLING" localSheetId="23">#REF!</definedName>
    <definedName name="DRY_ROLLING" localSheetId="46">#REF!</definedName>
    <definedName name="DRY_ROLLING" localSheetId="47">#REF!</definedName>
    <definedName name="DRY_ROLLING" localSheetId="40">#REF!</definedName>
    <definedName name="DRY_ROLLING" localSheetId="44">#REF!</definedName>
    <definedName name="DRY_ROLLING" localSheetId="45">#REF!</definedName>
    <definedName name="DRY_ROLLING" localSheetId="21">#REF!</definedName>
    <definedName name="DRY_ROLLING" localSheetId="9">#REF!</definedName>
    <definedName name="DRY_ROLLING" localSheetId="4">#REF!</definedName>
    <definedName name="DRY_ROLLING" localSheetId="24">#REF!</definedName>
    <definedName name="DRY_ROLLING" localSheetId="41">#REF!</definedName>
    <definedName name="DRY_ROLLING" localSheetId="43">#REF!</definedName>
    <definedName name="DRY_ROLLING" localSheetId="8">#REF!</definedName>
    <definedName name="DRY_ROLLING" localSheetId="16">#REF!</definedName>
    <definedName name="DRY_ROLLING" localSheetId="12">#REF!</definedName>
    <definedName name="DRY_ROLLING" localSheetId="14">#REF!</definedName>
    <definedName name="DRY_ROLLING" localSheetId="1">#REF!</definedName>
    <definedName name="DRY_ROLLING" localSheetId="13">#REF!</definedName>
    <definedName name="DRY_ROLLING" localSheetId="52">#REF!</definedName>
    <definedName name="DRY_ROLLING" localSheetId="7">#REF!</definedName>
    <definedName name="DRY_ROLLING" localSheetId="15">#REF!</definedName>
    <definedName name="DRY_ROLLING" localSheetId="11">#REF!</definedName>
    <definedName name="DRY_ROLLING" localSheetId="2">#REF!</definedName>
    <definedName name="DRY_ROLLING" localSheetId="0">#REF!</definedName>
    <definedName name="DRY_ROLLING">#REF!</definedName>
    <definedName name="dryrolling" localSheetId="4">#REF!</definedName>
    <definedName name="dryrolling">#REF!</definedName>
    <definedName name="ds" localSheetId="21">[46]DATA_PRG!$F$359</definedName>
    <definedName name="ds" localSheetId="9">[46]DATA_PRG!$F$359</definedName>
    <definedName name="ds" localSheetId="4">[46]DATA_PRG!$F$359</definedName>
    <definedName name="ds" localSheetId="8">[46]DATA_PRG!$F$359</definedName>
    <definedName name="ds">#REF!</definedName>
    <definedName name="dsd">#REF!</definedName>
    <definedName name="dse" localSheetId="21">[113]v!#REF!</definedName>
    <definedName name="dse" localSheetId="9">[113]v!#REF!</definedName>
    <definedName name="dse" localSheetId="4">[113]v!#REF!</definedName>
    <definedName name="dse" localSheetId="8">[113]v!#REF!</definedName>
    <definedName name="dse" localSheetId="7">#REF!</definedName>
    <definedName name="dse">#REF!</definedName>
    <definedName name="DSMFL">#REF!</definedName>
    <definedName name="dsp" localSheetId="4">[114]estt!#REF!</definedName>
    <definedName name="dsp">[114]estt!#REF!</definedName>
    <definedName name="dt" localSheetId="23">#REF!</definedName>
    <definedName name="dt" localSheetId="46">#REF!</definedName>
    <definedName name="dt" localSheetId="47">#REF!</definedName>
    <definedName name="dt" localSheetId="40">#REF!</definedName>
    <definedName name="dt" localSheetId="44">#REF!</definedName>
    <definedName name="dt" localSheetId="45">#REF!</definedName>
    <definedName name="dt" localSheetId="21">#REF!</definedName>
    <definedName name="dt" localSheetId="39">#REF!</definedName>
    <definedName name="dt" localSheetId="9">#REF!</definedName>
    <definedName name="dt" localSheetId="4">#REF!</definedName>
    <definedName name="dt" localSheetId="24">#REF!</definedName>
    <definedName name="dt" localSheetId="41">#REF!</definedName>
    <definedName name="dt" localSheetId="34">#REF!</definedName>
    <definedName name="dt" localSheetId="10">#REF!</definedName>
    <definedName name="dt" localSheetId="43">#REF!</definedName>
    <definedName name="dt" localSheetId="8">#REF!</definedName>
    <definedName name="dt" localSheetId="33">#REF!</definedName>
    <definedName name="dt" localSheetId="17">#REF!</definedName>
    <definedName name="dt" localSheetId="16">#REF!</definedName>
    <definedName name="dt" localSheetId="12">#REF!</definedName>
    <definedName name="dt" localSheetId="14">#REF!</definedName>
    <definedName name="dt" localSheetId="1">#REF!</definedName>
    <definedName name="dt" localSheetId="13">#REF!</definedName>
    <definedName name="dt" localSheetId="35">#REF!</definedName>
    <definedName name="dt" localSheetId="36">#REF!</definedName>
    <definedName name="dt" localSheetId="52">#REF!</definedName>
    <definedName name="dt" localSheetId="7">#REF!</definedName>
    <definedName name="dt" localSheetId="30">#REF!</definedName>
    <definedName name="dt" localSheetId="15">#REF!</definedName>
    <definedName name="dt" localSheetId="11">#REF!</definedName>
    <definedName name="dt" localSheetId="2">#REF!</definedName>
    <definedName name="dt" localSheetId="0">#REF!</definedName>
    <definedName name="dt">#REF!</definedName>
    <definedName name="dt.">#REF!</definedName>
    <definedName name="dtn" localSheetId="21">[115]Data!#REF!</definedName>
    <definedName name="dtn" localSheetId="9">[115]Data!#REF!</definedName>
    <definedName name="dtn" localSheetId="4">[115]Data!#REF!</definedName>
    <definedName name="dtn" localSheetId="8">[115]Data!#REF!</definedName>
    <definedName name="dtn">#REF!</definedName>
    <definedName name="dtrb">#REF!</definedName>
    <definedName name="dtt" localSheetId="21">#REF!</definedName>
    <definedName name="dtt" localSheetId="9">#REF!</definedName>
    <definedName name="dtt" localSheetId="4">#REF!</definedName>
    <definedName name="dtt" localSheetId="8">#REF!</definedName>
    <definedName name="dtt">#REF!</definedName>
    <definedName name="dust" localSheetId="21">#REF!</definedName>
    <definedName name="dust" localSheetId="9">#REF!</definedName>
    <definedName name="dust" localSheetId="4">#REF!</definedName>
    <definedName name="dust" localSheetId="8">#REF!</definedName>
    <definedName name="dust" localSheetId="7">#REF!</definedName>
    <definedName name="dust">#REF!</definedName>
    <definedName name="dw">#REF!</definedName>
    <definedName name="dx">#REF!</definedName>
    <definedName name="e" localSheetId="21">[116]Labour!$D$17</definedName>
    <definedName name="e" localSheetId="9">[116]Labour!$D$17</definedName>
    <definedName name="e" localSheetId="4">[116]Labour!$D$17</definedName>
    <definedName name="E" localSheetId="10" hidden="1">{"'ridftotal'!$A$4:$S$27"}</definedName>
    <definedName name="e" localSheetId="8">[116]Labour!$D$17</definedName>
    <definedName name="E" hidden="1">{"'ridftotal'!$A$4:$S$27"}</definedName>
    <definedName name="E_W_CARTED_FMC" localSheetId="23">#REF!</definedName>
    <definedName name="E_W_CARTED_FMC" localSheetId="46">#REF!</definedName>
    <definedName name="E_W_CARTED_FMC" localSheetId="47">#REF!</definedName>
    <definedName name="E_W_CARTED_FMC" localSheetId="40">#REF!</definedName>
    <definedName name="E_W_CARTED_FMC" localSheetId="44">#REF!</definedName>
    <definedName name="E_W_CARTED_FMC" localSheetId="45">#REF!</definedName>
    <definedName name="E_W_CARTED_FMC" localSheetId="21">#REF!</definedName>
    <definedName name="E_W_CARTED_FMC" localSheetId="9">#REF!</definedName>
    <definedName name="E_W_CARTED_FMC" localSheetId="4">#REF!</definedName>
    <definedName name="E_W_CARTED_FMC" localSheetId="24">#REF!</definedName>
    <definedName name="E_W_CARTED_FMC" localSheetId="41">#REF!</definedName>
    <definedName name="E_W_CARTED_FMC" localSheetId="43">#REF!</definedName>
    <definedName name="E_W_CARTED_FMC" localSheetId="8">#REF!</definedName>
    <definedName name="E_W_CARTED_FMC" localSheetId="16">#REF!</definedName>
    <definedName name="E_W_CARTED_FMC" localSheetId="12">#REF!</definedName>
    <definedName name="E_W_CARTED_FMC" localSheetId="14">#REF!</definedName>
    <definedName name="E_W_CARTED_FMC" localSheetId="1">#REF!</definedName>
    <definedName name="E_W_CARTED_FMC" localSheetId="13">#REF!</definedName>
    <definedName name="E_W_CARTED_FMC" localSheetId="52">#REF!</definedName>
    <definedName name="E_W_CARTED_FMC" localSheetId="7">#REF!</definedName>
    <definedName name="E_W_CARTED_FMC" localSheetId="15">#REF!</definedName>
    <definedName name="E_W_CARTED_FMC" localSheetId="11">#REF!</definedName>
    <definedName name="E_W_CARTED_FMC" localSheetId="2">#REF!</definedName>
    <definedName name="E_W_CARTED_FMC" localSheetId="0">#REF!</definedName>
    <definedName name="E_W_CARTED_FMC">#REF!</definedName>
    <definedName name="E_W_SIDE">#N/A</definedName>
    <definedName name="E_W_SIDE_FMC_NO" localSheetId="23">#REF!</definedName>
    <definedName name="E_W_SIDE_FMC_NO" localSheetId="46">#REF!</definedName>
    <definedName name="E_W_SIDE_FMC_NO" localSheetId="47">#REF!</definedName>
    <definedName name="E_W_SIDE_FMC_NO" localSheetId="40">#REF!</definedName>
    <definedName name="E_W_SIDE_FMC_NO" localSheetId="44">#REF!</definedName>
    <definedName name="E_W_SIDE_FMC_NO" localSheetId="45">#REF!</definedName>
    <definedName name="E_W_SIDE_FMC_NO" localSheetId="21">#REF!</definedName>
    <definedName name="E_W_SIDE_FMC_NO" localSheetId="9">#REF!</definedName>
    <definedName name="E_W_SIDE_FMC_NO" localSheetId="4">#REF!</definedName>
    <definedName name="E_W_SIDE_FMC_NO" localSheetId="24">#REF!</definedName>
    <definedName name="E_W_SIDE_FMC_NO" localSheetId="41">#REF!</definedName>
    <definedName name="E_W_SIDE_FMC_NO" localSheetId="43">#REF!</definedName>
    <definedName name="E_W_SIDE_FMC_NO" localSheetId="8">#REF!</definedName>
    <definedName name="E_W_SIDE_FMC_NO" localSheetId="16">#REF!</definedName>
    <definedName name="E_W_SIDE_FMC_NO" localSheetId="12">#REF!</definedName>
    <definedName name="E_W_SIDE_FMC_NO" localSheetId="14">#REF!</definedName>
    <definedName name="E_W_SIDE_FMC_NO" localSheetId="1">#REF!</definedName>
    <definedName name="E_W_SIDE_FMC_NO" localSheetId="13">#REF!</definedName>
    <definedName name="E_W_SIDE_FMC_NO" localSheetId="52">#REF!</definedName>
    <definedName name="E_W_SIDE_FMC_NO" localSheetId="7">#REF!</definedName>
    <definedName name="E_W_SIDE_FMC_NO" localSheetId="15">#REF!</definedName>
    <definedName name="E_W_SIDE_FMC_NO" localSheetId="11">#REF!</definedName>
    <definedName name="E_W_SIDE_FMC_NO" localSheetId="2">#REF!</definedName>
    <definedName name="E_W_SIDE_FMC_NO" localSheetId="0">#REF!</definedName>
    <definedName name="E_W_SIDE_FMC_NO">#REF!</definedName>
    <definedName name="E_W_SIDE_FMC_PR" localSheetId="23">#REF!</definedName>
    <definedName name="E_W_SIDE_FMC_PR" localSheetId="46">#REF!</definedName>
    <definedName name="E_W_SIDE_FMC_PR" localSheetId="47">#REF!</definedName>
    <definedName name="E_W_SIDE_FMC_PR" localSheetId="40">#REF!</definedName>
    <definedName name="E_W_SIDE_FMC_PR" localSheetId="44">#REF!</definedName>
    <definedName name="E_W_SIDE_FMC_PR" localSheetId="45">#REF!</definedName>
    <definedName name="E_W_SIDE_FMC_PR" localSheetId="21">#REF!</definedName>
    <definedName name="E_W_SIDE_FMC_PR" localSheetId="9">#REF!</definedName>
    <definedName name="E_W_SIDE_FMC_PR" localSheetId="4">#REF!</definedName>
    <definedName name="E_W_SIDE_FMC_PR" localSheetId="24">#REF!</definedName>
    <definedName name="E_W_SIDE_FMC_PR" localSheetId="41">#REF!</definedName>
    <definedName name="E_W_SIDE_FMC_PR" localSheetId="43">#REF!</definedName>
    <definedName name="E_W_SIDE_FMC_PR" localSheetId="8">#REF!</definedName>
    <definedName name="E_W_SIDE_FMC_PR" localSheetId="16">#REF!</definedName>
    <definedName name="E_W_SIDE_FMC_PR" localSheetId="12">#REF!</definedName>
    <definedName name="E_W_SIDE_FMC_PR" localSheetId="14">#REF!</definedName>
    <definedName name="E_W_SIDE_FMC_PR" localSheetId="1">#REF!</definedName>
    <definedName name="E_W_SIDE_FMC_PR" localSheetId="13">#REF!</definedName>
    <definedName name="E_W_SIDE_FMC_PR" localSheetId="52">#REF!</definedName>
    <definedName name="E_W_SIDE_FMC_PR" localSheetId="7">#REF!</definedName>
    <definedName name="E_W_SIDE_FMC_PR" localSheetId="15">#REF!</definedName>
    <definedName name="E_W_SIDE_FMC_PR" localSheetId="11">#REF!</definedName>
    <definedName name="E_W_SIDE_FMC_PR" localSheetId="2">#REF!</definedName>
    <definedName name="E_W_SIDE_FMC_PR" localSheetId="0">#REF!</definedName>
    <definedName name="E_W_SIDE_FMC_PR">#REF!</definedName>
    <definedName name="E_W_SIDE_OMC" localSheetId="23">#REF!</definedName>
    <definedName name="E_W_SIDE_OMC" localSheetId="46">#REF!</definedName>
    <definedName name="E_W_SIDE_OMC" localSheetId="47">#REF!</definedName>
    <definedName name="E_W_SIDE_OMC" localSheetId="40">#REF!</definedName>
    <definedName name="E_W_SIDE_OMC" localSheetId="44">#REF!</definedName>
    <definedName name="E_W_SIDE_OMC" localSheetId="45">#REF!</definedName>
    <definedName name="E_W_SIDE_OMC" localSheetId="21">#REF!</definedName>
    <definedName name="E_W_SIDE_OMC" localSheetId="9">#REF!</definedName>
    <definedName name="E_W_SIDE_OMC" localSheetId="4">#REF!</definedName>
    <definedName name="E_W_SIDE_OMC" localSheetId="24">#REF!</definedName>
    <definedName name="E_W_SIDE_OMC" localSheetId="43">#REF!</definedName>
    <definedName name="E_W_SIDE_OMC" localSheetId="8">#REF!</definedName>
    <definedName name="E_W_SIDE_OMC" localSheetId="52">#REF!</definedName>
    <definedName name="E_W_SIDE_OMC" localSheetId="7">#REF!</definedName>
    <definedName name="E_W_SIDE_OMC">#REF!</definedName>
    <definedName name="earth_lead" localSheetId="21">#REF!</definedName>
    <definedName name="earth_lead" localSheetId="9">#REF!</definedName>
    <definedName name="earth_lead" localSheetId="4">#REF!</definedName>
    <definedName name="earth_lead" localSheetId="8">#REF!</definedName>
    <definedName name="Earth_Lead">#REF!</definedName>
    <definedName name="earth_omc" localSheetId="4">#REF!</definedName>
    <definedName name="earth_omc">#REF!</definedName>
    <definedName name="earth_rate" localSheetId="4">#REF!</definedName>
    <definedName name="earth_rate">#REF!</definedName>
    <definedName name="earthld">#REF!</definedName>
    <definedName name="ec" localSheetId="21">[110]m!$M$3</definedName>
    <definedName name="ec" localSheetId="9">[110]m!$M$3</definedName>
    <definedName name="ec" localSheetId="4">[110]m!$M$3</definedName>
    <definedName name="ec" localSheetId="8">[110]m!$M$3</definedName>
    <definedName name="ec">#REF!</definedName>
    <definedName name="ecn" localSheetId="21">[41]m!$M$3</definedName>
    <definedName name="ecn" localSheetId="9">[41]m!$M$3</definedName>
    <definedName name="ecn" localSheetId="4">[41]m!$M$3</definedName>
    <definedName name="ecn" localSheetId="8">[41]m!$M$3</definedName>
    <definedName name="ecn">#REF!</definedName>
    <definedName name="edswi">#REF!</definedName>
    <definedName name="ee" localSheetId="21">[69]Lead!#REF!</definedName>
    <definedName name="ee" localSheetId="9">[69]Lead!#REF!</definedName>
    <definedName name="ee" localSheetId="4">[69]Lead!#REF!</definedName>
    <definedName name="ee" localSheetId="10">#REF!</definedName>
    <definedName name="ee" localSheetId="8">[69]Lead!#REF!</definedName>
    <definedName name="ee" localSheetId="7">#REF!</definedName>
    <definedName name="ee">#REF!</definedName>
    <definedName name="eee" localSheetId="21">#REF!</definedName>
    <definedName name="eee" localSheetId="9">#REF!</definedName>
    <definedName name="eee" localSheetId="4">#REF!</definedName>
    <definedName name="eee" localSheetId="8">#REF!</definedName>
    <definedName name="eee">#REF!</definedName>
    <definedName name="eerws">#REF!</definedName>
    <definedName name="egar" localSheetId="21">[117]Material!$D$117</definedName>
    <definedName name="egar" localSheetId="9">[117]Material!$D$117</definedName>
    <definedName name="egar" localSheetId="4">[117]Material!$D$117</definedName>
    <definedName name="egar" localSheetId="10">#REF!</definedName>
    <definedName name="egar" localSheetId="8">[117]Material!$D$117</definedName>
    <definedName name="egar" localSheetId="7">#REF!</definedName>
    <definedName name="egar">#REF!</definedName>
    <definedName name="El">[67]Sheet2!$I$48</definedName>
    <definedName name="electrification" localSheetId="4">[118]RATES!#REF!</definedName>
    <definedName name="electrification">[118]RATES!#REF!</definedName>
    <definedName name="Email" localSheetId="10">#REF!</definedName>
    <definedName name="Email">#REF!</definedName>
    <definedName name="Emultion_SS">#REF!</definedName>
    <definedName name="Emution_RS">#REF!</definedName>
    <definedName name="enamel_door_paint" localSheetId="21">#REF!</definedName>
    <definedName name="enamel_door_paint" localSheetId="9">#REF!</definedName>
    <definedName name="enamel_door_paint" localSheetId="4">#REF!</definedName>
    <definedName name="enamel_door_paint" localSheetId="8">#REF!</definedName>
    <definedName name="enamel_door_paint">#REF!</definedName>
    <definedName name="enamel_grill_paint" localSheetId="21">#REF!</definedName>
    <definedName name="enamel_grill_paint" localSheetId="9">#REF!</definedName>
    <definedName name="enamel_grill_paint" localSheetId="4">#REF!</definedName>
    <definedName name="enamel_grill_paint" localSheetId="8">#REF!</definedName>
    <definedName name="enamel_grill_paint">#REF!</definedName>
    <definedName name="er">#REF!</definedName>
    <definedName name="ERYUI" localSheetId="21">'[119]Plant &amp;  Machinery'!$G$13</definedName>
    <definedName name="ERYUI" localSheetId="9">'[119]Plant &amp;  Machinery'!$G$13</definedName>
    <definedName name="ERYUI" localSheetId="4">'[119]Plant &amp;  Machinery'!$G$13</definedName>
    <definedName name="ERYUI" localSheetId="10">#REF!</definedName>
    <definedName name="ERYUI" localSheetId="8">'[119]Plant &amp;  Machinery'!$G$13</definedName>
    <definedName name="ERYUI">#REF!</definedName>
    <definedName name="estimate3">[120]Material!$D$73</definedName>
    <definedName name="ESTT" localSheetId="21">[121]Sheet9!#REF!</definedName>
    <definedName name="ESTT" localSheetId="9">[121]Sheet9!#REF!</definedName>
    <definedName name="ESTT" localSheetId="4">[121]Sheet9!#REF!</definedName>
    <definedName name="ESTT" localSheetId="8">[121]Sheet9!#REF!</definedName>
    <definedName name="ESTT">#REF!</definedName>
    <definedName name="Eti">[67]Sheet2!$H$98</definedName>
    <definedName name="Etii">[67]Sheet2!$H$112</definedName>
    <definedName name="Etiii">[67]Sheet2!$H$181</definedName>
    <definedName name="EW" localSheetId="21">[18]maya!$A$1:$A$2</definedName>
    <definedName name="EW" localSheetId="9">[18]maya!$A$1:$A$2</definedName>
    <definedName name="EW" localSheetId="4">[18]maya!$A$1:$A$2</definedName>
    <definedName name="EW" localSheetId="8">[18]maya!$A$1:$A$2</definedName>
    <definedName name="EW">#REF!</definedName>
    <definedName name="EW_A" localSheetId="21">[43]DATA!$H$32</definedName>
    <definedName name="EW_A" localSheetId="9">[43]DATA!$H$32</definedName>
    <definedName name="EW_A" localSheetId="4">[42]DATA!$H$32</definedName>
    <definedName name="EW_A" localSheetId="8">[43]DATA!$H$32</definedName>
    <definedName name="EW_A" localSheetId="7">#REF!</definedName>
    <definedName name="EW_A">#REF!</definedName>
    <definedName name="EW_B" localSheetId="21">[43]DATA!$H$37</definedName>
    <definedName name="EW_B" localSheetId="9">[43]DATA!$H$37</definedName>
    <definedName name="EW_B" localSheetId="4">[42]DATA!$H$37</definedName>
    <definedName name="EW_B" localSheetId="8">[43]DATA!$H$37</definedName>
    <definedName name="EW_B" localSheetId="7">#REF!</definedName>
    <definedName name="EW_B">#REF!</definedName>
    <definedName name="EW_SP" localSheetId="21">#REF!</definedName>
    <definedName name="EW_SP" localSheetId="9">#REF!</definedName>
    <definedName name="EW_SP" localSheetId="4">#REF!</definedName>
    <definedName name="EW_SP" localSheetId="8">#REF!</definedName>
    <definedName name="EW_SP">#REF!</definedName>
    <definedName name="EWC">#REF!</definedName>
    <definedName name="EWCONVEYANCE">#REF!</definedName>
    <definedName name="ewe" localSheetId="23">#REF!</definedName>
    <definedName name="ewe" localSheetId="46">#REF!</definedName>
    <definedName name="ewe" localSheetId="47">#REF!</definedName>
    <definedName name="ewe" localSheetId="40">#REF!</definedName>
    <definedName name="ewe" localSheetId="44">#REF!</definedName>
    <definedName name="ewe" localSheetId="45">#REF!</definedName>
    <definedName name="ewe" localSheetId="21">#REF!</definedName>
    <definedName name="ewe" localSheetId="39">#REF!</definedName>
    <definedName name="ewe" localSheetId="9">#REF!</definedName>
    <definedName name="ewe" localSheetId="4">#REF!</definedName>
    <definedName name="ewe" localSheetId="24">#REF!</definedName>
    <definedName name="ewe" localSheetId="34">#REF!</definedName>
    <definedName name="ewe" localSheetId="43">#REF!</definedName>
    <definedName name="ewe" localSheetId="8">#REF!</definedName>
    <definedName name="ewe" localSheetId="35">#REF!</definedName>
    <definedName name="ewe" localSheetId="36">#REF!</definedName>
    <definedName name="ewe" localSheetId="52">#REF!</definedName>
    <definedName name="ewe" localSheetId="7">#REF!</definedName>
    <definedName name="ewe">#REF!</definedName>
    <definedName name="EWSTM" localSheetId="21">[122]ewst!$E$13:$R$172</definedName>
    <definedName name="EWSTM" localSheetId="9">[122]ewst!$E$13:$R$172</definedName>
    <definedName name="EWSTM" localSheetId="4">[122]ewst!$E$13:$R$172</definedName>
    <definedName name="EWSTM" localSheetId="8">[122]ewst!$E$13:$R$172</definedName>
    <definedName name="EWSTM">#REF!</definedName>
    <definedName name="ewstmt" localSheetId="10">#REF!</definedName>
    <definedName name="ewstmt">#REF!</definedName>
    <definedName name="EWW" localSheetId="21">[123]m1!$D$9</definedName>
    <definedName name="EWW" localSheetId="9">[123]m1!$D$9</definedName>
    <definedName name="EWW" localSheetId="4">[123]m1!$D$9</definedName>
    <definedName name="EWW" localSheetId="8">[123]m1!$D$9</definedName>
    <definedName name="EWW">#REF!</definedName>
    <definedName name="excavation" localSheetId="21">#REF!</definedName>
    <definedName name="excavation" localSheetId="9">#REF!</definedName>
    <definedName name="excavation" localSheetId="4">#REF!</definedName>
    <definedName name="excavation" localSheetId="8">#REF!</definedName>
    <definedName name="excavation">#REF!</definedName>
    <definedName name="excavationrate" localSheetId="21">'[124]data existing_do not delete'!$J$2:$J$9</definedName>
    <definedName name="excavationrate" localSheetId="9">'[124]data existing_do not delete'!$J$2:$J$9</definedName>
    <definedName name="excavationrate" localSheetId="4">'[124]data existing_do not delete'!$J$2:$J$9</definedName>
    <definedName name="excavationrate" localSheetId="8">'[124]data existing_do not delete'!$J$2:$J$9</definedName>
    <definedName name="excavationrate">#REF!</definedName>
    <definedName name="Excel_BuiltIn__FilterDatabase_5" localSheetId="10">#REF!</definedName>
    <definedName name="Excel_BuiltIn__FilterDatabase_5">#REF!</definedName>
    <definedName name="Excel_BuiltIn__FilterDatabase_6" localSheetId="10">#REF!</definedName>
    <definedName name="Excel_BuiltIn__FilterDatabase_6">#REF!</definedName>
    <definedName name="Excel_BuiltIn_Print_Titles">NA()</definedName>
    <definedName name="Excel_BuiltIn_Print_Titles_3_1">#REF!</definedName>
    <definedName name="f" localSheetId="23">#REF!</definedName>
    <definedName name="f" localSheetId="46">#REF!</definedName>
    <definedName name="f" localSheetId="47">#REF!</definedName>
    <definedName name="f" localSheetId="40">#REF!</definedName>
    <definedName name="f" localSheetId="44">#REF!</definedName>
    <definedName name="f" localSheetId="45">#REF!</definedName>
    <definedName name="f" localSheetId="21">#REF!</definedName>
    <definedName name="f" localSheetId="9">#REF!</definedName>
    <definedName name="f" localSheetId="4">#REF!</definedName>
    <definedName name="f" localSheetId="24">#REF!</definedName>
    <definedName name="f" localSheetId="10">#REF!</definedName>
    <definedName name="f" localSheetId="43">#REF!</definedName>
    <definedName name="f" localSheetId="8">#REF!</definedName>
    <definedName name="f" localSheetId="52">#REF!</definedName>
    <definedName name="f" localSheetId="7">#REF!</definedName>
    <definedName name="f">#REF!</definedName>
    <definedName name="FAB" localSheetId="21">[43]DATA!$H$199</definedName>
    <definedName name="FAB" localSheetId="9">[43]DATA!$H$199</definedName>
    <definedName name="FAB" localSheetId="4">[42]DATA!$H$199</definedName>
    <definedName name="FAB" localSheetId="8">[43]DATA!$H$199</definedName>
    <definedName name="FAB" localSheetId="7">#REF!</definedName>
    <definedName name="FAB">#REF!</definedName>
    <definedName name="fabchr" localSheetId="21">#REF!</definedName>
    <definedName name="fabchr" localSheetId="9">#REF!</definedName>
    <definedName name="fabchr" localSheetId="4">#REF!</definedName>
    <definedName name="fabchr" localSheetId="8">#REF!</definedName>
    <definedName name="fabchr">#REF!</definedName>
    <definedName name="fabrication" localSheetId="4">#REF!</definedName>
    <definedName name="fabrication">#REF!</definedName>
    <definedName name="faciastone">#REF!</definedName>
    <definedName name="Fax" localSheetId="10">#REF!</definedName>
    <definedName name="Fax">#REF!</definedName>
    <definedName name="fb" localSheetId="21">#REF!</definedName>
    <definedName name="fb" localSheetId="9">#REF!</definedName>
    <definedName name="fb" localSheetId="4">#REF!</definedName>
    <definedName name="fb" localSheetId="8">#REF!</definedName>
    <definedName name="fb">#REF!</definedName>
    <definedName name="fbl" localSheetId="4">#REF!</definedName>
    <definedName name="fbl">#REF!</definedName>
    <definedName name="FCode" localSheetId="21" hidden="1">#REF!</definedName>
    <definedName name="FCode" localSheetId="9" hidden="1">#REF!</definedName>
    <definedName name="FCode" localSheetId="4" hidden="1">#REF!</definedName>
    <definedName name="FCode" localSheetId="10" hidden="1">#REF!</definedName>
    <definedName name="FCode" localSheetId="8" hidden="1">#REF!</definedName>
    <definedName name="FCode" hidden="1">#REF!</definedName>
    <definedName name="fd">#REF!</definedName>
    <definedName name="FDJDSJFDJFLDJF" localSheetId="21">[112]Labour!$D$19</definedName>
    <definedName name="FDJDSJFDJFLDJF" localSheetId="9">[112]Labour!$D$19</definedName>
    <definedName name="FDJDSJFDJFLDJF" localSheetId="4">[112]Labour!$D$19</definedName>
    <definedName name="FDJDSJFDJFLDJF" localSheetId="10">#REF!</definedName>
    <definedName name="FDJDSJFDJFLDJF" localSheetId="8">[112]Labour!$D$19</definedName>
    <definedName name="FDJDSJFDJFLDJF">#REF!</definedName>
    <definedName name="Feeder_Road_Sections" localSheetId="21">[68]Feeder!$A$1:$L$386</definedName>
    <definedName name="Feeder_Road_Sections" localSheetId="9">[68]Feeder!$A$1:$L$386</definedName>
    <definedName name="Feeder_Road_Sections" localSheetId="4">[68]Feeder!$A$1:$L$386</definedName>
    <definedName name="Feeder_Road_Sections" localSheetId="8">[68]Feeder!$A$1:$L$386</definedName>
    <definedName name="Feeder_Road_Sections">#REF!</definedName>
    <definedName name="ff" localSheetId="21">[125]Material!$D$120</definedName>
    <definedName name="ff" localSheetId="9">[125]Material!$D$120</definedName>
    <definedName name="ff" localSheetId="4">[125]Material!$D$120</definedName>
    <definedName name="ff" localSheetId="8">[125]Material!$D$120</definedName>
    <definedName name="ff">#REF!</definedName>
    <definedName name="fff">#REF!</definedName>
    <definedName name="ffff">#REF!</definedName>
    <definedName name="ffffffff">#REF!</definedName>
    <definedName name="ffffffffffffffffffffff">#REF!</definedName>
    <definedName name="fffffffffffffffffffffff" hidden="1">{"'ridftotal'!$A$4:$S$27"}</definedName>
    <definedName name="fffffffffffffffffffffffffffffffff" hidden="1">#REF!</definedName>
    <definedName name="fg" localSheetId="21">[101]Material!$D$110</definedName>
    <definedName name="fg" localSheetId="9">[101]Material!$D$110</definedName>
    <definedName name="fg" localSheetId="4">[101]Material!$D$110</definedName>
    <definedName name="fg" localSheetId="8">[101]Material!$D$110</definedName>
    <definedName name="fg">#REF!</definedName>
    <definedName name="FGD" localSheetId="21" hidden="1">{"'ridftotal'!$A$4:$S$27"}</definedName>
    <definedName name="FGD" localSheetId="9" hidden="1">{"'ridftotal'!$A$4:$S$27"}</definedName>
    <definedName name="FGD" localSheetId="4" hidden="1">{"'ridftotal'!$A$4:$S$27"}</definedName>
    <definedName name="FGD" localSheetId="10" hidden="1">{"'ridftotal'!$A$4:$S$27"}</definedName>
    <definedName name="FGD" localSheetId="8" hidden="1">{"'ridftotal'!$A$4:$S$27"}</definedName>
    <definedName name="FGD" hidden="1">{"'ridftotal'!$A$4:$S$27"}</definedName>
    <definedName name="fgdfgdfgdf" localSheetId="21">[5]v!$A$2:$E$51</definedName>
    <definedName name="fgdfgdfgdf" localSheetId="9">[5]v!$A$2:$E$51</definedName>
    <definedName name="fgdfgdfgdf" localSheetId="4">[5]v!$A$2:$E$51</definedName>
    <definedName name="fgdfgdfgdf" localSheetId="10">#REF!</definedName>
    <definedName name="fgdfgdfgdf" localSheetId="8">[5]v!$A$2:$E$51</definedName>
    <definedName name="fgdfgdfgdf" localSheetId="7">#REF!</definedName>
    <definedName name="fgdfgdfgdf">#REF!</definedName>
    <definedName name="FGHH" localSheetId="21" hidden="1">{"'ridftotal'!$A$4:$S$27"}</definedName>
    <definedName name="FGHH" localSheetId="9" hidden="1">{"'ridftotal'!$A$4:$S$27"}</definedName>
    <definedName name="FGHH" localSheetId="4" hidden="1">{"'ridftotal'!$A$4:$S$27"}</definedName>
    <definedName name="FGHH" localSheetId="10" hidden="1">{"'ridftotal'!$A$4:$S$27"}</definedName>
    <definedName name="FGHH" localSheetId="8" hidden="1">{"'ridftotal'!$A$4:$S$27"}</definedName>
    <definedName name="FGHH" hidden="1">{"'ridftotal'!$A$4:$S$27"}</definedName>
    <definedName name="fgsdgh" localSheetId="21">[73]Labour!$D$15</definedName>
    <definedName name="fgsdgh" localSheetId="9">[73]Labour!$D$15</definedName>
    <definedName name="fgsdgh" localSheetId="4">[73]Labour!$D$15</definedName>
    <definedName name="fgsdgh" localSheetId="8">[73]Labour!$D$15</definedName>
    <definedName name="fgsdgh">#REF!</definedName>
    <definedName name="FGTY" localSheetId="21">[119]Material!$D$79</definedName>
    <definedName name="FGTY" localSheetId="9">[119]Material!$D$79</definedName>
    <definedName name="FGTY" localSheetId="4">[119]Material!$D$79</definedName>
    <definedName name="FGTY" localSheetId="10">#REF!</definedName>
    <definedName name="FGTY" localSheetId="8">[119]Material!$D$79</definedName>
    <definedName name="FGTY">#REF!</definedName>
    <definedName name="FGTYU" localSheetId="21">[119]Labour!$D$19</definedName>
    <definedName name="FGTYU" localSheetId="9">[119]Labour!$D$19</definedName>
    <definedName name="FGTYU" localSheetId="4">[119]Labour!$D$19</definedName>
    <definedName name="FGTYU" localSheetId="10">#REF!</definedName>
    <definedName name="FGTYU" localSheetId="8">[119]Labour!$D$19</definedName>
    <definedName name="FGTYU">#REF!</definedName>
    <definedName name="filling_earth" localSheetId="21">#REF!</definedName>
    <definedName name="filling_earth" localSheetId="9">#REF!</definedName>
    <definedName name="filling_earth" localSheetId="4">#REF!</definedName>
    <definedName name="filling_earth" localSheetId="8">#REF!</definedName>
    <definedName name="filling_earth">#REF!</definedName>
    <definedName name="filling_gravel" localSheetId="21">#REF!</definedName>
    <definedName name="filling_gravel" localSheetId="9">#REF!</definedName>
    <definedName name="filling_gravel" localSheetId="4">#REF!</definedName>
    <definedName name="filling_gravel" localSheetId="8">#REF!</definedName>
    <definedName name="filling_gravel">#REF!</definedName>
    <definedName name="fineaggregate" localSheetId="21">#REF!</definedName>
    <definedName name="fineaggregate" localSheetId="9">#REF!</definedName>
    <definedName name="fineaggregate" localSheetId="4">#REF!</definedName>
    <definedName name="fineaggregate" localSheetId="8">#REF!</definedName>
    <definedName name="fineaggregate">#REF!</definedName>
    <definedName name="finished" localSheetId="23">#REF!</definedName>
    <definedName name="finished" localSheetId="46">#REF!</definedName>
    <definedName name="finished" localSheetId="47">#REF!</definedName>
    <definedName name="finished" localSheetId="40">#REF!</definedName>
    <definedName name="finished" localSheetId="44">#REF!</definedName>
    <definedName name="finished" localSheetId="45">#REF!</definedName>
    <definedName name="finished" localSheetId="21">#REF!</definedName>
    <definedName name="finished" localSheetId="39">#REF!</definedName>
    <definedName name="finished" localSheetId="9">#REF!</definedName>
    <definedName name="finished" localSheetId="4">#REF!</definedName>
    <definedName name="finished" localSheetId="24">#REF!</definedName>
    <definedName name="finished" localSheetId="34">#REF!</definedName>
    <definedName name="finished" localSheetId="10">#REF!</definedName>
    <definedName name="finished" localSheetId="43">#REF!</definedName>
    <definedName name="finished" localSheetId="8">#REF!</definedName>
    <definedName name="finished" localSheetId="33">#REF!</definedName>
    <definedName name="finished" localSheetId="17">#REF!</definedName>
    <definedName name="finished" localSheetId="16">#REF!</definedName>
    <definedName name="finished" localSheetId="12">#REF!</definedName>
    <definedName name="finished" localSheetId="14">#REF!</definedName>
    <definedName name="finished" localSheetId="1">#REF!</definedName>
    <definedName name="finished" localSheetId="13">#REF!</definedName>
    <definedName name="finished" localSheetId="35">#REF!</definedName>
    <definedName name="finished" localSheetId="36">#REF!</definedName>
    <definedName name="finished" localSheetId="52">#REF!</definedName>
    <definedName name="finished" localSheetId="7">#REF!</definedName>
    <definedName name="finished" localSheetId="30">#REF!</definedName>
    <definedName name="finished" localSheetId="15">#REF!</definedName>
    <definedName name="finished" localSheetId="11">#REF!</definedName>
    <definedName name="finished" localSheetId="2">#REF!</definedName>
    <definedName name="finished" localSheetId="0">#REF!</definedName>
    <definedName name="finished">#REF!</definedName>
    <definedName name="fiw" localSheetId="10">#REF!</definedName>
    <definedName name="fiw">#REF!</definedName>
    <definedName name="FJDK">[81]DATA_PRG!$H$173</definedName>
    <definedName name="floor" localSheetId="21">[81]DATA_PRG!$H$317</definedName>
    <definedName name="floor" localSheetId="9">[81]DATA_PRG!$H$317</definedName>
    <definedName name="floor" localSheetId="4">[81]DATA_PRG!$H$317</definedName>
    <definedName name="floor" localSheetId="8">[81]DATA_PRG!$H$317</definedName>
    <definedName name="floor">#REF!</definedName>
    <definedName name="floor_cc" localSheetId="21">[46]DATA_PRG!$F$373</definedName>
    <definedName name="floor_cc" localSheetId="9">[46]DATA_PRG!$F$373</definedName>
    <definedName name="floor_cc" localSheetId="4">[46]DATA_PRG!$F$373</definedName>
    <definedName name="floor_cc" localSheetId="8">[46]DATA_PRG!$F$373</definedName>
    <definedName name="floor_cc">#REF!</definedName>
    <definedName name="floor_ceramic" localSheetId="21">#REF!</definedName>
    <definedName name="floor_ceramic" localSheetId="9">#REF!</definedName>
    <definedName name="floor_ceramic" localSheetId="4">#REF!</definedName>
    <definedName name="floor_ceramic" localSheetId="8">#REF!</definedName>
    <definedName name="floor_ceramic">#REF!</definedName>
    <definedName name="floor_chequered" localSheetId="21">#REF!</definedName>
    <definedName name="floor_chequered" localSheetId="9">#REF!</definedName>
    <definedName name="floor_chequered" localSheetId="4">#REF!</definedName>
    <definedName name="floor_chequered" localSheetId="8">#REF!</definedName>
    <definedName name="floor_chequered">#REF!</definedName>
    <definedName name="floor_kadapa" localSheetId="21">#REF!</definedName>
    <definedName name="floor_kadapa" localSheetId="9">#REF!</definedName>
    <definedName name="floor_kadapa" localSheetId="4">#REF!</definedName>
    <definedName name="floor_kadapa" localSheetId="8">#REF!</definedName>
    <definedName name="floor_kadapa">#REF!</definedName>
    <definedName name="floor_shahbad" localSheetId="21">#REF!</definedName>
    <definedName name="floor_shahbad" localSheetId="9">#REF!</definedName>
    <definedName name="floor_shahbad" localSheetId="4">#REF!</definedName>
    <definedName name="floor_shahbad" localSheetId="8">#REF!</definedName>
    <definedName name="floor_shahbad">#REF!</definedName>
    <definedName name="floorp" localSheetId="4">#REF!</definedName>
    <definedName name="floorp">#REF!</definedName>
    <definedName name="Flush_Pointing_with_CM__1_3__to_Brick___CRS_Masonry" localSheetId="4">'[58]DATA SHEET FOR 2014-15'!#REF!</definedName>
    <definedName name="Flush_Pointing_with_CM__1_3__to_Brick___CRS_Masonry">'[58]DATA SHEET FOR 2014-15'!#REF!</definedName>
    <definedName name="Flush_Pointing_with_CM__1_3__to_RR_Masonry">'[58]DATA SHEET FOR 2014-15'!#REF!</definedName>
    <definedName name="fm">[88]Lead!$H$36</definedName>
    <definedName name="fma" localSheetId="4">#REF!</definedName>
    <definedName name="fma">#REF!</definedName>
    <definedName name="FoundConc" localSheetId="21">[18]maya!$A$3:$A$6</definedName>
    <definedName name="FoundConc" localSheetId="9">[18]maya!$A$3:$A$6</definedName>
    <definedName name="FoundConc" localSheetId="4">[18]maya!$A$3:$A$6</definedName>
    <definedName name="FoundConc" localSheetId="8">[18]maya!$A$3:$A$6</definedName>
    <definedName name="FoundConc">#REF!</definedName>
    <definedName name="fp" localSheetId="4">#REF!</definedName>
    <definedName name="fp">#REF!</definedName>
    <definedName name="fpaint" localSheetId="4">#REF!</definedName>
    <definedName name="fpaint">#REF!</definedName>
    <definedName name="fred">#REF!</definedName>
    <definedName name="fresh" localSheetId="21">[126]r!$F$30</definedName>
    <definedName name="fresh" localSheetId="9">[126]r!$F$30</definedName>
    <definedName name="fresh" localSheetId="4">[126]r!$F$30</definedName>
    <definedName name="fresh" localSheetId="8">[126]r!$F$30</definedName>
    <definedName name="fresh" localSheetId="7">#REF!</definedName>
    <definedName name="fresh">#REF!</definedName>
    <definedName name="FRTG" localSheetId="21">[119]Labour!$D$5</definedName>
    <definedName name="FRTG" localSheetId="9">[119]Labour!$D$5</definedName>
    <definedName name="FRTG" localSheetId="4">[119]Labour!$D$5</definedName>
    <definedName name="FRTG" localSheetId="10">#REF!</definedName>
    <definedName name="FRTG" localSheetId="8">[119]Labour!$D$5</definedName>
    <definedName name="FRTG">#REF!</definedName>
    <definedName name="frty" localSheetId="21">'[119]Plant &amp;  Machinery'!$G$4</definedName>
    <definedName name="frty" localSheetId="9">'[119]Plant &amp;  Machinery'!$G$4</definedName>
    <definedName name="frty" localSheetId="4">'[119]Plant &amp;  Machinery'!$G$4</definedName>
    <definedName name="frty" localSheetId="10">#REF!</definedName>
    <definedName name="frty" localSheetId="8">'[119]Plant &amp;  Machinery'!$G$4</definedName>
    <definedName name="frty">#REF!</definedName>
    <definedName name="fsd">#REF!</definedName>
    <definedName name="fsl">#REF!</definedName>
    <definedName name="Fuel_consumption">#REF!</definedName>
    <definedName name="FW" localSheetId="10">#REF!</definedName>
    <definedName name="FW">#REF!</definedName>
    <definedName name="g" localSheetId="23">#REF!</definedName>
    <definedName name="g" localSheetId="46">#REF!</definedName>
    <definedName name="g" localSheetId="47">#REF!</definedName>
    <definedName name="g" localSheetId="40">#REF!</definedName>
    <definedName name="g" localSheetId="44">#REF!</definedName>
    <definedName name="g" localSheetId="45">#REF!</definedName>
    <definedName name="g" localSheetId="21">#REF!</definedName>
    <definedName name="g" localSheetId="39">#REF!</definedName>
    <definedName name="g" localSheetId="9">#REF!</definedName>
    <definedName name="g" localSheetId="4">#REF!</definedName>
    <definedName name="g" localSheetId="24">#REF!</definedName>
    <definedName name="g" localSheetId="34">#REF!</definedName>
    <definedName name="g" localSheetId="10">#REF!</definedName>
    <definedName name="g" localSheetId="43">#REF!</definedName>
    <definedName name="g" localSheetId="8">#REF!</definedName>
    <definedName name="g" localSheetId="33">#REF!</definedName>
    <definedName name="g" localSheetId="17">#REF!</definedName>
    <definedName name="g" localSheetId="16">#REF!</definedName>
    <definedName name="g" localSheetId="12">#REF!</definedName>
    <definedName name="g" localSheetId="14">#REF!</definedName>
    <definedName name="g" localSheetId="1">#REF!</definedName>
    <definedName name="g" localSheetId="13">#REF!</definedName>
    <definedName name="g" localSheetId="35">#REF!</definedName>
    <definedName name="g" localSheetId="36">#REF!</definedName>
    <definedName name="g" localSheetId="52">#REF!</definedName>
    <definedName name="g" localSheetId="7">#REF!</definedName>
    <definedName name="g">#REF!</definedName>
    <definedName name="g_lead" localSheetId="23">#REF!</definedName>
    <definedName name="g_lead" localSheetId="46">#REF!</definedName>
    <definedName name="g_lead" localSheetId="47">#REF!</definedName>
    <definedName name="g_lead" localSheetId="40">#REF!</definedName>
    <definedName name="g_lead" localSheetId="44">#REF!</definedName>
    <definedName name="g_lead" localSheetId="45">#REF!</definedName>
    <definedName name="g_lead" localSheetId="21">#REF!</definedName>
    <definedName name="g_lead" localSheetId="9">#REF!</definedName>
    <definedName name="g_lead" localSheetId="4">#REF!</definedName>
    <definedName name="g_lead" localSheetId="24">#REF!</definedName>
    <definedName name="g_lead" localSheetId="43">#REF!</definedName>
    <definedName name="g_lead" localSheetId="8">#REF!</definedName>
    <definedName name="g_lead" localSheetId="52">#REF!</definedName>
    <definedName name="g_lead" localSheetId="7">#REF!</definedName>
    <definedName name="g_lead">#REF!</definedName>
    <definedName name="gagan" localSheetId="21">[117]Material!$D$113</definedName>
    <definedName name="gagan" localSheetId="9">[117]Material!$D$113</definedName>
    <definedName name="gagan" localSheetId="4">[117]Material!$D$113</definedName>
    <definedName name="gagan" localSheetId="10">#REF!</definedName>
    <definedName name="gagan" localSheetId="8">[117]Material!$D$113</definedName>
    <definedName name="gagan" localSheetId="7">#REF!</definedName>
    <definedName name="gagan">#REF!</definedName>
    <definedName name="gcv">#REF!</definedName>
    <definedName name="gf" localSheetId="21">[101]Material!$D$109</definedName>
    <definedName name="gf" localSheetId="9">[101]Material!$D$109</definedName>
    <definedName name="gf" localSheetId="4">[101]Material!$D$109</definedName>
    <definedName name="gf" localSheetId="8">[101]Material!$D$109</definedName>
    <definedName name="gf">#REF!</definedName>
    <definedName name="gg" localSheetId="21">'[127]Plant &amp;  Machinery'!$G$53</definedName>
    <definedName name="gg" localSheetId="9">'[127]Plant &amp;  Machinery'!$G$53</definedName>
    <definedName name="gg" localSheetId="4">'[127]Plant &amp;  Machinery'!$G$53</definedName>
    <definedName name="gg" localSheetId="8">'[127]Plant &amp;  Machinery'!$G$53</definedName>
    <definedName name="gg" localSheetId="7">#REF!</definedName>
    <definedName name="gg">#REF!</definedName>
    <definedName name="ggg" localSheetId="21">[128]sectorwise!$A$1:$R$23</definedName>
    <definedName name="ggg" localSheetId="9">[128]sectorwise!$A$1:$R$23</definedName>
    <definedName name="ggg" localSheetId="4">[128]sectorwise!$A$1:$R$23</definedName>
    <definedName name="ggg" localSheetId="8">[128]sectorwise!$A$1:$R$23</definedName>
    <definedName name="ggg">#REF!</definedName>
    <definedName name="gggg">#REF!</definedName>
    <definedName name="gh" localSheetId="21">'[129]Plant &amp;  Machinery'!$G$11</definedName>
    <definedName name="gh" localSheetId="9">'[129]Plant &amp;  Machinery'!$G$11</definedName>
    <definedName name="gh" localSheetId="4">[130]Material!$D$146</definedName>
    <definedName name="gh" localSheetId="8">'[129]Plant &amp;  Machinery'!$G$11</definedName>
    <definedName name="gh">#REF!</definedName>
    <definedName name="GHGHF" localSheetId="21">[119]Material!$D$51</definedName>
    <definedName name="GHGHF" localSheetId="9">[119]Material!$D$51</definedName>
    <definedName name="GHGHF" localSheetId="4">[119]Material!$D$51</definedName>
    <definedName name="GHGHF" localSheetId="10">#REF!</definedName>
    <definedName name="GHGHF" localSheetId="8">[119]Material!$D$51</definedName>
    <definedName name="GHGHF">#REF!</definedName>
    <definedName name="ghhh" localSheetId="21">[129]Labour!$D$3</definedName>
    <definedName name="ghhh" localSheetId="9">[129]Labour!$D$3</definedName>
    <definedName name="ghhh" localSheetId="4">[129]Labour!$D$3</definedName>
    <definedName name="GHHH" localSheetId="10">#REF!</definedName>
    <definedName name="ghhh" localSheetId="8">[129]Labour!$D$3</definedName>
    <definedName name="GHHH">#REF!</definedName>
    <definedName name="GHJK" localSheetId="21" hidden="1">{"'ridftotal'!$A$4:$S$27"}</definedName>
    <definedName name="GHJK" localSheetId="9" hidden="1">{"'ridftotal'!$A$4:$S$27"}</definedName>
    <definedName name="GHJK" localSheetId="4" hidden="1">{"'ridftotal'!$A$4:$S$27"}</definedName>
    <definedName name="GHJK" localSheetId="10" hidden="1">{"'ridftotal'!$A$4:$S$27"}</definedName>
    <definedName name="GHJK" localSheetId="8" hidden="1">{"'ridftotal'!$A$4:$S$27"}</definedName>
    <definedName name="GHJK" hidden="1">{"'ridftotal'!$A$4:$S$27"}</definedName>
    <definedName name="GHJKJK" localSheetId="21" hidden="1">{"'ridftotal'!$A$4:$S$27"}</definedName>
    <definedName name="GHJKJK" localSheetId="9" hidden="1">{"'ridftotal'!$A$4:$S$27"}</definedName>
    <definedName name="GHJKJK" localSheetId="4" hidden="1">{"'ridftotal'!$A$4:$S$27"}</definedName>
    <definedName name="GHJKJK" localSheetId="10" hidden="1">{"'ridftotal'!$A$4:$S$27"}</definedName>
    <definedName name="GHJKJK" localSheetId="8" hidden="1">{"'ridftotal'!$A$4:$S$27"}</definedName>
    <definedName name="GHJKJK" hidden="1">{"'ridftotal'!$A$4:$S$27"}</definedName>
    <definedName name="ghsh" localSheetId="21">[73]Labour!$D$18</definedName>
    <definedName name="ghsh" localSheetId="9">[73]Labour!$D$18</definedName>
    <definedName name="ghsh" localSheetId="4">[73]Labour!$D$18</definedName>
    <definedName name="ghsh" localSheetId="8">[73]Labour!$D$18</definedName>
    <definedName name="ghsh">#REF!</definedName>
    <definedName name="GI">#REF!</definedName>
    <definedName name="giall" localSheetId="21">[84]Sheet1!$B$120:$B$243</definedName>
    <definedName name="giall" localSheetId="9">[84]Sheet1!$B$120:$B$243</definedName>
    <definedName name="giall" localSheetId="4">[84]Sheet1!$B$120:$B$243</definedName>
    <definedName name="giall" localSheetId="8">[84]Sheet1!$B$120:$B$243</definedName>
    <definedName name="giall">#REF!</definedName>
    <definedName name="gib" localSheetId="21">#REF!</definedName>
    <definedName name="gib" localSheetId="9">#REF!</definedName>
    <definedName name="gib" localSheetId="4">#REF!</definedName>
    <definedName name="gib" localSheetId="8">#REF!</definedName>
    <definedName name="gib">#REF!</definedName>
    <definedName name="GIbend">#REF!</definedName>
    <definedName name="GIcoupling">#REF!</definedName>
    <definedName name="GIelbow">#REF!</definedName>
    <definedName name="GInipple">#REF!</definedName>
    <definedName name="GIreducedTee">#REF!</definedName>
    <definedName name="GIreducer">#REF!</definedName>
    <definedName name="GIspecial">#REF!</definedName>
    <definedName name="gispecials" localSheetId="21">[84]Sheet1!$B$120:$B$234</definedName>
    <definedName name="gispecials" localSheetId="9">[84]Sheet1!$B$120:$B$234</definedName>
    <definedName name="gispecials" localSheetId="4">[84]Sheet1!$B$120:$B$234</definedName>
    <definedName name="gispecials" localSheetId="8">[84]Sheet1!$B$120:$B$234</definedName>
    <definedName name="gispecials">#REF!</definedName>
    <definedName name="GIunion">#REF!</definedName>
    <definedName name="Glazed_coloured_tiles_for_Dadooing" localSheetId="21">#REF!</definedName>
    <definedName name="Glazed_coloured_tiles_for_Dadooing" localSheetId="9">#REF!</definedName>
    <definedName name="Glazed_coloured_tiles_for_Dadooing" localSheetId="4">#REF!</definedName>
    <definedName name="Glazed_coloured_tiles_for_Dadooing" localSheetId="8">#REF!</definedName>
    <definedName name="Glazed_coloured_tiles_for_Dadooing">#REF!</definedName>
    <definedName name="GLOADING" localSheetId="23">#REF!</definedName>
    <definedName name="GLOADING" localSheetId="46">#REF!</definedName>
    <definedName name="GLOADING" localSheetId="47">#REF!</definedName>
    <definedName name="GLOADING" localSheetId="40">#REF!</definedName>
    <definedName name="GLOADING" localSheetId="44">#REF!</definedName>
    <definedName name="GLOADING" localSheetId="45">#REF!</definedName>
    <definedName name="GLOADING" localSheetId="21">#REF!</definedName>
    <definedName name="GLOADING" localSheetId="9">#REF!</definedName>
    <definedName name="GLOADING" localSheetId="4">#REF!</definedName>
    <definedName name="GLOADING" localSheetId="24">#REF!</definedName>
    <definedName name="GLOADING" localSheetId="43">#REF!</definedName>
    <definedName name="GLOADING" localSheetId="8">#REF!</definedName>
    <definedName name="GLOADING" localSheetId="52">#REF!</definedName>
    <definedName name="GLOADING" localSheetId="7">#REF!</definedName>
    <definedName name="GLOADING">#REF!</definedName>
    <definedName name="gls">#REF!</definedName>
    <definedName name="GMgateValve">#REF!</definedName>
    <definedName name="gn" localSheetId="21">[46]DATA_PRG!$H$187</definedName>
    <definedName name="gn" localSheetId="9">[46]DATA_PRG!$H$187</definedName>
    <definedName name="gn" localSheetId="4">[46]DATA_PRG!$H$187</definedName>
    <definedName name="GN" localSheetId="10" hidden="1">{"'ridftotal'!$A$4:$S$27"}</definedName>
    <definedName name="gn" localSheetId="8">[46]DATA_PRG!$H$187</definedName>
    <definedName name="GN" hidden="1">{"'ridftotal'!$A$4:$S$27"}</definedName>
    <definedName name="GNUT1">#REF!</definedName>
    <definedName name="GNUT2">#REF!</definedName>
    <definedName name="goo" localSheetId="21">#REF!</definedName>
    <definedName name="goo" localSheetId="9">#REF!</definedName>
    <definedName name="goo" localSheetId="4">#REF!</definedName>
    <definedName name="goo" localSheetId="10">#REF!</definedName>
    <definedName name="goo" localSheetId="8">#REF!</definedName>
    <definedName name="goo">#REF!</definedName>
    <definedName name="GOPA">#REF!</definedName>
    <definedName name="GOTLS">#REF!</definedName>
    <definedName name="gp">#REF!</definedName>
    <definedName name="GPC">#REF!</definedName>
    <definedName name="GPname">#REF!</definedName>
    <definedName name="gr" localSheetId="4">[131]Data!#REF!</definedName>
    <definedName name="gr">[131]Data!#REF!</definedName>
    <definedName name="gra" localSheetId="21">[46]DATA_PRG!$B$5</definedName>
    <definedName name="gra" localSheetId="9">[46]DATA_PRG!$B$5</definedName>
    <definedName name="gra" localSheetId="4">[46]DATA_PRG!$B$5</definedName>
    <definedName name="gra" localSheetId="8">[46]DATA_PRG!$B$5</definedName>
    <definedName name="gra">#REF!</definedName>
    <definedName name="grade1" localSheetId="23">#REF!</definedName>
    <definedName name="grade1" localSheetId="46">#REF!</definedName>
    <definedName name="grade1" localSheetId="47">#REF!</definedName>
    <definedName name="grade1" localSheetId="40">#REF!</definedName>
    <definedName name="grade1" localSheetId="44">#REF!</definedName>
    <definedName name="grade1" localSheetId="45">#REF!</definedName>
    <definedName name="grade1" localSheetId="21">#REF!</definedName>
    <definedName name="grade1" localSheetId="9">#REF!</definedName>
    <definedName name="grade1" localSheetId="4">#REF!</definedName>
    <definedName name="grade1" localSheetId="24">#REF!</definedName>
    <definedName name="grade1" localSheetId="43">#REF!</definedName>
    <definedName name="grade1" localSheetId="8">#REF!</definedName>
    <definedName name="grade1" localSheetId="52">#REF!</definedName>
    <definedName name="grade1" localSheetId="7">#REF!</definedName>
    <definedName name="grade1">#REF!</definedName>
    <definedName name="grade2" localSheetId="23">#REF!</definedName>
    <definedName name="grade2" localSheetId="46">#REF!</definedName>
    <definedName name="grade2" localSheetId="47">#REF!</definedName>
    <definedName name="grade2" localSheetId="40">#REF!</definedName>
    <definedName name="grade2" localSheetId="44">#REF!</definedName>
    <definedName name="grade2" localSheetId="45">#REF!</definedName>
    <definedName name="grade2" localSheetId="21">#REF!</definedName>
    <definedName name="grade2" localSheetId="9">#REF!</definedName>
    <definedName name="grade2" localSheetId="4">#REF!</definedName>
    <definedName name="grade2" localSheetId="24">#REF!</definedName>
    <definedName name="grade2" localSheetId="43">#REF!</definedName>
    <definedName name="grade2" localSheetId="8">#REF!</definedName>
    <definedName name="grade2" localSheetId="52">#REF!</definedName>
    <definedName name="grade2" localSheetId="7">#REF!</definedName>
    <definedName name="grade2">#REF!</definedName>
    <definedName name="grade3" localSheetId="23">#REF!</definedName>
    <definedName name="grade3" localSheetId="46">#REF!</definedName>
    <definedName name="grade3" localSheetId="47">#REF!</definedName>
    <definedName name="grade3" localSheetId="40">#REF!</definedName>
    <definedName name="grade3" localSheetId="44">#REF!</definedName>
    <definedName name="grade3" localSheetId="45">#REF!</definedName>
    <definedName name="grade3" localSheetId="21">#REF!</definedName>
    <definedName name="grade3" localSheetId="9">#REF!</definedName>
    <definedName name="grade3" localSheetId="4">#REF!</definedName>
    <definedName name="grade3" localSheetId="24">#REF!</definedName>
    <definedName name="grade3" localSheetId="43">#REF!</definedName>
    <definedName name="grade3" localSheetId="8">#REF!</definedName>
    <definedName name="grade3" localSheetId="52">#REF!</definedName>
    <definedName name="grade3" localSheetId="7">#REF!</definedName>
    <definedName name="grade3">#REF!</definedName>
    <definedName name="granolithic_floor" localSheetId="21">#REF!</definedName>
    <definedName name="granolithic_floor" localSheetId="9">#REF!</definedName>
    <definedName name="granolithic_floor" localSheetId="4">#REF!</definedName>
    <definedName name="granolithic_floor" localSheetId="8">#REF!</definedName>
    <definedName name="granolithic_floor">#REF!</definedName>
    <definedName name="grant" localSheetId="21">#REF!</definedName>
    <definedName name="grant" localSheetId="9">#REF!</definedName>
    <definedName name="grant" localSheetId="4">#REF!</definedName>
    <definedName name="grant" localSheetId="8">#REF!</definedName>
    <definedName name="grant">#REF!</definedName>
    <definedName name="GRAVEL" localSheetId="23">#REF!</definedName>
    <definedName name="GRAVEL" localSheetId="46">#REF!</definedName>
    <definedName name="GRAVEL" localSheetId="47">#REF!</definedName>
    <definedName name="GRAVEL" localSheetId="40">#REF!</definedName>
    <definedName name="GRAVEL" localSheetId="44">#REF!</definedName>
    <definedName name="GRAVEL" localSheetId="45">#REF!</definedName>
    <definedName name="GRAVEL" localSheetId="21">#REF!</definedName>
    <definedName name="GRAVEL" localSheetId="9">#REF!</definedName>
    <definedName name="GRAVEL" localSheetId="4">#REF!</definedName>
    <definedName name="GRAVEL" localSheetId="24">#REF!</definedName>
    <definedName name="GRAVEL" localSheetId="43">#REF!</definedName>
    <definedName name="GRAVEL" localSheetId="8">#REF!</definedName>
    <definedName name="GRAVEL" localSheetId="52">#REF!</definedName>
    <definedName name="GRAVEL" localSheetId="7">#REF!</definedName>
    <definedName name="GRAVEL">#REF!</definedName>
    <definedName name="gravel_hc100" localSheetId="4">#REF!</definedName>
    <definedName name="gravel_hc100">#REF!</definedName>
    <definedName name="gravel_hc150" localSheetId="4">#REF!</definedName>
    <definedName name="gravel_hc150">#REF!</definedName>
    <definedName name="gravel_pick" localSheetId="4">#REF!</definedName>
    <definedName name="gravel_pick">#REF!</definedName>
    <definedName name="gravel_spr100" localSheetId="4">#REF!</definedName>
    <definedName name="gravel_spr100">#REF!</definedName>
    <definedName name="gravel_spr150" localSheetId="4">#REF!</definedName>
    <definedName name="gravel_spr150">#REF!</definedName>
    <definedName name="gravel_stack" localSheetId="4">#REF!</definedName>
    <definedName name="gravel_stack">#REF!</definedName>
    <definedName name="Grstone" localSheetId="21">#REF!</definedName>
    <definedName name="Grstone" localSheetId="9">#REF!</definedName>
    <definedName name="Grstone" localSheetId="4">#REF!</definedName>
    <definedName name="Grstone" localSheetId="8">#REF!</definedName>
    <definedName name="Grstone">#REF!</definedName>
    <definedName name="GRT">[81]DATA_PRG!$H$86</definedName>
    <definedName name="gs">#REF!</definedName>
    <definedName name="gsb" localSheetId="21">#REF!</definedName>
    <definedName name="gsb" localSheetId="9">#REF!</definedName>
    <definedName name="gsb" localSheetId="4">#REF!</definedName>
    <definedName name="gsb" localSheetId="10">#REF!</definedName>
    <definedName name="gsb" localSheetId="8">#REF!</definedName>
    <definedName name="gsb">#REF!</definedName>
    <definedName name="GSN" localSheetId="21">'[83]MTC-estimate'!$I$9</definedName>
    <definedName name="GSN" localSheetId="9">'[83]MTC-estimate'!$I$9</definedName>
    <definedName name="GSN" localSheetId="4">'[83]MTC-estimate'!$I$9</definedName>
    <definedName name="GSN" localSheetId="8">'[83]MTC-estimate'!$I$9</definedName>
    <definedName name="GSN">#REF!</definedName>
    <definedName name="GSP" localSheetId="21">[43]DATA!$H$233</definedName>
    <definedName name="GSP" localSheetId="9">[43]DATA!$H$233</definedName>
    <definedName name="GSP" localSheetId="4">[42]DATA!$H$233</definedName>
    <definedName name="GSP" localSheetId="8">[43]DATA!$H$233</definedName>
    <definedName name="GSP" localSheetId="7">#REF!</definedName>
    <definedName name="GSP">#REF!</definedName>
    <definedName name="gtyio" localSheetId="21">[119]Material!$D$70</definedName>
    <definedName name="gtyio" localSheetId="9">[119]Material!$D$70</definedName>
    <definedName name="gtyio" localSheetId="4">[119]Material!$D$70</definedName>
    <definedName name="gtyio" localSheetId="10">#REF!</definedName>
    <definedName name="gtyio" localSheetId="8">[119]Material!$D$70</definedName>
    <definedName name="gtyio">#REF!</definedName>
    <definedName name="GULOADING" localSheetId="23">#REF!</definedName>
    <definedName name="GULOADING" localSheetId="46">#REF!</definedName>
    <definedName name="GULOADING" localSheetId="47">#REF!</definedName>
    <definedName name="GULOADING" localSheetId="40">#REF!</definedName>
    <definedName name="GULOADING" localSheetId="44">#REF!</definedName>
    <definedName name="GULOADING" localSheetId="45">#REF!</definedName>
    <definedName name="GULOADING" localSheetId="21">#REF!</definedName>
    <definedName name="GULOADING" localSheetId="9">#REF!</definedName>
    <definedName name="GULOADING" localSheetId="4">#REF!</definedName>
    <definedName name="GULOADING" localSheetId="24">#REF!</definedName>
    <definedName name="GULOADING" localSheetId="43">#REF!</definedName>
    <definedName name="GULOADING" localSheetId="8">#REF!</definedName>
    <definedName name="GULOADING" localSheetId="52">#REF!</definedName>
    <definedName name="GULOADING" localSheetId="7">#REF!</definedName>
    <definedName name="GULOADING">#REF!</definedName>
    <definedName name="Gunduvarigudem" localSheetId="21">#REF!</definedName>
    <definedName name="Gunduvarigudem" localSheetId="9">#REF!</definedName>
    <definedName name="Gunduvarigudem" localSheetId="4">#REF!</definedName>
    <definedName name="Gunduvarigudem" localSheetId="8">#REF!</definedName>
    <definedName name="Gunduvarigudem">#REF!</definedName>
    <definedName name="gyfc" localSheetId="21">#REF!</definedName>
    <definedName name="gyfc" localSheetId="9">#REF!</definedName>
    <definedName name="gyfc" localSheetId="4">#REF!</definedName>
    <definedName name="gyfc" localSheetId="8">#REF!</definedName>
    <definedName name="gyfc">#REF!</definedName>
    <definedName name="H" localSheetId="21" hidden="1">{"'ridftotal'!$A$4:$S$27"}</definedName>
    <definedName name="H" localSheetId="9" hidden="1">{"'ridftotal'!$A$4:$S$27"}</definedName>
    <definedName name="H" localSheetId="4" hidden="1">{"'ridftotal'!$A$4:$S$27"}</definedName>
    <definedName name="H" localSheetId="10" hidden="1">{"'ridftotal'!$A$4:$S$27"}</definedName>
    <definedName name="H" localSheetId="8" hidden="1">{"'ridftotal'!$A$4:$S$27"}</definedName>
    <definedName name="H" hidden="1">{"'ridftotal'!$A$4:$S$27"}</definedName>
    <definedName name="Ha">[67]Sheet2!$H$218</definedName>
    <definedName name="hab_information">#REF!</definedName>
    <definedName name="Hab_Survey_All_Sources">#REF!</definedName>
    <definedName name="Habitaions_Final">#REF!</definedName>
    <definedName name="habs">#REF!</definedName>
    <definedName name="hai" localSheetId="21">#REF!</definedName>
    <definedName name="hai" localSheetId="9">#REF!</definedName>
    <definedName name="hai" localSheetId="4">#REF!</definedName>
    <definedName name="hai" localSheetId="8">#REF!</definedName>
    <definedName name="hai">#REF!</definedName>
    <definedName name="hallo" localSheetId="21">[132]m!$A$2</definedName>
    <definedName name="hallo" localSheetId="9">[132]m!$A$2</definedName>
    <definedName name="hallo" localSheetId="4">[94]m!$A$2</definedName>
    <definedName name="hallo" localSheetId="8">[132]m!$A$2</definedName>
    <definedName name="hallo">#REF!</definedName>
    <definedName name="hbgl">#REF!</definedName>
    <definedName name="HC">#REF!</definedName>
    <definedName name="hd">#REF!</definedName>
    <definedName name="HDFGF">#REF!</definedName>
    <definedName name="HDM_III_INPUT_DATA" localSheetId="21">'[68]Bitumen trunk'!$BO$1:$DI$196</definedName>
    <definedName name="HDM_III_INPUT_DATA" localSheetId="9">'[68]Bitumen trunk'!$BO$1:$DI$196</definedName>
    <definedName name="HDM_III_INPUT_DATA" localSheetId="4">'[68]Bitumen trunk'!$BO$1:$DI$196</definedName>
    <definedName name="HDM_III_INPUT_DATA" localSheetId="8">'[68]Bitumen trunk'!$BO$1:$DI$196</definedName>
    <definedName name="HDM_III_INPUT_DATA">#REF!</definedName>
    <definedName name="HDPE" localSheetId="21">[133]detls!$A$3:$O$18</definedName>
    <definedName name="HDPE" localSheetId="9">[133]detls!$A$3:$O$18</definedName>
    <definedName name="HDPE" localSheetId="4">[133]detls!$A$3:$O$18</definedName>
    <definedName name="HDPE" localSheetId="8">[133]detls!$A$3:$O$18</definedName>
    <definedName name="HDPE">#REF!</definedName>
    <definedName name="hdperates">#REF!</definedName>
    <definedName name="hdpewts" localSheetId="21">'[134]hdpe weights'!$B$1:$F$53</definedName>
    <definedName name="hdpewts" localSheetId="9">'[134]hdpe weights'!$B$1:$F$53</definedName>
    <definedName name="hdpewts" localSheetId="4">'[134]hdpe weights'!$B$1:$F$53</definedName>
    <definedName name="hdpewts" localSheetId="8">'[134]hdpe weights'!$B$1:$F$53</definedName>
    <definedName name="hdpewts">#REF!</definedName>
    <definedName name="hf" localSheetId="21">#REF!</definedName>
    <definedName name="hf" localSheetId="9">#REF!</definedName>
    <definedName name="hf" localSheetId="4">#REF!</definedName>
    <definedName name="hf" localSheetId="8">#REF!</definedName>
    <definedName name="hf">#REF!</definedName>
    <definedName name="hg">#REF!</definedName>
    <definedName name="hggg" localSheetId="21">[135]Material!$D$17</definedName>
    <definedName name="hggg" localSheetId="9">[135]Material!$D$17</definedName>
    <definedName name="hggg" localSheetId="4">[135]Material!$D$17</definedName>
    <definedName name="hggg" localSheetId="10">#REF!</definedName>
    <definedName name="hggg" localSheetId="8">[135]Material!$D$17</definedName>
    <definedName name="hggg" localSheetId="7">#REF!</definedName>
    <definedName name="hggg">#REF!</definedName>
    <definedName name="hgle" localSheetId="23">#REF!</definedName>
    <definedName name="hgle" localSheetId="46">#REF!</definedName>
    <definedName name="hgle" localSheetId="47">#REF!</definedName>
    <definedName name="hgle" localSheetId="40">#REF!</definedName>
    <definedName name="hgle" localSheetId="44">#REF!</definedName>
    <definedName name="hgle" localSheetId="45">#REF!</definedName>
    <definedName name="hgle" localSheetId="21">#REF!</definedName>
    <definedName name="hgle" localSheetId="9">#REF!</definedName>
    <definedName name="hgle" localSheetId="4">#REF!</definedName>
    <definedName name="hgle" localSheetId="24">#REF!</definedName>
    <definedName name="hgle" localSheetId="41">#REF!</definedName>
    <definedName name="hgle" localSheetId="43">#REF!</definedName>
    <definedName name="hgle" localSheetId="8">#REF!</definedName>
    <definedName name="hgle" localSheetId="16">#REF!</definedName>
    <definedName name="hgle" localSheetId="12">#REF!</definedName>
    <definedName name="hgle" localSheetId="14">#REF!</definedName>
    <definedName name="hgle" localSheetId="1">#REF!</definedName>
    <definedName name="hgle" localSheetId="13">#REF!</definedName>
    <definedName name="hgle" localSheetId="52">#REF!</definedName>
    <definedName name="hgle" localSheetId="7">#REF!</definedName>
    <definedName name="hgle" localSheetId="15">#REF!</definedName>
    <definedName name="hgle" localSheetId="11">#REF!</definedName>
    <definedName name="hgle" localSheetId="2">#REF!</definedName>
    <definedName name="hgle" localSheetId="0">#REF!</definedName>
    <definedName name="hgle">#REF!</definedName>
    <definedName name="hgle1">#REF!</definedName>
    <definedName name="HH" localSheetId="7">#REF!</definedName>
    <definedName name="hh">#REF!</definedName>
    <definedName name="HI">#REF!</definedName>
    <definedName name="HiddenRows" localSheetId="21" hidden="1">#REF!</definedName>
    <definedName name="HiddenRows" localSheetId="9" hidden="1">#REF!</definedName>
    <definedName name="HiddenRows" localSheetId="4" hidden="1">#REF!</definedName>
    <definedName name="HiddenRows" localSheetId="10" hidden="1">#REF!</definedName>
    <definedName name="HiddenRows" localSheetId="8" hidden="1">#REF!</definedName>
    <definedName name="HiddenRows" hidden="1">#REF!</definedName>
    <definedName name="HIFINI">#REF!</definedName>
    <definedName name="his">#REF!</definedName>
    <definedName name="HJ" localSheetId="21" hidden="1">{"'ridftotal'!$A$4:$S$27"}</definedName>
    <definedName name="HJ" localSheetId="9" hidden="1">{"'ridftotal'!$A$4:$S$27"}</definedName>
    <definedName name="HJ" localSheetId="4" hidden="1">{"'ridftotal'!$A$4:$S$27"}</definedName>
    <definedName name="HJ" localSheetId="10" hidden="1">{"'ridftotal'!$A$4:$S$27"}</definedName>
    <definedName name="HJ" localSheetId="8" hidden="1">{"'ridftotal'!$A$4:$S$27"}</definedName>
    <definedName name="HJ" hidden="1">{"'ridftotal'!$A$4:$S$27"}</definedName>
    <definedName name="hmc" localSheetId="4">#REF!</definedName>
    <definedName name="hmc">#REF!</definedName>
    <definedName name="Hname">#REF!</definedName>
    <definedName name="hot_maz" localSheetId="4">#REF!</definedName>
    <definedName name="hot_maz">#REF!</definedName>
    <definedName name="Hs">#REF!</definedName>
    <definedName name="hso">#REF!</definedName>
    <definedName name="hsp">#REF!</definedName>
    <definedName name="Ht">#REF!</definedName>
    <definedName name="HTML_CodePage" hidden="1">1252</definedName>
    <definedName name="HTML_Control" localSheetId="21" hidden="1">{"'ridftotal'!$A$4:$S$27"}</definedName>
    <definedName name="HTML_Control" localSheetId="9" hidden="1">{"'ridftotal'!$A$4:$S$27"}</definedName>
    <definedName name="HTML_Control" localSheetId="4" hidden="1">{"'ridftotal'!$A$4:$S$27"}</definedName>
    <definedName name="HTML_Control" localSheetId="10" hidden="1">{"'ridftotal'!$A$4:$S$27"}</definedName>
    <definedName name="HTML_Control" localSheetId="8" hidden="1">{"'ridftotal'!$A$4:$S$27"}</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humepipe1200">#REF!</definedName>
    <definedName name="humepipenp3">#REF!</definedName>
    <definedName name="HY" localSheetId="21">#REF!</definedName>
    <definedName name="HY" localSheetId="9">#REF!</definedName>
    <definedName name="HY" localSheetId="4">#REF!</definedName>
    <definedName name="HY" localSheetId="8">#REF!</definedName>
    <definedName name="hy">#REF!</definedName>
    <definedName name="HYD_EXCAVATOR" localSheetId="21">#REF!</definedName>
    <definedName name="HYD_EXCAVATOR" localSheetId="9">#REF!</definedName>
    <definedName name="HYD_EXCAVATOR" localSheetId="4">#REF!</definedName>
    <definedName name="HYD_EXCAVATOR" localSheetId="8">#REF!</definedName>
    <definedName name="HYD_EXCAVATOR">#REF!</definedName>
    <definedName name="HYSD" localSheetId="21">#REF!</definedName>
    <definedName name="HYSD" localSheetId="9">#REF!</definedName>
    <definedName name="HYSD" localSheetId="4">#REF!</definedName>
    <definedName name="HYSD" localSheetId="8">#REF!</definedName>
    <definedName name="HYSD">#REF!</definedName>
    <definedName name="HYT" localSheetId="21">'[119]Plant &amp;  Machinery'!$G$4</definedName>
    <definedName name="HYT" localSheetId="9">'[119]Plant &amp;  Machinery'!$G$4</definedName>
    <definedName name="HYT" localSheetId="4">'[119]Plant &amp;  Machinery'!$G$4</definedName>
    <definedName name="HYT" localSheetId="10">#REF!</definedName>
    <definedName name="HYT" localSheetId="8">'[119]Plant &amp;  Machinery'!$G$4</definedName>
    <definedName name="HYT">#REF!</definedName>
    <definedName name="i" localSheetId="21">[136]Lead!#REF!</definedName>
    <definedName name="i" localSheetId="9">[136]Lead!#REF!</definedName>
    <definedName name="i" localSheetId="4">[136]Lead!#REF!</definedName>
    <definedName name="i" localSheetId="10">#REF!</definedName>
    <definedName name="i" localSheetId="8">[136]Lead!#REF!</definedName>
    <definedName name="i">#REF!</definedName>
    <definedName name="id" localSheetId="23">#REF!</definedName>
    <definedName name="id" localSheetId="46">#REF!</definedName>
    <definedName name="id" localSheetId="47">#REF!</definedName>
    <definedName name="id" localSheetId="40">#REF!</definedName>
    <definedName name="id" localSheetId="44">#REF!</definedName>
    <definedName name="id" localSheetId="45">#REF!</definedName>
    <definedName name="id" localSheetId="21">#REF!</definedName>
    <definedName name="id" localSheetId="9">#REF!</definedName>
    <definedName name="id" localSheetId="4">#REF!</definedName>
    <definedName name="id" localSheetId="24">#REF!</definedName>
    <definedName name="id" localSheetId="41">#REF!</definedName>
    <definedName name="id" localSheetId="43">#REF!</definedName>
    <definedName name="id" localSheetId="8">#REF!</definedName>
    <definedName name="id" localSheetId="16">#REF!</definedName>
    <definedName name="id" localSheetId="12">#REF!</definedName>
    <definedName name="id" localSheetId="14">#REF!</definedName>
    <definedName name="id" localSheetId="1">#REF!</definedName>
    <definedName name="id" localSheetId="13">#REF!</definedName>
    <definedName name="id" localSheetId="52">#REF!</definedName>
    <definedName name="id" localSheetId="7">#REF!</definedName>
    <definedName name="id" localSheetId="15">#REF!</definedName>
    <definedName name="id" localSheetId="11">#REF!</definedName>
    <definedName name="id" localSheetId="2">#REF!</definedName>
    <definedName name="id" localSheetId="0">#REF!</definedName>
    <definedName name="id">#REF!</definedName>
    <definedName name="id10.0" localSheetId="23">#REF!</definedName>
    <definedName name="id10.0" localSheetId="46">#REF!</definedName>
    <definedName name="id10.0" localSheetId="47">#REF!</definedName>
    <definedName name="id10.0" localSheetId="40">#REF!</definedName>
    <definedName name="id10.0" localSheetId="44">#REF!</definedName>
    <definedName name="id10.0" localSheetId="45">#REF!</definedName>
    <definedName name="id10.0" localSheetId="21">#REF!</definedName>
    <definedName name="id10.0" localSheetId="9">#REF!</definedName>
    <definedName name="id10.0" localSheetId="4">#REF!</definedName>
    <definedName name="id10.0" localSheetId="24">#REF!</definedName>
    <definedName name="id10.0" localSheetId="41">#REF!</definedName>
    <definedName name="id10.0" localSheetId="43">#REF!</definedName>
    <definedName name="id10.0" localSheetId="8">#REF!</definedName>
    <definedName name="id10.0" localSheetId="16">#REF!</definedName>
    <definedName name="id10.0" localSheetId="12">#REF!</definedName>
    <definedName name="id10.0" localSheetId="14">#REF!</definedName>
    <definedName name="id10.0" localSheetId="1">#REF!</definedName>
    <definedName name="id10.0" localSheetId="13">#REF!</definedName>
    <definedName name="id10.0" localSheetId="52">#REF!</definedName>
    <definedName name="id10.0" localSheetId="7">#REF!</definedName>
    <definedName name="id10.0" localSheetId="15">#REF!</definedName>
    <definedName name="id10.0" localSheetId="11">#REF!</definedName>
    <definedName name="id10.0" localSheetId="2">#REF!</definedName>
    <definedName name="id10.0" localSheetId="0">#REF!</definedName>
    <definedName name="id10.0">#REF!</definedName>
    <definedName name="id2.5" localSheetId="23">#REF!</definedName>
    <definedName name="id2.5" localSheetId="46">#REF!</definedName>
    <definedName name="id2.5" localSheetId="47">#REF!</definedName>
    <definedName name="id2.5" localSheetId="40">#REF!</definedName>
    <definedName name="id2.5" localSheetId="44">#REF!</definedName>
    <definedName name="id2.5" localSheetId="45">#REF!</definedName>
    <definedName name="id2.5" localSheetId="21">#REF!</definedName>
    <definedName name="id2.5" localSheetId="9">#REF!</definedName>
    <definedName name="id2.5" localSheetId="4">#REF!</definedName>
    <definedName name="id2.5" localSheetId="24">#REF!</definedName>
    <definedName name="id2.5" localSheetId="41">#REF!</definedName>
    <definedName name="id2.5" localSheetId="43">#REF!</definedName>
    <definedName name="id2.5" localSheetId="8">#REF!</definedName>
    <definedName name="id2.5" localSheetId="16">#REF!</definedName>
    <definedName name="id2.5" localSheetId="12">#REF!</definedName>
    <definedName name="id2.5" localSheetId="14">#REF!</definedName>
    <definedName name="id2.5" localSheetId="1">#REF!</definedName>
    <definedName name="id2.5" localSheetId="13">#REF!</definedName>
    <definedName name="id2.5" localSheetId="52">#REF!</definedName>
    <definedName name="id2.5" localSheetId="7">#REF!</definedName>
    <definedName name="id2.5" localSheetId="15">#REF!</definedName>
    <definedName name="id2.5" localSheetId="11">#REF!</definedName>
    <definedName name="id2.5" localSheetId="2">#REF!</definedName>
    <definedName name="id2.5" localSheetId="0">#REF!</definedName>
    <definedName name="id2.5">#REF!</definedName>
    <definedName name="id4.0" localSheetId="23">#REF!</definedName>
    <definedName name="id4.0" localSheetId="46">#REF!</definedName>
    <definedName name="id4.0" localSheetId="47">#REF!</definedName>
    <definedName name="id4.0" localSheetId="40">#REF!</definedName>
    <definedName name="id4.0" localSheetId="44">#REF!</definedName>
    <definedName name="id4.0" localSheetId="45">#REF!</definedName>
    <definedName name="id4.0" localSheetId="21">#REF!</definedName>
    <definedName name="id4.0" localSheetId="9">#REF!</definedName>
    <definedName name="id4.0" localSheetId="4">#REF!</definedName>
    <definedName name="id4.0" localSheetId="24">#REF!</definedName>
    <definedName name="id4.0" localSheetId="41">#REF!</definedName>
    <definedName name="id4.0" localSheetId="43">#REF!</definedName>
    <definedName name="id4.0" localSheetId="8">#REF!</definedName>
    <definedName name="id4.0" localSheetId="16">#REF!</definedName>
    <definedName name="id4.0" localSheetId="12">#REF!</definedName>
    <definedName name="id4.0" localSheetId="14">#REF!</definedName>
    <definedName name="id4.0" localSheetId="1">#REF!</definedName>
    <definedName name="id4.0" localSheetId="13">#REF!</definedName>
    <definedName name="id4.0" localSheetId="52">#REF!</definedName>
    <definedName name="id4.0" localSheetId="7">#REF!</definedName>
    <definedName name="id4.0" localSheetId="15">#REF!</definedName>
    <definedName name="id4.0" localSheetId="11">#REF!</definedName>
    <definedName name="id4.0" localSheetId="2">#REF!</definedName>
    <definedName name="id4.0" localSheetId="0">#REF!</definedName>
    <definedName name="id4.0">#REF!</definedName>
    <definedName name="id6.0" localSheetId="23">#REF!</definedName>
    <definedName name="id6.0" localSheetId="46">#REF!</definedName>
    <definedName name="id6.0" localSheetId="47">#REF!</definedName>
    <definedName name="id6.0" localSheetId="40">#REF!</definedName>
    <definedName name="id6.0" localSheetId="44">#REF!</definedName>
    <definedName name="id6.0" localSheetId="45">#REF!</definedName>
    <definedName name="id6.0" localSheetId="21">#REF!</definedName>
    <definedName name="id6.0" localSheetId="9">#REF!</definedName>
    <definedName name="id6.0" localSheetId="4">#REF!</definedName>
    <definedName name="id6.0" localSheetId="24">#REF!</definedName>
    <definedName name="id6.0" localSheetId="41">#REF!</definedName>
    <definedName name="id6.0" localSheetId="43">#REF!</definedName>
    <definedName name="id6.0" localSheetId="8">#REF!</definedName>
    <definedName name="id6.0" localSheetId="16">#REF!</definedName>
    <definedName name="id6.0" localSheetId="12">#REF!</definedName>
    <definedName name="id6.0" localSheetId="14">#REF!</definedName>
    <definedName name="id6.0" localSheetId="1">#REF!</definedName>
    <definedName name="id6.0" localSheetId="13">#REF!</definedName>
    <definedName name="id6.0" localSheetId="52">#REF!</definedName>
    <definedName name="id6.0" localSheetId="7">#REF!</definedName>
    <definedName name="id6.0" localSheetId="15">#REF!</definedName>
    <definedName name="id6.0" localSheetId="11">#REF!</definedName>
    <definedName name="id6.0" localSheetId="2">#REF!</definedName>
    <definedName name="id6.0" localSheetId="0">#REF!</definedName>
    <definedName name="id6.0">#REF!</definedName>
    <definedName name="id8.0">#REF!</definedName>
    <definedName name="iiii" localSheetId="21">[109]Labour!$D$5</definedName>
    <definedName name="iiii" localSheetId="9">[109]Labour!$D$5</definedName>
    <definedName name="iiii" localSheetId="4">[109]Labour!$D$5</definedName>
    <definedName name="iiii" localSheetId="8">[109]Labour!$D$5</definedName>
    <definedName name="iiii">#REF!</definedName>
    <definedName name="IK" localSheetId="21" hidden="1">{"'ridftotal'!$A$4:$S$27"}</definedName>
    <definedName name="IK" localSheetId="9" hidden="1">{"'ridftotal'!$A$4:$S$27"}</definedName>
    <definedName name="IK" localSheetId="4" hidden="1">{"'ridftotal'!$A$4:$S$27"}</definedName>
    <definedName name="IK" localSheetId="10" hidden="1">{"'ridftotal'!$A$4:$S$27"}</definedName>
    <definedName name="IK" localSheetId="8" hidden="1">{"'ridftotal'!$A$4:$S$27"}</definedName>
    <definedName name="IK" hidden="1">{"'ridftotal'!$A$4:$S$27"}</definedName>
    <definedName name="imp" localSheetId="21">[137]Sheet5!#REF!</definedName>
    <definedName name="imp" localSheetId="9">[137]Sheet5!#REF!</definedName>
    <definedName name="imp" localSheetId="4">[137]Sheet5!#REF!</definedName>
    <definedName name="imp" localSheetId="8">[137]Sheet5!#REF!</definedName>
    <definedName name="imp">#REF!</definedName>
    <definedName name="impervious_coat" localSheetId="21">#REF!</definedName>
    <definedName name="impervious_coat" localSheetId="9">#REF!</definedName>
    <definedName name="impervious_coat" localSheetId="4">#REF!</definedName>
    <definedName name="impervious_coat" localSheetId="8">#REF!</definedName>
    <definedName name="impervious_coat">#REF!</definedName>
    <definedName name="Index" localSheetId="21" hidden="1">{"'ridftotal'!$A$4:$S$27"}</definedName>
    <definedName name="Index" localSheetId="9" hidden="1">{"'ridftotal'!$A$4:$S$27"}</definedName>
    <definedName name="Index" localSheetId="4" hidden="1">{"'ridftotal'!$A$4:$S$27"}</definedName>
    <definedName name="Index" localSheetId="10" hidden="1">{"'ridftotal'!$A$4:$S$27"}</definedName>
    <definedName name="Index" localSheetId="8" hidden="1">{"'ridftotal'!$A$4:$S$27"}</definedName>
    <definedName name="Index" hidden="1">{"'ridftotal'!$A$4:$S$27"}</definedName>
    <definedName name="interlocking" localSheetId="21">#REF!</definedName>
    <definedName name="interlocking" localSheetId="9">#REF!</definedName>
    <definedName name="interlocking" localSheetId="4">#REF!</definedName>
    <definedName name="interlocking" localSheetId="8">#REF!</definedName>
    <definedName name="interlocking">#REF!</definedName>
    <definedName name="isolatedworks">#REF!</definedName>
    <definedName name="item" localSheetId="21">[107]maya!$A$69:$A$107</definedName>
    <definedName name="item" localSheetId="9">[107]maya!$A$69:$A$107</definedName>
    <definedName name="item" localSheetId="4">[107]maya!$A$69:$A$107</definedName>
    <definedName name="item" localSheetId="8">[107]maya!$A$69:$A$107</definedName>
    <definedName name="item">#REF!</definedName>
    <definedName name="iuiu" localSheetId="21">[138]Material!$D$88</definedName>
    <definedName name="iuiu" localSheetId="9">[138]Material!$D$88</definedName>
    <definedName name="iuiu" localSheetId="4">[138]Material!$D$88</definedName>
    <definedName name="iuiu" localSheetId="8">[138]Material!$D$88</definedName>
    <definedName name="iuiu">#REF!</definedName>
    <definedName name="iut">#REF!</definedName>
    <definedName name="j" localSheetId="21">[139]leads!$A$3:$E$108</definedName>
    <definedName name="j" localSheetId="9">[139]leads!$A$3:$E$108</definedName>
    <definedName name="j" localSheetId="4">[139]leads!$A$3:$E$108</definedName>
    <definedName name="j" localSheetId="8">[139]leads!$A$3:$E$108</definedName>
    <definedName name="j">#REF!</definedName>
    <definedName name="Jakkannapet" localSheetId="21">[140]Material!$D$117</definedName>
    <definedName name="Jakkannapet" localSheetId="9">[140]Material!$D$117</definedName>
    <definedName name="Jakkannapet" localSheetId="4">[140]Material!$D$117</definedName>
    <definedName name="Jakkannapet" localSheetId="8">[140]Material!$D$117</definedName>
    <definedName name="Jakkannapet" localSheetId="7">#REF!</definedName>
    <definedName name="Jakkannapet">#REF!</definedName>
    <definedName name="Javeed">#REF!</definedName>
    <definedName name="JBcode_14dig">#REF!</definedName>
    <definedName name="jd">#REF!</definedName>
    <definedName name="jfjfj">#REF!</definedName>
    <definedName name="jk" localSheetId="21" hidden="1">{"'ridftotal'!$A$4:$S$27"}</definedName>
    <definedName name="jk" localSheetId="9" hidden="1">{"'ridftotal'!$A$4:$S$27"}</definedName>
    <definedName name="jk" localSheetId="4" hidden="1">{"'ridftotal'!$A$4:$S$27"}</definedName>
    <definedName name="jk" localSheetId="10" hidden="1">{"'ridftotal'!$A$4:$S$27"}</definedName>
    <definedName name="jk" localSheetId="8" hidden="1">{"'ridftotal'!$A$4:$S$27"}</definedName>
    <definedName name="jk" hidden="1">{"'ridftotal'!$A$4:$S$27"}</definedName>
    <definedName name="JUNGLE" localSheetId="23">#REF!</definedName>
    <definedName name="JUNGLE" localSheetId="46">#REF!</definedName>
    <definedName name="JUNGLE" localSheetId="47">#REF!</definedName>
    <definedName name="JUNGLE" localSheetId="40">#REF!</definedName>
    <definedName name="JUNGLE" localSheetId="44">#REF!</definedName>
    <definedName name="JUNGLE" localSheetId="45">#REF!</definedName>
    <definedName name="JUNGLE" localSheetId="21">#REF!</definedName>
    <definedName name="JUNGLE" localSheetId="9">#REF!</definedName>
    <definedName name="JUNGLE" localSheetId="4">#REF!</definedName>
    <definedName name="JUNGLE" localSheetId="24">#REF!</definedName>
    <definedName name="JUNGLE" localSheetId="41">#REF!</definedName>
    <definedName name="JUNGLE" localSheetId="43">#REF!</definedName>
    <definedName name="JUNGLE" localSheetId="8">#REF!</definedName>
    <definedName name="JUNGLE" localSheetId="16">#REF!</definedName>
    <definedName name="JUNGLE" localSheetId="12">#REF!</definedName>
    <definedName name="JUNGLE" localSheetId="14">#REF!</definedName>
    <definedName name="JUNGLE" localSheetId="1">#REF!</definedName>
    <definedName name="JUNGLE" localSheetId="13">#REF!</definedName>
    <definedName name="JUNGLE" localSheetId="52">#REF!</definedName>
    <definedName name="JUNGLE" localSheetId="7">#REF!</definedName>
    <definedName name="JUNGLE" localSheetId="15">#REF!</definedName>
    <definedName name="JUNGLE" localSheetId="11">#REF!</definedName>
    <definedName name="JUNGLE" localSheetId="2">#REF!</definedName>
    <definedName name="JUNGLE" localSheetId="0">#REF!</definedName>
    <definedName name="JUNGLE">#REF!</definedName>
    <definedName name="JVSTONE" localSheetId="21">[102]Leads!$Q$9</definedName>
    <definedName name="JVSTONE" localSheetId="9">[102]Leads!$Q$9</definedName>
    <definedName name="JVSTONE" localSheetId="4">[102]Leads!$Q$9</definedName>
    <definedName name="JVSTONE" localSheetId="8">[102]Leads!$Q$9</definedName>
    <definedName name="JVSTONE">#REF!</definedName>
    <definedName name="k" localSheetId="21">#REF!</definedName>
    <definedName name="k" localSheetId="9">#REF!</definedName>
    <definedName name="k" localSheetId="4">#REF!</definedName>
    <definedName name="k" localSheetId="10">#REF!</definedName>
    <definedName name="k" localSheetId="8">#REF!</definedName>
    <definedName name="k" localSheetId="52">#REF!</definedName>
    <definedName name="k" localSheetId="7">#REF!</definedName>
    <definedName name="k">#REF!</definedName>
    <definedName name="Ka" localSheetId="21">[67]Sheet2!$H$254</definedName>
    <definedName name="Ka" localSheetId="9">[67]Sheet2!$H$254</definedName>
    <definedName name="Ka" localSheetId="4">[67]Sheet2!$H$254</definedName>
    <definedName name="Ka" localSheetId="8">[67]Sheet2!$H$254</definedName>
    <definedName name="ka">#REF!</definedName>
    <definedName name="KADA" localSheetId="21" hidden="1">{"'ridftotal'!$A$4:$S$27"}</definedName>
    <definedName name="KADA" localSheetId="9" hidden="1">{"'ridftotal'!$A$4:$S$27"}</definedName>
    <definedName name="KADA" localSheetId="4" hidden="1">{"'ridftotal'!$A$4:$S$27"}</definedName>
    <definedName name="KADA" localSheetId="8" hidden="1">{"'ridftotal'!$A$4:$S$27"}</definedName>
    <definedName name="KADA" hidden="1">{"'ridftotal'!$A$4:$S$27"}</definedName>
    <definedName name="kADAPA" localSheetId="21" hidden="1">{"'ridftotal'!$A$4:$S$27"}</definedName>
    <definedName name="kADAPA" localSheetId="9" hidden="1">{"'ridftotal'!$A$4:$S$27"}</definedName>
    <definedName name="kADAPA" localSheetId="4" hidden="1">{"'ridftotal'!$A$4:$S$27"}</definedName>
    <definedName name="kADAPA" localSheetId="8" hidden="1">{"'ridftotal'!$A$4:$S$27"}</definedName>
    <definedName name="kADAPA" hidden="1">{"'ridftotal'!$A$4:$S$27"}</definedName>
    <definedName name="KFJ">[81]DATA_PRG!$H$180</definedName>
    <definedName name="KIOP" localSheetId="21">[119]Material!$D$47</definedName>
    <definedName name="KIOP" localSheetId="9">[119]Material!$D$47</definedName>
    <definedName name="KIOP" localSheetId="4">[119]Material!$D$47</definedName>
    <definedName name="KIOP" localSheetId="10">#REF!</definedName>
    <definedName name="KIOP" localSheetId="8">[119]Material!$D$47</definedName>
    <definedName name="KIOP">#REF!</definedName>
    <definedName name="KJ" localSheetId="21" hidden="1">{"'ridftotal'!$A$4:$S$27"}</definedName>
    <definedName name="KJ" localSheetId="9" hidden="1">{"'ridftotal'!$A$4:$S$27"}</definedName>
    <definedName name="KJ" localSheetId="4" hidden="1">{"'ridftotal'!$A$4:$S$27"}</definedName>
    <definedName name="KJ" localSheetId="10" hidden="1">{"'ridftotal'!$A$4:$S$27"}</definedName>
    <definedName name="KJ" localSheetId="8" hidden="1">{"'ridftotal'!$A$4:$S$27"}</definedName>
    <definedName name="KJ" hidden="1">{"'ridftotal'!$A$4:$S$27"}</definedName>
    <definedName name="KK" localSheetId="21">[81]DATA_PRG!$H$211</definedName>
    <definedName name="KK" localSheetId="9">[81]DATA_PRG!$H$211</definedName>
    <definedName name="KK" localSheetId="4">[81]DATA_PRG!$H$211</definedName>
    <definedName name="kk" localSheetId="10">#REF!</definedName>
    <definedName name="KK" localSheetId="8">[81]DATA_PRG!$H$211</definedName>
    <definedName name="kk">#REF!</definedName>
    <definedName name="kkkk" localSheetId="21">[141]Labour!$D$17</definedName>
    <definedName name="kkkk" localSheetId="9">[141]Labour!$D$17</definedName>
    <definedName name="kkkk" localSheetId="4">[141]Labour!$D$17</definedName>
    <definedName name="kkkk" localSheetId="8">[141]Labour!$D$17</definedName>
    <definedName name="kkkk" localSheetId="7">#REF!</definedName>
    <definedName name="kkkk">#REF!</definedName>
    <definedName name="kkkkkk" localSheetId="21">[101]Material!$D$117</definedName>
    <definedName name="kkkkkk" localSheetId="9">[101]Material!$D$117</definedName>
    <definedName name="kkkkkk" localSheetId="4">[101]Material!$D$117</definedName>
    <definedName name="kkkkkk" localSheetId="8">[101]Material!$D$117</definedName>
    <definedName name="kkkkkk">#REF!</definedName>
    <definedName name="kkkkkkkkkkkk">#REF!</definedName>
    <definedName name="kl" localSheetId="21">[129]Labour!$D$3</definedName>
    <definedName name="kl" localSheetId="9">[129]Labour!$D$3</definedName>
    <definedName name="kl" localSheetId="4">[129]Labour!$D$3</definedName>
    <definedName name="kl" localSheetId="8">[129]Labour!$D$3</definedName>
    <definedName name="kl">#REF!</definedName>
    <definedName name="km">#REF!</definedName>
    <definedName name="km10th" localSheetId="21">#REF!</definedName>
    <definedName name="km10th" localSheetId="9">#REF!</definedName>
    <definedName name="km10th" localSheetId="4">#REF!</definedName>
    <definedName name="km10th" localSheetId="10">#REF!</definedName>
    <definedName name="km10th" localSheetId="8">#REF!</definedName>
    <definedName name="km10th">#REF!</definedName>
    <definedName name="km11th" localSheetId="21">#REF!</definedName>
    <definedName name="km11th" localSheetId="9">#REF!</definedName>
    <definedName name="km11th" localSheetId="4">#REF!</definedName>
    <definedName name="km11th" localSheetId="10">#REF!</definedName>
    <definedName name="km11th" localSheetId="8">#REF!</definedName>
    <definedName name="km11th">#REF!</definedName>
    <definedName name="km12th" localSheetId="21">#REF!</definedName>
    <definedName name="km12th" localSheetId="9">#REF!</definedName>
    <definedName name="km12th" localSheetId="4">#REF!</definedName>
    <definedName name="km12th" localSheetId="10">#REF!</definedName>
    <definedName name="km12th" localSheetId="8">#REF!</definedName>
    <definedName name="km12th">#REF!</definedName>
    <definedName name="km13th" localSheetId="21">#REF!</definedName>
    <definedName name="km13th" localSheetId="9">#REF!</definedName>
    <definedName name="km13th" localSheetId="4">#REF!</definedName>
    <definedName name="km13th" localSheetId="10">#REF!</definedName>
    <definedName name="km13th" localSheetId="8">#REF!</definedName>
    <definedName name="km13th">#REF!</definedName>
    <definedName name="km14th" localSheetId="21">#REF!</definedName>
    <definedName name="km14th" localSheetId="9">#REF!</definedName>
    <definedName name="km14th" localSheetId="4">#REF!</definedName>
    <definedName name="km14th" localSheetId="10">#REF!</definedName>
    <definedName name="km14th" localSheetId="8">#REF!</definedName>
    <definedName name="km14th">#REF!</definedName>
    <definedName name="km16th" localSheetId="21">#REF!</definedName>
    <definedName name="km16th" localSheetId="9">#REF!</definedName>
    <definedName name="km16th" localSheetId="4">#REF!</definedName>
    <definedName name="km16th" localSheetId="10">#REF!</definedName>
    <definedName name="km16th" localSheetId="8">#REF!</definedName>
    <definedName name="km16th">#REF!</definedName>
    <definedName name="km17th" localSheetId="21">#REF!</definedName>
    <definedName name="km17th" localSheetId="9">#REF!</definedName>
    <definedName name="km17th" localSheetId="4">#REF!</definedName>
    <definedName name="km17th" localSheetId="10">#REF!</definedName>
    <definedName name="km17th" localSheetId="8">#REF!</definedName>
    <definedName name="km17th">#REF!</definedName>
    <definedName name="km18th" localSheetId="21">#REF!</definedName>
    <definedName name="km18th" localSheetId="9">#REF!</definedName>
    <definedName name="km18th" localSheetId="4">#REF!</definedName>
    <definedName name="km18th" localSheetId="10">#REF!</definedName>
    <definedName name="km18th" localSheetId="8">#REF!</definedName>
    <definedName name="km18th">#REF!</definedName>
    <definedName name="km19th" localSheetId="21">#REF!</definedName>
    <definedName name="km19th" localSheetId="9">#REF!</definedName>
    <definedName name="km19th" localSheetId="4">#REF!</definedName>
    <definedName name="km19th" localSheetId="10">#REF!</definedName>
    <definedName name="km19th" localSheetId="8">#REF!</definedName>
    <definedName name="km19th">#REF!</definedName>
    <definedName name="km20th" localSheetId="21">#REF!</definedName>
    <definedName name="km20th" localSheetId="9">#REF!</definedName>
    <definedName name="km20th" localSheetId="4">#REF!</definedName>
    <definedName name="km20th" localSheetId="10">#REF!</definedName>
    <definedName name="km20th" localSheetId="8">#REF!</definedName>
    <definedName name="km20th">#REF!</definedName>
    <definedName name="km2nd" localSheetId="21">#REF!</definedName>
    <definedName name="km2nd" localSheetId="9">#REF!</definedName>
    <definedName name="km2nd" localSheetId="4">#REF!</definedName>
    <definedName name="km2nd" localSheetId="10">#REF!</definedName>
    <definedName name="km2nd" localSheetId="8">#REF!</definedName>
    <definedName name="km2nd">#REF!</definedName>
    <definedName name="km3rd" localSheetId="21">#REF!</definedName>
    <definedName name="km3rd" localSheetId="9">#REF!</definedName>
    <definedName name="km3rd" localSheetId="4">#REF!</definedName>
    <definedName name="km3rd" localSheetId="10">#REF!</definedName>
    <definedName name="km3rd" localSheetId="8">#REF!</definedName>
    <definedName name="km3rd">#REF!</definedName>
    <definedName name="km4th" localSheetId="21">#REF!</definedName>
    <definedName name="km4th" localSheetId="9">#REF!</definedName>
    <definedName name="km4th" localSheetId="4">#REF!</definedName>
    <definedName name="km4th" localSheetId="10">#REF!</definedName>
    <definedName name="km4th" localSheetId="8">#REF!</definedName>
    <definedName name="km4th">#REF!</definedName>
    <definedName name="km5th" localSheetId="21">#REF!</definedName>
    <definedName name="km5th" localSheetId="9">#REF!</definedName>
    <definedName name="km5th" localSheetId="4">#REF!</definedName>
    <definedName name="km5th" localSheetId="10">#REF!</definedName>
    <definedName name="km5th" localSheetId="8">#REF!</definedName>
    <definedName name="km5th">#REF!</definedName>
    <definedName name="km6th" localSheetId="21">#REF!</definedName>
    <definedName name="km6th" localSheetId="9">#REF!</definedName>
    <definedName name="km6th" localSheetId="4">#REF!</definedName>
    <definedName name="km6th" localSheetId="10">#REF!</definedName>
    <definedName name="km6th" localSheetId="8">#REF!</definedName>
    <definedName name="km6th">#REF!</definedName>
    <definedName name="km7th" localSheetId="21">#REF!</definedName>
    <definedName name="km7th" localSheetId="9">#REF!</definedName>
    <definedName name="km7th" localSheetId="4">#REF!</definedName>
    <definedName name="km7th" localSheetId="10">#REF!</definedName>
    <definedName name="km7th" localSheetId="8">#REF!</definedName>
    <definedName name="km7th">#REF!</definedName>
    <definedName name="km8th" localSheetId="21">#REF!</definedName>
    <definedName name="km8th" localSheetId="9">#REF!</definedName>
    <definedName name="km8th" localSheetId="4">#REF!</definedName>
    <definedName name="km8th" localSheetId="10">#REF!</definedName>
    <definedName name="km8th" localSheetId="8">#REF!</definedName>
    <definedName name="km8th">#REF!</definedName>
    <definedName name="km9th" localSheetId="21">#REF!</definedName>
    <definedName name="km9th" localSheetId="9">#REF!</definedName>
    <definedName name="km9th" localSheetId="4">#REF!</definedName>
    <definedName name="km9th" localSheetId="10">#REF!</definedName>
    <definedName name="km9th" localSheetId="8">#REF!</definedName>
    <definedName name="km9th">#REF!</definedName>
    <definedName name="Knr" localSheetId="21">#REF!</definedName>
    <definedName name="Knr" localSheetId="9">#REF!</definedName>
    <definedName name="Knr" localSheetId="4">#REF!</definedName>
    <definedName name="Knr" localSheetId="10">#REF!</definedName>
    <definedName name="Knr" localSheetId="8">#REF!</definedName>
    <definedName name="Knr">#REF!</definedName>
    <definedName name="ko">#REF!</definedName>
    <definedName name="l" localSheetId="21">[142]Labour!$D$8</definedName>
    <definedName name="l" localSheetId="9">[142]Labour!$D$8</definedName>
    <definedName name="l" localSheetId="4">[142]Labour!$D$8</definedName>
    <definedName name="l" localSheetId="8">[142]Labour!$D$8</definedName>
    <definedName name="l">#REF!</definedName>
    <definedName name="L_Bhisti" localSheetId="21">[143]Labour!$D$3</definedName>
    <definedName name="L_Bhisti" localSheetId="9">[143]Labour!$D$3</definedName>
    <definedName name="L_Bhisti" localSheetId="4">[144]Labour!$D$3</definedName>
    <definedName name="L_Bhisti" localSheetId="10">#REF!</definedName>
    <definedName name="L_Bhisti" localSheetId="8">[143]Labour!$D$3</definedName>
    <definedName name="L_Bhisti" localSheetId="7">#REF!</definedName>
    <definedName name="L_Bhisti">#REF!</definedName>
    <definedName name="L_BISTI" localSheetId="23">#REF!</definedName>
    <definedName name="L_BISTI" localSheetId="46">#REF!</definedName>
    <definedName name="L_BISTI" localSheetId="47">#REF!</definedName>
    <definedName name="L_BISTI" localSheetId="40">#REF!</definedName>
    <definedName name="L_BISTI" localSheetId="44">#REF!</definedName>
    <definedName name="L_BISTI" localSheetId="45">#REF!</definedName>
    <definedName name="L_BISTI" localSheetId="21">#REF!</definedName>
    <definedName name="L_BISTI" localSheetId="9">#REF!</definedName>
    <definedName name="L_BISTI" localSheetId="4">#REF!</definedName>
    <definedName name="L_BISTI" localSheetId="24">#REF!</definedName>
    <definedName name="L_BISTI" localSheetId="43">#REF!</definedName>
    <definedName name="L_BISTI" localSheetId="8">#REF!</definedName>
    <definedName name="L_BISTI" localSheetId="52">#REF!</definedName>
    <definedName name="L_BISTI" localSheetId="7">#REF!</definedName>
    <definedName name="L_BISTI">#REF!</definedName>
    <definedName name="L_BitumenSprayer" localSheetId="21">[142]Labour!$D$4</definedName>
    <definedName name="L_BitumenSprayer" localSheetId="9">[142]Labour!$D$4</definedName>
    <definedName name="L_BitumenSprayer" localSheetId="4">[142]Labour!$D$4</definedName>
    <definedName name="L_BitumenSprayer" localSheetId="8">[142]Labour!$D$4</definedName>
    <definedName name="L_BitumenSprayer">#REF!</definedName>
    <definedName name="L_Blacksmith" localSheetId="21">[143]Labour!$D$5</definedName>
    <definedName name="L_Blacksmith" localSheetId="9">[143]Labour!$D$5</definedName>
    <definedName name="L_Blacksmith" localSheetId="4">[144]Labour!$D$5</definedName>
    <definedName name="L_Blacksmith" localSheetId="10">#REF!</definedName>
    <definedName name="L_Blacksmith" localSheetId="8">[143]Labour!$D$5</definedName>
    <definedName name="L_Blacksmith" localSheetId="7">#REF!</definedName>
    <definedName name="L_Blacksmith">#REF!</definedName>
    <definedName name="L_Blaster" localSheetId="21">[145]Labour!$D$6</definedName>
    <definedName name="L_Blaster" localSheetId="9">[145]Labour!$D$6</definedName>
    <definedName name="L_Blaster" localSheetId="4">[146]Labour!$D$6</definedName>
    <definedName name="L_Blaster" localSheetId="10">#REF!</definedName>
    <definedName name="L_Blaster" localSheetId="8">[145]Labour!$D$6</definedName>
    <definedName name="L_Blaster" localSheetId="7">#REF!</definedName>
    <definedName name="L_Blaster">#REF!</definedName>
    <definedName name="L_BSMIT" localSheetId="23">#REF!</definedName>
    <definedName name="L_BSMIT" localSheetId="46">#REF!</definedName>
    <definedName name="L_BSMIT" localSheetId="47">#REF!</definedName>
    <definedName name="L_BSMIT" localSheetId="40">#REF!</definedName>
    <definedName name="L_BSMIT" localSheetId="44">#REF!</definedName>
    <definedName name="L_BSMIT" localSheetId="45">#REF!</definedName>
    <definedName name="L_BSMIT" localSheetId="21">#REF!</definedName>
    <definedName name="L_BSMIT" localSheetId="9">#REF!</definedName>
    <definedName name="L_BSMIT" localSheetId="4">#REF!</definedName>
    <definedName name="L_BSMIT" localSheetId="24">#REF!</definedName>
    <definedName name="L_BSMIT" localSheetId="43">#REF!</definedName>
    <definedName name="L_BSMIT" localSheetId="8">#REF!</definedName>
    <definedName name="L_BSMIT" localSheetId="52">#REF!</definedName>
    <definedName name="L_BSMIT" localSheetId="7">#REF!</definedName>
    <definedName name="L_BSMIT">#REF!</definedName>
    <definedName name="L_Carpenter_1stClass" localSheetId="21">[147]Labour!$D$7</definedName>
    <definedName name="L_Carpenter_1stClass" localSheetId="9">[147]Labour!$D$7</definedName>
    <definedName name="L_Carpenter_1stClass" localSheetId="4">[147]Labour!$D$7</definedName>
    <definedName name="L_Carpenter_1stClass" localSheetId="8">[147]Labour!$D$7</definedName>
    <definedName name="L_Carpenter_1stClass" localSheetId="7">#REF!</definedName>
    <definedName name="L_Carpenter_1stClass">#REF!</definedName>
    <definedName name="L_ChipsSpreader" localSheetId="21">[142]Labour!$D$8</definedName>
    <definedName name="L_ChipsSpreader" localSheetId="9">[142]Labour!$D$8</definedName>
    <definedName name="L_ChipsSpreader" localSheetId="4">[142]Labour!$D$8</definedName>
    <definedName name="L_ChipsSpreader" localSheetId="8">[142]Labour!$D$8</definedName>
    <definedName name="L_ChipsSpreader">#REF!</definedName>
    <definedName name="L_Chiseller" localSheetId="21">[147]Labour!$D$9</definedName>
    <definedName name="L_Chiseller" localSheetId="9">[147]Labour!$D$9</definedName>
    <definedName name="L_Chiseller" localSheetId="4">[147]Labour!$D$9</definedName>
    <definedName name="L_Chiseller" localSheetId="8">[147]Labour!$D$9</definedName>
    <definedName name="L_Chiseller" localSheetId="7">#REF!</definedName>
    <definedName name="L_Chiseller">#REF!</definedName>
    <definedName name="L_CPENTER" localSheetId="23">#REF!</definedName>
    <definedName name="L_CPENTER" localSheetId="46">#REF!</definedName>
    <definedName name="L_CPENTER" localSheetId="47">#REF!</definedName>
    <definedName name="L_CPENTER" localSheetId="40">#REF!</definedName>
    <definedName name="L_CPENTER" localSheetId="44">#REF!</definedName>
    <definedName name="L_CPENTER" localSheetId="45">#REF!</definedName>
    <definedName name="L_CPENTER" localSheetId="21">#REF!</definedName>
    <definedName name="L_CPENTER" localSheetId="9">#REF!</definedName>
    <definedName name="L_CPENTER" localSheetId="4">#REF!</definedName>
    <definedName name="L_CPENTER" localSheetId="24">#REF!</definedName>
    <definedName name="L_CPENTER" localSheetId="43">#REF!</definedName>
    <definedName name="L_CPENTER" localSheetId="8">#REF!</definedName>
    <definedName name="L_CPENTER" localSheetId="52">#REF!</definedName>
    <definedName name="L_CPENTER" localSheetId="7">#REF!</definedName>
    <definedName name="L_CPENTER">#REF!</definedName>
    <definedName name="L_Dresser_Skilled" localSheetId="21">[147]Labour!$D$10</definedName>
    <definedName name="L_Dresser_Skilled" localSheetId="9">[147]Labour!$D$10</definedName>
    <definedName name="L_Dresser_Skilled" localSheetId="4">[147]Labour!$D$10</definedName>
    <definedName name="L_Dresser_Skilled" localSheetId="8">[147]Labour!$D$10</definedName>
    <definedName name="L_Dresser_Skilled" localSheetId="7">#REF!</definedName>
    <definedName name="L_Dresser_Skilled">#REF!</definedName>
    <definedName name="L_Driller" localSheetId="21">[145]Labour!$D$11</definedName>
    <definedName name="L_Driller" localSheetId="9">[145]Labour!$D$11</definedName>
    <definedName name="L_Driller" localSheetId="4">[146]Labour!$D$11</definedName>
    <definedName name="L_Driller" localSheetId="10">#REF!</definedName>
    <definedName name="L_Driller" localSheetId="8">[145]Labour!$D$11</definedName>
    <definedName name="L_Driller" localSheetId="7">#REF!</definedName>
    <definedName name="L_Driller">#REF!</definedName>
    <definedName name="L_ELECRICIAN" localSheetId="23">#REF!</definedName>
    <definedName name="L_ELECRICIAN" localSheetId="46">#REF!</definedName>
    <definedName name="L_ELECRICIAN" localSheetId="47">#REF!</definedName>
    <definedName name="L_ELECRICIAN" localSheetId="40">#REF!</definedName>
    <definedName name="L_ELECRICIAN" localSheetId="44">#REF!</definedName>
    <definedName name="L_ELECRICIAN" localSheetId="45">#REF!</definedName>
    <definedName name="L_ELECRICIAN" localSheetId="21">#REF!</definedName>
    <definedName name="L_ELECRICIAN" localSheetId="9">#REF!</definedName>
    <definedName name="L_ELECRICIAN" localSheetId="4">#REF!</definedName>
    <definedName name="L_ELECRICIAN" localSheetId="24">#REF!</definedName>
    <definedName name="L_ELECRICIAN" localSheetId="43">#REF!</definedName>
    <definedName name="L_ELECRICIAN" localSheetId="8">#REF!</definedName>
    <definedName name="L_ELECRICIAN" localSheetId="52">#REF!</definedName>
    <definedName name="L_ELECRICIAN" localSheetId="7">#REF!</definedName>
    <definedName name="L_ELECRICIAN">#REF!</definedName>
    <definedName name="L_Fitter" localSheetId="21">[148]Labour!$D$13</definedName>
    <definedName name="L_Fitter" localSheetId="9">[148]Labour!$D$13</definedName>
    <definedName name="L_Fitter" localSheetId="4">[148]Labour!$D$13</definedName>
    <definedName name="L_Fitter" localSheetId="8">[148]Labour!$D$13</definedName>
    <definedName name="L_Fitter" localSheetId="7">#REF!</definedName>
    <definedName name="L_Fitter">#REF!</definedName>
    <definedName name="L_Mason_1stClass" localSheetId="21">[143]Labour!$D$14</definedName>
    <definedName name="L_Mason_1stClass" localSheetId="9">[143]Labour!$D$14</definedName>
    <definedName name="L_Mason_1stClass" localSheetId="4">[144]Labour!$D$14</definedName>
    <definedName name="L_Mason_1stClass" localSheetId="10">#REF!</definedName>
    <definedName name="L_Mason_1stClass" localSheetId="8">[143]Labour!$D$14</definedName>
    <definedName name="L_Mason_1stClass" localSheetId="7">#REF!</definedName>
    <definedName name="L_Mason_1stClass">#REF!</definedName>
    <definedName name="L_Mason_2ndClass" localSheetId="21">[143]Labour!$D$15</definedName>
    <definedName name="L_Mason_2ndClass" localSheetId="9">[143]Labour!$D$15</definedName>
    <definedName name="L_Mason_2ndClass" localSheetId="4">[144]Labour!$D$15</definedName>
    <definedName name="L_Mason_2ndClass" localSheetId="10">#REF!</definedName>
    <definedName name="L_Mason_2ndClass" localSheetId="8">[143]Labour!$D$15</definedName>
    <definedName name="L_Mason_2ndClass" localSheetId="7">#REF!</definedName>
    <definedName name="L_Mason_2ndClass">#REF!</definedName>
    <definedName name="L_MASON1" localSheetId="23">#REF!</definedName>
    <definedName name="L_MASON1" localSheetId="46">#REF!</definedName>
    <definedName name="L_MASON1" localSheetId="47">#REF!</definedName>
    <definedName name="L_MASON1" localSheetId="40">#REF!</definedName>
    <definedName name="L_MASON1" localSheetId="44">#REF!</definedName>
    <definedName name="L_MASON1" localSheetId="45">#REF!</definedName>
    <definedName name="L_MASON1" localSheetId="21">#REF!</definedName>
    <definedName name="L_MASON1" localSheetId="9">#REF!</definedName>
    <definedName name="L_MASON1" localSheetId="4">#REF!</definedName>
    <definedName name="L_MASON1" localSheetId="24">#REF!</definedName>
    <definedName name="L_MASON1" localSheetId="43">#REF!</definedName>
    <definedName name="L_MASON1" localSheetId="8">#REF!</definedName>
    <definedName name="L_MASON1" localSheetId="52">#REF!</definedName>
    <definedName name="L_MASON1" localSheetId="7">#REF!</definedName>
    <definedName name="L_MASON1">#REF!</definedName>
    <definedName name="L_MASON2" localSheetId="23">#REF!</definedName>
    <definedName name="L_MASON2" localSheetId="46">#REF!</definedName>
    <definedName name="L_MASON2" localSheetId="47">#REF!</definedName>
    <definedName name="L_MASON2" localSheetId="40">#REF!</definedName>
    <definedName name="L_MASON2" localSheetId="44">#REF!</definedName>
    <definedName name="L_MASON2" localSheetId="45">#REF!</definedName>
    <definedName name="L_MASON2" localSheetId="21">#REF!</definedName>
    <definedName name="L_MASON2" localSheetId="9">#REF!</definedName>
    <definedName name="L_MASON2" localSheetId="4">#REF!</definedName>
    <definedName name="L_MASON2" localSheetId="24">#REF!</definedName>
    <definedName name="L_MASON2" localSheetId="43">#REF!</definedName>
    <definedName name="L_MASON2" localSheetId="8">#REF!</definedName>
    <definedName name="L_MASON2" localSheetId="52">#REF!</definedName>
    <definedName name="L_MASON2" localSheetId="7">#REF!</definedName>
    <definedName name="L_MASON2">#REF!</definedName>
    <definedName name="L_Mate" localSheetId="21">[143]Labour!$D$16</definedName>
    <definedName name="L_Mate" localSheetId="9">[143]Labour!$D$16</definedName>
    <definedName name="L_Mate" localSheetId="4">[144]Labour!$D$16</definedName>
    <definedName name="L_Mate" localSheetId="10">#REF!</definedName>
    <definedName name="L_Mate" localSheetId="8">[143]Labour!$D$16</definedName>
    <definedName name="L_Mate" localSheetId="7">#REF!</definedName>
    <definedName name="L_Mate">#REF!</definedName>
    <definedName name="L_MAZDOOES" localSheetId="23">#REF!</definedName>
    <definedName name="L_MAZDOOES" localSheetId="46">#REF!</definedName>
    <definedName name="L_MAZDOOES" localSheetId="47">#REF!</definedName>
    <definedName name="L_MAZDOOES" localSheetId="40">#REF!</definedName>
    <definedName name="L_MAZDOOES" localSheetId="44">#REF!</definedName>
    <definedName name="L_MAZDOOES" localSheetId="45">#REF!</definedName>
    <definedName name="L_MAZDOOES" localSheetId="21">#REF!</definedName>
    <definedName name="L_MAZDOOES" localSheetId="9">#REF!</definedName>
    <definedName name="L_MAZDOOES" localSheetId="4">#REF!</definedName>
    <definedName name="L_MAZDOOES" localSheetId="24">#REF!</definedName>
    <definedName name="L_MAZDOOES" localSheetId="43">#REF!</definedName>
    <definedName name="L_MAZDOOES" localSheetId="8">#REF!</definedName>
    <definedName name="L_MAZDOOES" localSheetId="52">#REF!</definedName>
    <definedName name="L_MAZDOOES" localSheetId="7">#REF!</definedName>
    <definedName name="L_MAZDOOES">#REF!</definedName>
    <definedName name="L_Mazdoor" localSheetId="21">[143]Labour!$D$17</definedName>
    <definedName name="L_Mazdoor" localSheetId="9">[143]Labour!$D$17</definedName>
    <definedName name="L_Mazdoor" localSheetId="4">[144]Labour!$D$17</definedName>
    <definedName name="L_Mazdoor" localSheetId="10">#REF!</definedName>
    <definedName name="L_Mazdoor" localSheetId="8">[143]Labour!$D$17</definedName>
    <definedName name="L_Mazdoor" localSheetId="7">#REF!</definedName>
    <definedName name="L_Mazdoor">#REF!</definedName>
    <definedName name="L_Mazdoor_Semi" localSheetId="21">[143]Labour!$D$18</definedName>
    <definedName name="L_Mazdoor_Semi" localSheetId="9">[143]Labour!$D$18</definedName>
    <definedName name="L_Mazdoor_Semi" localSheetId="4">[144]Labour!$D$18</definedName>
    <definedName name="L_Mazdoor_Semi" localSheetId="10">#REF!</definedName>
    <definedName name="L_Mazdoor_Semi" localSheetId="8">[143]Labour!$D$18</definedName>
    <definedName name="L_Mazdoor_Semi" localSheetId="7">#REF!</definedName>
    <definedName name="L_Mazdoor_Semi">#REF!</definedName>
    <definedName name="L_Mazdoor_Skilled" localSheetId="21">[143]Labour!$D$19</definedName>
    <definedName name="L_Mazdoor_Skilled" localSheetId="9">[143]Labour!$D$19</definedName>
    <definedName name="L_Mazdoor_Skilled" localSheetId="4">[144]Labour!$D$19</definedName>
    <definedName name="L_Mazdoor_Skilled" localSheetId="10">#REF!</definedName>
    <definedName name="L_Mazdoor_Skilled" localSheetId="8">[143]Labour!$D$19</definedName>
    <definedName name="L_Mazdoor_Skilled" localSheetId="7">#REF!</definedName>
    <definedName name="L_Mazdoor_Skilled">#REF!</definedName>
    <definedName name="L_MAZDOORSK" localSheetId="23">#REF!</definedName>
    <definedName name="L_MAZDOORSK" localSheetId="46">#REF!</definedName>
    <definedName name="L_MAZDOORSK" localSheetId="47">#REF!</definedName>
    <definedName name="L_MAZDOORSK" localSheetId="40">#REF!</definedName>
    <definedName name="L_MAZDOORSK" localSheetId="44">#REF!</definedName>
    <definedName name="L_MAZDOORSK" localSheetId="45">#REF!</definedName>
    <definedName name="L_MAZDOORSK" localSheetId="21">#REF!</definedName>
    <definedName name="L_MAZDOORSK" localSheetId="9">#REF!</definedName>
    <definedName name="L_MAZDOORSK" localSheetId="4">#REF!</definedName>
    <definedName name="L_MAZDOORSK" localSheetId="24">#REF!</definedName>
    <definedName name="L_MAZDOORSK" localSheetId="43">#REF!</definedName>
    <definedName name="L_MAZDOORSK" localSheetId="8">#REF!</definedName>
    <definedName name="L_MAZDOORSK" localSheetId="52">#REF!</definedName>
    <definedName name="L_MAZDOORSK" localSheetId="7">#REF!</definedName>
    <definedName name="L_MAZDOORSK">#REF!</definedName>
    <definedName name="L_MAZDOORUS" localSheetId="23">#REF!</definedName>
    <definedName name="L_MAZDOORUS" localSheetId="46">#REF!</definedName>
    <definedName name="L_MAZDOORUS" localSheetId="47">#REF!</definedName>
    <definedName name="L_MAZDOORUS" localSheetId="40">#REF!</definedName>
    <definedName name="L_MAZDOORUS" localSheetId="44">#REF!</definedName>
    <definedName name="L_MAZDOORUS" localSheetId="45">#REF!</definedName>
    <definedName name="L_MAZDOORUS" localSheetId="21">#REF!</definedName>
    <definedName name="L_MAZDOORUS" localSheetId="9">#REF!</definedName>
    <definedName name="L_MAZDOORUS" localSheetId="4">#REF!</definedName>
    <definedName name="L_MAZDOORUS" localSheetId="24">#REF!</definedName>
    <definedName name="L_MAZDOORUS" localSheetId="43">#REF!</definedName>
    <definedName name="L_MAZDOORUS" localSheetId="8">#REF!</definedName>
    <definedName name="L_MAZDOORUS" localSheetId="52">#REF!</definedName>
    <definedName name="L_MAZDOORUS" localSheetId="7">#REF!</definedName>
    <definedName name="L_MAZDOORUS">#REF!</definedName>
    <definedName name="L_Painter_1stClass" localSheetId="21">[147]Labour!$D$20</definedName>
    <definedName name="L_Painter_1stClass" localSheetId="9">[147]Labour!$D$20</definedName>
    <definedName name="L_Painter_1stClass" localSheetId="4">[147]Labour!$D$20</definedName>
    <definedName name="L_Painter_1stClass" localSheetId="8">[147]Labour!$D$20</definedName>
    <definedName name="L_Painter_1stClass" localSheetId="7">#REF!</definedName>
    <definedName name="L_Painter_1stClass">#REF!</definedName>
    <definedName name="L_PLUMBER" localSheetId="23">#REF!</definedName>
    <definedName name="L_PLUMBER" localSheetId="46">#REF!</definedName>
    <definedName name="L_PLUMBER" localSheetId="47">#REF!</definedName>
    <definedName name="L_PLUMBER" localSheetId="40">#REF!</definedName>
    <definedName name="L_PLUMBER" localSheetId="44">#REF!</definedName>
    <definedName name="L_PLUMBER" localSheetId="45">#REF!</definedName>
    <definedName name="L_PLUMBER" localSheetId="21">#REF!</definedName>
    <definedName name="L_PLUMBER" localSheetId="9">#REF!</definedName>
    <definedName name="L_PLUMBER" localSheetId="4">#REF!</definedName>
    <definedName name="L_PLUMBER" localSheetId="24">#REF!</definedName>
    <definedName name="L_Plumber" localSheetId="10">#REF!</definedName>
    <definedName name="L_PLUMBER" localSheetId="43">#REF!</definedName>
    <definedName name="L_PLUMBER" localSheetId="8">#REF!</definedName>
    <definedName name="L_PLUMBER" localSheetId="52">#REF!</definedName>
    <definedName name="L_PLUMBER" localSheetId="7">#REF!</definedName>
    <definedName name="L_PLUMBER">#REF!</definedName>
    <definedName name="L_SURVEYER" localSheetId="23">#REF!</definedName>
    <definedName name="L_SURVEYER" localSheetId="46">#REF!</definedName>
    <definedName name="L_SURVEYER" localSheetId="47">#REF!</definedName>
    <definedName name="L_SURVEYER" localSheetId="40">#REF!</definedName>
    <definedName name="L_SURVEYER" localSheetId="44">#REF!</definedName>
    <definedName name="L_SURVEYER" localSheetId="45">#REF!</definedName>
    <definedName name="L_SURVEYER" localSheetId="21">#REF!</definedName>
    <definedName name="L_SURVEYER" localSheetId="9">#REF!</definedName>
    <definedName name="L_SURVEYER" localSheetId="4">#REF!</definedName>
    <definedName name="L_SURVEYER" localSheetId="24">#REF!</definedName>
    <definedName name="L_SURVEYER" localSheetId="43">#REF!</definedName>
    <definedName name="L_SURVEYER" localSheetId="8">#REF!</definedName>
    <definedName name="L_SURVEYER" localSheetId="52">#REF!</definedName>
    <definedName name="L_SURVEYER" localSheetId="7">#REF!</definedName>
    <definedName name="L_SURVEYER">#REF!</definedName>
    <definedName name="L_Surveyor" localSheetId="21">[143]Labour!$D$22</definedName>
    <definedName name="L_Surveyor" localSheetId="9">[143]Labour!$D$22</definedName>
    <definedName name="L_Surveyor" localSheetId="4">[144]Labour!$D$22</definedName>
    <definedName name="L_Surveyor" localSheetId="10">#REF!</definedName>
    <definedName name="L_Surveyor" localSheetId="8">[143]Labour!$D$22</definedName>
    <definedName name="L_Surveyor" localSheetId="7">#REF!</definedName>
    <definedName name="L_Surveyor">#REF!</definedName>
    <definedName name="L_WhiteWasher" localSheetId="21">[147]Labour!$D$23</definedName>
    <definedName name="L_WhiteWasher" localSheetId="9">[147]Labour!$D$23</definedName>
    <definedName name="L_WhiteWasher" localSheetId="4">[147]Labour!$D$23</definedName>
    <definedName name="L_WhiteWasher" localSheetId="8">[147]Labour!$D$23</definedName>
    <definedName name="L_WhiteWasher" localSheetId="7">#REF!</definedName>
    <definedName name="L_WhiteWasher">#REF!</definedName>
    <definedName name="la" localSheetId="4">[149]Data_Bit_I!#REF!</definedName>
    <definedName name="la">[149]Data_Bit_I!#REF!</definedName>
    <definedName name="laborvcc" localSheetId="21">#REF!</definedName>
    <definedName name="laborvcc" localSheetId="9">#REF!</definedName>
    <definedName name="laborvcc" localSheetId="4">#REF!</definedName>
    <definedName name="laborvcc" localSheetId="8">#REF!</definedName>
    <definedName name="laborvcc" localSheetId="7">#REF!</definedName>
    <definedName name="laborvcc">#REF!</definedName>
    <definedName name="laborvrcc" localSheetId="21">#REF!</definedName>
    <definedName name="laborvrcc" localSheetId="9">#REF!</definedName>
    <definedName name="laborvrcc" localSheetId="4">#REF!</definedName>
    <definedName name="laborvrcc" localSheetId="8">#REF!</definedName>
    <definedName name="laborvrcc" localSheetId="7">#REF!</definedName>
    <definedName name="laborvrcc">#REF!</definedName>
    <definedName name="lac" localSheetId="4">#REF!</definedName>
    <definedName name="lac">#REF!</definedName>
    <definedName name="LACS">#REF!</definedName>
    <definedName name="lakshmi" localSheetId="21">[150]Material!$D$113</definedName>
    <definedName name="lakshmi" localSheetId="9">[150]Material!$D$113</definedName>
    <definedName name="lakshmi" localSheetId="4">[150]Material!$D$113</definedName>
    <definedName name="lakshmi" localSheetId="8">[150]Material!$D$113</definedName>
    <definedName name="lakshmi">#REF!</definedName>
    <definedName name="lali" localSheetId="21">#REF!</definedName>
    <definedName name="lali" localSheetId="9">#REF!</definedName>
    <definedName name="lali" localSheetId="4">#REF!</definedName>
    <definedName name="lali" localSheetId="8">#REF!</definedName>
    <definedName name="lali">#REF!</definedName>
    <definedName name="Last_Row">#N/A</definedName>
    <definedName name="LBM" localSheetId="23">#REF!</definedName>
    <definedName name="LBM" localSheetId="46">#REF!</definedName>
    <definedName name="LBM" localSheetId="47">#REF!</definedName>
    <definedName name="LBM" localSheetId="40">#REF!</definedName>
    <definedName name="LBM" localSheetId="44">#REF!</definedName>
    <definedName name="LBM" localSheetId="45">#REF!</definedName>
    <definedName name="LBM" localSheetId="21">#REF!</definedName>
    <definedName name="LBM" localSheetId="9">#REF!</definedName>
    <definedName name="LBM" localSheetId="4">#REF!</definedName>
    <definedName name="LBM" localSheetId="24">#REF!</definedName>
    <definedName name="LBM" localSheetId="41">#REF!</definedName>
    <definedName name="LBM" localSheetId="43">#REF!</definedName>
    <definedName name="LBM" localSheetId="8">#REF!</definedName>
    <definedName name="LBM" localSheetId="16">#REF!</definedName>
    <definedName name="LBM" localSheetId="12">#REF!</definedName>
    <definedName name="LBM" localSheetId="14">#REF!</definedName>
    <definedName name="LBM" localSheetId="1">#REF!</definedName>
    <definedName name="LBM" localSheetId="13">#REF!</definedName>
    <definedName name="LBM" localSheetId="52">#REF!</definedName>
    <definedName name="LBM" localSheetId="7">#REF!</definedName>
    <definedName name="LBM" localSheetId="15">#REF!</definedName>
    <definedName name="LBM" localSheetId="11">#REF!</definedName>
    <definedName name="LBM" localSheetId="2">#REF!</definedName>
    <definedName name="LBM" localSheetId="0">#REF!</definedName>
    <definedName name="LBM">#REF!</definedName>
    <definedName name="lbrick">#REF!</definedName>
    <definedName name="LBTC">#REF!</definedName>
    <definedName name="LBTS">#REF!</definedName>
    <definedName name="LBW">#REF!</definedName>
    <definedName name="Lc">[67]Sheet2!$F$34</definedName>
    <definedName name="Le" localSheetId="21">[67]Sheet2!$I$46</definedName>
    <definedName name="Le" localSheetId="9">[67]Sheet2!$I$46</definedName>
    <definedName name="Le" localSheetId="4">[67]Sheet2!$I$46</definedName>
    <definedName name="Le" localSheetId="8">[67]Sheet2!$I$46</definedName>
    <definedName name="le">#REF!</definedName>
    <definedName name="lead" localSheetId="21">#REF!</definedName>
    <definedName name="lead" localSheetId="9">#REF!</definedName>
    <definedName name="lead" localSheetId="4">#REF!</definedName>
    <definedName name="lead" localSheetId="10">#REF!</definedName>
    <definedName name="lead" localSheetId="8">#REF!</definedName>
    <definedName name="lead" localSheetId="52">#REF!</definedName>
    <definedName name="lead" localSheetId="7">#REF!</definedName>
    <definedName name="lead">#REF!</definedName>
    <definedName name="Lead_gravel" localSheetId="21">[151]Lead!$E$5</definedName>
    <definedName name="Lead_gravel" localSheetId="9">[151]Lead!$E$5</definedName>
    <definedName name="Lead_gravel" localSheetId="4">[151]Lead!$E$5</definedName>
    <definedName name="Lead_gravel" localSheetId="10">#REF!</definedName>
    <definedName name="Lead_gravel" localSheetId="8">[151]Lead!$E$5</definedName>
    <definedName name="Lead_gravel" localSheetId="7">#REF!</definedName>
    <definedName name="Lead_gravel">#REF!</definedName>
    <definedName name="Lead_in_Kms">#REF!</definedName>
    <definedName name="Lead_metal_mc" localSheetId="21">[151]Lead!$E$12</definedName>
    <definedName name="Lead_metal_mc" localSheetId="9">[151]Lead!$E$12</definedName>
    <definedName name="Lead_metal_mc" localSheetId="4">[151]Lead!$E$12</definedName>
    <definedName name="Lead_metal_mc" localSheetId="10">#REF!</definedName>
    <definedName name="Lead_metal_mc" localSheetId="8">[151]Lead!$E$12</definedName>
    <definedName name="Lead_metal_mc" localSheetId="7">#REF!</definedName>
    <definedName name="Lead_metal_mc">#REF!</definedName>
    <definedName name="Lead_Metal_ss" localSheetId="21">[151]Lead!$E$20</definedName>
    <definedName name="Lead_Metal_ss" localSheetId="9">[151]Lead!$E$20</definedName>
    <definedName name="Lead_Metal_ss" localSheetId="4">[151]Lead!$E$20</definedName>
    <definedName name="Lead_Metal_ss" localSheetId="10">#REF!</definedName>
    <definedName name="Lead_Metal_ss" localSheetId="8">[151]Lead!$E$20</definedName>
    <definedName name="Lead_Metal_ss" localSheetId="7">#REF!</definedName>
    <definedName name="Lead_Metal_ss">#REF!</definedName>
    <definedName name="lead_prin" localSheetId="23">#REF!</definedName>
    <definedName name="lead_prin" localSheetId="46">#REF!</definedName>
    <definedName name="lead_prin" localSheetId="47">#REF!</definedName>
    <definedName name="lead_prin" localSheetId="40">#REF!</definedName>
    <definedName name="lead_prin" localSheetId="44">#REF!</definedName>
    <definedName name="lead_prin" localSheetId="45">#REF!</definedName>
    <definedName name="lead_prin" localSheetId="21">#REF!</definedName>
    <definedName name="lead_prin" localSheetId="39">#REF!</definedName>
    <definedName name="lead_prin" localSheetId="9">#REF!</definedName>
    <definedName name="lead_prin" localSheetId="4">#REF!</definedName>
    <definedName name="lead_prin" localSheetId="24">#REF!</definedName>
    <definedName name="lead_prin" localSheetId="34">#REF!</definedName>
    <definedName name="lead_prin" localSheetId="10">#REF!</definedName>
    <definedName name="lead_prin" localSheetId="43">#REF!</definedName>
    <definedName name="lead_prin" localSheetId="8">#REF!</definedName>
    <definedName name="lead_prin" localSheetId="33">#REF!</definedName>
    <definedName name="lead_prin" localSheetId="17">#REF!</definedName>
    <definedName name="lead_prin" localSheetId="16">#REF!</definedName>
    <definedName name="lead_prin" localSheetId="12">#REF!</definedName>
    <definedName name="lead_prin" localSheetId="14">#REF!</definedName>
    <definedName name="lead_prin" localSheetId="1">#REF!</definedName>
    <definedName name="lead_prin" localSheetId="13">#REF!</definedName>
    <definedName name="lead_prin" localSheetId="35">#REF!</definedName>
    <definedName name="lead_prin" localSheetId="36">#REF!</definedName>
    <definedName name="lead_prin" localSheetId="52">#REF!</definedName>
    <definedName name="lead_prin" localSheetId="7">#REF!</definedName>
    <definedName name="lead_prin" localSheetId="30">#REF!</definedName>
    <definedName name="lead_prin" localSheetId="15">#REF!</definedName>
    <definedName name="lead_prin" localSheetId="11">#REF!</definedName>
    <definedName name="lead_prin" localSheetId="2">#REF!</definedName>
    <definedName name="lead_prin" localSheetId="0">#REF!</definedName>
    <definedName name="lead_prin">#REF!</definedName>
    <definedName name="Lead_sand_filling" localSheetId="21">[151]Lead!$E$6</definedName>
    <definedName name="Lead_sand_filling" localSheetId="9">[151]Lead!$E$6</definedName>
    <definedName name="Lead_sand_filling" localSheetId="4">[151]Lead!$E$6</definedName>
    <definedName name="Lead_sand_filling" localSheetId="10">#REF!</definedName>
    <definedName name="Lead_sand_filling" localSheetId="8">[151]Lead!$E$6</definedName>
    <definedName name="Lead_sand_filling" localSheetId="7">#REF!</definedName>
    <definedName name="Lead_sand_filling">#REF!</definedName>
    <definedName name="Lead_sand_mortor" localSheetId="21">[151]Lead!$E$19</definedName>
    <definedName name="Lead_sand_mortor" localSheetId="9">[151]Lead!$E$19</definedName>
    <definedName name="Lead_sand_mortor" localSheetId="4">[151]Lead!$E$19</definedName>
    <definedName name="Lead_sand_mortor" localSheetId="10">#REF!</definedName>
    <definedName name="Lead_sand_mortor" localSheetId="8">[151]Lead!$E$19</definedName>
    <definedName name="Lead_sand_mortor" localSheetId="7">#REF!</definedName>
    <definedName name="Lead_sand_mortor">#REF!</definedName>
    <definedName name="Lead_stone" localSheetId="21">[151]Lead!$E$7</definedName>
    <definedName name="Lead_stone" localSheetId="9">[151]Lead!$E$7</definedName>
    <definedName name="Lead_stone" localSheetId="4">[151]Lead!$E$7</definedName>
    <definedName name="Lead_stone" localSheetId="10">#REF!</definedName>
    <definedName name="Lead_stone" localSheetId="8">[151]Lead!$E$7</definedName>
    <definedName name="Lead_stone" localSheetId="7">#REF!</definedName>
    <definedName name="Lead_stone">#REF!</definedName>
    <definedName name="lead3" localSheetId="23">#REF!</definedName>
    <definedName name="lead3" localSheetId="46">#REF!</definedName>
    <definedName name="lead3" localSheetId="47">#REF!</definedName>
    <definedName name="lead3" localSheetId="40">#REF!</definedName>
    <definedName name="lead3" localSheetId="44">#REF!</definedName>
    <definedName name="lead3" localSheetId="45">#REF!</definedName>
    <definedName name="lead3" localSheetId="21">#REF!</definedName>
    <definedName name="lead3" localSheetId="39">#REF!</definedName>
    <definedName name="lead3" localSheetId="9">#REF!</definedName>
    <definedName name="lead3" localSheetId="4">#REF!</definedName>
    <definedName name="lead3" localSheetId="24">#REF!</definedName>
    <definedName name="lead3" localSheetId="34">#REF!</definedName>
    <definedName name="lead3" localSheetId="10">#REF!</definedName>
    <definedName name="lead3" localSheetId="43">#REF!</definedName>
    <definedName name="lead3" localSheetId="8">#REF!</definedName>
    <definedName name="lead3" localSheetId="33">#REF!</definedName>
    <definedName name="lead3" localSheetId="17">#REF!</definedName>
    <definedName name="lead3" localSheetId="16">#REF!</definedName>
    <definedName name="lead3" localSheetId="12">#REF!</definedName>
    <definedName name="lead3" localSheetId="14">#REF!</definedName>
    <definedName name="lead3" localSheetId="1">#REF!</definedName>
    <definedName name="lead3" localSheetId="13">#REF!</definedName>
    <definedName name="lead3" localSheetId="35">#REF!</definedName>
    <definedName name="lead3" localSheetId="36">#REF!</definedName>
    <definedName name="lead3" localSheetId="52">#REF!</definedName>
    <definedName name="lead3" localSheetId="7">#REF!</definedName>
    <definedName name="lead3" localSheetId="30">#REF!</definedName>
    <definedName name="lead3" localSheetId="15">#REF!</definedName>
    <definedName name="lead3" localSheetId="11">#REF!</definedName>
    <definedName name="lead3" localSheetId="2">#REF!</definedName>
    <definedName name="lead3" localSheetId="0">#REF!</definedName>
    <definedName name="lead3">#REF!</definedName>
    <definedName name="leada">#REF!</definedName>
    <definedName name="leadprin" localSheetId="23">#REF!</definedName>
    <definedName name="leadprin" localSheetId="46">#REF!</definedName>
    <definedName name="leadprin" localSheetId="47">#REF!</definedName>
    <definedName name="leadprin" localSheetId="40">#REF!</definedName>
    <definedName name="leadprin" localSheetId="44">#REF!</definedName>
    <definedName name="leadprin" localSheetId="45">#REF!</definedName>
    <definedName name="leadprin" localSheetId="21">#REF!</definedName>
    <definedName name="leadprin" localSheetId="39">#REF!</definedName>
    <definedName name="leadprin" localSheetId="9">#REF!</definedName>
    <definedName name="leadprin" localSheetId="4">#REF!</definedName>
    <definedName name="leadprin" localSheetId="24">#REF!</definedName>
    <definedName name="leadprin" localSheetId="34">#REF!</definedName>
    <definedName name="leadprin" localSheetId="10">#REF!</definedName>
    <definedName name="leadprin" localSheetId="43">#REF!</definedName>
    <definedName name="leadprin" localSheetId="8">#REF!</definedName>
    <definedName name="leadprin" localSheetId="33">#REF!</definedName>
    <definedName name="leadprin" localSheetId="17">#REF!</definedName>
    <definedName name="leadprin" localSheetId="16">#REF!</definedName>
    <definedName name="leadprin" localSheetId="12">#REF!</definedName>
    <definedName name="leadprin" localSheetId="14">#REF!</definedName>
    <definedName name="leadprin" localSheetId="1">#REF!</definedName>
    <definedName name="leadprin" localSheetId="13">#REF!</definedName>
    <definedName name="leadprin" localSheetId="35">#REF!</definedName>
    <definedName name="leadprin" localSheetId="36">#REF!</definedName>
    <definedName name="leadprin" localSheetId="52">#REF!</definedName>
    <definedName name="leadprin" localSheetId="7">#REF!</definedName>
    <definedName name="leadprin" localSheetId="30">#REF!</definedName>
    <definedName name="leadprin" localSheetId="15">#REF!</definedName>
    <definedName name="leadprin" localSheetId="11">#REF!</definedName>
    <definedName name="leadprin" localSheetId="2">#REF!</definedName>
    <definedName name="leadprin" localSheetId="0">#REF!</definedName>
    <definedName name="leadprin">#REF!</definedName>
    <definedName name="leads" localSheetId="23">#REF!</definedName>
    <definedName name="leads" localSheetId="46">#REF!</definedName>
    <definedName name="leads" localSheetId="47">#REF!</definedName>
    <definedName name="leads" localSheetId="40">#REF!</definedName>
    <definedName name="leads" localSheetId="44">#REF!</definedName>
    <definedName name="leads" localSheetId="45">#REF!</definedName>
    <definedName name="leads" localSheetId="21">#REF!</definedName>
    <definedName name="leads" localSheetId="9">#REF!</definedName>
    <definedName name="leads" localSheetId="4">#REF!</definedName>
    <definedName name="leads" localSheetId="24">#REF!</definedName>
    <definedName name="leads" localSheetId="10">#REF!</definedName>
    <definedName name="leads" localSheetId="43">#REF!</definedName>
    <definedName name="leads" localSheetId="8">#REF!</definedName>
    <definedName name="leads" localSheetId="52">#REF!</definedName>
    <definedName name="leads" localSheetId="7">#REF!</definedName>
    <definedName name="leads">#REF!</definedName>
    <definedName name="leads1" localSheetId="21">[152]leads!$A$3:$F$53</definedName>
    <definedName name="leads1" localSheetId="9">[152]leads!$A$3:$F$53</definedName>
    <definedName name="leads1" localSheetId="4">[153]leads!$A$3:$F$53</definedName>
    <definedName name="leads1" localSheetId="10">#REF!</definedName>
    <definedName name="leads1" localSheetId="8">[152]leads!$A$3:$F$53</definedName>
    <definedName name="leads1" localSheetId="7">#REF!</definedName>
    <definedName name="leads1">#REF!</definedName>
    <definedName name="leads11" localSheetId="21">[7]leads!$A$3:$E$107</definedName>
    <definedName name="leads11" localSheetId="9">[7]leads!$A$3:$E$107</definedName>
    <definedName name="leads11" localSheetId="4">[1]leads!$A$3:$E$107</definedName>
    <definedName name="leads11" localSheetId="10">#REF!</definedName>
    <definedName name="leads11" localSheetId="8">[7]leads!$A$3:$E$107</definedName>
    <definedName name="leads11" localSheetId="7">#REF!</definedName>
    <definedName name="leads11">#REF!</definedName>
    <definedName name="leads2" localSheetId="21">[154]leads!$A$3:$E$307</definedName>
    <definedName name="leads2" localSheetId="9">[154]leads!$A$3:$E$307</definedName>
    <definedName name="leads2" localSheetId="4">[154]leads!$A$3:$E$307</definedName>
    <definedName name="leads2" localSheetId="8">[154]leads!$A$3:$E$307</definedName>
    <definedName name="leads2" localSheetId="7">#REF!</definedName>
    <definedName name="leads2">#REF!</definedName>
    <definedName name="leela" localSheetId="21">#REF!</definedName>
    <definedName name="leela" localSheetId="9">#REF!</definedName>
    <definedName name="leela" localSheetId="4">#REF!</definedName>
    <definedName name="leela" localSheetId="8">#REF!</definedName>
    <definedName name="leela">#REF!</definedName>
    <definedName name="legend" localSheetId="21">#REF!</definedName>
    <definedName name="legend" localSheetId="9">#REF!</definedName>
    <definedName name="legend" localSheetId="4">#REF!</definedName>
    <definedName name="legend" localSheetId="8">#REF!</definedName>
    <definedName name="legend">#REF!</definedName>
    <definedName name="LEN" localSheetId="23">#REF!</definedName>
    <definedName name="LEN" localSheetId="46">#REF!</definedName>
    <definedName name="LEN" localSheetId="47">#REF!</definedName>
    <definedName name="LEN" localSheetId="40">#REF!</definedName>
    <definedName name="LEN" localSheetId="44">#REF!</definedName>
    <definedName name="LEN" localSheetId="45">#REF!</definedName>
    <definedName name="LEN" localSheetId="21">#REF!</definedName>
    <definedName name="LEN" localSheetId="9">#REF!</definedName>
    <definedName name="LEN" localSheetId="4">#REF!</definedName>
    <definedName name="LEN" localSheetId="24">#REF!</definedName>
    <definedName name="LEN" localSheetId="43">#REF!</definedName>
    <definedName name="LEN" localSheetId="8">#REF!</definedName>
    <definedName name="LEN" localSheetId="52">#REF!</definedName>
    <definedName name="LEN" localSheetId="7">#REF!</definedName>
    <definedName name="LEN">#REF!</definedName>
    <definedName name="lfii">[67]Sheet2!$H$115</definedName>
    <definedName name="lfpi">[67]Sheet2!$H$85</definedName>
    <definedName name="lfpii">[67]Sheet2!$H$116</definedName>
    <definedName name="lgravel">#REF!</definedName>
    <definedName name="lgt" localSheetId="21">'[53]C-data'!$F$25</definedName>
    <definedName name="lgt" localSheetId="9">'[53]C-data'!$F$25</definedName>
    <definedName name="lgt" localSheetId="4">'[53]C-data'!$F$25</definedName>
    <definedName name="lgt" localSheetId="8">'[53]C-data'!$F$25</definedName>
    <definedName name="lgt">#REF!</definedName>
    <definedName name="Li" localSheetId="21">[67]Sheet2!$F$7</definedName>
    <definedName name="Li" localSheetId="9">[67]Sheet2!$F$7</definedName>
    <definedName name="Li" localSheetId="4">[67]Sheet2!$F$7</definedName>
    <definedName name="li" localSheetId="10">#REF!</definedName>
    <definedName name="Li" localSheetId="8">[67]Sheet2!$F$7</definedName>
    <definedName name="li">#REF!</definedName>
    <definedName name="lift_charges" localSheetId="21">'[77]data existing_do not delete'!$E$20:$E$22</definedName>
    <definedName name="lift_charges" localSheetId="9">'[77]data existing_do not delete'!$E$20:$E$22</definedName>
    <definedName name="lift_charges" localSheetId="4">'[77]data existing_do not delete'!$E$20:$E$22</definedName>
    <definedName name="lift_charges" localSheetId="8">'[77]data existing_do not delete'!$E$20:$E$22</definedName>
    <definedName name="lift_charges">#REF!</definedName>
    <definedName name="lift_range" localSheetId="21">'[77]data existing_do not delete'!$A$57:$A$70</definedName>
    <definedName name="lift_range" localSheetId="9">'[77]data existing_do not delete'!$A$57:$A$70</definedName>
    <definedName name="lift_range" localSheetId="4">'[77]data existing_do not delete'!$A$57:$A$70</definedName>
    <definedName name="lift_range" localSheetId="8">'[77]data existing_do not delete'!$A$57:$A$70</definedName>
    <definedName name="lift_range">#REF!</definedName>
    <definedName name="lifting_heights" localSheetId="21">'[77]data existing_do not delete'!$A$43:$A$54</definedName>
    <definedName name="lifting_heights" localSheetId="9">'[77]data existing_do not delete'!$A$43:$A$54</definedName>
    <definedName name="lifting_heights" localSheetId="4">'[77]data existing_do not delete'!$A$43:$A$54</definedName>
    <definedName name="lifting_heights" localSheetId="8">'[77]data existing_do not delete'!$A$43:$A$54</definedName>
    <definedName name="lifting_heights">#REF!</definedName>
    <definedName name="LIII" localSheetId="21">[155]ESTIMATE!#REF!</definedName>
    <definedName name="LIII" localSheetId="9">[155]ESTIMATE!#REF!</definedName>
    <definedName name="LIII" localSheetId="4">[155]ESTIMATE!#REF!</definedName>
    <definedName name="LIII" localSheetId="8">[155]ESTIMATE!#REF!</definedName>
    <definedName name="LIII">#REF!</definedName>
    <definedName name="lin" localSheetId="21">[81]DATA_PRG!$H$159</definedName>
    <definedName name="lin" localSheetId="9">[81]DATA_PRG!$H$159</definedName>
    <definedName name="lin" localSheetId="4">[81]DATA_PRG!$H$159</definedName>
    <definedName name="lin" localSheetId="8">[81]DATA_PRG!$H$159</definedName>
    <definedName name="lin">#REF!</definedName>
    <definedName name="Lintels__RCC" localSheetId="4">'[58]DATA SHEET FOR 2014-15'!#REF!</definedName>
    <definedName name="Lintels__RCC">'[58]DATA SHEET FOR 2014-15'!#REF!</definedName>
    <definedName name="lk">#REF!</definedName>
    <definedName name="LKJH" localSheetId="21">[156]Labour!$D$5</definedName>
    <definedName name="LKJH" localSheetId="9">[156]Labour!$D$5</definedName>
    <definedName name="LKJH" localSheetId="4">[156]Labour!$D$5</definedName>
    <definedName name="LKJH" localSheetId="8">[156]Labour!$D$5</definedName>
    <definedName name="LKJH">#REF!</definedName>
    <definedName name="ll" localSheetId="4">[130]Labour!$D$17</definedName>
    <definedName name="ll">[157]Labour!$D$17</definedName>
    <definedName name="LLL">#REF!</definedName>
    <definedName name="lmc" localSheetId="21">#REF!</definedName>
    <definedName name="lmc" localSheetId="9">#REF!</definedName>
    <definedName name="lmc" localSheetId="4">#REF!</definedName>
    <definedName name="lmc" localSheetId="8">#REF!</definedName>
    <definedName name="lmc">#REF!</definedName>
    <definedName name="Load">#REF!</definedName>
    <definedName name="loading" localSheetId="4">#REF!</definedName>
    <definedName name="loading">#REF!</definedName>
    <definedName name="lp" localSheetId="21">[101]Material!$D$114</definedName>
    <definedName name="lp" localSheetId="9">[101]Material!$D$114</definedName>
    <definedName name="lp" localSheetId="4">[101]Material!$D$114</definedName>
    <definedName name="lp" localSheetId="8">[101]Material!$D$114</definedName>
    <definedName name="lp">#REF!</definedName>
    <definedName name="lrstone">#REF!</definedName>
    <definedName name="LS_ROAD">#REF!</definedName>
    <definedName name="lsand">#REF!</definedName>
    <definedName name="LSNO1" localSheetId="21">[158]Lead!$N$7</definedName>
    <definedName name="LSNO1" localSheetId="9">[158]Lead!$N$7</definedName>
    <definedName name="LSNO1" localSheetId="4">[158]Lead!$N$7</definedName>
    <definedName name="LSNO1" localSheetId="8">[158]Lead!$N$7</definedName>
    <definedName name="LSNO1">#REF!</definedName>
    <definedName name="LSNO24" localSheetId="21">[158]Lead!$N$26</definedName>
    <definedName name="LSNO24" localSheetId="9">[158]Lead!$N$26</definedName>
    <definedName name="LSNO24" localSheetId="4">[158]Lead!$N$26</definedName>
    <definedName name="LSNO24" localSheetId="8">[158]Lead!$N$26</definedName>
    <definedName name="LSNO24">#REF!</definedName>
    <definedName name="LSNO26" localSheetId="21">[158]Lead!$N$28</definedName>
    <definedName name="LSNO26" localSheetId="9">[158]Lead!$N$28</definedName>
    <definedName name="LSNO26" localSheetId="4">[158]Lead!$N$28</definedName>
    <definedName name="LSNO26" localSheetId="8">[158]Lead!$N$28</definedName>
    <definedName name="LSNO26">#REF!</definedName>
    <definedName name="LSNO3" localSheetId="21">[158]Lead!$N$9</definedName>
    <definedName name="LSNO3" localSheetId="9">[158]Lead!$N$9</definedName>
    <definedName name="LSNO3" localSheetId="4">[158]Lead!$N$9</definedName>
    <definedName name="LSNO3" localSheetId="8">[158]Lead!$N$9</definedName>
    <definedName name="LSNO3">#REF!</definedName>
    <definedName name="lss">#REF!</definedName>
    <definedName name="lstone">#REF!</definedName>
    <definedName name="lw" localSheetId="7">#REF!</definedName>
    <definedName name="lw">#REF!</definedName>
    <definedName name="lxg" localSheetId="21">#REF!</definedName>
    <definedName name="lxg" localSheetId="9">#REF!</definedName>
    <definedName name="lxg" localSheetId="4">#REF!</definedName>
    <definedName name="lxg" localSheetId="10">#REF!</definedName>
    <definedName name="lxg" localSheetId="8">#REF!</definedName>
    <definedName name="lxg">#REF!</definedName>
    <definedName name="m" localSheetId="23">#REF!</definedName>
    <definedName name="m" localSheetId="46">#REF!</definedName>
    <definedName name="m" localSheetId="47">#REF!</definedName>
    <definedName name="m" localSheetId="40">#REF!</definedName>
    <definedName name="m" localSheetId="44">#REF!</definedName>
    <definedName name="m" localSheetId="45">#REF!</definedName>
    <definedName name="m" localSheetId="21">#REF!</definedName>
    <definedName name="m" localSheetId="9">#REF!</definedName>
    <definedName name="m" localSheetId="4">#REF!</definedName>
    <definedName name="m" localSheetId="24">#REF!</definedName>
    <definedName name="m" localSheetId="43">#REF!</definedName>
    <definedName name="m" localSheetId="8">#REF!</definedName>
    <definedName name="m" localSheetId="52">#REF!</definedName>
    <definedName name="m" localSheetId="7">#REF!</definedName>
    <definedName name="m">#REF!</definedName>
    <definedName name="M_ACPipe_100" localSheetId="21">[145]Material!$D$3</definedName>
    <definedName name="M_ACPipe_100" localSheetId="9">[145]Material!$D$3</definedName>
    <definedName name="M_ACPipe_100" localSheetId="4">[146]Material!$D$3</definedName>
    <definedName name="M_ACPipe_100" localSheetId="10">#REF!</definedName>
    <definedName name="M_ACPipe_100" localSheetId="8">[145]Material!$D$3</definedName>
    <definedName name="M_ACPipe_100" localSheetId="7">#REF!</definedName>
    <definedName name="M_ACPipe_100">#REF!</definedName>
    <definedName name="M_Aggregate_10" localSheetId="21">[143]Material!$D$17</definedName>
    <definedName name="M_Aggregate_10" localSheetId="9">[143]Material!$D$17</definedName>
    <definedName name="M_Aggregate_10" localSheetId="4">[144]Material!$D$17</definedName>
    <definedName name="M_Aggregate_10" localSheetId="10">#REF!</definedName>
    <definedName name="M_Aggregate_10" localSheetId="8">[143]Material!$D$17</definedName>
    <definedName name="M_Aggregate_10" localSheetId="7">#REF!</definedName>
    <definedName name="M_Aggregate_10">#REF!</definedName>
    <definedName name="M_Aggregate_20" localSheetId="21">[143]Material!$D$18</definedName>
    <definedName name="M_Aggregate_20" localSheetId="9">[143]Material!$D$18</definedName>
    <definedName name="M_Aggregate_20" localSheetId="4">[144]Material!$D$18</definedName>
    <definedName name="M_Aggregate_20" localSheetId="10">#REF!</definedName>
    <definedName name="M_Aggregate_20" localSheetId="8">[143]Material!$D$18</definedName>
    <definedName name="M_Aggregate_20" localSheetId="7">#REF!</definedName>
    <definedName name="M_Aggregate_20">#REF!</definedName>
    <definedName name="M_Aggregate_224_236m_WMM" localSheetId="21">[147]Material!$D$26</definedName>
    <definedName name="M_Aggregate_224_236m_WMM" localSheetId="9">[147]Material!$D$26</definedName>
    <definedName name="M_Aggregate_224_236m_WMM" localSheetId="4">[147]Material!$D$26</definedName>
    <definedName name="M_Aggregate_224_236m_WMM" localSheetId="8">[147]Material!$D$26</definedName>
    <definedName name="M_Aggregate_224_236m_WMM" localSheetId="7">#REF!</definedName>
    <definedName name="M_Aggregate_224_236m_WMM">#REF!</definedName>
    <definedName name="M_Aggregate_375mmMaximum_224_56mm" localSheetId="21">[143]Material!$D$4</definedName>
    <definedName name="M_Aggregate_375mmMaximum_224_56mm" localSheetId="9">[143]Material!$D$4</definedName>
    <definedName name="M_Aggregate_375mmMaximum_224_56mm" localSheetId="4">[144]Material!$D$4</definedName>
    <definedName name="M_Aggregate_375mmMaximum_224_56mm" localSheetId="10">#REF!</definedName>
    <definedName name="M_Aggregate_375mmMaximum_224_56mm" localSheetId="8">[143]Material!$D$4</definedName>
    <definedName name="M_Aggregate_375mmMaximum_224_56mm" localSheetId="7">#REF!</definedName>
    <definedName name="M_Aggregate_375mmMaximum_224_56mm">#REF!</definedName>
    <definedName name="M_Aggregate_375mmMaximum_45_225mm" localSheetId="21">[147]Material!$D$5</definedName>
    <definedName name="M_Aggregate_375mmMaximum_45_225mm" localSheetId="9">[147]Material!$D$5</definedName>
    <definedName name="M_Aggregate_375mmMaximum_45_225mm" localSheetId="4">[147]Material!$D$5</definedName>
    <definedName name="M_Aggregate_375mmMaximum_45_225mm" localSheetId="8">[147]Material!$D$5</definedName>
    <definedName name="M_Aggregate_375mmMaximum_45_225mm" localSheetId="7">#REF!</definedName>
    <definedName name="M_Aggregate_375mmMaximum_45_225mm">#REF!</definedName>
    <definedName name="M_Aggregate_375mmMaximum_Below_56mm" localSheetId="21">[147]Material!$D$6</definedName>
    <definedName name="M_Aggregate_375mmMaximum_Below_56mm" localSheetId="9">[147]Material!$D$6</definedName>
    <definedName name="M_Aggregate_375mmMaximum_Below_56mm" localSheetId="4">[147]Material!$D$6</definedName>
    <definedName name="M_Aggregate_375mmMaximum_Below_56mm" localSheetId="8">[147]Material!$D$6</definedName>
    <definedName name="M_Aggregate_375mmMaximum_Below_56mm" localSheetId="7">#REF!</definedName>
    <definedName name="M_Aggregate_375mmMaximum_Below_56mm">#REF!</definedName>
    <definedName name="M_Aggregate_40" localSheetId="21">[143]Material!$D$19</definedName>
    <definedName name="M_Aggregate_40" localSheetId="9">[143]Material!$D$19</definedName>
    <definedName name="M_Aggregate_40" localSheetId="4">[144]Material!$D$19</definedName>
    <definedName name="M_Aggregate_40" localSheetId="10">#REF!</definedName>
    <definedName name="M_Aggregate_40" localSheetId="8">[143]Material!$D$19</definedName>
    <definedName name="M_Aggregate_40" localSheetId="7">#REF!</definedName>
    <definedName name="M_Aggregate_40">#REF!</definedName>
    <definedName name="M_Aggregate_45_224m_WMM" localSheetId="21">[147]Material!$D$27</definedName>
    <definedName name="M_Aggregate_45_224m_WMM" localSheetId="9">[147]Material!$D$27</definedName>
    <definedName name="M_Aggregate_45_224m_WMM" localSheetId="4">[147]Material!$D$27</definedName>
    <definedName name="M_Aggregate_45_224m_WMM" localSheetId="8">[147]Material!$D$27</definedName>
    <definedName name="M_Aggregate_45_224m_WMM" localSheetId="7">#REF!</definedName>
    <definedName name="M_Aggregate_45_224m_WMM">#REF!</definedName>
    <definedName name="M_Aggregate_53mmMaximum_225_56mm" localSheetId="21">[147]Material!$D$7</definedName>
    <definedName name="M_Aggregate_53mmMaximum_225_56mm" localSheetId="9">[147]Material!$D$7</definedName>
    <definedName name="M_Aggregate_53mmMaximum_225_56mm" localSheetId="4">[147]Material!$D$7</definedName>
    <definedName name="M_Aggregate_53mmMaximum_225_56mm" localSheetId="8">[147]Material!$D$7</definedName>
    <definedName name="M_Aggregate_53mmMaximum_225_56mm" localSheetId="7">#REF!</definedName>
    <definedName name="M_Aggregate_53mmMaximum_225_56mm">#REF!</definedName>
    <definedName name="M_Aggregate_53mmMaximum_63_45mm" localSheetId="21">[147]Material!$D$8</definedName>
    <definedName name="M_Aggregate_53mmMaximum_63_45mm" localSheetId="9">[147]Material!$D$8</definedName>
    <definedName name="M_Aggregate_53mmMaximum_63_45mm" localSheetId="4">[147]Material!$D$8</definedName>
    <definedName name="M_Aggregate_53mmMaximum_63_45mm" localSheetId="8">[147]Material!$D$8</definedName>
    <definedName name="M_Aggregate_53mmMaximum_63_45mm" localSheetId="7">#REF!</definedName>
    <definedName name="M_Aggregate_53mmMaximum_63_45mm">#REF!</definedName>
    <definedName name="M_Aggregate_53mmMaximum_below_56mm" localSheetId="21">[147]Material!$D$9</definedName>
    <definedName name="M_Aggregate_53mmMaximum_below_56mm" localSheetId="9">[147]Material!$D$9</definedName>
    <definedName name="M_Aggregate_53mmMaximum_below_56mm" localSheetId="4">[147]Material!$D$9</definedName>
    <definedName name="M_Aggregate_53mmMaximum_below_56mm" localSheetId="8">[147]Material!$D$9</definedName>
    <definedName name="M_Aggregate_53mmMaximum_below_56mm" localSheetId="7">#REF!</definedName>
    <definedName name="M_Aggregate_53mmMaximum_below_56mm">#REF!</definedName>
    <definedName name="M_Aggregate_Crushable_GradeI" localSheetId="21">[147]Material!$D$20</definedName>
    <definedName name="M_Aggregate_Crushable_GradeI" localSheetId="9">[147]Material!$D$20</definedName>
    <definedName name="M_Aggregate_Crushable_GradeI" localSheetId="4">[147]Material!$D$20</definedName>
    <definedName name="M_Aggregate_Crushable_GradeI" localSheetId="8">[147]Material!$D$20</definedName>
    <definedName name="M_Aggregate_Crushable_GradeI" localSheetId="7">#REF!</definedName>
    <definedName name="M_Aggregate_Crushable_GradeI">#REF!</definedName>
    <definedName name="M_Aggregate_Crushable_GradeII" localSheetId="21">[147]Material!$D$21</definedName>
    <definedName name="M_Aggregate_Crushable_GradeII" localSheetId="9">[147]Material!$D$21</definedName>
    <definedName name="M_Aggregate_Crushable_GradeII" localSheetId="4">[147]Material!$D$21</definedName>
    <definedName name="M_Aggregate_Crushable_GradeII" localSheetId="10">#REF!</definedName>
    <definedName name="M_Aggregate_Crushable_GradeII" localSheetId="8">[147]Material!$D$21</definedName>
    <definedName name="M_Aggregate_Crushable_GradeII" localSheetId="7">#REF!</definedName>
    <definedName name="M_Aggregate_Crushable_GradeII">#REF!</definedName>
    <definedName name="M_Aggregate_Crushable_GradeIII" localSheetId="21">[147]Material!$D$22</definedName>
    <definedName name="M_Aggregate_Crushable_GradeIII" localSheetId="9">[147]Material!$D$22</definedName>
    <definedName name="M_Aggregate_Crushable_GradeIII" localSheetId="4">[147]Material!$D$22</definedName>
    <definedName name="M_Aggregate_Crushable_GradeIII" localSheetId="10">#REF!</definedName>
    <definedName name="M_Aggregate_Crushable_GradeIII" localSheetId="8">[147]Material!$D$22</definedName>
    <definedName name="M_Aggregate_Crushable_GradeIII" localSheetId="7">#REF!</definedName>
    <definedName name="M_Aggregate_Crushable_GradeIII">#REF!</definedName>
    <definedName name="M_Aggregate_GradeI_40mmNominal_10_5mm" localSheetId="21">[147]Material!$D$10</definedName>
    <definedName name="M_Aggregate_GradeI_40mmNominal_10_5mm" localSheetId="9">[147]Material!$D$10</definedName>
    <definedName name="M_Aggregate_GradeI_40mmNominal_10_5mm" localSheetId="4">[147]Material!$D$10</definedName>
    <definedName name="M_Aggregate_GradeI_40mmNominal_10_5mm" localSheetId="8">[147]Material!$D$10</definedName>
    <definedName name="M_Aggregate_GradeI_40mmNominal_10_5mm" localSheetId="7">#REF!</definedName>
    <definedName name="M_Aggregate_GradeI_40mmNominal_10_5mm">#REF!</definedName>
    <definedName name="M_Aggregate_GradeI_40mmNominal_25_10mm" localSheetId="21">[147]Material!$D$11</definedName>
    <definedName name="M_Aggregate_GradeI_40mmNominal_25_10mm" localSheetId="9">[147]Material!$D$11</definedName>
    <definedName name="M_Aggregate_GradeI_40mmNominal_25_10mm" localSheetId="4">[147]Material!$D$11</definedName>
    <definedName name="M_Aggregate_GradeI_40mmNominal_25_10mm" localSheetId="8">[147]Material!$D$11</definedName>
    <definedName name="M_Aggregate_GradeI_40mmNominal_25_10mm" localSheetId="7">#REF!</definedName>
    <definedName name="M_Aggregate_GradeI_40mmNominal_25_10mm">#REF!</definedName>
    <definedName name="M_Aggregate_GradeI_40mmNominal_3725_25mm" localSheetId="21">[147]Material!$D$12</definedName>
    <definedName name="M_Aggregate_GradeI_40mmNominal_3725_25mm" localSheetId="9">[147]Material!$D$12</definedName>
    <definedName name="M_Aggregate_GradeI_40mmNominal_3725_25mm" localSheetId="4">[147]Material!$D$12</definedName>
    <definedName name="M_Aggregate_GradeI_40mmNominal_3725_25mm" localSheetId="8">[147]Material!$D$12</definedName>
    <definedName name="M_Aggregate_GradeI_40mmNominal_3725_25mm" localSheetId="7">#REF!</definedName>
    <definedName name="M_Aggregate_GradeI_40mmNominal_3725_25mm">#REF!</definedName>
    <definedName name="M_Aggregate_GradeI_40mmNominal_5mm" localSheetId="21">[147]Material!$D$13</definedName>
    <definedName name="M_Aggregate_GradeI_40mmNominal_5mm" localSheetId="9">[147]Material!$D$13</definedName>
    <definedName name="M_Aggregate_GradeI_40mmNominal_5mm" localSheetId="4">[147]Material!$D$13</definedName>
    <definedName name="M_Aggregate_GradeI_40mmNominal_5mm" localSheetId="8">[147]Material!$D$13</definedName>
    <definedName name="M_Aggregate_GradeI_40mmNominal_5mm" localSheetId="7">#REF!</definedName>
    <definedName name="M_Aggregate_GradeI_40mmNominal_5mm">#REF!</definedName>
    <definedName name="M_Aggregate_GradeI_90_45mm" localSheetId="21">[147]Material!$D$23</definedName>
    <definedName name="M_Aggregate_GradeI_90_45mm" localSheetId="9">[147]Material!$D$23</definedName>
    <definedName name="M_Aggregate_GradeI_90_45mm" localSheetId="4">[147]Material!$D$23</definedName>
    <definedName name="M_Aggregate_GradeI_90_45mm" localSheetId="8">[147]Material!$D$23</definedName>
    <definedName name="M_Aggregate_GradeI_90_45mm" localSheetId="7">#REF!</definedName>
    <definedName name="M_Aggregate_GradeI_90_45mm">#REF!</definedName>
    <definedName name="M_Aggregate_GradeII_19mmNominal_10_5mm" localSheetId="21">[159]Material!$D$14</definedName>
    <definedName name="M_Aggregate_GradeII_19mmNominal_10_5mm" localSheetId="9">[159]Material!$D$14</definedName>
    <definedName name="M_Aggregate_GradeII_19mmNominal_10_5mm" localSheetId="4">[159]Material!$D$14</definedName>
    <definedName name="M_Aggregate_GradeII_19mmNominal_10_5mm" localSheetId="10">#REF!</definedName>
    <definedName name="M_Aggregate_GradeII_19mmNominal_10_5mm" localSheetId="8">[159]Material!$D$14</definedName>
    <definedName name="M_Aggregate_GradeII_19mmNominal_10_5mm" localSheetId="7">#REF!</definedName>
    <definedName name="M_Aggregate_GradeII_19mmNominal_10_5mm">#REF!</definedName>
    <definedName name="M_Aggregate_GradeII_19mmNominal_25_10mm" localSheetId="21">[159]Material!$D$15</definedName>
    <definedName name="M_Aggregate_GradeII_19mmNominal_25_10mm" localSheetId="9">[159]Material!$D$15</definedName>
    <definedName name="M_Aggregate_GradeII_19mmNominal_25_10mm" localSheetId="4">[159]Material!$D$15</definedName>
    <definedName name="M_Aggregate_GradeII_19mmNominal_25_10mm" localSheetId="10">#REF!</definedName>
    <definedName name="M_Aggregate_GradeII_19mmNominal_25_10mm" localSheetId="8">[159]Material!$D$15</definedName>
    <definedName name="M_Aggregate_GradeII_19mmNominal_25_10mm" localSheetId="7">#REF!</definedName>
    <definedName name="M_Aggregate_GradeII_19mmNominal_25_10mm">#REF!</definedName>
    <definedName name="M_Aggregate_GradeII_19mmNominal_5mm_below" localSheetId="21">[159]Material!$D$16</definedName>
    <definedName name="M_Aggregate_GradeII_19mmNominal_5mm_below" localSheetId="9">[159]Material!$D$16</definedName>
    <definedName name="M_Aggregate_GradeII_19mmNominal_5mm_below" localSheetId="4">[159]Material!$D$16</definedName>
    <definedName name="M_Aggregate_GradeII_19mmNominal_5mm_below" localSheetId="10">#REF!</definedName>
    <definedName name="M_Aggregate_GradeII_19mmNominal_5mm_below" localSheetId="8">[159]Material!$D$16</definedName>
    <definedName name="M_Aggregate_GradeII_19mmNominal_5mm_below" localSheetId="7">#REF!</definedName>
    <definedName name="M_Aggregate_GradeII_19mmNominal_5mm_below">#REF!</definedName>
    <definedName name="M_Aggregate_GradeII_63_45mm" localSheetId="21">[147]Material!$D$24</definedName>
    <definedName name="M_Aggregate_GradeII_63_45mm" localSheetId="9">[147]Material!$D$24</definedName>
    <definedName name="M_Aggregate_GradeII_63_45mm" localSheetId="4">[147]Material!$D$24</definedName>
    <definedName name="M_Aggregate_GradeII_63_45mm" localSheetId="10">#REF!</definedName>
    <definedName name="M_Aggregate_GradeII_63_45mm" localSheetId="8">[147]Material!$D$24</definedName>
    <definedName name="M_Aggregate_GradeII_63_45mm" localSheetId="7">#REF!</definedName>
    <definedName name="M_Aggregate_GradeII_63_45mm">#REF!</definedName>
    <definedName name="M_Aggregate_GradeIII_53_224mm" localSheetId="21">[147]Material!$D$25</definedName>
    <definedName name="M_Aggregate_GradeIII_53_224mm" localSheetId="9">[147]Material!$D$25</definedName>
    <definedName name="M_Aggregate_GradeIII_53_224mm" localSheetId="4">[147]Material!$D$25</definedName>
    <definedName name="M_Aggregate_GradeIII_53_224mm" localSheetId="10">#REF!</definedName>
    <definedName name="M_Aggregate_GradeIII_53_224mm" localSheetId="8">[147]Material!$D$25</definedName>
    <definedName name="M_Aggregate_GradeIII_53_224mm" localSheetId="7">#REF!</definedName>
    <definedName name="M_Aggregate_GradeIII_53_224mm">#REF!</definedName>
    <definedName name="M_Aggregates_53_22.4mm_at_Site" localSheetId="21">[160]Material!$E$37</definedName>
    <definedName name="M_Aggregates_53_22.4mm_at_Site" localSheetId="9">[160]Material!$E$37</definedName>
    <definedName name="M_Aggregates_53_22.4mm_at_Site" localSheetId="4">[160]Material!$E$37</definedName>
    <definedName name="M_Aggregates_53_22.4mm_at_Site" localSheetId="8">[160]Material!$E$37</definedName>
    <definedName name="M_Aggregates_53_22.4mm_at_Site">#REF!</definedName>
    <definedName name="M_Aggregates_63_45mm_at_Site" localSheetId="21">[160]Material!$E$40</definedName>
    <definedName name="M_Aggregates_63_45mm_at_Site" localSheetId="9">[160]Material!$E$40</definedName>
    <definedName name="M_Aggregates_63_45mm_at_Site" localSheetId="4">[160]Material!$E$40</definedName>
    <definedName name="M_Aggregates_63_45mm_at_Site" localSheetId="8">[160]Material!$E$40</definedName>
    <definedName name="M_Aggregates_63_45mm_at_Site">#REF!</definedName>
    <definedName name="M_Aggregates_90_45mm_at_Site" localSheetId="21">[160]Material!$E$41</definedName>
    <definedName name="M_Aggregates_90_45mm_at_Site" localSheetId="9">[160]Material!$E$41</definedName>
    <definedName name="M_Aggregates_90_45mm_at_Site" localSheetId="4">[160]Material!$E$41</definedName>
    <definedName name="M_Aggregates_90_45mm_at_Site" localSheetId="8">[160]Material!$E$41</definedName>
    <definedName name="M_Aggregates_90_45mm_at_Site">#REF!</definedName>
    <definedName name="M_AIRCOMP170" localSheetId="23">#REF!</definedName>
    <definedName name="M_AIRCOMP170" localSheetId="46">#REF!</definedName>
    <definedName name="M_AIRCOMP170" localSheetId="47">#REF!</definedName>
    <definedName name="M_AIRCOMP170" localSheetId="40">#REF!</definedName>
    <definedName name="M_AIRCOMP170" localSheetId="44">#REF!</definedName>
    <definedName name="M_AIRCOMP170" localSheetId="45">#REF!</definedName>
    <definedName name="M_AIRCOMP170" localSheetId="21">#REF!</definedName>
    <definedName name="M_AIRCOMP170" localSheetId="9">#REF!</definedName>
    <definedName name="M_AIRCOMP170" localSheetId="4">#REF!</definedName>
    <definedName name="M_AIRCOMP170" localSheetId="24">#REF!</definedName>
    <definedName name="M_AIRCOMP170" localSheetId="43">#REF!</definedName>
    <definedName name="M_AIRCOMP170" localSheetId="8">#REF!</definedName>
    <definedName name="M_AIRCOMP170" localSheetId="52">#REF!</definedName>
    <definedName name="M_AIRCOMP170" localSheetId="7">#REF!</definedName>
    <definedName name="M_AIRCOMP170">#REF!</definedName>
    <definedName name="M_AIRCOMP210" localSheetId="23">#REF!</definedName>
    <definedName name="M_AIRCOMP210" localSheetId="46">#REF!</definedName>
    <definedName name="M_AIRCOMP210" localSheetId="47">#REF!</definedName>
    <definedName name="M_AIRCOMP210" localSheetId="40">#REF!</definedName>
    <definedName name="M_AIRCOMP210" localSheetId="44">#REF!</definedName>
    <definedName name="M_AIRCOMP210" localSheetId="45">#REF!</definedName>
    <definedName name="M_AIRCOMP210" localSheetId="21">#REF!</definedName>
    <definedName name="M_AIRCOMP210" localSheetId="9">#REF!</definedName>
    <definedName name="M_AIRCOMP210" localSheetId="4">#REF!</definedName>
    <definedName name="M_AIRCOMP210" localSheetId="24">#REF!</definedName>
    <definedName name="M_AIRCOMP210" localSheetId="43">#REF!</definedName>
    <definedName name="M_AIRCOMP210" localSheetId="8">#REF!</definedName>
    <definedName name="M_AIRCOMP210" localSheetId="52">#REF!</definedName>
    <definedName name="M_AIRCOMP210" localSheetId="7">#REF!</definedName>
    <definedName name="M_AIRCOMP210">#REF!</definedName>
    <definedName name="M_AluminiumSheeting_15mm" localSheetId="21">[147]Material!$D$28</definedName>
    <definedName name="M_AluminiumSheeting_15mm" localSheetId="9">[147]Material!$D$28</definedName>
    <definedName name="M_AluminiumSheeting_15mm" localSheetId="4">[147]Material!$D$28</definedName>
    <definedName name="M_AluminiumSheeting_15mm" localSheetId="8">[147]Material!$D$28</definedName>
    <definedName name="M_AluminiumSheeting_15mm" localSheetId="7">#REF!</definedName>
    <definedName name="M_AluminiumSheeting_15mm">#REF!</definedName>
    <definedName name="M_AluminiumStuds_100_100_Lense" localSheetId="21">[147]Material!$D$29</definedName>
    <definedName name="M_AluminiumStuds_100_100_Lense" localSheetId="9">[147]Material!$D$29</definedName>
    <definedName name="M_AluminiumStuds_100_100_Lense" localSheetId="4">[147]Material!$D$29</definedName>
    <definedName name="M_AluminiumStuds_100_100_Lense" localSheetId="8">[147]Material!$D$29</definedName>
    <definedName name="M_AluminiumStuds_100_100_Lense" localSheetId="7">#REF!</definedName>
    <definedName name="M_AluminiumStuds_100_100_Lense">#REF!</definedName>
    <definedName name="M_Bamboo_1stClass_85_100mm_25m_long" localSheetId="21">[147]Material!$D$31</definedName>
    <definedName name="M_Bamboo_1stClass_85_100mm_25m_long" localSheetId="9">[147]Material!$D$31</definedName>
    <definedName name="M_Bamboo_1stClass_85_100mm_25m_long" localSheetId="4">[147]Material!$D$31</definedName>
    <definedName name="M_Bamboo_1stClass_85_100mm_25m_long" localSheetId="8">[147]Material!$D$31</definedName>
    <definedName name="M_Bamboo_1stClass_85_100mm_25m_long" localSheetId="7">#REF!</definedName>
    <definedName name="M_Bamboo_1stClass_85_100mm_25m_long">#REF!</definedName>
    <definedName name="M_Bamboo_1stClass_85_100mm_2m_long" localSheetId="21">[147]Material!$D$30</definedName>
    <definedName name="M_Bamboo_1stClass_85_100mm_2m_long" localSheetId="9">[147]Material!$D$30</definedName>
    <definedName name="M_Bamboo_1stClass_85_100mm_2m_long" localSheetId="4">[147]Material!$D$30</definedName>
    <definedName name="M_Bamboo_1stClass_85_100mm_2m_long" localSheetId="8">[147]Material!$D$30</definedName>
    <definedName name="M_Bamboo_1stClass_85_100mm_2m_long" localSheetId="7">#REF!</definedName>
    <definedName name="M_Bamboo_1stClass_85_100mm_2m_long">#REF!</definedName>
    <definedName name="M_Bamboo_1stClass_85_100mm_3m_long" localSheetId="21">[147]Material!$D$32</definedName>
    <definedName name="M_Bamboo_1stClass_85_100mm_3m_long" localSheetId="9">[147]Material!$D$32</definedName>
    <definedName name="M_Bamboo_1stClass_85_100mm_3m_long" localSheetId="4">[147]Material!$D$32</definedName>
    <definedName name="M_Bamboo_1stClass_85_100mm_3m_long" localSheetId="8">[147]Material!$D$32</definedName>
    <definedName name="M_Bamboo_1stClass_85_100mm_3m_long" localSheetId="7">#REF!</definedName>
    <definedName name="M_Bamboo_1stClass_85_100mm_3m_long">#REF!</definedName>
    <definedName name="M_Bamboo_1stClass_85_100mm_45_55m_long" localSheetId="21">[147]Material!$D$33</definedName>
    <definedName name="M_Bamboo_1stClass_85_100mm_45_55m_long" localSheetId="9">[147]Material!$D$33</definedName>
    <definedName name="M_Bamboo_1stClass_85_100mm_45_55m_long" localSheetId="4">[147]Material!$D$33</definedName>
    <definedName name="M_Bamboo_1stClass_85_100mm_45_55m_long" localSheetId="8">[147]Material!$D$33</definedName>
    <definedName name="M_Bamboo_1stClass_85_100mm_45_55m_long" localSheetId="7">#REF!</definedName>
    <definedName name="M_Bamboo_1stClass_85_100mm_45_55m_long">#REF!</definedName>
    <definedName name="M_Bamboo_2ndClass_75mm_18_25m_long" localSheetId="21">[147]Material!$D$34</definedName>
    <definedName name="M_Bamboo_2ndClass_75mm_18_25m_long" localSheetId="9">[147]Material!$D$34</definedName>
    <definedName name="M_Bamboo_2ndClass_75mm_18_25m_long" localSheetId="4">[147]Material!$D$34</definedName>
    <definedName name="M_Bamboo_2ndClass_75mm_18_25m_long" localSheetId="8">[147]Material!$D$34</definedName>
    <definedName name="M_Bamboo_2ndClass_75mm_18_25m_long" localSheetId="7">#REF!</definedName>
    <definedName name="M_Bamboo_2ndClass_75mm_18_25m_long">#REF!</definedName>
    <definedName name="M_Bamboo_2ndClass_75mm_21_30m_long" localSheetId="21">[147]Material!$D$35</definedName>
    <definedName name="M_Bamboo_2ndClass_75mm_21_30m_long" localSheetId="9">[147]Material!$D$35</definedName>
    <definedName name="M_Bamboo_2ndClass_75mm_21_30m_long" localSheetId="4">[147]Material!$D$35</definedName>
    <definedName name="M_Bamboo_2ndClass_75mm_21_30m_long" localSheetId="8">[147]Material!$D$35</definedName>
    <definedName name="M_Bamboo_2ndClass_75mm_21_30m_long" localSheetId="7">#REF!</definedName>
    <definedName name="M_Bamboo_2ndClass_75mm_21_30m_long">#REF!</definedName>
    <definedName name="M_BarbedWire" localSheetId="21">[147]Material!$D$36</definedName>
    <definedName name="M_BarbedWire" localSheetId="9">[147]Material!$D$36</definedName>
    <definedName name="M_BarbedWire" localSheetId="4">[147]Material!$D$36</definedName>
    <definedName name="M_BarbedWire" localSheetId="8">[147]Material!$D$36</definedName>
    <definedName name="M_BarbedWire" localSheetId="7">#REF!</definedName>
    <definedName name="M_BarbedWire">#REF!</definedName>
    <definedName name="M_BindingMaterial" localSheetId="21">[147]Material!$D$37</definedName>
    <definedName name="M_BindingMaterial" localSheetId="9">[147]Material!$D$37</definedName>
    <definedName name="M_BindingMaterial" localSheetId="4">[147]Material!$D$37</definedName>
    <definedName name="M_BindingMaterial" localSheetId="8">[147]Material!$D$37</definedName>
    <definedName name="M_BindingMaterial" localSheetId="7">#REF!</definedName>
    <definedName name="M_BindingMaterial">#REF!</definedName>
    <definedName name="M_BindingWire" localSheetId="21">[161]Material!$D$38</definedName>
    <definedName name="M_BindingWire" localSheetId="9">[161]Material!$D$38</definedName>
    <definedName name="M_BindingWire" localSheetId="4">[162]Material!$D$38</definedName>
    <definedName name="M_BindingWire" localSheetId="10">#REF!</definedName>
    <definedName name="M_BindingWire" localSheetId="8">[161]Material!$D$38</definedName>
    <definedName name="M_BindingWire" localSheetId="7">#REF!</definedName>
    <definedName name="M_BindingWire">#REF!</definedName>
    <definedName name="M_Bitumen_CRM" localSheetId="21">[159]Material!$D$39</definedName>
    <definedName name="M_Bitumen_CRM" localSheetId="9">[159]Material!$D$39</definedName>
    <definedName name="M_Bitumen_CRM" localSheetId="4">[159]Material!$D$39</definedName>
    <definedName name="M_Bitumen_CRM" localSheetId="10">#REF!</definedName>
    <definedName name="M_Bitumen_CRM" localSheetId="8">[159]Material!$D$39</definedName>
    <definedName name="M_Bitumen_CRM" localSheetId="7">#REF!</definedName>
    <definedName name="M_Bitumen_CRM">#REF!</definedName>
    <definedName name="M_Bitumen_NRM" localSheetId="21">[159]Material!$D$40</definedName>
    <definedName name="M_Bitumen_NRM" localSheetId="9">[159]Material!$D$40</definedName>
    <definedName name="M_Bitumen_NRM" localSheetId="4">[159]Material!$D$40</definedName>
    <definedName name="M_Bitumen_NRM" localSheetId="10">#REF!</definedName>
    <definedName name="M_Bitumen_NRM" localSheetId="8">[159]Material!$D$40</definedName>
    <definedName name="M_Bitumen_NRM" localSheetId="7">#REF!</definedName>
    <definedName name="M_Bitumen_NRM">#REF!</definedName>
    <definedName name="M_Bitumen_PM" localSheetId="21">[159]Material!$D$41</definedName>
    <definedName name="M_Bitumen_PM" localSheetId="9">[159]Material!$D$41</definedName>
    <definedName name="M_Bitumen_PM" localSheetId="4">[159]Material!$D$41</definedName>
    <definedName name="M_Bitumen_PM" localSheetId="10">#REF!</definedName>
    <definedName name="M_Bitumen_PM" localSheetId="8">[159]Material!$D$41</definedName>
    <definedName name="M_Bitumen_PM" localSheetId="7">#REF!</definedName>
    <definedName name="M_Bitumen_PM">#REF!</definedName>
    <definedName name="M_Bitumen_S65" localSheetId="21">[142]Material!$D$42</definedName>
    <definedName name="M_Bitumen_S65" localSheetId="9">[142]Material!$D$42</definedName>
    <definedName name="M_Bitumen_S65" localSheetId="4">[142]Material!$D$42</definedName>
    <definedName name="M_Bitumen_S65" localSheetId="8">[142]Material!$D$42</definedName>
    <definedName name="M_Bitumen_S65">#REF!</definedName>
    <definedName name="M_Bitumen_S90" localSheetId="21">[142]Material!$D$43</definedName>
    <definedName name="M_Bitumen_S90" localSheetId="9">[142]Material!$D$43</definedName>
    <definedName name="M_Bitumen_S90" localSheetId="4">[142]Material!$D$43</definedName>
    <definedName name="M_Bitumen_S90" localSheetId="8">[142]Material!$D$43</definedName>
    <definedName name="M_Bitumen_S90">#REF!</definedName>
    <definedName name="M_BitumenEmulsion_RS1" localSheetId="21">[159]Material!$D$44</definedName>
    <definedName name="M_BitumenEmulsion_RS1" localSheetId="9">[159]Material!$D$44</definedName>
    <definedName name="M_BitumenEmulsion_RS1" localSheetId="4">[159]Material!$D$44</definedName>
    <definedName name="M_BitumenEmulsion_RS1" localSheetId="10">#REF!</definedName>
    <definedName name="M_BitumenEmulsion_RS1" localSheetId="8">[159]Material!$D$44</definedName>
    <definedName name="M_BitumenEmulsion_RS1" localSheetId="7">#REF!</definedName>
    <definedName name="M_BitumenEmulsion_RS1">#REF!</definedName>
    <definedName name="M_BitumenEmulsion_SS1" localSheetId="21">[143]Material!$D$45</definedName>
    <definedName name="M_BitumenEmulsion_SS1" localSheetId="9">[143]Material!$D$45</definedName>
    <definedName name="M_BitumenEmulsion_SS1" localSheetId="4">[144]Material!$D$45</definedName>
    <definedName name="M_BitumenEmulsion_SS1" localSheetId="10">#REF!</definedName>
    <definedName name="M_BitumenEmulsion_SS1" localSheetId="8">[143]Material!$D$45</definedName>
    <definedName name="M_BitumenEmulsion_SS1" localSheetId="7">#REF!</definedName>
    <definedName name="M_BitumenEmulsion_SS1">#REF!</definedName>
    <definedName name="M_BitumenSealant" localSheetId="21">[143]Material!$D$46</definedName>
    <definedName name="M_BitumenSealant" localSheetId="9">[143]Material!$D$46</definedName>
    <definedName name="M_BitumenSealant" localSheetId="4">[144]Material!$D$46</definedName>
    <definedName name="M_BitumenSealant" localSheetId="10">#REF!</definedName>
    <definedName name="M_BitumenSealant" localSheetId="8">[143]Material!$D$46</definedName>
    <definedName name="M_BitumenSealant" localSheetId="7">#REF!</definedName>
    <definedName name="M_BitumenSealant">#REF!</definedName>
    <definedName name="M_Blasted_Rubble" localSheetId="21">[145]Material!$D$47</definedName>
    <definedName name="M_Blasted_Rubble" localSheetId="9">[145]Material!$D$47</definedName>
    <definedName name="M_Blasted_Rubble" localSheetId="4">[146]Material!$D$47</definedName>
    <definedName name="M_Blasted_Rubble" localSheetId="10">#REF!</definedName>
    <definedName name="M_Blasted_Rubble" localSheetId="8">[145]Material!$D$47</definedName>
    <definedName name="M_Blasted_Rubble" localSheetId="7">#REF!</definedName>
    <definedName name="M_Blasted_Rubble">#REF!</definedName>
    <definedName name="M_BlastingMaterial" localSheetId="21">[145]Material!$D$48</definedName>
    <definedName name="M_BlastingMaterial" localSheetId="9">[145]Material!$D$48</definedName>
    <definedName name="M_BlastingMaterial" localSheetId="4">[146]Material!$D$48</definedName>
    <definedName name="M_BlastingMaterial" localSheetId="10">#REF!</definedName>
    <definedName name="M_BlastingMaterial" localSheetId="8">[145]Material!$D$48</definedName>
    <definedName name="M_BlastingMaterial" localSheetId="7">#REF!</definedName>
    <definedName name="M_BlastingMaterial">#REF!</definedName>
    <definedName name="M_BondStone_400_150_150mm" localSheetId="21">[145]Material!$D$49</definedName>
    <definedName name="M_BondStone_400_150_150mm" localSheetId="9">[145]Material!$D$49</definedName>
    <definedName name="M_BondStone_400_150_150mm" localSheetId="4">[146]Material!$D$49</definedName>
    <definedName name="M_BondStone_400_150_150mm" localSheetId="10">#REF!</definedName>
    <definedName name="M_BondStone_400_150_150mm" localSheetId="8">[145]Material!$D$49</definedName>
    <definedName name="M_BondStone_400_150_150mm" localSheetId="7">#REF!</definedName>
    <definedName name="M_BondStone_400_150_150mm">#REF!</definedName>
    <definedName name="M_Brick_1stClass" localSheetId="21">[145]Material!$D$50</definedName>
    <definedName name="M_Brick_1stClass" localSheetId="9">[145]Material!$D$50</definedName>
    <definedName name="M_Brick_1stClass" localSheetId="4">[146]Material!$D$50</definedName>
    <definedName name="M_Brick_1stClass" localSheetId="10">#REF!</definedName>
    <definedName name="M_Brick_1stClass" localSheetId="8">[145]Material!$D$50</definedName>
    <definedName name="M_Brick_1stClass" localSheetId="7">#REF!</definedName>
    <definedName name="M_Brick_1stClass">#REF!</definedName>
    <definedName name="M_BROOMER" localSheetId="23">#REF!</definedName>
    <definedName name="M_BROOMER" localSheetId="46">#REF!</definedName>
    <definedName name="M_BROOMER" localSheetId="47">#REF!</definedName>
    <definedName name="M_BROOMER" localSheetId="40">#REF!</definedName>
    <definedName name="M_BROOMER" localSheetId="44">#REF!</definedName>
    <definedName name="M_BROOMER" localSheetId="45">#REF!</definedName>
    <definedName name="M_BROOMER" localSheetId="21">#REF!</definedName>
    <definedName name="M_BROOMER" localSheetId="9">#REF!</definedName>
    <definedName name="M_BROOMER" localSheetId="4">#REF!</definedName>
    <definedName name="M_BROOMER" localSheetId="24">#REF!</definedName>
    <definedName name="M_BROOMER" localSheetId="43">#REF!</definedName>
    <definedName name="M_BROOMER" localSheetId="8">#REF!</definedName>
    <definedName name="M_BROOMER" localSheetId="52">#REF!</definedName>
    <definedName name="M_BROOMER" localSheetId="7">#REF!</definedName>
    <definedName name="M_BROOMER">#REF!</definedName>
    <definedName name="M_CC_CUTTER" localSheetId="23">#REF!</definedName>
    <definedName name="M_CC_CUTTER" localSheetId="46">#REF!</definedName>
    <definedName name="M_CC_CUTTER" localSheetId="47">#REF!</definedName>
    <definedName name="M_CC_CUTTER" localSheetId="40">#REF!</definedName>
    <definedName name="M_CC_CUTTER" localSheetId="44">#REF!</definedName>
    <definedName name="M_CC_CUTTER" localSheetId="45">#REF!</definedName>
    <definedName name="M_CC_CUTTER" localSheetId="21">#REF!</definedName>
    <definedName name="M_CC_CUTTER" localSheetId="9">#REF!</definedName>
    <definedName name="M_CC_CUTTER" localSheetId="4">#REF!</definedName>
    <definedName name="M_CC_CUTTER" localSheetId="24">#REF!</definedName>
    <definedName name="M_CC_CUTTER" localSheetId="43">#REF!</definedName>
    <definedName name="M_CC_CUTTER" localSheetId="8">#REF!</definedName>
    <definedName name="M_CC_CUTTER" localSheetId="52">#REF!</definedName>
    <definedName name="M_CC_CUTTER" localSheetId="7">#REF!</definedName>
    <definedName name="M_CC_CUTTER">#REF!</definedName>
    <definedName name="M_CCMIXER" localSheetId="23">#REF!</definedName>
    <definedName name="M_CCMIXER" localSheetId="46">#REF!</definedName>
    <definedName name="M_CCMIXER" localSheetId="47">#REF!</definedName>
    <definedName name="M_CCMIXER" localSheetId="40">#REF!</definedName>
    <definedName name="M_CCMIXER" localSheetId="44">#REF!</definedName>
    <definedName name="M_CCMIXER" localSheetId="45">#REF!</definedName>
    <definedName name="M_CCMIXER" localSheetId="21">#REF!</definedName>
    <definedName name="M_CCMIXER" localSheetId="9">#REF!</definedName>
    <definedName name="M_CCMIXER" localSheetId="4">#REF!</definedName>
    <definedName name="M_CCMIXER" localSheetId="24">#REF!</definedName>
    <definedName name="M_CCMIXER" localSheetId="43">#REF!</definedName>
    <definedName name="M_CCMIXER" localSheetId="8">#REF!</definedName>
    <definedName name="M_CCMIXER" localSheetId="52">#REF!</definedName>
    <definedName name="M_CCMIXER" localSheetId="7">#REF!</definedName>
    <definedName name="M_CCMIXER">#REF!</definedName>
    <definedName name="M_Cement" localSheetId="21">[143]Material!$D$51</definedName>
    <definedName name="M_Cement" localSheetId="9">[143]Material!$D$51</definedName>
    <definedName name="M_Cement" localSheetId="4">[144]Material!$D$51</definedName>
    <definedName name="M_Cement" localSheetId="10">#REF!</definedName>
    <definedName name="M_Cement" localSheetId="8">[143]Material!$D$51</definedName>
    <definedName name="M_Cement" localSheetId="7">#REF!</definedName>
    <definedName name="M_Cement">#REF!</definedName>
    <definedName name="M_CementPrimer" localSheetId="21">[147]Material!$D$52</definedName>
    <definedName name="M_CementPrimer" localSheetId="9">[147]Material!$D$52</definedName>
    <definedName name="M_CementPrimer" localSheetId="4">[147]Material!$D$52</definedName>
    <definedName name="M_CementPrimer" localSheetId="8">[147]Material!$D$52</definedName>
    <definedName name="M_CementPrimer" localSheetId="7">#REF!</definedName>
    <definedName name="M_CementPrimer">#REF!</definedName>
    <definedName name="M_CHIPSPREDER" localSheetId="23">#REF!</definedName>
    <definedName name="M_CHIPSPREDER" localSheetId="46">#REF!</definedName>
    <definedName name="M_CHIPSPREDER" localSheetId="47">#REF!</definedName>
    <definedName name="M_CHIPSPREDER" localSheetId="40">#REF!</definedName>
    <definedName name="M_CHIPSPREDER" localSheetId="44">#REF!</definedName>
    <definedName name="M_CHIPSPREDER" localSheetId="45">#REF!</definedName>
    <definedName name="M_CHIPSPREDER" localSheetId="21">#REF!</definedName>
    <definedName name="M_CHIPSPREDER" localSheetId="9">#REF!</definedName>
    <definedName name="M_CHIPSPREDER" localSheetId="4">#REF!</definedName>
    <definedName name="M_CHIPSPREDER" localSheetId="24">#REF!</definedName>
    <definedName name="M_CHIPSPREDER" localSheetId="43">#REF!</definedName>
    <definedName name="M_CHIPSPREDER" localSheetId="8">#REF!</definedName>
    <definedName name="M_CHIPSPREDER" localSheetId="52">#REF!</definedName>
    <definedName name="M_CHIPSPREDER" localSheetId="7">#REF!</definedName>
    <definedName name="M_CHIPSPREDER">#REF!</definedName>
    <definedName name="M_ChlorpreneElastomer_OR_ClosedCellFoamSealingElement" localSheetId="21">[148]Material!$D$53</definedName>
    <definedName name="M_ChlorpreneElastomer_OR_ClosedCellFoamSealingElement" localSheetId="9">[148]Material!$D$53</definedName>
    <definedName name="M_ChlorpreneElastomer_OR_ClosedCellFoamSealingElement" localSheetId="4">[148]Material!$D$53</definedName>
    <definedName name="M_ChlorpreneElastomer_OR_ClosedCellFoamSealingElement" localSheetId="8">[148]Material!$D$53</definedName>
    <definedName name="M_ChlorpreneElastomer_OR_ClosedCellFoamSealingElement" localSheetId="7">#REF!</definedName>
    <definedName name="M_ChlorpreneElastomer_OR_ClosedCellFoamSealingElement">#REF!</definedName>
    <definedName name="M_CompensationForEarthTakenFromPrivateLand" localSheetId="21">[142]Material!$D$54</definedName>
    <definedName name="M_CompensationForEarthTakenFromPrivateLand" localSheetId="9">[142]Material!$D$54</definedName>
    <definedName name="M_CompensationForEarthTakenFromPrivateLand" localSheetId="4">[142]Material!$D$54</definedName>
    <definedName name="M_CompensationForEarthTakenFromPrivateLand" localSheetId="8">[142]Material!$D$54</definedName>
    <definedName name="M_CompensationForEarthTakenFromPrivateLand">#REF!</definedName>
    <definedName name="M_CompressibleFibreBoard" localSheetId="21">[148]Material!$D$55</definedName>
    <definedName name="M_CompressibleFibreBoard" localSheetId="9">[148]Material!$D$55</definedName>
    <definedName name="M_CompressibleFibreBoard" localSheetId="4">[148]Material!$D$55</definedName>
    <definedName name="M_CompressibleFibreBoard" localSheetId="8">[148]Material!$D$55</definedName>
    <definedName name="M_CompressibleFibreBoard" localSheetId="7">#REF!</definedName>
    <definedName name="M_CompressibleFibreBoard">#REF!</definedName>
    <definedName name="M_CopperPlate" localSheetId="21">[148]Material!$D$56</definedName>
    <definedName name="M_CopperPlate" localSheetId="9">[148]Material!$D$56</definedName>
    <definedName name="M_CopperPlate" localSheetId="4">[148]Material!$D$56</definedName>
    <definedName name="M_CopperPlate" localSheetId="8">[148]Material!$D$56</definedName>
    <definedName name="M_CopperPlate" localSheetId="7">#REF!</definedName>
    <definedName name="M_CopperPlate">#REF!</definedName>
    <definedName name="M_CorrosionResistantStructuralSteelGrating" localSheetId="21">[148]Material!$D$58</definedName>
    <definedName name="M_CorrosionResistantStructuralSteelGrating" localSheetId="9">[148]Material!$D$58</definedName>
    <definedName name="M_CorrosionResistantStructuralSteelGrating" localSheetId="4">[148]Material!$D$58</definedName>
    <definedName name="M_CorrosionResistantStructuralSteelGrating" localSheetId="8">[148]Material!$D$58</definedName>
    <definedName name="M_CorrosionResistantStructuralSteelGrating" localSheetId="7">#REF!</definedName>
    <definedName name="M_CorrosionResistantStructuralSteelGrating">#REF!</definedName>
    <definedName name="M_CRANE8T" localSheetId="23">#REF!</definedName>
    <definedName name="M_CRANE8T" localSheetId="46">#REF!</definedName>
    <definedName name="M_CRANE8T" localSheetId="47">#REF!</definedName>
    <definedName name="M_CRANE8T" localSheetId="40">#REF!</definedName>
    <definedName name="M_CRANE8T" localSheetId="44">#REF!</definedName>
    <definedName name="M_CRANE8T" localSheetId="45">#REF!</definedName>
    <definedName name="M_CRANE8T" localSheetId="21">#REF!</definedName>
    <definedName name="M_CRANE8T" localSheetId="9">#REF!</definedName>
    <definedName name="M_CRANE8T" localSheetId="4">#REF!</definedName>
    <definedName name="M_CRANE8T" localSheetId="24">#REF!</definedName>
    <definedName name="M_CRANE8T" localSheetId="43">#REF!</definedName>
    <definedName name="M_CRANE8T" localSheetId="8">#REF!</definedName>
    <definedName name="M_CRANE8T" localSheetId="52">#REF!</definedName>
    <definedName name="M_CRANE8T" localSheetId="7">#REF!</definedName>
    <definedName name="M_CRANE8T">#REF!</definedName>
    <definedName name="M_CreditForExcavatedRock" localSheetId="21">[147]Material!$D$59</definedName>
    <definedName name="M_CreditForExcavatedRock" localSheetId="9">[147]Material!$D$59</definedName>
    <definedName name="M_CreditForExcavatedRock" localSheetId="4">[147]Material!$D$59</definedName>
    <definedName name="M_CreditForExcavatedRock" localSheetId="8">[147]Material!$D$59</definedName>
    <definedName name="M_CreditForExcavatedRock" localSheetId="7">#REF!</definedName>
    <definedName name="M_CreditForExcavatedRock">#REF!</definedName>
    <definedName name="M_CrowBars_40mm">#REF!</definedName>
    <definedName name="M_CrushedSand_OR_Grit" localSheetId="21">[159]Material!$D$61</definedName>
    <definedName name="M_CrushedSand_OR_Grit" localSheetId="9">[159]Material!$D$61</definedName>
    <definedName name="M_CrushedSand_OR_Grit" localSheetId="4">[159]Material!$D$61</definedName>
    <definedName name="M_CrushedSand_OR_Grit" localSheetId="10">#REF!</definedName>
    <definedName name="M_CrushedSand_OR_Grit" localSheetId="8">[159]Material!$D$61</definedName>
    <definedName name="M_CrushedSand_OR_Grit" localSheetId="7">#REF!</definedName>
    <definedName name="M_CrushedSand_OR_Grit">#REF!</definedName>
    <definedName name="M_CrushedSlag" localSheetId="21">[147]Material!$D$62</definedName>
    <definedName name="M_CrushedSlag" localSheetId="9">[147]Material!$D$62</definedName>
    <definedName name="M_CrushedSlag" localSheetId="4">[147]Material!$D$62</definedName>
    <definedName name="M_CrushedSlag" localSheetId="8">[147]Material!$D$62</definedName>
    <definedName name="M_CrushedSlag" localSheetId="7">#REF!</definedName>
    <definedName name="M_CrushedSlag">#REF!</definedName>
    <definedName name="M_CrushedStoneAggregate_265_75" localSheetId="21">[147]Material!$D$63</definedName>
    <definedName name="M_CrushedStoneAggregate_265_75" localSheetId="9">[147]Material!$D$63</definedName>
    <definedName name="M_CrushedStoneAggregate_265_75" localSheetId="4">[147]Material!$D$63</definedName>
    <definedName name="M_CrushedStoneAggregate_265_75" localSheetId="8">[147]Material!$D$63</definedName>
    <definedName name="M_CrushedStoneAggregate_265_75" localSheetId="7">#REF!</definedName>
    <definedName name="M_CrushedStoneAggregate_265_75">#REF!</definedName>
    <definedName name="M_CrushedStoneChipping_132" localSheetId="21">[163]Material!$D$64</definedName>
    <definedName name="M_CrushedStoneChipping_132" localSheetId="9">[163]Material!$D$64</definedName>
    <definedName name="M_CrushedStoneChipping_132" localSheetId="4">[164]Material!$D$64</definedName>
    <definedName name="M_CrushedStoneChipping_132" localSheetId="10">#REF!</definedName>
    <definedName name="M_CrushedStoneChipping_132" localSheetId="8">[163]Material!$D$64</definedName>
    <definedName name="M_CrushedStoneChipping_132" localSheetId="7">#REF!</definedName>
    <definedName name="M_CrushedStoneChipping_132">#REF!</definedName>
    <definedName name="M_CrushedStoneChipping_67mm_100Passing_112mm" localSheetId="21">[159]Material!$D$65</definedName>
    <definedName name="M_CrushedStoneChipping_67mm_100Passing_112mm" localSheetId="9">[159]Material!$D$65</definedName>
    <definedName name="M_CrushedStoneChipping_67mm_100Passing_112mm" localSheetId="4">[159]Material!$D$65</definedName>
    <definedName name="M_CrushedStoneChipping_67mm_100Passing_112mm" localSheetId="10">#REF!</definedName>
    <definedName name="M_CrushedStoneChipping_67mm_100Passing_112mm" localSheetId="8">[159]Material!$D$65</definedName>
    <definedName name="M_CrushedStoneChipping_67mm_100Passing_112mm" localSheetId="7">#REF!</definedName>
    <definedName name="M_CrushedStoneChipping_67mm_100Passing_112mm">#REF!</definedName>
    <definedName name="M_CrushedStoneChipping_67mm_100Passing_95mm" localSheetId="21">[159]Material!$D$66</definedName>
    <definedName name="M_CrushedStoneChipping_67mm_100Passing_95mm" localSheetId="9">[159]Material!$D$66</definedName>
    <definedName name="M_CrushedStoneChipping_67mm_100Passing_95mm" localSheetId="4">[159]Material!$D$66</definedName>
    <definedName name="M_CrushedStoneChipping_67mm_100Passing_95mm" localSheetId="10">#REF!</definedName>
    <definedName name="M_CrushedStoneChipping_67mm_100Passing_95mm" localSheetId="8">[159]Material!$D$66</definedName>
    <definedName name="M_CrushedStoneChipping_67mm_100Passing_95mm" localSheetId="7">#REF!</definedName>
    <definedName name="M_CrushedStoneChipping_67mm_100Passing_95mm">#REF!</definedName>
    <definedName name="M_CrushedStoneChipping_95" localSheetId="21">[159]Material!$D$67</definedName>
    <definedName name="M_CrushedStoneChipping_95" localSheetId="9">[159]Material!$D$67</definedName>
    <definedName name="M_CrushedStoneChipping_95" localSheetId="4">[159]Material!$D$67</definedName>
    <definedName name="M_CrushedStoneChipping_95" localSheetId="10">#REF!</definedName>
    <definedName name="M_CrushedStoneChipping_95" localSheetId="8">[159]Material!$D$67</definedName>
    <definedName name="M_CrushedStoneChipping_95" localSheetId="7">#REF!</definedName>
    <definedName name="M_CrushedStoneChipping_95">#REF!</definedName>
    <definedName name="M_CrushedStoneCoarseAggregatePassing_53mm" localSheetId="21">[142]Material!$D$68</definedName>
    <definedName name="M_CrushedStoneCoarseAggregatePassing_53mm" localSheetId="9">[142]Material!$D$68</definedName>
    <definedName name="M_CrushedStoneCoarseAggregatePassing_53mm" localSheetId="4">[142]Material!$D$68</definedName>
    <definedName name="M_CrushedStoneCoarseAggregatePassing_53mm" localSheetId="8">[142]Material!$D$68</definedName>
    <definedName name="M_CrushedStoneCoarseAggregatePassing_53mm">#REF!</definedName>
    <definedName name="M_CuringCompound" localSheetId="21">[143]Material!$D$69</definedName>
    <definedName name="M_CuringCompound" localSheetId="9">[143]Material!$D$69</definedName>
    <definedName name="M_CuringCompound" localSheetId="4">[144]Material!$D$69</definedName>
    <definedName name="M_CuringCompound" localSheetId="10">#REF!</definedName>
    <definedName name="M_CuringCompound" localSheetId="8">[143]Material!$D$69</definedName>
    <definedName name="M_CuringCompound" localSheetId="7">#REF!</definedName>
    <definedName name="M_CuringCompound">#REF!</definedName>
    <definedName name="M_DebondingStrips" localSheetId="21">[143]Material!$D$70</definedName>
    <definedName name="M_DebondingStrips" localSheetId="9">[143]Material!$D$70</definedName>
    <definedName name="M_DebondingStrips" localSheetId="4">[144]Material!$D$70</definedName>
    <definedName name="M_DebondingStrips" localSheetId="10">#REF!</definedName>
    <definedName name="M_DebondingStrips" localSheetId="8">[143]Material!$D$70</definedName>
    <definedName name="M_DebondingStrips" localSheetId="7">#REF!</definedName>
    <definedName name="M_DebondingStrips">#REF!</definedName>
    <definedName name="M_DOZERD50" localSheetId="23">#REF!</definedName>
    <definedName name="M_DOZERD50" localSheetId="46">#REF!</definedName>
    <definedName name="M_DOZERD50" localSheetId="47">#REF!</definedName>
    <definedName name="M_DOZERD50" localSheetId="40">#REF!</definedName>
    <definedName name="M_DOZERD50" localSheetId="44">#REF!</definedName>
    <definedName name="M_DOZERD50" localSheetId="45">#REF!</definedName>
    <definedName name="M_DOZERD50" localSheetId="21">#REF!</definedName>
    <definedName name="M_DOZERD50" localSheetId="9">#REF!</definedName>
    <definedName name="M_DOZERD50" localSheetId="4">#REF!</definedName>
    <definedName name="M_DOZERD50" localSheetId="24">#REF!</definedName>
    <definedName name="M_DOZERD50" localSheetId="43">#REF!</definedName>
    <definedName name="M_DOZERD50" localSheetId="8">#REF!</definedName>
    <definedName name="M_DOZERD50" localSheetId="52">#REF!</definedName>
    <definedName name="M_DOZERD50" localSheetId="7">#REF!</definedName>
    <definedName name="M_DOZERD50">#REF!</definedName>
    <definedName name="M_EdgeStone_450_350_200mm" localSheetId="21">[147]Material!$D$72</definedName>
    <definedName name="M_EdgeStone_450_350_200mm" localSheetId="9">[147]Material!$D$72</definedName>
    <definedName name="M_EdgeStone_450_350_200mm" localSheetId="4">[147]Material!$D$72</definedName>
    <definedName name="M_EdgeStone_450_350_200mm" localSheetId="8">[147]Material!$D$72</definedName>
    <definedName name="M_EdgeStone_450_350_200mm" localSheetId="7">#REF!</definedName>
    <definedName name="M_EdgeStone_450_350_200mm">#REF!</definedName>
    <definedName name="M_ElastomericBearingAssembly" localSheetId="21">[145]Material!$D$73</definedName>
    <definedName name="M_ElastomericBearingAssembly" localSheetId="9">[145]Material!$D$73</definedName>
    <definedName name="M_ElastomericBearingAssembly" localSheetId="4">[146]Material!$D$73</definedName>
    <definedName name="M_ElastomericBearingAssembly" localSheetId="10">#REF!</definedName>
    <definedName name="M_ElastomericBearingAssembly" localSheetId="8">[145]Material!$D$73</definedName>
    <definedName name="M_ElastomericBearingAssembly" localSheetId="7">#REF!</definedName>
    <definedName name="M_ElastomericBearingAssembly">#REF!</definedName>
    <definedName name="M_ElectricDetonator" localSheetId="21">[145]Material!$D$74</definedName>
    <definedName name="M_ElectricDetonator" localSheetId="9">[145]Material!$D$74</definedName>
    <definedName name="M_ElectricDetonator" localSheetId="4">[146]Material!$D$74</definedName>
    <definedName name="M_ElectricDetonator" localSheetId="10">#REF!</definedName>
    <definedName name="M_ElectricDetonator" localSheetId="8">[145]Material!$D$74</definedName>
    <definedName name="M_ElectricDetonator" localSheetId="7">#REF!</definedName>
    <definedName name="M_ElectricDetonator">#REF!</definedName>
    <definedName name="M_ELEGEN" localSheetId="23">#REF!</definedName>
    <definedName name="M_ELEGEN" localSheetId="46">#REF!</definedName>
    <definedName name="M_ELEGEN" localSheetId="47">#REF!</definedName>
    <definedName name="M_ELEGEN" localSheetId="40">#REF!</definedName>
    <definedName name="M_ELEGEN" localSheetId="44">#REF!</definedName>
    <definedName name="M_ELEGEN" localSheetId="45">#REF!</definedName>
    <definedName name="M_ELEGEN" localSheetId="21">#REF!</definedName>
    <definedName name="M_ELEGEN" localSheetId="9">#REF!</definedName>
    <definedName name="M_ELEGEN" localSheetId="4">#REF!</definedName>
    <definedName name="M_ELEGEN" localSheetId="24">#REF!</definedName>
    <definedName name="M_ELEGEN" localSheetId="43">#REF!</definedName>
    <definedName name="M_ELEGEN" localSheetId="8">#REF!</definedName>
    <definedName name="M_ELEGEN" localSheetId="52">#REF!</definedName>
    <definedName name="M_ELEGEN" localSheetId="7">#REF!</definedName>
    <definedName name="M_ELEGEN">#REF!</definedName>
    <definedName name="M_EpoxyPaint" localSheetId="21">[147]Material!$D$75</definedName>
    <definedName name="M_EpoxyPaint" localSheetId="9">[147]Material!$D$75</definedName>
    <definedName name="M_EpoxyPaint" localSheetId="4">[147]Material!$D$75</definedName>
    <definedName name="M_EpoxyPaint" localSheetId="8">[147]Material!$D$75</definedName>
    <definedName name="M_EpoxyPaint" localSheetId="7">#REF!</definedName>
    <definedName name="M_EpoxyPaint">#REF!</definedName>
    <definedName name="M_EXCAVATOR9" localSheetId="23">#REF!</definedName>
    <definedName name="M_EXCAVATOR9" localSheetId="46">#REF!</definedName>
    <definedName name="M_EXCAVATOR9" localSheetId="47">#REF!</definedName>
    <definedName name="M_EXCAVATOR9" localSheetId="40">#REF!</definedName>
    <definedName name="M_EXCAVATOR9" localSheetId="44">#REF!</definedName>
    <definedName name="M_EXCAVATOR9" localSheetId="45">#REF!</definedName>
    <definedName name="M_EXCAVATOR9" localSheetId="21">#REF!</definedName>
    <definedName name="M_EXCAVATOR9" localSheetId="9">#REF!</definedName>
    <definedName name="M_EXCAVATOR9" localSheetId="4">#REF!</definedName>
    <definedName name="M_EXCAVATOR9" localSheetId="24">#REF!</definedName>
    <definedName name="M_EXCAVATOR9" localSheetId="43">#REF!</definedName>
    <definedName name="M_EXCAVATOR9" localSheetId="8">#REF!</definedName>
    <definedName name="M_EXCAVATOR9" localSheetId="52">#REF!</definedName>
    <definedName name="M_EXCAVATOR9" localSheetId="7">#REF!</definedName>
    <definedName name="M_EXCAVATOR9">#REF!</definedName>
    <definedName name="M_FarmyardManure" localSheetId="21">[147]Material!$D$77</definedName>
    <definedName name="M_FarmyardManure" localSheetId="9">[147]Material!$D$77</definedName>
    <definedName name="M_FarmyardManure" localSheetId="4">[147]Material!$D$77</definedName>
    <definedName name="M_FarmyardManure" localSheetId="8">[147]Material!$D$77</definedName>
    <definedName name="M_FarmyardManure" localSheetId="7">#REF!</definedName>
    <definedName name="M_FarmyardManure">#REF!</definedName>
    <definedName name="M_FevicolAdhesive" localSheetId="21">[147]Material!$D$78</definedName>
    <definedName name="M_FevicolAdhesive" localSheetId="9">[147]Material!$D$78</definedName>
    <definedName name="M_FevicolAdhesive" localSheetId="4">[147]Material!$D$78</definedName>
    <definedName name="M_FevicolAdhesive" localSheetId="8">[147]Material!$D$78</definedName>
    <definedName name="M_FevicolAdhesive" localSheetId="7">#REF!</definedName>
    <definedName name="M_FevicolAdhesive">#REF!</definedName>
    <definedName name="M_FilterMedia" localSheetId="21">[145]Material!$D$79</definedName>
    <definedName name="M_FilterMedia" localSheetId="9">[145]Material!$D$79</definedName>
    <definedName name="M_FilterMedia" localSheetId="4">[146]Material!$D$79</definedName>
    <definedName name="M_FilterMedia" localSheetId="10">#REF!</definedName>
    <definedName name="M_FilterMedia" localSheetId="8">[145]Material!$D$79</definedName>
    <definedName name="M_FilterMedia" localSheetId="7">#REF!</definedName>
    <definedName name="M_FilterMedia">#REF!</definedName>
    <definedName name="M_filterMediam" localSheetId="21">[112]Material!$D$79</definedName>
    <definedName name="M_filterMediam" localSheetId="9">[112]Material!$D$79</definedName>
    <definedName name="M_filterMediam" localSheetId="4">[112]Material!$D$79</definedName>
    <definedName name="M_filterMediam" localSheetId="10">#REF!</definedName>
    <definedName name="M_filterMediam" localSheetId="8">[112]Material!$D$79</definedName>
    <definedName name="M_filterMediam">#REF!</definedName>
    <definedName name="M_FineAggregate_CrushedSand" localSheetId="21">[147]Material!$D$80</definedName>
    <definedName name="M_FineAggregate_CrushedSand" localSheetId="9">[147]Material!$D$80</definedName>
    <definedName name="M_FineAggregate_CrushedSand" localSheetId="4">[147]Material!$D$80</definedName>
    <definedName name="M_FineAggregate_CrushedSand" localSheetId="8">[147]Material!$D$80</definedName>
    <definedName name="M_FineAggregate_CrushedSand" localSheetId="7">#REF!</definedName>
    <definedName name="M_FineAggregate_CrushedSand">#REF!</definedName>
    <definedName name="M_FRONTLOADER" localSheetId="23">#REF!</definedName>
    <definedName name="M_FRONTLOADER" localSheetId="46">#REF!</definedName>
    <definedName name="M_FRONTLOADER" localSheetId="47">#REF!</definedName>
    <definedName name="M_FRONTLOADER" localSheetId="40">#REF!</definedName>
    <definedName name="M_FRONTLOADER" localSheetId="44">#REF!</definedName>
    <definedName name="M_FRONTLOADER" localSheetId="45">#REF!</definedName>
    <definedName name="M_FRONTLOADER" localSheetId="21">#REF!</definedName>
    <definedName name="M_FRONTLOADER" localSheetId="9">#REF!</definedName>
    <definedName name="M_FRONTLOADER" localSheetId="4">#REF!</definedName>
    <definedName name="M_FRONTLOADER" localSheetId="24">#REF!</definedName>
    <definedName name="M_FRONTLOADER" localSheetId="43">#REF!</definedName>
    <definedName name="M_FRONTLOADER" localSheetId="8">#REF!</definedName>
    <definedName name="M_FRONTLOADER" localSheetId="52">#REF!</definedName>
    <definedName name="M_FRONTLOADER" localSheetId="7">#REF!</definedName>
    <definedName name="M_FRONTLOADER">#REF!</definedName>
    <definedName name="M_GalvanisedAngle" localSheetId="21">[148]Material!$D$81</definedName>
    <definedName name="M_GalvanisedAngle" localSheetId="9">[148]Material!$D$81</definedName>
    <definedName name="M_GalvanisedAngle" localSheetId="4">[148]Material!$D$81</definedName>
    <definedName name="M_GalvanisedAngle" localSheetId="8">[148]Material!$D$81</definedName>
    <definedName name="M_GalvanisedAngle" localSheetId="7">#REF!</definedName>
    <definedName name="M_GalvanisedAngle">#REF!</definedName>
    <definedName name="M_Gelatine_80" localSheetId="21">[147]Material!$D$83</definedName>
    <definedName name="M_Gelatine_80" localSheetId="9">[147]Material!$D$83</definedName>
    <definedName name="M_Gelatine_80" localSheetId="4">[147]Material!$D$83</definedName>
    <definedName name="M_Gelatine_80" localSheetId="8">[147]Material!$D$83</definedName>
    <definedName name="M_Gelatine_80" localSheetId="7">#REF!</definedName>
    <definedName name="M_Gelatine_80">#REF!</definedName>
    <definedName name="M_GIPipe_100mm" localSheetId="21">[148]Material!$D$84</definedName>
    <definedName name="M_GIPipe_100mm" localSheetId="9">[148]Material!$D$84</definedName>
    <definedName name="M_GIPipe_100mm" localSheetId="4">[148]Material!$D$84</definedName>
    <definedName name="M_GIPipe_100mm" localSheetId="8">[148]Material!$D$84</definedName>
    <definedName name="M_GIPipe_100mm" localSheetId="7">#REF!</definedName>
    <definedName name="M_GIPipe_100mm">#REF!</definedName>
    <definedName name="M_GIPipe_50mm" localSheetId="21">[147]Material!$D$85</definedName>
    <definedName name="M_GIPipe_50mm" localSheetId="9">[147]Material!$D$85</definedName>
    <definedName name="M_GIPipe_50mm" localSheetId="4">[147]Material!$D$85</definedName>
    <definedName name="M_GIPipe_50mm" localSheetId="8">[147]Material!$D$85</definedName>
    <definedName name="M_GIPipe_50mm" localSheetId="7">#REF!</definedName>
    <definedName name="M_GIPipe_50mm">#REF!</definedName>
    <definedName name="M_GIWires" localSheetId="21">[147]Material!$D$86</definedName>
    <definedName name="M_GIWires" localSheetId="9">[147]Material!$D$86</definedName>
    <definedName name="M_GIWires" localSheetId="4">[147]Material!$D$86</definedName>
    <definedName name="M_GIWires" localSheetId="8">[147]Material!$D$86</definedName>
    <definedName name="M_GIWires" localSheetId="7">#REF!</definedName>
    <definedName name="M_GIWires">#REF!</definedName>
    <definedName name="M_GradedStoneAggregate" localSheetId="21">[147]Material!$D$87</definedName>
    <definedName name="M_GradedStoneAggregate" localSheetId="9">[147]Material!$D$87</definedName>
    <definedName name="M_GradedStoneAggregate" localSheetId="4">[147]Material!$D$87</definedName>
    <definedName name="M_GradedStoneAggregate" localSheetId="8">[147]Material!$D$87</definedName>
    <definedName name="M_GradedStoneAggregate" localSheetId="7">#REF!</definedName>
    <definedName name="M_GradedStoneAggregate">#REF!</definedName>
    <definedName name="M_GranularMaterial" localSheetId="21">[145]Material!$D$88</definedName>
    <definedName name="M_GranularMaterial" localSheetId="9">[145]Material!$D$88</definedName>
    <definedName name="M_GranularMaterial" localSheetId="4">[146]Material!$D$88</definedName>
    <definedName name="M_GranularMaterial" localSheetId="10">#REF!</definedName>
    <definedName name="M_GranularMaterial" localSheetId="8">[145]Material!$D$88</definedName>
    <definedName name="M_GranularMaterial" localSheetId="7">#REF!</definedName>
    <definedName name="M_GranularMaterial">#REF!</definedName>
    <definedName name="M_HandBrokenMetal_40mm" localSheetId="21">[159]Material!$D$89</definedName>
    <definedName name="M_HandBrokenMetal_40mm" localSheetId="9">[159]Material!$D$89</definedName>
    <definedName name="M_HandBrokenMetal_40mm" localSheetId="4">[159]Material!$D$89</definedName>
    <definedName name="M_HandBrokenMetal_40mm" localSheetId="10">#REF!</definedName>
    <definedName name="M_HandBrokenMetal_40mm" localSheetId="8">[159]Material!$D$89</definedName>
    <definedName name="M_HandBrokenMetal_40mm" localSheetId="7">#REF!</definedName>
    <definedName name="M_HandBrokenMetal_40mm">#REF!</definedName>
    <definedName name="M_HMP40" localSheetId="23">#REF!</definedName>
    <definedName name="M_HMP40" localSheetId="46">#REF!</definedName>
    <definedName name="M_HMP40" localSheetId="47">#REF!</definedName>
    <definedName name="M_HMP40" localSheetId="40">#REF!</definedName>
    <definedName name="M_HMP40" localSheetId="44">#REF!</definedName>
    <definedName name="M_HMP40" localSheetId="45">#REF!</definedName>
    <definedName name="M_HMP40" localSheetId="21">#REF!</definedName>
    <definedName name="M_HMP40" localSheetId="9">#REF!</definedName>
    <definedName name="M_HMP40" localSheetId="4">#REF!</definedName>
    <definedName name="M_HMP40" localSheetId="24">#REF!</definedName>
    <definedName name="M_HMP40" localSheetId="43">#REF!</definedName>
    <definedName name="M_HMP40" localSheetId="8">#REF!</definedName>
    <definedName name="M_HMP40" localSheetId="52">#REF!</definedName>
    <definedName name="M_HMP40" localSheetId="7">#REF!</definedName>
    <definedName name="M_HMP40">#REF!</definedName>
    <definedName name="M_ICRUSHER" localSheetId="23">#REF!</definedName>
    <definedName name="M_ICRUSHER" localSheetId="46">#REF!</definedName>
    <definedName name="M_ICRUSHER" localSheetId="47">#REF!</definedName>
    <definedName name="M_ICRUSHER" localSheetId="40">#REF!</definedName>
    <definedName name="M_ICRUSHER" localSheetId="44">#REF!</definedName>
    <definedName name="M_ICRUSHER" localSheetId="45">#REF!</definedName>
    <definedName name="M_ICRUSHER" localSheetId="21">#REF!</definedName>
    <definedName name="M_ICRUSHER" localSheetId="9">#REF!</definedName>
    <definedName name="M_ICRUSHER" localSheetId="4">#REF!</definedName>
    <definedName name="M_ICRUSHER" localSheetId="24">#REF!</definedName>
    <definedName name="M_ICRUSHER" localSheetId="43">#REF!</definedName>
    <definedName name="M_ICRUSHER" localSheetId="8">#REF!</definedName>
    <definedName name="M_ICRUSHER" localSheetId="52">#REF!</definedName>
    <definedName name="M_ICRUSHER" localSheetId="7">#REF!</definedName>
    <definedName name="M_ICRUSHER">#REF!</definedName>
    <definedName name="M_Indigo" localSheetId="21">[147]Material!$D$90</definedName>
    <definedName name="M_Indigo" localSheetId="9">[147]Material!$D$90</definedName>
    <definedName name="M_Indigo" localSheetId="4">[147]Material!$D$90</definedName>
    <definedName name="M_Indigo" localSheetId="8">[147]Material!$D$90</definedName>
    <definedName name="M_Indigo" localSheetId="7">#REF!</definedName>
    <definedName name="M_Indigo">#REF!</definedName>
    <definedName name="M_InterlockingBlocks_60mm" localSheetId="21">[159]Material!$D$91</definedName>
    <definedName name="M_InterlockingBlocks_60mm" localSheetId="9">[159]Material!$D$91</definedName>
    <definedName name="M_InterlockingBlocks_60mm" localSheetId="4">[159]Material!$D$91</definedName>
    <definedName name="M_InterlockingBlocks_60mm" localSheetId="10">#REF!</definedName>
    <definedName name="M_InterlockingBlocks_60mm" localSheetId="8">[159]Material!$D$91</definedName>
    <definedName name="M_InterlockingBlocks_60mm" localSheetId="7">#REF!</definedName>
    <definedName name="M_InterlockingBlocks_60mm">#REF!</definedName>
    <definedName name="M_InterlockingBlocks_80mm" localSheetId="21">[159]Material!$D$92</definedName>
    <definedName name="M_InterlockingBlocks_80mm" localSheetId="9">[159]Material!$D$92</definedName>
    <definedName name="M_InterlockingBlocks_80mm" localSheetId="4">[159]Material!$D$92</definedName>
    <definedName name="M_InterlockingBlocks_80mm" localSheetId="10">#REF!</definedName>
    <definedName name="M_InterlockingBlocks_80mm" localSheetId="8">[159]Material!$D$92</definedName>
    <definedName name="M_InterlockingBlocks_80mm" localSheetId="7">#REF!</definedName>
    <definedName name="M_InterlockingBlocks_80mm">#REF!</definedName>
    <definedName name="M_JointFillerBoard" localSheetId="21">[143]Material!$D$93</definedName>
    <definedName name="M_JointFillerBoard" localSheetId="9">[143]Material!$D$93</definedName>
    <definedName name="M_JointFillerBoard" localSheetId="4">[144]Material!$D$93</definedName>
    <definedName name="M_JointFillerBoard" localSheetId="10">#REF!</definedName>
    <definedName name="M_JointFillerBoard" localSheetId="8">[143]Material!$D$93</definedName>
    <definedName name="M_JointFillerBoard" localSheetId="7">#REF!</definedName>
    <definedName name="M_JointFillerBoard">#REF!</definedName>
    <definedName name="M_JuteNetting_OpenWeave_25mm" localSheetId="21">[147]Material!$D$94</definedName>
    <definedName name="M_JuteNetting_OpenWeave_25mm" localSheetId="9">[147]Material!$D$94</definedName>
    <definedName name="M_JuteNetting_OpenWeave_25mm" localSheetId="4">[147]Material!$D$94</definedName>
    <definedName name="M_JuteNetting_OpenWeave_25mm" localSheetId="8">[147]Material!$D$94</definedName>
    <definedName name="M_JuteNetting_OpenWeave_25mm" localSheetId="7">#REF!</definedName>
    <definedName name="M_JuteNetting_OpenWeave_25mm">#REF!</definedName>
    <definedName name="M_JuteRope_12mm" localSheetId="21">[143]Material!$D$95</definedName>
    <definedName name="M_JuteRope_12mm" localSheetId="9">[143]Material!$D$95</definedName>
    <definedName name="M_JuteRope_12mm" localSheetId="4">[144]Material!$D$95</definedName>
    <definedName name="M_JuteRope_12mm" localSheetId="10">#REF!</definedName>
    <definedName name="M_JuteRope_12mm" localSheetId="8">[143]Material!$D$95</definedName>
    <definedName name="M_JuteRope_12mm" localSheetId="7">#REF!</definedName>
    <definedName name="M_JuteRope_12mm">#REF!</definedName>
    <definedName name="M_KeyAggregatesPassing_224mm" localSheetId="21">[142]Material!$D$96</definedName>
    <definedName name="M_KeyAggregatesPassing_224mm" localSheetId="9">[142]Material!$D$96</definedName>
    <definedName name="M_KeyAggregatesPassing_224mm" localSheetId="4">[142]Material!$D$96</definedName>
    <definedName name="M_KeyAggregatesPassing_224mm" localSheetId="8">[142]Material!$D$96</definedName>
    <definedName name="M_KeyAggregatesPassing_224mm">#REF!</definedName>
    <definedName name="m_lead" localSheetId="23">#REF!</definedName>
    <definedName name="m_lead" localSheetId="46">#REF!</definedName>
    <definedName name="m_lead" localSheetId="47">#REF!</definedName>
    <definedName name="m_lead" localSheetId="40">#REF!</definedName>
    <definedName name="m_lead" localSheetId="44">#REF!</definedName>
    <definedName name="m_lead" localSheetId="45">#REF!</definedName>
    <definedName name="m_lead" localSheetId="21">#REF!</definedName>
    <definedName name="m_lead" localSheetId="9">#REF!</definedName>
    <definedName name="m_lead" localSheetId="4">#REF!</definedName>
    <definedName name="m_lead" localSheetId="24">#REF!</definedName>
    <definedName name="m_lead" localSheetId="43">#REF!</definedName>
    <definedName name="m_lead" localSheetId="8">#REF!</definedName>
    <definedName name="m_lead" localSheetId="52">#REF!</definedName>
    <definedName name="m_lead" localSheetId="7">#REF!</definedName>
    <definedName name="m_lead">#REF!</definedName>
    <definedName name="M_Lime" localSheetId="21">[145]Material!$D$97</definedName>
    <definedName name="M_Lime" localSheetId="9">[145]Material!$D$97</definedName>
    <definedName name="M_Lime" localSheetId="4">[146]Material!$D$97</definedName>
    <definedName name="M_Lime" localSheetId="10">#REF!</definedName>
    <definedName name="M_Lime" localSheetId="8">[145]Material!$D$97</definedName>
    <definedName name="M_Lime" localSheetId="7">#REF!</definedName>
    <definedName name="M_Lime">#REF!</definedName>
    <definedName name="M_LocalWoodPiles_1stClass" localSheetId="21">[147]Material!$D$99</definedName>
    <definedName name="M_LocalWoodPiles_1stClass" localSheetId="9">[147]Material!$D$99</definedName>
    <definedName name="M_LocalWoodPiles_1stClass" localSheetId="4">[147]Material!$D$99</definedName>
    <definedName name="M_LocalWoodPiles_1stClass" localSheetId="8">[147]Material!$D$99</definedName>
    <definedName name="M_LocalWoodPiles_1stClass" localSheetId="7">#REF!</definedName>
    <definedName name="M_LocalWoodPiles_1stClass">#REF!</definedName>
    <definedName name="M_LocalWoodPiles_1stClass_100_75mm" localSheetId="21">[147]Material!$D$100</definedName>
    <definedName name="M_LocalWoodPiles_1stClass_100_75mm" localSheetId="9">[147]Material!$D$100</definedName>
    <definedName name="M_LocalWoodPiles_1stClass_100_75mm" localSheetId="4">[147]Material!$D$100</definedName>
    <definedName name="M_LocalWoodPiles_1stClass_100_75mm" localSheetId="8">[147]Material!$D$100</definedName>
    <definedName name="M_LocalWoodPiles_1stClass_100_75mm" localSheetId="7">#REF!</definedName>
    <definedName name="M_LocalWoodPiles_1stClass_100_75mm">#REF!</definedName>
    <definedName name="M_MOTORGRADER200" localSheetId="23">#REF!</definedName>
    <definedName name="M_MOTORGRADER200" localSheetId="46">#REF!</definedName>
    <definedName name="M_MOTORGRADER200" localSheetId="47">#REF!</definedName>
    <definedName name="M_MOTORGRADER200" localSheetId="40">#REF!</definedName>
    <definedName name="M_MOTORGRADER200" localSheetId="44">#REF!</definedName>
    <definedName name="M_MOTORGRADER200" localSheetId="45">#REF!</definedName>
    <definedName name="M_MOTORGRADER200" localSheetId="21">#REF!</definedName>
    <definedName name="M_MOTORGRADER200" localSheetId="9">#REF!</definedName>
    <definedName name="M_MOTORGRADER200" localSheetId="4">#REF!</definedName>
    <definedName name="M_MOTORGRADER200" localSheetId="24">#REF!</definedName>
    <definedName name="M_MOTORGRADER200" localSheetId="43">#REF!</definedName>
    <definedName name="M_MOTORGRADER200" localSheetId="8">#REF!</definedName>
    <definedName name="M_MOTORGRADER200" localSheetId="52">#REF!</definedName>
    <definedName name="M_MOTORGRADER200" localSheetId="7">#REF!</definedName>
    <definedName name="M_MOTORGRADER200">#REF!</definedName>
    <definedName name="M_MOTORGRADER50" localSheetId="23">#REF!</definedName>
    <definedName name="M_MOTORGRADER50" localSheetId="46">#REF!</definedName>
    <definedName name="M_MOTORGRADER50" localSheetId="47">#REF!</definedName>
    <definedName name="M_MOTORGRADER50" localSheetId="40">#REF!</definedName>
    <definedName name="M_MOTORGRADER50" localSheetId="44">#REF!</definedName>
    <definedName name="M_MOTORGRADER50" localSheetId="45">#REF!</definedName>
    <definedName name="M_MOTORGRADER50" localSheetId="21">#REF!</definedName>
    <definedName name="M_MOTORGRADER50" localSheetId="9">#REF!</definedName>
    <definedName name="M_MOTORGRADER50" localSheetId="4">#REF!</definedName>
    <definedName name="M_MOTORGRADER50" localSheetId="24">#REF!</definedName>
    <definedName name="M_MOTORGRADER50" localSheetId="43">#REF!</definedName>
    <definedName name="M_MOTORGRADER50" localSheetId="8">#REF!</definedName>
    <definedName name="M_MOTORGRADER50" localSheetId="52">#REF!</definedName>
    <definedName name="M_MOTORGRADER50" localSheetId="7">#REF!</definedName>
    <definedName name="M_MOTORGRADER50">#REF!</definedName>
    <definedName name="M_MS_Sheet_15mm" localSheetId="21">[147]Material!$D$105</definedName>
    <definedName name="M_MS_Sheet_15mm" localSheetId="9">[147]Material!$D$105</definedName>
    <definedName name="M_MS_Sheet_15mm" localSheetId="4">[147]Material!$D$105</definedName>
    <definedName name="M_MS_Sheet_15mm" localSheetId="8">[147]Material!$D$105</definedName>
    <definedName name="M_MS_Sheet_15mm" localSheetId="7">#REF!</definedName>
    <definedName name="M_MS_Sheet_15mm">#REF!</definedName>
    <definedName name="M_MS_Sheet_2mm" localSheetId="21">[147]Material!$D$106</definedName>
    <definedName name="M_MS_Sheet_2mm" localSheetId="9">[147]Material!$D$106</definedName>
    <definedName name="M_MS_Sheet_2mm" localSheetId="4">[147]Material!$D$106</definedName>
    <definedName name="M_MS_Sheet_2mm" localSheetId="8">[147]Material!$D$106</definedName>
    <definedName name="M_MS_Sheet_2mm" localSheetId="7">#REF!</definedName>
    <definedName name="M_MS_Sheet_2mm">#REF!</definedName>
    <definedName name="M_MSClamps" localSheetId="21">[145]Material!$D$102</definedName>
    <definedName name="M_MSClamps" localSheetId="9">[145]Material!$D$102</definedName>
    <definedName name="M_MSClamps" localSheetId="4">[146]Material!$D$102</definedName>
    <definedName name="M_MSClamps" localSheetId="10">#REF!</definedName>
    <definedName name="M_MSClamps" localSheetId="8">[145]Material!$D$102</definedName>
    <definedName name="M_MSClamps" localSheetId="7">#REF!</definedName>
    <definedName name="M_MSClamps">#REF!</definedName>
    <definedName name="M_MSFlat_StructuralSteel" localSheetId="21">[147]Material!$D$103</definedName>
    <definedName name="M_MSFlat_StructuralSteel" localSheetId="9">[147]Material!$D$103</definedName>
    <definedName name="M_MSFlat_StructuralSteel" localSheetId="4">[147]Material!$D$103</definedName>
    <definedName name="M_MSFlat_StructuralSteel" localSheetId="8">[147]Material!$D$103</definedName>
    <definedName name="M_MSFlat_StructuralSteel" localSheetId="7">#REF!</definedName>
    <definedName name="M_MSFlat_StructuralSteel">#REF!</definedName>
    <definedName name="M_MSSheetTube_47_47mm_12_SWG" localSheetId="21">[147]Material!$D$104</definedName>
    <definedName name="M_MSSheetTube_47_47mm_12_SWG" localSheetId="9">[147]Material!$D$104</definedName>
    <definedName name="M_MSSheetTube_47_47mm_12_SWG" localSheetId="4">[147]Material!$D$104</definedName>
    <definedName name="M_MSSheetTube_47_47mm_12_SWG" localSheetId="8">[147]Material!$D$104</definedName>
    <definedName name="M_MSSheetTube_47_47mm_12_SWG" localSheetId="7">#REF!</definedName>
    <definedName name="M_MSSheetTube_47_47mm_12_SWG">#REF!</definedName>
    <definedName name="M_Nuts_Bolts_Rivets" localSheetId="21">[147]Material!$D$107</definedName>
    <definedName name="M_Nuts_Bolts_Rivets" localSheetId="9">[147]Material!$D$107</definedName>
    <definedName name="M_Nuts_Bolts_Rivets" localSheetId="4">[147]Material!$D$107</definedName>
    <definedName name="M_Nuts_Bolts_Rivets" localSheetId="8">[147]Material!$D$107</definedName>
    <definedName name="M_Nuts_Bolts_Rivets" localSheetId="7">#REF!</definedName>
    <definedName name="M_Nuts_Bolts_Rivets">#REF!</definedName>
    <definedName name="M_Paint_SyntheticEnamel" localSheetId="21">[147]Material!$D$108</definedName>
    <definedName name="M_Paint_SyntheticEnamel" localSheetId="9">[147]Material!$D$108</definedName>
    <definedName name="M_Paint_SyntheticEnamel" localSheetId="4">[147]Material!$D$108</definedName>
    <definedName name="M_Paint_SyntheticEnamel" localSheetId="8">[147]Material!$D$108</definedName>
    <definedName name="M_Paint_SyntheticEnamel" localSheetId="7">#REF!</definedName>
    <definedName name="M_Paint_SyntheticEnamel">#REF!</definedName>
    <definedName name="M_PAVER100" localSheetId="23">#REF!</definedName>
    <definedName name="M_PAVER100" localSheetId="46">#REF!</definedName>
    <definedName name="M_PAVER100" localSheetId="47">#REF!</definedName>
    <definedName name="M_PAVER100" localSheetId="40">#REF!</definedName>
    <definedName name="M_PAVER100" localSheetId="44">#REF!</definedName>
    <definedName name="M_PAVER100" localSheetId="45">#REF!</definedName>
    <definedName name="M_PAVER100" localSheetId="21">#REF!</definedName>
    <definedName name="M_PAVER100" localSheetId="9">#REF!</definedName>
    <definedName name="M_PAVER100" localSheetId="4">#REF!</definedName>
    <definedName name="M_PAVER100" localSheetId="24">#REF!</definedName>
    <definedName name="M_PAVER100" localSheetId="43">#REF!</definedName>
    <definedName name="M_PAVER100" localSheetId="8">#REF!</definedName>
    <definedName name="M_PAVER100" localSheetId="52">#REF!</definedName>
    <definedName name="M_PAVER100" localSheetId="7">#REF!</definedName>
    <definedName name="M_PAVER100">#REF!</definedName>
    <definedName name="M_PAVER75" localSheetId="23">#REF!</definedName>
    <definedName name="M_PAVER75" localSheetId="46">#REF!</definedName>
    <definedName name="M_PAVER75" localSheetId="47">#REF!</definedName>
    <definedName name="M_PAVER75" localSheetId="40">#REF!</definedName>
    <definedName name="M_PAVER75" localSheetId="44">#REF!</definedName>
    <definedName name="M_PAVER75" localSheetId="45">#REF!</definedName>
    <definedName name="M_PAVER75" localSheetId="21">#REF!</definedName>
    <definedName name="M_PAVER75" localSheetId="9">#REF!</definedName>
    <definedName name="M_PAVER75" localSheetId="4">#REF!</definedName>
    <definedName name="M_PAVER75" localSheetId="24">#REF!</definedName>
    <definedName name="M_PAVER75" localSheetId="43">#REF!</definedName>
    <definedName name="M_PAVER75" localSheetId="8">#REF!</definedName>
    <definedName name="M_PAVER75" localSheetId="52">#REF!</definedName>
    <definedName name="M_PAVER75" localSheetId="7">#REF!</definedName>
    <definedName name="M_PAVER75">#REF!</definedName>
    <definedName name="M_PD_BT" localSheetId="23">#REF!</definedName>
    <definedName name="M_PD_BT" localSheetId="46">#REF!</definedName>
    <definedName name="M_PD_BT" localSheetId="47">#REF!</definedName>
    <definedName name="M_PD_BT" localSheetId="40">#REF!</definedName>
    <definedName name="M_PD_BT" localSheetId="44">#REF!</definedName>
    <definedName name="M_PD_BT" localSheetId="45">#REF!</definedName>
    <definedName name="M_PD_BT" localSheetId="21">#REF!</definedName>
    <definedName name="M_PD_BT" localSheetId="9">#REF!</definedName>
    <definedName name="M_PD_BT" localSheetId="4">#REF!</definedName>
    <definedName name="M_PD_BT" localSheetId="24">#REF!</definedName>
    <definedName name="M_PD_BT" localSheetId="43">#REF!</definedName>
    <definedName name="M_PD_BT" localSheetId="8">#REF!</definedName>
    <definedName name="M_PD_BT" localSheetId="52">#REF!</definedName>
    <definedName name="M_PD_BT" localSheetId="7">#REF!</definedName>
    <definedName name="M_PD_BT">#REF!</definedName>
    <definedName name="M_PD_BTEM" localSheetId="23">#REF!</definedName>
    <definedName name="M_PD_BTEM" localSheetId="46">#REF!</definedName>
    <definedName name="M_PD_BTEM" localSheetId="47">#REF!</definedName>
    <definedName name="M_PD_BTEM" localSheetId="40">#REF!</definedName>
    <definedName name="M_PD_BTEM" localSheetId="44">#REF!</definedName>
    <definedName name="M_PD_BTEM" localSheetId="45">#REF!</definedName>
    <definedName name="M_PD_BTEM" localSheetId="21">#REF!</definedName>
    <definedName name="M_PD_BTEM" localSheetId="9">#REF!</definedName>
    <definedName name="M_PD_BTEM" localSheetId="4">#REF!</definedName>
    <definedName name="M_PD_BTEM" localSheetId="24">#REF!</definedName>
    <definedName name="M_PD_BTEM" localSheetId="43">#REF!</definedName>
    <definedName name="M_PD_BTEM" localSheetId="8">#REF!</definedName>
    <definedName name="M_PD_BTEM" localSheetId="52">#REF!</definedName>
    <definedName name="M_PD_BTEM" localSheetId="7">#REF!</definedName>
    <definedName name="M_PD_BTEM">#REF!</definedName>
    <definedName name="M_Plasticizer" localSheetId="21">[143]Material!$D$109</definedName>
    <definedName name="M_Plasticizer" localSheetId="9">[143]Material!$D$109</definedName>
    <definedName name="M_Plasticizer" localSheetId="4">[144]Material!$D$109</definedName>
    <definedName name="M_Plasticizer" localSheetId="10">#REF!</definedName>
    <definedName name="M_Plasticizer" localSheetId="8">[143]Material!$D$109</definedName>
    <definedName name="M_Plasticizer" localSheetId="7">#REF!</definedName>
    <definedName name="M_Plasticizer">#REF!</definedName>
    <definedName name="M_PolytheneSheet_125" localSheetId="21">[143]Material!$D$110</definedName>
    <definedName name="M_PolytheneSheet_125" localSheetId="9">[143]Material!$D$110</definedName>
    <definedName name="M_PolytheneSheet_125" localSheetId="4">[144]Material!$D$110</definedName>
    <definedName name="M_PolytheneSheet_125" localSheetId="10">#REF!</definedName>
    <definedName name="M_PolytheneSheet_125" localSheetId="8">[143]Material!$D$110</definedName>
    <definedName name="M_PolytheneSheet_125" localSheetId="7">#REF!</definedName>
    <definedName name="M_PolytheneSheet_125">#REF!</definedName>
    <definedName name="M_PolytheneSheething" localSheetId="21">[143]Material!$D$111</definedName>
    <definedName name="M_PolytheneSheething" localSheetId="9">[143]Material!$D$111</definedName>
    <definedName name="M_PolytheneSheething" localSheetId="4">[144]Material!$D$111</definedName>
    <definedName name="M_PolytheneSheething" localSheetId="10">#REF!</definedName>
    <definedName name="M_PolytheneSheething" localSheetId="8">[143]Material!$D$111</definedName>
    <definedName name="M_PolytheneSheething" localSheetId="7">#REF!</definedName>
    <definedName name="M_PolytheneSheething">#REF!</definedName>
    <definedName name="M_QuarriedStone_150_200mm">#REF!</definedName>
    <definedName name="M_RCCPipeNP3_1000mm" localSheetId="21">[143]Material!$D$114</definedName>
    <definedName name="M_RCCPipeNP3_1000mm" localSheetId="9">[143]Material!$D$114</definedName>
    <definedName name="M_RCCPipeNP3_1000mm" localSheetId="4">[144]Material!$D$114</definedName>
    <definedName name="M_RCCPipeNP3_1000mm" localSheetId="10">#REF!</definedName>
    <definedName name="M_RCCPipeNP3_1000mm" localSheetId="8">[143]Material!$D$114</definedName>
    <definedName name="M_RCCPipeNP3_1000mm" localSheetId="7">#REF!</definedName>
    <definedName name="M_RCCPipeNP3_1000mm">#REF!</definedName>
    <definedName name="M_RCCPipeNP3_1200mm" localSheetId="21">[143]Material!$D$113</definedName>
    <definedName name="M_RCCPipeNP3_1200mm" localSheetId="9">[143]Material!$D$113</definedName>
    <definedName name="M_RCCPipeNP3_1200mm" localSheetId="4">[144]Material!$D$113</definedName>
    <definedName name="M_RCCPipeNP3_1200mm" localSheetId="10">#REF!</definedName>
    <definedName name="M_RCCPipeNP3_1200mm" localSheetId="8">[143]Material!$D$113</definedName>
    <definedName name="M_RCCPipeNP3_1200mm" localSheetId="7">#REF!</definedName>
    <definedName name="M_RCCPipeNP3_1200mm">#REF!</definedName>
    <definedName name="M_RCCPipeNP3_500mm" localSheetId="21">[143]Material!$D$117</definedName>
    <definedName name="M_RCCPipeNP3_500mm" localSheetId="9">[143]Material!$D$117</definedName>
    <definedName name="M_RCCPipeNP3_500mm" localSheetId="4">[144]Material!$D$117</definedName>
    <definedName name="M_RCCPipeNP3_500mm" localSheetId="10">#REF!</definedName>
    <definedName name="M_RCCPipeNP3_500mm" localSheetId="8">[143]Material!$D$117</definedName>
    <definedName name="M_RCCPipeNP3_500mm" localSheetId="7">#REF!</definedName>
    <definedName name="M_RCCPipeNP3_500mm">#REF!</definedName>
    <definedName name="M_RCCPipeNP3_750mm" localSheetId="21">[143]Material!$D$115</definedName>
    <definedName name="M_RCCPipeNP3_750mm" localSheetId="9">[143]Material!$D$115</definedName>
    <definedName name="M_RCCPipeNP3_750mm" localSheetId="4">[144]Material!$D$115</definedName>
    <definedName name="M_RCCPipeNP3_750mm" localSheetId="10">#REF!</definedName>
    <definedName name="M_RCCPipeNP3_750mm" localSheetId="8">[143]Material!$D$115</definedName>
    <definedName name="M_RCCPipeNP3_750mm" localSheetId="7">#REF!</definedName>
    <definedName name="M_RCCPipeNP3_750mm">#REF!</definedName>
    <definedName name="M_RCCPipeNP4" localSheetId="21">[141]Material!$D$118</definedName>
    <definedName name="M_RCCPipeNP4" localSheetId="9">[141]Material!$D$118</definedName>
    <definedName name="M_RCCPipeNP4" localSheetId="4">[141]Material!$D$118</definedName>
    <definedName name="M_RCCPipeNP4" localSheetId="8">[141]Material!$D$118</definedName>
    <definedName name="M_RCCPipeNP4" localSheetId="7">#REF!</definedName>
    <definedName name="M_RCCPipeNP4">#REF!</definedName>
    <definedName name="M_RCCPipeNP4_1000mm" localSheetId="21">[143]Material!$D$119</definedName>
    <definedName name="M_RCCPipeNP4_1000mm" localSheetId="9">[143]Material!$D$119</definedName>
    <definedName name="M_RCCPipeNP4_1000mm" localSheetId="4">[144]Material!$D$119</definedName>
    <definedName name="M_RCCPipeNP4_1000mm" localSheetId="10">#REF!</definedName>
    <definedName name="M_RCCPipeNP4_1000mm" localSheetId="8">[143]Material!$D$119</definedName>
    <definedName name="M_RCCPipeNP4_1000mm" localSheetId="7">#REF!</definedName>
    <definedName name="M_RCCPipeNP4_1000mm">#REF!</definedName>
    <definedName name="M_RCCPipeNP4_1200mm" localSheetId="21">[143]Material!$D$118</definedName>
    <definedName name="M_RCCPipeNP4_1200mm" localSheetId="9">[143]Material!$D$118</definedName>
    <definedName name="M_RCCPipeNP4_1200mm" localSheetId="4">[144]Material!$D$118</definedName>
    <definedName name="M_RCCPipeNP4_1200mm" localSheetId="10">#REF!</definedName>
    <definedName name="M_RCCPipeNP4_1200mm" localSheetId="8">[143]Material!$D$118</definedName>
    <definedName name="M_RCCPipeNP4_1200mm" localSheetId="7">#REF!</definedName>
    <definedName name="M_RCCPipeNP4_1200mm">#REF!</definedName>
    <definedName name="M_RCCPipeNP4_500mm" localSheetId="21">[143]Material!$D$122</definedName>
    <definedName name="M_RCCPipeNP4_500mm" localSheetId="9">[143]Material!$D$122</definedName>
    <definedName name="M_RCCPipeNP4_500mm" localSheetId="4">[144]Material!$D$122</definedName>
    <definedName name="M_RCCPipeNP4_500mm" localSheetId="10">#REF!</definedName>
    <definedName name="M_RCCPipeNP4_500mm" localSheetId="8">[143]Material!$D$122</definedName>
    <definedName name="M_RCCPipeNP4_500mm" localSheetId="7">#REF!</definedName>
    <definedName name="M_RCCPipeNP4_500mm">#REF!</definedName>
    <definedName name="M_RCCPipeNP4_750mm" localSheetId="21">[143]Material!$D$120</definedName>
    <definedName name="M_RCCPipeNP4_750mm" localSheetId="9">[143]Material!$D$120</definedName>
    <definedName name="M_RCCPipeNP4_750mm" localSheetId="4">[144]Material!$D$120</definedName>
    <definedName name="M_RCCPipeNP4_750mm" localSheetId="10">#REF!</definedName>
    <definedName name="M_RCCPipeNP4_750mm" localSheetId="8">[143]Material!$D$120</definedName>
    <definedName name="M_RCCPipeNP4_750mm" localSheetId="7">#REF!</definedName>
    <definedName name="M_RCCPipeNP4_750mm">#REF!</definedName>
    <definedName name="M_RedOxidePrimer" localSheetId="21">[147]Material!$D$123</definedName>
    <definedName name="M_RedOxidePrimer" localSheetId="9">[147]Material!$D$123</definedName>
    <definedName name="M_RedOxidePrimer" localSheetId="4">[147]Material!$D$123</definedName>
    <definedName name="M_RedOxidePrimer" localSheetId="8">[147]Material!$D$123</definedName>
    <definedName name="M_RedOxidePrimer" localSheetId="7">#REF!</definedName>
    <definedName name="M_RedOxidePrimer">#REF!</definedName>
    <definedName name="M_RoadMarkingPaint" localSheetId="21">[147]Material!$D$124</definedName>
    <definedName name="M_RoadMarkingPaint" localSheetId="9">[147]Material!$D$124</definedName>
    <definedName name="M_RoadMarkingPaint" localSheetId="4">[147]Material!$D$124</definedName>
    <definedName name="M_RoadMarkingPaint" localSheetId="8">[147]Material!$D$124</definedName>
    <definedName name="M_RoadMarkingPaint" localSheetId="7">#REF!</definedName>
    <definedName name="M_RoadMarkingPaint">#REF!</definedName>
    <definedName name="M_ROLLER" localSheetId="23">#REF!</definedName>
    <definedName name="M_ROLLER" localSheetId="46">#REF!</definedName>
    <definedName name="M_ROLLER" localSheetId="47">#REF!</definedName>
    <definedName name="M_ROLLER" localSheetId="40">#REF!</definedName>
    <definedName name="M_ROLLER" localSheetId="44">#REF!</definedName>
    <definedName name="M_ROLLER" localSheetId="45">#REF!</definedName>
    <definedName name="M_ROLLER" localSheetId="21">#REF!</definedName>
    <definedName name="M_ROLLER" localSheetId="9">#REF!</definedName>
    <definedName name="M_ROLLER" localSheetId="4">#REF!</definedName>
    <definedName name="M_ROLLER" localSheetId="24">#REF!</definedName>
    <definedName name="M_ROLLER" localSheetId="43">#REF!</definedName>
    <definedName name="M_ROLLER" localSheetId="8">#REF!</definedName>
    <definedName name="M_ROLLER" localSheetId="52">#REF!</definedName>
    <definedName name="M_ROLLER" localSheetId="7">#REF!</definedName>
    <definedName name="M_ROLLER">#REF!</definedName>
    <definedName name="M_Sand_Coarse" localSheetId="21">[143]Material!$D$125</definedName>
    <definedName name="M_Sand_Coarse" localSheetId="9">[143]Material!$D$125</definedName>
    <definedName name="M_Sand_Coarse" localSheetId="4">[144]Material!$D$125</definedName>
    <definedName name="M_Sand_Coarse" localSheetId="10">#REF!</definedName>
    <definedName name="M_Sand_Coarse" localSheetId="8">[143]Material!$D$125</definedName>
    <definedName name="M_Sand_Coarse" localSheetId="7">#REF!</definedName>
    <definedName name="M_Sand_Coarse">#REF!</definedName>
    <definedName name="M_Sand_Fine" localSheetId="21">[143]Material!$D$126</definedName>
    <definedName name="M_Sand_Fine" localSheetId="9">[143]Material!$D$126</definedName>
    <definedName name="M_Sand_Fine" localSheetId="4">[144]Material!$D$126</definedName>
    <definedName name="M_Sand_Fine" localSheetId="10">#REF!</definedName>
    <definedName name="M_Sand_Fine" localSheetId="8">[143]Material!$D$126</definedName>
    <definedName name="M_Sand_Fine" localSheetId="7">#REF!</definedName>
    <definedName name="M_Sand_Fine">#REF!</definedName>
    <definedName name="M_Seeds" localSheetId="21">[147]Material!$D$127</definedName>
    <definedName name="M_Seeds" localSheetId="9">[147]Material!$D$127</definedName>
    <definedName name="M_Seeds" localSheetId="4">[147]Material!$D$127</definedName>
    <definedName name="M_Seeds" localSheetId="8">[147]Material!$D$127</definedName>
    <definedName name="M_Seeds" localSheetId="7">#REF!</definedName>
    <definedName name="M_Seeds">#REF!</definedName>
    <definedName name="M_SteelPipe_500mm" localSheetId="21">[148]Material!$D$128</definedName>
    <definedName name="M_SteelPipe_500mm" localSheetId="9">[148]Material!$D$128</definedName>
    <definedName name="M_SteelPipe_500mm" localSheetId="4">[148]Material!$D$128</definedName>
    <definedName name="M_SteelPipe_500mm" localSheetId="8">[148]Material!$D$128</definedName>
    <definedName name="M_SteelPipe_500mm" localSheetId="7">#REF!</definedName>
    <definedName name="M_SteelPipe_500mm">#REF!</definedName>
    <definedName name="M_SteelReinforcement_HYSDBars" localSheetId="21">[161]Material!$D$129</definedName>
    <definedName name="M_SteelReinforcement_HYSDBars" localSheetId="9">[161]Material!$D$129</definedName>
    <definedName name="M_SteelReinforcement_HYSDBars" localSheetId="4">[162]Material!$D$129</definedName>
    <definedName name="M_SteelReinforcement_HYSDBars" localSheetId="10">#REF!</definedName>
    <definedName name="M_SteelReinforcement_HYSDBars" localSheetId="8">[161]Material!$D$129</definedName>
    <definedName name="M_SteelReinforcement_HYSDBars" localSheetId="7">#REF!</definedName>
    <definedName name="M_SteelReinforcement_HYSDBars">#REF!</definedName>
    <definedName name="M_SteelReinforcement_MSRoundBars" localSheetId="21">[143]Material!$D$130</definedName>
    <definedName name="M_SteelReinforcement_MSRoundBars" localSheetId="9">[143]Material!$D$130</definedName>
    <definedName name="M_SteelReinforcement_MSRoundBars" localSheetId="4">[144]Material!$D$130</definedName>
    <definedName name="M_SteelReinforcement_MSRoundBars" localSheetId="10">#REF!</definedName>
    <definedName name="M_SteelReinforcement_MSRoundBars" localSheetId="8">[143]Material!$D$130</definedName>
    <definedName name="M_SteelReinforcement_MSRoundBars" localSheetId="7">#REF!</definedName>
    <definedName name="M_SteelReinforcement_MSRoundBars">#REF!</definedName>
    <definedName name="M_SteelReinforcement_TMTBars" localSheetId="21">[145]Material!$D$131</definedName>
    <definedName name="M_SteelReinforcement_TMTBars" localSheetId="9">[145]Material!$D$131</definedName>
    <definedName name="M_SteelReinforcement_TMTBars" localSheetId="4">[146]Material!$D$131</definedName>
    <definedName name="M_SteelReinforcement_TMTBars" localSheetId="10">#REF!</definedName>
    <definedName name="M_SteelReinforcement_TMTBars" localSheetId="8">[145]Material!$D$131</definedName>
    <definedName name="M_SteelReinforcement_TMTBars" localSheetId="7">#REF!</definedName>
    <definedName name="M_SteelReinforcement_TMTBars">#REF!</definedName>
    <definedName name="M_StoneBoulder_150mm_below" localSheetId="21">[142]Material!$D$132</definedName>
    <definedName name="M_StoneBoulder_150mm_below" localSheetId="9">[142]Material!$D$132</definedName>
    <definedName name="M_StoneBoulder_150mm_below" localSheetId="4">[142]Material!$D$132</definedName>
    <definedName name="M_StoneBoulder_150mm_below" localSheetId="8">[142]Material!$D$132</definedName>
    <definedName name="M_StoneBoulder_150mm_below">#REF!</definedName>
    <definedName name="M_StoneChips_12mm" localSheetId="21">[159]Material!$D$133</definedName>
    <definedName name="M_StoneChips_12mm" localSheetId="9">[159]Material!$D$133</definedName>
    <definedName name="M_StoneChips_12mm" localSheetId="4">[159]Material!$D$133</definedName>
    <definedName name="M_StoneChips_12mm" localSheetId="10">#REF!</definedName>
    <definedName name="M_StoneChips_12mm" localSheetId="8">[159]Material!$D$133</definedName>
    <definedName name="M_StoneChips_12mm" localSheetId="7">#REF!</definedName>
    <definedName name="M_StoneChips_12mm">#REF!</definedName>
    <definedName name="M_StoneCrushedAggregate_112_009mm" localSheetId="21">[159]Material!$D$135</definedName>
    <definedName name="M_StoneCrushedAggregate_112_009mm" localSheetId="9">[159]Material!$D$135</definedName>
    <definedName name="M_StoneCrushedAggregate_112_009mm" localSheetId="4">[159]Material!$D$135</definedName>
    <definedName name="M_StoneCrushedAggregate_112_009mm" localSheetId="10">#REF!</definedName>
    <definedName name="M_StoneCrushedAggregate_112_009mm" localSheetId="8">[159]Material!$D$135</definedName>
    <definedName name="M_StoneCrushedAggregate_112_009mm" localSheetId="7">#REF!</definedName>
    <definedName name="M_StoneCrushedAggregate_112_009mm">#REF!</definedName>
    <definedName name="M_StoneForCoarseRubbleMasonry_1stSort" localSheetId="21">[145]Material!$D$136</definedName>
    <definedName name="M_StoneForCoarseRubbleMasonry_1stSort" localSheetId="9">[145]Material!$D$136</definedName>
    <definedName name="M_StoneForCoarseRubbleMasonry_1stSort" localSheetId="4">[146]Material!$D$136</definedName>
    <definedName name="M_StoneForCoarseRubbleMasonry_1stSort" localSheetId="10">#REF!</definedName>
    <definedName name="M_StoneForCoarseRubbleMasonry_1stSort" localSheetId="8">[145]Material!$D$136</definedName>
    <definedName name="M_StoneForCoarseRubbleMasonry_1stSort" localSheetId="7">#REF!</definedName>
    <definedName name="M_StoneForCoarseRubbleMasonry_1stSort">#REF!</definedName>
    <definedName name="M_StoneForCoarseRubbleMasonry_2ndSort" localSheetId="21">[145]Material!$D$137</definedName>
    <definedName name="M_StoneForCoarseRubbleMasonry_2ndSort" localSheetId="9">[145]Material!$D$137</definedName>
    <definedName name="M_StoneForCoarseRubbleMasonry_2ndSort" localSheetId="4">[146]Material!$D$137</definedName>
    <definedName name="M_StoneForCoarseRubbleMasonry_2ndSort" localSheetId="10">#REF!</definedName>
    <definedName name="M_StoneForCoarseRubbleMasonry_2ndSort" localSheetId="8">[145]Material!$D$137</definedName>
    <definedName name="M_StoneForCoarseRubbleMasonry_2ndSort" localSheetId="7">#REF!</definedName>
    <definedName name="M_StoneForCoarseRubbleMasonry_2ndSort">#REF!</definedName>
    <definedName name="M_StoneForRandomRubbleMasonry" localSheetId="21">[145]Material!$D$138</definedName>
    <definedName name="M_StoneForRandomRubbleMasonry" localSheetId="9">[145]Material!$D$138</definedName>
    <definedName name="M_StoneForRandomRubbleMasonry" localSheetId="4">[146]Material!$D$138</definedName>
    <definedName name="M_StoneForRandomRubbleMasonry" localSheetId="10">#REF!</definedName>
    <definedName name="M_StoneForRandomRubbleMasonry" localSheetId="8">[145]Material!$D$138</definedName>
    <definedName name="M_StoneForRandomRubbleMasonry" localSheetId="7">#REF!</definedName>
    <definedName name="M_StoneForRandomRubbleMasonry">#REF!</definedName>
    <definedName name="M_StoneForStoneSetPavement" localSheetId="21">[147]Material!$D$139</definedName>
    <definedName name="M_StoneForStoneSetPavement" localSheetId="9">[147]Material!$D$139</definedName>
    <definedName name="M_StoneForStoneSetPavement" localSheetId="4">[147]Material!$D$139</definedName>
    <definedName name="M_StoneForStoneSetPavement" localSheetId="8">[147]Material!$D$139</definedName>
    <definedName name="M_StoneForStoneSetPavement" localSheetId="7">#REF!</definedName>
    <definedName name="M_StoneForStoneSetPavement">#REF!</definedName>
    <definedName name="M_StoneScreening_TypeA_132mm_Grade1" localSheetId="21">[147]Material!$D$140</definedName>
    <definedName name="M_StoneScreening_TypeA_132mm_Grade1" localSheetId="9">[147]Material!$D$140</definedName>
    <definedName name="M_StoneScreening_TypeA_132mm_Grade1" localSheetId="4">[147]Material!$D$140</definedName>
    <definedName name="M_StoneScreening_TypeA_132mm_Grade1" localSheetId="8">[147]Material!$D$140</definedName>
    <definedName name="M_StoneScreening_TypeA_132mm_Grade1" localSheetId="7">#REF!</definedName>
    <definedName name="M_StoneScreening_TypeA_132mm_Grade1">#REF!</definedName>
    <definedName name="M_StoneScreening_TypeB_112mm_Grade2" localSheetId="21">[147]Material!$D$142</definedName>
    <definedName name="M_StoneScreening_TypeB_112mm_Grade2" localSheetId="9">[147]Material!$D$142</definedName>
    <definedName name="M_StoneScreening_TypeB_112mm_Grade2" localSheetId="4">[147]Material!$D$142</definedName>
    <definedName name="M_StoneScreening_TypeB_112mm_Grade2" localSheetId="8">[147]Material!$D$142</definedName>
    <definedName name="M_StoneScreening_TypeB_112mm_Grade2" localSheetId="7">#REF!</definedName>
    <definedName name="M_StoneScreening_TypeB_112mm_Grade2">#REF!</definedName>
    <definedName name="M_StoneScreening_TypeB_112mm_Grade3" localSheetId="21">[147]Material!$D$143</definedName>
    <definedName name="M_StoneScreening_TypeB_112mm_Grade3" localSheetId="9">[147]Material!$D$143</definedName>
    <definedName name="M_StoneScreening_TypeB_112mm_Grade3" localSheetId="4">[147]Material!$D$143</definedName>
    <definedName name="M_StoneScreening_TypeB_112mm_Grade3" localSheetId="8">[147]Material!$D$143</definedName>
    <definedName name="M_StoneScreening_TypeB_112mm_Grade3" localSheetId="7">#REF!</definedName>
    <definedName name="M_StoneScreening_TypeB_112mm_Grade3">#REF!</definedName>
    <definedName name="M_StoneSpalls" localSheetId="21">[142]Material!$D$144</definedName>
    <definedName name="M_StoneSpalls" localSheetId="9">[142]Material!$D$144</definedName>
    <definedName name="M_StoneSpalls" localSheetId="4">[142]Material!$D$144</definedName>
    <definedName name="M_StoneSpalls" localSheetId="8">[142]Material!$D$144</definedName>
    <definedName name="M_StoneSpalls">#REF!</definedName>
    <definedName name="M_TANKER6K" localSheetId="23">#REF!</definedName>
    <definedName name="M_TANKER6K" localSheetId="46">#REF!</definedName>
    <definedName name="M_TANKER6K" localSheetId="47">#REF!</definedName>
    <definedName name="M_TANKER6K" localSheetId="40">#REF!</definedName>
    <definedName name="M_TANKER6K" localSheetId="44">#REF!</definedName>
    <definedName name="M_TANKER6K" localSheetId="45">#REF!</definedName>
    <definedName name="M_TANKER6K" localSheetId="21">#REF!</definedName>
    <definedName name="M_TANKER6K" localSheetId="9">#REF!</definedName>
    <definedName name="M_TANKER6K" localSheetId="4">#REF!</definedName>
    <definedName name="M_TANKER6K" localSheetId="24">#REF!</definedName>
    <definedName name="M_TANKER6K" localSheetId="43">#REF!</definedName>
    <definedName name="M_TANKER6K" localSheetId="8">#REF!</definedName>
    <definedName name="M_TANKER6K" localSheetId="52">#REF!</definedName>
    <definedName name="M_TANKER6K" localSheetId="7">#REF!</definedName>
    <definedName name="M_TANKER6K">#REF!</definedName>
    <definedName name="M_TIPPER" localSheetId="23">#REF!</definedName>
    <definedName name="M_TIPPER" localSheetId="46">#REF!</definedName>
    <definedName name="M_TIPPER" localSheetId="47">#REF!</definedName>
    <definedName name="M_TIPPER" localSheetId="40">#REF!</definedName>
    <definedName name="M_TIPPER" localSheetId="44">#REF!</definedName>
    <definedName name="M_TIPPER" localSheetId="45">#REF!</definedName>
    <definedName name="M_TIPPER" localSheetId="21">#REF!</definedName>
    <definedName name="M_TIPPER" localSheetId="9">#REF!</definedName>
    <definedName name="M_TIPPER" localSheetId="4">#REF!</definedName>
    <definedName name="M_TIPPER" localSheetId="24">#REF!</definedName>
    <definedName name="M_TIPPER" localSheetId="43">#REF!</definedName>
    <definedName name="M_TIPPER" localSheetId="8">#REF!</definedName>
    <definedName name="M_TIPPER" localSheetId="52">#REF!</definedName>
    <definedName name="M_TIPPER" localSheetId="7">#REF!</definedName>
    <definedName name="M_TIPPER">#REF!</definedName>
    <definedName name="M_TRACTORRIPPER" localSheetId="23">#REF!</definedName>
    <definedName name="M_TRACTORRIPPER" localSheetId="46">#REF!</definedName>
    <definedName name="M_TRACTORRIPPER" localSheetId="47">#REF!</definedName>
    <definedName name="M_TRACTORRIPPER" localSheetId="40">#REF!</definedName>
    <definedName name="M_TRACTORRIPPER" localSheetId="44">#REF!</definedName>
    <definedName name="M_TRACTORRIPPER" localSheetId="45">#REF!</definedName>
    <definedName name="M_TRACTORRIPPER" localSheetId="21">#REF!</definedName>
    <definedName name="M_TRACTORRIPPER" localSheetId="9">#REF!</definedName>
    <definedName name="M_TRACTORRIPPER" localSheetId="4">#REF!</definedName>
    <definedName name="M_TRACTORRIPPER" localSheetId="24">#REF!</definedName>
    <definedName name="M_TRACTORRIPPER" localSheetId="43">#REF!</definedName>
    <definedName name="M_TRACTORRIPPER" localSheetId="8">#REF!</definedName>
    <definedName name="M_TRACTORRIPPER" localSheetId="52">#REF!</definedName>
    <definedName name="M_TRACTORRIPPER" localSheetId="7">#REF!</definedName>
    <definedName name="M_TRACTORRIPPER">#REF!</definedName>
    <definedName name="M_TRACTORROTAVATOR" localSheetId="23">#REF!</definedName>
    <definedName name="M_TRACTORROTAVATOR" localSheetId="46">#REF!</definedName>
    <definedName name="M_TRACTORROTAVATOR" localSheetId="47">#REF!</definedName>
    <definedName name="M_TRACTORROTAVATOR" localSheetId="40">#REF!</definedName>
    <definedName name="M_TRACTORROTAVATOR" localSheetId="44">#REF!</definedName>
    <definedName name="M_TRACTORROTAVATOR" localSheetId="45">#REF!</definedName>
    <definedName name="M_TRACTORROTAVATOR" localSheetId="21">#REF!</definedName>
    <definedName name="M_TRACTORROTAVATOR" localSheetId="9">#REF!</definedName>
    <definedName name="M_TRACTORROTAVATOR" localSheetId="4">#REF!</definedName>
    <definedName name="M_TRACTORROTAVATOR" localSheetId="24">#REF!</definedName>
    <definedName name="M_TRACTORROTAVATOR" localSheetId="43">#REF!</definedName>
    <definedName name="M_TRACTORROTAVATOR" localSheetId="8">#REF!</definedName>
    <definedName name="M_TRACTORROTAVATOR" localSheetId="52">#REF!</definedName>
    <definedName name="M_TRACTORROTAVATOR" localSheetId="7">#REF!</definedName>
    <definedName name="M_TRACTORROTAVATOR">#REF!</definedName>
    <definedName name="M_TrafficCones" localSheetId="21">[147]Material!$D$145</definedName>
    <definedName name="M_TrafficCones" localSheetId="9">[147]Material!$D$145</definedName>
    <definedName name="M_TrafficCones" localSheetId="4">[147]Material!$D$145</definedName>
    <definedName name="M_TrafficCones" localSheetId="8">[147]Material!$D$145</definedName>
    <definedName name="M_TrafficCones" localSheetId="7">#REF!</definedName>
    <definedName name="M_TrafficCones">#REF!</definedName>
    <definedName name="M_VIBRATOR_N" localSheetId="23">#REF!</definedName>
    <definedName name="M_VIBRATOR_N" localSheetId="46">#REF!</definedName>
    <definedName name="M_VIBRATOR_N" localSheetId="47">#REF!</definedName>
    <definedName name="M_VIBRATOR_N" localSheetId="40">#REF!</definedName>
    <definedName name="M_VIBRATOR_N" localSheetId="44">#REF!</definedName>
    <definedName name="M_VIBRATOR_N" localSheetId="45">#REF!</definedName>
    <definedName name="M_VIBRATOR_N" localSheetId="21">#REF!</definedName>
    <definedName name="M_VIBRATOR_N" localSheetId="9">#REF!</definedName>
    <definedName name="M_VIBRATOR_N" localSheetId="4">#REF!</definedName>
    <definedName name="M_VIBRATOR_N" localSheetId="24">#REF!</definedName>
    <definedName name="M_VIBRATOR_N" localSheetId="43">#REF!</definedName>
    <definedName name="M_VIBRATOR_N" localSheetId="8">#REF!</definedName>
    <definedName name="M_VIBRATOR_N" localSheetId="52">#REF!</definedName>
    <definedName name="M_VIBRATOR_N" localSheetId="7">#REF!</definedName>
    <definedName name="M_VIBRATOR_N">#REF!</definedName>
    <definedName name="M_VIBRATOR_P" localSheetId="23">#REF!</definedName>
    <definedName name="M_VIBRATOR_P" localSheetId="46">#REF!</definedName>
    <definedName name="M_VIBRATOR_P" localSheetId="47">#REF!</definedName>
    <definedName name="M_VIBRATOR_P" localSheetId="40">#REF!</definedName>
    <definedName name="M_VIBRATOR_P" localSheetId="44">#REF!</definedName>
    <definedName name="M_VIBRATOR_P" localSheetId="45">#REF!</definedName>
    <definedName name="M_VIBRATOR_P" localSheetId="21">#REF!</definedName>
    <definedName name="M_VIBRATOR_P" localSheetId="9">#REF!</definedName>
    <definedName name="M_VIBRATOR_P" localSheetId="4">#REF!</definedName>
    <definedName name="M_VIBRATOR_P" localSheetId="24">#REF!</definedName>
    <definedName name="M_VIBRATOR_P" localSheetId="43">#REF!</definedName>
    <definedName name="M_VIBRATOR_P" localSheetId="8">#REF!</definedName>
    <definedName name="M_VIBRATOR_P" localSheetId="52">#REF!</definedName>
    <definedName name="M_VIBRATOR_P" localSheetId="7">#REF!</definedName>
    <definedName name="M_VIBRATOR_P">#REF!</definedName>
    <definedName name="M_VIBRATOR_S" localSheetId="23">#REF!</definedName>
    <definedName name="M_VIBRATOR_S" localSheetId="46">#REF!</definedName>
    <definedName name="M_VIBRATOR_S" localSheetId="47">#REF!</definedName>
    <definedName name="M_VIBRATOR_S" localSheetId="40">#REF!</definedName>
    <definedName name="M_VIBRATOR_S" localSheetId="44">#REF!</definedName>
    <definedName name="M_VIBRATOR_S" localSheetId="45">#REF!</definedName>
    <definedName name="M_VIBRATOR_S" localSheetId="21">#REF!</definedName>
    <definedName name="M_VIBRATOR_S" localSheetId="9">#REF!</definedName>
    <definedName name="M_VIBRATOR_S" localSheetId="4">#REF!</definedName>
    <definedName name="M_VIBRATOR_S" localSheetId="24">#REF!</definedName>
    <definedName name="M_VIBRATOR_S" localSheetId="43">#REF!</definedName>
    <definedName name="M_VIBRATOR_S" localSheetId="8">#REF!</definedName>
    <definedName name="M_VIBRATOR_S" localSheetId="52">#REF!</definedName>
    <definedName name="M_VIBRATOR_S" localSheetId="7">#REF!</definedName>
    <definedName name="M_VIBRATOR_S">#REF!</definedName>
    <definedName name="M_Water" localSheetId="21">[143]Material!$D$146</definedName>
    <definedName name="M_Water" localSheetId="9">[143]Material!$D$146</definedName>
    <definedName name="M_Water" localSheetId="4">[144]Material!$D$146</definedName>
    <definedName name="M_Water" localSheetId="10">#REF!</definedName>
    <definedName name="M_Water" localSheetId="8">[143]Material!$D$146</definedName>
    <definedName name="M_Water" localSheetId="7">#REF!</definedName>
    <definedName name="M_Water">#REF!</definedName>
    <definedName name="M_WellGradedGranularBaseMaterial_GradeA_236mm" localSheetId="21">[147]Material!$D$147</definedName>
    <definedName name="M_WellGradedGranularBaseMaterial_GradeA_236mm" localSheetId="9">[147]Material!$D$147</definedName>
    <definedName name="M_WellGradedGranularBaseMaterial_GradeA_236mm" localSheetId="4">[147]Material!$D$147</definedName>
    <definedName name="M_WellGradedGranularBaseMaterial_GradeA_236mm" localSheetId="8">[147]Material!$D$147</definedName>
    <definedName name="M_WellGradedGranularBaseMaterial_GradeA_236mm" localSheetId="7">#REF!</definedName>
    <definedName name="M_WellGradedGranularBaseMaterial_GradeA_236mm">#REF!</definedName>
    <definedName name="M_WellGradedGranularBaseMaterial_GradeA_265_475mm" localSheetId="21">[147]Material!$D$148</definedName>
    <definedName name="M_WellGradedGranularBaseMaterial_GradeA_265_475mm" localSheetId="9">[147]Material!$D$148</definedName>
    <definedName name="M_WellGradedGranularBaseMaterial_GradeA_265_475mm" localSheetId="4">[147]Material!$D$148</definedName>
    <definedName name="M_WellGradedGranularBaseMaterial_GradeA_265_475mm" localSheetId="8">[147]Material!$D$148</definedName>
    <definedName name="M_WellGradedGranularBaseMaterial_GradeA_265_475mm" localSheetId="7">#REF!</definedName>
    <definedName name="M_WellGradedGranularBaseMaterial_GradeA_265_475mm">#REF!</definedName>
    <definedName name="M_WellGradedGranularBaseMaterial_GradeA_53_265mm" localSheetId="21">[147]Material!$D$149</definedName>
    <definedName name="M_WellGradedGranularBaseMaterial_GradeA_53_265mm" localSheetId="9">[147]Material!$D$149</definedName>
    <definedName name="M_WellGradedGranularBaseMaterial_GradeA_53_265mm" localSheetId="4">[147]Material!$D$149</definedName>
    <definedName name="M_WellGradedGranularBaseMaterial_GradeA_53_265mm" localSheetId="8">[147]Material!$D$149</definedName>
    <definedName name="M_WellGradedGranularBaseMaterial_GradeA_53_265mm" localSheetId="7">#REF!</definedName>
    <definedName name="M_WellGradedGranularBaseMaterial_GradeA_53_265mm">#REF!</definedName>
    <definedName name="M_WellGradedGranularBaseMaterial_GradeB_236mm_below" localSheetId="21">[147]Material!$D$150</definedName>
    <definedName name="M_WellGradedGranularBaseMaterial_GradeB_236mm_below" localSheetId="9">[147]Material!$D$150</definedName>
    <definedName name="M_WellGradedGranularBaseMaterial_GradeB_236mm_below" localSheetId="4">[147]Material!$D$150</definedName>
    <definedName name="M_WellGradedGranularBaseMaterial_GradeB_236mm_below" localSheetId="8">[147]Material!$D$150</definedName>
    <definedName name="M_WellGradedGranularBaseMaterial_GradeB_236mm_below" localSheetId="7">#REF!</definedName>
    <definedName name="M_WellGradedGranularBaseMaterial_GradeB_236mm_below">#REF!</definedName>
    <definedName name="M_WellGradedGranularBaseMaterial_GradeB_265_475mm" localSheetId="21">[147]Material!$D$151</definedName>
    <definedName name="M_WellGradedGranularBaseMaterial_GradeB_265_475mm" localSheetId="9">[147]Material!$D$151</definedName>
    <definedName name="M_WellGradedGranularBaseMaterial_GradeB_265_475mm" localSheetId="4">[147]Material!$D$151</definedName>
    <definedName name="M_WellGradedGranularBaseMaterial_GradeB_265_475mm" localSheetId="8">[147]Material!$D$151</definedName>
    <definedName name="M_WellGradedGranularBaseMaterial_GradeB_265_475mm" localSheetId="7">#REF!</definedName>
    <definedName name="M_WellGradedGranularBaseMaterial_GradeB_265_475mm">#REF!</definedName>
    <definedName name="M_WellGradedGranularBaseMaterial_GradeC_236mm_below" localSheetId="21">[147]Material!$D$152</definedName>
    <definedName name="M_WellGradedGranularBaseMaterial_GradeC_236mm_below" localSheetId="9">[147]Material!$D$152</definedName>
    <definedName name="M_WellGradedGranularBaseMaterial_GradeC_236mm_below" localSheetId="4">[147]Material!$D$152</definedName>
    <definedName name="M_WellGradedGranularBaseMaterial_GradeC_236mm_below" localSheetId="8">[147]Material!$D$152</definedName>
    <definedName name="M_WellGradedGranularBaseMaterial_GradeC_236mm_below" localSheetId="7">#REF!</definedName>
    <definedName name="M_WellGradedGranularBaseMaterial_GradeC_236mm_below">#REF!</definedName>
    <definedName name="M_WellGradedGranularBaseMaterial_GradeC_95_475mm" localSheetId="21">[147]Material!$D$153</definedName>
    <definedName name="M_WellGradedGranularBaseMaterial_GradeC_95_475mm" localSheetId="9">[147]Material!$D$153</definedName>
    <definedName name="M_WellGradedGranularBaseMaterial_GradeC_95_475mm" localSheetId="4">[147]Material!$D$153</definedName>
    <definedName name="M_WellGradedGranularBaseMaterial_GradeC_95_475mm" localSheetId="8">[147]Material!$D$153</definedName>
    <definedName name="M_WellGradedGranularBaseMaterial_GradeC_95_475mm" localSheetId="7">#REF!</definedName>
    <definedName name="M_WellGradedGranularBaseMaterial_GradeC_95_475mm">#REF!</definedName>
    <definedName name="M_WellGradedMateralForSubbase_GradeI_236mm_below" localSheetId="21">[147]Material!$D$154</definedName>
    <definedName name="M_WellGradedMateralForSubbase_GradeI_236mm_below" localSheetId="9">[147]Material!$D$154</definedName>
    <definedName name="M_WellGradedMateralForSubbase_GradeI_236mm_below" localSheetId="4">[147]Material!$D$154</definedName>
    <definedName name="M_WellGradedMateralForSubbase_GradeI_236mm_below" localSheetId="8">[147]Material!$D$154</definedName>
    <definedName name="M_WellGradedMateralForSubbase_GradeI_236mm_below" localSheetId="7">#REF!</definedName>
    <definedName name="M_WellGradedMateralForSubbase_GradeI_236mm_below">#REF!</definedName>
    <definedName name="M_WellGradedMateralForSubbase_GradeI_53_95mm" localSheetId="21">[147]Material!$D$155</definedName>
    <definedName name="M_WellGradedMateralForSubbase_GradeI_53_95mm" localSheetId="9">[147]Material!$D$155</definedName>
    <definedName name="M_WellGradedMateralForSubbase_GradeI_53_95mm" localSheetId="4">[147]Material!$D$155</definedName>
    <definedName name="M_WellGradedMateralForSubbase_GradeI_53_95mm" localSheetId="8">[147]Material!$D$155</definedName>
    <definedName name="M_WellGradedMateralForSubbase_GradeI_53_95mm" localSheetId="7">#REF!</definedName>
    <definedName name="M_WellGradedMateralForSubbase_GradeI_53_95mm">#REF!</definedName>
    <definedName name="M_WellGradedMateralForSubbase_GradeI_95_236mm" localSheetId="21">[147]Material!$D$156</definedName>
    <definedName name="M_WellGradedMateralForSubbase_GradeI_95_236mm" localSheetId="9">[147]Material!$D$156</definedName>
    <definedName name="M_WellGradedMateralForSubbase_GradeI_95_236mm" localSheetId="4">[147]Material!$D$156</definedName>
    <definedName name="M_WellGradedMateralForSubbase_GradeI_95_236mm" localSheetId="8">[147]Material!$D$156</definedName>
    <definedName name="M_WellGradedMateralForSubbase_GradeI_95_236mm" localSheetId="7">#REF!</definedName>
    <definedName name="M_WellGradedMateralForSubbase_GradeI_95_236mm">#REF!</definedName>
    <definedName name="M_WellGradedMateralForSubbase_GradeII_236mm_below" localSheetId="21">[147]Material!$D$157</definedName>
    <definedName name="M_WellGradedMateralForSubbase_GradeII_236mm_below" localSheetId="9">[147]Material!$D$157</definedName>
    <definedName name="M_WellGradedMateralForSubbase_GradeII_236mm_below" localSheetId="4">[147]Material!$D$157</definedName>
    <definedName name="M_WellGradedMateralForSubbase_GradeII_236mm_below" localSheetId="8">[147]Material!$D$157</definedName>
    <definedName name="M_WellGradedMateralForSubbase_GradeII_236mm_below" localSheetId="7">#REF!</definedName>
    <definedName name="M_WellGradedMateralForSubbase_GradeII_236mm_below">#REF!</definedName>
    <definedName name="M_WellGradedMateralForSubbase_GradeII_265_95mm" localSheetId="21">[147]Material!$D$158</definedName>
    <definedName name="M_WellGradedMateralForSubbase_GradeII_265_95mm" localSheetId="9">[147]Material!$D$158</definedName>
    <definedName name="M_WellGradedMateralForSubbase_GradeII_265_95mm" localSheetId="4">[147]Material!$D$158</definedName>
    <definedName name="M_WellGradedMateralForSubbase_GradeII_265_95mm" localSheetId="8">[147]Material!$D$158</definedName>
    <definedName name="M_WellGradedMateralForSubbase_GradeII_265_95mm" localSheetId="7">#REF!</definedName>
    <definedName name="M_WellGradedMateralForSubbase_GradeII_265_95mm">#REF!</definedName>
    <definedName name="M_WellGradedMateralForSubbase_GradeII_95_236mm" localSheetId="21">[147]Material!$D$159</definedName>
    <definedName name="M_WellGradedMateralForSubbase_GradeII_95_236mm" localSheetId="9">[147]Material!$D$159</definedName>
    <definedName name="M_WellGradedMateralForSubbase_GradeII_95_236mm" localSheetId="4">[147]Material!$D$159</definedName>
    <definedName name="M_WellGradedMateralForSubbase_GradeII_95_236mm" localSheetId="8">[147]Material!$D$159</definedName>
    <definedName name="M_WellGradedMateralForSubbase_GradeII_95_236mm" localSheetId="7">#REF!</definedName>
    <definedName name="M_WellGradedMateralForSubbase_GradeII_95_236mm">#REF!</definedName>
    <definedName name="M_WellGradedMateralForSubbase_GradeIII_236mm_below" localSheetId="21">[147]Material!$D$160</definedName>
    <definedName name="M_WellGradedMateralForSubbase_GradeIII_236mm_below" localSheetId="9">[147]Material!$D$160</definedName>
    <definedName name="M_WellGradedMateralForSubbase_GradeIII_236mm_below" localSheetId="4">[147]Material!$D$160</definedName>
    <definedName name="M_WellGradedMateralForSubbase_GradeIII_236mm_below" localSheetId="8">[147]Material!$D$160</definedName>
    <definedName name="M_WellGradedMateralForSubbase_GradeIII_236mm_below" localSheetId="7">#REF!</definedName>
    <definedName name="M_WellGradedMateralForSubbase_GradeIII_236mm_below">#REF!</definedName>
    <definedName name="M_WellGradedMateralForSubbase_GradeIII_475_236mm" localSheetId="21">[147]Material!$D$161</definedName>
    <definedName name="M_WellGradedMateralForSubbase_GradeIII_475_236mm" localSheetId="9">[147]Material!$D$161</definedName>
    <definedName name="M_WellGradedMateralForSubbase_GradeIII_475_236mm" localSheetId="4">[147]Material!$D$161</definedName>
    <definedName name="M_WellGradedMateralForSubbase_GradeIII_475_236mm" localSheetId="8">[147]Material!$D$161</definedName>
    <definedName name="M_WellGradedMateralForSubbase_GradeIII_475_236mm" localSheetId="7">#REF!</definedName>
    <definedName name="M_WellGradedMateralForSubbase_GradeIII_475_236mm">#REF!</definedName>
    <definedName name="M_WellGradedMateralForSubbase_GradeIII_95_475mm" localSheetId="21">[147]Material!$D$162</definedName>
    <definedName name="M_WellGradedMateralForSubbase_GradeIII_95_475mm" localSheetId="9">[147]Material!$D$162</definedName>
    <definedName name="M_WellGradedMateralForSubbase_GradeIII_95_475mm" localSheetId="4">[147]Material!$D$162</definedName>
    <definedName name="M_WellGradedMateralForSubbase_GradeIII_95_475mm" localSheetId="8">[147]Material!$D$162</definedName>
    <definedName name="M_WellGradedMateralForSubbase_GradeIII_95_475mm" localSheetId="7">#REF!</definedName>
    <definedName name="M_WellGradedMateralForSubbase_GradeIII_95_475mm">#REF!</definedName>
    <definedName name="M_WoodenSleepers">#REF!</definedName>
    <definedName name="ma" localSheetId="21">[149]Data_Bit_I!#REF!</definedName>
    <definedName name="ma" localSheetId="9">[149]Data_Bit_I!#REF!</definedName>
    <definedName name="ma" localSheetId="4">[149]Data_Bit_I!#REF!</definedName>
    <definedName name="ma" localSheetId="8">[149]Data_Bit_I!#REF!</definedName>
    <definedName name="ma">#REF!</definedName>
    <definedName name="maa" localSheetId="4">[149]Data_Bit_I!#REF!</definedName>
    <definedName name="maa">[149]Data_Bit_I!#REF!</definedName>
    <definedName name="mab" localSheetId="4">[149]Data_Bit_I!#REF!</definedName>
    <definedName name="mab">[149]Data_Bit_I!#REF!</definedName>
    <definedName name="madhu">#REF!</definedName>
    <definedName name="mal" localSheetId="21">[165]DATA!$H$67</definedName>
    <definedName name="mal" localSheetId="9">[165]DATA!$H$67</definedName>
    <definedName name="mal" localSheetId="4">[166]DATA!$H$67</definedName>
    <definedName name="mal" localSheetId="8">[165]DATA!$H$67</definedName>
    <definedName name="mal" localSheetId="7">#REF!</definedName>
    <definedName name="mal">#REF!</definedName>
    <definedName name="Male" localSheetId="21">[98]data!#REF!</definedName>
    <definedName name="Male" localSheetId="9">[98]data!#REF!</definedName>
    <definedName name="Male" localSheetId="4">[98]data!#REF!</definedName>
    <definedName name="Male" localSheetId="8">[98]data!#REF!</definedName>
    <definedName name="Male">#REF!</definedName>
    <definedName name="male_sp" localSheetId="4">#REF!</definedName>
    <definedName name="male_sp">#REF!</definedName>
    <definedName name="MAN" localSheetId="21">[110]m!$B$149</definedName>
    <definedName name="MAN" localSheetId="9">[110]m!$B$149</definedName>
    <definedName name="MAN" localSheetId="4">[110]m!$B$149</definedName>
    <definedName name="MAN" localSheetId="8">[110]m!$B$149</definedName>
    <definedName name="MAN">#REF!</definedName>
    <definedName name="mangalore" localSheetId="21">#REF!</definedName>
    <definedName name="mangalore" localSheetId="9">#REF!</definedName>
    <definedName name="mangalore" localSheetId="4">#REF!</definedName>
    <definedName name="mangalore" localSheetId="8">#REF!</definedName>
    <definedName name="mangalore">#REF!</definedName>
    <definedName name="mani" localSheetId="21">[167]leads!$H$7</definedName>
    <definedName name="mani" localSheetId="9">[167]leads!$H$7</definedName>
    <definedName name="mani" localSheetId="4">[167]leads!$H$7</definedName>
    <definedName name="mani" localSheetId="8">[167]leads!$H$7</definedName>
    <definedName name="mani" localSheetId="7">#REF!</definedName>
    <definedName name="mani">#REF!</definedName>
    <definedName name="manm" localSheetId="4">#REF!</definedName>
    <definedName name="manm">#REF!</definedName>
    <definedName name="manmazdoor" localSheetId="21">#REF!</definedName>
    <definedName name="manmazdoor" localSheetId="9">#REF!</definedName>
    <definedName name="manmazdoor" localSheetId="4">#REF!</definedName>
    <definedName name="manmazdoor" localSheetId="8">#REF!</definedName>
    <definedName name="manmazdoor">#REF!</definedName>
    <definedName name="map" localSheetId="21">'[53]C-data'!$F$115</definedName>
    <definedName name="map" localSheetId="9">'[53]C-data'!$F$115</definedName>
    <definedName name="map" localSheetId="4">'[53]C-data'!$F$115</definedName>
    <definedName name="map" localSheetId="8">'[53]C-data'!$F$115</definedName>
    <definedName name="map">#REF!</definedName>
    <definedName name="mason">#REF!</definedName>
    <definedName name="mason1" localSheetId="21">[168]leads!$H$4</definedName>
    <definedName name="mason1" localSheetId="9">[168]leads!$H$4</definedName>
    <definedName name="mason1" localSheetId="4">[168]leads!$H$4</definedName>
    <definedName name="mason1" localSheetId="8">[168]leads!$H$4</definedName>
    <definedName name="mason1">#REF!</definedName>
    <definedName name="mason2" localSheetId="21">[168]leads!$H$5</definedName>
    <definedName name="mason2" localSheetId="9">[168]leads!$H$5</definedName>
    <definedName name="mason2" localSheetId="4">[168]leads!$H$5</definedName>
    <definedName name="mason2" localSheetId="8">[168]leads!$H$5</definedName>
    <definedName name="mason2">#REF!</definedName>
    <definedName name="MASTICK" localSheetId="23">#REF!</definedName>
    <definedName name="MASTICK" localSheetId="46">#REF!</definedName>
    <definedName name="MASTICK" localSheetId="47">#REF!</definedName>
    <definedName name="MASTICK" localSheetId="40">#REF!</definedName>
    <definedName name="MASTICK" localSheetId="44">#REF!</definedName>
    <definedName name="MASTICK" localSheetId="45">#REF!</definedName>
    <definedName name="MASTICK" localSheetId="21">#REF!</definedName>
    <definedName name="MASTICK" localSheetId="9">#REF!</definedName>
    <definedName name="MASTICK" localSheetId="4">#REF!</definedName>
    <definedName name="MASTICK" localSheetId="24">#REF!</definedName>
    <definedName name="MASTICK" localSheetId="43">#REF!</definedName>
    <definedName name="MASTICK" localSheetId="8">#REF!</definedName>
    <definedName name="MASTICK" localSheetId="52">#REF!</definedName>
    <definedName name="MASTICK" localSheetId="7">#REF!</definedName>
    <definedName name="MASTICK">#REF!</definedName>
    <definedName name="maz">#REF!</definedName>
    <definedName name="mazdoor" localSheetId="21">[168]leads!$H$6</definedName>
    <definedName name="mazdoor" localSheetId="9">[168]leads!$H$6</definedName>
    <definedName name="mazdoor" localSheetId="4">[168]leads!$H$6</definedName>
    <definedName name="mazdoor" localSheetId="8">[168]leads!$H$6</definedName>
    <definedName name="mazdoor">#REF!</definedName>
    <definedName name="mbb" localSheetId="4">[149]Data_Bit_I!#REF!</definedName>
    <definedName name="mbb">[149]Data_Bit_I!#REF!</definedName>
    <definedName name="mbm">#REF!</definedName>
    <definedName name="mbmi">#REF!</definedName>
    <definedName name="MC">#REF!</definedName>
    <definedName name="mcode">#REF!</definedName>
    <definedName name="mcpl">#REF!</definedName>
    <definedName name="Me" localSheetId="21">[67]Sheet2!$H$231</definedName>
    <definedName name="Me" localSheetId="9">[67]Sheet2!$H$231</definedName>
    <definedName name="Me" localSheetId="4">[67]Sheet2!$H$231</definedName>
    <definedName name="Me" localSheetId="8">[67]Sheet2!$H$231</definedName>
    <definedName name="me">#REF!</definedName>
    <definedName name="Medical" localSheetId="21">[98]data!#REF!</definedName>
    <definedName name="Medical" localSheetId="9">[98]data!#REF!</definedName>
    <definedName name="Medical" localSheetId="4">[98]data!#REF!</definedName>
    <definedName name="Medical" localSheetId="8">[98]data!#REF!</definedName>
    <definedName name="Medical">#REF!</definedName>
    <definedName name="Mei">[67]Sheet2!$H$235</definedName>
    <definedName name="Melamine" localSheetId="21">#REF!</definedName>
    <definedName name="Melamine" localSheetId="9">#REF!</definedName>
    <definedName name="Melamine" localSheetId="4">#REF!</definedName>
    <definedName name="Melamine" localSheetId="8">#REF!</definedName>
    <definedName name="Melamine">#REF!</definedName>
    <definedName name="metal" localSheetId="23">#REF!</definedName>
    <definedName name="metal" localSheetId="46">#REF!</definedName>
    <definedName name="metal" localSheetId="47">#REF!</definedName>
    <definedName name="metal" localSheetId="40">#REF!</definedName>
    <definedName name="metal" localSheetId="44">#REF!</definedName>
    <definedName name="metal" localSheetId="45">#REF!</definedName>
    <definedName name="metal" localSheetId="21">#REF!</definedName>
    <definedName name="metal" localSheetId="39">#REF!</definedName>
    <definedName name="metal" localSheetId="9">#REF!</definedName>
    <definedName name="metal" localSheetId="4">#REF!</definedName>
    <definedName name="metal" localSheetId="24">#REF!</definedName>
    <definedName name="metal" localSheetId="34">#REF!</definedName>
    <definedName name="metal" localSheetId="10">#REF!</definedName>
    <definedName name="metal" localSheetId="43">#REF!</definedName>
    <definedName name="metal" localSheetId="8">#REF!</definedName>
    <definedName name="metal" localSheetId="33">#REF!</definedName>
    <definedName name="metal" localSheetId="17">#REF!</definedName>
    <definedName name="metal" localSheetId="16">#REF!</definedName>
    <definedName name="metal" localSheetId="12">#REF!</definedName>
    <definedName name="metal" localSheetId="14">#REF!</definedName>
    <definedName name="metal" localSheetId="1">#REF!</definedName>
    <definedName name="metal" localSheetId="13">#REF!</definedName>
    <definedName name="metal" localSheetId="35">#REF!</definedName>
    <definedName name="metal" localSheetId="36">#REF!</definedName>
    <definedName name="metal" localSheetId="52">#REF!</definedName>
    <definedName name="metal" localSheetId="7">#REF!</definedName>
    <definedName name="metal" localSheetId="30">#REF!</definedName>
    <definedName name="metal" localSheetId="15">#REF!</definedName>
    <definedName name="metal" localSheetId="11">#REF!</definedName>
    <definedName name="metal" localSheetId="2">#REF!</definedName>
    <definedName name="metal" localSheetId="0">#REF!</definedName>
    <definedName name="metal">#REF!</definedName>
    <definedName name="metal_40" localSheetId="4">#REF!</definedName>
    <definedName name="metal_40">#REF!</definedName>
    <definedName name="metal_65" localSheetId="4">#REF!</definedName>
    <definedName name="metal_65">#REF!</definedName>
    <definedName name="metal_75" localSheetId="4">#REF!</definedName>
    <definedName name="metal_75">#REF!</definedName>
    <definedName name="metal_blast" localSheetId="4">#REF!</definedName>
    <definedName name="metal_blast">#REF!</definedName>
    <definedName name="metal_hc75" localSheetId="4">#REF!</definedName>
    <definedName name="metal_hc75">#REF!</definedName>
    <definedName name="metal_pick" localSheetId="4">#REF!</definedName>
    <definedName name="metal_pick">#REF!</definedName>
    <definedName name="metal_size" localSheetId="21">'[77]data existing_do not delete'!$B$73:$B$75</definedName>
    <definedName name="metal_size" localSheetId="9">'[77]data existing_do not delete'!$B$73:$B$75</definedName>
    <definedName name="metal_size" localSheetId="4">'[77]data existing_do not delete'!$B$73:$B$75</definedName>
    <definedName name="metal_size" localSheetId="8">'[77]data existing_do not delete'!$B$73:$B$75</definedName>
    <definedName name="metal_size">#REF!</definedName>
    <definedName name="metal_spr75" localSheetId="4">#REF!</definedName>
    <definedName name="metal_spr75">#REF!</definedName>
    <definedName name="metal_stack" localSheetId="4">#REF!</definedName>
    <definedName name="metal_stack">#REF!</definedName>
    <definedName name="metal1" localSheetId="23">#REF!</definedName>
    <definedName name="metal1" localSheetId="46">#REF!</definedName>
    <definedName name="metal1" localSheetId="47">#REF!</definedName>
    <definedName name="metal1" localSheetId="40">#REF!</definedName>
    <definedName name="metal1" localSheetId="44">#REF!</definedName>
    <definedName name="metal1" localSheetId="45">#REF!</definedName>
    <definedName name="metal1" localSheetId="21">#REF!</definedName>
    <definedName name="metal1" localSheetId="39">#REF!</definedName>
    <definedName name="metal1" localSheetId="9">#REF!</definedName>
    <definedName name="metal1" localSheetId="4">#REF!</definedName>
    <definedName name="metal1" localSheetId="24">#REF!</definedName>
    <definedName name="metal1" localSheetId="34">#REF!</definedName>
    <definedName name="metal1" localSheetId="10">#REF!</definedName>
    <definedName name="metal1" localSheetId="43">#REF!</definedName>
    <definedName name="metal1" localSheetId="8">#REF!</definedName>
    <definedName name="metal1" localSheetId="33">#REF!</definedName>
    <definedName name="metal1" localSheetId="17">#REF!</definedName>
    <definedName name="metal1" localSheetId="16">#REF!</definedName>
    <definedName name="metal1" localSheetId="12">#REF!</definedName>
    <definedName name="metal1" localSheetId="14">#REF!</definedName>
    <definedName name="metal1" localSheetId="1">#REF!</definedName>
    <definedName name="metal1" localSheetId="13">#REF!</definedName>
    <definedName name="metal1" localSheetId="35">#REF!</definedName>
    <definedName name="metal1" localSheetId="36">#REF!</definedName>
    <definedName name="metal1" localSheetId="52">#REF!</definedName>
    <definedName name="metal1" localSheetId="7">#REF!</definedName>
    <definedName name="metal1" localSheetId="30">#REF!</definedName>
    <definedName name="metal1" localSheetId="15">#REF!</definedName>
    <definedName name="metal1" localSheetId="11">#REF!</definedName>
    <definedName name="metal1" localSheetId="2">#REF!</definedName>
    <definedName name="metal1" localSheetId="0">#REF!</definedName>
    <definedName name="metal1">#REF!</definedName>
    <definedName name="metal10" localSheetId="21">#REF!</definedName>
    <definedName name="metal10" localSheetId="9">#REF!</definedName>
    <definedName name="metal10" localSheetId="4">#REF!</definedName>
    <definedName name="metal10" localSheetId="8">#REF!</definedName>
    <definedName name="metal10">#REF!</definedName>
    <definedName name="metal11" localSheetId="23">#REF!</definedName>
    <definedName name="metal11" localSheetId="46">#REF!</definedName>
    <definedName name="metal11" localSheetId="47">#REF!</definedName>
    <definedName name="metal11" localSheetId="40">#REF!</definedName>
    <definedName name="metal11" localSheetId="44">#REF!</definedName>
    <definedName name="metal11" localSheetId="45">#REF!</definedName>
    <definedName name="metal11" localSheetId="21">#REF!</definedName>
    <definedName name="metal11" localSheetId="39">#REF!</definedName>
    <definedName name="metal11" localSheetId="9">#REF!</definedName>
    <definedName name="metal11" localSheetId="4">#REF!</definedName>
    <definedName name="metal11" localSheetId="24">#REF!</definedName>
    <definedName name="metal11" localSheetId="34">#REF!</definedName>
    <definedName name="metal11" localSheetId="10">#REF!</definedName>
    <definedName name="metal11" localSheetId="43">#REF!</definedName>
    <definedName name="metal11" localSheetId="8">#REF!</definedName>
    <definedName name="metal11" localSheetId="33">#REF!</definedName>
    <definedName name="metal11" localSheetId="17">#REF!</definedName>
    <definedName name="metal11" localSheetId="16">#REF!</definedName>
    <definedName name="metal11" localSheetId="12">#REF!</definedName>
    <definedName name="metal11" localSheetId="14">#REF!</definedName>
    <definedName name="metal11" localSheetId="1">#REF!</definedName>
    <definedName name="metal11" localSheetId="13">#REF!</definedName>
    <definedName name="metal11" localSheetId="35">#REF!</definedName>
    <definedName name="metal11" localSheetId="36">#REF!</definedName>
    <definedName name="metal11" localSheetId="52">#REF!</definedName>
    <definedName name="metal11" localSheetId="7">#REF!</definedName>
    <definedName name="metal11" localSheetId="30">#REF!</definedName>
    <definedName name="metal11" localSheetId="15">#REF!</definedName>
    <definedName name="metal11" localSheetId="11">#REF!</definedName>
    <definedName name="metal11" localSheetId="2">#REF!</definedName>
    <definedName name="metal11" localSheetId="0">#REF!</definedName>
    <definedName name="metal11">#REF!</definedName>
    <definedName name="metal12" localSheetId="21">#REF!</definedName>
    <definedName name="metal12" localSheetId="9">#REF!</definedName>
    <definedName name="metal12" localSheetId="4">#REF!</definedName>
    <definedName name="metal12" localSheetId="8">#REF!</definedName>
    <definedName name="metal12">#REF!</definedName>
    <definedName name="metal12ss">#REF!</definedName>
    <definedName name="metal20" localSheetId="21">#REF!</definedName>
    <definedName name="metal20" localSheetId="9">#REF!</definedName>
    <definedName name="metal20" localSheetId="4">#REF!</definedName>
    <definedName name="metal20" localSheetId="8">#REF!</definedName>
    <definedName name="metal20">#REF!</definedName>
    <definedName name="metal20ss">#REF!</definedName>
    <definedName name="metal3" localSheetId="23">#REF!</definedName>
    <definedName name="metal3" localSheetId="46">#REF!</definedName>
    <definedName name="metal3" localSheetId="47">#REF!</definedName>
    <definedName name="metal3" localSheetId="40">#REF!</definedName>
    <definedName name="metal3" localSheetId="44">#REF!</definedName>
    <definedName name="metal3" localSheetId="45">#REF!</definedName>
    <definedName name="metal3" localSheetId="21">#REF!</definedName>
    <definedName name="metal3" localSheetId="39">#REF!</definedName>
    <definedName name="metal3" localSheetId="9">#REF!</definedName>
    <definedName name="metal3" localSheetId="4">#REF!</definedName>
    <definedName name="metal3" localSheetId="24">#REF!</definedName>
    <definedName name="metal3" localSheetId="34">#REF!</definedName>
    <definedName name="metal3" localSheetId="10">#REF!</definedName>
    <definedName name="metal3" localSheetId="43">#REF!</definedName>
    <definedName name="metal3" localSheetId="8">#REF!</definedName>
    <definedName name="metal3" localSheetId="33">#REF!</definedName>
    <definedName name="metal3" localSheetId="17">#REF!</definedName>
    <definedName name="metal3" localSheetId="16">#REF!</definedName>
    <definedName name="metal3" localSheetId="12">#REF!</definedName>
    <definedName name="metal3" localSheetId="14">#REF!</definedName>
    <definedName name="metal3" localSheetId="1">#REF!</definedName>
    <definedName name="metal3" localSheetId="13">#REF!</definedName>
    <definedName name="metal3" localSheetId="35">#REF!</definedName>
    <definedName name="metal3" localSheetId="36">#REF!</definedName>
    <definedName name="metal3" localSheetId="52">#REF!</definedName>
    <definedName name="metal3" localSheetId="7">#REF!</definedName>
    <definedName name="metal3" localSheetId="30">#REF!</definedName>
    <definedName name="metal3" localSheetId="15">#REF!</definedName>
    <definedName name="metal3" localSheetId="11">#REF!</definedName>
    <definedName name="metal3" localSheetId="2">#REF!</definedName>
    <definedName name="metal3" localSheetId="0">#REF!</definedName>
    <definedName name="metal3">#REF!</definedName>
    <definedName name="METAL40" localSheetId="21">#REF!</definedName>
    <definedName name="METAL40" localSheetId="9">#REF!</definedName>
    <definedName name="METAL40" localSheetId="4">#REF!</definedName>
    <definedName name="METAL40" localSheetId="8">#REF!</definedName>
    <definedName name="metal40">#REF!</definedName>
    <definedName name="metal40ss">#REF!</definedName>
    <definedName name="metal45">#REF!</definedName>
    <definedName name="metal6" localSheetId="21">#REF!</definedName>
    <definedName name="metal6" localSheetId="9">#REF!</definedName>
    <definedName name="metal6" localSheetId="4">#REF!</definedName>
    <definedName name="metal6" localSheetId="8">#REF!</definedName>
    <definedName name="metal6">#REF!</definedName>
    <definedName name="metal65">#REF!</definedName>
    <definedName name="metal75">#REF!</definedName>
    <definedName name="MFD">#REF!</definedName>
    <definedName name="MFL">#REF!</definedName>
    <definedName name="mhc">#REF!</definedName>
    <definedName name="mhjj" hidden="1">{"'Bill No. 7'!$A$1:$G$32"}</definedName>
    <definedName name="Mi">[67]Sheet2!$H$226</definedName>
    <definedName name="Mii">[67]Sheet2!$H$227</definedName>
    <definedName name="Miii">[67]Sheet2!$H$228</definedName>
    <definedName name="mini_hmp" localSheetId="4">#REF!</definedName>
    <definedName name="mini_hmp">#REF!</definedName>
    <definedName name="mini_spec" localSheetId="21">[169]Sheet3!$B$3:$B$108</definedName>
    <definedName name="mini_spec" localSheetId="9">[169]Sheet3!$B$3:$B$108</definedName>
    <definedName name="mini_spec" localSheetId="4">[169]Sheet3!$B$3:$B$108</definedName>
    <definedName name="mini_spec" localSheetId="8">[169]Sheet3!$B$3:$B$108</definedName>
    <definedName name="mini_spec">#REF!</definedName>
    <definedName name="minpc">#REF!</definedName>
    <definedName name="Miv">[67]Sheet2!$H$230</definedName>
    <definedName name="mix" localSheetId="21">[170]r!$I$46</definedName>
    <definedName name="mix" localSheetId="9">[170]r!$I$46</definedName>
    <definedName name="mix" localSheetId="4">[170]r!$I$46</definedName>
    <definedName name="mix" localSheetId="8">[170]r!$I$46</definedName>
    <definedName name="mix" localSheetId="7">#REF!</definedName>
    <definedName name="mix">#REF!</definedName>
    <definedName name="MIX_SEAL_WBM" localSheetId="23">#REF!</definedName>
    <definedName name="MIX_SEAL_WBM" localSheetId="46">#REF!</definedName>
    <definedName name="MIX_SEAL_WBM" localSheetId="47">#REF!</definedName>
    <definedName name="MIX_SEAL_WBM" localSheetId="40">#REF!</definedName>
    <definedName name="MIX_SEAL_WBM" localSheetId="44">#REF!</definedName>
    <definedName name="MIX_SEAL_WBM" localSheetId="45">#REF!</definedName>
    <definedName name="MIX_SEAL_WBM" localSheetId="21">#REF!</definedName>
    <definedName name="MIX_SEAL_WBM" localSheetId="9">#REF!</definedName>
    <definedName name="MIX_SEAL_WBM" localSheetId="4">#REF!</definedName>
    <definedName name="MIX_SEAL_WBM" localSheetId="24">#REF!</definedName>
    <definedName name="MIX_SEAL_WBM" localSheetId="41">#REF!</definedName>
    <definedName name="MIX_SEAL_WBM" localSheetId="43">#REF!</definedName>
    <definedName name="MIX_SEAL_WBM" localSheetId="8">#REF!</definedName>
    <definedName name="MIX_SEAL_WBM" localSheetId="16">#REF!</definedName>
    <definedName name="MIX_SEAL_WBM" localSheetId="12">#REF!</definedName>
    <definedName name="MIX_SEAL_WBM" localSheetId="14">#REF!</definedName>
    <definedName name="MIX_SEAL_WBM" localSheetId="1">#REF!</definedName>
    <definedName name="MIX_SEAL_WBM" localSheetId="13">#REF!</definedName>
    <definedName name="MIX_SEAL_WBM" localSheetId="52">#REF!</definedName>
    <definedName name="MIX_SEAL_WBM" localSheetId="7">#REF!</definedName>
    <definedName name="MIX_SEAL_WBM" localSheetId="15">#REF!</definedName>
    <definedName name="MIX_SEAL_WBM" localSheetId="11">#REF!</definedName>
    <definedName name="MIX_SEAL_WBM" localSheetId="2">#REF!</definedName>
    <definedName name="MIX_SEAL_WBM" localSheetId="0">#REF!</definedName>
    <definedName name="MIX_SEAL_WBM">#REF!</definedName>
    <definedName name="mixrate" localSheetId="21">[168]leads!$H$14</definedName>
    <definedName name="mixrate" localSheetId="9">[168]leads!$H$14</definedName>
    <definedName name="mixrate" localSheetId="4">[168]leads!$H$14</definedName>
    <definedName name="mixrate" localSheetId="8">[168]leads!$H$14</definedName>
    <definedName name="mixrate">#REF!</definedName>
    <definedName name="MJKIUO" localSheetId="21">[119]Material!$D$70</definedName>
    <definedName name="MJKIUO" localSheetId="9">[119]Material!$D$70</definedName>
    <definedName name="MJKIUO" localSheetId="4">[119]Material!$D$70</definedName>
    <definedName name="MJKIUO" localSheetId="10">#REF!</definedName>
    <definedName name="MJKIUO" localSheetId="8">[119]Material!$D$70</definedName>
    <definedName name="MJKIUO">#REF!</definedName>
    <definedName name="MK" localSheetId="21" hidden="1">{"'ridftotal'!$A$4:$S$27"}</definedName>
    <definedName name="MK" localSheetId="9" hidden="1">{"'ridftotal'!$A$4:$S$27"}</definedName>
    <definedName name="MK" localSheetId="4" hidden="1">{"'ridftotal'!$A$4:$S$27"}</definedName>
    <definedName name="MK" localSheetId="10" hidden="1">{"'ridftotal'!$A$4:$S$27"}</definedName>
    <definedName name="MK" localSheetId="8" hidden="1">{"'ridftotal'!$A$4:$S$27"}</definedName>
    <definedName name="MK" hidden="1">{"'ridftotal'!$A$4:$S$27"}</definedName>
    <definedName name="ml" localSheetId="21">#REF!</definedName>
    <definedName name="ml" localSheetId="9">#REF!</definedName>
    <definedName name="ml" localSheetId="4">#REF!</definedName>
    <definedName name="ml" localSheetId="8">#REF!</definedName>
    <definedName name="ml">#REF!</definedName>
    <definedName name="MLix">[67]Sheet2!$H$184</definedName>
    <definedName name="MLOADING" localSheetId="23">#REF!</definedName>
    <definedName name="MLOADING" localSheetId="46">#REF!</definedName>
    <definedName name="MLOADING" localSheetId="47">#REF!</definedName>
    <definedName name="MLOADING" localSheetId="40">#REF!</definedName>
    <definedName name="MLOADING" localSheetId="44">#REF!</definedName>
    <definedName name="MLOADING" localSheetId="45">#REF!</definedName>
    <definedName name="MLOADING" localSheetId="21">#REF!</definedName>
    <definedName name="MLOADING" localSheetId="9">#REF!</definedName>
    <definedName name="MLOADING" localSheetId="4">#REF!</definedName>
    <definedName name="MLOADING" localSheetId="24">#REF!</definedName>
    <definedName name="MLOADING" localSheetId="43">#REF!</definedName>
    <definedName name="MLOADING" localSheetId="8">#REF!</definedName>
    <definedName name="MLOADING" localSheetId="52">#REF!</definedName>
    <definedName name="MLOADING" localSheetId="7">#REF!</definedName>
    <definedName name="MLOADING">#REF!</definedName>
    <definedName name="MLv">[67]Sheet2!$H$133</definedName>
    <definedName name="MLvi">[67]Sheet2!$H$135</definedName>
    <definedName name="MLvii">[67]Sheet2!$H$163</definedName>
    <definedName name="MLviii">[67]Sheet2!$H$165</definedName>
    <definedName name="MLx">[67]Sheet2!$H$186</definedName>
    <definedName name="MLxi">[67]Sheet2!$H$193</definedName>
    <definedName name="MLxii">[67]Sheet2!$H$195</definedName>
    <definedName name="mm" localSheetId="21">[79]r!$F$4</definedName>
    <definedName name="mm" localSheetId="9">[79]r!$F$4</definedName>
    <definedName name="mm" localSheetId="4">[80]r!$F$4</definedName>
    <definedName name="mm" localSheetId="10">#REF!</definedName>
    <definedName name="mm" localSheetId="8">[79]r!$F$4</definedName>
    <definedName name="mm" localSheetId="7">#REF!</definedName>
    <definedName name="mm">#REF!</definedName>
    <definedName name="mmc" localSheetId="21">#REF!</definedName>
    <definedName name="mmc" localSheetId="9">#REF!</definedName>
    <definedName name="mmc" localSheetId="4">#REF!</definedName>
    <definedName name="mmc" localSheetId="8">#REF!</definedName>
    <definedName name="mmc">#REF!</definedName>
    <definedName name="mmcc" localSheetId="4">#REF!</definedName>
    <definedName name="mmcc">#REF!</definedName>
    <definedName name="mmixing" localSheetId="4">#REF!</definedName>
    <definedName name="mmixing">#REF!</definedName>
    <definedName name="mn">#REF!</definedName>
    <definedName name="Mname">#REF!</definedName>
    <definedName name="mnmsector" localSheetId="21">[171]sectorwise!$A$1:$R$23</definedName>
    <definedName name="mnmsector" localSheetId="9">[171]sectorwise!$A$1:$R$23</definedName>
    <definedName name="mnmsector" localSheetId="4">[171]sectorwise!$A$1:$R$23</definedName>
    <definedName name="mnmsector" localSheetId="8">[171]sectorwise!$A$1:$R$23</definedName>
    <definedName name="mnmsector">#REF!</definedName>
    <definedName name="mone" localSheetId="21">[79]r!$F$2</definedName>
    <definedName name="mone" localSheetId="9">[79]r!$F$2</definedName>
    <definedName name="mone" localSheetId="4">[80]r!$F$2</definedName>
    <definedName name="mone" localSheetId="10">#REF!</definedName>
    <definedName name="mone" localSheetId="8">[79]r!$F$2</definedName>
    <definedName name="mone" localSheetId="7">#REF!</definedName>
    <definedName name="mone">#REF!</definedName>
    <definedName name="mone1" localSheetId="21">[13]r!$F$2</definedName>
    <definedName name="mone1" localSheetId="9">[13]r!$F$2</definedName>
    <definedName name="mone1" localSheetId="4">[13]r!$F$2</definedName>
    <definedName name="mone1" localSheetId="8">[13]r!$F$2</definedName>
    <definedName name="mone1">#REF!</definedName>
    <definedName name="mpbm">#REF!</definedName>
    <definedName name="mpbmi">#REF!</definedName>
    <definedName name="MPLOT_PGR_CHP" localSheetId="21">#REF!</definedName>
    <definedName name="MPLOT_PGR_CHP" localSheetId="9">#REF!</definedName>
    <definedName name="MPLOT_PGR_CHP" localSheetId="4">#REF!</definedName>
    <definedName name="MPLOT_PGR_CHP" localSheetId="10">#REF!</definedName>
    <definedName name="MPLOT_PGR_CHP" localSheetId="8">#REF!</definedName>
    <definedName name="MPLOT_PGR_CHP">#REF!</definedName>
    <definedName name="mq" localSheetId="21">#REF!</definedName>
    <definedName name="mq" localSheetId="9">#REF!</definedName>
    <definedName name="mq" localSheetId="4">#REF!</definedName>
    <definedName name="mq" localSheetId="8">#REF!</definedName>
    <definedName name="mq">#REF!</definedName>
    <definedName name="mr">#REF!</definedName>
    <definedName name="MR_13MM" localSheetId="23">#REF!</definedName>
    <definedName name="MR_13MM" localSheetId="46">#REF!</definedName>
    <definedName name="MR_13MM" localSheetId="47">#REF!</definedName>
    <definedName name="MR_13MM" localSheetId="40">#REF!</definedName>
    <definedName name="MR_13MM" localSheetId="44">#REF!</definedName>
    <definedName name="MR_13MM" localSheetId="45">#REF!</definedName>
    <definedName name="MR_13MM" localSheetId="21">#REF!</definedName>
    <definedName name="MR_13MM" localSheetId="39">#REF!</definedName>
    <definedName name="MR_13MM" localSheetId="9">#REF!</definedName>
    <definedName name="MR_13MM" localSheetId="4">#REF!</definedName>
    <definedName name="MR_13MM" localSheetId="24">#REF!</definedName>
    <definedName name="MR_13MM" localSheetId="34">#REF!</definedName>
    <definedName name="MR_13MM" localSheetId="43">#REF!</definedName>
    <definedName name="MR_13MM" localSheetId="8">#REF!</definedName>
    <definedName name="MR_13MM" localSheetId="33">#REF!</definedName>
    <definedName name="MR_13MM" localSheetId="17">#REF!</definedName>
    <definedName name="MR_13MM" localSheetId="16">#REF!</definedName>
    <definedName name="MR_13MM" localSheetId="12">#REF!</definedName>
    <definedName name="MR_13MM" localSheetId="14">#REF!</definedName>
    <definedName name="MR_13MM" localSheetId="1">#REF!</definedName>
    <definedName name="MR_13MM" localSheetId="13">#REF!</definedName>
    <definedName name="MR_13MM" localSheetId="35">#REF!</definedName>
    <definedName name="MR_13MM" localSheetId="36">#REF!</definedName>
    <definedName name="MR_13MM" localSheetId="52">#REF!</definedName>
    <definedName name="MR_13MM" localSheetId="7">#REF!</definedName>
    <definedName name="MR_13MM" localSheetId="30">#REF!</definedName>
    <definedName name="MR_13MM" localSheetId="15">#REF!</definedName>
    <definedName name="MR_13MM" localSheetId="11">#REF!</definedName>
    <definedName name="MR_13MM" localSheetId="2">#REF!</definedName>
    <definedName name="MR_13MM" localSheetId="0">#REF!</definedName>
    <definedName name="MR_13MM">#REF!</definedName>
    <definedName name="MR_22MM" localSheetId="23">#REF!</definedName>
    <definedName name="MR_22MM" localSheetId="46">#REF!</definedName>
    <definedName name="MR_22MM" localSheetId="47">#REF!</definedName>
    <definedName name="MR_22MM" localSheetId="40">#REF!</definedName>
    <definedName name="MR_22MM" localSheetId="44">#REF!</definedName>
    <definedName name="MR_22MM" localSheetId="45">#REF!</definedName>
    <definedName name="MR_22MM" localSheetId="21">#REF!</definedName>
    <definedName name="MR_22MM" localSheetId="39">#REF!</definedName>
    <definedName name="MR_22MM" localSheetId="9">#REF!</definedName>
    <definedName name="MR_22MM" localSheetId="4">#REF!</definedName>
    <definedName name="MR_22MM" localSheetId="24">#REF!</definedName>
    <definedName name="MR_22MM" localSheetId="34">#REF!</definedName>
    <definedName name="MR_22MM" localSheetId="43">#REF!</definedName>
    <definedName name="MR_22MM" localSheetId="8">#REF!</definedName>
    <definedName name="MR_22MM" localSheetId="33">#REF!</definedName>
    <definedName name="MR_22MM" localSheetId="17">#REF!</definedName>
    <definedName name="MR_22MM" localSheetId="16">#REF!</definedName>
    <definedName name="MR_22MM" localSheetId="12">#REF!</definedName>
    <definedName name="MR_22MM" localSheetId="14">#REF!</definedName>
    <definedName name="MR_22MM" localSheetId="1">#REF!</definedName>
    <definedName name="MR_22MM" localSheetId="13">#REF!</definedName>
    <definedName name="MR_22MM" localSheetId="35">#REF!</definedName>
    <definedName name="MR_22MM" localSheetId="36">#REF!</definedName>
    <definedName name="MR_22MM" localSheetId="52">#REF!</definedName>
    <definedName name="MR_22MM" localSheetId="7">#REF!</definedName>
    <definedName name="MR_22MM" localSheetId="30">#REF!</definedName>
    <definedName name="MR_22MM" localSheetId="15">#REF!</definedName>
    <definedName name="MR_22MM" localSheetId="11">#REF!</definedName>
    <definedName name="MR_22MM" localSheetId="2">#REF!</definedName>
    <definedName name="MR_22MM" localSheetId="0">#REF!</definedName>
    <definedName name="MR_22MM">#REF!</definedName>
    <definedName name="MR_40MM" localSheetId="23">#REF!</definedName>
    <definedName name="MR_40MM" localSheetId="46">#REF!</definedName>
    <definedName name="MR_40MM" localSheetId="47">#REF!</definedName>
    <definedName name="MR_40MM" localSheetId="40">#REF!</definedName>
    <definedName name="MR_40MM" localSheetId="44">#REF!</definedName>
    <definedName name="MR_40MM" localSheetId="45">#REF!</definedName>
    <definedName name="MR_40MM" localSheetId="21">#REF!</definedName>
    <definedName name="MR_40MM" localSheetId="39">#REF!</definedName>
    <definedName name="MR_40MM" localSheetId="9">#REF!</definedName>
    <definedName name="MR_40MM" localSheetId="4">#REF!</definedName>
    <definedName name="MR_40MM" localSheetId="24">#REF!</definedName>
    <definedName name="MR_40MM" localSheetId="34">#REF!</definedName>
    <definedName name="MR_40MM" localSheetId="43">#REF!</definedName>
    <definedName name="MR_40MM" localSheetId="8">#REF!</definedName>
    <definedName name="MR_40MM" localSheetId="33">#REF!</definedName>
    <definedName name="MR_40MM" localSheetId="17">#REF!</definedName>
    <definedName name="MR_40MM" localSheetId="16">#REF!</definedName>
    <definedName name="MR_40MM" localSheetId="12">#REF!</definedName>
    <definedName name="MR_40MM" localSheetId="14">#REF!</definedName>
    <definedName name="MR_40MM" localSheetId="1">#REF!</definedName>
    <definedName name="MR_40MM" localSheetId="13">#REF!</definedName>
    <definedName name="MR_40MM" localSheetId="35">#REF!</definedName>
    <definedName name="MR_40MM" localSheetId="36">#REF!</definedName>
    <definedName name="MR_40MM" localSheetId="52">#REF!</definedName>
    <definedName name="MR_40MM" localSheetId="7">#REF!</definedName>
    <definedName name="MR_40MM" localSheetId="30">#REF!</definedName>
    <definedName name="MR_40MM" localSheetId="15">#REF!</definedName>
    <definedName name="MR_40MM" localSheetId="11">#REF!</definedName>
    <definedName name="MR_40MM" localSheetId="2">#REF!</definedName>
    <definedName name="MR_40MM" localSheetId="0">#REF!</definedName>
    <definedName name="MR_40MM">#REF!</definedName>
    <definedName name="MR_55MM" localSheetId="23">#REF!</definedName>
    <definedName name="MR_55MM" localSheetId="46">#REF!</definedName>
    <definedName name="MR_55MM" localSheetId="47">#REF!</definedName>
    <definedName name="MR_55MM" localSheetId="40">#REF!</definedName>
    <definedName name="MR_55MM" localSheetId="44">#REF!</definedName>
    <definedName name="MR_55MM" localSheetId="45">#REF!</definedName>
    <definedName name="MR_55MM" localSheetId="21">#REF!</definedName>
    <definedName name="MR_55MM" localSheetId="9">#REF!</definedName>
    <definedName name="MR_55MM" localSheetId="4">#REF!</definedName>
    <definedName name="MR_55MM" localSheetId="24">#REF!</definedName>
    <definedName name="MR_55MM" localSheetId="41">#REF!</definedName>
    <definedName name="MR_55MM" localSheetId="43">#REF!</definedName>
    <definedName name="MR_55MM" localSheetId="8">#REF!</definedName>
    <definedName name="MR_55MM" localSheetId="16">#REF!</definedName>
    <definedName name="MR_55MM" localSheetId="12">#REF!</definedName>
    <definedName name="MR_55MM" localSheetId="14">#REF!</definedName>
    <definedName name="MR_55MM" localSheetId="1">#REF!</definedName>
    <definedName name="MR_55MM" localSheetId="13">#REF!</definedName>
    <definedName name="MR_55MM" localSheetId="52">#REF!</definedName>
    <definedName name="MR_55MM" localSheetId="7">#REF!</definedName>
    <definedName name="MR_55MM" localSheetId="15">#REF!</definedName>
    <definedName name="MR_55MM" localSheetId="11">#REF!</definedName>
    <definedName name="MR_55MM" localSheetId="2">#REF!</definedName>
    <definedName name="MR_55MM" localSheetId="0">#REF!</definedName>
    <definedName name="MR_55MM">#REF!</definedName>
    <definedName name="MR_63MM" localSheetId="23">#REF!</definedName>
    <definedName name="MR_63MM" localSheetId="46">#REF!</definedName>
    <definedName name="MR_63MM" localSheetId="47">#REF!</definedName>
    <definedName name="MR_63MM" localSheetId="40">#REF!</definedName>
    <definedName name="MR_63MM" localSheetId="44">#REF!</definedName>
    <definedName name="MR_63MM" localSheetId="45">#REF!</definedName>
    <definedName name="MR_63MM" localSheetId="21">#REF!</definedName>
    <definedName name="MR_63MM" localSheetId="39">#REF!</definedName>
    <definedName name="MR_63MM" localSheetId="9">#REF!</definedName>
    <definedName name="MR_63MM" localSheetId="4">#REF!</definedName>
    <definedName name="MR_63MM" localSheetId="24">#REF!</definedName>
    <definedName name="MR_63MM" localSheetId="34">#REF!</definedName>
    <definedName name="MR_63MM" localSheetId="43">#REF!</definedName>
    <definedName name="MR_63MM" localSheetId="8">#REF!</definedName>
    <definedName name="MR_63MM" localSheetId="33">#REF!</definedName>
    <definedName name="MR_63MM" localSheetId="17">#REF!</definedName>
    <definedName name="MR_63MM" localSheetId="16">#REF!</definedName>
    <definedName name="MR_63MM" localSheetId="12">#REF!</definedName>
    <definedName name="MR_63MM" localSheetId="14">#REF!</definedName>
    <definedName name="MR_63MM" localSheetId="1">#REF!</definedName>
    <definedName name="MR_63MM" localSheetId="13">#REF!</definedName>
    <definedName name="MR_63MM" localSheetId="35">#REF!</definedName>
    <definedName name="MR_63MM" localSheetId="36">#REF!</definedName>
    <definedName name="MR_63MM" localSheetId="52">#REF!</definedName>
    <definedName name="MR_63MM" localSheetId="7">#REF!</definedName>
    <definedName name="MR_63MM" localSheetId="30">#REF!</definedName>
    <definedName name="MR_63MM" localSheetId="15">#REF!</definedName>
    <definedName name="MR_63MM" localSheetId="11">#REF!</definedName>
    <definedName name="MR_63MM" localSheetId="2">#REF!</definedName>
    <definedName name="MR_63MM" localSheetId="0">#REF!</definedName>
    <definedName name="MR_63MM">#REF!</definedName>
    <definedName name="MR_7MM" localSheetId="23">#REF!</definedName>
    <definedName name="MR_7MM" localSheetId="46">#REF!</definedName>
    <definedName name="MR_7MM" localSheetId="47">#REF!</definedName>
    <definedName name="MR_7MM" localSheetId="40">#REF!</definedName>
    <definedName name="MR_7MM" localSheetId="44">#REF!</definedName>
    <definedName name="MR_7MM" localSheetId="45">#REF!</definedName>
    <definedName name="MR_7MM" localSheetId="21">#REF!</definedName>
    <definedName name="MR_7MM" localSheetId="39">#REF!</definedName>
    <definedName name="MR_7MM" localSheetId="9">#REF!</definedName>
    <definedName name="MR_7MM" localSheetId="4">#REF!</definedName>
    <definedName name="MR_7MM" localSheetId="24">#REF!</definedName>
    <definedName name="MR_7MM" localSheetId="34">#REF!</definedName>
    <definedName name="MR_7MM" localSheetId="43">#REF!</definedName>
    <definedName name="MR_7MM" localSheetId="8">#REF!</definedName>
    <definedName name="MR_7MM" localSheetId="33">#REF!</definedName>
    <definedName name="MR_7MM" localSheetId="17">#REF!</definedName>
    <definedName name="MR_7MM" localSheetId="16">#REF!</definedName>
    <definedName name="MR_7MM" localSheetId="12">#REF!</definedName>
    <definedName name="MR_7MM" localSheetId="14">#REF!</definedName>
    <definedName name="MR_7MM" localSheetId="1">#REF!</definedName>
    <definedName name="MR_7MM" localSheetId="13">#REF!</definedName>
    <definedName name="MR_7MM" localSheetId="35">#REF!</definedName>
    <definedName name="MR_7MM" localSheetId="36">#REF!</definedName>
    <definedName name="MR_7MM" localSheetId="52">#REF!</definedName>
    <definedName name="MR_7MM" localSheetId="7">#REF!</definedName>
    <definedName name="MR_7MM" localSheetId="30">#REF!</definedName>
    <definedName name="MR_7MM" localSheetId="15">#REF!</definedName>
    <definedName name="MR_7MM" localSheetId="11">#REF!</definedName>
    <definedName name="MR_7MM" localSheetId="2">#REF!</definedName>
    <definedName name="MR_7MM" localSheetId="0">#REF!</definedName>
    <definedName name="MR_7MM">#REF!</definedName>
    <definedName name="MR_BT" localSheetId="23">#REF!</definedName>
    <definedName name="MR_BT" localSheetId="46">#REF!</definedName>
    <definedName name="MR_BT" localSheetId="47">#REF!</definedName>
    <definedName name="MR_BT" localSheetId="40">#REF!</definedName>
    <definedName name="MR_BT" localSheetId="44">#REF!</definedName>
    <definedName name="MR_BT" localSheetId="45">#REF!</definedName>
    <definedName name="MR_BT" localSheetId="21">#REF!</definedName>
    <definedName name="MR_BT" localSheetId="39">#REF!</definedName>
    <definedName name="MR_BT" localSheetId="9">#REF!</definedName>
    <definedName name="MR_BT" localSheetId="4">#REF!</definedName>
    <definedName name="MR_BT" localSheetId="24">#REF!</definedName>
    <definedName name="MR_BT" localSheetId="34">#REF!</definedName>
    <definedName name="MR_BT" localSheetId="43">#REF!</definedName>
    <definedName name="MR_BT" localSheetId="8">#REF!</definedName>
    <definedName name="MR_BT" localSheetId="33">#REF!</definedName>
    <definedName name="MR_BT" localSheetId="17">#REF!</definedName>
    <definedName name="MR_BT" localSheetId="16">#REF!</definedName>
    <definedName name="MR_BT" localSheetId="12">#REF!</definedName>
    <definedName name="MR_BT" localSheetId="14">#REF!</definedName>
    <definedName name="MR_BT" localSheetId="1">#REF!</definedName>
    <definedName name="MR_BT" localSheetId="13">#REF!</definedName>
    <definedName name="MR_BT" localSheetId="35">#REF!</definedName>
    <definedName name="MR_BT" localSheetId="36">#REF!</definedName>
    <definedName name="MR_BT" localSheetId="52">#REF!</definedName>
    <definedName name="MR_BT" localSheetId="7">#REF!</definedName>
    <definedName name="MR_BT" localSheetId="30">#REF!</definedName>
    <definedName name="MR_BT" localSheetId="15">#REF!</definedName>
    <definedName name="MR_BT" localSheetId="11">#REF!</definedName>
    <definedName name="MR_BT" localSheetId="2">#REF!</definedName>
    <definedName name="MR_BT" localSheetId="0">#REF!</definedName>
    <definedName name="MR_BT">#REF!</definedName>
    <definedName name="MR_BTE" localSheetId="23">#REF!</definedName>
    <definedName name="MR_BTE" localSheetId="46">#REF!</definedName>
    <definedName name="MR_BTE" localSheetId="47">#REF!</definedName>
    <definedName name="MR_BTE" localSheetId="40">#REF!</definedName>
    <definedName name="MR_BTE" localSheetId="44">#REF!</definedName>
    <definedName name="MR_BTE" localSheetId="45">#REF!</definedName>
    <definedName name="MR_BTE" localSheetId="21">#REF!</definedName>
    <definedName name="MR_BTE" localSheetId="39">#REF!</definedName>
    <definedName name="MR_BTE" localSheetId="9">#REF!</definedName>
    <definedName name="MR_BTE" localSheetId="4">#REF!</definedName>
    <definedName name="MR_BTE" localSheetId="24">#REF!</definedName>
    <definedName name="MR_BTE" localSheetId="34">#REF!</definedName>
    <definedName name="MR_BTE" localSheetId="43">#REF!</definedName>
    <definedName name="MR_BTE" localSheetId="8">#REF!</definedName>
    <definedName name="MR_BTE" localSheetId="33">#REF!</definedName>
    <definedName name="MR_BTE" localSheetId="17">#REF!</definedName>
    <definedName name="MR_BTE" localSheetId="16">#REF!</definedName>
    <definedName name="MR_BTE" localSheetId="12">#REF!</definedName>
    <definedName name="MR_BTE" localSheetId="14">#REF!</definedName>
    <definedName name="MR_BTE" localSheetId="1">#REF!</definedName>
    <definedName name="MR_BTE" localSheetId="13">#REF!</definedName>
    <definedName name="MR_BTE" localSheetId="35">#REF!</definedName>
    <definedName name="MR_BTE" localSheetId="36">#REF!</definedName>
    <definedName name="MR_BTE" localSheetId="52">#REF!</definedName>
    <definedName name="MR_BTE" localSheetId="7">#REF!</definedName>
    <definedName name="MR_BTE" localSheetId="30">#REF!</definedName>
    <definedName name="MR_BTE" localSheetId="15">#REF!</definedName>
    <definedName name="MR_BTE" localSheetId="11">#REF!</definedName>
    <definedName name="MR_BTE" localSheetId="2">#REF!</definedName>
    <definedName name="MR_BTE" localSheetId="0">#REF!</definedName>
    <definedName name="MR_BTE">#REF!</definedName>
    <definedName name="MR_GRADE2" localSheetId="23">#REF!</definedName>
    <definedName name="MR_GRADE2" localSheetId="46">#REF!</definedName>
    <definedName name="MR_GRADE2" localSheetId="47">#REF!</definedName>
    <definedName name="MR_GRADE2" localSheetId="40">#REF!</definedName>
    <definedName name="MR_GRADE2" localSheetId="44">#REF!</definedName>
    <definedName name="MR_GRADE2" localSheetId="45">#REF!</definedName>
    <definedName name="MR_GRADE2" localSheetId="21">#REF!</definedName>
    <definedName name="MR_GRADE2" localSheetId="9">#REF!</definedName>
    <definedName name="MR_GRADE2" localSheetId="4">#REF!</definedName>
    <definedName name="MR_GRADE2" localSheetId="24">#REF!</definedName>
    <definedName name="MR_GRADE2" localSheetId="41">#REF!</definedName>
    <definedName name="MR_GRADE2" localSheetId="43">#REF!</definedName>
    <definedName name="MR_GRADE2" localSheetId="8">#REF!</definedName>
    <definedName name="MR_GRADE2" localSheetId="16">#REF!</definedName>
    <definedName name="MR_GRADE2" localSheetId="12">#REF!</definedName>
    <definedName name="MR_GRADE2" localSheetId="14">#REF!</definedName>
    <definedName name="MR_GRADE2" localSheetId="1">#REF!</definedName>
    <definedName name="MR_GRADE2" localSheetId="13">#REF!</definedName>
    <definedName name="MR_GRADE2" localSheetId="52">#REF!</definedName>
    <definedName name="MR_GRADE2" localSheetId="7">#REF!</definedName>
    <definedName name="MR_GRADE2" localSheetId="15">#REF!</definedName>
    <definedName name="MR_GRADE2" localSheetId="11">#REF!</definedName>
    <definedName name="MR_GRADE2" localSheetId="2">#REF!</definedName>
    <definedName name="MR_GRADE2" localSheetId="0">#REF!</definedName>
    <definedName name="MR_GRADE2">#REF!</definedName>
    <definedName name="MR_GRADE3" localSheetId="23">#REF!</definedName>
    <definedName name="MR_GRADE3" localSheetId="46">#REF!</definedName>
    <definedName name="MR_GRADE3" localSheetId="47">#REF!</definedName>
    <definedName name="MR_GRADE3" localSheetId="40">#REF!</definedName>
    <definedName name="MR_GRADE3" localSheetId="44">#REF!</definedName>
    <definedName name="MR_GRADE3" localSheetId="45">#REF!</definedName>
    <definedName name="MR_GRADE3" localSheetId="21">#REF!</definedName>
    <definedName name="MR_GRADE3" localSheetId="9">#REF!</definedName>
    <definedName name="MR_GRADE3" localSheetId="4">#REF!</definedName>
    <definedName name="MR_GRADE3" localSheetId="24">#REF!</definedName>
    <definedName name="MR_GRADE3" localSheetId="41">#REF!</definedName>
    <definedName name="MR_GRADE3" localSheetId="43">#REF!</definedName>
    <definedName name="MR_GRADE3" localSheetId="8">#REF!</definedName>
    <definedName name="MR_GRADE3" localSheetId="16">#REF!</definedName>
    <definedName name="MR_GRADE3" localSheetId="12">#REF!</definedName>
    <definedName name="MR_GRADE3" localSheetId="14">#REF!</definedName>
    <definedName name="MR_GRADE3" localSheetId="1">#REF!</definedName>
    <definedName name="MR_GRADE3" localSheetId="13">#REF!</definedName>
    <definedName name="MR_GRADE3" localSheetId="52">#REF!</definedName>
    <definedName name="MR_GRADE3" localSheetId="7">#REF!</definedName>
    <definedName name="MR_GRADE3" localSheetId="15">#REF!</definedName>
    <definedName name="MR_GRADE3" localSheetId="11">#REF!</definedName>
    <definedName name="MR_GRADE3" localSheetId="2">#REF!</definedName>
    <definedName name="MR_GRADE3" localSheetId="0">#REF!</definedName>
    <definedName name="MR_GRADE3">#REF!</definedName>
    <definedName name="MR_GRAVEL" localSheetId="23">#REF!</definedName>
    <definedName name="MR_GRAVEL" localSheetId="46">#REF!</definedName>
    <definedName name="MR_GRAVEL" localSheetId="47">#REF!</definedName>
    <definedName name="MR_GRAVEL" localSheetId="40">#REF!</definedName>
    <definedName name="MR_GRAVEL" localSheetId="44">#REF!</definedName>
    <definedName name="MR_GRAVEL" localSheetId="45">#REF!</definedName>
    <definedName name="MR_GRAVEL" localSheetId="21">#REF!</definedName>
    <definedName name="MR_GRAVEL" localSheetId="39">#REF!</definedName>
    <definedName name="MR_GRAVEL" localSheetId="9">#REF!</definedName>
    <definedName name="MR_GRAVEL" localSheetId="4">#REF!</definedName>
    <definedName name="MR_GRAVEL" localSheetId="24">#REF!</definedName>
    <definedName name="MR_GRAVEL" localSheetId="34">#REF!</definedName>
    <definedName name="MR_GRAVEL" localSheetId="43">#REF!</definedName>
    <definedName name="MR_GRAVEL" localSheetId="8">#REF!</definedName>
    <definedName name="MR_GRAVEL" localSheetId="33">#REF!</definedName>
    <definedName name="MR_GRAVEL" localSheetId="17">#REF!</definedName>
    <definedName name="MR_GRAVEL" localSheetId="16">#REF!</definedName>
    <definedName name="MR_GRAVEL" localSheetId="12">#REF!</definedName>
    <definedName name="MR_GRAVEL" localSheetId="14">#REF!</definedName>
    <definedName name="MR_GRAVEL" localSheetId="1">#REF!</definedName>
    <definedName name="MR_GRAVEL" localSheetId="13">#REF!</definedName>
    <definedName name="MR_GRAVEL" localSheetId="35">#REF!</definedName>
    <definedName name="MR_GRAVEL" localSheetId="36">#REF!</definedName>
    <definedName name="MR_GRAVEL" localSheetId="52">#REF!</definedName>
    <definedName name="MR_GRAVEL" localSheetId="7">#REF!</definedName>
    <definedName name="MR_GRAVEL" localSheetId="30">#REF!</definedName>
    <definedName name="MR_GRAVEL" localSheetId="15">#REF!</definedName>
    <definedName name="MR_GRAVEL" localSheetId="11">#REF!</definedName>
    <definedName name="MR_GRAVEL" localSheetId="2">#REF!</definedName>
    <definedName name="MR_GRAVEL" localSheetId="0">#REF!</definedName>
    <definedName name="MR_GRAVEL">#REF!</definedName>
    <definedName name="MR_METAL11MM" localSheetId="23">#REF!</definedName>
    <definedName name="MR_METAL11MM" localSheetId="46">#REF!</definedName>
    <definedName name="MR_METAL11MM" localSheetId="47">#REF!</definedName>
    <definedName name="MR_METAL11MM" localSheetId="40">#REF!</definedName>
    <definedName name="MR_METAL11MM" localSheetId="44">#REF!</definedName>
    <definedName name="MR_METAL11MM" localSheetId="45">#REF!</definedName>
    <definedName name="MR_METAL11MM" localSheetId="21">#REF!</definedName>
    <definedName name="MR_METAL11MM" localSheetId="39">#REF!</definedName>
    <definedName name="MR_METAL11MM" localSheetId="9">#REF!</definedName>
    <definedName name="MR_METAL11MM" localSheetId="4">#REF!</definedName>
    <definedName name="MR_METAL11MM" localSheetId="24">#REF!</definedName>
    <definedName name="MR_METAL11MM" localSheetId="34">#REF!</definedName>
    <definedName name="MR_METAL11MM" localSheetId="43">#REF!</definedName>
    <definedName name="MR_METAL11MM" localSheetId="8">#REF!</definedName>
    <definedName name="MR_METAL11MM" localSheetId="33">#REF!</definedName>
    <definedName name="MR_METAL11MM" localSheetId="17">#REF!</definedName>
    <definedName name="MR_METAL11MM" localSheetId="16">#REF!</definedName>
    <definedName name="MR_METAL11MM" localSheetId="12">#REF!</definedName>
    <definedName name="MR_METAL11MM" localSheetId="14">#REF!</definedName>
    <definedName name="MR_METAL11MM" localSheetId="1">#REF!</definedName>
    <definedName name="MR_METAL11MM" localSheetId="13">#REF!</definedName>
    <definedName name="MR_METAL11MM" localSheetId="35">#REF!</definedName>
    <definedName name="MR_METAL11MM" localSheetId="36">#REF!</definedName>
    <definedName name="MR_METAL11MM" localSheetId="52">#REF!</definedName>
    <definedName name="MR_METAL11MM" localSheetId="7">#REF!</definedName>
    <definedName name="MR_METAL11MM" localSheetId="30">#REF!</definedName>
    <definedName name="MR_METAL11MM" localSheetId="15">#REF!</definedName>
    <definedName name="MR_METAL11MM" localSheetId="11">#REF!</definedName>
    <definedName name="MR_METAL11MM" localSheetId="2">#REF!</definedName>
    <definedName name="MR_METAL11MM" localSheetId="0">#REF!</definedName>
    <definedName name="MR_METAL11MM">#REF!</definedName>
    <definedName name="MR_SAND" localSheetId="23">#REF!</definedName>
    <definedName name="MR_SAND" localSheetId="46">#REF!</definedName>
    <definedName name="MR_SAND" localSheetId="47">#REF!</definedName>
    <definedName name="MR_SAND" localSheetId="40">#REF!</definedName>
    <definedName name="MR_SAND" localSheetId="44">#REF!</definedName>
    <definedName name="MR_SAND" localSheetId="45">#REF!</definedName>
    <definedName name="MR_SAND" localSheetId="21">#REF!</definedName>
    <definedName name="MR_SAND" localSheetId="9">#REF!</definedName>
    <definedName name="MR_SAND" localSheetId="4">#REF!</definedName>
    <definedName name="MR_SAND" localSheetId="24">#REF!</definedName>
    <definedName name="MR_SAND" localSheetId="41">#REF!</definedName>
    <definedName name="MR_SAND" localSheetId="43">#REF!</definedName>
    <definedName name="MR_SAND" localSheetId="8">#REF!</definedName>
    <definedName name="MR_SAND" localSheetId="16">#REF!</definedName>
    <definedName name="MR_SAND" localSheetId="12">#REF!</definedName>
    <definedName name="MR_SAND" localSheetId="14">#REF!</definedName>
    <definedName name="MR_SAND" localSheetId="1">#REF!</definedName>
    <definedName name="MR_SAND" localSheetId="13">#REF!</definedName>
    <definedName name="MR_SAND" localSheetId="52">#REF!</definedName>
    <definedName name="MR_SAND" localSheetId="7">#REF!</definedName>
    <definedName name="MR_SAND" localSheetId="15">#REF!</definedName>
    <definedName name="MR_SAND" localSheetId="11">#REF!</definedName>
    <definedName name="MR_SAND" localSheetId="2">#REF!</definedName>
    <definedName name="MR_SAND" localSheetId="0">#REF!</definedName>
    <definedName name="MR_SAND">#REF!</definedName>
    <definedName name="MR_SANDF" localSheetId="23">#REF!</definedName>
    <definedName name="MR_SANDF" localSheetId="46">#REF!</definedName>
    <definedName name="MR_SANDF" localSheetId="47">#REF!</definedName>
    <definedName name="MR_SANDF" localSheetId="40">#REF!</definedName>
    <definedName name="MR_SANDF" localSheetId="44">#REF!</definedName>
    <definedName name="MR_SANDF" localSheetId="45">#REF!</definedName>
    <definedName name="MR_SANDF" localSheetId="21">#REF!</definedName>
    <definedName name="MR_SANDF" localSheetId="9">#REF!</definedName>
    <definedName name="MR_SANDF" localSheetId="4">#REF!</definedName>
    <definedName name="MR_SANDF" localSheetId="24">#REF!</definedName>
    <definedName name="MR_SANDF" localSheetId="41">#REF!</definedName>
    <definedName name="MR_SANDF" localSheetId="43">#REF!</definedName>
    <definedName name="MR_SANDF" localSheetId="8">#REF!</definedName>
    <definedName name="MR_SANDF" localSheetId="16">#REF!</definedName>
    <definedName name="MR_SANDF" localSheetId="12">#REF!</definedName>
    <definedName name="MR_SANDF" localSheetId="14">#REF!</definedName>
    <definedName name="MR_SANDF" localSheetId="1">#REF!</definedName>
    <definedName name="MR_SANDF" localSheetId="13">#REF!</definedName>
    <definedName name="MR_SANDF" localSheetId="52">#REF!</definedName>
    <definedName name="MR_SANDF" localSheetId="7">#REF!</definedName>
    <definedName name="MR_SANDF" localSheetId="15">#REF!</definedName>
    <definedName name="MR_SANDF" localSheetId="11">#REF!</definedName>
    <definedName name="MR_SANDF" localSheetId="2">#REF!</definedName>
    <definedName name="MR_SANDF" localSheetId="0">#REF!</definedName>
    <definedName name="MR_SANDF">#REF!</definedName>
    <definedName name="MR_STONEDUST" localSheetId="23">#REF!</definedName>
    <definedName name="MR_STONEDUST" localSheetId="46">#REF!</definedName>
    <definedName name="MR_STONEDUST" localSheetId="47">#REF!</definedName>
    <definedName name="MR_STONEDUST" localSheetId="40">#REF!</definedName>
    <definedName name="MR_STONEDUST" localSheetId="44">#REF!</definedName>
    <definedName name="MR_STONEDUST" localSheetId="45">#REF!</definedName>
    <definedName name="MR_STONEDUST" localSheetId="21">#REF!</definedName>
    <definedName name="MR_STONEDUST" localSheetId="39">#REF!</definedName>
    <definedName name="MR_STONEDUST" localSheetId="9">#REF!</definedName>
    <definedName name="MR_STONEDUST" localSheetId="4">#REF!</definedName>
    <definedName name="MR_STONEDUST" localSheetId="24">#REF!</definedName>
    <definedName name="MR_STONEDUST" localSheetId="34">#REF!</definedName>
    <definedName name="MR_STONEDUST" localSheetId="43">#REF!</definedName>
    <definedName name="MR_STONEDUST" localSheetId="8">#REF!</definedName>
    <definedName name="MR_STONEDUST" localSheetId="33">#REF!</definedName>
    <definedName name="MR_STONEDUST" localSheetId="17">#REF!</definedName>
    <definedName name="MR_STONEDUST" localSheetId="16">#REF!</definedName>
    <definedName name="MR_STONEDUST" localSheetId="12">#REF!</definedName>
    <definedName name="MR_STONEDUST" localSheetId="14">#REF!</definedName>
    <definedName name="MR_STONEDUST" localSheetId="1">#REF!</definedName>
    <definedName name="MR_STONEDUST" localSheetId="13">#REF!</definedName>
    <definedName name="MR_STONEDUST" localSheetId="35">#REF!</definedName>
    <definedName name="MR_STONEDUST" localSheetId="36">#REF!</definedName>
    <definedName name="MR_STONEDUST" localSheetId="52">#REF!</definedName>
    <definedName name="MR_STONEDUST" localSheetId="7">#REF!</definedName>
    <definedName name="MR_STONEDUST" localSheetId="30">#REF!</definedName>
    <definedName name="MR_STONEDUST" localSheetId="15">#REF!</definedName>
    <definedName name="MR_STONEDUST" localSheetId="11">#REF!</definedName>
    <definedName name="MR_STONEDUST" localSheetId="2">#REF!</definedName>
    <definedName name="MR_STONEDUST" localSheetId="0">#REF!</definedName>
    <definedName name="MR_STONEDUST">#REF!</definedName>
    <definedName name="mrt">#REF!</definedName>
    <definedName name="mrti">#REF!</definedName>
    <definedName name="ms_channels" localSheetId="21">#REF!</definedName>
    <definedName name="ms_channels" localSheetId="9">#REF!</definedName>
    <definedName name="ms_channels" localSheetId="4">#REF!</definedName>
    <definedName name="ms_channels" localSheetId="8">#REF!</definedName>
    <definedName name="ms_channels">#REF!</definedName>
    <definedName name="ms_flat_25mm" localSheetId="21">#REF!</definedName>
    <definedName name="ms_flat_25mm" localSheetId="9">#REF!</definedName>
    <definedName name="ms_flat_25mm" localSheetId="4">#REF!</definedName>
    <definedName name="ms_flat_25mm" localSheetId="8">#REF!</definedName>
    <definedName name="ms_flat_25mm">#REF!</definedName>
    <definedName name="ms_pipes" localSheetId="21">#REF!</definedName>
    <definedName name="ms_pipes" localSheetId="9">#REF!</definedName>
    <definedName name="ms_pipes" localSheetId="4">#REF!</definedName>
    <definedName name="ms_pipes" localSheetId="8">#REF!</definedName>
    <definedName name="ms_pipes">#REF!</definedName>
    <definedName name="ms_plates" localSheetId="21">#REF!</definedName>
    <definedName name="ms_plates" localSheetId="9">#REF!</definedName>
    <definedName name="ms_plates" localSheetId="4">#REF!</definedName>
    <definedName name="ms_plates" localSheetId="8">#REF!</definedName>
    <definedName name="ms_plates">#REF!</definedName>
    <definedName name="MS_square_bar_10mm" localSheetId="21">#REF!</definedName>
    <definedName name="MS_square_bar_10mm" localSheetId="9">#REF!</definedName>
    <definedName name="MS_square_bar_10mm" localSheetId="4">#REF!</definedName>
    <definedName name="MS_square_bar_10mm" localSheetId="8">#REF!</definedName>
    <definedName name="MS_square_bar_10mm">#REF!</definedName>
    <definedName name="ms_truss" localSheetId="21">#REF!</definedName>
    <definedName name="ms_truss" localSheetId="9">#REF!</definedName>
    <definedName name="ms_truss" localSheetId="4">#REF!</definedName>
    <definedName name="ms_truss" localSheetId="8">#REF!</definedName>
    <definedName name="ms_truss">#REF!</definedName>
    <definedName name="msgrill" localSheetId="21">#REF!</definedName>
    <definedName name="msgrill" localSheetId="9">#REF!</definedName>
    <definedName name="msgrill" localSheetId="4">#REF!</definedName>
    <definedName name="msgrill" localSheetId="8">#REF!</definedName>
    <definedName name="msgrill">#REF!</definedName>
    <definedName name="mt">#REF!</definedName>
    <definedName name="MTii">[67]Sheet2!$H$137</definedName>
    <definedName name="MTiii">[67]Sheet2!$H$167</definedName>
    <definedName name="MTiv">[67]Sheet2!$H$188</definedName>
    <definedName name="mtor">#REF!</definedName>
    <definedName name="MTv">[67]Sheet2!$H$197</definedName>
    <definedName name="mtwo" localSheetId="21">[79]r!$F$3</definedName>
    <definedName name="mtwo" localSheetId="9">[79]r!$F$3</definedName>
    <definedName name="mtwo" localSheetId="4">[80]r!$F$3</definedName>
    <definedName name="mtwo" localSheetId="10">#REF!</definedName>
    <definedName name="mtwo" localSheetId="8">[79]r!$F$3</definedName>
    <definedName name="mtwo" localSheetId="7">#REF!</definedName>
    <definedName name="mtwo">#REF!</definedName>
    <definedName name="mtwo1" localSheetId="21">[13]r!$F$3</definedName>
    <definedName name="mtwo1" localSheetId="9">[13]r!$F$3</definedName>
    <definedName name="mtwo1" localSheetId="4">[13]r!$F$3</definedName>
    <definedName name="mtwo1" localSheetId="8">[13]r!$F$3</definedName>
    <definedName name="mtwo1">#REF!</definedName>
    <definedName name="MULOADING" localSheetId="23">#REF!</definedName>
    <definedName name="MULOADING" localSheetId="46">#REF!</definedName>
    <definedName name="MULOADING" localSheetId="47">#REF!</definedName>
    <definedName name="MULOADING" localSheetId="40">#REF!</definedName>
    <definedName name="MULOADING" localSheetId="44">#REF!</definedName>
    <definedName name="MULOADING" localSheetId="45">#REF!</definedName>
    <definedName name="MULOADING" localSheetId="21">#REF!</definedName>
    <definedName name="MULOADING" localSheetId="9">#REF!</definedName>
    <definedName name="MULOADING" localSheetId="4">#REF!</definedName>
    <definedName name="MULOADING" localSheetId="24">#REF!</definedName>
    <definedName name="MULOADING" localSheetId="43">#REF!</definedName>
    <definedName name="MULOADING" localSheetId="8">#REF!</definedName>
    <definedName name="MULOADING" localSheetId="52">#REF!</definedName>
    <definedName name="MULOADING" localSheetId="7">#REF!</definedName>
    <definedName name="MULOADING">#REF!</definedName>
    <definedName name="mun" localSheetId="21">#REF!</definedName>
    <definedName name="mun" localSheetId="9">#REF!</definedName>
    <definedName name="mun" localSheetId="4">#REF!</definedName>
    <definedName name="mun" localSheetId="8">#REF!</definedName>
    <definedName name="mun">#REF!</definedName>
    <definedName name="murty" localSheetId="21">#REF!</definedName>
    <definedName name="murty" localSheetId="9">#REF!</definedName>
    <definedName name="murty" localSheetId="4">#REF!</definedName>
    <definedName name="murty" localSheetId="10">#REF!</definedName>
    <definedName name="murty" localSheetId="8">#REF!</definedName>
    <definedName name="murty">#REF!</definedName>
    <definedName name="MW">[67]Sheet2!$H$243</definedName>
    <definedName name="MWi">[67]Sheet2!$H$237</definedName>
    <definedName name="MWii">[67]Sheet2!$H$241</definedName>
    <definedName name="mwls">#REF!</definedName>
    <definedName name="mymax" localSheetId="21">[172]Levels!$P$5</definedName>
    <definedName name="mymax" localSheetId="9">[172]Levels!$P$5</definedName>
    <definedName name="mymax" localSheetId="4">[173]Levels!$P$5</definedName>
    <definedName name="mymax" localSheetId="10">#REF!</definedName>
    <definedName name="mymax" localSheetId="8">[172]Levels!$P$5</definedName>
    <definedName name="mymax" localSheetId="7">#REF!</definedName>
    <definedName name="mymax">#REF!</definedName>
    <definedName name="mymin" localSheetId="21">[172]Levels!$O$5</definedName>
    <definedName name="mymin" localSheetId="9">[172]Levels!$O$5</definedName>
    <definedName name="mymin" localSheetId="4">[173]Levels!$O$5</definedName>
    <definedName name="mymin" localSheetId="10">#REF!</definedName>
    <definedName name="mymin" localSheetId="8">[172]Levels!$O$5</definedName>
    <definedName name="mymin" localSheetId="7">#REF!</definedName>
    <definedName name="mymin">#REF!</definedName>
    <definedName name="mz">'[174]LEAD S 10-11'!$E$60</definedName>
    <definedName name="mzu">[88]Lead!$H$38</definedName>
    <definedName name="n" localSheetId="21">#REF!</definedName>
    <definedName name="n" localSheetId="9">#REF!</definedName>
    <definedName name="n" localSheetId="4">#REF!</definedName>
    <definedName name="n" localSheetId="10">#REF!</definedName>
    <definedName name="n" localSheetId="8">#REF!</definedName>
    <definedName name="n" localSheetId="52">#REF!</definedName>
    <definedName name="n" localSheetId="7">#REF!</definedName>
    <definedName name="n">#REF!</definedName>
    <definedName name="naga" localSheetId="21">[117]Labour!$D$22</definedName>
    <definedName name="naga" localSheetId="9">[117]Labour!$D$22</definedName>
    <definedName name="naga" localSheetId="4">[117]Labour!$D$22</definedName>
    <definedName name="naga" localSheetId="10">#REF!</definedName>
    <definedName name="naga" localSheetId="8">[117]Labour!$D$22</definedName>
    <definedName name="naga" localSheetId="7">#REF!</definedName>
    <definedName name="naga">#REF!</definedName>
    <definedName name="nagara" localSheetId="21">[175]m!$M$3</definedName>
    <definedName name="nagara" localSheetId="9">[175]m!$M$3</definedName>
    <definedName name="nagara" localSheetId="4">[175]m!$M$3</definedName>
    <definedName name="nagara" localSheetId="8">[175]m!$M$3</definedName>
    <definedName name="nagara">#REF!</definedName>
    <definedName name="nagaraj" localSheetId="21">[175]m!$M$3</definedName>
    <definedName name="nagaraj" localSheetId="9">[175]m!$M$3</definedName>
    <definedName name="nagaraj" localSheetId="4">[175]m!$M$3</definedName>
    <definedName name="nagaraj" localSheetId="8">[175]m!$M$3</definedName>
    <definedName name="nagaraj">#REF!</definedName>
    <definedName name="NAIDUPALEM">#REF!</definedName>
    <definedName name="name" localSheetId="23">#REF!</definedName>
    <definedName name="name" localSheetId="46">#REF!</definedName>
    <definedName name="name" localSheetId="47">#REF!</definedName>
    <definedName name="name" localSheetId="40">#REF!</definedName>
    <definedName name="name" localSheetId="44">#REF!</definedName>
    <definedName name="name" localSheetId="45">#REF!</definedName>
    <definedName name="name" localSheetId="21">#REF!</definedName>
    <definedName name="name" localSheetId="9">#REF!</definedName>
    <definedName name="name" localSheetId="4">#REF!</definedName>
    <definedName name="name" localSheetId="24">#REF!</definedName>
    <definedName name="name" localSheetId="10">#REF!</definedName>
    <definedName name="name" localSheetId="43">#REF!</definedName>
    <definedName name="name" localSheetId="8">#REF!</definedName>
    <definedName name="name" localSheetId="52">#REF!</definedName>
    <definedName name="name" localSheetId="7">#REF!</definedName>
    <definedName name="name" localSheetId="30">#REF!</definedName>
    <definedName name="name" localSheetId="15">#REF!</definedName>
    <definedName name="name" localSheetId="11">#REF!</definedName>
    <definedName name="name" localSheetId="2">#REF!</definedName>
    <definedName name="name" localSheetId="0">#REF!</definedName>
    <definedName name="name">#REF!</definedName>
    <definedName name="nar">#REF!</definedName>
    <definedName name="nb">#REF!</definedName>
    <definedName name="nbc">#REF!</definedName>
    <definedName name="nbm">#REF!</definedName>
    <definedName name="Needle_vibrator_40_mm">'[91]SSR 2015-16'!$F$233</definedName>
    <definedName name="newdata" localSheetId="23">#REF!</definedName>
    <definedName name="newdata" localSheetId="46">#REF!</definedName>
    <definedName name="newdata" localSheetId="47">#REF!</definedName>
    <definedName name="newdata" localSheetId="40">#REF!</definedName>
    <definedName name="newdata" localSheetId="44">#REF!</definedName>
    <definedName name="newdata" localSheetId="45">#REF!</definedName>
    <definedName name="newdata" localSheetId="21">#REF!</definedName>
    <definedName name="newdata" localSheetId="9">#REF!</definedName>
    <definedName name="newdata" localSheetId="4">#REF!</definedName>
    <definedName name="newdata" localSheetId="24">#REF!</definedName>
    <definedName name="newdata" localSheetId="41">#REF!</definedName>
    <definedName name="newdata" localSheetId="10">#REF!</definedName>
    <definedName name="newdata" localSheetId="43">#REF!</definedName>
    <definedName name="newdata" localSheetId="8">#REF!</definedName>
    <definedName name="newdata" localSheetId="16">#REF!</definedName>
    <definedName name="newdata" localSheetId="12">#REF!</definedName>
    <definedName name="newdata" localSheetId="14">#REF!</definedName>
    <definedName name="newdata" localSheetId="1">#REF!</definedName>
    <definedName name="newdata" localSheetId="13">#REF!</definedName>
    <definedName name="newdata" localSheetId="52">#REF!</definedName>
    <definedName name="newdata" localSheetId="7">#REF!</definedName>
    <definedName name="newdata" localSheetId="15">#REF!</definedName>
    <definedName name="newdata" localSheetId="11">#REF!</definedName>
    <definedName name="newdata" localSheetId="2">#REF!</definedName>
    <definedName name="newdata" localSheetId="0">#REF!</definedName>
    <definedName name="newdata">#REF!</definedName>
    <definedName name="nl" localSheetId="21">[176]DATA!$B$22</definedName>
    <definedName name="nl" localSheetId="9">[176]DATA!$B$22</definedName>
    <definedName name="nl" localSheetId="4">[177]DATA!$B$22</definedName>
    <definedName name="nl" localSheetId="8">[176]DATA!$B$22</definedName>
    <definedName name="nl" localSheetId="7">#REF!</definedName>
    <definedName name="nl">#REF!</definedName>
    <definedName name="NM" localSheetId="21" hidden="1">{"'ridftotal'!$A$4:$S$27"}</definedName>
    <definedName name="NM" localSheetId="9" hidden="1">{"'ridftotal'!$A$4:$S$27"}</definedName>
    <definedName name="NM" localSheetId="4" hidden="1">{"'ridftotal'!$A$4:$S$27"}</definedName>
    <definedName name="NM" localSheetId="10" hidden="1">{"'ridftotal'!$A$4:$S$27"}</definedName>
    <definedName name="NM" localSheetId="8" hidden="1">{"'ridftotal'!$A$4:$S$27"}</definedName>
    <definedName name="NM" hidden="1">{"'ridftotal'!$A$4:$S$27"}</definedName>
    <definedName name="nn" localSheetId="21" hidden="1">{"'ridftotal'!$A$4:$S$27"}</definedName>
    <definedName name="nn" localSheetId="9" hidden="1">{"'ridftotal'!$A$4:$S$27"}</definedName>
    <definedName name="nn" localSheetId="4" hidden="1">{"'ridftotal'!$A$4:$S$27"}</definedName>
    <definedName name="nn" localSheetId="10" hidden="1">{"'ridftotal'!$A$4:$S$27"}</definedName>
    <definedName name="nn" localSheetId="8" hidden="1">{"'ridftotal'!$A$4:$S$27"}</definedName>
    <definedName name="nn" hidden="1">{"'ridftotal'!$A$4:$S$27"}</definedName>
    <definedName name="no">#REF!</definedName>
    <definedName name="NO_1000">#REF!</definedName>
    <definedName name="NO_800">#REF!</definedName>
    <definedName name="No_of_machine_required">#REF!</definedName>
    <definedName name="nodes">#REF!</definedName>
    <definedName name="nonreturnvalve">#REF!</definedName>
    <definedName name="NONRETURNVALVES">#REF!</definedName>
    <definedName name="nOS">#REF!</definedName>
    <definedName name="note" localSheetId="21">[178]Labour!$D$15</definedName>
    <definedName name="note" localSheetId="9">[178]Labour!$D$15</definedName>
    <definedName name="note" localSheetId="4">[178]Labour!$D$15</definedName>
    <definedName name="note" localSheetId="8">[178]Labour!$D$15</definedName>
    <definedName name="note" localSheetId="7">#REF!</definedName>
    <definedName name="note">#REF!</definedName>
    <definedName name="NOTUSED" localSheetId="21">'[68]R99 etc'!$A$1:$L$142</definedName>
    <definedName name="NOTUSED" localSheetId="9">'[68]R99 etc'!$A$1:$L$142</definedName>
    <definedName name="NOTUSED" localSheetId="4">'[68]R99 etc'!$A$1:$L$142</definedName>
    <definedName name="NOTUSED" localSheetId="8">'[68]R99 etc'!$A$1:$L$142</definedName>
    <definedName name="NOTUSED">#REF!</definedName>
    <definedName name="nr" localSheetId="21">[43]DATA!$B$3</definedName>
    <definedName name="nr" localSheetId="9">[43]DATA!$B$3</definedName>
    <definedName name="nr" localSheetId="4">[42]DATA!$B$3</definedName>
    <definedName name="nr" localSheetId="8">[43]DATA!$B$3</definedName>
    <definedName name="nr" localSheetId="7">#REF!</definedName>
    <definedName name="nr">#REF!</definedName>
    <definedName name="Number_of_Payments">#N/A</definedName>
    <definedName name="Nurses" localSheetId="21">[93]Data.F8.BTR!#REF!</definedName>
    <definedName name="Nurses" localSheetId="9">[93]Data.F8.BTR!#REF!</definedName>
    <definedName name="Nurses" localSheetId="4">[93]Data.F8.BTR!#REF!</definedName>
    <definedName name="Nurses" localSheetId="8">[93]Data.F8.BTR!#REF!</definedName>
    <definedName name="Nurses">#REF!</definedName>
    <definedName name="NVN" localSheetId="21">[119]Material!$D$126</definedName>
    <definedName name="NVN" localSheetId="9">[119]Material!$D$126</definedName>
    <definedName name="NVN" localSheetId="4">[119]Material!$D$126</definedName>
    <definedName name="NVN" localSheetId="10">#REF!</definedName>
    <definedName name="NVN" localSheetId="8">[119]Material!$D$126</definedName>
    <definedName name="NVN">#REF!</definedName>
    <definedName name="nvr" localSheetId="21">[39]rdamdata!$J$8</definedName>
    <definedName name="nvr" localSheetId="9">[39]rdamdata!$J$8</definedName>
    <definedName name="nvr" localSheetId="4">[39]rdamdata!$J$8</definedName>
    <definedName name="nvr" localSheetId="8">[39]rdamdata!$J$8</definedName>
    <definedName name="nvr">#REF!</definedName>
    <definedName name="nw" localSheetId="23">#REF!</definedName>
    <definedName name="nw" localSheetId="46">#REF!</definedName>
    <definedName name="nw" localSheetId="47">#REF!</definedName>
    <definedName name="nw" localSheetId="40">#REF!</definedName>
    <definedName name="nw" localSheetId="44">#REF!</definedName>
    <definedName name="nw" localSheetId="45">#REF!</definedName>
    <definedName name="nw" localSheetId="21">#REF!</definedName>
    <definedName name="nw" localSheetId="9">#REF!</definedName>
    <definedName name="nw" localSheetId="4">#REF!</definedName>
    <definedName name="nw" localSheetId="24">#REF!</definedName>
    <definedName name="nw" localSheetId="10">#REF!</definedName>
    <definedName name="nw" localSheetId="43">#REF!</definedName>
    <definedName name="nw" localSheetId="8">#REF!</definedName>
    <definedName name="nw" localSheetId="52">#REF!</definedName>
    <definedName name="nw" localSheetId="7">#REF!</definedName>
    <definedName name="nw">#REF!</definedName>
    <definedName name="O" localSheetId="21">[129]Material!$D$110</definedName>
    <definedName name="O" localSheetId="9">[129]Material!$D$110</definedName>
    <definedName name="O" localSheetId="4">[129]Material!$D$110</definedName>
    <definedName name="O" localSheetId="8">[129]Material!$D$110</definedName>
    <definedName name="O">#REF!</definedName>
    <definedName name="obd_paint" localSheetId="21">#REF!</definedName>
    <definedName name="obd_paint" localSheetId="9">#REF!</definedName>
    <definedName name="obd_paint" localSheetId="4">#REF!</definedName>
    <definedName name="obd_paint" localSheetId="8">#REF!</definedName>
    <definedName name="obd_paint">#REF!</definedName>
    <definedName name="OCCP">[179]LEAD!$K$47</definedName>
    <definedName name="od" localSheetId="23">#REF!</definedName>
    <definedName name="od" localSheetId="46">#REF!</definedName>
    <definedName name="od" localSheetId="47">#REF!</definedName>
    <definedName name="od" localSheetId="40">#REF!</definedName>
    <definedName name="od" localSheetId="44">#REF!</definedName>
    <definedName name="od" localSheetId="45">#REF!</definedName>
    <definedName name="od" localSheetId="21">#REF!</definedName>
    <definedName name="od" localSheetId="9">#REF!</definedName>
    <definedName name="od" localSheetId="4">#REF!</definedName>
    <definedName name="od" localSheetId="24">#REF!</definedName>
    <definedName name="od" localSheetId="41">#REF!</definedName>
    <definedName name="od" localSheetId="43">#REF!</definedName>
    <definedName name="od" localSheetId="8">#REF!</definedName>
    <definedName name="od" localSheetId="16">#REF!</definedName>
    <definedName name="od" localSheetId="12">#REF!</definedName>
    <definedName name="od" localSheetId="14">#REF!</definedName>
    <definedName name="od" localSheetId="1">#REF!</definedName>
    <definedName name="od" localSheetId="13">#REF!</definedName>
    <definedName name="od" localSheetId="52">#REF!</definedName>
    <definedName name="od" localSheetId="7">#REF!</definedName>
    <definedName name="od" localSheetId="15">#REF!</definedName>
    <definedName name="od" localSheetId="11">#REF!</definedName>
    <definedName name="od" localSheetId="2">#REF!</definedName>
    <definedName name="od" localSheetId="0">#REF!</definedName>
    <definedName name="od">#REF!</definedName>
    <definedName name="OH" localSheetId="23">#REF!</definedName>
    <definedName name="OH" localSheetId="46">#REF!</definedName>
    <definedName name="OH" localSheetId="47">#REF!</definedName>
    <definedName name="OH" localSheetId="40">#REF!</definedName>
    <definedName name="OH" localSheetId="44">#REF!</definedName>
    <definedName name="OH" localSheetId="45">#REF!</definedName>
    <definedName name="OH" localSheetId="21">#REF!</definedName>
    <definedName name="OH" localSheetId="9">#REF!</definedName>
    <definedName name="OH" localSheetId="4">#REF!</definedName>
    <definedName name="OH" localSheetId="24">#REF!</definedName>
    <definedName name="oh" localSheetId="10">#REF!</definedName>
    <definedName name="OH" localSheetId="43">#REF!</definedName>
    <definedName name="OH" localSheetId="8">#REF!</definedName>
    <definedName name="OH" localSheetId="52">#REF!</definedName>
    <definedName name="OH" localSheetId="7">#REF!</definedName>
    <definedName name="OH" localSheetId="30">#REF!</definedName>
    <definedName name="OH" localSheetId="15">#REF!</definedName>
    <definedName name="OH" localSheetId="11">#REF!</definedName>
    <definedName name="OH" localSheetId="2">#REF!</definedName>
    <definedName name="OH" localSheetId="0">#REF!</definedName>
    <definedName name="OH">#REF!</definedName>
    <definedName name="OHBRBRACEONETOSIX" localSheetId="21">#REF!</definedName>
    <definedName name="OHBRBRACEONETOSIX" localSheetId="9">#REF!</definedName>
    <definedName name="OHBRBRACEONETOSIX" localSheetId="4">#REF!</definedName>
    <definedName name="OHBRBRACEONETOSIX" localSheetId="10">#REF!</definedName>
    <definedName name="OHBRBRACEONETOSIX" localSheetId="8">#REF!</definedName>
    <definedName name="OHBRBRACEONETOSIX">#REF!</definedName>
    <definedName name="OHBRBRACESEVENTOTHIRTEEN" localSheetId="21">#REF!</definedName>
    <definedName name="OHBRBRACESEVENTOTHIRTEEN" localSheetId="9">#REF!</definedName>
    <definedName name="OHBRBRACESEVENTOTHIRTEEN" localSheetId="4">#REF!</definedName>
    <definedName name="OHBRBRACESEVENTOTHIRTEEN" localSheetId="10">#REF!</definedName>
    <definedName name="OHBRBRACESEVENTOTHIRTEEN" localSheetId="8">#REF!</definedName>
    <definedName name="OHBRBRACESEVENTOTHIRTEEN">#REF!</definedName>
    <definedName name="OHBRCOLUMNONETOSIX" localSheetId="21">#REF!</definedName>
    <definedName name="OHBRCOLUMNONETOSIX" localSheetId="9">#REF!</definedName>
    <definedName name="OHBRCOLUMNONETOSIX" localSheetId="4">#REF!</definedName>
    <definedName name="OHBRCOLUMNONETOSIX" localSheetId="10">#REF!</definedName>
    <definedName name="OHBRCOLUMNONETOSIX" localSheetId="8">#REF!</definedName>
    <definedName name="OHBRCOLUMNONETOSIX">#REF!</definedName>
    <definedName name="OHBRCOLUMNSEVENTOTHIRTEEN" localSheetId="21">#REF!</definedName>
    <definedName name="OHBRCOLUMNSEVENTOTHIRTEEN" localSheetId="9">#REF!</definedName>
    <definedName name="OHBRCOLUMNSEVENTOTHIRTEEN" localSheetId="4">#REF!</definedName>
    <definedName name="OHBRCOLUMNSEVENTOTHIRTEEN" localSheetId="10">#REF!</definedName>
    <definedName name="OHBRCOLUMNSEVENTOTHIRTEEN" localSheetId="8">#REF!</definedName>
    <definedName name="OHBRCOLUMNSEVENTOTHIRTEEN">#REF!</definedName>
    <definedName name="OHCP" localSheetId="21">[105]LEAD!$K$47</definedName>
    <definedName name="OHCP" localSheetId="9">[105]LEAD!$K$47</definedName>
    <definedName name="OHCP" localSheetId="4">[105]LEAD!$K$47</definedName>
    <definedName name="OHCP" localSheetId="8">[105]LEAD!$K$47</definedName>
    <definedName name="OHCP">#REF!</definedName>
    <definedName name="OHCPBRIDGES">#REF!</definedName>
    <definedName name="ohsrcap">#REF!</definedName>
    <definedName name="ohsrlls">#REF!</definedName>
    <definedName name="oi">#REF!</definedName>
    <definedName name="oii">#REF!</definedName>
    <definedName name="OIU">[81]DATA_PRG!$H$328</definedName>
    <definedName name="ojjlkj" localSheetId="21">[109]Material!$D$130</definedName>
    <definedName name="ojjlkj" localSheetId="9">[109]Material!$D$130</definedName>
    <definedName name="ojjlkj" localSheetId="4">[109]Material!$D$130</definedName>
    <definedName name="ojjlkj" localSheetId="8">[109]Material!$D$130</definedName>
    <definedName name="ojjlkj">#REF!</definedName>
    <definedName name="one" localSheetId="21">#REF!</definedName>
    <definedName name="one" localSheetId="9">#REF!</definedName>
    <definedName name="one" localSheetId="4">#REF!</definedName>
    <definedName name="one" localSheetId="8">#REF!</definedName>
    <definedName name="one">#REF!</definedName>
    <definedName name="ONETOSEVEN" localSheetId="21">#REF!</definedName>
    <definedName name="ONETOSEVEN" localSheetId="9">#REF!</definedName>
    <definedName name="ONETOSEVEN" localSheetId="4">#REF!</definedName>
    <definedName name="ONETOSEVEN" localSheetId="10">#REF!</definedName>
    <definedName name="ONETOSEVEN" localSheetId="8">#REF!</definedName>
    <definedName name="ONETOSEVEN">#REF!</definedName>
    <definedName name="oo">#REF!</definedName>
    <definedName name="Oranamental_Plastering_12mm_thick_in_CM__1_3__with_dubara_sponge_finish_including_cost_and_conveyance_of_all_materials_like_cement__sand__water_etc.__to_site__seigniorage_charges__sales___other_taxes_on_all_materials_all_operational__incidental_and_labour" localSheetId="4">'[58]DATA SHEET FOR 2014-15'!#REF!</definedName>
    <definedName name="Oranamental_Plastering_12mm_thick_in_CM__1_3__with_dubara_sponge_finish_including_cost_and_conveyance_of_all_materials_like_cement__sand__water_etc.__to_site__seigniorage_charges__sales___other_taxes_on_all_materials_all_operational__incidental_and_labour">'[58]DATA SHEET FOR 2014-15'!#REF!</definedName>
    <definedName name="OrderTable" localSheetId="21" hidden="1">#REF!</definedName>
    <definedName name="OrderTable" localSheetId="9" hidden="1">#REF!</definedName>
    <definedName name="OrderTable" localSheetId="4" hidden="1">#REF!</definedName>
    <definedName name="OrderTable" localSheetId="10" hidden="1">#REF!</definedName>
    <definedName name="OrderTable" localSheetId="8" hidden="1">#REF!</definedName>
    <definedName name="OrderTable" hidden="1">#REF!</definedName>
    <definedName name="others">#REF!</definedName>
    <definedName name="p" localSheetId="23">#REF!</definedName>
    <definedName name="p" localSheetId="46">#REF!</definedName>
    <definedName name="p" localSheetId="47">#REF!</definedName>
    <definedName name="p" localSheetId="40">#REF!</definedName>
    <definedName name="p" localSheetId="44">#REF!</definedName>
    <definedName name="p" localSheetId="45">#REF!</definedName>
    <definedName name="p" localSheetId="21">#REF!</definedName>
    <definedName name="p" localSheetId="9">#REF!</definedName>
    <definedName name="p" localSheetId="4">#REF!</definedName>
    <definedName name="p" localSheetId="24">#REF!</definedName>
    <definedName name="p" localSheetId="10">#REF!</definedName>
    <definedName name="p" localSheetId="43">#REF!</definedName>
    <definedName name="p" localSheetId="8">#REF!</definedName>
    <definedName name="p" localSheetId="52">#REF!</definedName>
    <definedName name="p" localSheetId="7">#REF!</definedName>
    <definedName name="p">#REF!</definedName>
    <definedName name="Pa" localSheetId="21">[67]Sheet2!$H$281</definedName>
    <definedName name="Pa" localSheetId="9">[67]Sheet2!$H$281</definedName>
    <definedName name="Pa" localSheetId="4">[67]Sheet2!$H$281</definedName>
    <definedName name="Pa" localSheetId="8">[67]Sheet2!$H$281</definedName>
    <definedName name="Pa">#REF!</definedName>
    <definedName name="Pai">[67]Sheet2!$H$271</definedName>
    <definedName name="Paii">[67]Sheet2!$H$274</definedName>
    <definedName name="Paiii">[67]Sheet2!$H$275</definedName>
    <definedName name="paint" localSheetId="21">[81]DATA_PRG!$H$345</definedName>
    <definedName name="paint" localSheetId="9">[81]DATA_PRG!$H$345</definedName>
    <definedName name="paint" localSheetId="4">[81]DATA_PRG!$H$345</definedName>
    <definedName name="paint" localSheetId="8">[81]DATA_PRG!$H$345</definedName>
    <definedName name="paint">#REF!</definedName>
    <definedName name="painter1">#REF!</definedName>
    <definedName name="Part">#REF!</definedName>
    <definedName name="Pasu">#REF!</definedName>
    <definedName name="Payment_Date">#N/A</definedName>
    <definedName name="pbm">#REF!</definedName>
    <definedName name="pc" localSheetId="21">#REF!</definedName>
    <definedName name="pc" localSheetId="9">#REF!</definedName>
    <definedName name="pc" localSheetId="4">#REF!</definedName>
    <definedName name="pc" localSheetId="10">#REF!</definedName>
    <definedName name="pc" localSheetId="8">#REF!</definedName>
    <definedName name="pc" localSheetId="52">#REF!</definedName>
    <definedName name="pc" localSheetId="7">#REF!</definedName>
    <definedName name="pc">#REF!</definedName>
    <definedName name="pcc" localSheetId="21">#REF!</definedName>
    <definedName name="pcc" localSheetId="9">#REF!</definedName>
    <definedName name="pcc" localSheetId="4">#REF!</definedName>
    <definedName name="pcc" localSheetId="8">#REF!</definedName>
    <definedName name="pcc">#REF!</definedName>
    <definedName name="pcc_bedblock" localSheetId="21">#REF!</definedName>
    <definedName name="pcc_bedblock" localSheetId="9">#REF!</definedName>
    <definedName name="pcc_bedblock" localSheetId="4">#REF!</definedName>
    <definedName name="pcc_bedblock" localSheetId="8">#REF!</definedName>
    <definedName name="pcc_bedblock">#REF!</definedName>
    <definedName name="Pd">[67]Sheet2!$H$213</definedName>
    <definedName name="Pedastals" localSheetId="4">'[58]DATA SHEET FOR 2014-15'!#REF!</definedName>
    <definedName name="Pedastals">'[58]DATA SHEET FOR 2014-15'!#REF!</definedName>
    <definedName name="per">#REF!</definedName>
    <definedName name="permissible_bending">#REF!</definedName>
    <definedName name="permissible_comp">#REF!</definedName>
    <definedName name="permissible_shear">#REF!</definedName>
    <definedName name="PGS" localSheetId="21">#REF!</definedName>
    <definedName name="PGS" localSheetId="9">#REF!</definedName>
    <definedName name="PGS" localSheetId="4">#REF!</definedName>
    <definedName name="PGS" localSheetId="8">#REF!</definedName>
    <definedName name="PGS">#REF!</definedName>
    <definedName name="PHANI" localSheetId="21">[175]m!$B$149</definedName>
    <definedName name="PHANI" localSheetId="9">[175]m!$B$149</definedName>
    <definedName name="PHANI" localSheetId="4">[175]m!$B$149</definedName>
    <definedName name="PHANI" localSheetId="8">[175]m!$B$149</definedName>
    <definedName name="PHANI">#REF!</definedName>
    <definedName name="phase">#REF!</definedName>
    <definedName name="phi">#REF!</definedName>
    <definedName name="Phone" localSheetId="10">#REF!</definedName>
    <definedName name="Phone">#REF!</definedName>
    <definedName name="pi">#REF!</definedName>
    <definedName name="pIIII" localSheetId="21">#REF!</definedName>
    <definedName name="pIIII" localSheetId="9">#REF!</definedName>
    <definedName name="pIIII" localSheetId="4">#REF!</definedName>
    <definedName name="pIIII" localSheetId="8">#REF!</definedName>
    <definedName name="pIIII">#REF!</definedName>
    <definedName name="PIPE">#REF!</definedName>
    <definedName name="PipeDia">#REF!</definedName>
    <definedName name="Pipes">'[91]SSR 2015-16'!$B$5217:$B$5234</definedName>
    <definedName name="pipewts" localSheetId="23">#REF!</definedName>
    <definedName name="pipewts" localSheetId="46">#REF!</definedName>
    <definedName name="pipewts" localSheetId="47">#REF!</definedName>
    <definedName name="pipewts" localSheetId="40">#REF!</definedName>
    <definedName name="pipewts" localSheetId="44">#REF!</definedName>
    <definedName name="pipewts" localSheetId="45">#REF!</definedName>
    <definedName name="pipewts" localSheetId="21">#REF!</definedName>
    <definedName name="pipewts" localSheetId="9">#REF!</definedName>
    <definedName name="pipewts" localSheetId="4">#REF!</definedName>
    <definedName name="pipewts" localSheetId="24">#REF!</definedName>
    <definedName name="pipewts" localSheetId="43">#REF!</definedName>
    <definedName name="pipewts" localSheetId="8">#REF!</definedName>
    <definedName name="pipewts" localSheetId="52">#REF!</definedName>
    <definedName name="pipewts" localSheetId="7">#REF!</definedName>
    <definedName name="pipewts">#REF!</definedName>
    <definedName name="pkgno" localSheetId="23">#REF!</definedName>
    <definedName name="pkgno" localSheetId="46">#REF!</definedName>
    <definedName name="pkgno" localSheetId="47">#REF!</definedName>
    <definedName name="pkgno" localSheetId="40">#REF!</definedName>
    <definedName name="pkgno" localSheetId="44">#REF!</definedName>
    <definedName name="pkgno" localSheetId="45">#REF!</definedName>
    <definedName name="pkgno" localSheetId="21">#REF!</definedName>
    <definedName name="pkgno" localSheetId="39">#REF!</definedName>
    <definedName name="pkgno" localSheetId="9">#REF!</definedName>
    <definedName name="pkgno" localSheetId="4">#REF!</definedName>
    <definedName name="pkgno" localSheetId="24">#REF!</definedName>
    <definedName name="pkgno" localSheetId="34">#REF!</definedName>
    <definedName name="pkgno" localSheetId="43">#REF!</definedName>
    <definedName name="pkgno" localSheetId="8">#REF!</definedName>
    <definedName name="pkgno" localSheetId="33">#REF!</definedName>
    <definedName name="pkgno" localSheetId="17">#REF!</definedName>
    <definedName name="pkgno" localSheetId="16">#REF!</definedName>
    <definedName name="pkgno" localSheetId="12">#REF!</definedName>
    <definedName name="pkgno" localSheetId="14">#REF!</definedName>
    <definedName name="pkgno" localSheetId="1">#REF!</definedName>
    <definedName name="pkgno" localSheetId="13">#REF!</definedName>
    <definedName name="pkgno" localSheetId="35">#REF!</definedName>
    <definedName name="pkgno" localSheetId="36">#REF!</definedName>
    <definedName name="pkgno" localSheetId="52">#REF!</definedName>
    <definedName name="pkgno" localSheetId="7">#REF!</definedName>
    <definedName name="pkgno" localSheetId="30">#REF!</definedName>
    <definedName name="pkgno" localSheetId="15">#REF!</definedName>
    <definedName name="pkgno" localSheetId="11">#REF!</definedName>
    <definedName name="pkgno" localSheetId="2">#REF!</definedName>
    <definedName name="pkgno" localSheetId="0">#REF!</definedName>
    <definedName name="pkgno">#REF!</definedName>
    <definedName name="pla" localSheetId="21">[46]DATA_PRG!$H$252</definedName>
    <definedName name="pla" localSheetId="9">[46]DATA_PRG!$H$252</definedName>
    <definedName name="pla" localSheetId="4">[46]DATA_PRG!$H$252</definedName>
    <definedName name="pla" localSheetId="8">[46]DATA_PRG!$H$252</definedName>
    <definedName name="pla">#REF!</definedName>
    <definedName name="plasp" localSheetId="21">[81]DATA_PRG!$H$296</definedName>
    <definedName name="plasp" localSheetId="9">[81]DATA_PRG!$H$296</definedName>
    <definedName name="plasp" localSheetId="4">[81]DATA_PRG!$H$296</definedName>
    <definedName name="plasp" localSheetId="8">[81]DATA_PRG!$H$296</definedName>
    <definedName name="plasp">#REF!</definedName>
    <definedName name="plaster_ornamental" localSheetId="21">#REF!</definedName>
    <definedName name="plaster_ornamental" localSheetId="9">#REF!</definedName>
    <definedName name="plaster_ornamental" localSheetId="4">#REF!</definedName>
    <definedName name="plaster_ornamental" localSheetId="8">#REF!</definedName>
    <definedName name="plaster_ornamental">#REF!</definedName>
    <definedName name="plaster_stage" localSheetId="21">'[77]data existing_do not delete'!$A$88:$A$91</definedName>
    <definedName name="plaster_stage" localSheetId="9">'[77]data existing_do not delete'!$A$88:$A$91</definedName>
    <definedName name="plaster_stage" localSheetId="4">'[77]data existing_do not delete'!$A$88:$A$91</definedName>
    <definedName name="plaster_stage" localSheetId="8">'[77]data existing_do not delete'!$A$88:$A$91</definedName>
    <definedName name="plaster_stage">#REF!</definedName>
    <definedName name="plaster_thick" localSheetId="21">'[77]data existing_do not delete'!$D$14:$D$16</definedName>
    <definedName name="plaster_thick" localSheetId="9">'[77]data existing_do not delete'!$D$14:$D$16</definedName>
    <definedName name="plaster_thick" localSheetId="4">'[77]data existing_do not delete'!$D$14:$D$16</definedName>
    <definedName name="plaster_thick" localSheetId="8">'[77]data existing_do not delete'!$D$14:$D$16</definedName>
    <definedName name="plaster_thick">#REF!</definedName>
    <definedName name="plaster_twelve" localSheetId="21">#REF!</definedName>
    <definedName name="plaster_twelve" localSheetId="9">#REF!</definedName>
    <definedName name="plaster_twelve" localSheetId="4">#REF!</definedName>
    <definedName name="plaster_twelve" localSheetId="8">#REF!</definedName>
    <definedName name="plaster_twelve">#REF!</definedName>
    <definedName name="plaster_twenty" localSheetId="21">#REF!</definedName>
    <definedName name="plaster_twenty" localSheetId="9">#REF!</definedName>
    <definedName name="plaster_twenty" localSheetId="4">#REF!</definedName>
    <definedName name="plaster_twenty" localSheetId="8">#REF!</definedName>
    <definedName name="plaster_twenty">#REF!</definedName>
    <definedName name="PLASTERING" localSheetId="21">[18]maya!$A$23:$A$27</definedName>
    <definedName name="PLASTERING" localSheetId="9">[18]maya!$A$23:$A$27</definedName>
    <definedName name="PLASTERING" localSheetId="4">[18]maya!$A$23:$A$27</definedName>
    <definedName name="PLASTERING" localSheetId="8">[18]maya!$A$23:$A$27</definedName>
    <definedName name="PLASTERING">#REF!</definedName>
    <definedName name="Plastering_12mm_thick_in_CM__1_4__with_dubara_sponge_finish_including_cost_and_conveyance_of_all_materials_like_cement__sand__water_etc.__to_site__seigniorage_charges__sales___other_taxes_on_all_materials_all_operational__incidental_and_labour_charges_su" localSheetId="4">'[58]DATA SHEET FOR 2014-15'!#REF!</definedName>
    <definedName name="Plastering_12mm_thick_in_CM__1_4__with_dubara_sponge_finish_including_cost_and_conveyance_of_all_materials_like_cement__sand__water_etc.__to_site__seigniorage_charges__sales___other_taxes_on_all_materials_all_operational__incidental_and_labour_charges_su">'[58]DATA SHEET FOR 2014-15'!#REF!</definedName>
    <definedName name="Plastering_with_CM_2_coats__20_mm_thick__base_coat_in_CM__1_6___16mm_thick_and_top_coat_in_CM__1_4___4mm_thick_with_Dubara_sponze_finishing." localSheetId="4">'[58]DATA SHEET FOR 2014-15'!#REF!</definedName>
    <definedName name="Plastering_with_CM_2_coats__20_mm_thick__base_coat_in_CM__1_6___16mm_thick_and_top_coat_in_CM__1_4___4mm_thick_with_Dubara_sponze_finishing.">'[58]DATA SHEET FOR 2014-15'!#REF!</definedName>
    <definedName name="plasticemulsion_paint" localSheetId="21">#REF!</definedName>
    <definedName name="plasticemulsion_paint" localSheetId="9">#REF!</definedName>
    <definedName name="plasticemulsion_paint" localSheetId="4">#REF!</definedName>
    <definedName name="plasticemulsion_paint" localSheetId="8">#REF!</definedName>
    <definedName name="plasticemulsion_paint">#REF!</definedName>
    <definedName name="Plinth_beam" localSheetId="4">'[58]DATA SHEET FOR 2014-15'!#REF!</definedName>
    <definedName name="Plinth_beam">'[58]DATA SHEET FOR 2014-15'!#REF!</definedName>
    <definedName name="PM" localSheetId="21">'[129]Plant &amp;  Machinery'!$G$23</definedName>
    <definedName name="PM" localSheetId="9">'[129]Plant &amp;  Machinery'!$G$23</definedName>
    <definedName name="PM" localSheetId="4">'[129]Plant &amp;  Machinery'!$G$23</definedName>
    <definedName name="PM" localSheetId="8">'[129]Plant &amp;  Machinery'!$G$23</definedName>
    <definedName name="PM">#REF!</definedName>
    <definedName name="PM_AirCompressor_210cfm" localSheetId="21">'[143]Plant &amp;  Machinery'!$G$4</definedName>
    <definedName name="PM_AirCompressor_210cfm" localSheetId="9">'[143]Plant &amp;  Machinery'!$G$4</definedName>
    <definedName name="PM_AirCompressor_210cfm" localSheetId="4">'[144]Plant &amp;  Machinery'!$G$4</definedName>
    <definedName name="PM_AirCompressor_210cfm" localSheetId="10">#REF!</definedName>
    <definedName name="PM_AirCompressor_210cfm" localSheetId="8">'[143]Plant &amp;  Machinery'!$G$4</definedName>
    <definedName name="PM_AirCompressor_210cfm" localSheetId="7">#REF!</definedName>
    <definedName name="PM_AirCompressor_210cfm">#REF!</definedName>
    <definedName name="PM_BatchMixHMP_46_60THP" localSheetId="21">'[159]Plant &amp;  Machinery'!$G$5</definedName>
    <definedName name="PM_BatchMixHMP_46_60THP" localSheetId="9">'[159]Plant &amp;  Machinery'!$G$5</definedName>
    <definedName name="PM_BatchMixHMP_46_60THP" localSheetId="4">'[159]Plant &amp;  Machinery'!$G$5</definedName>
    <definedName name="PM_BatchMixHMP_46_60THP" localSheetId="10">#REF!</definedName>
    <definedName name="PM_BatchMixHMP_46_60THP" localSheetId="8">'[159]Plant &amp;  Machinery'!$G$5</definedName>
    <definedName name="PM_BatchMixHMP_46_60THP" localSheetId="7">#REF!</definedName>
    <definedName name="PM_BatchMixHMP_46_60THP">#REF!</definedName>
    <definedName name="PM_BatchTypeHMP_30_40" localSheetId="21">'[142]Plant &amp;  Machinery'!$G$6</definedName>
    <definedName name="PM_BatchTypeHMP_30_40" localSheetId="9">'[142]Plant &amp;  Machinery'!$G$6</definedName>
    <definedName name="PM_BatchTypeHMP_30_40" localSheetId="4">'[142]Plant &amp;  Machinery'!$G$6</definedName>
    <definedName name="PM_BatchTypeHMP_30_40" localSheetId="8">'[142]Plant &amp;  Machinery'!$G$6</definedName>
    <definedName name="PM_BatchTypeHMP_30_40">#REF!</definedName>
    <definedName name="PM_BitumenBoilerOilFired_1000" localSheetId="21">'[142]Plant &amp;  Machinery'!$G$9</definedName>
    <definedName name="PM_BitumenBoilerOilFired_1000" localSheetId="9">'[142]Plant &amp;  Machinery'!$G$9</definedName>
    <definedName name="PM_BitumenBoilerOilFired_1000" localSheetId="4">'[142]Plant &amp;  Machinery'!$G$9</definedName>
    <definedName name="PM_BitumenBoilerOilFired_1000" localSheetId="8">'[142]Plant &amp;  Machinery'!$G$9</definedName>
    <definedName name="PM_BitumenBoilerOilFired_1000">#REF!</definedName>
    <definedName name="PM_BitumenBoilerOilFired_200" localSheetId="21">'[159]Plant &amp;  Machinery'!$G$8</definedName>
    <definedName name="PM_BitumenBoilerOilFired_200" localSheetId="9">'[159]Plant &amp;  Machinery'!$G$8</definedName>
    <definedName name="PM_BitumenBoilerOilFired_200" localSheetId="4">'[159]Plant &amp;  Machinery'!$G$8</definedName>
    <definedName name="PM_BitumenBoilerOilFired_200" localSheetId="10">#REF!</definedName>
    <definedName name="PM_BitumenBoilerOilFired_200" localSheetId="8">'[159]Plant &amp;  Machinery'!$G$8</definedName>
    <definedName name="PM_BitumenBoilerOilFired_200" localSheetId="7">#REF!</definedName>
    <definedName name="PM_BitumenBoilerOilFired_200">#REF!</definedName>
    <definedName name="PM_BitumenEmulsionPressureDistributor" localSheetId="21">'[163]Plant &amp;  Machinery'!$G$10</definedName>
    <definedName name="PM_BitumenEmulsionPressureDistributor" localSheetId="9">'[163]Plant &amp;  Machinery'!$G$10</definedName>
    <definedName name="PM_BitumenEmulsionPressureDistributor" localSheetId="4">'[164]Plant &amp;  Machinery'!$G$10</definedName>
    <definedName name="PM_BitumenEmulsionPressureDistributor" localSheetId="10">#REF!</definedName>
    <definedName name="PM_BitumenEmulsionPressureDistributor" localSheetId="8">'[163]Plant &amp;  Machinery'!$G$10</definedName>
    <definedName name="PM_BitumenEmulsionPressureDistributor" localSheetId="7">#REF!</definedName>
    <definedName name="PM_BitumenEmulsionPressureDistributor">#REF!</definedName>
    <definedName name="PM_ConcreteMixer" localSheetId="21">'[143]Plant &amp;  Machinery'!$G$11</definedName>
    <definedName name="PM_ConcreteMixer" localSheetId="9">'[143]Plant &amp;  Machinery'!$G$11</definedName>
    <definedName name="PM_ConcreteMixer" localSheetId="4">'[144]Plant &amp;  Machinery'!$G$11</definedName>
    <definedName name="PM_ConcreteMixer" localSheetId="10">#REF!</definedName>
    <definedName name="PM_ConcreteMixer" localSheetId="8">'[143]Plant &amp;  Machinery'!$G$11</definedName>
    <definedName name="PM_ConcreteMixer" localSheetId="7">#REF!</definedName>
    <definedName name="PM_ConcreteMixer">#REF!</definedName>
    <definedName name="PM_Dozer_D50" localSheetId="21">'[143]Plant &amp;  Machinery'!$G$13</definedName>
    <definedName name="PM_Dozer_D50" localSheetId="9">'[143]Plant &amp;  Machinery'!$G$13</definedName>
    <definedName name="PM_Dozer_D50" localSheetId="4">'[144]Plant &amp;  Machinery'!$G$13</definedName>
    <definedName name="PM_Dozer_D50" localSheetId="10">#REF!</definedName>
    <definedName name="PM_Dozer_D50" localSheetId="8">'[143]Plant &amp;  Machinery'!$G$13</definedName>
    <definedName name="PM_Dozer_D50" localSheetId="7">#REF!</definedName>
    <definedName name="PM_Dozer_D50">#REF!</definedName>
    <definedName name="PM_ElectricGeneratorSet_125" localSheetId="21">'[142]Plant &amp;  Machinery'!$G$15</definedName>
    <definedName name="PM_ElectricGeneratorSet_125" localSheetId="9">'[142]Plant &amp;  Machinery'!$G$15</definedName>
    <definedName name="PM_ElectricGeneratorSet_125" localSheetId="4">'[142]Plant &amp;  Machinery'!$G$15</definedName>
    <definedName name="PM_ElectricGeneratorSet_125" localSheetId="8">'[142]Plant &amp;  Machinery'!$G$15</definedName>
    <definedName name="PM_ElectricGeneratorSet_125">#REF!</definedName>
    <definedName name="PM_FrontEndLoader_1cum" localSheetId="21">'[142]Plant &amp;  Machinery'!$G$17</definedName>
    <definedName name="PM_FrontEndLoader_1cum" localSheetId="9">'[142]Plant &amp;  Machinery'!$G$17</definedName>
    <definedName name="PM_FrontEndLoader_1cum" localSheetId="4">'[142]Plant &amp;  Machinery'!$G$17</definedName>
    <definedName name="PM_FrontEndLoader_1cum" localSheetId="8">'[142]Plant &amp;  Machinery'!$G$17</definedName>
    <definedName name="PM_FrontEndLoader_1cum">#REF!</definedName>
    <definedName name="PM_HydraulicBroom" localSheetId="21">'[163]Plant &amp;  Machinery'!$G$19</definedName>
    <definedName name="PM_HydraulicBroom" localSheetId="9">'[163]Plant &amp;  Machinery'!$G$19</definedName>
    <definedName name="PM_HydraulicBroom" localSheetId="4">'[164]Plant &amp;  Machinery'!$G$19</definedName>
    <definedName name="PM_HydraulicBroom" localSheetId="10">#REF!</definedName>
    <definedName name="PM_HydraulicBroom" localSheetId="8">'[163]Plant &amp;  Machinery'!$G$19</definedName>
    <definedName name="PM_HydraulicBroom" localSheetId="7">#REF!</definedName>
    <definedName name="PM_HydraulicBroom">#REF!</definedName>
    <definedName name="PM_HydraulicExcavator_09cum" localSheetId="21">'[142]Plant &amp;  Machinery'!$G$20</definedName>
    <definedName name="PM_HydraulicExcavator_09cum" localSheetId="9">'[142]Plant &amp;  Machinery'!$G$20</definedName>
    <definedName name="PM_HydraulicExcavator_09cum" localSheetId="4">'[142]Plant &amp;  Machinery'!$G$20</definedName>
    <definedName name="PM_HydraulicExcavator_09cum" localSheetId="8">'[142]Plant &amp;  Machinery'!$G$20</definedName>
    <definedName name="PM_HydraulicExcavator_09cum">#REF!</definedName>
    <definedName name="PM_HydraulicSelfPropelledChipSpreader" localSheetId="21">'[163]Plant &amp;  Machinery'!$G$21</definedName>
    <definedName name="PM_HydraulicSelfPropelledChipSpreader" localSheetId="9">'[163]Plant &amp;  Machinery'!$G$21</definedName>
    <definedName name="PM_HydraulicSelfPropelledChipSpreader" localSheetId="4">'[164]Plant &amp;  Machinery'!$G$21</definedName>
    <definedName name="PM_HydraulicSelfPropelledChipSpreader" localSheetId="10">#REF!</definedName>
    <definedName name="PM_HydraulicSelfPropelledChipSpreader" localSheetId="8">'[163]Plant &amp;  Machinery'!$G$21</definedName>
    <definedName name="PM_HydraulicSelfPropelledChipSpreader" localSheetId="7">#REF!</definedName>
    <definedName name="PM_HydraulicSelfPropelledChipSpreader">#REF!</definedName>
    <definedName name="PM_JackHammer" localSheetId="21">'[147]Plant &amp;  Machinery'!$G$22</definedName>
    <definedName name="PM_JackHammer" localSheetId="9">'[147]Plant &amp;  Machinery'!$G$22</definedName>
    <definedName name="PM_JackHammer" localSheetId="4">'[147]Plant &amp;  Machinery'!$G$22</definedName>
    <definedName name="PM_JackHammer" localSheetId="8">'[147]Plant &amp;  Machinery'!$G$22</definedName>
    <definedName name="PM_JackHammer" localSheetId="7">#REF!</definedName>
    <definedName name="PM_JackHammer">#REF!</definedName>
    <definedName name="PM_JointCuttingMachine" localSheetId="21">'[143]Plant &amp;  Machinery'!$G$23</definedName>
    <definedName name="PM_JointCuttingMachine" localSheetId="9">'[143]Plant &amp;  Machinery'!$G$23</definedName>
    <definedName name="PM_JointCuttingMachine" localSheetId="4">'[144]Plant &amp;  Machinery'!$G$23</definedName>
    <definedName name="PM_JointCuttingMachine" localSheetId="10">#REF!</definedName>
    <definedName name="PM_JointCuttingMachine" localSheetId="8">'[143]Plant &amp;  Machinery'!$G$23</definedName>
    <definedName name="PM_JointCuttingMachine" localSheetId="7">#REF!</definedName>
    <definedName name="PM_JointCuttingMachine">#REF!</definedName>
    <definedName name="PM_Mixall_6_10t" localSheetId="21">'[159]Plant &amp;  Machinery'!$G$24</definedName>
    <definedName name="PM_Mixall_6_10t" localSheetId="9">'[159]Plant &amp;  Machinery'!$G$24</definedName>
    <definedName name="PM_Mixall_6_10t" localSheetId="4">'[159]Plant &amp;  Machinery'!$G$24</definedName>
    <definedName name="PM_Mixall_6_10t" localSheetId="10">#REF!</definedName>
    <definedName name="PM_Mixall_6_10t" localSheetId="8">'[159]Plant &amp;  Machinery'!$G$24</definedName>
    <definedName name="PM_Mixall_6_10t" localSheetId="7">#REF!</definedName>
    <definedName name="PM_Mixall_6_10t">#REF!</definedName>
    <definedName name="PM_MotorGrader" localSheetId="21">'[142]Plant &amp;  Machinery'!$G$25</definedName>
    <definedName name="PM_MotorGrader" localSheetId="9">'[142]Plant &amp;  Machinery'!$G$25</definedName>
    <definedName name="PM_MotorGrader" localSheetId="4">'[142]Plant &amp;  Machinery'!$G$25</definedName>
    <definedName name="PM_MotorGrader" localSheetId="8">'[142]Plant &amp;  Machinery'!$G$25</definedName>
    <definedName name="PM_MotorGrader">#REF!</definedName>
    <definedName name="PM_NeedleVibrator" localSheetId="21">'[143]Plant &amp;  Machinery'!$G$27</definedName>
    <definedName name="PM_NeedleVibrator" localSheetId="9">'[143]Plant &amp;  Machinery'!$G$27</definedName>
    <definedName name="PM_NeedleVibrator" localSheetId="4">'[144]Plant &amp;  Machinery'!$G$27</definedName>
    <definedName name="PM_NeedleVibrator" localSheetId="10">#REF!</definedName>
    <definedName name="PM_NeedleVibrator" localSheetId="8">'[143]Plant &amp;  Machinery'!$G$27</definedName>
    <definedName name="PM_NeedleVibrator" localSheetId="7">#REF!</definedName>
    <definedName name="PM_NeedleVibrator">#REF!</definedName>
    <definedName name="PM_PaverFinisher" localSheetId="21">'[142]Plant &amp;  Machinery'!$G$28</definedName>
    <definedName name="PM_PaverFinisher" localSheetId="9">'[142]Plant &amp;  Machinery'!$G$28</definedName>
    <definedName name="PM_PaverFinisher" localSheetId="4">'[142]Plant &amp;  Machinery'!$G$28</definedName>
    <definedName name="PM_PaverFinisher" localSheetId="8">'[142]Plant &amp;  Machinery'!$G$28</definedName>
    <definedName name="PM_PaverFinisher">#REF!</definedName>
    <definedName name="PM_PlateCompactor" localSheetId="21">'[147]Plant &amp;  Machinery'!$G$29</definedName>
    <definedName name="PM_PlateCompactor" localSheetId="9">'[147]Plant &amp;  Machinery'!$G$29</definedName>
    <definedName name="PM_PlateCompactor" localSheetId="4">'[147]Plant &amp;  Machinery'!$G$29</definedName>
    <definedName name="PM_PlateCompactor" localSheetId="8">'[147]Plant &amp;  Machinery'!$G$29</definedName>
    <definedName name="PM_PlateCompactor" localSheetId="7">#REF!</definedName>
    <definedName name="PM_PlateCompactor">#REF!</definedName>
    <definedName name="PM_PlateVibrator" localSheetId="21">'[143]Plant &amp;  Machinery'!$G$30</definedName>
    <definedName name="PM_PlateVibrator" localSheetId="9">'[143]Plant &amp;  Machinery'!$G$30</definedName>
    <definedName name="PM_PlateVibrator" localSheetId="4">'[144]Plant &amp;  Machinery'!$G$30</definedName>
    <definedName name="PM_PlateVibrator" localSheetId="10">#REF!</definedName>
    <definedName name="PM_PlateVibrator" localSheetId="8">'[143]Plant &amp;  Machinery'!$G$30</definedName>
    <definedName name="PM_PlateVibrator" localSheetId="7">#REF!</definedName>
    <definedName name="PM_PlateVibrator">#REF!</definedName>
    <definedName name="PM_ScreedVibrator" localSheetId="21">'[143]Plant &amp;  Machinery'!$G$31</definedName>
    <definedName name="PM_ScreedVibrator" localSheetId="9">'[143]Plant &amp;  Machinery'!$G$31</definedName>
    <definedName name="PM_ScreedVibrator" localSheetId="4">'[144]Plant &amp;  Machinery'!$G$31</definedName>
    <definedName name="PM_ScreedVibrator" localSheetId="10">#REF!</definedName>
    <definedName name="PM_ScreedVibrator" localSheetId="8">'[143]Plant &amp;  Machinery'!$G$31</definedName>
    <definedName name="PM_ScreedVibrator" localSheetId="7">#REF!</definedName>
    <definedName name="PM_ScreedVibrator">#REF!</definedName>
    <definedName name="PM_StoneCrusher_200TPH">#REF!</definedName>
    <definedName name="PM_ThreeWheeled_80_100kN_StaticRoller" localSheetId="21">'[142]Plant &amp;  Machinery'!$G$34</definedName>
    <definedName name="PM_ThreeWheeled_80_100kN_StaticRoller" localSheetId="9">'[142]Plant &amp;  Machinery'!$G$34</definedName>
    <definedName name="PM_ThreeWheeled_80_100kN_StaticRoller" localSheetId="4">'[142]Plant &amp;  Machinery'!$G$34</definedName>
    <definedName name="PM_ThreeWheeled_80_100kN_StaticRoller" localSheetId="8">'[142]Plant &amp;  Machinery'!$G$34</definedName>
    <definedName name="PM_ThreeWheeled_80_100kN_StaticRoller">#REF!</definedName>
    <definedName name="PM_Tipper_55" localSheetId="21">'[142]Plant &amp;  Machinery'!$G$45</definedName>
    <definedName name="PM_Tipper_55" localSheetId="9">'[142]Plant &amp;  Machinery'!$G$45</definedName>
    <definedName name="PM_Tipper_55" localSheetId="4">'[142]Plant &amp;  Machinery'!$G$45</definedName>
    <definedName name="PM_Tipper_55" localSheetId="8">'[142]Plant &amp;  Machinery'!$G$45</definedName>
    <definedName name="PM_Tipper_55">#REF!</definedName>
    <definedName name="PM_Tractor_DiscHarrows" localSheetId="21">'[147]Plant &amp;  Machinery'!$G$46</definedName>
    <definedName name="PM_Tractor_DiscHarrows" localSheetId="9">'[147]Plant &amp;  Machinery'!$G$46</definedName>
    <definedName name="PM_Tractor_DiscHarrows" localSheetId="4">'[147]Plant &amp;  Machinery'!$G$46</definedName>
    <definedName name="PM_Tractor_DiscHarrows" localSheetId="8">'[147]Plant &amp;  Machinery'!$G$46</definedName>
    <definedName name="PM_Tractor_DiscHarrows" localSheetId="7">#REF!</definedName>
    <definedName name="PM_Tractor_DiscHarrows">#REF!</definedName>
    <definedName name="PM_Tractor_Ripper" localSheetId="21">'[147]Plant &amp;  Machinery'!$G$47</definedName>
    <definedName name="PM_Tractor_Ripper" localSheetId="9">'[147]Plant &amp;  Machinery'!$G$47</definedName>
    <definedName name="PM_Tractor_Ripper" localSheetId="4">'[147]Plant &amp;  Machinery'!$G$47</definedName>
    <definedName name="PM_Tractor_Ripper" localSheetId="8">'[147]Plant &amp;  Machinery'!$G$47</definedName>
    <definedName name="PM_Tractor_Ripper" localSheetId="7">#REF!</definedName>
    <definedName name="PM_Tractor_Ripper">#REF!</definedName>
    <definedName name="PM_Tractor_Rotavator" localSheetId="21">'[147]Plant &amp;  Machinery'!$G$49</definedName>
    <definedName name="PM_Tractor_Rotavator" localSheetId="9">'[147]Plant &amp;  Machinery'!$G$49</definedName>
    <definedName name="PM_Tractor_Rotavator" localSheetId="4">'[147]Plant &amp;  Machinery'!$G$49</definedName>
    <definedName name="PM_Tractor_Rotavator" localSheetId="10">#REF!</definedName>
    <definedName name="PM_Tractor_Rotavator" localSheetId="8">'[147]Plant &amp;  Machinery'!$G$49</definedName>
    <definedName name="PM_Tractor_Rotavator" localSheetId="7">#REF!</definedName>
    <definedName name="PM_Tractor_Rotavator">#REF!</definedName>
    <definedName name="PM_Tractor_Trolley" localSheetId="21">'[143]Plant &amp;  Machinery'!$G$48</definedName>
    <definedName name="PM_Tractor_Trolley" localSheetId="9">'[143]Plant &amp;  Machinery'!$G$48</definedName>
    <definedName name="PM_Tractor_Trolley" localSheetId="4">'[144]Plant &amp;  Machinery'!$G$48</definedName>
    <definedName name="PM_Tractor_Trolley" localSheetId="10">#REF!</definedName>
    <definedName name="PM_Tractor_Trolley" localSheetId="8">'[143]Plant &amp;  Machinery'!$G$48</definedName>
    <definedName name="PM_Tractor_Trolley" localSheetId="7">#REF!</definedName>
    <definedName name="PM_Tractor_Trolley">#REF!</definedName>
    <definedName name="PM_Truck" localSheetId="21">'[148]Plant &amp;  Machinery'!$G$50</definedName>
    <definedName name="PM_Truck" localSheetId="9">'[148]Plant &amp;  Machinery'!$G$50</definedName>
    <definedName name="PM_Truck" localSheetId="4">'[148]Plant &amp;  Machinery'!$G$50</definedName>
    <definedName name="PM_Truck" localSheetId="10">#REF!</definedName>
    <definedName name="PM_Truck" localSheetId="8">'[148]Plant &amp;  Machinery'!$G$50</definedName>
    <definedName name="PM_Truck" localSheetId="7">#REF!</definedName>
    <definedName name="PM_Truck">#REF!</definedName>
    <definedName name="PM_VibratoryRoller_80_100kN" localSheetId="21">'[159]Plant &amp;  Machinery'!$G$51</definedName>
    <definedName name="PM_VibratoryRoller_80_100kN" localSheetId="9">'[159]Plant &amp;  Machinery'!$G$51</definedName>
    <definedName name="PM_VibratoryRoller_80_100kN" localSheetId="4">'[159]Plant &amp;  Machinery'!$G$51</definedName>
    <definedName name="PM_VibratoryRoller_80_100kN" localSheetId="10">#REF!</definedName>
    <definedName name="PM_VibratoryRoller_80_100kN" localSheetId="8">'[159]Plant &amp;  Machinery'!$G$51</definedName>
    <definedName name="PM_VibratoryRoller_80_100kN" localSheetId="7">#REF!</definedName>
    <definedName name="PM_VibratoryRoller_80_100kN">#REF!</definedName>
    <definedName name="pm_WaterLorry" localSheetId="21">'[160]Plant &amp;  Machinery'!$H$69</definedName>
    <definedName name="pm_WaterLorry" localSheetId="9">'[160]Plant &amp;  Machinery'!$H$69</definedName>
    <definedName name="pm_WaterLorry" localSheetId="4">'[160]Plant &amp;  Machinery'!$H$69</definedName>
    <definedName name="pm_WaterLorry" localSheetId="8">'[160]Plant &amp;  Machinery'!$H$69</definedName>
    <definedName name="pm_WaterLorry">#REF!</definedName>
    <definedName name="PM_WaterTanker_6kl" localSheetId="21">'[143]Plant &amp;  Machinery'!$G$53</definedName>
    <definedName name="PM_WaterTanker_6kl" localSheetId="9">'[143]Plant &amp;  Machinery'!$G$53</definedName>
    <definedName name="PM_WaterTanker_6kl" localSheetId="4">'[144]Plant &amp;  Machinery'!$G$53</definedName>
    <definedName name="PM_WaterTanker_6kl" localSheetId="10">#REF!</definedName>
    <definedName name="PM_WaterTanker_6kl" localSheetId="8">'[143]Plant &amp;  Machinery'!$G$53</definedName>
    <definedName name="PM_WaterTanker_6kl" localSheetId="7">#REF!</definedName>
    <definedName name="PM_WaterTanker_6kl">#REF!</definedName>
    <definedName name="PM_WetMixPlant_or_PugMill" localSheetId="21">'[147]Plant &amp;  Machinery'!$G$54</definedName>
    <definedName name="PM_WetMixPlant_or_PugMill" localSheetId="9">'[147]Plant &amp;  Machinery'!$G$54</definedName>
    <definedName name="PM_WetMixPlant_or_PugMill" localSheetId="4">'[147]Plant &amp;  Machinery'!$G$54</definedName>
    <definedName name="PM_WetMixPlant_or_PugMill" localSheetId="8">'[147]Plant &amp;  Machinery'!$G$54</definedName>
    <definedName name="PM_WetMixPlant_or_PugMill" localSheetId="7">#REF!</definedName>
    <definedName name="PM_WetMixPlant_or_PugMill">#REF!</definedName>
    <definedName name="PMS" localSheetId="21">[123]m1!$D$30</definedName>
    <definedName name="PMS" localSheetId="9">[123]m1!$D$30</definedName>
    <definedName name="PMS" localSheetId="4">[123]m1!$D$30</definedName>
    <definedName name="PMS" localSheetId="8">[123]m1!$D$30</definedName>
    <definedName name="PMS">#REF!</definedName>
    <definedName name="PN">#REF!</definedName>
    <definedName name="po" localSheetId="21">[101]Material!$D$111</definedName>
    <definedName name="po" localSheetId="9">[101]Material!$D$111</definedName>
    <definedName name="po" localSheetId="4">[101]Material!$D$111</definedName>
    <definedName name="po" localSheetId="8">[101]Material!$D$111</definedName>
    <definedName name="po">#REF!</definedName>
    <definedName name="poi" localSheetId="21">[101]Material!$D$113</definedName>
    <definedName name="poi" localSheetId="9">[101]Material!$D$113</definedName>
    <definedName name="poi" localSheetId="4">[101]Material!$D$113</definedName>
    <definedName name="poi" localSheetId="8">[101]Material!$D$113</definedName>
    <definedName name="poi">#REF!</definedName>
    <definedName name="POIN" localSheetId="21">[43]DATA!$H$182</definedName>
    <definedName name="POIN" localSheetId="9">[43]DATA!$H$182</definedName>
    <definedName name="POIN" localSheetId="4">[42]DATA!$H$182</definedName>
    <definedName name="POIN" localSheetId="8">[43]DATA!$H$182</definedName>
    <definedName name="POIN" localSheetId="7">#REF!</definedName>
    <definedName name="POIN">#REF!</definedName>
    <definedName name="POP">#REF!</definedName>
    <definedName name="pp">#REF!</definedName>
    <definedName name="ppp">#REF!</definedName>
    <definedName name="pr">#REF!</definedName>
    <definedName name="PR_Habcode_16_Dig">#REF!</definedName>
    <definedName name="prasad" localSheetId="21">[100]Data!#REF!</definedName>
    <definedName name="prasad" localSheetId="9">[100]Data!#REF!</definedName>
    <definedName name="prasad" localSheetId="4">[100]Data!#REF!</definedName>
    <definedName name="prasad" localSheetId="8">[100]Data!#REF!</definedName>
    <definedName name="prasad">#REF!</definedName>
    <definedName name="prb">#REF!</definedName>
    <definedName name="PRC">#REF!</definedName>
    <definedName name="_xlnm.Print_Area" localSheetId="25">' DATA -Sanitary&amp;water supply'!$A$1:$G$170</definedName>
    <definedName name="_xlnm.Print_Area" localSheetId="23">' data-Doors window- Sal Wood '!$A$1:$J$504</definedName>
    <definedName name="_xlnm.Print_Area" localSheetId="46">' Doors window- Country '!$A$1:$J$434</definedName>
    <definedName name="_xlnm.Print_Area" localSheetId="47">' Doors window- Country  -2.0 m'!$A$1:$J$434</definedName>
    <definedName name="_xlnm.Print_Area" localSheetId="40">' Doors window- Country 2.0- 1.2'!$A$1:$J$319</definedName>
    <definedName name="_xlnm.Print_Area" localSheetId="44">' Doors window- Flush  Door '!$A:$J</definedName>
    <definedName name="_xlnm.Print_Area" localSheetId="45">' Doors window Rythu'!$A$121:$J$131</definedName>
    <definedName name="_xlnm.Print_Area" localSheetId="21">' Doors window-Country Wood '!$A:$J</definedName>
    <definedName name="_xlnm.Print_Area" localSheetId="39">'20 TNs Detailed Est '!$A$1:$N$950</definedName>
    <definedName name="_xlnm.Print_Area" localSheetId="31">'Bar Bending Schedule'!$A$1:$L$64</definedName>
    <definedName name="_xlnm.Print_Area" localSheetId="37">'Bore &amp; Pumpset'!$A$1:$E$21</definedName>
    <definedName name="_xlnm.Print_Area" localSheetId="9">'Building-Estimate'!$A$1:$N$541</definedName>
    <definedName name="_xlnm.Print_Area" localSheetId="49">'Conveyance 25-26'!$A$1:$K$303</definedName>
    <definedName name="_xlnm.Print_Area" localSheetId="4">Cover2!$A$1:$L$30</definedName>
    <definedName name="_xlnm.Print_Area" localSheetId="24">'data- Doors window- Teak'!$A$1:$J$481</definedName>
    <definedName name="_xlnm.Print_Area" localSheetId="29">'Data Truss and steel works'!$A$1:$G$54</definedName>
    <definedName name="_xlnm.Print_Area" localSheetId="27">'data-Elec '!$A$1:$H$463</definedName>
    <definedName name="_xlnm.Print_Area" localSheetId="22">Datas!$A$1:$G$1416</definedName>
    <definedName name="_xlnm.Print_Area" localSheetId="41">'Datas  Side wall '!$A$791:$G$802</definedName>
    <definedName name="_xlnm.Print_Area" localSheetId="34">'Elec Estimate'!$A$1:$K$92</definedName>
    <definedName name="_xlnm.Print_Area" localSheetId="20">'electrcal est'!$A$1:$J$108</definedName>
    <definedName name="_xlnm.Print_Area" localSheetId="10">'Est 02.03.23'!$A$1:$K$424</definedName>
    <definedName name="_xlnm.Print_Area" localSheetId="43">'Flush Door  Shutter Country'!$A$1:$J$138</definedName>
    <definedName name="_xlnm.Print_Area" localSheetId="38">'Furniture '!$A$1:$E$21</definedName>
    <definedName name="_xlnm.Print_Area" localSheetId="6">'General Abs'!$A$1:$E$30</definedName>
    <definedName name="_xlnm.Print_Area" localSheetId="18">'GP BUILDiNG'!$A$1:$J$351</definedName>
    <definedName name="_xlnm.Print_Area" localSheetId="28">'Lead- Input sheet '!$A$1:$R$45</definedName>
    <definedName name="_xlnm.Print_Area" localSheetId="8">'Mbook 1st'!$A$1:$N$533</definedName>
    <definedName name="_xlnm.Print_Area" localSheetId="5">'MGNREGS input sheet'!$A$1:$H$65</definedName>
    <definedName name="_xlnm.Print_Area" localSheetId="33">'Modal Estimate '!$A$1:$K$142</definedName>
    <definedName name="_xlnm.Print_Area" localSheetId="17">'Rythu Vedhika -12'' ht Proflex'!$A$1:$K$487</definedName>
    <definedName name="_xlnm.Print_Area" localSheetId="16">'Rythu Vedhika -12''Trep  (M)'!$A$1:$K$508</definedName>
    <definedName name="_xlnm.Print_Area" localSheetId="12">'Rythu Vedhika -12''Trep  (M) (2)'!$A$1:$K$495</definedName>
    <definedName name="_xlnm.Print_Area" localSheetId="14">'Rythu Vedhika -12''Trep TeaK Doo'!$A$1:$K$531</definedName>
    <definedName name="_xlnm.Print_Area" localSheetId="1">'Rythu Vedhika -14''Trep sheet(H)'!$A$1:$K$504</definedName>
    <definedName name="_xlnm.Print_Area" localSheetId="13">'Rythu Vedhika model estimate'!$A$1:$K$544</definedName>
    <definedName name="_xlnm.Print_Area" localSheetId="19">'sanitary est'!$A$1:$J$71</definedName>
    <definedName name="_xlnm.Print_Area" localSheetId="35">'Sanitory Estimate'!$A$1:$K$86</definedName>
    <definedName name="_xlnm.Print_Area" localSheetId="36">'Septic tank'!$A$1:$K$58</definedName>
    <definedName name="_xlnm.Print_Area" localSheetId="52">#REF!</definedName>
    <definedName name="_xlnm.Print_Area" localSheetId="7">Specification!$A$1:$F$50</definedName>
    <definedName name="_xlnm.Print_Area" localSheetId="30">'Spicification Report '!$A$1:$G$50</definedName>
    <definedName name="_xlnm.Print_Area" localSheetId="15">'Spicification Report  (2)'!$A$1:$G$50</definedName>
    <definedName name="_xlnm.Print_Area" localSheetId="11">'SR 22.00 '!$A$1:$G$53</definedName>
    <definedName name="_xlnm.Print_Area" localSheetId="2">'SR 22.00  (2)'!$A$1:$G$50</definedName>
    <definedName name="_xlnm.Print_Area" localSheetId="0">'SR PRO Flex 14'!$A$1:$G$50</definedName>
    <definedName name="_xlnm.Print_Area">#REF!</definedName>
    <definedName name="Print_Area_MI" localSheetId="21">#REF!</definedName>
    <definedName name="Print_Area_MI" localSheetId="9">#REF!</definedName>
    <definedName name="Print_Area_MI" localSheetId="4">#REF!</definedName>
    <definedName name="Print_Area_MI" localSheetId="10">#REF!</definedName>
    <definedName name="Print_Area_MI" localSheetId="8">#REF!</definedName>
    <definedName name="Print_Area_MI">#REF!</definedName>
    <definedName name="Print_Area_MI_10" localSheetId="21">#REF!</definedName>
    <definedName name="Print_Area_MI_10" localSheetId="9">#REF!</definedName>
    <definedName name="Print_Area_MI_10" localSheetId="4">#REF!</definedName>
    <definedName name="Print_Area_MI_10" localSheetId="10">#REF!</definedName>
    <definedName name="Print_Area_MI_10" localSheetId="8">#REF!</definedName>
    <definedName name="Print_Area_MI_10">#REF!</definedName>
    <definedName name="Print_Area_MI_11">#REF!</definedName>
    <definedName name="Print_Area_MI_12" localSheetId="21">#REF!</definedName>
    <definedName name="Print_Area_MI_12" localSheetId="9">#REF!</definedName>
    <definedName name="Print_Area_MI_12" localSheetId="4">#REF!</definedName>
    <definedName name="Print_Area_MI_12" localSheetId="10">#REF!</definedName>
    <definedName name="Print_Area_MI_12" localSheetId="8">#REF!</definedName>
    <definedName name="Print_Area_MI_12">#REF!</definedName>
    <definedName name="Print_Area_MI_13">#REF!</definedName>
    <definedName name="Print_Area_MI_3" localSheetId="21">#REF!</definedName>
    <definedName name="Print_Area_MI_3" localSheetId="9">#REF!</definedName>
    <definedName name="Print_Area_MI_3" localSheetId="4">#REF!</definedName>
    <definedName name="Print_Area_MI_3" localSheetId="10">#REF!</definedName>
    <definedName name="Print_Area_MI_3" localSheetId="8">#REF!</definedName>
    <definedName name="Print_Area_MI_3">#REF!</definedName>
    <definedName name="Print_Area_MI_6" localSheetId="21">#REF!</definedName>
    <definedName name="Print_Area_MI_6" localSheetId="9">#REF!</definedName>
    <definedName name="Print_Area_MI_6" localSheetId="4">#REF!</definedName>
    <definedName name="Print_Area_MI_6" localSheetId="10">#REF!</definedName>
    <definedName name="Print_Area_MI_6" localSheetId="8">#REF!</definedName>
    <definedName name="Print_Area_MI_6">#REF!</definedName>
    <definedName name="Print_Area_MI_7" localSheetId="21">#REF!</definedName>
    <definedName name="Print_Area_MI_7" localSheetId="9">#REF!</definedName>
    <definedName name="Print_Area_MI_7" localSheetId="4">#REF!</definedName>
    <definedName name="Print_Area_MI_7" localSheetId="10">#REF!</definedName>
    <definedName name="Print_Area_MI_7" localSheetId="8">#REF!</definedName>
    <definedName name="Print_Area_MI_7">#REF!</definedName>
    <definedName name="Print_Area_MI_9" localSheetId="21">#REF!</definedName>
    <definedName name="Print_Area_MI_9" localSheetId="9">#REF!</definedName>
    <definedName name="Print_Area_MI_9" localSheetId="4">#REF!</definedName>
    <definedName name="Print_Area_MI_9" localSheetId="10">#REF!</definedName>
    <definedName name="Print_Area_MI_9" localSheetId="8">#REF!</definedName>
    <definedName name="Print_Area_MI_9">#REF!</definedName>
    <definedName name="Print_Area_Reset">#N/A</definedName>
    <definedName name="_xlnm.Print_Titles" localSheetId="23">' data-Doors window- Sal Wood '!$3:$3</definedName>
    <definedName name="_xlnm.Print_Titles" localSheetId="48">' Doors and windows '!$4:$4</definedName>
    <definedName name="_xlnm.Print_Titles" localSheetId="46">' Doors window- Country '!$3:$3</definedName>
    <definedName name="_xlnm.Print_Titles" localSheetId="47">' Doors window- Country  -2.0 m'!$3:$3</definedName>
    <definedName name="_xlnm.Print_Titles" localSheetId="40">' Doors window- Country 2.0- 1.2'!$3:$3</definedName>
    <definedName name="_xlnm.Print_Titles" localSheetId="44">' Doors window- Flush  Door '!$3:$3</definedName>
    <definedName name="_xlnm.Print_Titles" localSheetId="45">' Doors window Rythu'!$3:$3</definedName>
    <definedName name="_xlnm.Print_Titles" localSheetId="21">' Doors window-Country Wood '!$3:$3</definedName>
    <definedName name="_xlnm.Print_Titles" localSheetId="24">'data- Doors window- Teak'!$3:$3</definedName>
    <definedName name="_xlnm.Print_Titles" localSheetId="22">Datas!$3:$3</definedName>
    <definedName name="_xlnm.Print_Titles" localSheetId="41">'Datas  Side wall '!$3:$3</definedName>
    <definedName name="_xlnm.Print_Titles" localSheetId="10">'Est 02.03.23'!$5:$7</definedName>
    <definedName name="_xlnm.Print_Titles" localSheetId="43">'Flush Door  Shutter Country'!$3:$3</definedName>
    <definedName name="_xlnm.Print_Titles">#N/A</definedName>
    <definedName name="proBS">#REF!</definedName>
    <definedName name="ProdForm" localSheetId="21" hidden="1">#REF!</definedName>
    <definedName name="ProdForm" localSheetId="9" hidden="1">#REF!</definedName>
    <definedName name="ProdForm" localSheetId="4" hidden="1">#REF!</definedName>
    <definedName name="ProdForm" localSheetId="10" hidden="1">#REF!</definedName>
    <definedName name="ProdForm" localSheetId="8" hidden="1">#REF!</definedName>
    <definedName name="ProdForm" hidden="1">#REF!</definedName>
    <definedName name="product" localSheetId="10">#REF!</definedName>
    <definedName name="product">#REF!</definedName>
    <definedName name="Project">#REF!</definedName>
    <definedName name="Providing___Placing_on_Terrace__at_all_floor_levels__polyethylene_water_storage_tank_with_Double_layer_approved_brand___manufacture_with_cover_and_suitable_locking_arrangement___making_necessary_holes_for_inlet___outlets_and_over_flow_pipes_but_without_fi" localSheetId="4">'[58]DATA SHEET FOR 2014-15'!#REF!</definedName>
    <definedName name="Providing___Placing_on_Terrace__at_all_floor_levels__polyethylene_water_storage_tank_with_Double_layer_approved_brand___manufacture_with_cover_and_suitable_locking_arrangement___making_necessary_holes_for_inlet___outlets_and_over_flow_pipes_but_without_fi">'[58]DATA SHEET FOR 2014-15'!#REF!</definedName>
    <definedName name="Providing_and_Laying_Cement_concrete_for_wearing_coat_PCC_M30_grade_i.e___1_1½_3__Prop_using_60__of_20_mm_HBG_Crushed_Metal___40__of_12mm_HBG_Crushed_Metal_etc_complete_RBR__SPST_5">'[58]DATA SHEET FOR 2014-15'!#REF!</definedName>
    <definedName name="prsrhds" localSheetId="21">[180]t_prsr!$A$3:$H$60</definedName>
    <definedName name="prsrhds" localSheetId="9">[180]t_prsr!$A$3:$H$60</definedName>
    <definedName name="prsrhds" localSheetId="4">[180]t_prsr!$A$3:$H$60</definedName>
    <definedName name="prsrhds" localSheetId="8">[180]t_prsr!$A$3:$H$60</definedName>
    <definedName name="prsrhds">#REF!</definedName>
    <definedName name="ps">#REF!</definedName>
    <definedName name="pss">#REF!</definedName>
    <definedName name="psw">#REF!</definedName>
    <definedName name="pui">#REF!</definedName>
    <definedName name="pumpset">#REF!</definedName>
    <definedName name="PV">#REF!</definedName>
    <definedName name="pvc" localSheetId="21">[181]detls!$A$26:$O$38</definedName>
    <definedName name="pvc" localSheetId="9">[181]detls!$A$26:$O$38</definedName>
    <definedName name="pvc" localSheetId="4">[181]detls!$A$26:$O$38</definedName>
    <definedName name="pvc" localSheetId="8">[181]detls!$A$26:$O$38</definedName>
    <definedName name="pvc">#REF!</definedName>
    <definedName name="pvc_bends" localSheetId="21">#REF!</definedName>
    <definedName name="pvc_bends" localSheetId="9">#REF!</definedName>
    <definedName name="pvc_bends" localSheetId="4">#REF!</definedName>
    <definedName name="pvc_bends" localSheetId="8">#REF!</definedName>
    <definedName name="pvc_bends">#REF!</definedName>
    <definedName name="pvc_clamps" localSheetId="21">#REF!</definedName>
    <definedName name="pvc_clamps" localSheetId="9">#REF!</definedName>
    <definedName name="pvc_clamps" localSheetId="4">#REF!</definedName>
    <definedName name="pvc_clamps" localSheetId="8">#REF!</definedName>
    <definedName name="pvc_clamps">#REF!</definedName>
    <definedName name="pvc_collar" localSheetId="21">#REF!</definedName>
    <definedName name="pvc_collar" localSheetId="9">#REF!</definedName>
    <definedName name="pvc_collar" localSheetId="4">#REF!</definedName>
    <definedName name="pvc_collar" localSheetId="8">#REF!</definedName>
    <definedName name="pvc_collar">#REF!</definedName>
    <definedName name="pvc_pipes_110" localSheetId="21">#REF!</definedName>
    <definedName name="pvc_pipes_110" localSheetId="9">#REF!</definedName>
    <definedName name="pvc_pipes_110" localSheetId="4">#REF!</definedName>
    <definedName name="pvc_pipes_110" localSheetId="8">#REF!</definedName>
    <definedName name="pvc_pipes_110">#REF!</definedName>
    <definedName name="pvc_specials" localSheetId="21">#REF!</definedName>
    <definedName name="pvc_specials" localSheetId="9">#REF!</definedName>
    <definedName name="pvc_specials" localSheetId="4">#REF!</definedName>
    <definedName name="pvc_specials" localSheetId="10">#REF!</definedName>
    <definedName name="pvc_specials" localSheetId="8">#REF!</definedName>
    <definedName name="pvc_specials">#REF!</definedName>
    <definedName name="pvcALL">#REF!</definedName>
    <definedName name="pvcBend">#REF!</definedName>
    <definedName name="pvcCoupling">#REF!</definedName>
    <definedName name="pvcDummy">#REF!</definedName>
    <definedName name="pvcElbow">#REF!</definedName>
    <definedName name="pvcFTA">#REF!</definedName>
    <definedName name="pvcMTA">#REF!</definedName>
    <definedName name="pvcrates">#REF!</definedName>
    <definedName name="PVCreducedTee">#REF!</definedName>
    <definedName name="pvcsaddle" localSheetId="21">[84]Sheet1!$B$98:$B$102</definedName>
    <definedName name="pvcsaddle" localSheetId="9">[84]Sheet1!$B$98:$B$102</definedName>
    <definedName name="pvcsaddle" localSheetId="4">[84]Sheet1!$B$98:$B$102</definedName>
    <definedName name="pvcsaddle" localSheetId="8">[84]Sheet1!$B$98:$B$102</definedName>
    <definedName name="pvcsaddle">#REF!</definedName>
    <definedName name="pvcSpecials">#REF!</definedName>
    <definedName name="pvcTee">#REF!</definedName>
    <definedName name="pvcwts" localSheetId="21">'[134]PVC weights'!$B$1:$F$40</definedName>
    <definedName name="pvcwts" localSheetId="9">'[134]PVC weights'!$B$1:$F$40</definedName>
    <definedName name="pvcwts" localSheetId="4">'[134]PVC weights'!$B$1:$F$40</definedName>
    <definedName name="pvcwts" localSheetId="8">'[134]PVC weights'!$B$1:$F$40</definedName>
    <definedName name="pvcwts">#REF!</definedName>
    <definedName name="pw" localSheetId="21">'[53]C-data'!$F$86</definedName>
    <definedName name="pw" localSheetId="9">'[53]C-data'!$F$86</definedName>
    <definedName name="pw" localSheetId="4">'[53]C-data'!$F$86</definedName>
    <definedName name="pw" localSheetId="8">'[53]C-data'!$F$86</definedName>
    <definedName name="pw">#REF!</definedName>
    <definedName name="Q" localSheetId="21" hidden="1">{"'ridftotal'!$A$4:$S$27"}</definedName>
    <definedName name="Q" localSheetId="9" hidden="1">{"'ridftotal'!$A$4:$S$27"}</definedName>
    <definedName name="Q" localSheetId="4" hidden="1">{"'ridftotal'!$A$4:$S$27"}</definedName>
    <definedName name="Q" localSheetId="10" hidden="1">{"'ridftotal'!$A$4:$S$27"}</definedName>
    <definedName name="Q" localSheetId="8" hidden="1">{"'ridftotal'!$A$4:$S$27"}</definedName>
    <definedName name="Q" hidden="1">{"'ridftotal'!$A$4:$S$27"}</definedName>
    <definedName name="Q_1">#REF!</definedName>
    <definedName name="Q_CD_EW">#REF!</definedName>
    <definedName name="Q_CD_M10_BODY">#REF!</definedName>
    <definedName name="Q_CD_M10_FOUN">#REF!</definedName>
    <definedName name="Q_EW_F">#REF!</definedName>
    <definedName name="Q_EW_S">#REF!</definedName>
    <definedName name="Q_GRAVEL_SHOLDERS">#REF!</definedName>
    <definedName name="Q_GSB">#REF!</definedName>
    <definedName name="q_pick">#REF!</definedName>
    <definedName name="Q_SCSD">#REF!</definedName>
    <definedName name="Q_SDBC">#REF!</definedName>
    <definedName name="Q_TACK">#REF!</definedName>
    <definedName name="Q_WBM2">#REF!</definedName>
    <definedName name="Q_WBM3">#REF!</definedName>
    <definedName name="qamer">[118]RATES!#REF!</definedName>
    <definedName name="qq" localSheetId="21">'[182]Plant &amp;  Machinery'!$G$27</definedName>
    <definedName name="qq" localSheetId="9">'[182]Plant &amp;  Machinery'!$G$27</definedName>
    <definedName name="qq" localSheetId="4">'[182]Plant &amp;  Machinery'!$G$27</definedName>
    <definedName name="qq" localSheetId="10">#REF!</definedName>
    <definedName name="qq" localSheetId="8">'[182]Plant &amp;  Machinery'!$G$27</definedName>
    <definedName name="qq" localSheetId="7">#REF!</definedName>
    <definedName name="qq">#REF!</definedName>
    <definedName name="QQQQQQ">#REF!</definedName>
    <definedName name="qqqqqqqqq">#REF!</definedName>
    <definedName name="qre">#REF!</definedName>
    <definedName name="Qu" localSheetId="21">#REF!</definedName>
    <definedName name="Qu" localSheetId="9">#REF!</definedName>
    <definedName name="Qu" localSheetId="4">#REF!</definedName>
    <definedName name="Qu" localSheetId="10">#REF!</definedName>
    <definedName name="Qu" localSheetId="8">#REF!</definedName>
    <definedName name="Qu">#REF!</definedName>
    <definedName name="Query2" localSheetId="21">#REF!</definedName>
    <definedName name="Query2" localSheetId="9">#REF!</definedName>
    <definedName name="Query2" localSheetId="4">#REF!</definedName>
    <definedName name="Query2" localSheetId="10">#REF!</definedName>
    <definedName name="Query2" localSheetId="8">#REF!</definedName>
    <definedName name="Query2">#REF!</definedName>
    <definedName name="qw">#REF!</definedName>
    <definedName name="R.12.M">#REF!</definedName>
    <definedName name="R.25.M">#REF!</definedName>
    <definedName name="R.40.M">#REF!</definedName>
    <definedName name="R.6.M">#REF!</definedName>
    <definedName name="r.ac.pipe.100.cl">#REF!</definedName>
    <definedName name="r.ac.pipe.125.cl">#REF!</definedName>
    <definedName name="r.ac.pipe.150.cl">#REF!</definedName>
    <definedName name="r.ac.pipe.200.cl">#REF!</definedName>
    <definedName name="r.ac.pipe.80.cl">#REF!</definedName>
    <definedName name="r.block.20">#REF!</definedName>
    <definedName name="r.block.50">#REF!</definedName>
    <definedName name="R.C.C._M_20_Nominal_Mix">'[58]DATA SHEET FOR 2014-15'!#REF!</definedName>
    <definedName name="R.Cement">#REF!</definedName>
    <definedName name="r.ew.emb">#REF!</definedName>
    <definedName name="r.ew.found">#REF!</definedName>
    <definedName name="r.ew.rf.cons">#REF!</definedName>
    <definedName name="r.floor.pl">#REF!</definedName>
    <definedName name="R.Gravel">#REF!</definedName>
    <definedName name="r.media.m.20">#REF!</definedName>
    <definedName name="r.media.m.6">#REF!</definedName>
    <definedName name="r.media.sd.c">#REF!</definedName>
    <definedName name="r.media.sd.f">#REF!</definedName>
    <definedName name="R.Napa">#REF!</definedName>
    <definedName name="r.ohsr.40.12.7">#REF!</definedName>
    <definedName name="r.ohsr.40.9.55">#REF!</definedName>
    <definedName name="r.ohsr.60.12.9">#REF!</definedName>
    <definedName name="r.ohsr.60.9.75">#REF!</definedName>
    <definedName name="r.pcc.124.12">#REF!</definedName>
    <definedName name="r.pl.rf">#REF!</definedName>
    <definedName name="R.Rs.Mason">#REF!</definedName>
    <definedName name="R.Rs.Riv.300">#REF!</definedName>
    <definedName name="r.sd.media">#REF!</definedName>
    <definedName name="R.Sd.Mort">#REF!</definedName>
    <definedName name="R.Teak">#REF!</definedName>
    <definedName name="r.vrcc.cur.wall.20">#REF!</definedName>
    <definedName name="R_BM">#REF!</definedName>
    <definedName name="R_Diversion_Road">#REF!</definedName>
    <definedName name="R_EW_Car">#REF!</definedName>
    <definedName name="R_EW_FMC_Car">#REF!</definedName>
    <definedName name="R_EW_FMC_Side">#REF!</definedName>
    <definedName name="R_EW_Man" localSheetId="21">'[87]Road data'!$J$251</definedName>
    <definedName name="R_EW_Man" localSheetId="9">'[87]Road data'!$J$251</definedName>
    <definedName name="R_EW_Man" localSheetId="4">'[87]Road data'!$J$251</definedName>
    <definedName name="R_EW_Man" localSheetId="10">#REF!</definedName>
    <definedName name="R_EW_Man" localSheetId="8">'[87]Road data'!$J$251</definedName>
    <definedName name="R_EW_Man" localSheetId="7">#REF!</definedName>
    <definedName name="R_EW_Man">#REF!</definedName>
    <definedName name="R_EW_OMC_Car" localSheetId="21">'[87]Road data'!$J$42</definedName>
    <definedName name="R_EW_OMC_Car" localSheetId="9">'[87]Road data'!$J$42</definedName>
    <definedName name="R_EW_OMC_Car" localSheetId="4">'[87]Road data'!$J$42</definedName>
    <definedName name="R_EW_OMC_Car" localSheetId="10">#REF!</definedName>
    <definedName name="R_EW_OMC_Car" localSheetId="8">'[87]Road data'!$J$42</definedName>
    <definedName name="R_EW_OMC_Car" localSheetId="7">#REF!</definedName>
    <definedName name="R_EW_OMC_Car">#REF!</definedName>
    <definedName name="R_EW_OMC_Side">#REF!</definedName>
    <definedName name="R_EW_Trench">#REF!</definedName>
    <definedName name="R_Gravel_between">#REF!</definedName>
    <definedName name="R_Gravel_Pipebedding">#REF!</definedName>
    <definedName name="R_Gravel_Quardrent" localSheetId="21">'[87]Road data'!$J$376</definedName>
    <definedName name="R_Gravel_Quardrent" localSheetId="9">'[87]Road data'!$J$376</definedName>
    <definedName name="R_Gravel_Quardrent" localSheetId="4">'[87]Road data'!$J$376</definedName>
    <definedName name="R_Gravel_Quardrent" localSheetId="10">#REF!</definedName>
    <definedName name="R_Gravel_Quardrent" localSheetId="8">'[87]Road data'!$J$376</definedName>
    <definedName name="R_Gravel_Quardrent" localSheetId="7">#REF!</definedName>
    <definedName name="R_Gravel_Quardrent">#REF!</definedName>
    <definedName name="R_GravelShoulders" localSheetId="21">'[87]Road data'!$J$240</definedName>
    <definedName name="R_GravelShoulders" localSheetId="9">'[87]Road data'!$J$240</definedName>
    <definedName name="R_GravelShoulders" localSheetId="4">'[87]Road data'!$J$240</definedName>
    <definedName name="R_GravelShoulders" localSheetId="10">#REF!</definedName>
    <definedName name="R_GravelShoulders" localSheetId="8">'[87]Road data'!$J$240</definedName>
    <definedName name="R_GravelShoulders" localSheetId="7">#REF!</definedName>
    <definedName name="R_GravelShoulders">#REF!</definedName>
    <definedName name="R_GSB" localSheetId="21">'[87]Road data'!$J$71</definedName>
    <definedName name="R_GSB" localSheetId="9">'[87]Road data'!$J$71</definedName>
    <definedName name="R_GSB" localSheetId="4">'[87]Road data'!$J$71</definedName>
    <definedName name="R_GSB" localSheetId="10">#REF!</definedName>
    <definedName name="R_GSB" localSheetId="8">'[87]Road data'!$J$71</definedName>
    <definedName name="R_GSB" localSheetId="7">#REF!</definedName>
    <definedName name="R_GSB">#REF!</definedName>
    <definedName name="R_HP_600">#REF!</definedName>
    <definedName name="R_HP_800">#REF!</definedName>
    <definedName name="R_HPL_600">#REF!</definedName>
    <definedName name="R_HPL_800">#REF!</definedName>
    <definedName name="R_HYSD_Super" localSheetId="21">'[87]Road data'!$J$700</definedName>
    <definedName name="R_HYSD_Super" localSheetId="9">'[87]Road data'!$J$700</definedName>
    <definedName name="R_HYSD_Super" localSheetId="4">'[87]Road data'!$J$700</definedName>
    <definedName name="R_HYSD_Super" localSheetId="10">#REF!</definedName>
    <definedName name="R_HYSD_Super" localSheetId="8">'[87]Road data'!$J$700</definedName>
    <definedName name="R_HYSD_Super" localSheetId="7">#REF!</definedName>
    <definedName name="R_HYSD_Super">#REF!</definedName>
    <definedName name="R_M10_base">#REF!</definedName>
    <definedName name="R_M10_bCC">#REF!</definedName>
    <definedName name="R_M10_bodywalls" localSheetId="21">'[87]Road data'!$J$311</definedName>
    <definedName name="R_M10_bodywalls" localSheetId="9">'[87]Road data'!$J$311</definedName>
    <definedName name="R_M10_bodywalls" localSheetId="4">'[87]Road data'!$J$311</definedName>
    <definedName name="R_M10_bodywalls" localSheetId="10">#REF!</definedName>
    <definedName name="R_M10_bodywalls" localSheetId="8">'[87]Road data'!$J$311</definedName>
    <definedName name="R_M10_bodywalls" localSheetId="7">#REF!</definedName>
    <definedName name="R_M10_bodywalls">#REF!</definedName>
    <definedName name="R_M10_drains">#REF!</definedName>
    <definedName name="R_M10_found" localSheetId="21">'[87]Road data'!$J$301</definedName>
    <definedName name="R_M10_found" localSheetId="9">'[87]Road data'!$J$301</definedName>
    <definedName name="R_M10_found" localSheetId="4">'[87]Road data'!$J$301</definedName>
    <definedName name="R_M10_found" localSheetId="10">#REF!</definedName>
    <definedName name="R_M10_found" localSheetId="8">'[87]Road data'!$J$301</definedName>
    <definedName name="R_M10_found" localSheetId="7">#REF!</definedName>
    <definedName name="R_M10_found">#REF!</definedName>
    <definedName name="R_M15_dividers">#REF!</definedName>
    <definedName name="R_M15_footing" localSheetId="21">'[87]Road data'!$J$408</definedName>
    <definedName name="R_M15_footing" localSheetId="9">'[87]Road data'!$J$408</definedName>
    <definedName name="R_M15_footing" localSheetId="4">'[87]Road data'!$J$408</definedName>
    <definedName name="R_M15_footing" localSheetId="10">#REF!</definedName>
    <definedName name="R_M15_footing" localSheetId="8">'[87]Road data'!$J$408</definedName>
    <definedName name="R_M15_footing" localSheetId="7">#REF!</definedName>
    <definedName name="R_M15_footing">#REF!</definedName>
    <definedName name="R_M15_SUB" localSheetId="21">'[87]Road data'!$J$440</definedName>
    <definedName name="R_M15_SUB" localSheetId="9">'[87]Road data'!$J$440</definedName>
    <definedName name="R_M15_SUB" localSheetId="4">'[87]Road data'!$J$440</definedName>
    <definedName name="R_M15_SUB" localSheetId="10">#REF!</definedName>
    <definedName name="R_M15_SUB" localSheetId="8">'[87]Road data'!$J$440</definedName>
    <definedName name="R_M15_SUB" localSheetId="7">#REF!</definedName>
    <definedName name="R_M15_SUB">#REF!</definedName>
    <definedName name="R_M20_BedBack" localSheetId="21">'[87]Road data'!$J$594</definedName>
    <definedName name="R_M20_BedBack" localSheetId="9">'[87]Road data'!$J$594</definedName>
    <definedName name="R_M20_BedBack" localSheetId="4">'[87]Road data'!$J$594</definedName>
    <definedName name="R_M20_BedBack" localSheetId="10">#REF!</definedName>
    <definedName name="R_M20_BedBack" localSheetId="8">'[87]Road data'!$J$594</definedName>
    <definedName name="R_M20_BedBack" localSheetId="7">#REF!</definedName>
    <definedName name="R_M20_BedBack">#REF!</definedName>
    <definedName name="R_M20_COVER">#REF!</definedName>
    <definedName name="R_M20_DECKSLAB" localSheetId="21">'[87]Road data'!$J$624</definedName>
    <definedName name="R_M20_DECKSLAB" localSheetId="9">'[87]Road data'!$J$624</definedName>
    <definedName name="R_M20_DECKSLAB" localSheetId="4">'[87]Road data'!$J$624</definedName>
    <definedName name="R_M20_DECKSLAB" localSheetId="10">#REF!</definedName>
    <definedName name="R_M20_DECKSLAB" localSheetId="8">'[87]Road data'!$J$624</definedName>
    <definedName name="R_M20_DECKSLAB" localSheetId="7">#REF!</definedName>
    <definedName name="R_M20_DECKSLAB">#REF!</definedName>
    <definedName name="R_M25_ApproachSlab">#REF!</definedName>
    <definedName name="R_M30_WC" localSheetId="21">'[87]Road data'!$J$653</definedName>
    <definedName name="R_M30_WC" localSheetId="9">'[87]Road data'!$J$653</definedName>
    <definedName name="R_M30_WC" localSheetId="4">'[87]Road data'!$J$653</definedName>
    <definedName name="R_M30_WC" localSheetId="10">#REF!</definedName>
    <definedName name="R_M30_WC" localSheetId="8">'[87]Road data'!$J$653</definedName>
    <definedName name="R_M30_WC" localSheetId="7">#REF!</definedName>
    <definedName name="R_M30_WC">#REF!</definedName>
    <definedName name="R_M35_CC">#REF!</definedName>
    <definedName name="R_M35_FlyAsh">#REF!</definedName>
    <definedName name="R_MA1">[183]INTIAL_RATES!$H$54</definedName>
    <definedName name="R_MA2">[183]INTIAL_RATES!$H$55</definedName>
    <definedName name="R_Mild">#REF!</definedName>
    <definedName name="R_MM">[183]INTIAL_RATES!$H$61</definedName>
    <definedName name="R_Painting">#REF!</definedName>
    <definedName name="R_Pick">#REF!</definedName>
    <definedName name="R_Plastering">#REF!</definedName>
    <definedName name="R_Rev_A300">#REF!</definedName>
    <definedName name="R_Rev_Q300">#REF!</definedName>
    <definedName name="R_SandFILLING">#REF!</definedName>
    <definedName name="R_Scar_BT">#REF!</definedName>
    <definedName name="R_Scar_GSB">#REF!</definedName>
    <definedName name="R_SCEM">[183]INTIAL_RATES!$H$81</definedName>
    <definedName name="R_SCSD_6070" localSheetId="21">'[87]Road data'!$J$158</definedName>
    <definedName name="R_SCSD_6070" localSheetId="9">'[87]Road data'!$J$158</definedName>
    <definedName name="R_SCSD_6070" localSheetId="4">'[87]Road data'!$J$158</definedName>
    <definedName name="R_SCSD_6070" localSheetId="10">#REF!</definedName>
    <definedName name="R_SCSD_6070" localSheetId="8">'[87]Road data'!$J$158</definedName>
    <definedName name="R_SCSD_6070" localSheetId="7">#REF!</definedName>
    <definedName name="R_SCSD_6070">#REF!</definedName>
    <definedName name="R_SCSD_80100" localSheetId="21">'[87]Road data'!#REF!</definedName>
    <definedName name="R_SCSD_80100" localSheetId="9">'[87]Road data'!#REF!</definedName>
    <definedName name="R_SCSD_80100" localSheetId="4">'[87]Road data'!#REF!</definedName>
    <definedName name="R_SCSD_80100" localSheetId="10">#REF!</definedName>
    <definedName name="R_SCSD_80100" localSheetId="8">'[87]Road data'!#REF!</definedName>
    <definedName name="R_SCSD_80100" localSheetId="7">#REF!</definedName>
    <definedName name="R_SCSD_80100">#REF!</definedName>
    <definedName name="R_SDBC" localSheetId="21">'[87]Road data'!$J$222</definedName>
    <definedName name="R_SDBC" localSheetId="9">'[87]Road data'!$J$222</definedName>
    <definedName name="R_SDBC" localSheetId="4">'[87]Road data'!$J$222</definedName>
    <definedName name="R_SDBC" localSheetId="10">#REF!</definedName>
    <definedName name="R_SDBC" localSheetId="8">'[87]Road data'!$J$222</definedName>
    <definedName name="R_SDBC" localSheetId="7">#REF!</definedName>
    <definedName name="R_SDBC">#REF!</definedName>
    <definedName name="R_Tack" localSheetId="21">'[87]Road data'!$J$183</definedName>
    <definedName name="R_Tack" localSheetId="9">'[87]Road data'!$J$183</definedName>
    <definedName name="R_Tack" localSheetId="4">'[87]Road data'!$J$183</definedName>
    <definedName name="R_Tack" localSheetId="10">#REF!</definedName>
    <definedName name="R_Tack" localSheetId="8">'[87]Road data'!$J$183</definedName>
    <definedName name="R_Tack" localSheetId="7">#REF!</definedName>
    <definedName name="R_Tack">#REF!</definedName>
    <definedName name="R_WBM2">#REF!</definedName>
    <definedName name="R_WBM2_HS" localSheetId="21">'[87]Road data'!$J$99</definedName>
    <definedName name="R_WBM2_HS" localSheetId="9">'[87]Road data'!$J$99</definedName>
    <definedName name="R_WBM2_HS" localSheetId="4">'[87]Road data'!$J$99</definedName>
    <definedName name="R_WBM2_HS" localSheetId="10">#REF!</definedName>
    <definedName name="R_WBM2_HS" localSheetId="8">'[87]Road data'!$J$99</definedName>
    <definedName name="R_WBM2_HS" localSheetId="7">#REF!</definedName>
    <definedName name="R_WBM2_HS">#REF!</definedName>
    <definedName name="R_WBM2_HVR">#REF!</definedName>
    <definedName name="R_WBM2_MCS">#REF!</definedName>
    <definedName name="R_WBM3">#REF!</definedName>
    <definedName name="R_WBM3_HS" localSheetId="21">'[87]Road data'!$J$126</definedName>
    <definedName name="R_WBM3_HS" localSheetId="9">'[87]Road data'!$J$126</definedName>
    <definedName name="R_WBM3_HS" localSheetId="4">'[87]Road data'!$J$126</definedName>
    <definedName name="R_WBM3_HS" localSheetId="10">#REF!</definedName>
    <definedName name="R_WBM3_HS" localSheetId="8">'[87]Road data'!$J$126</definedName>
    <definedName name="R_WBM3_HS" localSheetId="7">#REF!</definedName>
    <definedName name="R_WBM3_HS">#REF!</definedName>
    <definedName name="R_WBM3_HVR">#REF!</definedName>
    <definedName name="R_WBM3_MCS">#REF!</definedName>
    <definedName name="R_WCEM">[183]INTIAL_RATES!$H$80</definedName>
    <definedName name="R_Weepholes" localSheetId="21">'[87]Road data'!$J$733</definedName>
    <definedName name="R_Weepholes" localSheetId="9">'[87]Road data'!$J$733</definedName>
    <definedName name="R_Weepholes" localSheetId="4">'[87]Road data'!$J$733</definedName>
    <definedName name="R_Weepholes" localSheetId="10">#REF!</definedName>
    <definedName name="R_Weepholes" localSheetId="8">'[87]Road data'!$J$733</definedName>
    <definedName name="R_Weepholes" localSheetId="7">#REF!</definedName>
    <definedName name="R_Weepholes">#REF!</definedName>
    <definedName name="R_WM">[183]INTIAL_RATES!$H$62</definedName>
    <definedName name="R_WMM">#REF!</definedName>
    <definedName name="ra" localSheetId="21">'[119]Plant &amp;  Machinery'!$G$4</definedName>
    <definedName name="ra" localSheetId="9">'[119]Plant &amp;  Machinery'!$G$4</definedName>
    <definedName name="ra" localSheetId="4">'[119]Plant &amp;  Machinery'!$G$4</definedName>
    <definedName name="ra" localSheetId="10">#REF!</definedName>
    <definedName name="ra" localSheetId="8">'[119]Plant &amp;  Machinery'!$G$4</definedName>
    <definedName name="ra">#REF!</definedName>
    <definedName name="RAA">[67]Sheet2!$I$80</definedName>
    <definedName name="Rabbit" localSheetId="21">#REF!</definedName>
    <definedName name="Rabbit" localSheetId="9">#REF!</definedName>
    <definedName name="Rabbit" localSheetId="4">#REF!</definedName>
    <definedName name="Rabbit" localSheetId="8">#REF!</definedName>
    <definedName name="Rabbit">#REF!</definedName>
    <definedName name="raf" localSheetId="21">[112]Material!$D$130</definedName>
    <definedName name="raf" localSheetId="9">[112]Material!$D$130</definedName>
    <definedName name="raf" localSheetId="4">[112]Material!$D$130</definedName>
    <definedName name="raf" localSheetId="10">#REF!</definedName>
    <definedName name="raf" localSheetId="8">[112]Material!$D$130</definedName>
    <definedName name="raf">#REF!</definedName>
    <definedName name="raffs" localSheetId="21">'[112]Plant &amp;  Machinery'!$G$13</definedName>
    <definedName name="raffs" localSheetId="9">'[112]Plant &amp;  Machinery'!$G$13</definedName>
    <definedName name="raffs" localSheetId="4">'[112]Plant &amp;  Machinery'!$G$13</definedName>
    <definedName name="raffs" localSheetId="10">#REF!</definedName>
    <definedName name="raffs" localSheetId="8">'[112]Plant &amp;  Machinery'!$G$13</definedName>
    <definedName name="raffs">#REF!</definedName>
    <definedName name="rafi" localSheetId="21">'[112]Plant &amp;  Machinery'!$G$4</definedName>
    <definedName name="rafi" localSheetId="9">'[112]Plant &amp;  Machinery'!$G$4</definedName>
    <definedName name="rafi" localSheetId="4">'[112]Plant &amp;  Machinery'!$G$4</definedName>
    <definedName name="rafi" localSheetId="10">#REF!</definedName>
    <definedName name="rafi" localSheetId="8">'[112]Plant &amp;  Machinery'!$G$4</definedName>
    <definedName name="rafi">#REF!</definedName>
    <definedName name="raised_pointing" localSheetId="21">#REF!</definedName>
    <definedName name="raised_pointing" localSheetId="9">#REF!</definedName>
    <definedName name="raised_pointing" localSheetId="4">#REF!</definedName>
    <definedName name="raised_pointing" localSheetId="8">#REF!</definedName>
    <definedName name="raised_pointing">#REF!</definedName>
    <definedName name="RAiv">[67]Sheet2!$H$148</definedName>
    <definedName name="raju" localSheetId="21">[112]Material!$D$126</definedName>
    <definedName name="raju" localSheetId="9">[112]Material!$D$126</definedName>
    <definedName name="raju" localSheetId="4">[112]Material!$D$126</definedName>
    <definedName name="raju" localSheetId="10">#REF!</definedName>
    <definedName name="raju" localSheetId="8">[112]Material!$D$126</definedName>
    <definedName name="raju">#REF!</definedName>
    <definedName name="ram" localSheetId="21">[112]Material!$D$129</definedName>
    <definedName name="ram" localSheetId="9">[112]Material!$D$129</definedName>
    <definedName name="ram" localSheetId="4">[112]Material!$D$129</definedName>
    <definedName name="ram" localSheetId="10">#REF!</definedName>
    <definedName name="ram" localSheetId="8">[112]Material!$D$129</definedName>
    <definedName name="ram">#REF!</definedName>
    <definedName name="raMA" localSheetId="21">[184]Data!#REF!</definedName>
    <definedName name="raMA" localSheetId="9">[184]Data!#REF!</definedName>
    <definedName name="raMA" localSheetId="4">[184]Data!#REF!</definedName>
    <definedName name="raMA" localSheetId="10">#REF!</definedName>
    <definedName name="raMA" localSheetId="8">[184]Data!#REF!</definedName>
    <definedName name="raMA">#REF!</definedName>
    <definedName name="ramki">#REF!</definedName>
    <definedName name="rangaraor">#REF!</definedName>
    <definedName name="range" localSheetId="21">#REF!</definedName>
    <definedName name="range" localSheetId="9">#REF!</definedName>
    <definedName name="range" localSheetId="4">#REF!</definedName>
    <definedName name="range" localSheetId="8">#REF!</definedName>
    <definedName name="range" localSheetId="7">#REF!</definedName>
    <definedName name="range">#REF!</definedName>
    <definedName name="raod" localSheetId="21">[86]Lead!#REF!</definedName>
    <definedName name="raod" localSheetId="9">[86]Lead!#REF!</definedName>
    <definedName name="raod" localSheetId="4">[86]Lead!#REF!</definedName>
    <definedName name="raod" localSheetId="8">[86]Lead!#REF!</definedName>
    <definedName name="raod">#REF!</definedName>
    <definedName name="ras">#REF!</definedName>
    <definedName name="rat" localSheetId="21">[112]Material!$D$51</definedName>
    <definedName name="rat" localSheetId="9">[112]Material!$D$51</definedName>
    <definedName name="rat" localSheetId="4">[112]Material!$D$51</definedName>
    <definedName name="rat" localSheetId="10">#REF!</definedName>
    <definedName name="rat" localSheetId="8">[112]Material!$D$51</definedName>
    <definedName name="rat">#REF!</definedName>
    <definedName name="rate" localSheetId="21">'[185]lead-st'!$L$12</definedName>
    <definedName name="rate" localSheetId="9">'[185]lead-st'!$L$12</definedName>
    <definedName name="rate" localSheetId="4">'[185]lead-st'!$L$12</definedName>
    <definedName name="rate" localSheetId="8">'[185]lead-st'!$L$12</definedName>
    <definedName name="rate" localSheetId="7">#REF!</definedName>
    <definedName name="rate">#REF!</definedName>
    <definedName name="rate10mm" localSheetId="21">#REF!</definedName>
    <definedName name="rate10mm" localSheetId="9">#REF!</definedName>
    <definedName name="rate10mm" localSheetId="4">#REF!</definedName>
    <definedName name="rate10mm" localSheetId="8">#REF!</definedName>
    <definedName name="rate10mm" localSheetId="7">#REF!</definedName>
    <definedName name="rate10mm">#REF!</definedName>
    <definedName name="rate12" localSheetId="21">'[12]lead-st'!$L$9</definedName>
    <definedName name="rate12" localSheetId="9">'[12]lead-st'!$L$9</definedName>
    <definedName name="rate12" localSheetId="4">'[6]lead-st'!$L$9</definedName>
    <definedName name="rate12" localSheetId="10">#REF!</definedName>
    <definedName name="rate12" localSheetId="8">'[12]lead-st'!$L$9</definedName>
    <definedName name="rate12" localSheetId="7">#REF!</definedName>
    <definedName name="rate12">#REF!</definedName>
    <definedName name="rate12mm" localSheetId="21">#REF!</definedName>
    <definedName name="rate12mm" localSheetId="9">#REF!</definedName>
    <definedName name="rate12mm" localSheetId="4">#REF!</definedName>
    <definedName name="rate12mm" localSheetId="8">#REF!</definedName>
    <definedName name="rate12mm" localSheetId="7">#REF!</definedName>
    <definedName name="rate12mm">#REF!</definedName>
    <definedName name="rate20" localSheetId="21">'[12]lead-st'!$L$8</definedName>
    <definedName name="rate20" localSheetId="9">'[12]lead-st'!$L$8</definedName>
    <definedName name="rate20" localSheetId="4">'[6]lead-st'!$L$8</definedName>
    <definedName name="rate20" localSheetId="10">#REF!</definedName>
    <definedName name="rate20" localSheetId="8">'[12]lead-st'!$L$8</definedName>
    <definedName name="rate20" localSheetId="7">#REF!</definedName>
    <definedName name="rate20">#REF!</definedName>
    <definedName name="rate20mmirc" localSheetId="21">#REF!</definedName>
    <definedName name="rate20mmirc" localSheetId="9">#REF!</definedName>
    <definedName name="rate20mmirc" localSheetId="4">#REF!</definedName>
    <definedName name="rate20mmirc" localSheetId="8">#REF!</definedName>
    <definedName name="rate20mmirc" localSheetId="7">#REF!</definedName>
    <definedName name="rate20mmirc">#REF!</definedName>
    <definedName name="rate20ss" localSheetId="21">#REF!</definedName>
    <definedName name="rate20ss" localSheetId="9">#REF!</definedName>
    <definedName name="rate20ss" localSheetId="4">#REF!</definedName>
    <definedName name="rate20ss" localSheetId="8">#REF!</definedName>
    <definedName name="rate20ss" localSheetId="7">#REF!</definedName>
    <definedName name="rate20ss">#REF!</definedName>
    <definedName name="rate40" localSheetId="21">'[12]lead-st'!$L$7</definedName>
    <definedName name="rate40" localSheetId="9">'[12]lead-st'!$L$7</definedName>
    <definedName name="rate40" localSheetId="4">'[6]lead-st'!$L$7</definedName>
    <definedName name="rate40" localSheetId="10">#REF!</definedName>
    <definedName name="rate40" localSheetId="8">'[12]lead-st'!$L$7</definedName>
    <definedName name="rate40" localSheetId="7">#REF!</definedName>
    <definedName name="rate40">#REF!</definedName>
    <definedName name="rate40mmirc" localSheetId="21">#REF!</definedName>
    <definedName name="rate40mmirc" localSheetId="9">#REF!</definedName>
    <definedName name="rate40mmirc" localSheetId="4">#REF!</definedName>
    <definedName name="rate40mmirc" localSheetId="8">#REF!</definedName>
    <definedName name="rate40mmirc" localSheetId="7">#REF!</definedName>
    <definedName name="rate40mmirc">#REF!</definedName>
    <definedName name="rate40ss" localSheetId="21">#REF!</definedName>
    <definedName name="rate40ss" localSheetId="9">#REF!</definedName>
    <definedName name="rate40ss" localSheetId="4">#REF!</definedName>
    <definedName name="rate40ss" localSheetId="8">#REF!</definedName>
    <definedName name="rate40ss" localSheetId="7">#REF!</definedName>
    <definedName name="rate40ss">#REF!</definedName>
    <definedName name="rate50mm" localSheetId="21">#REF!</definedName>
    <definedName name="rate50mm" localSheetId="9">#REF!</definedName>
    <definedName name="rate50mm" localSheetId="4">#REF!</definedName>
    <definedName name="rate50mm" localSheetId="8">#REF!</definedName>
    <definedName name="rate50mm" localSheetId="7">#REF!</definedName>
    <definedName name="rate50mm">#REF!</definedName>
    <definedName name="rate63mm" localSheetId="21">#REF!</definedName>
    <definedName name="rate63mm" localSheetId="9">#REF!</definedName>
    <definedName name="rate63mm" localSheetId="4">#REF!</definedName>
    <definedName name="rate63mm" localSheetId="8">#REF!</definedName>
    <definedName name="rate63mm" localSheetId="7">#REF!</definedName>
    <definedName name="rate63mm">#REF!</definedName>
    <definedName name="rate6mm" localSheetId="21">#REF!</definedName>
    <definedName name="rate6mm" localSheetId="9">#REF!</definedName>
    <definedName name="rate6mm" localSheetId="4">#REF!</definedName>
    <definedName name="rate6mm" localSheetId="8">#REF!</definedName>
    <definedName name="rate6mm" localSheetId="7">#REF!</definedName>
    <definedName name="rate6mm">#REF!</definedName>
    <definedName name="ratecrs" localSheetId="21">'[12]lead-st'!$L$12</definedName>
    <definedName name="ratecrs" localSheetId="9">'[12]lead-st'!$L$12</definedName>
    <definedName name="ratecrs" localSheetId="4">'[6]lead-st'!$L$12</definedName>
    <definedName name="ratecrs" localSheetId="10">#REF!</definedName>
    <definedName name="ratecrs" localSheetId="8">'[12]lead-st'!$L$12</definedName>
    <definedName name="ratecrs" localSheetId="7">#REF!</definedName>
    <definedName name="ratecrs">#REF!</definedName>
    <definedName name="rategrl" localSheetId="21">#REF!</definedName>
    <definedName name="rategrl" localSheetId="9">#REF!</definedName>
    <definedName name="rategrl" localSheetId="4">#REF!</definedName>
    <definedName name="rategrl" localSheetId="8">#REF!</definedName>
    <definedName name="rategrl" localSheetId="7">#REF!</definedName>
    <definedName name="rategrl">#REF!</definedName>
    <definedName name="ratemix" localSheetId="21">[168]leads!$H$14</definedName>
    <definedName name="ratemix" localSheetId="9">[168]leads!$H$14</definedName>
    <definedName name="ratemix" localSheetId="4">[168]leads!$H$14</definedName>
    <definedName name="ratemix" localSheetId="8">[168]leads!$H$14</definedName>
    <definedName name="ratemix">#REF!</definedName>
    <definedName name="raterough" localSheetId="21">'[12]lead-st'!$L$13</definedName>
    <definedName name="raterough" localSheetId="9">'[12]lead-st'!$L$13</definedName>
    <definedName name="raterough" localSheetId="4">'[6]lead-st'!$L$13</definedName>
    <definedName name="raterough" localSheetId="10">#REF!</definedName>
    <definedName name="raterough" localSheetId="8">'[12]lead-st'!$L$13</definedName>
    <definedName name="raterough" localSheetId="7">#REF!</definedName>
    <definedName name="raterough">#REF!</definedName>
    <definedName name="raterr" localSheetId="21">'[12]lead-st'!$L$11</definedName>
    <definedName name="raterr" localSheetId="9">'[12]lead-st'!$L$11</definedName>
    <definedName name="raterr" localSheetId="4">'[6]lead-st'!$L$11</definedName>
    <definedName name="raterr" localSheetId="10">#REF!</definedName>
    <definedName name="raterr" localSheetId="8">'[12]lead-st'!$L$11</definedName>
    <definedName name="raterr" localSheetId="7">#REF!</definedName>
    <definedName name="raterr">#REF!</definedName>
    <definedName name="rates" localSheetId="23">#REF!</definedName>
    <definedName name="rates" localSheetId="46">#REF!</definedName>
    <definedName name="rates" localSheetId="47">#REF!</definedName>
    <definedName name="rates" localSheetId="40">#REF!</definedName>
    <definedName name="rates" localSheetId="44">#REF!</definedName>
    <definedName name="rates" localSheetId="45">#REF!</definedName>
    <definedName name="rates" localSheetId="21">#REF!</definedName>
    <definedName name="rates" localSheetId="39">#REF!</definedName>
    <definedName name="rates" localSheetId="9">#REF!</definedName>
    <definedName name="rates" localSheetId="4">#REF!</definedName>
    <definedName name="rates" localSheetId="24">#REF!</definedName>
    <definedName name="rates" localSheetId="34">#REF!</definedName>
    <definedName name="rates" localSheetId="10">#REF!</definedName>
    <definedName name="rates" localSheetId="43">#REF!</definedName>
    <definedName name="rates" localSheetId="8">#REF!</definedName>
    <definedName name="rates" localSheetId="33">#REF!</definedName>
    <definedName name="rates" localSheetId="17">#REF!</definedName>
    <definedName name="rates" localSheetId="16">#REF!</definedName>
    <definedName name="rates" localSheetId="12">#REF!</definedName>
    <definedName name="rates" localSheetId="14">#REF!</definedName>
    <definedName name="rates" localSheetId="1">#REF!</definedName>
    <definedName name="rates" localSheetId="13">#REF!</definedName>
    <definedName name="rates" localSheetId="35">#REF!</definedName>
    <definedName name="rates" localSheetId="36">#REF!</definedName>
    <definedName name="rates" localSheetId="52">#REF!</definedName>
    <definedName name="rates" localSheetId="7">#REF!</definedName>
    <definedName name="rates" localSheetId="30">#REF!</definedName>
    <definedName name="rates" localSheetId="15">#REF!</definedName>
    <definedName name="rates" localSheetId="11">#REF!</definedName>
    <definedName name="rates" localSheetId="2">#REF!</definedName>
    <definedName name="rates" localSheetId="0">#REF!</definedName>
    <definedName name="rates">#REF!</definedName>
    <definedName name="rates1" localSheetId="23">#REF!</definedName>
    <definedName name="rates1" localSheetId="46">#REF!</definedName>
    <definedName name="rates1" localSheetId="47">#REF!</definedName>
    <definedName name="rates1" localSheetId="40">#REF!</definedName>
    <definedName name="rates1" localSheetId="44">#REF!</definedName>
    <definedName name="rates1" localSheetId="45">#REF!</definedName>
    <definedName name="rates1" localSheetId="21">#REF!</definedName>
    <definedName name="rates1" localSheetId="39">#REF!</definedName>
    <definedName name="rates1" localSheetId="9">#REF!</definedName>
    <definedName name="rates1" localSheetId="4">#REF!</definedName>
    <definedName name="rates1" localSheetId="24">#REF!</definedName>
    <definedName name="rates1" localSheetId="34">#REF!</definedName>
    <definedName name="rates1" localSheetId="10">#REF!</definedName>
    <definedName name="rates1" localSheetId="43">#REF!</definedName>
    <definedName name="rates1" localSheetId="8">#REF!</definedName>
    <definedName name="rates1" localSheetId="33">#REF!</definedName>
    <definedName name="rates1" localSheetId="17">#REF!</definedName>
    <definedName name="rates1" localSheetId="16">#REF!</definedName>
    <definedName name="rates1" localSheetId="12">#REF!</definedName>
    <definedName name="rates1" localSheetId="14">#REF!</definedName>
    <definedName name="rates1" localSheetId="1">#REF!</definedName>
    <definedName name="rates1" localSheetId="13">#REF!</definedName>
    <definedName name="rates1" localSheetId="35">#REF!</definedName>
    <definedName name="rates1" localSheetId="36">#REF!</definedName>
    <definedName name="rates1" localSheetId="52">#REF!</definedName>
    <definedName name="rates1" localSheetId="7">#REF!</definedName>
    <definedName name="rates1" localSheetId="30">#REF!</definedName>
    <definedName name="rates1" localSheetId="15">#REF!</definedName>
    <definedName name="rates1" localSheetId="11">#REF!</definedName>
    <definedName name="rates1" localSheetId="2">#REF!</definedName>
    <definedName name="rates1" localSheetId="0">#REF!</definedName>
    <definedName name="rates1">#REF!</definedName>
    <definedName name="rates11" localSheetId="23">#REF!</definedName>
    <definedName name="rates11" localSheetId="46">#REF!</definedName>
    <definedName name="rates11" localSheetId="47">#REF!</definedName>
    <definedName name="rates11" localSheetId="40">#REF!</definedName>
    <definedName name="rates11" localSheetId="44">#REF!</definedName>
    <definedName name="rates11" localSheetId="45">#REF!</definedName>
    <definedName name="rates11" localSheetId="21">#REF!</definedName>
    <definedName name="rates11" localSheetId="39">#REF!</definedName>
    <definedName name="rates11" localSheetId="9">#REF!</definedName>
    <definedName name="rates11" localSheetId="4">#REF!</definedName>
    <definedName name="rates11" localSheetId="24">#REF!</definedName>
    <definedName name="rates11" localSheetId="34">#REF!</definedName>
    <definedName name="rates11" localSheetId="10">#REF!</definedName>
    <definedName name="rates11" localSheetId="43">#REF!</definedName>
    <definedName name="rates11" localSheetId="8">#REF!</definedName>
    <definedName name="rates11" localSheetId="33">#REF!</definedName>
    <definedName name="rates11" localSheetId="17">#REF!</definedName>
    <definedName name="rates11" localSheetId="16">#REF!</definedName>
    <definedName name="rates11" localSheetId="12">#REF!</definedName>
    <definedName name="rates11" localSheetId="14">#REF!</definedName>
    <definedName name="rates11" localSheetId="1">#REF!</definedName>
    <definedName name="rates11" localSheetId="13">#REF!</definedName>
    <definedName name="rates11" localSheetId="35">#REF!</definedName>
    <definedName name="rates11" localSheetId="36">#REF!</definedName>
    <definedName name="rates11" localSheetId="52">#REF!</definedName>
    <definedName name="rates11" localSheetId="7">#REF!</definedName>
    <definedName name="rates11" localSheetId="30">#REF!</definedName>
    <definedName name="rates11" localSheetId="15">#REF!</definedName>
    <definedName name="rates11" localSheetId="11">#REF!</definedName>
    <definedName name="rates11" localSheetId="2">#REF!</definedName>
    <definedName name="rates11" localSheetId="0">#REF!</definedName>
    <definedName name="rates11">#REF!</definedName>
    <definedName name="rates4" localSheetId="23">#REF!</definedName>
    <definedName name="rates4" localSheetId="46">#REF!</definedName>
    <definedName name="rates4" localSheetId="47">#REF!</definedName>
    <definedName name="rates4" localSheetId="40">#REF!</definedName>
    <definedName name="rates4" localSheetId="44">#REF!</definedName>
    <definedName name="rates4" localSheetId="45">#REF!</definedName>
    <definedName name="rates4" localSheetId="21">#REF!</definedName>
    <definedName name="rates4" localSheetId="39">#REF!</definedName>
    <definedName name="rates4" localSheetId="9">#REF!</definedName>
    <definedName name="rates4" localSheetId="4">#REF!</definedName>
    <definedName name="rates4" localSheetId="24">#REF!</definedName>
    <definedName name="rates4" localSheetId="34">#REF!</definedName>
    <definedName name="rates4" localSheetId="10">#REF!</definedName>
    <definedName name="rates4" localSheetId="43">#REF!</definedName>
    <definedName name="rates4" localSheetId="8">#REF!</definedName>
    <definedName name="rates4" localSheetId="33">#REF!</definedName>
    <definedName name="rates4" localSheetId="17">#REF!</definedName>
    <definedName name="rates4" localSheetId="16">#REF!</definedName>
    <definedName name="rates4" localSheetId="12">#REF!</definedName>
    <definedName name="rates4" localSheetId="14">#REF!</definedName>
    <definedName name="rates4" localSheetId="1">#REF!</definedName>
    <definedName name="rates4" localSheetId="13">#REF!</definedName>
    <definedName name="rates4" localSheetId="35">#REF!</definedName>
    <definedName name="rates4" localSheetId="36">#REF!</definedName>
    <definedName name="rates4" localSheetId="52">#REF!</definedName>
    <definedName name="rates4" localSheetId="7">#REF!</definedName>
    <definedName name="rates4" localSheetId="30">#REF!</definedName>
    <definedName name="rates4" localSheetId="15">#REF!</definedName>
    <definedName name="rates4" localSheetId="11">#REF!</definedName>
    <definedName name="rates4" localSheetId="2">#REF!</definedName>
    <definedName name="rates4" localSheetId="0">#REF!</definedName>
    <definedName name="rates4">#REF!</definedName>
    <definedName name="ratesand" localSheetId="21">'[12]lead-st'!$L$10</definedName>
    <definedName name="ratesand" localSheetId="9">'[12]lead-st'!$L$10</definedName>
    <definedName name="ratesand" localSheetId="4">'[6]lead-st'!$L$10</definedName>
    <definedName name="ratesand" localSheetId="10">#REF!</definedName>
    <definedName name="ratesand" localSheetId="8">'[12]lead-st'!$L$10</definedName>
    <definedName name="ratesand" localSheetId="7">#REF!</definedName>
    <definedName name="ratesand">#REF!</definedName>
    <definedName name="RAv">[67]Sheet2!$H$149</definedName>
    <definedName name="RAvi">[67]Sheet2!$H$150</definedName>
    <definedName name="rax" localSheetId="21">[112]Material!$D$47</definedName>
    <definedName name="rax" localSheetId="9">[112]Material!$D$47</definedName>
    <definedName name="rax" localSheetId="4">[112]Material!$D$47</definedName>
    <definedName name="rax" localSheetId="10">#REF!</definedName>
    <definedName name="rax" localSheetId="8">[112]Material!$D$47</definedName>
    <definedName name="rax">#REF!</definedName>
    <definedName name="raxs" localSheetId="21">[119]Material!$D$47</definedName>
    <definedName name="raxs" localSheetId="9">[119]Material!$D$47</definedName>
    <definedName name="raxs" localSheetId="4">[119]Material!$D$47</definedName>
    <definedName name="raxs" localSheetId="10">#REF!</definedName>
    <definedName name="raxs" localSheetId="8">[119]Material!$D$47</definedName>
    <definedName name="raxs">#REF!</definedName>
    <definedName name="rb" localSheetId="21">'[53]C-data'!$F$112</definedName>
    <definedName name="rb" localSheetId="9">'[53]C-data'!$F$112</definedName>
    <definedName name="rb" localSheetId="4">'[53]C-data'!$F$112</definedName>
    <definedName name="rb" localSheetId="8">'[53]C-data'!$F$112</definedName>
    <definedName name="rb">#REF!</definedName>
    <definedName name="RBi">[67]Sheet2!$H$88</definedName>
    <definedName name="rbsw">#REF!</definedName>
    <definedName name="rbw">#REF!</definedName>
    <definedName name="RCArea" localSheetId="21" hidden="1">#REF!</definedName>
    <definedName name="RCArea" localSheetId="9" hidden="1">#REF!</definedName>
    <definedName name="RCArea" localSheetId="4" hidden="1">#REF!</definedName>
    <definedName name="RCArea" localSheetId="10" hidden="1">#REF!</definedName>
    <definedName name="RCArea" localSheetId="8" hidden="1">#REF!</definedName>
    <definedName name="RCArea" hidden="1">#REF!</definedName>
    <definedName name="rcc_mix" localSheetId="21">'[77]data existing_do not delete'!$F$14:$F$15</definedName>
    <definedName name="rcc_mix" localSheetId="9">'[77]data existing_do not delete'!$F$14:$F$15</definedName>
    <definedName name="rcc_mix" localSheetId="4">'[77]data existing_do not delete'!$F$14:$F$15</definedName>
    <definedName name="rcc_mix" localSheetId="8">'[77]data existing_do not delete'!$F$14:$F$15</definedName>
    <definedName name="rcc_mix">#REF!</definedName>
    <definedName name="RCC_SLABS_100_mm_Thick" localSheetId="4">'[58]DATA SHEET FOR 2014-15'!#REF!</definedName>
    <definedName name="RCC_SLABS_100_mm_Thick">'[58]DATA SHEET FOR 2014-15'!#REF!</definedName>
    <definedName name="RCC_SLABS_175_mm_Thick" localSheetId="4">'[58]DATA SHEET FOR 2014-15'!#REF!</definedName>
    <definedName name="RCC_SLABS_175_mm_Thick">'[58]DATA SHEET FOR 2014-15'!#REF!</definedName>
    <definedName name="RCC_SLABS_75_mm_Thick">'[58]DATA SHEET FOR 2014-15'!#REF!</definedName>
    <definedName name="rcc_vrcc_mix" localSheetId="21">'[77]data existing_do not delete'!$G$14:$G$17</definedName>
    <definedName name="rcc_vrcc_mix" localSheetId="9">'[77]data existing_do not delete'!$G$14:$G$17</definedName>
    <definedName name="rcc_vrcc_mix" localSheetId="4">'[77]data existing_do not delete'!$G$14:$G$17</definedName>
    <definedName name="rcc_vrcc_mix" localSheetId="8">'[77]data existing_do not delete'!$G$14:$G$17</definedName>
    <definedName name="rcc_vrcc_mix">#REF!</definedName>
    <definedName name="Rcl">[67]Sheet2!$F$39</definedName>
    <definedName name="rcm_facia" localSheetId="21">#REF!</definedName>
    <definedName name="rcm_facia" localSheetId="9">#REF!</definedName>
    <definedName name="rcm_facia" localSheetId="4">#REF!</definedName>
    <definedName name="rcm_facia" localSheetId="8">#REF!</definedName>
    <definedName name="rcm_facia">#REF!</definedName>
    <definedName name="rcml" localSheetId="4">#REF!</definedName>
    <definedName name="rcml">#REF!</definedName>
    <definedName name="rd">#REF!</definedName>
    <definedName name="rdm">#REF!</definedName>
    <definedName name="RECV">#REF!</definedName>
    <definedName name="red" localSheetId="21">#REF!</definedName>
    <definedName name="red" localSheetId="9">#REF!</definedName>
    <definedName name="red" localSheetId="4">#REF!</definedName>
    <definedName name="red" localSheetId="8">#REF!</definedName>
    <definedName name="red">#REF!</definedName>
    <definedName name="REDDY">#REF!</definedName>
    <definedName name="REFIL" localSheetId="21">[43]DATA!$H$189</definedName>
    <definedName name="REFIL" localSheetId="9">[43]DATA!$H$189</definedName>
    <definedName name="REFIL" localSheetId="4">[42]DATA!$H$189</definedName>
    <definedName name="REFIL" localSheetId="8">[43]DATA!$H$189</definedName>
    <definedName name="REFIL" localSheetId="7">#REF!</definedName>
    <definedName name="REFIL">#REF!</definedName>
    <definedName name="reil1" localSheetId="21">#REF!</definedName>
    <definedName name="reil1" localSheetId="9">#REF!</definedName>
    <definedName name="reil1" localSheetId="4">#REF!</definedName>
    <definedName name="reil1" localSheetId="8">#REF!</definedName>
    <definedName name="reil1">#REF!</definedName>
    <definedName name="Repalle_Sub" localSheetId="21">[186]quarry!$A$5:$AA$337</definedName>
    <definedName name="Repalle_Sub" localSheetId="9">[186]quarry!$A$5:$AA$337</definedName>
    <definedName name="Repalle_Sub" localSheetId="4">[186]quarry!$A$5:$AA$337</definedName>
    <definedName name="Repalle_Sub" localSheetId="8">[186]quarry!$A$5:$AA$337</definedName>
    <definedName name="Repalle_Sub">#REF!</definedName>
    <definedName name="report">#REF!</definedName>
    <definedName name="rerfdsfsdfd" localSheetId="21">'[112]Plant &amp;  Machinery'!$G$4</definedName>
    <definedName name="rerfdsfsdfd" localSheetId="9">'[112]Plant &amp;  Machinery'!$G$4</definedName>
    <definedName name="rerfdsfsdfd" localSheetId="4">'[112]Plant &amp;  Machinery'!$G$4</definedName>
    <definedName name="rerfdsfsdfd" localSheetId="10">#REF!</definedName>
    <definedName name="rerfdsfsdfd" localSheetId="8">'[112]Plant &amp;  Machinery'!$G$4</definedName>
    <definedName name="rerfdsfsdfd">#REF!</definedName>
    <definedName name="revet" localSheetId="4">#REF!</definedName>
    <definedName name="revet">#REF!</definedName>
    <definedName name="REVETMENT" localSheetId="21">'[187]Road Detail Est.'!#REF!</definedName>
    <definedName name="REVETMENT" localSheetId="9">'[187]Road Detail Est.'!#REF!</definedName>
    <definedName name="REVETMENT" localSheetId="4">'[187]Road Detail Est.'!#REF!</definedName>
    <definedName name="REVETMENT" localSheetId="10">#REF!</definedName>
    <definedName name="REVETMENT" localSheetId="8">'[187]Road Detail Est.'!#REF!</definedName>
    <definedName name="REVETMENT" localSheetId="7">#REF!</definedName>
    <definedName name="REVETMENT">#REF!</definedName>
    <definedName name="reweerr">#REF!</definedName>
    <definedName name="RF">[188]LEAD!$K$47</definedName>
    <definedName name="RFTR">[188]LEAD!$K$47</definedName>
    <definedName name="rh">#REF!</definedName>
    <definedName name="ri" localSheetId="21">[67]Sheet2!$F$17</definedName>
    <definedName name="ri" localSheetId="9">[67]Sheet2!$F$17</definedName>
    <definedName name="ri" localSheetId="4">[67]Sheet2!$F$17</definedName>
    <definedName name="ri" localSheetId="8">[67]Sheet2!$F$17</definedName>
    <definedName name="ri">#REF!</definedName>
    <definedName name="Ridf4_Prop__2_" localSheetId="21">#REF!</definedName>
    <definedName name="Ridf4_Prop__2_" localSheetId="9">#REF!</definedName>
    <definedName name="Ridf4_Prop__2_" localSheetId="4">#REF!</definedName>
    <definedName name="Ridf4_Prop__2_" localSheetId="10">#REF!</definedName>
    <definedName name="Ridf4_Prop__2_" localSheetId="8">#REF!</definedName>
    <definedName name="Ridf4_Prop__2_">#REF!</definedName>
    <definedName name="rii">#REF!</definedName>
    <definedName name="riii">#REF!</definedName>
    <definedName name="riser_shahbad" localSheetId="21">#REF!</definedName>
    <definedName name="riser_shahbad" localSheetId="9">#REF!</definedName>
    <definedName name="riser_shahbad" localSheetId="4">#REF!</definedName>
    <definedName name="riser_shahbad" localSheetId="8">#REF!</definedName>
    <definedName name="riser_shahbad">#REF!</definedName>
    <definedName name="rk" localSheetId="21">#REF!</definedName>
    <definedName name="rk" localSheetId="9">#REF!</definedName>
    <definedName name="rk" localSheetId="4">#REF!</definedName>
    <definedName name="rk" localSheetId="8">#REF!</definedName>
    <definedName name="rk">#REF!</definedName>
    <definedName name="road" localSheetId="21">[86]Lead!#REF!</definedName>
    <definedName name="road" localSheetId="9">[86]Lead!#REF!</definedName>
    <definedName name="road" localSheetId="4">[86]Lead!#REF!</definedName>
    <definedName name="road" localSheetId="10">#REF!</definedName>
    <definedName name="road" localSheetId="8">[86]Lead!#REF!</definedName>
    <definedName name="road" localSheetId="7">#REF!</definedName>
    <definedName name="road">#REF!</definedName>
    <definedName name="Road_Section_No." localSheetId="21">'[68]Trunk unpaved'!$A$2:$L$237</definedName>
    <definedName name="Road_Section_No." localSheetId="9">'[68]Trunk unpaved'!$A$2:$L$237</definedName>
    <definedName name="Road_Section_No." localSheetId="4">'[68]Trunk unpaved'!$A$2:$L$237</definedName>
    <definedName name="Road_Section_No." localSheetId="8">'[68]Trunk unpaved'!$A$2:$L$237</definedName>
    <definedName name="Road_Section_No.">#REF!</definedName>
    <definedName name="Road_Sections_list" localSheetId="21">'[68]Trunk unpaved'!$A$2:$L$233</definedName>
    <definedName name="Road_Sections_list" localSheetId="9">'[68]Trunk unpaved'!$A$2:$L$233</definedName>
    <definedName name="Road_Sections_list" localSheetId="4">'[68]Trunk unpaved'!$A$2:$L$233</definedName>
    <definedName name="Road_Sections_list" localSheetId="8">'[68]Trunk unpaved'!$A$2:$L$233</definedName>
    <definedName name="Road_Sections_list">#REF!</definedName>
    <definedName name="roar1" localSheetId="21">[86]Lead!#REF!</definedName>
    <definedName name="roar1" localSheetId="9">[86]Lead!#REF!</definedName>
    <definedName name="roar1" localSheetId="4">[86]Lead!#REF!</definedName>
    <definedName name="roar1" localSheetId="8">[86]Lead!#REF!</definedName>
    <definedName name="roar1">#REF!</definedName>
    <definedName name="ROOF_BEAMS" localSheetId="4">'[58]DATA SHEET FOR 2014-15'!#REF!</definedName>
    <definedName name="ROOF_BEAMS">'[58]DATA SHEET FOR 2014-15'!#REF!</definedName>
    <definedName name="Roof_Slab_125_mm_Thick__0.60_projection_RCC_SLABS_125_mm_Thick" localSheetId="4">'[58]DATA SHEET FOR 2014-15'!#REF!</definedName>
    <definedName name="Roof_Slab_125_mm_Thick__0.60_projection_RCC_SLABS_125_mm_Thick">'[58]DATA SHEET FOR 2014-15'!#REF!</definedName>
    <definedName name="RR" localSheetId="21">[43]DATA!$H$163</definedName>
    <definedName name="RR" localSheetId="9">[43]DATA!$H$163</definedName>
    <definedName name="RR" localSheetId="4">[42]DATA!$H$163</definedName>
    <definedName name="RR" localSheetId="8">[43]DATA!$H$163</definedName>
    <definedName name="RR" localSheetId="7">#REF!</definedName>
    <definedName name="RR">#REF!</definedName>
    <definedName name="rr_blast" localSheetId="4">#REF!</definedName>
    <definedName name="rr_blast">#REF!</definedName>
    <definedName name="rr_stone" localSheetId="21">#REF!</definedName>
    <definedName name="rr_stone" localSheetId="9">#REF!</definedName>
    <definedName name="rr_stone" localSheetId="4">#REF!</definedName>
    <definedName name="rr_stone" localSheetId="8">#REF!</definedName>
    <definedName name="rr_stone">#REF!</definedName>
    <definedName name="rrg" localSheetId="21">[189]r!$F$7</definedName>
    <definedName name="rrg" localSheetId="9">[189]r!$F$7</definedName>
    <definedName name="rrg" localSheetId="4">[190]r!$F$7</definedName>
    <definedName name="rrg" localSheetId="10">#REF!</definedName>
    <definedName name="rrg" localSheetId="8">[189]r!$F$7</definedName>
    <definedName name="rrg" localSheetId="7">#REF!</definedName>
    <definedName name="rrg">#REF!</definedName>
    <definedName name="rrr" localSheetId="21">'[191]temp-SDData (2)'!#REF!</definedName>
    <definedName name="rrr" localSheetId="9">'[191]temp-SDData (2)'!#REF!</definedName>
    <definedName name="rrr" localSheetId="4">'[191]temp-SDData (2)'!#REF!</definedName>
    <definedName name="rrr" localSheetId="8">'[191]temp-SDData (2)'!#REF!</definedName>
    <definedName name="rrr">#REF!</definedName>
    <definedName name="rrrate" localSheetId="21">'[12]lead-st'!$L$11</definedName>
    <definedName name="rrrate" localSheetId="9">'[12]lead-st'!$L$11</definedName>
    <definedName name="rrrate" localSheetId="4">'[6]lead-st'!$L$11</definedName>
    <definedName name="rrrate" localSheetId="10">#REF!</definedName>
    <definedName name="rrrate" localSheetId="8">'[12]lead-st'!$L$11</definedName>
    <definedName name="rrrate" localSheetId="7">#REF!</definedName>
    <definedName name="rrrate">#REF!</definedName>
    <definedName name="RRRRRRRRRRRRRRRRRRRRRRRRRRRRRRR">#REF!</definedName>
    <definedName name="rrs" localSheetId="21">[12]rdamdata!$J$9</definedName>
    <definedName name="rrs" localSheetId="9">[12]rdamdata!$J$9</definedName>
    <definedName name="rrs" localSheetId="4">[6]rdamdata!$J$9</definedName>
    <definedName name="rrs" localSheetId="10">#REF!</definedName>
    <definedName name="rrs" localSheetId="8">[12]rdamdata!$J$9</definedName>
    <definedName name="rrs" localSheetId="7">#REF!</definedName>
    <definedName name="rrs">#REF!</definedName>
    <definedName name="rs" localSheetId="21">#REF!</definedName>
    <definedName name="rs" localSheetId="9">#REF!</definedName>
    <definedName name="rs" localSheetId="4">#REF!</definedName>
    <definedName name="rs" localSheetId="8">#REF!</definedName>
    <definedName name="rs">#REF!</definedName>
    <definedName name="RSDP" localSheetId="21">[43]DATA!$H$215</definedName>
    <definedName name="RSDP" localSheetId="9">[43]DATA!$H$215</definedName>
    <definedName name="RSDP" localSheetId="4">[42]DATA!$H$215</definedName>
    <definedName name="RSDP" localSheetId="8">[43]DATA!$H$215</definedName>
    <definedName name="RSDP" localSheetId="7">#REF!</definedName>
    <definedName name="RSDP">#REF!</definedName>
    <definedName name="rstone" localSheetId="21">[12]rdamdata!$J$11</definedName>
    <definedName name="rstone" localSheetId="9">[12]rdamdata!$J$11</definedName>
    <definedName name="rstone" localSheetId="4">[6]rdamdata!$J$11</definedName>
    <definedName name="rstone" localSheetId="10">#REF!</definedName>
    <definedName name="rstone" localSheetId="8">[12]rdamdata!$J$11</definedName>
    <definedName name="rstone" localSheetId="7">#REF!</definedName>
    <definedName name="rstone">#REF!</definedName>
    <definedName name="RT">#REF!</definedName>
    <definedName name="rtcf">#REF!</definedName>
    <definedName name="rtcfo">#REF!</definedName>
    <definedName name="RubberRings" localSheetId="21">[18]maya!$B$382:$B$386</definedName>
    <definedName name="RubberRings" localSheetId="9">[18]maya!$B$382:$B$386</definedName>
    <definedName name="RubberRings" localSheetId="4">[18]maya!$B$382:$B$386</definedName>
    <definedName name="RubberRings" localSheetId="8">[18]maya!$B$382:$B$386</definedName>
    <definedName name="RubberRings">#REF!</definedName>
    <definedName name="RVi">[67]Sheet2!$H$128</definedName>
    <definedName name="RVii">[67]Sheet2!$H$158</definedName>
    <definedName name="rwm" localSheetId="21">#REF!</definedName>
    <definedName name="rwm" localSheetId="9">#REF!</definedName>
    <definedName name="rwm" localSheetId="4">#REF!</definedName>
    <definedName name="rwm" localSheetId="8">#REF!</definedName>
    <definedName name="rwm">#REF!</definedName>
    <definedName name="RWS">#REF!</definedName>
    <definedName name="rwsrate" localSheetId="21">'[192]ssr-rates'!$B$1:$J$1644</definedName>
    <definedName name="rwsrate" localSheetId="9">'[192]ssr-rates'!$B$1:$J$1644</definedName>
    <definedName name="rwsrate" localSheetId="4">'[192]ssr-rates'!$B$1:$J$1644</definedName>
    <definedName name="rwsrate" localSheetId="8">'[192]ssr-rates'!$B$1:$J$1644</definedName>
    <definedName name="rwsrate">#REF!</definedName>
    <definedName name="s" localSheetId="21">#REF!</definedName>
    <definedName name="s" localSheetId="39">#REF!</definedName>
    <definedName name="s" localSheetId="9">#REF!</definedName>
    <definedName name="s" localSheetId="4">#REF!</definedName>
    <definedName name="s" localSheetId="34">#REF!</definedName>
    <definedName name="s" localSheetId="10">#REF!</definedName>
    <definedName name="s" localSheetId="8">#REF!</definedName>
    <definedName name="s" localSheetId="33">#REF!</definedName>
    <definedName name="s" localSheetId="17">#REF!</definedName>
    <definedName name="s" localSheetId="16">#REF!</definedName>
    <definedName name="s" localSheetId="12">#REF!</definedName>
    <definedName name="s" localSheetId="14">#REF!</definedName>
    <definedName name="s" localSheetId="1">#REF!</definedName>
    <definedName name="s" localSheetId="13">#REF!</definedName>
    <definedName name="s" localSheetId="35">#REF!</definedName>
    <definedName name="s" localSheetId="36">#REF!</definedName>
    <definedName name="s" localSheetId="52">#REF!</definedName>
    <definedName name="s" localSheetId="7">#REF!</definedName>
    <definedName name="s">#REF!</definedName>
    <definedName name="S__F_20_mm_Nominal_Bore_GI_pipe_Medium_Grade_properties___weight_as_per_IS_1239_ISI_mark_with_GI_fittings_including_the_cost_of_pipe___its_fittings___labour_charges_complete">'[58]DATA SHEET FOR 2014-15'!#REF!</definedName>
    <definedName name="S_10" localSheetId="21">[193]RMR!$L$23</definedName>
    <definedName name="S_10" localSheetId="9">[193]RMR!$L$23</definedName>
    <definedName name="S_10" localSheetId="4">[193]RMR!$L$23</definedName>
    <definedName name="S_10" localSheetId="8">[193]RMR!$L$23</definedName>
    <definedName name="S_10" localSheetId="7">#REF!</definedName>
    <definedName name="S_10">#REF!</definedName>
    <definedName name="S_20" localSheetId="21">[193]RMR!$L$21</definedName>
    <definedName name="S_20" localSheetId="9">[193]RMR!$L$21</definedName>
    <definedName name="S_20" localSheetId="4">[193]RMR!$L$21</definedName>
    <definedName name="S_20" localSheetId="8">[193]RMR!$L$21</definedName>
    <definedName name="S_20" localSheetId="7">#REF!</definedName>
    <definedName name="S_20">#REF!</definedName>
    <definedName name="sa" localSheetId="21">[93]Data.F8.BTR!#REF!</definedName>
    <definedName name="sa" localSheetId="9">[93]Data.F8.BTR!#REF!</definedName>
    <definedName name="sa" localSheetId="4">[149]Data_Bit_I!#REF!</definedName>
    <definedName name="sa" localSheetId="8">[93]Data.F8.BTR!#REF!</definedName>
    <definedName name="sa">#REF!</definedName>
    <definedName name="saa" localSheetId="4">[149]Data_Bit_I!#REF!</definedName>
    <definedName name="saa">[149]Data_Bit_I!#REF!</definedName>
    <definedName name="SADARNAGAR" localSheetId="4">[118]RATES!#REF!</definedName>
    <definedName name="SADARNAGAR">[118]RATES!#REF!</definedName>
    <definedName name="sadfas" localSheetId="23">#REF!</definedName>
    <definedName name="sadfas" localSheetId="46">#REF!</definedName>
    <definedName name="sadfas" localSheetId="47">#REF!</definedName>
    <definedName name="sadfas" localSheetId="40">#REF!</definedName>
    <definedName name="sadfas" localSheetId="44">#REF!</definedName>
    <definedName name="sadfas" localSheetId="45">#REF!</definedName>
    <definedName name="sadfas" localSheetId="21">#REF!</definedName>
    <definedName name="sadfas" localSheetId="9">#REF!</definedName>
    <definedName name="sadfas" localSheetId="4">#REF!</definedName>
    <definedName name="sadfas" localSheetId="24">#REF!</definedName>
    <definedName name="sadfas" localSheetId="10">#REF!</definedName>
    <definedName name="sadfas" localSheetId="43">#REF!</definedName>
    <definedName name="sadfas" localSheetId="8">#REF!</definedName>
    <definedName name="sadfas" localSheetId="52">#REF!</definedName>
    <definedName name="sadfas" localSheetId="7">#REF!</definedName>
    <definedName name="sadfas">#REF!</definedName>
    <definedName name="sai">#REF!</definedName>
    <definedName name="sand" localSheetId="21">[12]rdamdata!$J$12</definedName>
    <definedName name="sand" localSheetId="9">[12]rdamdata!$J$12</definedName>
    <definedName name="sand" localSheetId="4">[6]rdamdata!$J$12</definedName>
    <definedName name="sand" localSheetId="10">#REF!</definedName>
    <definedName name="sand" localSheetId="8">[12]rdamdata!$J$12</definedName>
    <definedName name="sand" localSheetId="7">#REF!</definedName>
    <definedName name="sand">#REF!</definedName>
    <definedName name="SAND_M" localSheetId="21">[193]RMR!$L$25</definedName>
    <definedName name="SAND_M" localSheetId="9">[193]RMR!$L$25</definedName>
    <definedName name="SAND_M" localSheetId="4">[193]RMR!$L$25</definedName>
    <definedName name="SAND_M" localSheetId="8">[193]RMR!$L$25</definedName>
    <definedName name="SAND_M" localSheetId="7">#REF!</definedName>
    <definedName name="SAND_M">#REF!</definedName>
    <definedName name="Sand_screened" localSheetId="21">#REF!</definedName>
    <definedName name="Sand_screened" localSheetId="9">#REF!</definedName>
    <definedName name="Sand_screened" localSheetId="4">#REF!</definedName>
    <definedName name="Sand_screened" localSheetId="8">#REF!</definedName>
    <definedName name="Sand_screened">#REF!</definedName>
    <definedName name="Sand_Type" localSheetId="21">'[77]data existing_do not delete'!$A$73:$A$75</definedName>
    <definedName name="Sand_Type" localSheetId="9">'[77]data existing_do not delete'!$A$73:$A$75</definedName>
    <definedName name="Sand_Type" localSheetId="4">'[77]data existing_do not delete'!$A$73:$A$75</definedName>
    <definedName name="Sand_Type" localSheetId="8">'[77]data existing_do not delete'!$A$73:$A$75</definedName>
    <definedName name="Sand_Type">#REF!</definedName>
    <definedName name="SandF" localSheetId="21">[18]maya!$A$30:$A$31</definedName>
    <definedName name="SandF" localSheetId="9">[18]maya!$A$30:$A$31</definedName>
    <definedName name="SandF" localSheetId="4">[18]maya!$A$30:$A$31</definedName>
    <definedName name="SandF" localSheetId="8">[18]maya!$A$30:$A$31</definedName>
    <definedName name="SandF">#REF!</definedName>
    <definedName name="SANDFILLING" localSheetId="23">#REF!</definedName>
    <definedName name="SANDFILLING" localSheetId="46">#REF!</definedName>
    <definedName name="SANDFILLING" localSheetId="47">#REF!</definedName>
    <definedName name="SANDFILLING" localSheetId="40">#REF!</definedName>
    <definedName name="SANDFILLING" localSheetId="44">#REF!</definedName>
    <definedName name="SANDFILLING" localSheetId="45">#REF!</definedName>
    <definedName name="SANDFILLING" localSheetId="21">#REF!</definedName>
    <definedName name="SANDFILLING" localSheetId="9">#REF!</definedName>
    <definedName name="SANDFILLING" localSheetId="4">#REF!</definedName>
    <definedName name="SANDFILLING" localSheetId="24">#REF!</definedName>
    <definedName name="SANDFILLING" localSheetId="43">#REF!</definedName>
    <definedName name="SANDFILLING" localSheetId="8">#REF!</definedName>
    <definedName name="SANDFILLING" localSheetId="52">#REF!</definedName>
    <definedName name="SANDFILLING" localSheetId="7">#REF!</definedName>
    <definedName name="SANDFILLING">#REF!</definedName>
    <definedName name="sandmortar" localSheetId="21">#REF!</definedName>
    <definedName name="sandmortar" localSheetId="9">#REF!</definedName>
    <definedName name="sandmortar" localSheetId="4">#REF!</definedName>
    <definedName name="sandmortar" localSheetId="8">#REF!</definedName>
    <definedName name="sandmortar">#REF!</definedName>
    <definedName name="sandscreen" localSheetId="21">#REF!</definedName>
    <definedName name="sandscreen" localSheetId="9">#REF!</definedName>
    <definedName name="sandscreen" localSheetId="4">#REF!</definedName>
    <definedName name="sandscreen" localSheetId="8">#REF!</definedName>
    <definedName name="sandscreen">#REF!</definedName>
    <definedName name="sb" localSheetId="4">#REF!</definedName>
    <definedName name="sb">#REF!</definedName>
    <definedName name="sbc">#REF!</definedName>
    <definedName name="sbl" localSheetId="4">#REF!</definedName>
    <definedName name="sbl">#REF!</definedName>
    <definedName name="sc">#REF!</definedName>
    <definedName name="sc_earth" localSheetId="21">'[194]other rates'!$I$20</definedName>
    <definedName name="sc_earth" localSheetId="9">'[194]other rates'!$I$20</definedName>
    <definedName name="sc_earth" localSheetId="4">'[194]other rates'!$I$20</definedName>
    <definedName name="sc_earth" localSheetId="8">'[194]other rates'!$I$20</definedName>
    <definedName name="sc_earth">#REF!</definedName>
    <definedName name="sc_metal" localSheetId="21">'[194]other rates'!$I$22</definedName>
    <definedName name="sc_metal" localSheetId="9">'[194]other rates'!$I$22</definedName>
    <definedName name="sc_metal" localSheetId="4">'[194]other rates'!$I$22</definedName>
    <definedName name="sc_metal" localSheetId="8">'[194]other rates'!$I$22</definedName>
    <definedName name="sc_metal">#REF!</definedName>
    <definedName name="sc_sand" localSheetId="21">'[194]other rates'!$I$21</definedName>
    <definedName name="sc_sand" localSheetId="9">'[194]other rates'!$I$21</definedName>
    <definedName name="sc_sand" localSheetId="4">'[194]other rates'!$I$21</definedName>
    <definedName name="sc_sand" localSheetId="8">'[194]other rates'!$I$21</definedName>
    <definedName name="sc_sand">#REF!</definedName>
    <definedName name="scaffolding_charges" localSheetId="21">'[77]data existing_do not delete'!$D$20:$D$22</definedName>
    <definedName name="scaffolding_charges" localSheetId="9">'[77]data existing_do not delete'!$D$20:$D$22</definedName>
    <definedName name="scaffolding_charges" localSheetId="4">'[77]data existing_do not delete'!$D$20:$D$22</definedName>
    <definedName name="scaffolding_charges" localSheetId="8">'[77]data existing_do not delete'!$D$20:$D$22</definedName>
    <definedName name="scaffolding_charges">#REF!</definedName>
    <definedName name="scafhire" localSheetId="21">#REF!</definedName>
    <definedName name="scafhire" localSheetId="9">#REF!</definedName>
    <definedName name="scafhire" localSheetId="4">#REF!</definedName>
    <definedName name="scafhire" localSheetId="8">#REF!</definedName>
    <definedName name="scafhire">#REF!</definedName>
    <definedName name="scafhirechr" localSheetId="21">#REF!</definedName>
    <definedName name="scafhirechr" localSheetId="9">#REF!</definedName>
    <definedName name="scafhirechr" localSheetId="4">#REF!</definedName>
    <definedName name="scafhirechr" localSheetId="8">#REF!</definedName>
    <definedName name="scafhirechr">#REF!</definedName>
    <definedName name="scafhirechr1.24" localSheetId="21">#REF!</definedName>
    <definedName name="scafhirechr1.24" localSheetId="9">#REF!</definedName>
    <definedName name="scafhirechr1.24" localSheetId="4">#REF!</definedName>
    <definedName name="scafhirechr1.24" localSheetId="8">#REF!</definedName>
    <definedName name="scafhirechr1.24">#REF!</definedName>
    <definedName name="scafhirechr115" localSheetId="21">#REF!</definedName>
    <definedName name="scafhirechr115" localSheetId="9">#REF!</definedName>
    <definedName name="scafhirechr115" localSheetId="4">#REF!</definedName>
    <definedName name="scafhirechr115" localSheetId="8">#REF!</definedName>
    <definedName name="scafhirechr115">#REF!</definedName>
    <definedName name="SD" localSheetId="21">[110]m!$D$149</definedName>
    <definedName name="SD" localSheetId="9">[110]m!$D$149</definedName>
    <definedName name="SD" localSheetId="4">[110]m!$D$149</definedName>
    <definedName name="SD" localSheetId="8">[110]m!$D$149</definedName>
    <definedName name="SD">#REF!</definedName>
    <definedName name="SDD">[110]m!$D$149</definedName>
    <definedName name="sdfsdsdfdf" localSheetId="21">[112]Material!$D$70</definedName>
    <definedName name="sdfsdsdfdf" localSheetId="9">[112]Material!$D$70</definedName>
    <definedName name="sdfsdsdfdf" localSheetId="4">[112]Material!$D$70</definedName>
    <definedName name="sdfsdsdfdf" localSheetId="10">#REF!</definedName>
    <definedName name="sdfsdsdfdf" localSheetId="8">[112]Material!$D$70</definedName>
    <definedName name="sdfsdsdfdf">#REF!</definedName>
    <definedName name="sdsD" localSheetId="10">#REF!</definedName>
    <definedName name="sdsD">#REF!</definedName>
    <definedName name="se" localSheetId="21">[69]Lead!#REF!</definedName>
    <definedName name="se" localSheetId="9">[69]Lead!#REF!</definedName>
    <definedName name="se" localSheetId="4">[69]Lead!#REF!</definedName>
    <definedName name="se" localSheetId="10">#REF!</definedName>
    <definedName name="se" localSheetId="8">[69]Lead!#REF!</definedName>
    <definedName name="se" localSheetId="7">#REF!</definedName>
    <definedName name="se">#REF!</definedName>
    <definedName name="searth" localSheetId="23">#REF!</definedName>
    <definedName name="searth" localSheetId="46">#REF!</definedName>
    <definedName name="searth" localSheetId="47">#REF!</definedName>
    <definedName name="searth" localSheetId="40">#REF!</definedName>
    <definedName name="searth" localSheetId="44">#REF!</definedName>
    <definedName name="searth" localSheetId="45">#REF!</definedName>
    <definedName name="searth" localSheetId="21">#REF!</definedName>
    <definedName name="searth" localSheetId="9">#REF!</definedName>
    <definedName name="searth" localSheetId="4">#REF!</definedName>
    <definedName name="searth" localSheetId="24">#REF!</definedName>
    <definedName name="searth" localSheetId="43">#REF!</definedName>
    <definedName name="searth" localSheetId="8">#REF!</definedName>
    <definedName name="searth" localSheetId="52">#REF!</definedName>
    <definedName name="searth" localSheetId="7">#REF!</definedName>
    <definedName name="searth">#REF!</definedName>
    <definedName name="sec">#REF!</definedName>
    <definedName name="sectorwise" localSheetId="21">#REF!</definedName>
    <definedName name="sectorwise" localSheetId="9">#REF!</definedName>
    <definedName name="sectorwise" localSheetId="4">#REF!</definedName>
    <definedName name="sectorwise" localSheetId="10">#REF!</definedName>
    <definedName name="sectorwise" localSheetId="8">#REF!</definedName>
    <definedName name="sectorwise">#REF!</definedName>
    <definedName name="segments">#REF!</definedName>
    <definedName name="seig_earth" localSheetId="4">#REF!</definedName>
    <definedName name="seig_earth">#REF!</definedName>
    <definedName name="seig_gravel" localSheetId="4">#REF!</definedName>
    <definedName name="seig_gravel">#REF!</definedName>
    <definedName name="seig_metal" localSheetId="4">#REF!</definedName>
    <definedName name="seig_metal">#REF!</definedName>
    <definedName name="seig_sand" localSheetId="4">#REF!</definedName>
    <definedName name="seig_sand">#REF!</definedName>
    <definedName name="sein" localSheetId="23">#REF!</definedName>
    <definedName name="sein" localSheetId="46">#REF!</definedName>
    <definedName name="sein" localSheetId="47">#REF!</definedName>
    <definedName name="sein" localSheetId="40">#REF!</definedName>
    <definedName name="sein" localSheetId="44">#REF!</definedName>
    <definedName name="sein" localSheetId="45">#REF!</definedName>
    <definedName name="sein" localSheetId="21">#REF!</definedName>
    <definedName name="sein" localSheetId="39">#REF!</definedName>
    <definedName name="sein" localSheetId="9">#REF!</definedName>
    <definedName name="sein" localSheetId="4">#REF!</definedName>
    <definedName name="sein" localSheetId="24">#REF!</definedName>
    <definedName name="sein" localSheetId="34">#REF!</definedName>
    <definedName name="sein" localSheetId="10">#REF!</definedName>
    <definedName name="sein" localSheetId="43">#REF!</definedName>
    <definedName name="sein" localSheetId="8">#REF!</definedName>
    <definedName name="sein" localSheetId="33">#REF!</definedName>
    <definedName name="sein" localSheetId="17">#REF!</definedName>
    <definedName name="sein" localSheetId="16">#REF!</definedName>
    <definedName name="sein" localSheetId="12">#REF!</definedName>
    <definedName name="sein" localSheetId="14">#REF!</definedName>
    <definedName name="sein" localSheetId="1">#REF!</definedName>
    <definedName name="sein" localSheetId="13">#REF!</definedName>
    <definedName name="sein" localSheetId="35">#REF!</definedName>
    <definedName name="sein" localSheetId="36">#REF!</definedName>
    <definedName name="sein" localSheetId="52">#REF!</definedName>
    <definedName name="sein" localSheetId="7">#REF!</definedName>
    <definedName name="sein" localSheetId="30">#REF!</definedName>
    <definedName name="sein" localSheetId="15">#REF!</definedName>
    <definedName name="sein" localSheetId="11">#REF!</definedName>
    <definedName name="sein" localSheetId="2">#REF!</definedName>
    <definedName name="sein" localSheetId="0">#REF!</definedName>
    <definedName name="sein">#REF!</definedName>
    <definedName name="sein1" localSheetId="23">#REF!</definedName>
    <definedName name="sein1" localSheetId="46">#REF!</definedName>
    <definedName name="sein1" localSheetId="47">#REF!</definedName>
    <definedName name="sein1" localSheetId="40">#REF!</definedName>
    <definedName name="sein1" localSheetId="44">#REF!</definedName>
    <definedName name="sein1" localSheetId="45">#REF!</definedName>
    <definedName name="sein1" localSheetId="21">#REF!</definedName>
    <definedName name="sein1" localSheetId="39">#REF!</definedName>
    <definedName name="sein1" localSheetId="9">#REF!</definedName>
    <definedName name="sein1" localSheetId="4">#REF!</definedName>
    <definedName name="sein1" localSheetId="24">#REF!</definedName>
    <definedName name="sein1" localSheetId="34">#REF!</definedName>
    <definedName name="sein1" localSheetId="10">#REF!</definedName>
    <definedName name="sein1" localSheetId="43">#REF!</definedName>
    <definedName name="sein1" localSheetId="8">#REF!</definedName>
    <definedName name="sein1" localSheetId="33">#REF!</definedName>
    <definedName name="sein1" localSheetId="17">#REF!</definedName>
    <definedName name="sein1" localSheetId="16">#REF!</definedName>
    <definedName name="sein1" localSheetId="12">#REF!</definedName>
    <definedName name="sein1" localSheetId="14">#REF!</definedName>
    <definedName name="sein1" localSheetId="1">#REF!</definedName>
    <definedName name="sein1" localSheetId="13">#REF!</definedName>
    <definedName name="sein1" localSheetId="35">#REF!</definedName>
    <definedName name="sein1" localSheetId="36">#REF!</definedName>
    <definedName name="sein1" localSheetId="52">#REF!</definedName>
    <definedName name="sein1" localSheetId="7">#REF!</definedName>
    <definedName name="sein1" localSheetId="30">#REF!</definedName>
    <definedName name="sein1" localSheetId="15">#REF!</definedName>
    <definedName name="sein1" localSheetId="11">#REF!</definedName>
    <definedName name="sein1" localSheetId="2">#REF!</definedName>
    <definedName name="sein1" localSheetId="0">#REF!</definedName>
    <definedName name="sein1">#REF!</definedName>
    <definedName name="sein4" localSheetId="23">#REF!</definedName>
    <definedName name="sein4" localSheetId="46">#REF!</definedName>
    <definedName name="sein4" localSheetId="47">#REF!</definedName>
    <definedName name="sein4" localSheetId="40">#REF!</definedName>
    <definedName name="sein4" localSheetId="44">#REF!</definedName>
    <definedName name="sein4" localSheetId="45">#REF!</definedName>
    <definedName name="sein4" localSheetId="21">#REF!</definedName>
    <definedName name="sein4" localSheetId="39">#REF!</definedName>
    <definedName name="sein4" localSheetId="9">#REF!</definedName>
    <definedName name="sein4" localSheetId="4">#REF!</definedName>
    <definedName name="sein4" localSheetId="24">#REF!</definedName>
    <definedName name="sein4" localSheetId="34">#REF!</definedName>
    <definedName name="sein4" localSheetId="10">#REF!</definedName>
    <definedName name="sein4" localSheetId="43">#REF!</definedName>
    <definedName name="sein4" localSheetId="8">#REF!</definedName>
    <definedName name="sein4" localSheetId="33">#REF!</definedName>
    <definedName name="sein4" localSheetId="17">#REF!</definedName>
    <definedName name="sein4" localSheetId="16">#REF!</definedName>
    <definedName name="sein4" localSheetId="12">#REF!</definedName>
    <definedName name="sein4" localSheetId="14">#REF!</definedName>
    <definedName name="sein4" localSheetId="1">#REF!</definedName>
    <definedName name="sein4" localSheetId="13">#REF!</definedName>
    <definedName name="sein4" localSheetId="35">#REF!</definedName>
    <definedName name="sein4" localSheetId="36">#REF!</definedName>
    <definedName name="sein4" localSheetId="52">#REF!</definedName>
    <definedName name="sein4" localSheetId="7">#REF!</definedName>
    <definedName name="sein4" localSheetId="30">#REF!</definedName>
    <definedName name="sein4" localSheetId="15">#REF!</definedName>
    <definedName name="sein4" localSheetId="11">#REF!</definedName>
    <definedName name="sein4" localSheetId="2">#REF!</definedName>
    <definedName name="sein4" localSheetId="0">#REF!</definedName>
    <definedName name="sein4">#REF!</definedName>
    <definedName name="seing">#REF!</definedName>
    <definedName name="Select">#REF!</definedName>
    <definedName name="SEM" localSheetId="4">#REF!</definedName>
    <definedName name="SEM">#REF!</definedName>
    <definedName name="seonalnew">#REF!</definedName>
    <definedName name="SES" localSheetId="4">#REF!</definedName>
    <definedName name="SES">#REF!</definedName>
    <definedName name="SEVENTOTHIRTEEN" localSheetId="21">#REF!</definedName>
    <definedName name="SEVENTOTHIRTEEN" localSheetId="9">#REF!</definedName>
    <definedName name="SEVENTOTHIRTEEN" localSheetId="4">#REF!</definedName>
    <definedName name="SEVENTOTHIRTEEN" localSheetId="10">#REF!</definedName>
    <definedName name="SEVENTOTHIRTEEN" localSheetId="8">#REF!</definedName>
    <definedName name="SEVENTOTHIRTEEN">#REF!</definedName>
    <definedName name="sf">#REF!</definedName>
    <definedName name="sg">#REF!</definedName>
    <definedName name="sh">#REF!</definedName>
    <definedName name="sheet" localSheetId="21">[195]m!$A$2</definedName>
    <definedName name="sheet" localSheetId="9">[195]m!$A$2</definedName>
    <definedName name="sheet" localSheetId="4">[195]m!$A$2</definedName>
    <definedName name="sheet" localSheetId="8">[195]m!$A$2</definedName>
    <definedName name="sheet">#REF!</definedName>
    <definedName name="Sheet2" localSheetId="21">[98]data!#REF!</definedName>
    <definedName name="Sheet2" localSheetId="9">[98]data!#REF!</definedName>
    <definedName name="Sheet2" localSheetId="4">[98]data!#REF!</definedName>
    <definedName name="Sheet2" localSheetId="8">[98]data!#REF!</definedName>
    <definedName name="Sheet2">#REF!</definedName>
    <definedName name="SHOULDERS" localSheetId="23">#REF!</definedName>
    <definedName name="SHOULDERS" localSheetId="46">#REF!</definedName>
    <definedName name="SHOULDERS" localSheetId="47">#REF!</definedName>
    <definedName name="SHOULDERS" localSheetId="40">#REF!</definedName>
    <definedName name="SHOULDERS" localSheetId="44">#REF!</definedName>
    <definedName name="SHOULDERS" localSheetId="45">#REF!</definedName>
    <definedName name="SHOULDERS" localSheetId="21">#REF!</definedName>
    <definedName name="SHOULDERS" localSheetId="9">#REF!</definedName>
    <definedName name="SHOULDERS" localSheetId="4">#REF!</definedName>
    <definedName name="SHOULDERS" localSheetId="24">#REF!</definedName>
    <definedName name="SHOULDERS" localSheetId="41">#REF!</definedName>
    <definedName name="SHOULDERS" localSheetId="43">#REF!</definedName>
    <definedName name="SHOULDERS" localSheetId="8">#REF!</definedName>
    <definedName name="SHOULDERS" localSheetId="16">#REF!</definedName>
    <definedName name="SHOULDERS" localSheetId="12">#REF!</definedName>
    <definedName name="SHOULDERS" localSheetId="14">#REF!</definedName>
    <definedName name="SHOULDERS" localSheetId="1">#REF!</definedName>
    <definedName name="SHOULDERS" localSheetId="13">#REF!</definedName>
    <definedName name="SHOULDERS" localSheetId="52">#REF!</definedName>
    <definedName name="SHOULDERS" localSheetId="7">#REF!</definedName>
    <definedName name="SHOULDERS" localSheetId="15">#REF!</definedName>
    <definedName name="SHOULDERS" localSheetId="11">#REF!</definedName>
    <definedName name="SHOULDERS" localSheetId="2">#REF!</definedName>
    <definedName name="SHOULDERS" localSheetId="0">#REF!</definedName>
    <definedName name="SHOULDERS">#REF!</definedName>
    <definedName name="Shyam" localSheetId="23">#REF!</definedName>
    <definedName name="Shyam" localSheetId="46">#REF!</definedName>
    <definedName name="Shyam" localSheetId="47">#REF!</definedName>
    <definedName name="Shyam" localSheetId="40">#REF!</definedName>
    <definedName name="Shyam" localSheetId="44">#REF!</definedName>
    <definedName name="Shyam" localSheetId="45">#REF!</definedName>
    <definedName name="Shyam" localSheetId="21">#REF!</definedName>
    <definedName name="Shyam" localSheetId="9">#REF!</definedName>
    <definedName name="Shyam" localSheetId="4">#REF!</definedName>
    <definedName name="Shyam" localSheetId="24">#REF!</definedName>
    <definedName name="Shyam" localSheetId="43">#REF!</definedName>
    <definedName name="Shyam" localSheetId="8">#REF!</definedName>
    <definedName name="Shyam" localSheetId="52">#REF!</definedName>
    <definedName name="Shyam" localSheetId="7">#REF!</definedName>
    <definedName name="Shyam" localSheetId="30">#REF!</definedName>
    <definedName name="Shyam" localSheetId="15">#REF!</definedName>
    <definedName name="Shyam" localSheetId="11">#REF!</definedName>
    <definedName name="Shyam" localSheetId="2">#REF!</definedName>
    <definedName name="Shyam" localSheetId="0">#REF!</definedName>
    <definedName name="Shyam">#REF!</definedName>
    <definedName name="si">#REF!</definedName>
    <definedName name="SIDEWALL">#REF!</definedName>
    <definedName name="SIDEWALLSONETOSIX" localSheetId="21">#REF!</definedName>
    <definedName name="SIDEWALLSONETOSIX" localSheetId="9">#REF!</definedName>
    <definedName name="SIDEWALLSONETOSIX" localSheetId="4">#REF!</definedName>
    <definedName name="SIDEWALLSONETOSIX" localSheetId="10">#REF!</definedName>
    <definedName name="SIDEWALLSONETOSIX" localSheetId="8">#REF!</definedName>
    <definedName name="SIDEWALLSONETOSIX">#REF!</definedName>
    <definedName name="SIDEWALLSSEVENTOTHIRTEEN" localSheetId="21">#REF!</definedName>
    <definedName name="SIDEWALLSSEVENTOTHIRTEEN" localSheetId="9">#REF!</definedName>
    <definedName name="SIDEWALLSSEVENTOTHIRTEEN" localSheetId="4">#REF!</definedName>
    <definedName name="SIDEWALLSSEVENTOTHIRTEEN" localSheetId="10">#REF!</definedName>
    <definedName name="SIDEWALLSSEVENTOTHIRTEEN" localSheetId="8">#REF!</definedName>
    <definedName name="SIDEWALLSSEVENTOTHIRTEEN">#REF!</definedName>
    <definedName name="sir" localSheetId="21">#REF!</definedName>
    <definedName name="sir" localSheetId="9">#REF!</definedName>
    <definedName name="sir" localSheetId="4">#REF!</definedName>
    <definedName name="sir" localSheetId="8">#REF!</definedName>
    <definedName name="sir">#REF!</definedName>
    <definedName name="SIXTOTHIRTEEN" localSheetId="21">#REF!</definedName>
    <definedName name="SIXTOTHIRTEEN" localSheetId="9">#REF!</definedName>
    <definedName name="SIXTOTHIRTEEN" localSheetId="4">#REF!</definedName>
    <definedName name="SIXTOTHIRTEEN" localSheetId="10">#REF!</definedName>
    <definedName name="SIXTOTHIRTEEN" localSheetId="8">#REF!</definedName>
    <definedName name="SIXTOTHIRTEEN">#REF!</definedName>
    <definedName name="SKDIRD" localSheetId="21" hidden="1">{"'ridftotal'!$A$4:$S$27"}</definedName>
    <definedName name="SKDIRD" localSheetId="9" hidden="1">{"'ridftotal'!$A$4:$S$27"}</definedName>
    <definedName name="SKDIRD" localSheetId="4" hidden="1">{"'ridftotal'!$A$4:$S$27"}</definedName>
    <definedName name="SKDIRD" localSheetId="10" hidden="1">{"'ridftotal'!$A$4:$S$27"}</definedName>
    <definedName name="SKDIRD" localSheetId="8" hidden="1">{"'ridftotal'!$A$4:$S$27"}</definedName>
    <definedName name="SKDIRD" hidden="1">{"'ridftotal'!$A$4:$S$27"}</definedName>
    <definedName name="skirting_shahbad" localSheetId="21">#REF!</definedName>
    <definedName name="skirting_shahbad" localSheetId="9">#REF!</definedName>
    <definedName name="skirting_shahbad" localSheetId="4">#REF!</definedName>
    <definedName name="skirting_shahbad" localSheetId="8">#REF!</definedName>
    <definedName name="skirting_shahbad">#REF!</definedName>
    <definedName name="Sl">[67]Sheet2!$F$11</definedName>
    <definedName name="SLAB" localSheetId="21">[43]DATA!$H$113</definedName>
    <definedName name="SLAB" localSheetId="9">[43]DATA!$H$113</definedName>
    <definedName name="SLAB" localSheetId="4">[42]DATA!$H$113</definedName>
    <definedName name="SLAB" localSheetId="8">[43]DATA!$H$113</definedName>
    <definedName name="SLAB" localSheetId="7">#REF!</definedName>
    <definedName name="SLAB">#REF!</definedName>
    <definedName name="SLAB1" localSheetId="4">#REF!</definedName>
    <definedName name="SLAB1">#REF!</definedName>
    <definedName name="SLAB2" localSheetId="4">#REF!</definedName>
    <definedName name="SLAB2">#REF!</definedName>
    <definedName name="SLAB3" localSheetId="4">#REF!</definedName>
    <definedName name="SLAB3">#REF!</definedName>
    <definedName name="slabculvert" localSheetId="21">[196]ABS!$B$21</definedName>
    <definedName name="slabculvert" localSheetId="9">[196]ABS!$B$21</definedName>
    <definedName name="slabculvert" localSheetId="4">[196]ABS!$B$21</definedName>
    <definedName name="slabculvert" localSheetId="8">[196]ABS!$B$21</definedName>
    <definedName name="slabculvert" localSheetId="7">#REF!</definedName>
    <definedName name="slabculvert">#REF!</definedName>
    <definedName name="sluicevalve">#REF!</definedName>
    <definedName name="SLUICEVALVES">#REF!</definedName>
    <definedName name="sm" localSheetId="21">[88]Lead!$H$37</definedName>
    <definedName name="sm" localSheetId="9">[88]Lead!$H$37</definedName>
    <definedName name="sm" localSheetId="4">[88]Lead!$H$37</definedName>
    <definedName name="sm" localSheetId="8">[88]Lead!$H$37</definedName>
    <definedName name="sm">#REF!</definedName>
    <definedName name="sma" localSheetId="4">#REF!</definedName>
    <definedName name="sma">#REF!</definedName>
    <definedName name="smetal" localSheetId="23">#REF!</definedName>
    <definedName name="smetal" localSheetId="46">#REF!</definedName>
    <definedName name="smetal" localSheetId="47">#REF!</definedName>
    <definedName name="smetal" localSheetId="40">#REF!</definedName>
    <definedName name="smetal" localSheetId="44">#REF!</definedName>
    <definedName name="smetal" localSheetId="45">#REF!</definedName>
    <definedName name="smetal" localSheetId="21">#REF!</definedName>
    <definedName name="smetal" localSheetId="9">#REF!</definedName>
    <definedName name="smetal" localSheetId="4">#REF!</definedName>
    <definedName name="smetal" localSheetId="24">#REF!</definedName>
    <definedName name="smetal" localSheetId="43">#REF!</definedName>
    <definedName name="smetal" localSheetId="8">#REF!</definedName>
    <definedName name="smetal" localSheetId="52">#REF!</definedName>
    <definedName name="smetal" localSheetId="7">#REF!</definedName>
    <definedName name="smetal">#REF!</definedName>
    <definedName name="sngbr" localSheetId="21">[170]l!$J$10</definedName>
    <definedName name="sngbr" localSheetId="9">[170]l!$J$10</definedName>
    <definedName name="sngbr" localSheetId="4">[170]l!$J$10</definedName>
    <definedName name="sngbr" localSheetId="8">[170]l!$J$10</definedName>
    <definedName name="sngbr" localSheetId="7">#REF!</definedName>
    <definedName name="sngbr">#REF!</definedName>
    <definedName name="sngsd" localSheetId="21">[170]l!$J$9</definedName>
    <definedName name="sngsd" localSheetId="9">[170]l!$J$9</definedName>
    <definedName name="sngsd" localSheetId="4">[170]l!$J$9</definedName>
    <definedName name="sngsd" localSheetId="8">[170]l!$J$9</definedName>
    <definedName name="sngsd" localSheetId="7">#REF!</definedName>
    <definedName name="sngsd">#REF!</definedName>
    <definedName name="sngst" localSheetId="21">[170]l!$J$8</definedName>
    <definedName name="sngst" localSheetId="9">[170]l!$J$8</definedName>
    <definedName name="sngst" localSheetId="4">[170]l!$J$8</definedName>
    <definedName name="sngst" localSheetId="8">[170]l!$J$8</definedName>
    <definedName name="sngst" localSheetId="7">#REF!</definedName>
    <definedName name="sngst">#REF!</definedName>
    <definedName name="so_desgn" localSheetId="21">[197]Data_Base!$E$2:$F$11</definedName>
    <definedName name="so_desgn" localSheetId="9">[197]Data_Base!$E$2:$F$11</definedName>
    <definedName name="so_desgn" localSheetId="4">[197]Data_Base!$E$2:$F$11</definedName>
    <definedName name="so_desgn" localSheetId="8">[197]Data_Base!$E$2:$F$11</definedName>
    <definedName name="so_desgn">#REF!</definedName>
    <definedName name="soil_type" localSheetId="21">'[77]data existing_do not delete'!$I$2:$I$9</definedName>
    <definedName name="soil_type" localSheetId="9">'[77]data existing_do not delete'!$I$2:$I$9</definedName>
    <definedName name="soil_type" localSheetId="4">'[77]data existing_do not delete'!$I$2:$I$9</definedName>
    <definedName name="soil_type" localSheetId="8">'[77]data existing_do not delete'!$I$2:$I$9</definedName>
    <definedName name="soil_type">#REF!</definedName>
    <definedName name="soil_types" localSheetId="21">'[198]data existing_do not delete'!$I$2:$I$9</definedName>
    <definedName name="soil_types" localSheetId="9">'[198]data existing_do not delete'!$I$2:$I$9</definedName>
    <definedName name="soil_types" localSheetId="4">'[198]data existing_do not delete'!$I$2:$I$9</definedName>
    <definedName name="soil_types" localSheetId="8">'[198]data existing_do not delete'!$I$2:$I$9</definedName>
    <definedName name="soil_types">#REF!</definedName>
    <definedName name="sp" localSheetId="4">#REF!</definedName>
    <definedName name="sp">#REF!</definedName>
    <definedName name="SP_BM">#REF!</definedName>
    <definedName name="SP_Diversion_Road">#REF!</definedName>
    <definedName name="SP_EW_Car">#REF!</definedName>
    <definedName name="SP_EW_FMC_Side">#REF!</definedName>
    <definedName name="SP_EW_Man">#REF!</definedName>
    <definedName name="SP_EW_OMC_Car">#REF!</definedName>
    <definedName name="SP_EW_OMC_Side">#REF!</definedName>
    <definedName name="SP_Gravel_Quardrent">#REF!</definedName>
    <definedName name="SP_HYSD_Super">#REF!</definedName>
    <definedName name="SP_M10_base">#REF!</definedName>
    <definedName name="sp_M10_bCC">#REF!</definedName>
    <definedName name="SP_M10_drainS">#REF!</definedName>
    <definedName name="SP_M15_deviders">#REF!</definedName>
    <definedName name="SP_M15_footing">#REF!</definedName>
    <definedName name="SP_M15_SUB">#REF!</definedName>
    <definedName name="SP_M20_BedBack">#REF!</definedName>
    <definedName name="SP_M20_COVER">#REF!</definedName>
    <definedName name="SP_M20_Slab">#REF!</definedName>
    <definedName name="SP_M25_ApproachSlab">#REF!</definedName>
    <definedName name="SP_M30_WC">#REF!</definedName>
    <definedName name="SP_M35_CC">#REF!</definedName>
    <definedName name="SP_M35_FlyAsh">#REF!</definedName>
    <definedName name="SP_Mild">#REF!</definedName>
    <definedName name="SP_Painting">#REF!</definedName>
    <definedName name="SP_Pick">#REF!</definedName>
    <definedName name="SP_Plastering">#REF!</definedName>
    <definedName name="SP_Rev_A300">#REF!</definedName>
    <definedName name="SP_Rev_Q300">#REF!</definedName>
    <definedName name="SP_Sandfilling">#REF!</definedName>
    <definedName name="SP_Scar_BT">#REF!</definedName>
    <definedName name="SP_Scar_GSB">#REF!</definedName>
    <definedName name="SP_SCSD_80100">#REF!</definedName>
    <definedName name="SP_WBM2">#REF!</definedName>
    <definedName name="SP_WBM2_HVR">#REF!</definedName>
    <definedName name="SP_WBM2_MCS">#REF!</definedName>
    <definedName name="SP_WBM2_MVR">#REF!</definedName>
    <definedName name="SP_WBM3">#REF!</definedName>
    <definedName name="SP_WBM3_HVR">#REF!</definedName>
    <definedName name="SP_WBM3_MCS">#REF!</definedName>
    <definedName name="SP_Weepholes">#REF!</definedName>
    <definedName name="SP_WMM">#REF!</definedName>
    <definedName name="spaint" localSheetId="4">#REF!</definedName>
    <definedName name="spaint">#REF!</definedName>
    <definedName name="spas">#REF!</definedName>
    <definedName name="SPD">#REF!</definedName>
    <definedName name="spds">#REF!</definedName>
    <definedName name="SpecialPrice" localSheetId="21" hidden="1">#REF!</definedName>
    <definedName name="SpecialPrice" localSheetId="9" hidden="1">#REF!</definedName>
    <definedName name="SpecialPrice" localSheetId="4" hidden="1">#REF!</definedName>
    <definedName name="SpecialPrice" localSheetId="10" hidden="1">#REF!</definedName>
    <definedName name="SpecialPrice" localSheetId="8" hidden="1">#REF!</definedName>
    <definedName name="SpecialPrice" hidden="1">#REF!</definedName>
    <definedName name="specific" localSheetId="21">[110]m!$D$149</definedName>
    <definedName name="specific" localSheetId="9">[110]m!$D$149</definedName>
    <definedName name="specific" localSheetId="4">[110]m!$D$149</definedName>
    <definedName name="specific" localSheetId="8">[110]m!$D$149</definedName>
    <definedName name="specific">#REF!</definedName>
    <definedName name="Specification" localSheetId="21">[199]Specification!$B$3:$E$108</definedName>
    <definedName name="Specification" localSheetId="9">[199]Specification!$B$3:$E$108</definedName>
    <definedName name="Specification" localSheetId="4">[199]Specification!$B$3:$E$108</definedName>
    <definedName name="Specification" localSheetId="8">[199]Specification!$B$3:$E$108</definedName>
    <definedName name="Specification">#REF!</definedName>
    <definedName name="SPREADING_40MM" localSheetId="23">#REF!</definedName>
    <definedName name="SPREADING_40MM" localSheetId="46">#REF!</definedName>
    <definedName name="SPREADING_40MM" localSheetId="47">#REF!</definedName>
    <definedName name="SPREADING_40MM" localSheetId="40">#REF!</definedName>
    <definedName name="SPREADING_40MM" localSheetId="44">#REF!</definedName>
    <definedName name="SPREADING_40MM" localSheetId="45">#REF!</definedName>
    <definedName name="SPREADING_40MM" localSheetId="21">#REF!</definedName>
    <definedName name="SPREADING_40MM" localSheetId="9">#REF!</definedName>
    <definedName name="SPREADING_40MM" localSheetId="4">#REF!</definedName>
    <definedName name="SPREADING_40MM" localSheetId="24">#REF!</definedName>
    <definedName name="SPREADING_40MM" localSheetId="41">#REF!</definedName>
    <definedName name="SPREADING_40MM" localSheetId="43">#REF!</definedName>
    <definedName name="SPREADING_40MM" localSheetId="8">#REF!</definedName>
    <definedName name="SPREADING_40MM" localSheetId="16">#REF!</definedName>
    <definedName name="SPREADING_40MM" localSheetId="12">#REF!</definedName>
    <definedName name="SPREADING_40MM" localSheetId="14">#REF!</definedName>
    <definedName name="SPREADING_40MM" localSheetId="1">#REF!</definedName>
    <definedName name="SPREADING_40MM" localSheetId="13">#REF!</definedName>
    <definedName name="SPREADING_40MM" localSheetId="52">#REF!</definedName>
    <definedName name="SPREADING_40MM" localSheetId="7">#REF!</definedName>
    <definedName name="SPREADING_40MM" localSheetId="15">#REF!</definedName>
    <definedName name="SPREADING_40MM" localSheetId="11">#REF!</definedName>
    <definedName name="SPREADING_40MM" localSheetId="2">#REF!</definedName>
    <definedName name="SPREADING_40MM" localSheetId="0">#REF!</definedName>
    <definedName name="SPREADING_40MM">#REF!</definedName>
    <definedName name="SPREADING_65MM" localSheetId="21">'[187]Road data'!#REF!</definedName>
    <definedName name="SPREADING_65MM" localSheetId="9">'[187]Road data'!#REF!</definedName>
    <definedName name="SPREADING_65MM" localSheetId="4">'[187]Road data'!#REF!</definedName>
    <definedName name="SPREADING_65MM" localSheetId="10">#REF!</definedName>
    <definedName name="SPREADING_65MM" localSheetId="8">'[187]Road data'!#REF!</definedName>
    <definedName name="SPREADING_65MM" localSheetId="7">#REF!</definedName>
    <definedName name="SPREADING_65MM">#REF!</definedName>
    <definedName name="spryer" localSheetId="4">#REF!</definedName>
    <definedName name="spryer">#REF!</definedName>
    <definedName name="sr" localSheetId="21">[175]m!$M$3</definedName>
    <definedName name="sr" localSheetId="9">[175]m!$M$3</definedName>
    <definedName name="sr" localSheetId="4">[175]m!$M$3</definedName>
    <definedName name="sr" localSheetId="8">[175]m!$M$3</definedName>
    <definedName name="sr">#REF!</definedName>
    <definedName name="SRAi">[67]Sheet2!$H$122</definedName>
    <definedName name="SRAii">[67]Sheet2!$H$153</definedName>
    <definedName name="sri" localSheetId="21">[175]m!$D$149</definedName>
    <definedName name="sri" localSheetId="9">[175]m!$D$149</definedName>
    <definedName name="sri" localSheetId="4">[175]m!$D$149</definedName>
    <definedName name="sri" localSheetId="8">[175]m!$D$149</definedName>
    <definedName name="sri">#REF!</definedName>
    <definedName name="srinu" localSheetId="21">[175]m!$M$3</definedName>
    <definedName name="srinu" localSheetId="9">[175]m!$M$3</definedName>
    <definedName name="srinu" localSheetId="4">[175]m!$M$3</definedName>
    <definedName name="srinu" localSheetId="8">[175]m!$M$3</definedName>
    <definedName name="srinu">#REF!</definedName>
    <definedName name="SRVi">[67]Sheet2!$H$131</definedName>
    <definedName name="SRVii">[67]Sheet2!$H$161</definedName>
    <definedName name="ss" localSheetId="21">[200]Lead!$N$15</definedName>
    <definedName name="ss" localSheetId="9">[200]Lead!$N$15</definedName>
    <definedName name="ss" localSheetId="4">[200]Lead!$N$15</definedName>
    <definedName name="ss" localSheetId="10">#REF!</definedName>
    <definedName name="ss" localSheetId="8">[200]Lead!$N$15</definedName>
    <definedName name="ss" localSheetId="7">#REF!</definedName>
    <definedName name="ss">#REF!</definedName>
    <definedName name="ss_pipes" localSheetId="21">#REF!</definedName>
    <definedName name="ss_pipes" localSheetId="9">#REF!</definedName>
    <definedName name="ss_pipes" localSheetId="4">#REF!</definedName>
    <definedName name="ss_pipes" localSheetId="8">#REF!</definedName>
    <definedName name="ss_pipes">#REF!</definedName>
    <definedName name="ss_railing" localSheetId="21">#REF!</definedName>
    <definedName name="ss_railing" localSheetId="9">#REF!</definedName>
    <definedName name="ss_railing" localSheetId="4">#REF!</definedName>
    <definedName name="ss_railing" localSheetId="8">#REF!</definedName>
    <definedName name="ss_railing">#REF!</definedName>
    <definedName name="ssand" localSheetId="23">#REF!</definedName>
    <definedName name="ssand" localSheetId="46">#REF!</definedName>
    <definedName name="ssand" localSheetId="47">#REF!</definedName>
    <definedName name="ssand" localSheetId="40">#REF!</definedName>
    <definedName name="ssand" localSheetId="44">#REF!</definedName>
    <definedName name="ssand" localSheetId="45">#REF!</definedName>
    <definedName name="ssand" localSheetId="21">#REF!</definedName>
    <definedName name="ssand" localSheetId="9">#REF!</definedName>
    <definedName name="ssand" localSheetId="4">#REF!</definedName>
    <definedName name="ssand" localSheetId="24">#REF!</definedName>
    <definedName name="ssand" localSheetId="43">#REF!</definedName>
    <definedName name="ssand" localSheetId="8">#REF!</definedName>
    <definedName name="ssand" localSheetId="52">#REF!</definedName>
    <definedName name="ssand" localSheetId="7">#REF!</definedName>
    <definedName name="ssand">#REF!</definedName>
    <definedName name="SSB">#REF!</definedName>
    <definedName name="SSC">#REF!</definedName>
    <definedName name="SSF">#REF!</definedName>
    <definedName name="SSR">#REF!</definedName>
    <definedName name="SSR_Year">[201]LEADS!$AD$1</definedName>
    <definedName name="SSROHCP">#REF!</definedName>
    <definedName name="SSRYEAR">#REF!</definedName>
    <definedName name="sss" localSheetId="21">#REF!</definedName>
    <definedName name="sss" localSheetId="9">#REF!</definedName>
    <definedName name="sss" localSheetId="4">#REF!</definedName>
    <definedName name="sss" localSheetId="10">#REF!</definedName>
    <definedName name="sss" localSheetId="8">#REF!</definedName>
    <definedName name="sss" localSheetId="52">#REF!</definedName>
    <definedName name="sss" localSheetId="7">#REF!</definedName>
    <definedName name="sss">#REF!</definedName>
    <definedName name="SSSSS">#REF!</definedName>
    <definedName name="sssssssssssssssssssss">#REF!</definedName>
    <definedName name="SSSSSSSSSSSSSSSSSSSSSSSSSSSSSSSSSSSSSSSSS">#REF!</definedName>
    <definedName name="ssssssssssssssssssssssssssssssssssssssssssssss">#REF!</definedName>
    <definedName name="st" localSheetId="21">#REF!</definedName>
    <definedName name="st" localSheetId="9">#REF!</definedName>
    <definedName name="st" localSheetId="4">#REF!</definedName>
    <definedName name="st" localSheetId="8">#REF!</definedName>
    <definedName name="st">#REF!</definedName>
    <definedName name="stack" localSheetId="23">#REF!</definedName>
    <definedName name="stack" localSheetId="46">#REF!</definedName>
    <definedName name="stack" localSheetId="47">#REF!</definedName>
    <definedName name="stack" localSheetId="40">#REF!</definedName>
    <definedName name="stack" localSheetId="44">#REF!</definedName>
    <definedName name="stack" localSheetId="45">#REF!</definedName>
    <definedName name="stack" localSheetId="21">#REF!</definedName>
    <definedName name="stack" localSheetId="39">#REF!</definedName>
    <definedName name="stack" localSheetId="9">#REF!</definedName>
    <definedName name="stack" localSheetId="4">#REF!</definedName>
    <definedName name="stack" localSheetId="24">#REF!</definedName>
    <definedName name="stack" localSheetId="34">#REF!</definedName>
    <definedName name="stack" localSheetId="10">#REF!</definedName>
    <definedName name="stack" localSheetId="43">#REF!</definedName>
    <definedName name="stack" localSheetId="8">#REF!</definedName>
    <definedName name="stack" localSheetId="33">#REF!</definedName>
    <definedName name="stack" localSheetId="17">#REF!</definedName>
    <definedName name="stack" localSheetId="16">#REF!</definedName>
    <definedName name="stack" localSheetId="12">#REF!</definedName>
    <definedName name="stack" localSheetId="14">#REF!</definedName>
    <definedName name="stack" localSheetId="1">#REF!</definedName>
    <definedName name="stack" localSheetId="13">#REF!</definedName>
    <definedName name="stack" localSheetId="35">#REF!</definedName>
    <definedName name="stack" localSheetId="36">#REF!</definedName>
    <definedName name="stack" localSheetId="52">#REF!</definedName>
    <definedName name="stack" localSheetId="7">#REF!</definedName>
    <definedName name="stack" localSheetId="30">#REF!</definedName>
    <definedName name="stack" localSheetId="15">#REF!</definedName>
    <definedName name="stack" localSheetId="11">#REF!</definedName>
    <definedName name="stack" localSheetId="2">#REF!</definedName>
    <definedName name="stack" localSheetId="0">#REF!</definedName>
    <definedName name="stack">#REF!</definedName>
    <definedName name="stack1" localSheetId="23">#REF!</definedName>
    <definedName name="stack1" localSheetId="46">#REF!</definedName>
    <definedName name="stack1" localSheetId="47">#REF!</definedName>
    <definedName name="stack1" localSheetId="40">#REF!</definedName>
    <definedName name="stack1" localSheetId="44">#REF!</definedName>
    <definedName name="stack1" localSheetId="45">#REF!</definedName>
    <definedName name="stack1" localSheetId="21">#REF!</definedName>
    <definedName name="stack1" localSheetId="39">#REF!</definedName>
    <definedName name="stack1" localSheetId="9">#REF!</definedName>
    <definedName name="stack1" localSheetId="4">#REF!</definedName>
    <definedName name="stack1" localSheetId="24">#REF!</definedName>
    <definedName name="stack1" localSheetId="34">#REF!</definedName>
    <definedName name="stack1" localSheetId="10">#REF!</definedName>
    <definedName name="stack1" localSheetId="43">#REF!</definedName>
    <definedName name="stack1" localSheetId="8">#REF!</definedName>
    <definedName name="stack1" localSheetId="33">#REF!</definedName>
    <definedName name="stack1" localSheetId="17">#REF!</definedName>
    <definedName name="stack1" localSheetId="16">#REF!</definedName>
    <definedName name="stack1" localSheetId="12">#REF!</definedName>
    <definedName name="stack1" localSheetId="14">#REF!</definedName>
    <definedName name="stack1" localSheetId="1">#REF!</definedName>
    <definedName name="stack1" localSheetId="13">#REF!</definedName>
    <definedName name="stack1" localSheetId="35">#REF!</definedName>
    <definedName name="stack1" localSheetId="36">#REF!</definedName>
    <definedName name="stack1" localSheetId="52">#REF!</definedName>
    <definedName name="stack1" localSheetId="7">#REF!</definedName>
    <definedName name="stack1" localSheetId="30">#REF!</definedName>
    <definedName name="stack1" localSheetId="15">#REF!</definedName>
    <definedName name="stack1" localSheetId="11">#REF!</definedName>
    <definedName name="stack1" localSheetId="2">#REF!</definedName>
    <definedName name="stack1" localSheetId="0">#REF!</definedName>
    <definedName name="stack1">#REF!</definedName>
    <definedName name="stack4" localSheetId="23">#REF!</definedName>
    <definedName name="stack4" localSheetId="46">#REF!</definedName>
    <definedName name="stack4" localSheetId="47">#REF!</definedName>
    <definedName name="stack4" localSheetId="40">#REF!</definedName>
    <definedName name="stack4" localSheetId="44">#REF!</definedName>
    <definedName name="stack4" localSheetId="45">#REF!</definedName>
    <definedName name="stack4" localSheetId="21">#REF!</definedName>
    <definedName name="stack4" localSheetId="39">#REF!</definedName>
    <definedName name="stack4" localSheetId="9">#REF!</definedName>
    <definedName name="stack4" localSheetId="4">#REF!</definedName>
    <definedName name="stack4" localSheetId="24">#REF!</definedName>
    <definedName name="stack4" localSheetId="34">#REF!</definedName>
    <definedName name="stack4" localSheetId="10">#REF!</definedName>
    <definedName name="stack4" localSheetId="43">#REF!</definedName>
    <definedName name="stack4" localSheetId="8">#REF!</definedName>
    <definedName name="stack4" localSheetId="33">#REF!</definedName>
    <definedName name="stack4" localSheetId="17">#REF!</definedName>
    <definedName name="stack4" localSheetId="16">#REF!</definedName>
    <definedName name="stack4" localSheetId="12">#REF!</definedName>
    <definedName name="stack4" localSheetId="14">#REF!</definedName>
    <definedName name="stack4" localSheetId="1">#REF!</definedName>
    <definedName name="stack4" localSheetId="13">#REF!</definedName>
    <definedName name="stack4" localSheetId="35">#REF!</definedName>
    <definedName name="stack4" localSheetId="36">#REF!</definedName>
    <definedName name="stack4" localSheetId="52">#REF!</definedName>
    <definedName name="stack4" localSheetId="7">#REF!</definedName>
    <definedName name="stack4" localSheetId="30">#REF!</definedName>
    <definedName name="stack4" localSheetId="15">#REF!</definedName>
    <definedName name="stack4" localSheetId="11">#REF!</definedName>
    <definedName name="stack4" localSheetId="2">#REF!</definedName>
    <definedName name="stack4" localSheetId="0">#REF!</definedName>
    <definedName name="stack4">#REF!</definedName>
    <definedName name="stacking" localSheetId="4">#REF!</definedName>
    <definedName name="stacking">#REF!</definedName>
    <definedName name="staf" localSheetId="21">[202]v!#REF!</definedName>
    <definedName name="staf" localSheetId="9">[202]v!#REF!</definedName>
    <definedName name="staf" localSheetId="4">[203]v!#REF!</definedName>
    <definedName name="staf" localSheetId="10">#REF!</definedName>
    <definedName name="staf" localSheetId="8">[202]v!#REF!</definedName>
    <definedName name="staf" localSheetId="7">#REF!</definedName>
    <definedName name="staf">#REF!</definedName>
    <definedName name="staff" localSheetId="21">[204]v!#REF!</definedName>
    <definedName name="staff" localSheetId="9">[204]v!#REF!</definedName>
    <definedName name="staff" localSheetId="4">[204]v!#REF!</definedName>
    <definedName name="staff" localSheetId="8">[204]v!#REF!</definedName>
    <definedName name="staff">#REF!</definedName>
    <definedName name="State" localSheetId="10">#REF!</definedName>
    <definedName name="State">#REF!</definedName>
    <definedName name="STEEL" localSheetId="23">#REF!</definedName>
    <definedName name="STEEL" localSheetId="46">#REF!</definedName>
    <definedName name="STEEL" localSheetId="47">#REF!</definedName>
    <definedName name="STEEL" localSheetId="40">#REF!</definedName>
    <definedName name="STEEL" localSheetId="44">#REF!</definedName>
    <definedName name="STEEL" localSheetId="45">#REF!</definedName>
    <definedName name="STEEL" localSheetId="21">#REF!</definedName>
    <definedName name="STEEL" localSheetId="9">#REF!</definedName>
    <definedName name="STEEL" localSheetId="4">#REF!</definedName>
    <definedName name="STEEL" localSheetId="24">#REF!</definedName>
    <definedName name="STEEL" localSheetId="43">#REF!</definedName>
    <definedName name="STEEL" localSheetId="8">#REF!</definedName>
    <definedName name="STEEL" localSheetId="52">#REF!</definedName>
    <definedName name="STEEL" localSheetId="7">#REF!</definedName>
    <definedName name="STEEL">#REF!</definedName>
    <definedName name="steel_hysd" localSheetId="21">#REF!</definedName>
    <definedName name="steel_hysd" localSheetId="9">#REF!</definedName>
    <definedName name="steel_hysd" localSheetId="4">#REF!</definedName>
    <definedName name="steel_hysd" localSheetId="8">#REF!</definedName>
    <definedName name="steel_hysd">#REF!</definedName>
    <definedName name="steel_mildbar" localSheetId="21">#REF!</definedName>
    <definedName name="steel_mildbar" localSheetId="9">#REF!</definedName>
    <definedName name="steel_mildbar" localSheetId="4">#REF!</definedName>
    <definedName name="steel_mildbar" localSheetId="8">#REF!</definedName>
    <definedName name="steel_mildbar">#REF!</definedName>
    <definedName name="steelcenA" localSheetId="21">#REF!</definedName>
    <definedName name="steelcenA" localSheetId="9">#REF!</definedName>
    <definedName name="steelcenA" localSheetId="4">#REF!</definedName>
    <definedName name="steelcenA" localSheetId="8">#REF!</definedName>
    <definedName name="steelcenA">#REF!</definedName>
    <definedName name="steelcenB" localSheetId="21">#REF!</definedName>
    <definedName name="steelcenB" localSheetId="9">#REF!</definedName>
    <definedName name="steelcenB" localSheetId="4">#REF!</definedName>
    <definedName name="steelcenB" localSheetId="8">#REF!</definedName>
    <definedName name="steelcenB">#REF!</definedName>
    <definedName name="steelcenpb" localSheetId="21">#REF!</definedName>
    <definedName name="steelcenpb" localSheetId="9">#REF!</definedName>
    <definedName name="steelcenpb" localSheetId="4">#REF!</definedName>
    <definedName name="steelcenpb" localSheetId="8">#REF!</definedName>
    <definedName name="steelcenpb">#REF!</definedName>
    <definedName name="sth">#REF!</definedName>
    <definedName name="stock">#REF!</definedName>
    <definedName name="STONE" localSheetId="23">#REF!</definedName>
    <definedName name="STONE" localSheetId="46">#REF!</definedName>
    <definedName name="STONE" localSheetId="47">#REF!</definedName>
    <definedName name="STONE" localSheetId="40">#REF!</definedName>
    <definedName name="STONE" localSheetId="44">#REF!</definedName>
    <definedName name="STONE" localSheetId="45">#REF!</definedName>
    <definedName name="STONE" localSheetId="21">#REF!</definedName>
    <definedName name="STONE" localSheetId="9">#REF!</definedName>
    <definedName name="STONE" localSheetId="4">#REF!</definedName>
    <definedName name="STONE" localSheetId="24">#REF!</definedName>
    <definedName name="STONE" localSheetId="43">#REF!</definedName>
    <definedName name="STONE" localSheetId="8">#REF!</definedName>
    <definedName name="STONE" localSheetId="52">#REF!</definedName>
    <definedName name="STONE" localSheetId="7">#REF!</definedName>
    <definedName name="STONE">#REF!</definedName>
    <definedName name="STONEDUST" localSheetId="23">#REF!</definedName>
    <definedName name="STONEDUST" localSheetId="46">#REF!</definedName>
    <definedName name="STONEDUST" localSheetId="47">#REF!</definedName>
    <definedName name="STONEDUST" localSheetId="40">#REF!</definedName>
    <definedName name="STONEDUST" localSheetId="44">#REF!</definedName>
    <definedName name="STONEDUST" localSheetId="45">#REF!</definedName>
    <definedName name="STONEDUST" localSheetId="21">#REF!</definedName>
    <definedName name="STONEDUST" localSheetId="9">#REF!</definedName>
    <definedName name="STONEDUST" localSheetId="4">#REF!</definedName>
    <definedName name="STONEDUST" localSheetId="24">#REF!</definedName>
    <definedName name="STONEDUST" localSheetId="43">#REF!</definedName>
    <definedName name="STONEDUST" localSheetId="8">#REF!</definedName>
    <definedName name="STONEDUST" localSheetId="52">#REF!</definedName>
    <definedName name="STONEDUST" localSheetId="7">#REF!</definedName>
    <definedName name="STONEDUST">#REF!</definedName>
    <definedName name="stoneld">#REF!</definedName>
    <definedName name="str_steel" localSheetId="21">#REF!</definedName>
    <definedName name="str_steel" localSheetId="9">#REF!</definedName>
    <definedName name="str_steel" localSheetId="4">#REF!</definedName>
    <definedName name="str_steel" localSheetId="8">#REF!</definedName>
    <definedName name="str_steel">#REF!</definedName>
    <definedName name="str_steel_plates" localSheetId="21">#REF!</definedName>
    <definedName name="str_steel_plates" localSheetId="9">#REF!</definedName>
    <definedName name="str_steel_plates" localSheetId="4">#REF!</definedName>
    <definedName name="str_steel_plates" localSheetId="8">#REF!</definedName>
    <definedName name="str_steel_plates">#REF!</definedName>
    <definedName name="StreamDS">#REF!</definedName>
    <definedName name="StreamUS">#REF!</definedName>
    <definedName name="Struc">#REF!</definedName>
    <definedName name="stth">#REF!</definedName>
    <definedName name="subbaiah">#REF!</definedName>
    <definedName name="subbu" localSheetId="21">#REF!</definedName>
    <definedName name="subbu" localSheetId="9">#REF!</definedName>
    <definedName name="subbu" localSheetId="4">#REF!</definedName>
    <definedName name="subbu" localSheetId="8">#REF!</definedName>
    <definedName name="subbu">#REF!</definedName>
    <definedName name="summar" localSheetId="21">[98]data!#REF!</definedName>
    <definedName name="summar" localSheetId="9">[98]data!#REF!</definedName>
    <definedName name="summar" localSheetId="4">[98]data!#REF!</definedName>
    <definedName name="summar" localSheetId="8">[98]data!#REF!</definedName>
    <definedName name="summar">#REF!</definedName>
    <definedName name="summary" localSheetId="21">[98]data!#REF!</definedName>
    <definedName name="summary" localSheetId="9">[98]data!#REF!</definedName>
    <definedName name="summary" localSheetId="4">[98]data!#REF!</definedName>
    <definedName name="summary" localSheetId="8">[98]data!#REF!</definedName>
    <definedName name="summary">#REF!</definedName>
    <definedName name="sun" localSheetId="21">[81]DATA_PRG!$H$180</definedName>
    <definedName name="sun" localSheetId="9">[81]DATA_PRG!$H$180</definedName>
    <definedName name="sun" localSheetId="4">[81]DATA_PRG!$H$180</definedName>
    <definedName name="sun" localSheetId="8">[81]DATA_PRG!$H$180</definedName>
    <definedName name="sun">#REF!</definedName>
    <definedName name="Sun_Sheads_75_mm_Thick" localSheetId="4">'[58]DATA SHEET FOR 2014-15'!#REF!</definedName>
    <definedName name="Sun_Sheads_75_mm_Thick">'[58]DATA SHEET FOR 2014-15'!#REF!</definedName>
    <definedName name="sunshade_width" localSheetId="21">'[77]data existing_do not delete'!$A$98:$A$100</definedName>
    <definedName name="sunshade_width" localSheetId="9">'[77]data existing_do not delete'!$A$98:$A$100</definedName>
    <definedName name="sunshade_width" localSheetId="4">'[77]data existing_do not delete'!$A$98:$A$100</definedName>
    <definedName name="sunshade_width" localSheetId="8">'[77]data existing_do not delete'!$A$98:$A$100</definedName>
    <definedName name="sunshade_width">#REF!</definedName>
    <definedName name="supervisor" localSheetId="4">#REF!</definedName>
    <definedName name="supervisor">#REF!</definedName>
    <definedName name="Supply_and_erecting_wall_mounting_fan_400mm__16_____450_mm__18___sweep_A.C._50Hz.._1350_r.p.m_oscillating_type_with_regulator." localSheetId="4">'[58]DATA SHEET FOR 2014-15'!#REF!</definedName>
    <definedName name="Supply_and_erecting_wall_mounting_fan_400mm__16_____450_mm__18___sweep_A.C._50Hz.._1350_r.p.m_oscillating_type_with_regulator.">'[58]DATA SHEET FOR 2014-15'!#REF!</definedName>
    <definedName name="Supplying___Fixing_Indian_pattern_white_glazed_W.C_1st_quality_ISI_marked_conforming_to_IS_2556_Part_3_1981_with__P__or__S__trap_Hindware__Parryware__Neycer___ISI_Mark__630_mm_Long" localSheetId="4">'[58]DATA SHEET FOR 2014-15'!#REF!</definedName>
    <definedName name="Supplying___Fixing_Indian_pattern_white_glazed_W.C_1st_quality_ISI_marked_conforming_to_IS_2556_Part_3_1981_with__P__or__S__trap_Hindware__Parryware__Neycer___ISI_Mark__630_mm_Long">'[58]DATA SHEET FOR 2014-15'!#REF!</definedName>
    <definedName name="Supplying__fitting_and_placing_HYSD_bar_reinforcement_in_foundation_complete_as_per_drawings_and_technical_specifications_for_Bars_below_36_mm_dia_including_over_laps_and_wastage__where_they_are_not_welded" localSheetId="4">'[58]DATA SHEET FOR 2014-15'!#REF!</definedName>
    <definedName name="Supplying__fitting_and_placing_HYSD_bar_reinforcement_in_foundation_complete_as_per_drawings_and_technical_specifications_for_Bars_below_36_mm_dia_including_over_laps_and_wastage__where_they_are_not_welded">'[58]DATA SHEET FOR 2014-15'!#REF!</definedName>
    <definedName name="Supplying_and_filling_Gravel_in_basecoat_with_initial_lead_in_layer__not_exceeding_15_Cm_thick_consolidating_each_deposited_layer_by_watering_and__ramping_including_cost_and_conveyance_of_water_to_work_site_and_all_operational_incidental_labour_charges_hi" localSheetId="4">'[58]DATA SHEET FOR 2014-15'!#REF!</definedName>
    <definedName name="Supplying_and_filling_Gravel_in_basecoat_with_initial_lead_in_layer__not_exceeding_15_Cm_thick_consolidating_each_deposited_layer_by_watering_and__ramping_including_cost_and_conveyance_of_water_to_work_site_and_all_operational_incidental_labour_charges_hi">'[58]DATA SHEET FOR 2014-15'!#REF!</definedName>
    <definedName name="Supplying_and_filling_Quarry_Rubbish__in_basecoat_with_initial_lead_in_layer__not_exceeding_15_Cm_thick_consolidating_each_deposited_layer_by_watering_and__ramping_including_cost_and_conveyance_of_water_to_work_site_and_all_operational_incidental_labour_c">'[58]DATA SHEET FOR 2014-15'!#REF!</definedName>
    <definedName name="Supplying_and_fixing_TV_shape_mirror_with_plastic_frame_size_609.6_mm_x_457_.2_mm" localSheetId="4">'[58]DATA SHEET FOR 2014-15'!#REF!</definedName>
    <definedName name="Supplying_and_fixing_TV_shape_mirror_with_plastic_frame_size_609.6_mm_x_457_.2_mm">'[58]DATA SHEET FOR 2014-15'!#REF!</definedName>
    <definedName name="suryacem_paint" localSheetId="21">#REF!</definedName>
    <definedName name="suryacem_paint" localSheetId="9">#REF!</definedName>
    <definedName name="suryacem_paint" localSheetId="4">#REF!</definedName>
    <definedName name="suryacem_paint" localSheetId="8">#REF!</definedName>
    <definedName name="suryacem_paint">#REF!</definedName>
    <definedName name="sw" localSheetId="21">[106]Lead!#REF!</definedName>
    <definedName name="sw" localSheetId="9">[106]Lead!#REF!</definedName>
    <definedName name="sw" localSheetId="4">[106]Lead!#REF!</definedName>
    <definedName name="sw" localSheetId="10">#REF!</definedName>
    <definedName name="sw" localSheetId="8">[106]Lead!#REF!</definedName>
    <definedName name="sw">#REF!</definedName>
    <definedName name="swc">#REF!</definedName>
    <definedName name="swci">#REF!</definedName>
    <definedName name="t" localSheetId="21">[129]Labour!$D$5</definedName>
    <definedName name="t" localSheetId="9">[129]Labour!$D$5</definedName>
    <definedName name="t" localSheetId="4">#REF!</definedName>
    <definedName name="T" localSheetId="10" hidden="1">{"'ridftotal'!$A$4:$S$27"}</definedName>
    <definedName name="t" localSheetId="8">[129]Labour!$D$5</definedName>
    <definedName name="T" hidden="1">{"'ridftotal'!$A$4:$S$27"}</definedName>
    <definedName name="t_beam" localSheetId="21">[81]DATA_PRG!$H$166</definedName>
    <definedName name="t_beam" localSheetId="9">[81]DATA_PRG!$H$166</definedName>
    <definedName name="t_beam" localSheetId="4">[81]DATA_PRG!$H$166</definedName>
    <definedName name="t_beam" localSheetId="8">[81]DATA_PRG!$H$166</definedName>
    <definedName name="t_beam">#REF!</definedName>
    <definedName name="Table_A2___Road_Sections__as_given_in_Terms_of_Reference__Not_Used_In_The_Study" localSheetId="21">'[68]R99 etc'!$A$1:$L$142</definedName>
    <definedName name="Table_A2___Road_Sections__as_given_in_Terms_of_Reference__Not_Used_In_The_Study" localSheetId="9">'[68]R99 etc'!$A$1:$L$142</definedName>
    <definedName name="Table_A2___Road_Sections__as_given_in_Terms_of_Reference__Not_Used_In_The_Study" localSheetId="4">'[68]R99 etc'!$A$1:$L$142</definedName>
    <definedName name="Table_A2___Road_Sections__as_given_in_Terms_of_Reference__Not_Used_In_The_Study" localSheetId="8">'[68]R99 etc'!$A$1:$L$142</definedName>
    <definedName name="Table_A2___Road_Sections__as_given_in_Terms_of_Reference__Not_Used_In_The_Study">#REF!</definedName>
    <definedName name="Table1" localSheetId="21">#REF!</definedName>
    <definedName name="Table1" localSheetId="9">#REF!</definedName>
    <definedName name="Table1" localSheetId="4">#REF!</definedName>
    <definedName name="Table1" localSheetId="10">#REF!</definedName>
    <definedName name="Table1" localSheetId="8">#REF!</definedName>
    <definedName name="Table1">#REF!</definedName>
    <definedName name="Table2" localSheetId="21">#REF!</definedName>
    <definedName name="Table2" localSheetId="9">#REF!</definedName>
    <definedName name="Table2" localSheetId="4">#REF!</definedName>
    <definedName name="Table2" localSheetId="10">#REF!</definedName>
    <definedName name="Table2" localSheetId="8">#REF!</definedName>
    <definedName name="Table2">#REF!</definedName>
    <definedName name="Table3" localSheetId="21">#REF!</definedName>
    <definedName name="Table3" localSheetId="9">#REF!</definedName>
    <definedName name="Table3" localSheetId="4">#REF!</definedName>
    <definedName name="Table3" localSheetId="10">#REF!</definedName>
    <definedName name="Table3" localSheetId="8">#REF!</definedName>
    <definedName name="Table3">#REF!</definedName>
    <definedName name="Table4" localSheetId="21">#REF!</definedName>
    <definedName name="Table4" localSheetId="9">#REF!</definedName>
    <definedName name="Table4" localSheetId="4">#REF!</definedName>
    <definedName name="Table4" localSheetId="10">#REF!</definedName>
    <definedName name="Table4" localSheetId="8">#REF!</definedName>
    <definedName name="Table4">#REF!</definedName>
    <definedName name="TAEW">#REF!</definedName>
    <definedName name="tailpiece" localSheetId="21">[18]maya!$B$343:$B$348</definedName>
    <definedName name="tailpiece" localSheetId="9">[18]maya!$B$343:$B$348</definedName>
    <definedName name="tailpiece" localSheetId="4">[18]maya!$B$343:$B$348</definedName>
    <definedName name="tailpiece" localSheetId="8">[18]maya!$B$343:$B$348</definedName>
    <definedName name="tailpiece">#REF!</definedName>
    <definedName name="TapSpecials">#REF!</definedName>
    <definedName name="tas">#REF!</definedName>
    <definedName name="TAWBM">#REF!</definedName>
    <definedName name="Tb">[67]Sheet2!$F$37</definedName>
    <definedName name="tbiiv0" localSheetId="21">#REF!</definedName>
    <definedName name="tbiiv0" localSheetId="9">#REF!</definedName>
    <definedName name="tbiiv0" localSheetId="4">#REF!</definedName>
    <definedName name="tbiiv0" localSheetId="8">#REF!</definedName>
    <definedName name="tbiiv0">#REF!</definedName>
    <definedName name="tbiv0" localSheetId="21">#REF!</definedName>
    <definedName name="tbiv0" localSheetId="9">#REF!</definedName>
    <definedName name="tbiv0" localSheetId="4">#REF!</definedName>
    <definedName name="tbiv0" localSheetId="8">#REF!</definedName>
    <definedName name="tbiv0">#REF!</definedName>
    <definedName name="tbl_ProdInfo" localSheetId="21" hidden="1">#REF!</definedName>
    <definedName name="tbl_ProdInfo" localSheetId="9" hidden="1">#REF!</definedName>
    <definedName name="tbl_ProdInfo" localSheetId="4" hidden="1">#REF!</definedName>
    <definedName name="tbl_ProdInfo" localSheetId="10" hidden="1">#REF!</definedName>
    <definedName name="tbl_ProdInfo" localSheetId="8" hidden="1">#REF!</definedName>
    <definedName name="tbl_ProdInfo" hidden="1">#REF!</definedName>
    <definedName name="tcan1">#REF!</definedName>
    <definedName name="tcan2">#REF!</definedName>
    <definedName name="td">#REF!</definedName>
    <definedName name="tdeck">#REF!</definedName>
    <definedName name="TECV">#REF!</definedName>
    <definedName name="temp" localSheetId="21">[10]r!$F$2</definedName>
    <definedName name="temp" localSheetId="9">[10]r!$F$2</definedName>
    <definedName name="temp" localSheetId="4">[4]r!$F$2</definedName>
    <definedName name="temp" localSheetId="10">#REF!</definedName>
    <definedName name="temp" localSheetId="8">[10]r!$F$2</definedName>
    <definedName name="temp" localSheetId="7">#REF!</definedName>
    <definedName name="temp">#REF!</definedName>
    <definedName name="ten" localSheetId="21">#REF!</definedName>
    <definedName name="ten" localSheetId="9">#REF!</definedName>
    <definedName name="ten" localSheetId="4">#REF!</definedName>
    <definedName name="ten" localSheetId="8">#REF!</definedName>
    <definedName name="ten">#REF!</definedName>
    <definedName name="ter" localSheetId="21">[205]r!$F$2</definedName>
    <definedName name="ter" localSheetId="9">[205]r!$F$2</definedName>
    <definedName name="ter" localSheetId="4">[205]r!$F$2</definedName>
    <definedName name="ter" localSheetId="8">[205]r!$F$2</definedName>
    <definedName name="ter">#REF!</definedName>
    <definedName name="tf">#REF!</definedName>
    <definedName name="TGY" localSheetId="21">[119]Material!$D$130</definedName>
    <definedName name="TGY" localSheetId="9">[119]Material!$D$130</definedName>
    <definedName name="TGY" localSheetId="4">[119]Material!$D$130</definedName>
    <definedName name="TGY" localSheetId="10">#REF!</definedName>
    <definedName name="TGY" localSheetId="8">[119]Material!$D$130</definedName>
    <definedName name="TGY">#REF!</definedName>
    <definedName name="th">#REF!</definedName>
    <definedName name="thjj" localSheetId="21">[73]Labour!$D$22</definedName>
    <definedName name="thjj" localSheetId="9">[73]Labour!$D$22</definedName>
    <definedName name="thjj" localSheetId="4">[73]Labour!$D$22</definedName>
    <definedName name="thjj" localSheetId="8">[73]Labour!$D$22</definedName>
    <definedName name="thjj">#REF!</definedName>
    <definedName name="timber">#REF!</definedName>
    <definedName name="TL" localSheetId="21">'[83]MTC-estimate'!$C$6</definedName>
    <definedName name="TL" localSheetId="9">'[83]MTC-estimate'!$C$6</definedName>
    <definedName name="TL" localSheetId="4">'[83]MTC-estimate'!$C$6</definedName>
    <definedName name="TL" localSheetId="8">'[83]MTC-estimate'!$C$6</definedName>
    <definedName name="TL">#REF!</definedName>
    <definedName name="tm">#REF!</definedName>
    <definedName name="TOPDOME" localSheetId="21">'[95]DATA-ABSTRACT'!$A$11:$B$13</definedName>
    <definedName name="TOPDOME" localSheetId="9">'[95]DATA-ABSTRACT'!$A$11:$B$13</definedName>
    <definedName name="TOPDOME" localSheetId="4">'[95]DATA-ABSTRACT'!$A$11:$B$13</definedName>
    <definedName name="TOPDOME" localSheetId="8">'[95]DATA-ABSTRACT'!$A$11:$B$13</definedName>
    <definedName name="TOPDOME">#REF!</definedName>
    <definedName name="TOPDOMEONETOSIX" localSheetId="21">#REF!</definedName>
    <definedName name="TOPDOMEONETOSIX" localSheetId="9">#REF!</definedName>
    <definedName name="TOPDOMEONETOSIX" localSheetId="4">#REF!</definedName>
    <definedName name="TOPDOMEONETOSIX" localSheetId="10">#REF!</definedName>
    <definedName name="TOPDOMEONETOSIX" localSheetId="8">#REF!</definedName>
    <definedName name="TOPDOMEONETOSIX">#REF!</definedName>
    <definedName name="TOPDOMESEVENTOTHIRTEEN" localSheetId="21">#REF!</definedName>
    <definedName name="TOPDOMESEVENTOTHIRTEEN" localSheetId="9">#REF!</definedName>
    <definedName name="TOPDOMESEVENTOTHIRTEEN" localSheetId="4">#REF!</definedName>
    <definedName name="TOPDOMESEVENTOTHIRTEEN" localSheetId="10">#REF!</definedName>
    <definedName name="TOPDOMESEVENTOTHIRTEEN" localSheetId="8">#REF!</definedName>
    <definedName name="TOPDOMESEVENTOTHIRTEEN">#REF!</definedName>
    <definedName name="TOPRINGGIRDERONETOSIX" localSheetId="21">#REF!</definedName>
    <definedName name="TOPRINGGIRDERONETOSIX" localSheetId="9">#REF!</definedName>
    <definedName name="TOPRINGGIRDERONETOSIX" localSheetId="4">#REF!</definedName>
    <definedName name="TOPRINGGIRDERONETOSIX" localSheetId="10">#REF!</definedName>
    <definedName name="TOPRINGGIRDERONETOSIX" localSheetId="8">#REF!</definedName>
    <definedName name="TOPRINGGIRDERONETOSIX">#REF!</definedName>
    <definedName name="TOPRINGGIRDERSEVENTOTHIRTEEN" localSheetId="21">#REF!</definedName>
    <definedName name="TOPRINGGIRDERSEVENTOTHIRTEEN" localSheetId="9">#REF!</definedName>
    <definedName name="TOPRINGGIRDERSEVENTOTHIRTEEN" localSheetId="4">#REF!</definedName>
    <definedName name="TOPRINGGIRDERSEVENTOTHIRTEEN" localSheetId="10">#REF!</definedName>
    <definedName name="TOPRINGGIRDERSEVENTOTHIRTEEN" localSheetId="8">#REF!</definedName>
    <definedName name="TOPRINGGIRDERSEVENTOTHIRTEEN">#REF!</definedName>
    <definedName name="TOT" localSheetId="21">[206]DATA!$H$20</definedName>
    <definedName name="TOT" localSheetId="9">[206]DATA!$H$20</definedName>
    <definedName name="TOT" localSheetId="4">[207]DATA!$H$20</definedName>
    <definedName name="TOT" localSheetId="8">[206]DATA!$H$20</definedName>
    <definedName name="TOT" localSheetId="7">#REF!</definedName>
    <definedName name="TOT">#REF!</definedName>
    <definedName name="totalpop">#REF!</definedName>
    <definedName name="tp">#REF!</definedName>
    <definedName name="TQEW">#REF!</definedName>
    <definedName name="TQWBM">#REF!</definedName>
    <definedName name="tr">#REF!</definedName>
    <definedName name="TRACTOR" localSheetId="23">#REF!</definedName>
    <definedName name="TRACTOR" localSheetId="46">#REF!</definedName>
    <definedName name="TRACTOR" localSheetId="47">#REF!</definedName>
    <definedName name="TRACTOR" localSheetId="40">#REF!</definedName>
    <definedName name="TRACTOR" localSheetId="44">#REF!</definedName>
    <definedName name="TRACTOR" localSheetId="45">#REF!</definedName>
    <definedName name="TRACTOR" localSheetId="21">#REF!</definedName>
    <definedName name="TRACTOR" localSheetId="9">#REF!</definedName>
    <definedName name="TRACTOR" localSheetId="4">#REF!</definedName>
    <definedName name="TRACTOR" localSheetId="24">#REF!</definedName>
    <definedName name="TRACTOR" localSheetId="43">#REF!</definedName>
    <definedName name="TRACTOR" localSheetId="8">#REF!</definedName>
    <definedName name="TRACTOR" localSheetId="52">#REF!</definedName>
    <definedName name="TRACTOR" localSheetId="7">#REF!</definedName>
    <definedName name="TRACTOR">#REF!</definedName>
    <definedName name="tractor_frm" localSheetId="4">#REF!</definedName>
    <definedName name="tractor_frm">#REF!</definedName>
    <definedName name="TRAFFIC" localSheetId="4">#REF!</definedName>
    <definedName name="TRAFFIC">#REF!</definedName>
    <definedName name="treads_shahbad" localSheetId="21">#REF!</definedName>
    <definedName name="treads_shahbad" localSheetId="9">#REF!</definedName>
    <definedName name="treads_shahbad" localSheetId="4">#REF!</definedName>
    <definedName name="treads_shahbad" localSheetId="8">#REF!</definedName>
    <definedName name="treads_shahbad">#REF!</definedName>
    <definedName name="TREE" localSheetId="23">#REF!</definedName>
    <definedName name="TREE" localSheetId="46">#REF!</definedName>
    <definedName name="TREE" localSheetId="47">#REF!</definedName>
    <definedName name="TREE" localSheetId="40">#REF!</definedName>
    <definedName name="TREE" localSheetId="44">#REF!</definedName>
    <definedName name="TREE" localSheetId="45">#REF!</definedName>
    <definedName name="TREE" localSheetId="21">#REF!</definedName>
    <definedName name="TREE" localSheetId="9">#REF!</definedName>
    <definedName name="TREE" localSheetId="4">#REF!</definedName>
    <definedName name="TREE" localSheetId="24">#REF!</definedName>
    <definedName name="TREE" localSheetId="41">#REF!</definedName>
    <definedName name="TREE" localSheetId="43">#REF!</definedName>
    <definedName name="TREE" localSheetId="8">#REF!</definedName>
    <definedName name="TREE" localSheetId="16">#REF!</definedName>
    <definedName name="TREE" localSheetId="12">#REF!</definedName>
    <definedName name="TREE" localSheetId="14">#REF!</definedName>
    <definedName name="TREE" localSheetId="1">#REF!</definedName>
    <definedName name="TREE" localSheetId="13">#REF!</definedName>
    <definedName name="TREE" localSheetId="52">#REF!</definedName>
    <definedName name="TREE" localSheetId="7">#REF!</definedName>
    <definedName name="TREE" localSheetId="15">#REF!</definedName>
    <definedName name="TREE" localSheetId="11">#REF!</definedName>
    <definedName name="TREE" localSheetId="2">#REF!</definedName>
    <definedName name="TREE" localSheetId="0">#REF!</definedName>
    <definedName name="TREE">#REF!</definedName>
    <definedName name="TRI">#REF!</definedName>
    <definedName name="trt">#REF!</definedName>
    <definedName name="Ts" localSheetId="21">[67]Sheet2!$F$35</definedName>
    <definedName name="Ts" localSheetId="9">[67]Sheet2!$F$35</definedName>
    <definedName name="Ts" localSheetId="4">[67]Sheet2!$F$35</definedName>
    <definedName name="Ts" localSheetId="8">[67]Sheet2!$F$35</definedName>
    <definedName name="Ts">#REF!</definedName>
    <definedName name="tsoffit">#REF!</definedName>
    <definedName name="TSPAN">#REF!</definedName>
    <definedName name="tt" localSheetId="21">[79]r!$F$4</definedName>
    <definedName name="tt" localSheetId="9">[79]r!$F$4</definedName>
    <definedName name="tt" localSheetId="4">[208]r!$F$4</definedName>
    <definedName name="tt" localSheetId="8">[79]r!$F$4</definedName>
    <definedName name="tt" localSheetId="7">#REF!</definedName>
    <definedName name="tt">#REF!</definedName>
    <definedName name="ttttt" localSheetId="21">#REF!</definedName>
    <definedName name="ttttt" localSheetId="9">#REF!</definedName>
    <definedName name="ttttt" localSheetId="4">#REF!</definedName>
    <definedName name="ttttt" localSheetId="8">#REF!</definedName>
    <definedName name="ttttt">#REF!</definedName>
    <definedName name="Tw">[67]Sheet2!$F$36</definedName>
    <definedName name="twbm" localSheetId="21">#REF!</definedName>
    <definedName name="twbm" localSheetId="9">#REF!</definedName>
    <definedName name="twbm" localSheetId="4">#REF!</definedName>
    <definedName name="twbm" localSheetId="10">#REF!</definedName>
    <definedName name="twbm" localSheetId="8">#REF!</definedName>
    <definedName name="twbm">#REF!</definedName>
    <definedName name="tweb">#REF!</definedName>
    <definedName name="Twi">[67]Sheet2!$G$61</definedName>
    <definedName name="u" localSheetId="21">[209]Lead!#REF!</definedName>
    <definedName name="u" localSheetId="9">[209]Lead!#REF!</definedName>
    <definedName name="u" localSheetId="4">[209]Lead!#REF!</definedName>
    <definedName name="u" localSheetId="8">[209]Lead!#REF!</definedName>
    <definedName name="u">#REF!</definedName>
    <definedName name="ui">#REF!</definedName>
    <definedName name="unloading" localSheetId="4">#REF!</definedName>
    <definedName name="unloading">#REF!</definedName>
    <definedName name="Unpaved_Road_Sections_list" localSheetId="21">'[68]Trunk unpaved'!$A$2:$L$235</definedName>
    <definedName name="Unpaved_Road_Sections_list" localSheetId="9">'[68]Trunk unpaved'!$A$2:$L$235</definedName>
    <definedName name="Unpaved_Road_Sections_list" localSheetId="4">'[68]Trunk unpaved'!$A$2:$L$235</definedName>
    <definedName name="Unpaved_Road_Sections_list" localSheetId="8">'[68]Trunk unpaved'!$A$2:$L$235</definedName>
    <definedName name="Unpaved_Road_Sections_list">#REF!</definedName>
    <definedName name="USMFL">#REF!</definedName>
    <definedName name="uuu" localSheetId="21">[210]Labour!$D$18</definedName>
    <definedName name="uuu" localSheetId="9">[210]Labour!$D$18</definedName>
    <definedName name="uuu" localSheetId="4">[211]Labour!$D$18</definedName>
    <definedName name="uuu" localSheetId="8">[210]Labour!$D$18</definedName>
    <definedName name="uuu">#REF!</definedName>
    <definedName name="v" localSheetId="21">[74]Material!$D$89</definedName>
    <definedName name="v" localSheetId="9">[74]Material!$D$89</definedName>
    <definedName name="v" localSheetId="4">[74]Material!$D$89</definedName>
    <definedName name="v" localSheetId="8">[74]Material!$D$89</definedName>
    <definedName name="v">#REF!</definedName>
    <definedName name="vaibrating" localSheetId="4">#REF!</definedName>
    <definedName name="vaibrating">#REF!</definedName>
    <definedName name="Values_Entered">#N/A</definedName>
    <definedName name="valve" localSheetId="21">[18]maya!$A$247:$A$273</definedName>
    <definedName name="valve" localSheetId="9">[18]maya!$A$247:$A$273</definedName>
    <definedName name="valve" localSheetId="4">[18]maya!$A$247:$A$273</definedName>
    <definedName name="valve" localSheetId="8">[18]maya!$A$247:$A$273</definedName>
    <definedName name="valve">#REF!</definedName>
    <definedName name="VALVES">#REF!</definedName>
    <definedName name="var" localSheetId="23">#REF!</definedName>
    <definedName name="var" localSheetId="46">#REF!</definedName>
    <definedName name="var" localSheetId="47">#REF!</definedName>
    <definedName name="var" localSheetId="40">#REF!</definedName>
    <definedName name="var" localSheetId="44">#REF!</definedName>
    <definedName name="var" localSheetId="45">#REF!</definedName>
    <definedName name="var" localSheetId="21">#REF!</definedName>
    <definedName name="var" localSheetId="39">#REF!</definedName>
    <definedName name="var" localSheetId="9">#REF!</definedName>
    <definedName name="var" localSheetId="4">#REF!</definedName>
    <definedName name="var" localSheetId="24">#REF!</definedName>
    <definedName name="var" localSheetId="34">#REF!</definedName>
    <definedName name="var" localSheetId="10">#REF!</definedName>
    <definedName name="var" localSheetId="43">#REF!</definedName>
    <definedName name="var" localSheetId="8">#REF!</definedName>
    <definedName name="var" localSheetId="33">#REF!</definedName>
    <definedName name="var" localSheetId="17">#REF!</definedName>
    <definedName name="var" localSheetId="16">#REF!</definedName>
    <definedName name="var" localSheetId="12">#REF!</definedName>
    <definedName name="var" localSheetId="14">#REF!</definedName>
    <definedName name="var" localSheetId="1">#REF!</definedName>
    <definedName name="var" localSheetId="13">#REF!</definedName>
    <definedName name="var" localSheetId="35">#REF!</definedName>
    <definedName name="var" localSheetId="36">#REF!</definedName>
    <definedName name="var" localSheetId="52">#REF!</definedName>
    <definedName name="var" localSheetId="7">#REF!</definedName>
    <definedName name="var" localSheetId="30">#REF!</definedName>
    <definedName name="var" localSheetId="15">#REF!</definedName>
    <definedName name="var" localSheetId="11">#REF!</definedName>
    <definedName name="var" localSheetId="2">#REF!</definedName>
    <definedName name="var" localSheetId="0">#REF!</definedName>
    <definedName name="var">#REF!</definedName>
    <definedName name="vark" localSheetId="21">#REF!</definedName>
    <definedName name="vark" localSheetId="9">#REF!</definedName>
    <definedName name="vark" localSheetId="4">#REF!</definedName>
    <definedName name="vark" localSheetId="8">#REF!</definedName>
    <definedName name="vark" localSheetId="7">#REF!</definedName>
    <definedName name="vark">#REF!</definedName>
    <definedName name="vat" localSheetId="23">#REF!</definedName>
    <definedName name="vat" localSheetId="46">#REF!</definedName>
    <definedName name="vat" localSheetId="47">#REF!</definedName>
    <definedName name="vat" localSheetId="40">#REF!</definedName>
    <definedName name="vat" localSheetId="44">#REF!</definedName>
    <definedName name="vat" localSheetId="45">#REF!</definedName>
    <definedName name="vat" localSheetId="21">#REF!</definedName>
    <definedName name="vat" localSheetId="39">#REF!</definedName>
    <definedName name="vat" localSheetId="9">#REF!</definedName>
    <definedName name="vat" localSheetId="4">#REF!</definedName>
    <definedName name="vat" localSheetId="24">#REF!</definedName>
    <definedName name="vat" localSheetId="41">#REF!</definedName>
    <definedName name="vat" localSheetId="34">#REF!</definedName>
    <definedName name="vat" localSheetId="10">#REF!</definedName>
    <definedName name="vat" localSheetId="43">#REF!</definedName>
    <definedName name="vat" localSheetId="8">#REF!</definedName>
    <definedName name="vat" localSheetId="33">#REF!</definedName>
    <definedName name="vat" localSheetId="17">#REF!</definedName>
    <definedName name="vat" localSheetId="16">#REF!</definedName>
    <definedName name="vat" localSheetId="12">#REF!</definedName>
    <definedName name="vat" localSheetId="14">#REF!</definedName>
    <definedName name="vat" localSheetId="1">#REF!</definedName>
    <definedName name="vat" localSheetId="13">#REF!</definedName>
    <definedName name="vat" localSheetId="35">#REF!</definedName>
    <definedName name="vat" localSheetId="36">#REF!</definedName>
    <definedName name="vat" localSheetId="52">#REF!</definedName>
    <definedName name="vat" localSheetId="7">#REF!</definedName>
    <definedName name="vat" localSheetId="15">#REF!</definedName>
    <definedName name="vat" localSheetId="11">#REF!</definedName>
    <definedName name="vat" localSheetId="2">#REF!</definedName>
    <definedName name="vat" localSheetId="0">#REF!</definedName>
    <definedName name="vat">#REF!</definedName>
    <definedName name="vat_name" localSheetId="4">#REF!</definedName>
    <definedName name="vat_name">#REF!</definedName>
    <definedName name="vat_rate" localSheetId="4">#REF!</definedName>
    <definedName name="vat_rate">#REF!</definedName>
    <definedName name="vatname" localSheetId="23">#REF!</definedName>
    <definedName name="vatname" localSheetId="46">#REF!</definedName>
    <definedName name="vatname" localSheetId="47">#REF!</definedName>
    <definedName name="vatname" localSheetId="40">#REF!</definedName>
    <definedName name="vatname" localSheetId="44">#REF!</definedName>
    <definedName name="vatname" localSheetId="45">#REF!</definedName>
    <definedName name="vatname" localSheetId="21">#REF!</definedName>
    <definedName name="vatname" localSheetId="9">#REF!</definedName>
    <definedName name="vatname" localSheetId="4">#REF!</definedName>
    <definedName name="vatname" localSheetId="24">#REF!</definedName>
    <definedName name="vatname" localSheetId="41">#REF!</definedName>
    <definedName name="vatname" localSheetId="43">#REF!</definedName>
    <definedName name="vatname" localSheetId="8">#REF!</definedName>
    <definedName name="vatname" localSheetId="16">#REF!</definedName>
    <definedName name="vatname" localSheetId="12">#REF!</definedName>
    <definedName name="vatname" localSheetId="14">#REF!</definedName>
    <definedName name="vatname" localSheetId="1">#REF!</definedName>
    <definedName name="vatname" localSheetId="13">#REF!</definedName>
    <definedName name="vatname" localSheetId="52">#REF!</definedName>
    <definedName name="vatname" localSheetId="7">#REF!</definedName>
    <definedName name="vatname" localSheetId="15">#REF!</definedName>
    <definedName name="vatname" localSheetId="11">#REF!</definedName>
    <definedName name="vatname" localSheetId="2">#REF!</definedName>
    <definedName name="vatname" localSheetId="0">#REF!</definedName>
    <definedName name="vatname">#REF!</definedName>
    <definedName name="VB" localSheetId="21" hidden="1">{"'ridftotal'!$A$4:$S$27"}</definedName>
    <definedName name="VB" localSheetId="9" hidden="1">{"'ridftotal'!$A$4:$S$27"}</definedName>
    <definedName name="VB" localSheetId="4" hidden="1">{"'ridftotal'!$A$4:$S$27"}</definedName>
    <definedName name="VB" localSheetId="10" hidden="1">{"'ridftotal'!$A$4:$S$27"}</definedName>
    <definedName name="VB" localSheetId="8" hidden="1">{"'ridftotal'!$A$4:$S$27"}</definedName>
    <definedName name="VB" hidden="1">{"'ridftotal'!$A$4:$S$27"}</definedName>
    <definedName name="vc" localSheetId="21">#REF!</definedName>
    <definedName name="vc" localSheetId="9">#REF!</definedName>
    <definedName name="vc" localSheetId="4">#REF!</definedName>
    <definedName name="vc" localSheetId="8">#REF!</definedName>
    <definedName name="VC">#REF!</definedName>
    <definedName name="vcc" localSheetId="4">#REF!</definedName>
    <definedName name="vcc">#REF!</definedName>
    <definedName name="VCC_MIX" localSheetId="21">'[77]data existing_do not delete'!$G$20:$G$26</definedName>
    <definedName name="VCC_MIX" localSheetId="9">'[77]data existing_do not delete'!$G$20:$G$26</definedName>
    <definedName name="VCC_MIX" localSheetId="4">'[77]data existing_do not delete'!$G$20:$G$26</definedName>
    <definedName name="VCC_MIX" localSheetId="8">'[77]data existing_do not delete'!$G$20:$G$26</definedName>
    <definedName name="VCC_MIX">#REF!</definedName>
    <definedName name="vcdfe" localSheetId="21">'[212]data-WC'!#REF!</definedName>
    <definedName name="vcdfe" localSheetId="9">'[212]data-WC'!#REF!</definedName>
    <definedName name="vcdfe" localSheetId="4">'[212]data-WC'!#REF!</definedName>
    <definedName name="vcdfe" localSheetId="8">'[212]data-WC'!#REF!</definedName>
    <definedName name="vcdfe" localSheetId="7">#REF!</definedName>
    <definedName name="vcdfe">#REF!</definedName>
    <definedName name="VentH">#REF!</definedName>
    <definedName name="Vibchr" localSheetId="21">#REF!</definedName>
    <definedName name="Vibchr" localSheetId="9">#REF!</definedName>
    <definedName name="Vibchr" localSheetId="4">#REF!</definedName>
    <definedName name="Vibchr" localSheetId="8">#REF!</definedName>
    <definedName name="Vibchr">#REF!</definedName>
    <definedName name="vil" localSheetId="21">[81]DATA_PRG!$B$4</definedName>
    <definedName name="vil" localSheetId="9">[81]DATA_PRG!$B$4</definedName>
    <definedName name="vil" localSheetId="4">[81]DATA_PRG!$B$4</definedName>
    <definedName name="vil" localSheetId="8">[81]DATA_PRG!$B$4</definedName>
    <definedName name="vil">#REF!</definedName>
    <definedName name="vitrified" localSheetId="21">#REF!</definedName>
    <definedName name="vitrified" localSheetId="9">#REF!</definedName>
    <definedName name="vitrified" localSheetId="4">#REF!</definedName>
    <definedName name="vitrified" localSheetId="8">#REF!</definedName>
    <definedName name="vitrified">#REF!</definedName>
    <definedName name="Viv">[67]Sheet2!$H$155</definedName>
    <definedName name="vivekananda" localSheetId="21">[126]r!$F$29</definedName>
    <definedName name="vivekananda" localSheetId="9">[126]r!$F$29</definedName>
    <definedName name="vivekananda" localSheetId="4">[126]r!$F$29</definedName>
    <definedName name="vivekananda" localSheetId="8">[126]r!$F$29</definedName>
    <definedName name="vivekananda" localSheetId="7">#REF!</definedName>
    <definedName name="vivekananda">#REF!</definedName>
    <definedName name="VLAVE">#REF!</definedName>
    <definedName name="Vname">#REF!</definedName>
    <definedName name="vpr">#REF!</definedName>
    <definedName name="vrcc" localSheetId="23">#REF!</definedName>
    <definedName name="vrcc" localSheetId="46">#REF!</definedName>
    <definedName name="vrcc" localSheetId="47">#REF!</definedName>
    <definedName name="vrcc" localSheetId="40">#REF!</definedName>
    <definedName name="vrcc" localSheetId="44">#REF!</definedName>
    <definedName name="vrcc" localSheetId="45">#REF!</definedName>
    <definedName name="vrcc" localSheetId="21">#REF!</definedName>
    <definedName name="vrcc" localSheetId="9">#REF!</definedName>
    <definedName name="vrcc" localSheetId="4">#REF!</definedName>
    <definedName name="vrcc" localSheetId="24">#REF!</definedName>
    <definedName name="vrcc" localSheetId="43">#REF!</definedName>
    <definedName name="vrcc" localSheetId="8">#REF!</definedName>
    <definedName name="vrcc" localSheetId="52">#REF!</definedName>
    <definedName name="vrcc" localSheetId="7">#REF!</definedName>
    <definedName name="vrcc">#REF!</definedName>
    <definedName name="vrcc_col" localSheetId="21">#REF!</definedName>
    <definedName name="vrcc_col" localSheetId="9">#REF!</definedName>
    <definedName name="vrcc_col" localSheetId="4">#REF!</definedName>
    <definedName name="vrcc_col" localSheetId="8">#REF!</definedName>
    <definedName name="vrcc_col">#REF!</definedName>
    <definedName name="vrcc_footing" localSheetId="21">#REF!</definedName>
    <definedName name="vrcc_footing" localSheetId="9">#REF!</definedName>
    <definedName name="vrcc_footing" localSheetId="4">#REF!</definedName>
    <definedName name="vrcc_footing" localSheetId="8">#REF!</definedName>
    <definedName name="vrcc_footing">#REF!</definedName>
    <definedName name="vrcc_lintel" localSheetId="21">#REF!</definedName>
    <definedName name="vrcc_lintel" localSheetId="9">#REF!</definedName>
    <definedName name="vrcc_lintel" localSheetId="4">#REF!</definedName>
    <definedName name="vrcc_lintel" localSheetId="8">#REF!</definedName>
    <definedName name="vrcc_lintel">#REF!</definedName>
    <definedName name="vrcc_pb" localSheetId="21">#REF!</definedName>
    <definedName name="vrcc_pb" localSheetId="9">#REF!</definedName>
    <definedName name="vrcc_pb" localSheetId="4">#REF!</definedName>
    <definedName name="vrcc_pb" localSheetId="8">#REF!</definedName>
    <definedName name="vrcc_pb">#REF!</definedName>
    <definedName name="vrcc_platform" localSheetId="21">#REF!</definedName>
    <definedName name="vrcc_platform" localSheetId="9">#REF!</definedName>
    <definedName name="vrcc_platform" localSheetId="4">#REF!</definedName>
    <definedName name="vrcc_platform" localSheetId="8">#REF!</definedName>
    <definedName name="vrcc_platform">#REF!</definedName>
    <definedName name="vrcc_roof_IIv" localSheetId="21">#REF!</definedName>
    <definedName name="vrcc_roof_IIv" localSheetId="9">#REF!</definedName>
    <definedName name="vrcc_roof_IIv" localSheetId="4">#REF!</definedName>
    <definedName name="vrcc_roof_IIv" localSheetId="8">#REF!</definedName>
    <definedName name="vrcc_roof_IIv">#REF!</definedName>
    <definedName name="vrcc_roofbeam" localSheetId="21">#REF!</definedName>
    <definedName name="vrcc_roofbeam" localSheetId="9">#REF!</definedName>
    <definedName name="vrcc_roofbeam" localSheetId="4">#REF!</definedName>
    <definedName name="vrcc_roofbeam" localSheetId="8">#REF!</definedName>
    <definedName name="vrcc_roofbeam">#REF!</definedName>
    <definedName name="vrcc_sunshade" localSheetId="21">#REF!</definedName>
    <definedName name="vrcc_sunshade" localSheetId="9">#REF!</definedName>
    <definedName name="vrcc_sunshade" localSheetId="4">#REF!</definedName>
    <definedName name="vrcc_sunshade" localSheetId="8">#REF!</definedName>
    <definedName name="vrcc_sunshade">#REF!</definedName>
    <definedName name="vsi">#REF!</definedName>
    <definedName name="vso">#REF!</definedName>
    <definedName name="vsp">#REF!</definedName>
    <definedName name="vt" localSheetId="23">#REF!</definedName>
    <definedName name="vt" localSheetId="46">#REF!</definedName>
    <definedName name="vt" localSheetId="47">#REF!</definedName>
    <definedName name="vt" localSheetId="40">#REF!</definedName>
    <definedName name="vt" localSheetId="44">#REF!</definedName>
    <definedName name="vt" localSheetId="45">#REF!</definedName>
    <definedName name="vt" localSheetId="21">#REF!</definedName>
    <definedName name="vt" localSheetId="9">#REF!</definedName>
    <definedName name="vt" localSheetId="4">#REF!</definedName>
    <definedName name="vt" localSheetId="24">#REF!</definedName>
    <definedName name="vt" localSheetId="43">#REF!</definedName>
    <definedName name="vt" localSheetId="8">#REF!</definedName>
    <definedName name="vt" localSheetId="52">#REF!</definedName>
    <definedName name="vt" localSheetId="7">#REF!</definedName>
    <definedName name="vt">#REF!</definedName>
    <definedName name="Vv" localSheetId="21">[67]Sheet2!$H$156</definedName>
    <definedName name="Vv" localSheetId="9">[67]Sheet2!$H$156</definedName>
    <definedName name="Vv" localSheetId="4">[67]Sheet2!$H$156</definedName>
    <definedName name="Vv" localSheetId="8">[67]Sheet2!$H$156</definedName>
    <definedName name="vv">#REF!</definedName>
    <definedName name="Vvi">[67]Sheet2!$H$157</definedName>
    <definedName name="vvvvv">#REF!</definedName>
    <definedName name="vwf" localSheetId="21">[46]DATA_PRG!$H$326</definedName>
    <definedName name="vwf" localSheetId="9">[46]DATA_PRG!$H$326</definedName>
    <definedName name="vwf" localSheetId="4">[46]DATA_PRG!$H$326</definedName>
    <definedName name="vwf" localSheetId="8">[46]DATA_PRG!$H$326</definedName>
    <definedName name="vwf">#REF!</definedName>
    <definedName name="W" localSheetId="21" hidden="1">{"'ridftotal'!$A$4:$S$27"}</definedName>
    <definedName name="W" localSheetId="9" hidden="1">{"'ridftotal'!$A$4:$S$27"}</definedName>
    <definedName name="W" localSheetId="4" hidden="1">{"'ridftotal'!$A$4:$S$27"}</definedName>
    <definedName name="W" localSheetId="10" hidden="1">{"'ridftotal'!$A$4:$S$27"}</definedName>
    <definedName name="W" localSheetId="8" hidden="1">{"'ridftotal'!$A$4:$S$27"}</definedName>
    <definedName name="W" hidden="1">{"'ridftotal'!$A$4:$S$27"}</definedName>
    <definedName name="w3e">#REF!</definedName>
    <definedName name="Was">#REF!</definedName>
    <definedName name="wasi">#REF!</definedName>
    <definedName name="water" localSheetId="23">#REF!</definedName>
    <definedName name="water" localSheetId="46">#REF!</definedName>
    <definedName name="water" localSheetId="47">#REF!</definedName>
    <definedName name="water" localSheetId="40">#REF!</definedName>
    <definedName name="water" localSheetId="44">#REF!</definedName>
    <definedName name="water" localSheetId="45">#REF!</definedName>
    <definedName name="water" localSheetId="21">#REF!</definedName>
    <definedName name="water" localSheetId="9">#REF!</definedName>
    <definedName name="water" localSheetId="4">#REF!</definedName>
    <definedName name="water" localSheetId="24">#REF!</definedName>
    <definedName name="water" localSheetId="43">#REF!</definedName>
    <definedName name="water" localSheetId="8">#REF!</definedName>
    <definedName name="water" localSheetId="52">#REF!</definedName>
    <definedName name="water" localSheetId="7">#REF!</definedName>
    <definedName name="water">#REF!</definedName>
    <definedName name="waterproof_paint" localSheetId="21">#REF!</definedName>
    <definedName name="waterproof_paint" localSheetId="9">#REF!</definedName>
    <definedName name="waterproof_paint" localSheetId="4">#REF!</definedName>
    <definedName name="waterproof_paint" localSheetId="8">#REF!</definedName>
    <definedName name="waterproof_paint">#REF!</definedName>
    <definedName name="Wb">[67]Sheet2!$H$219</definedName>
    <definedName name="wbs">#REF!</definedName>
    <definedName name="wbsi">#REF!</definedName>
    <definedName name="wc" localSheetId="21">[79]r!$F$48</definedName>
    <definedName name="wc" localSheetId="9">[79]r!$F$48</definedName>
    <definedName name="wc" localSheetId="4">[80]r!$F$48</definedName>
    <definedName name="wc" localSheetId="10">#REF!</definedName>
    <definedName name="wc" localSheetId="8">[79]r!$F$48</definedName>
    <definedName name="wc" localSheetId="7">#REF!</definedName>
    <definedName name="wc">#REF!</definedName>
    <definedName name="wcc">#REF!</definedName>
    <definedName name="wcon">#REF!</definedName>
    <definedName name="wd">#REF!</definedName>
    <definedName name="wdtd">#REF!</definedName>
    <definedName name="we">#REF!</definedName>
    <definedName name="wei">#REF!</definedName>
    <definedName name="Wet">#REF!</definedName>
    <definedName name="wgl" localSheetId="21" hidden="1">{"'ridftotal'!$A$4:$S$27"}</definedName>
    <definedName name="wgl" localSheetId="9" hidden="1">{"'ridftotal'!$A$4:$S$27"}</definedName>
    <definedName name="wgl" localSheetId="4" hidden="1">{"'ridftotal'!$A$4:$S$27"}</definedName>
    <definedName name="wgl" localSheetId="10" hidden="1">{"'ridftotal'!$A$4:$S$27"}</definedName>
    <definedName name="wgl" localSheetId="8" hidden="1">{"'ridftotal'!$A$4:$S$27"}</definedName>
    <definedName name="wgl" hidden="1">{"'ridftotal'!$A$4:$S$27"}</definedName>
    <definedName name="WH" localSheetId="21">[180]wh!$A$4:$E$473</definedName>
    <definedName name="WH" localSheetId="9">[180]wh!$A$4:$E$473</definedName>
    <definedName name="WH" localSheetId="4">[180]wh!$A$4:$E$473</definedName>
    <definedName name="WH" localSheetId="8">[180]wh!$A$4:$E$473</definedName>
    <definedName name="WH">#REF!</definedName>
    <definedName name="window" localSheetId="21">#REF!</definedName>
    <definedName name="window" localSheetId="9">#REF!</definedName>
    <definedName name="window" localSheetId="4">#REF!</definedName>
    <definedName name="window" localSheetId="8">#REF!</definedName>
    <definedName name="window">#REF!</definedName>
    <definedName name="window_sizes" localSheetId="21">#REF!</definedName>
    <definedName name="window_sizes" localSheetId="9">#REF!</definedName>
    <definedName name="window_sizes" localSheetId="4">#REF!</definedName>
    <definedName name="window_sizes" localSheetId="10">#REF!</definedName>
    <definedName name="window_sizes" localSheetId="8">#REF!</definedName>
    <definedName name="window_sizes">#REF!</definedName>
    <definedName name="wl">#REF!</definedName>
    <definedName name="wltd">#REF!</definedName>
    <definedName name="wm" localSheetId="21">#REF!</definedName>
    <definedName name="wm" localSheetId="9">#REF!</definedName>
    <definedName name="wm" localSheetId="4">#REF!</definedName>
    <definedName name="wm" localSheetId="8">#REF!</definedName>
    <definedName name="wm">#REF!</definedName>
    <definedName name="wmm">#REF!</definedName>
    <definedName name="wmz" localSheetId="4">#REF!</definedName>
    <definedName name="wmz">#REF!</definedName>
    <definedName name="wn" localSheetId="21">#REF!</definedName>
    <definedName name="wn" localSheetId="9">#REF!</definedName>
    <definedName name="wn" localSheetId="4">#REF!</definedName>
    <definedName name="wn" localSheetId="8">#REF!</definedName>
    <definedName name="wn">#REF!</definedName>
    <definedName name="wood_type" localSheetId="21">'[77]data existing_do not delete'!$D$26:$D$27</definedName>
    <definedName name="wood_type" localSheetId="9">'[77]data existing_do not delete'!$D$26:$D$27</definedName>
    <definedName name="wood_type" localSheetId="4">'[77]data existing_do not delete'!$D$26:$D$27</definedName>
    <definedName name="wood_type" localSheetId="8">'[77]data existing_do not delete'!$D$26:$D$27</definedName>
    <definedName name="wood_type">#REF!</definedName>
    <definedName name="word">#REF!</definedName>
    <definedName name="wp" localSheetId="21">#REF!</definedName>
    <definedName name="wp" localSheetId="9">#REF!</definedName>
    <definedName name="wp" localSheetId="4">#REF!</definedName>
    <definedName name="wp" localSheetId="8">#REF!</definedName>
    <definedName name="wp">#REF!</definedName>
    <definedName name="wrb">#REF!</definedName>
    <definedName name="wrbi">#REF!</definedName>
    <definedName name="wrn.detailed." hidden="1">{#N/A,#N/A,FALSE,"no"}</definedName>
    <definedName name="ws" localSheetId="21">[81]DATA_PRG!$F$371</definedName>
    <definedName name="ws" localSheetId="9">[81]DATA_PRG!$F$371</definedName>
    <definedName name="ws" localSheetId="4">[81]DATA_PRG!$F$371</definedName>
    <definedName name="ws" localSheetId="8">[81]DATA_PRG!$F$371</definedName>
    <definedName name="ws">#REF!</definedName>
    <definedName name="wsegment">#REF!</definedName>
    <definedName name="wsoffit">#REF!</definedName>
    <definedName name="wsp">[114]estt!$B$74</definedName>
    <definedName name="wsw">#REF!</definedName>
    <definedName name="wtd">#REF!</definedName>
    <definedName name="ww" localSheetId="21">[81]DATA_PRG!$H$328</definedName>
    <definedName name="ww" localSheetId="9">[81]DATA_PRG!$H$328</definedName>
    <definedName name="ww" localSheetId="4">[81]DATA_PRG!$H$328</definedName>
    <definedName name="ww" localSheetId="10">#REF!</definedName>
    <definedName name="ww" localSheetId="8">[81]DATA_PRG!$H$328</definedName>
    <definedName name="ww">#REF!</definedName>
    <definedName name="wwi">#REF!</definedName>
    <definedName name="www">[213]LEAD!$K$47</definedName>
    <definedName name="wwwww" localSheetId="21">'[182]Plant &amp;  Machinery'!$G$9</definedName>
    <definedName name="wwwww" localSheetId="9">'[182]Plant &amp;  Machinery'!$G$9</definedName>
    <definedName name="wwwww" localSheetId="4">'[182]Plant &amp;  Machinery'!$G$9</definedName>
    <definedName name="wwwww" localSheetId="8">'[182]Plant &amp;  Machinery'!$G$9</definedName>
    <definedName name="wwwww">#REF!</definedName>
    <definedName name="wz" localSheetId="4">#REF!</definedName>
    <definedName name="wz">#REF!</definedName>
    <definedName name="x" localSheetId="21" hidden="1">'[59]final abstract'!#REF!</definedName>
    <definedName name="x" localSheetId="9" hidden="1">'[59]final abstract'!#REF!</definedName>
    <definedName name="x" localSheetId="4" hidden="1">'[59]final abstract'!#REF!</definedName>
    <definedName name="x" localSheetId="8" hidden="1">'[59]final abstract'!#REF!</definedName>
    <definedName name="x" hidden="1">#REF!</definedName>
    <definedName name="xbb">#REF!</definedName>
    <definedName name="xbm">#REF!</definedName>
    <definedName name="xcc11534020">#REF!</definedName>
    <definedName name="xcc136c">#REF!</definedName>
    <definedName name="xcf">#REF!</definedName>
    <definedName name="xcgi">#REF!</definedName>
    <definedName name="xcrs">#REF!</definedName>
    <definedName name="xew">#REF!</definedName>
    <definedName name="xew20b">#REF!</definedName>
    <definedName name="xfb">#REF!</definedName>
    <definedName name="xfp">#REF!</definedName>
    <definedName name="xfpolish">#REF!</definedName>
    <definedName name="xfprr">#REF!</definedName>
    <definedName name="xfpss">#REF!</definedName>
    <definedName name="xfscc">#REF!</definedName>
    <definedName name="xfss">#REF!</definedName>
    <definedName name="xfsscc">#REF!</definedName>
    <definedName name="xhb11010">#REF!</definedName>
    <definedName name="xhb1104">#REF!</definedName>
    <definedName name="xhb1106">#REF!</definedName>
    <definedName name="xhb1108">#REF!</definedName>
    <definedName name="xhb12510">#REF!</definedName>
    <definedName name="xhb1254">#REF!</definedName>
    <definedName name="xhb1256">#REF!</definedName>
    <definedName name="xhb1258">#REF!</definedName>
    <definedName name="xhb14010">#REF!</definedName>
    <definedName name="xhb1404">#REF!</definedName>
    <definedName name="xhb1406">#REF!</definedName>
    <definedName name="xhb1408">#REF!</definedName>
    <definedName name="xhb16010">#REF!</definedName>
    <definedName name="xhb1604">#REF!</definedName>
    <definedName name="xhb1606">#REF!</definedName>
    <definedName name="xhb1608">#REF!</definedName>
    <definedName name="xhb18010">#REF!</definedName>
    <definedName name="xhb1804">#REF!</definedName>
    <definedName name="xhb1806">#REF!</definedName>
    <definedName name="xhb1808">#REF!</definedName>
    <definedName name="xhb20010">#REF!</definedName>
    <definedName name="xhb2004">#REF!</definedName>
    <definedName name="xhb2006">#REF!</definedName>
    <definedName name="xhb2008">#REF!</definedName>
    <definedName name="xhb22510">#REF!</definedName>
    <definedName name="xhb2254">#REF!</definedName>
    <definedName name="xhb2256" localSheetId="21">[66]hdpe_basic!$G$37</definedName>
    <definedName name="xhb2256" localSheetId="9">[66]hdpe_basic!$G$37</definedName>
    <definedName name="xhb2256" localSheetId="4">[66]hdpe_basic!$G$37</definedName>
    <definedName name="xhb2256" localSheetId="8">[66]hdpe_basic!$G$37</definedName>
    <definedName name="xhb2256">#REF!</definedName>
    <definedName name="xhb2258">#REF!</definedName>
    <definedName name="xhb25010">#REF!</definedName>
    <definedName name="xhb2504">#REF!</definedName>
    <definedName name="xhb2506" localSheetId="21">[66]hdpe_basic!$G$38</definedName>
    <definedName name="xhb2506" localSheetId="9">[66]hdpe_basic!$G$38</definedName>
    <definedName name="xhb2506" localSheetId="4">[66]hdpe_basic!$G$38</definedName>
    <definedName name="xhb2506" localSheetId="8">[66]hdpe_basic!$G$38</definedName>
    <definedName name="xhb2506">#REF!</definedName>
    <definedName name="xhb2508">#REF!</definedName>
    <definedName name="xhb28010">#REF!</definedName>
    <definedName name="xhb2804">#REF!</definedName>
    <definedName name="xhb2806" localSheetId="21">[66]hdpe_basic!$G$39</definedName>
    <definedName name="xhb2806" localSheetId="9">[66]hdpe_basic!$G$39</definedName>
    <definedName name="xhb2806" localSheetId="4">[66]hdpe_basic!$G$39</definedName>
    <definedName name="xhb2806" localSheetId="8">[66]hdpe_basic!$G$39</definedName>
    <definedName name="xhb2806">#REF!</definedName>
    <definedName name="xhb2808">#REF!</definedName>
    <definedName name="xhb31510">#REF!</definedName>
    <definedName name="xhb3154">#REF!</definedName>
    <definedName name="xhb3156" localSheetId="21">[66]hdpe_basic!$G$40</definedName>
    <definedName name="xhb3156" localSheetId="9">[66]hdpe_basic!$G$40</definedName>
    <definedName name="xhb3156" localSheetId="4">[66]hdpe_basic!$G$40</definedName>
    <definedName name="xhb3156" localSheetId="8">[66]hdpe_basic!$G$40</definedName>
    <definedName name="xhb3156">#REF!</definedName>
    <definedName name="xhb3158">#REF!</definedName>
    <definedName name="xhb6310">#REF!</definedName>
    <definedName name="xhb634" localSheetId="21">[66]hdpe_basic!$G$14</definedName>
    <definedName name="xhb634" localSheetId="9">[66]hdpe_basic!$G$14</definedName>
    <definedName name="xhb634" localSheetId="4">[66]hdpe_basic!$G$14</definedName>
    <definedName name="xhb634" localSheetId="8">[66]hdpe_basic!$G$14</definedName>
    <definedName name="xhb634">#REF!</definedName>
    <definedName name="xhb636">#REF!</definedName>
    <definedName name="xhb638">#REF!</definedName>
    <definedName name="xhb7510">#REF!</definedName>
    <definedName name="xhb754">#REF!</definedName>
    <definedName name="xhb756">#REF!</definedName>
    <definedName name="xhb758">#REF!</definedName>
    <definedName name="xhb9010">#REF!</definedName>
    <definedName name="xhb904">#REF!</definedName>
    <definedName name="xhb906">#REF!</definedName>
    <definedName name="xhb908">#REF!</definedName>
    <definedName name="ximp">#REF!</definedName>
    <definedName name="ximp20">#REF!</definedName>
    <definedName name="xlin">#REF!</definedName>
    <definedName name="XOTOXSIX" localSheetId="21">#REF!</definedName>
    <definedName name="XOTOXSIX" localSheetId="9">#REF!</definedName>
    <definedName name="XOTOXSIX" localSheetId="4">#REF!</definedName>
    <definedName name="XOTOXSIX" localSheetId="10">#REF!</definedName>
    <definedName name="XOTOXSIX" localSheetId="8">#REF!</definedName>
    <definedName name="XOTOXSIX">#REF!</definedName>
    <definedName name="xpb11010" localSheetId="21">[66]pvc_basic!$G$44</definedName>
    <definedName name="xpb11010" localSheetId="9">[66]pvc_basic!$G$44</definedName>
    <definedName name="xpb11010" localSheetId="4">[66]pvc_basic!$G$44</definedName>
    <definedName name="xpb11010" localSheetId="8">[66]pvc_basic!$G$44</definedName>
    <definedName name="xpb11010">#REF!</definedName>
    <definedName name="xpb1104" localSheetId="21">[66]pvc_basic!$G$16</definedName>
    <definedName name="xpb1104" localSheetId="9">[66]pvc_basic!$G$16</definedName>
    <definedName name="xpb1104" localSheetId="4">[66]pvc_basic!$G$16</definedName>
    <definedName name="xpb1104" localSheetId="8">[66]pvc_basic!$G$16</definedName>
    <definedName name="xpb1104">#REF!</definedName>
    <definedName name="xpb1106" localSheetId="21">[66]pvc_basic!$G$30</definedName>
    <definedName name="xpb1106" localSheetId="9">[66]pvc_basic!$G$30</definedName>
    <definedName name="xpb1106" localSheetId="4">[66]pvc_basic!$G$30</definedName>
    <definedName name="xpb1106" localSheetId="8">[66]pvc_basic!$G$30</definedName>
    <definedName name="xpb1106">#REF!</definedName>
    <definedName name="xpb12510" localSheetId="21">[66]pvc_basic!$G$45</definedName>
    <definedName name="xpb12510" localSheetId="9">[66]pvc_basic!$G$45</definedName>
    <definedName name="xpb12510" localSheetId="4">[66]pvc_basic!$G$45</definedName>
    <definedName name="xpb12510" localSheetId="8">[66]pvc_basic!$G$45</definedName>
    <definedName name="xpb12510">#REF!</definedName>
    <definedName name="xpb1254" localSheetId="21">[66]pvc_basic!$G$17</definedName>
    <definedName name="xpb1254" localSheetId="9">[66]pvc_basic!$G$17</definedName>
    <definedName name="xpb1254" localSheetId="4">[66]pvc_basic!$G$17</definedName>
    <definedName name="xpb1254" localSheetId="8">[66]pvc_basic!$G$17</definedName>
    <definedName name="xpb1254">#REF!</definedName>
    <definedName name="xpb1256" localSheetId="21">[66]pvc_basic!$G$31</definedName>
    <definedName name="xpb1256" localSheetId="9">[66]pvc_basic!$G$31</definedName>
    <definedName name="xpb1256" localSheetId="4">[66]pvc_basic!$G$31</definedName>
    <definedName name="xpb1256" localSheetId="8">[66]pvc_basic!$G$31</definedName>
    <definedName name="xpb1256">#REF!</definedName>
    <definedName name="xpb14010" localSheetId="21">[66]pvc_basic!$G$46</definedName>
    <definedName name="xpb14010" localSheetId="9">[66]pvc_basic!$G$46</definedName>
    <definedName name="xpb14010" localSheetId="4">[66]pvc_basic!$G$46</definedName>
    <definedName name="xpb14010" localSheetId="8">[66]pvc_basic!$G$46</definedName>
    <definedName name="xpb14010">#REF!</definedName>
    <definedName name="xpb1404" localSheetId="21">[66]pvc_basic!$G$18</definedName>
    <definedName name="xpb1404" localSheetId="9">[66]pvc_basic!$G$18</definedName>
    <definedName name="xpb1404" localSheetId="4">[66]pvc_basic!$G$18</definedName>
    <definedName name="xpb1404" localSheetId="8">[66]pvc_basic!$G$18</definedName>
    <definedName name="xpb1404">#REF!</definedName>
    <definedName name="xpb1406" localSheetId="21">[66]pvc_basic!$G$32</definedName>
    <definedName name="xpb1406" localSheetId="9">[66]pvc_basic!$G$32</definedName>
    <definedName name="xpb1406" localSheetId="4">[66]pvc_basic!$G$32</definedName>
    <definedName name="xpb1406" localSheetId="8">[66]pvc_basic!$G$32</definedName>
    <definedName name="xpb1406">#REF!</definedName>
    <definedName name="xpb16010">#REF!</definedName>
    <definedName name="xpb1604" localSheetId="21">[66]pvc_basic!$G$19</definedName>
    <definedName name="xpb1604" localSheetId="9">[66]pvc_basic!$G$19</definedName>
    <definedName name="xpb1604" localSheetId="4">[66]pvc_basic!$G$19</definedName>
    <definedName name="xpb1604" localSheetId="8">[66]pvc_basic!$G$19</definedName>
    <definedName name="xpb1604">#REF!</definedName>
    <definedName name="xpb1606" localSheetId="21">[66]pvc_basic!$G$33</definedName>
    <definedName name="xpb1606" localSheetId="9">[66]pvc_basic!$G$33</definedName>
    <definedName name="xpb1606" localSheetId="4">[66]pvc_basic!$G$33</definedName>
    <definedName name="xpb1606" localSheetId="8">[66]pvc_basic!$G$33</definedName>
    <definedName name="xpb1606">#REF!</definedName>
    <definedName name="xpb18010">#REF!</definedName>
    <definedName name="xpb1804" localSheetId="21">[66]pvc_basic!$G$20</definedName>
    <definedName name="xpb1804" localSheetId="9">[66]pvc_basic!$G$20</definedName>
    <definedName name="xpb1804" localSheetId="4">[66]pvc_basic!$G$20</definedName>
    <definedName name="xpb1804" localSheetId="8">[66]pvc_basic!$G$20</definedName>
    <definedName name="xpb1804">#REF!</definedName>
    <definedName name="xpb1806" localSheetId="21">[66]pvc_basic!$G$34</definedName>
    <definedName name="xpb1806" localSheetId="9">[66]pvc_basic!$G$34</definedName>
    <definedName name="xpb1806" localSheetId="4">[66]pvc_basic!$G$34</definedName>
    <definedName name="xpb1806" localSheetId="8">[66]pvc_basic!$G$34</definedName>
    <definedName name="xpb1806">#REF!</definedName>
    <definedName name="xpb20010">#REF!</definedName>
    <definedName name="xpb2004">#REF!</definedName>
    <definedName name="xpb2006" localSheetId="21">[66]pvc_basic!$G$35</definedName>
    <definedName name="xpb2006" localSheetId="9">[66]pvc_basic!$G$35</definedName>
    <definedName name="xpb2006" localSheetId="4">[66]pvc_basic!$G$35</definedName>
    <definedName name="xpb2006" localSheetId="8">[66]pvc_basic!$G$35</definedName>
    <definedName name="xpb2006">#REF!</definedName>
    <definedName name="xpb22510">#REF!</definedName>
    <definedName name="xpb2254">#REF!</definedName>
    <definedName name="xpb2256">#REF!</definedName>
    <definedName name="xpb25010">#REF!</definedName>
    <definedName name="xpb2504">#REF!</definedName>
    <definedName name="xpb2506">#REF!</definedName>
    <definedName name="xpb28010">#REF!</definedName>
    <definedName name="xpb2804">#REF!</definedName>
    <definedName name="xpb2806">#REF!</definedName>
    <definedName name="xpb31510">#REF!</definedName>
    <definedName name="xpb3154">#REF!</definedName>
    <definedName name="xpb3156">#REF!</definedName>
    <definedName name="xpb6310" localSheetId="21">[66]pvc_basic!$G$41</definedName>
    <definedName name="xpb6310" localSheetId="9">[66]pvc_basic!$G$41</definedName>
    <definedName name="xpb6310" localSheetId="4">[66]pvc_basic!$G$41</definedName>
    <definedName name="xpb6310" localSheetId="8">[66]pvc_basic!$G$41</definedName>
    <definedName name="xpb6310">#REF!</definedName>
    <definedName name="xpb634">#REF!</definedName>
    <definedName name="xpb636" localSheetId="21">[66]pvc_basic!$G$27</definedName>
    <definedName name="xpb636" localSheetId="9">[66]pvc_basic!$G$27</definedName>
    <definedName name="xpb636" localSheetId="4">[66]pvc_basic!$G$27</definedName>
    <definedName name="xpb636" localSheetId="8">[66]pvc_basic!$G$27</definedName>
    <definedName name="xpb636">#REF!</definedName>
    <definedName name="xpb7510" localSheetId="21">[66]pvc_basic!$G$42</definedName>
    <definedName name="xpb7510" localSheetId="9">[66]pvc_basic!$G$42</definedName>
    <definedName name="xpb7510" localSheetId="4">[66]pvc_basic!$G$42</definedName>
    <definedName name="xpb7510" localSheetId="8">[66]pvc_basic!$G$42</definedName>
    <definedName name="xpb7510">#REF!</definedName>
    <definedName name="xpb754" localSheetId="21">[66]pvc_basic!$G$14</definedName>
    <definedName name="xpb754" localSheetId="9">[66]pvc_basic!$G$14</definedName>
    <definedName name="xpb754" localSheetId="4">[66]pvc_basic!$G$14</definedName>
    <definedName name="xpb754" localSheetId="8">[66]pvc_basic!$G$14</definedName>
    <definedName name="xpb754">#REF!</definedName>
    <definedName name="xpb756" localSheetId="21">[66]pvc_basic!$G$28</definedName>
    <definedName name="xpb756" localSheetId="9">[66]pvc_basic!$G$28</definedName>
    <definedName name="xpb756" localSheetId="4">[66]pvc_basic!$G$28</definedName>
    <definedName name="xpb756" localSheetId="8">[66]pvc_basic!$G$28</definedName>
    <definedName name="xpb756">#REF!</definedName>
    <definedName name="xpb9010">#REF!</definedName>
    <definedName name="xpb904" localSheetId="21">[66]pvc_basic!$G$15</definedName>
    <definedName name="xpb904" localSheetId="9">[66]pvc_basic!$G$15</definedName>
    <definedName name="xpb904" localSheetId="4">[66]pvc_basic!$G$15</definedName>
    <definedName name="xpb904" localSheetId="8">[66]pvc_basic!$G$15</definedName>
    <definedName name="xpb904">#REF!</definedName>
    <definedName name="xpb906" localSheetId="21">[66]pvc_basic!$G$29</definedName>
    <definedName name="xpb906" localSheetId="9">[66]pvc_basic!$G$29</definedName>
    <definedName name="xpb906" localSheetId="4">[66]pvc_basic!$G$29</definedName>
    <definedName name="xpb906" localSheetId="8">[66]pvc_basic!$G$29</definedName>
    <definedName name="xpb906">#REF!</definedName>
    <definedName name="xpl121513">#REF!</definedName>
    <definedName name="xpl1312">#REF!</definedName>
    <definedName name="xpl1320">#REF!</definedName>
    <definedName name="xpl1412">#REF!</definedName>
    <definedName name="xpl1420">#REF!</definedName>
    <definedName name="xpl201513">#REF!</definedName>
    <definedName name="xrf">#REF!</definedName>
    <definedName name="xrr">#REF!</definedName>
    <definedName name="xrs">#REF!</definedName>
    <definedName name="xrs112">#REF!</definedName>
    <definedName name="xrs120">#REF!</definedName>
    <definedName name="xrsd225">#REF!</definedName>
    <definedName name="xsc">#REF!</definedName>
    <definedName name="xscp">#REF!</definedName>
    <definedName name="xsep">#REF!</definedName>
    <definedName name="xsfb">#REF!</definedName>
    <definedName name="XSIXTOXTHIRTEEN" localSheetId="21">#REF!</definedName>
    <definedName name="XSIXTOXTHIRTEEN" localSheetId="9">#REF!</definedName>
    <definedName name="XSIXTOXTHIRTEEN" localSheetId="4">#REF!</definedName>
    <definedName name="XSIXTOXTHIRTEEN" localSheetId="10">#REF!</definedName>
    <definedName name="XSIXTOXTHIRTEEN" localSheetId="8">#REF!</definedName>
    <definedName name="XSIXTOXTHIRTEEN">#REF!</definedName>
    <definedName name="xspread">#REF!</definedName>
    <definedName name="xss">#REF!</definedName>
    <definedName name="xtb">#REF!</definedName>
    <definedName name="xvrcc1153">#REF!</definedName>
    <definedName name="xvrcc124">#REF!</definedName>
    <definedName name="xww">#REF!</definedName>
    <definedName name="xx" localSheetId="21">#REF!</definedName>
    <definedName name="xx" localSheetId="9">#REF!</definedName>
    <definedName name="xx" localSheetId="4">#REF!</definedName>
    <definedName name="xx" localSheetId="10" hidden="1">{"'ridftotal'!$A$4:$S$27"}</definedName>
    <definedName name="xx" localSheetId="8">#REF!</definedName>
    <definedName name="xx" hidden="1">{"'ridftotal'!$A$4:$S$27"}</definedName>
    <definedName name="xxx" localSheetId="21">[214]Data!#REF!</definedName>
    <definedName name="xxx" localSheetId="9">[214]Data!#REF!</definedName>
    <definedName name="xxx" localSheetId="4">[214]Data!#REF!</definedName>
    <definedName name="xxx" localSheetId="8">[214]Data!#REF!</definedName>
    <definedName name="xxx">#REF!</definedName>
    <definedName name="xxxbxb" localSheetId="10">#REF!</definedName>
    <definedName name="xxxbxb">#REF!</definedName>
    <definedName name="xxxx" localSheetId="21">[93]Data.F8.BTR!#REF!</definedName>
    <definedName name="xxxx" localSheetId="9">[93]Data.F8.BTR!#REF!</definedName>
    <definedName name="xxxx" localSheetId="4">[93]Data.F8.BTR!#REF!</definedName>
    <definedName name="xxxx" localSheetId="10" hidden="1">{"'ridftotal'!$A$4:$S$27"}</definedName>
    <definedName name="xxxx" localSheetId="8">[93]Data.F8.BTR!#REF!</definedName>
    <definedName name="xxxx" localSheetId="7">#REF!</definedName>
    <definedName name="xxxx" hidden="1">{"'ridftotal'!$A$4:$S$27"}</definedName>
    <definedName name="XXXXX" localSheetId="21">[215]Data!#REF!</definedName>
    <definedName name="XXXXX" localSheetId="9">[215]Data!#REF!</definedName>
    <definedName name="XXXXX" localSheetId="4">[215]Data!#REF!</definedName>
    <definedName name="XXXXX" localSheetId="8">[215]Data!#REF!</definedName>
    <definedName name="XXXXX">#REF!</definedName>
    <definedName name="xxxxxx" localSheetId="21">[216]Data!#REF!</definedName>
    <definedName name="xxxxxx" localSheetId="9">[216]Data!#REF!</definedName>
    <definedName name="xxxxxx" localSheetId="4">[216]Data!#REF!</definedName>
    <definedName name="xxxxxx" localSheetId="8">[216]Data!#REF!</definedName>
    <definedName name="xxxxxx">#REF!</definedName>
    <definedName name="xxxxxxx" localSheetId="21">[214]Data!#REF!</definedName>
    <definedName name="xxxxxxx" localSheetId="9">[214]Data!#REF!</definedName>
    <definedName name="xxxxxxx" localSheetId="4">[214]Data!#REF!</definedName>
    <definedName name="xxxxxxx" localSheetId="8">[214]Data!#REF!</definedName>
    <definedName name="xxxxxxx">#REF!</definedName>
    <definedName name="xy">#REF!</definedName>
    <definedName name="xz">#REF!</definedName>
    <definedName name="y" localSheetId="21">#REF!</definedName>
    <definedName name="y" localSheetId="9">#REF!</definedName>
    <definedName name="y" localSheetId="4">#REF!</definedName>
    <definedName name="y" localSheetId="10">#REF!</definedName>
    <definedName name="y" localSheetId="8">#REF!</definedName>
    <definedName name="y">#REF!</definedName>
    <definedName name="ycode" localSheetId="21">'[217]0000000000000'!$D$3</definedName>
    <definedName name="ycode" localSheetId="9">'[217]0000000000000'!$D$3</definedName>
    <definedName name="ycode" localSheetId="4">'[217]0000000000000'!$D$3</definedName>
    <definedName name="ycode" localSheetId="8">'[217]0000000000000'!$D$3</definedName>
    <definedName name="ycode">#REF!</definedName>
    <definedName name="year">#REF!</definedName>
    <definedName name="yearssr" localSheetId="21">[134]index!$A$1:$M$2</definedName>
    <definedName name="yearssr" localSheetId="9">[134]index!$A$1:$M$2</definedName>
    <definedName name="yearssr" localSheetId="4">[134]index!$A$1:$M$2</definedName>
    <definedName name="yearssr" localSheetId="8">[134]index!$A$1:$M$2</definedName>
    <definedName name="yearssr">#REF!</definedName>
    <definedName name="yes" localSheetId="21">[218]Material!$D$69</definedName>
    <definedName name="yes" localSheetId="9">[218]Material!$D$69</definedName>
    <definedName name="yes" localSheetId="4">[218]Material!$D$69</definedName>
    <definedName name="yes" localSheetId="8">[218]Material!$D$69</definedName>
    <definedName name="yes" localSheetId="7">#REF!</definedName>
    <definedName name="yes">#REF!</definedName>
    <definedName name="ypr" localSheetId="21">[219]Data!#REF!</definedName>
    <definedName name="ypr" localSheetId="9">[219]Data!#REF!</definedName>
    <definedName name="ypr" localSheetId="4">[219]Data!#REF!</definedName>
    <definedName name="ypr" localSheetId="10">#REF!</definedName>
    <definedName name="ypr" localSheetId="8">[219]Data!#REF!</definedName>
    <definedName name="ypr" localSheetId="7">#REF!</definedName>
    <definedName name="ypr">#REF!</definedName>
    <definedName name="YTR">[81]DATA_PRG!$B$4</definedName>
    <definedName name="YY">[81]DATA_PRG!$H$5</definedName>
    <definedName name="yyyyy" localSheetId="21">#REF!</definedName>
    <definedName name="yyyyy" localSheetId="9">#REF!</definedName>
    <definedName name="yyyyy" localSheetId="4">#REF!</definedName>
    <definedName name="yyyyy" localSheetId="8">#REF!</definedName>
    <definedName name="yyyyy">#REF!</definedName>
    <definedName name="yyyyyyyyyyyyyyyyyyyyyyyyyyyyyyyyyyyyyyyyyyyy">#REF!</definedName>
    <definedName name="z" localSheetId="21">[110]m!$D$149</definedName>
    <definedName name="z" localSheetId="9">[110]m!$D$149</definedName>
    <definedName name="z" localSheetId="4">[110]m!$D$149</definedName>
    <definedName name="z" localSheetId="8">[110]m!$D$149</definedName>
    <definedName name="z">#REF!</definedName>
    <definedName name="zam" localSheetId="10">#REF!</definedName>
    <definedName name="zam">#REF!</definedName>
    <definedName name="ZEROTOSIX" localSheetId="21">#REF!</definedName>
    <definedName name="ZEROTOSIX" localSheetId="9">#REF!</definedName>
    <definedName name="ZEROTOSIX" localSheetId="4">#REF!</definedName>
    <definedName name="ZEROTOSIX" localSheetId="10">#REF!</definedName>
    <definedName name="ZEROTOSIX" localSheetId="8">#REF!</definedName>
    <definedName name="ZEROTOSIX">#REF!</definedName>
    <definedName name="Zip" localSheetId="10">#REF!</definedName>
    <definedName name="Zip">#REF!</definedName>
    <definedName name="ZSW">[81]DATA_PRG!$H$351</definedName>
    <definedName name="zxgsdfg" hidden="1">{"'Bill No. 7'!$A$1:$G$32"}</definedName>
    <definedName name="ZXVVBB" localSheetId="21">'[119]Plant &amp;  Machinery'!$G$4</definedName>
    <definedName name="ZXVVBB" localSheetId="9">'[119]Plant &amp;  Machinery'!$G$4</definedName>
    <definedName name="ZXVVBB" localSheetId="4">'[119]Plant &amp;  Machinery'!$G$4</definedName>
    <definedName name="ZXVVBB" localSheetId="10">#REF!</definedName>
    <definedName name="ZXVVBB" localSheetId="8">'[119]Plant &amp;  Machinery'!$G$4</definedName>
    <definedName name="ZXVVBB">#REF!</definedName>
    <definedName name="zz" localSheetId="4">'[220]Suppl-data'!#REF!</definedName>
    <definedName name="zz">'[220]Suppl-data'!#REF!</definedName>
    <definedName name="Ѐ">#REF!</definedName>
  </definedNames>
  <calcPr calcId="191029"/>
</workbook>
</file>

<file path=xl/calcChain.xml><?xml version="1.0" encoding="utf-8"?>
<calcChain xmlns="http://schemas.openxmlformats.org/spreadsheetml/2006/main">
  <c r="N316" i="57" l="1"/>
  <c r="N259" i="57"/>
  <c r="N253" i="57"/>
  <c r="N245" i="57"/>
  <c r="N226" i="57"/>
  <c r="N209" i="57"/>
  <c r="N183" i="57"/>
  <c r="N174" i="57"/>
  <c r="N164" i="57"/>
  <c r="N153" i="57"/>
  <c r="K153" i="57"/>
  <c r="N147" i="57"/>
  <c r="N138" i="57"/>
  <c r="N126" i="57"/>
  <c r="N115" i="57"/>
  <c r="N109" i="57"/>
  <c r="N93" i="57"/>
  <c r="N72" i="57"/>
  <c r="N57" i="57"/>
  <c r="N17" i="57"/>
  <c r="J16" i="57"/>
  <c r="L364" i="57"/>
  <c r="F687" i="15"/>
  <c r="F661" i="15"/>
  <c r="F590" i="15"/>
  <c r="H69" i="57"/>
  <c r="G69" i="57"/>
  <c r="F700" i="15"/>
  <c r="F699" i="15"/>
  <c r="G675" i="15"/>
  <c r="F675" i="15"/>
  <c r="F674" i="15"/>
  <c r="G605" i="15"/>
  <c r="F605" i="15"/>
  <c r="F604" i="15"/>
  <c r="G604" i="15" s="1"/>
  <c r="G674" i="15"/>
  <c r="I260" i="58"/>
  <c r="I273" i="58" s="1"/>
  <c r="I296" i="58" s="1"/>
  <c r="I237" i="58"/>
  <c r="I224" i="58"/>
  <c r="F22" i="58"/>
  <c r="F21" i="58"/>
  <c r="F12" i="58"/>
  <c r="F10" i="58"/>
  <c r="G66" i="34"/>
  <c r="G65" i="34"/>
  <c r="G50" i="34"/>
  <c r="G11" i="34"/>
  <c r="G12" i="34"/>
  <c r="G10" i="34"/>
  <c r="G9" i="34"/>
  <c r="G8" i="34"/>
  <c r="G7" i="34"/>
  <c r="K35" i="40"/>
  <c r="K36" i="40"/>
  <c r="K37" i="40" s="1"/>
  <c r="K38" i="40" s="1"/>
  <c r="K39" i="40" s="1"/>
  <c r="K40" i="40" s="1"/>
  <c r="K41" i="40" s="1"/>
  <c r="K42" i="40" s="1"/>
  <c r="K43" i="40" s="1"/>
  <c r="K44" i="40" s="1"/>
  <c r="K45" i="40" s="1"/>
  <c r="K46" i="40" s="1"/>
  <c r="K47" i="40" s="1"/>
  <c r="K48" i="40" s="1"/>
  <c r="K49" i="40" s="1"/>
  <c r="K50" i="40" s="1"/>
  <c r="K51" i="40" s="1"/>
  <c r="K52" i="40" s="1"/>
  <c r="K53" i="40" s="1"/>
  <c r="K54" i="40" s="1"/>
  <c r="K55" i="40" s="1"/>
  <c r="K56" i="40" s="1"/>
  <c r="K57" i="40" s="1"/>
  <c r="K58" i="40" s="1"/>
  <c r="K59" i="40" s="1"/>
  <c r="K60" i="40" s="1"/>
  <c r="K61" i="40" s="1"/>
  <c r="K62" i="40" s="1"/>
  <c r="K63" i="40" s="1"/>
  <c r="K64" i="40" s="1"/>
  <c r="K65" i="40" s="1"/>
  <c r="K66" i="40" s="1"/>
  <c r="K67" i="40" s="1"/>
  <c r="K68" i="40" s="1"/>
  <c r="K69" i="40" s="1"/>
  <c r="K70" i="40" s="1"/>
  <c r="K71" i="40" s="1"/>
  <c r="K72" i="40" s="1"/>
  <c r="K73" i="40" s="1"/>
  <c r="K74" i="40" s="1"/>
  <c r="K75" i="40" s="1"/>
  <c r="K76" i="40" s="1"/>
  <c r="K77" i="40" s="1"/>
  <c r="K78" i="40" s="1"/>
  <c r="K79" i="40" s="1"/>
  <c r="K80" i="40" s="1"/>
  <c r="K81" i="40" s="1"/>
  <c r="K82" i="40" s="1"/>
  <c r="K83" i="40" s="1"/>
  <c r="K84" i="40" s="1"/>
  <c r="K85" i="40" s="1"/>
  <c r="K86" i="40" s="1"/>
  <c r="K87" i="40" s="1"/>
  <c r="K88" i="40" s="1"/>
  <c r="K89" i="40" s="1"/>
  <c r="K90" i="40" s="1"/>
  <c r="K91" i="40" s="1"/>
  <c r="K92" i="40" s="1"/>
  <c r="K93" i="40" s="1"/>
  <c r="K94" i="40" s="1"/>
  <c r="K95" i="40" s="1"/>
  <c r="K96" i="40" s="1"/>
  <c r="K97" i="40" s="1"/>
  <c r="K98" i="40" s="1"/>
  <c r="K99" i="40" s="1"/>
  <c r="K100" i="40" s="1"/>
  <c r="K101" i="40" s="1"/>
  <c r="K102" i="40" s="1"/>
  <c r="K103" i="40" s="1"/>
  <c r="K104" i="40" s="1"/>
  <c r="K105" i="40" s="1"/>
  <c r="K106" i="40" s="1"/>
  <c r="K107" i="40" s="1"/>
  <c r="K108" i="40" s="1"/>
  <c r="K109" i="40" s="1"/>
  <c r="K110" i="40" s="1"/>
  <c r="K111" i="40" s="1"/>
  <c r="K112" i="40" s="1"/>
  <c r="K113" i="40" s="1"/>
  <c r="K114" i="40" s="1"/>
  <c r="K115" i="40" s="1"/>
  <c r="K116" i="40" s="1"/>
  <c r="K117" i="40" s="1"/>
  <c r="K118" i="40" s="1"/>
  <c r="K119" i="40" s="1"/>
  <c r="K120" i="40" s="1"/>
  <c r="K121" i="40" s="1"/>
  <c r="K122" i="40" s="1"/>
  <c r="K123" i="40" s="1"/>
  <c r="K124" i="40" s="1"/>
  <c r="K125" i="40" s="1"/>
  <c r="K126" i="40" s="1"/>
  <c r="K127" i="40" s="1"/>
  <c r="K128" i="40" s="1"/>
  <c r="K129" i="40" s="1"/>
  <c r="K130" i="40" s="1"/>
  <c r="K131" i="40" s="1"/>
  <c r="K132" i="40" s="1"/>
  <c r="K133" i="40" s="1"/>
  <c r="K134" i="40" s="1"/>
  <c r="K135" i="40" s="1"/>
  <c r="K136" i="40" s="1"/>
  <c r="K137" i="40" s="1"/>
  <c r="K138" i="40" s="1"/>
  <c r="K139" i="40" s="1"/>
  <c r="K140" i="40" s="1"/>
  <c r="K141" i="40" s="1"/>
  <c r="K142" i="40" s="1"/>
  <c r="K143" i="40" s="1"/>
  <c r="K144" i="40" s="1"/>
  <c r="K145" i="40" s="1"/>
  <c r="K146" i="40" s="1"/>
  <c r="K147" i="40" s="1"/>
  <c r="K148" i="40" s="1"/>
  <c r="K149" i="40" s="1"/>
  <c r="K150" i="40" s="1"/>
  <c r="K151" i="40" s="1"/>
  <c r="K152" i="40" s="1"/>
  <c r="K153" i="40" s="1"/>
  <c r="K154" i="40" s="1"/>
  <c r="K155" i="40" s="1"/>
  <c r="K156" i="40" s="1"/>
  <c r="K157" i="40" s="1"/>
  <c r="K158" i="40" s="1"/>
  <c r="K159" i="40" s="1"/>
  <c r="K160" i="40" s="1"/>
  <c r="K161" i="40" s="1"/>
  <c r="K162" i="40" s="1"/>
  <c r="K163" i="40" s="1"/>
  <c r="K164" i="40" s="1"/>
  <c r="K165" i="40" s="1"/>
  <c r="K166" i="40" s="1"/>
  <c r="K167" i="40" s="1"/>
  <c r="K168" i="40" s="1"/>
  <c r="K169" i="40" s="1"/>
  <c r="K170" i="40" s="1"/>
  <c r="K171" i="40" s="1"/>
  <c r="K172" i="40" s="1"/>
  <c r="K173" i="40" s="1"/>
  <c r="K174" i="40" s="1"/>
  <c r="K175" i="40" s="1"/>
  <c r="K176" i="40" s="1"/>
  <c r="K177" i="40" s="1"/>
  <c r="K178" i="40" s="1"/>
  <c r="K179" i="40" s="1"/>
  <c r="K180" i="40" s="1"/>
  <c r="K181" i="40" s="1"/>
  <c r="K182" i="40" s="1"/>
  <c r="K183" i="40" s="1"/>
  <c r="K184" i="40" s="1"/>
  <c r="K185" i="40" s="1"/>
  <c r="K186" i="40" s="1"/>
  <c r="K187" i="40" s="1"/>
  <c r="K188" i="40" s="1"/>
  <c r="K189" i="40" s="1"/>
  <c r="K190" i="40" s="1"/>
  <c r="K191" i="40" s="1"/>
  <c r="K192" i="40" s="1"/>
  <c r="K193" i="40" s="1"/>
  <c r="K194" i="40" s="1"/>
  <c r="K195" i="40" s="1"/>
  <c r="K196" i="40" s="1"/>
  <c r="K197" i="40" s="1"/>
  <c r="K198" i="40" s="1"/>
  <c r="K199" i="40" s="1"/>
  <c r="K200" i="40" s="1"/>
  <c r="K201" i="40" s="1"/>
  <c r="K202" i="40" s="1"/>
  <c r="K203" i="40" s="1"/>
  <c r="K204" i="40" s="1"/>
  <c r="K205" i="40" s="1"/>
  <c r="K206" i="40" s="1"/>
  <c r="K207" i="40" s="1"/>
  <c r="K208" i="40" s="1"/>
  <c r="K209" i="40" s="1"/>
  <c r="K210" i="40" s="1"/>
  <c r="K211" i="40" s="1"/>
  <c r="K212" i="40" s="1"/>
  <c r="K213" i="40" s="1"/>
  <c r="K214" i="40" s="1"/>
  <c r="K215" i="40" s="1"/>
  <c r="K216" i="40" s="1"/>
  <c r="K217" i="40" s="1"/>
  <c r="K218" i="40" s="1"/>
  <c r="K219" i="40" s="1"/>
  <c r="K220" i="40" s="1"/>
  <c r="K221" i="40" s="1"/>
  <c r="K222" i="40" s="1"/>
  <c r="K223" i="40" s="1"/>
  <c r="K224" i="40" s="1"/>
  <c r="K225" i="40" s="1"/>
  <c r="K226" i="40" s="1"/>
  <c r="K227" i="40" s="1"/>
  <c r="K228" i="40" s="1"/>
  <c r="K229" i="40" s="1"/>
  <c r="K230" i="40" s="1"/>
  <c r="K231" i="40" s="1"/>
  <c r="K232" i="40" s="1"/>
  <c r="K233" i="40" s="1"/>
  <c r="K234" i="40" s="1"/>
  <c r="K235" i="40" s="1"/>
  <c r="K236" i="40" s="1"/>
  <c r="K237" i="40" s="1"/>
  <c r="K238" i="40" s="1"/>
  <c r="K239" i="40" s="1"/>
  <c r="K240" i="40" s="1"/>
  <c r="K241" i="40" s="1"/>
  <c r="K242" i="40" s="1"/>
  <c r="K243" i="40" s="1"/>
  <c r="K244" i="40" s="1"/>
  <c r="K245" i="40" s="1"/>
  <c r="K246" i="40" s="1"/>
  <c r="K247" i="40" s="1"/>
  <c r="K248" i="40" s="1"/>
  <c r="K249" i="40" s="1"/>
  <c r="K250" i="40" s="1"/>
  <c r="K251" i="40" s="1"/>
  <c r="K252" i="40" s="1"/>
  <c r="K253" i="40" s="1"/>
  <c r="K254" i="40" s="1"/>
  <c r="K255" i="40" s="1"/>
  <c r="K256" i="40" s="1"/>
  <c r="K257" i="40" s="1"/>
  <c r="K258" i="40" s="1"/>
  <c r="K259" i="40" s="1"/>
  <c r="K260" i="40" s="1"/>
  <c r="K261" i="40" s="1"/>
  <c r="K262" i="40" s="1"/>
  <c r="K263" i="40" s="1"/>
  <c r="K264" i="40" s="1"/>
  <c r="K265" i="40" s="1"/>
  <c r="K266" i="40" s="1"/>
  <c r="K267" i="40" s="1"/>
  <c r="K268" i="40" s="1"/>
  <c r="K269" i="40" s="1"/>
  <c r="K270" i="40" s="1"/>
  <c r="K271" i="40" s="1"/>
  <c r="K272" i="40" s="1"/>
  <c r="K273" i="40" s="1"/>
  <c r="K274" i="40" s="1"/>
  <c r="K275" i="40" s="1"/>
  <c r="K276" i="40" s="1"/>
  <c r="K277" i="40" s="1"/>
  <c r="K278" i="40" s="1"/>
  <c r="K279" i="40" s="1"/>
  <c r="K280" i="40" s="1"/>
  <c r="K281" i="40" s="1"/>
  <c r="K282" i="40" s="1"/>
  <c r="K283" i="40" s="1"/>
  <c r="K284" i="40" s="1"/>
  <c r="K285" i="40" s="1"/>
  <c r="K286" i="40" s="1"/>
  <c r="K287" i="40" s="1"/>
  <c r="K288" i="40" s="1"/>
  <c r="K289" i="40" s="1"/>
  <c r="K290" i="40" s="1"/>
  <c r="K291" i="40" s="1"/>
  <c r="K292" i="40" s="1"/>
  <c r="K293" i="40" s="1"/>
  <c r="K294" i="40" s="1"/>
  <c r="K295" i="40" s="1"/>
  <c r="K296" i="40" s="1"/>
  <c r="K297" i="40" s="1"/>
  <c r="K298" i="40" s="1"/>
  <c r="K299" i="40" s="1"/>
  <c r="K300" i="40" s="1"/>
  <c r="K301" i="40" s="1"/>
  <c r="K302" i="40" s="1"/>
  <c r="K303" i="40" s="1"/>
  <c r="K34" i="40"/>
  <c r="K10" i="40"/>
  <c r="K11" i="40" s="1"/>
  <c r="K12" i="40" s="1"/>
  <c r="K13" i="40" s="1"/>
  <c r="K14" i="40" s="1"/>
  <c r="K15" i="40" s="1"/>
  <c r="K16" i="40" s="1"/>
  <c r="K17" i="40" s="1"/>
  <c r="K18" i="40" s="1"/>
  <c r="K19" i="40" s="1"/>
  <c r="K20" i="40" s="1"/>
  <c r="K21" i="40" s="1"/>
  <c r="K22" i="40" s="1"/>
  <c r="K23" i="40" s="1"/>
  <c r="K24" i="40" s="1"/>
  <c r="K25" i="40" s="1"/>
  <c r="K26" i="40" s="1"/>
  <c r="K27" i="40" s="1"/>
  <c r="K28" i="40" s="1"/>
  <c r="K29" i="40" s="1"/>
  <c r="K30" i="40" s="1"/>
  <c r="K31" i="40" s="1"/>
  <c r="K32" i="40" s="1"/>
  <c r="K33" i="40" s="1"/>
  <c r="K9" i="40"/>
  <c r="H35" i="40"/>
  <c r="H36" i="40" s="1"/>
  <c r="H37" i="40" s="1"/>
  <c r="H38" i="40" s="1"/>
  <c r="H39" i="40" s="1"/>
  <c r="H40" i="40" s="1"/>
  <c r="H41" i="40" s="1"/>
  <c r="H42" i="40" s="1"/>
  <c r="H43" i="40" s="1"/>
  <c r="H44" i="40" s="1"/>
  <c r="H45" i="40" s="1"/>
  <c r="H46" i="40" s="1"/>
  <c r="H47" i="40" s="1"/>
  <c r="H48" i="40" s="1"/>
  <c r="H49" i="40" s="1"/>
  <c r="H50" i="40" s="1"/>
  <c r="H51" i="40" s="1"/>
  <c r="H52" i="40" s="1"/>
  <c r="H53" i="40" s="1"/>
  <c r="H54" i="40" s="1"/>
  <c r="H55" i="40" s="1"/>
  <c r="H56" i="40" s="1"/>
  <c r="H57" i="40" s="1"/>
  <c r="H58" i="40" s="1"/>
  <c r="H59" i="40" s="1"/>
  <c r="H60" i="40" s="1"/>
  <c r="H61" i="40" s="1"/>
  <c r="H62" i="40" s="1"/>
  <c r="H63" i="40" s="1"/>
  <c r="H64" i="40" s="1"/>
  <c r="H65" i="40" s="1"/>
  <c r="H66" i="40" s="1"/>
  <c r="H67" i="40" s="1"/>
  <c r="H68" i="40" s="1"/>
  <c r="H69" i="40" s="1"/>
  <c r="H70" i="40" s="1"/>
  <c r="H71" i="40" s="1"/>
  <c r="H72" i="40" s="1"/>
  <c r="H73" i="40" s="1"/>
  <c r="H74" i="40" s="1"/>
  <c r="H75" i="40" s="1"/>
  <c r="H76" i="40" s="1"/>
  <c r="H77" i="40" s="1"/>
  <c r="H78" i="40" s="1"/>
  <c r="H79" i="40" s="1"/>
  <c r="H80" i="40" s="1"/>
  <c r="H81" i="40" s="1"/>
  <c r="H82" i="40" s="1"/>
  <c r="H83" i="40" s="1"/>
  <c r="H84" i="40" s="1"/>
  <c r="H85" i="40" s="1"/>
  <c r="H86" i="40" s="1"/>
  <c r="H87" i="40" s="1"/>
  <c r="H88" i="40" s="1"/>
  <c r="H89" i="40" s="1"/>
  <c r="H90" i="40" s="1"/>
  <c r="H91" i="40" s="1"/>
  <c r="H92" i="40" s="1"/>
  <c r="H93" i="40" s="1"/>
  <c r="H94" i="40" s="1"/>
  <c r="H95" i="40" s="1"/>
  <c r="H96" i="40" s="1"/>
  <c r="H97" i="40" s="1"/>
  <c r="H98" i="40" s="1"/>
  <c r="H99" i="40" s="1"/>
  <c r="H100" i="40" s="1"/>
  <c r="H101" i="40" s="1"/>
  <c r="H102" i="40" s="1"/>
  <c r="H103" i="40" s="1"/>
  <c r="H104" i="40" s="1"/>
  <c r="H105" i="40" s="1"/>
  <c r="H106" i="40" s="1"/>
  <c r="H107" i="40" s="1"/>
  <c r="H108" i="40" s="1"/>
  <c r="H109" i="40" s="1"/>
  <c r="H110" i="40" s="1"/>
  <c r="H111" i="40" s="1"/>
  <c r="H112" i="40" s="1"/>
  <c r="H113" i="40" s="1"/>
  <c r="H114" i="40" s="1"/>
  <c r="H115" i="40" s="1"/>
  <c r="H116" i="40" s="1"/>
  <c r="H117" i="40" s="1"/>
  <c r="H118" i="40" s="1"/>
  <c r="H119" i="40" s="1"/>
  <c r="H120" i="40" s="1"/>
  <c r="H121" i="40" s="1"/>
  <c r="H122" i="40" s="1"/>
  <c r="H123" i="40" s="1"/>
  <c r="H124" i="40" s="1"/>
  <c r="H125" i="40" s="1"/>
  <c r="H126" i="40" s="1"/>
  <c r="H127" i="40" s="1"/>
  <c r="H128" i="40" s="1"/>
  <c r="H129" i="40" s="1"/>
  <c r="H130" i="40" s="1"/>
  <c r="H131" i="40" s="1"/>
  <c r="H132" i="40" s="1"/>
  <c r="H133" i="40" s="1"/>
  <c r="H134" i="40" s="1"/>
  <c r="H135" i="40" s="1"/>
  <c r="H136" i="40" s="1"/>
  <c r="H137" i="40" s="1"/>
  <c r="H138" i="40" s="1"/>
  <c r="H139" i="40" s="1"/>
  <c r="H140" i="40" s="1"/>
  <c r="H141" i="40" s="1"/>
  <c r="H142" i="40" s="1"/>
  <c r="H143" i="40" s="1"/>
  <c r="H144" i="40" s="1"/>
  <c r="H145" i="40" s="1"/>
  <c r="H146" i="40" s="1"/>
  <c r="H147" i="40" s="1"/>
  <c r="H148" i="40" s="1"/>
  <c r="H149" i="40" s="1"/>
  <c r="H150" i="40" s="1"/>
  <c r="H151" i="40" s="1"/>
  <c r="H152" i="40" s="1"/>
  <c r="H153" i="40" s="1"/>
  <c r="H154" i="40" s="1"/>
  <c r="H155" i="40" s="1"/>
  <c r="H156" i="40" s="1"/>
  <c r="H157" i="40" s="1"/>
  <c r="H158" i="40" s="1"/>
  <c r="H159" i="40" s="1"/>
  <c r="H160" i="40" s="1"/>
  <c r="H161" i="40" s="1"/>
  <c r="H162" i="40" s="1"/>
  <c r="H163" i="40" s="1"/>
  <c r="H164" i="40" s="1"/>
  <c r="H165" i="40" s="1"/>
  <c r="H166" i="40" s="1"/>
  <c r="H167" i="40" s="1"/>
  <c r="H168" i="40" s="1"/>
  <c r="H169" i="40" s="1"/>
  <c r="H170" i="40" s="1"/>
  <c r="H171" i="40" s="1"/>
  <c r="H172" i="40" s="1"/>
  <c r="H173" i="40" s="1"/>
  <c r="H174" i="40" s="1"/>
  <c r="H175" i="40" s="1"/>
  <c r="H176" i="40" s="1"/>
  <c r="H177" i="40" s="1"/>
  <c r="H178" i="40" s="1"/>
  <c r="H179" i="40" s="1"/>
  <c r="H180" i="40" s="1"/>
  <c r="H181" i="40" s="1"/>
  <c r="H182" i="40" s="1"/>
  <c r="H183" i="40" s="1"/>
  <c r="H184" i="40" s="1"/>
  <c r="H185" i="40" s="1"/>
  <c r="H186" i="40" s="1"/>
  <c r="H187" i="40" s="1"/>
  <c r="H188" i="40" s="1"/>
  <c r="H189" i="40" s="1"/>
  <c r="H190" i="40" s="1"/>
  <c r="H191" i="40" s="1"/>
  <c r="H192" i="40" s="1"/>
  <c r="H193" i="40" s="1"/>
  <c r="H194" i="40" s="1"/>
  <c r="H195" i="40" s="1"/>
  <c r="H196" i="40" s="1"/>
  <c r="H197" i="40" s="1"/>
  <c r="H198" i="40" s="1"/>
  <c r="H199" i="40" s="1"/>
  <c r="H200" i="40" s="1"/>
  <c r="H201" i="40" s="1"/>
  <c r="H202" i="40" s="1"/>
  <c r="H203" i="40" s="1"/>
  <c r="H204" i="40" s="1"/>
  <c r="H205" i="40" s="1"/>
  <c r="H206" i="40" s="1"/>
  <c r="H207" i="40" s="1"/>
  <c r="H208" i="40" s="1"/>
  <c r="H209" i="40" s="1"/>
  <c r="H210" i="40" s="1"/>
  <c r="H211" i="40" s="1"/>
  <c r="H212" i="40" s="1"/>
  <c r="H213" i="40" s="1"/>
  <c r="H214" i="40" s="1"/>
  <c r="H215" i="40" s="1"/>
  <c r="H216" i="40" s="1"/>
  <c r="H217" i="40" s="1"/>
  <c r="H218" i="40" s="1"/>
  <c r="H219" i="40" s="1"/>
  <c r="H220" i="40" s="1"/>
  <c r="H221" i="40" s="1"/>
  <c r="H222" i="40" s="1"/>
  <c r="H223" i="40" s="1"/>
  <c r="H224" i="40" s="1"/>
  <c r="H225" i="40" s="1"/>
  <c r="H226" i="40" s="1"/>
  <c r="H227" i="40" s="1"/>
  <c r="H228" i="40" s="1"/>
  <c r="H229" i="40" s="1"/>
  <c r="H230" i="40" s="1"/>
  <c r="H231" i="40" s="1"/>
  <c r="H232" i="40" s="1"/>
  <c r="H233" i="40" s="1"/>
  <c r="H234" i="40" s="1"/>
  <c r="H235" i="40" s="1"/>
  <c r="H236" i="40" s="1"/>
  <c r="H237" i="40" s="1"/>
  <c r="H238" i="40" s="1"/>
  <c r="H239" i="40" s="1"/>
  <c r="H240" i="40" s="1"/>
  <c r="H241" i="40" s="1"/>
  <c r="H242" i="40" s="1"/>
  <c r="H243" i="40" s="1"/>
  <c r="H244" i="40" s="1"/>
  <c r="H245" i="40" s="1"/>
  <c r="H246" i="40" s="1"/>
  <c r="H247" i="40" s="1"/>
  <c r="H248" i="40" s="1"/>
  <c r="H249" i="40" s="1"/>
  <c r="H250" i="40" s="1"/>
  <c r="H251" i="40" s="1"/>
  <c r="H252" i="40" s="1"/>
  <c r="H253" i="40" s="1"/>
  <c r="H254" i="40" s="1"/>
  <c r="H255" i="40" s="1"/>
  <c r="H256" i="40" s="1"/>
  <c r="H257" i="40" s="1"/>
  <c r="H258" i="40" s="1"/>
  <c r="H259" i="40" s="1"/>
  <c r="H260" i="40" s="1"/>
  <c r="H261" i="40" s="1"/>
  <c r="H262" i="40" s="1"/>
  <c r="H263" i="40" s="1"/>
  <c r="H264" i="40" s="1"/>
  <c r="H265" i="40" s="1"/>
  <c r="H266" i="40" s="1"/>
  <c r="H267" i="40" s="1"/>
  <c r="H268" i="40" s="1"/>
  <c r="H269" i="40" s="1"/>
  <c r="H270" i="40" s="1"/>
  <c r="H271" i="40" s="1"/>
  <c r="H272" i="40" s="1"/>
  <c r="H273" i="40" s="1"/>
  <c r="H274" i="40" s="1"/>
  <c r="H275" i="40" s="1"/>
  <c r="H276" i="40" s="1"/>
  <c r="H277" i="40" s="1"/>
  <c r="H278" i="40" s="1"/>
  <c r="H279" i="40" s="1"/>
  <c r="H280" i="40" s="1"/>
  <c r="H281" i="40" s="1"/>
  <c r="H282" i="40" s="1"/>
  <c r="H283" i="40" s="1"/>
  <c r="H284" i="40" s="1"/>
  <c r="H285" i="40" s="1"/>
  <c r="H286" i="40" s="1"/>
  <c r="H287" i="40" s="1"/>
  <c r="H288" i="40" s="1"/>
  <c r="H289" i="40" s="1"/>
  <c r="H290" i="40" s="1"/>
  <c r="H291" i="40" s="1"/>
  <c r="H292" i="40" s="1"/>
  <c r="H293" i="40" s="1"/>
  <c r="H294" i="40" s="1"/>
  <c r="H295" i="40" s="1"/>
  <c r="H296" i="40" s="1"/>
  <c r="H297" i="40" s="1"/>
  <c r="H298" i="40" s="1"/>
  <c r="H299" i="40" s="1"/>
  <c r="H300" i="40" s="1"/>
  <c r="H301" i="40" s="1"/>
  <c r="H302" i="40" s="1"/>
  <c r="H303" i="40" s="1"/>
  <c r="H34" i="40"/>
  <c r="H10" i="40"/>
  <c r="H11" i="40" s="1"/>
  <c r="H12" i="40" s="1"/>
  <c r="H13" i="40" s="1"/>
  <c r="H14" i="40" s="1"/>
  <c r="H15" i="40" s="1"/>
  <c r="H16" i="40" s="1"/>
  <c r="H17" i="40" s="1"/>
  <c r="H18" i="40" s="1"/>
  <c r="H19" i="40" s="1"/>
  <c r="H20" i="40" s="1"/>
  <c r="H21" i="40" s="1"/>
  <c r="H22" i="40" s="1"/>
  <c r="H23" i="40" s="1"/>
  <c r="H24" i="40" s="1"/>
  <c r="H25" i="40" s="1"/>
  <c r="H26" i="40" s="1"/>
  <c r="H27" i="40" s="1"/>
  <c r="H28" i="40" s="1"/>
  <c r="H29" i="40" s="1"/>
  <c r="H30" i="40" s="1"/>
  <c r="H31" i="40" s="1"/>
  <c r="H32" i="40" s="1"/>
  <c r="H33" i="40" s="1"/>
  <c r="H9" i="40"/>
  <c r="B35" i="40"/>
  <c r="B36" i="40" s="1"/>
  <c r="B37" i="40" s="1"/>
  <c r="B38" i="40" s="1"/>
  <c r="B39" i="40" s="1"/>
  <c r="B40" i="40" s="1"/>
  <c r="B41" i="40" s="1"/>
  <c r="B42" i="40" s="1"/>
  <c r="B43" i="40" s="1"/>
  <c r="B44" i="40" s="1"/>
  <c r="B45" i="40" s="1"/>
  <c r="B46" i="40" s="1"/>
  <c r="B47" i="40" s="1"/>
  <c r="B48" i="40" s="1"/>
  <c r="B49" i="40" s="1"/>
  <c r="B50" i="40" s="1"/>
  <c r="B51" i="40" s="1"/>
  <c r="B52" i="40" s="1"/>
  <c r="B53" i="40" s="1"/>
  <c r="B54" i="40" s="1"/>
  <c r="B55" i="40" s="1"/>
  <c r="B56" i="40" s="1"/>
  <c r="B57" i="40" s="1"/>
  <c r="B58" i="40" s="1"/>
  <c r="B59" i="40" s="1"/>
  <c r="B60" i="40" s="1"/>
  <c r="B61" i="40" s="1"/>
  <c r="B62" i="40" s="1"/>
  <c r="B63" i="40" s="1"/>
  <c r="B64" i="40" s="1"/>
  <c r="B65" i="40" s="1"/>
  <c r="B66" i="40" s="1"/>
  <c r="B67" i="40" s="1"/>
  <c r="B68" i="40" s="1"/>
  <c r="B69" i="40" s="1"/>
  <c r="B70" i="40" s="1"/>
  <c r="B71" i="40" s="1"/>
  <c r="B72" i="40" s="1"/>
  <c r="B73" i="40" s="1"/>
  <c r="B74" i="40" s="1"/>
  <c r="B75" i="40" s="1"/>
  <c r="B76" i="40" s="1"/>
  <c r="B77" i="40" s="1"/>
  <c r="B78" i="40" s="1"/>
  <c r="B79" i="40" s="1"/>
  <c r="B80" i="40" s="1"/>
  <c r="B81" i="40" s="1"/>
  <c r="B82" i="40" s="1"/>
  <c r="B83" i="40" s="1"/>
  <c r="B84" i="40" s="1"/>
  <c r="B85" i="40" s="1"/>
  <c r="B86" i="40" s="1"/>
  <c r="B87" i="40" s="1"/>
  <c r="B88" i="40" s="1"/>
  <c r="B89" i="40" s="1"/>
  <c r="B90" i="40" s="1"/>
  <c r="B91" i="40" s="1"/>
  <c r="B92" i="40" s="1"/>
  <c r="B93" i="40" s="1"/>
  <c r="B94" i="40" s="1"/>
  <c r="B95" i="40" s="1"/>
  <c r="B96" i="40" s="1"/>
  <c r="B97" i="40" s="1"/>
  <c r="B98" i="40" s="1"/>
  <c r="B99" i="40" s="1"/>
  <c r="B100" i="40" s="1"/>
  <c r="B101" i="40" s="1"/>
  <c r="B102" i="40" s="1"/>
  <c r="B103" i="40" s="1"/>
  <c r="B104" i="40" s="1"/>
  <c r="B105" i="40" s="1"/>
  <c r="B106" i="40" s="1"/>
  <c r="B107" i="40" s="1"/>
  <c r="B108" i="40" s="1"/>
  <c r="B109" i="40" s="1"/>
  <c r="B110" i="40" s="1"/>
  <c r="B111" i="40" s="1"/>
  <c r="B112" i="40" s="1"/>
  <c r="B113" i="40" s="1"/>
  <c r="B114" i="40" s="1"/>
  <c r="B115" i="40" s="1"/>
  <c r="B116" i="40" s="1"/>
  <c r="B117" i="40" s="1"/>
  <c r="B118" i="40" s="1"/>
  <c r="B119" i="40" s="1"/>
  <c r="B120" i="40" s="1"/>
  <c r="B121" i="40" s="1"/>
  <c r="B122" i="40" s="1"/>
  <c r="B123" i="40" s="1"/>
  <c r="B124" i="40" s="1"/>
  <c r="B125" i="40" s="1"/>
  <c r="B126" i="40" s="1"/>
  <c r="B127" i="40" s="1"/>
  <c r="B128" i="40" s="1"/>
  <c r="B129" i="40" s="1"/>
  <c r="B130" i="40" s="1"/>
  <c r="B131" i="40" s="1"/>
  <c r="B132" i="40" s="1"/>
  <c r="B133" i="40" s="1"/>
  <c r="B134" i="40" s="1"/>
  <c r="B135" i="40" s="1"/>
  <c r="B136" i="40" s="1"/>
  <c r="B137" i="40" s="1"/>
  <c r="B138" i="40" s="1"/>
  <c r="B139" i="40" s="1"/>
  <c r="B140" i="40" s="1"/>
  <c r="B141" i="40" s="1"/>
  <c r="B142" i="40" s="1"/>
  <c r="B143" i="40" s="1"/>
  <c r="B144" i="40" s="1"/>
  <c r="B145" i="40" s="1"/>
  <c r="B146" i="40" s="1"/>
  <c r="B147" i="40" s="1"/>
  <c r="B148" i="40" s="1"/>
  <c r="B149" i="40" s="1"/>
  <c r="B150" i="40" s="1"/>
  <c r="B151" i="40" s="1"/>
  <c r="B152" i="40" s="1"/>
  <c r="B153" i="40" s="1"/>
  <c r="B154" i="40" s="1"/>
  <c r="B155" i="40" s="1"/>
  <c r="B156" i="40" s="1"/>
  <c r="B157" i="40" s="1"/>
  <c r="B158" i="40" s="1"/>
  <c r="B159" i="40" s="1"/>
  <c r="B160" i="40" s="1"/>
  <c r="B161" i="40" s="1"/>
  <c r="B162" i="40" s="1"/>
  <c r="B163" i="40" s="1"/>
  <c r="B164" i="40" s="1"/>
  <c r="B165" i="40" s="1"/>
  <c r="B166" i="40" s="1"/>
  <c r="B167" i="40" s="1"/>
  <c r="B168" i="40" s="1"/>
  <c r="B169" i="40" s="1"/>
  <c r="B170" i="40" s="1"/>
  <c r="B171" i="40" s="1"/>
  <c r="B172" i="40" s="1"/>
  <c r="B173" i="40" s="1"/>
  <c r="B174" i="40" s="1"/>
  <c r="B175" i="40" s="1"/>
  <c r="B176" i="40" s="1"/>
  <c r="B177" i="40" s="1"/>
  <c r="B178" i="40" s="1"/>
  <c r="B179" i="40" s="1"/>
  <c r="B180" i="40" s="1"/>
  <c r="B181" i="40" s="1"/>
  <c r="B182" i="40" s="1"/>
  <c r="B183" i="40" s="1"/>
  <c r="B184" i="40" s="1"/>
  <c r="B185" i="40" s="1"/>
  <c r="B186" i="40" s="1"/>
  <c r="B187" i="40" s="1"/>
  <c r="B188" i="40" s="1"/>
  <c r="B189" i="40" s="1"/>
  <c r="B190" i="40" s="1"/>
  <c r="B191" i="40" s="1"/>
  <c r="B192" i="40" s="1"/>
  <c r="B193" i="40" s="1"/>
  <c r="B194" i="40" s="1"/>
  <c r="B195" i="40" s="1"/>
  <c r="B196" i="40" s="1"/>
  <c r="B197" i="40" s="1"/>
  <c r="B198" i="40" s="1"/>
  <c r="B199" i="40" s="1"/>
  <c r="B200" i="40" s="1"/>
  <c r="B201" i="40" s="1"/>
  <c r="B202" i="40" s="1"/>
  <c r="B203" i="40" s="1"/>
  <c r="B204" i="40" s="1"/>
  <c r="B205" i="40" s="1"/>
  <c r="B206" i="40" s="1"/>
  <c r="B207" i="40" s="1"/>
  <c r="B208" i="40" s="1"/>
  <c r="B209" i="40" s="1"/>
  <c r="B210" i="40" s="1"/>
  <c r="B211" i="40" s="1"/>
  <c r="B212" i="40" s="1"/>
  <c r="B213" i="40" s="1"/>
  <c r="B214" i="40" s="1"/>
  <c r="B215" i="40" s="1"/>
  <c r="B216" i="40" s="1"/>
  <c r="B217" i="40" s="1"/>
  <c r="B218" i="40" s="1"/>
  <c r="B219" i="40" s="1"/>
  <c r="B220" i="40" s="1"/>
  <c r="B221" i="40" s="1"/>
  <c r="B222" i="40" s="1"/>
  <c r="B223" i="40" s="1"/>
  <c r="B224" i="40" s="1"/>
  <c r="B225" i="40" s="1"/>
  <c r="B226" i="40" s="1"/>
  <c r="B227" i="40" s="1"/>
  <c r="B228" i="40" s="1"/>
  <c r="B229" i="40" s="1"/>
  <c r="B230" i="40" s="1"/>
  <c r="B231" i="40" s="1"/>
  <c r="B232" i="40" s="1"/>
  <c r="B233" i="40" s="1"/>
  <c r="B234" i="40" s="1"/>
  <c r="B235" i="40" s="1"/>
  <c r="B236" i="40" s="1"/>
  <c r="B237" i="40" s="1"/>
  <c r="B238" i="40" s="1"/>
  <c r="B239" i="40" s="1"/>
  <c r="B240" i="40" s="1"/>
  <c r="B241" i="40" s="1"/>
  <c r="B242" i="40" s="1"/>
  <c r="B243" i="40" s="1"/>
  <c r="B244" i="40" s="1"/>
  <c r="B245" i="40" s="1"/>
  <c r="B246" i="40" s="1"/>
  <c r="B247" i="40" s="1"/>
  <c r="B248" i="40" s="1"/>
  <c r="B249" i="40" s="1"/>
  <c r="B250" i="40" s="1"/>
  <c r="B251" i="40" s="1"/>
  <c r="B252" i="40" s="1"/>
  <c r="B253" i="40" s="1"/>
  <c r="B254" i="40" s="1"/>
  <c r="B255" i="40" s="1"/>
  <c r="B256" i="40" s="1"/>
  <c r="B257" i="40" s="1"/>
  <c r="B258" i="40" s="1"/>
  <c r="B259" i="40" s="1"/>
  <c r="B260" i="40" s="1"/>
  <c r="B261" i="40" s="1"/>
  <c r="B262" i="40" s="1"/>
  <c r="B263" i="40" s="1"/>
  <c r="B264" i="40" s="1"/>
  <c r="B265" i="40" s="1"/>
  <c r="B266" i="40" s="1"/>
  <c r="B267" i="40" s="1"/>
  <c r="B268" i="40" s="1"/>
  <c r="B269" i="40" s="1"/>
  <c r="B270" i="40" s="1"/>
  <c r="B271" i="40" s="1"/>
  <c r="B272" i="40" s="1"/>
  <c r="B273" i="40" s="1"/>
  <c r="B274" i="40" s="1"/>
  <c r="B275" i="40" s="1"/>
  <c r="B276" i="40" s="1"/>
  <c r="B277" i="40" s="1"/>
  <c r="B278" i="40" s="1"/>
  <c r="B279" i="40" s="1"/>
  <c r="B280" i="40" s="1"/>
  <c r="B281" i="40" s="1"/>
  <c r="B282" i="40" s="1"/>
  <c r="B283" i="40" s="1"/>
  <c r="B284" i="40" s="1"/>
  <c r="B285" i="40" s="1"/>
  <c r="B286" i="40" s="1"/>
  <c r="B287" i="40" s="1"/>
  <c r="B288" i="40" s="1"/>
  <c r="B289" i="40" s="1"/>
  <c r="B290" i="40" s="1"/>
  <c r="B291" i="40" s="1"/>
  <c r="B292" i="40" s="1"/>
  <c r="B293" i="40" s="1"/>
  <c r="B294" i="40" s="1"/>
  <c r="B295" i="40" s="1"/>
  <c r="B296" i="40" s="1"/>
  <c r="B297" i="40" s="1"/>
  <c r="B298" i="40" s="1"/>
  <c r="B299" i="40" s="1"/>
  <c r="B300" i="40" s="1"/>
  <c r="B301" i="40" s="1"/>
  <c r="B302" i="40" s="1"/>
  <c r="B303" i="40" s="1"/>
  <c r="B34" i="40"/>
  <c r="B11" i="40"/>
  <c r="B12" i="40" s="1"/>
  <c r="B13" i="40" s="1"/>
  <c r="B14" i="40" s="1"/>
  <c r="B15" i="40" s="1"/>
  <c r="B16" i="40" s="1"/>
  <c r="B17" i="40" s="1"/>
  <c r="B18" i="40" s="1"/>
  <c r="B19" i="40" s="1"/>
  <c r="B20" i="40" s="1"/>
  <c r="B21" i="40" s="1"/>
  <c r="B22" i="40" s="1"/>
  <c r="B23" i="40" s="1"/>
  <c r="B24" i="40" s="1"/>
  <c r="B25" i="40" s="1"/>
  <c r="B26" i="40" s="1"/>
  <c r="B27" i="40" s="1"/>
  <c r="B28" i="40" s="1"/>
  <c r="B29" i="40" s="1"/>
  <c r="B30" i="40" s="1"/>
  <c r="B31" i="40" s="1"/>
  <c r="B32" i="40" s="1"/>
  <c r="B33" i="40" s="1"/>
  <c r="B10" i="40"/>
  <c r="B9" i="40"/>
  <c r="E38" i="40"/>
  <c r="E39" i="40"/>
  <c r="E40" i="40" s="1"/>
  <c r="E41" i="40" s="1"/>
  <c r="E42" i="40" s="1"/>
  <c r="E43" i="40" s="1"/>
  <c r="E44" i="40" s="1"/>
  <c r="E45" i="40" s="1"/>
  <c r="E46" i="40" s="1"/>
  <c r="E47" i="40" s="1"/>
  <c r="E48" i="40" s="1"/>
  <c r="E49" i="40" s="1"/>
  <c r="E50" i="40" s="1"/>
  <c r="E51" i="40" s="1"/>
  <c r="E52" i="40" s="1"/>
  <c r="E53" i="40" s="1"/>
  <c r="E54" i="40" s="1"/>
  <c r="E55" i="40" s="1"/>
  <c r="E56" i="40" s="1"/>
  <c r="E57" i="40" s="1"/>
  <c r="E58" i="40" s="1"/>
  <c r="E59" i="40" s="1"/>
  <c r="E60" i="40" s="1"/>
  <c r="E61" i="40" s="1"/>
  <c r="E62" i="40" s="1"/>
  <c r="E63" i="40" s="1"/>
  <c r="E64" i="40" s="1"/>
  <c r="E65" i="40" s="1"/>
  <c r="E66" i="40" s="1"/>
  <c r="E67" i="40" s="1"/>
  <c r="E68" i="40" s="1"/>
  <c r="E69" i="40" s="1"/>
  <c r="E70" i="40" s="1"/>
  <c r="E71" i="40" s="1"/>
  <c r="E72" i="40" s="1"/>
  <c r="E73" i="40" s="1"/>
  <c r="E74" i="40" s="1"/>
  <c r="E75" i="40" s="1"/>
  <c r="E76" i="40" s="1"/>
  <c r="E77" i="40" s="1"/>
  <c r="E78" i="40" s="1"/>
  <c r="E79" i="40" s="1"/>
  <c r="E80" i="40" s="1"/>
  <c r="E81" i="40" s="1"/>
  <c r="E82" i="40" s="1"/>
  <c r="E83" i="40" s="1"/>
  <c r="E84" i="40" s="1"/>
  <c r="E85" i="40" s="1"/>
  <c r="E86" i="40" s="1"/>
  <c r="E87" i="40" s="1"/>
  <c r="E88" i="40" s="1"/>
  <c r="E89" i="40" s="1"/>
  <c r="E90" i="40" s="1"/>
  <c r="E91" i="40" s="1"/>
  <c r="E92" i="40" s="1"/>
  <c r="E93" i="40" s="1"/>
  <c r="E94" i="40" s="1"/>
  <c r="E95" i="40" s="1"/>
  <c r="E96" i="40" s="1"/>
  <c r="E97" i="40" s="1"/>
  <c r="E98" i="40" s="1"/>
  <c r="E99" i="40" s="1"/>
  <c r="E100" i="40" s="1"/>
  <c r="E101" i="40" s="1"/>
  <c r="E102" i="40" s="1"/>
  <c r="E103" i="40" s="1"/>
  <c r="E104" i="40" s="1"/>
  <c r="E105" i="40" s="1"/>
  <c r="E106" i="40" s="1"/>
  <c r="E107" i="40" s="1"/>
  <c r="E108" i="40" s="1"/>
  <c r="E109" i="40" s="1"/>
  <c r="E110" i="40" s="1"/>
  <c r="E111" i="40" s="1"/>
  <c r="E112" i="40" s="1"/>
  <c r="E113" i="40" s="1"/>
  <c r="E114" i="40" s="1"/>
  <c r="E115" i="40" s="1"/>
  <c r="E116" i="40" s="1"/>
  <c r="E117" i="40" s="1"/>
  <c r="E118" i="40" s="1"/>
  <c r="E119" i="40" s="1"/>
  <c r="E120" i="40" s="1"/>
  <c r="E121" i="40" s="1"/>
  <c r="E122" i="40" s="1"/>
  <c r="E123" i="40" s="1"/>
  <c r="E124" i="40" s="1"/>
  <c r="E125" i="40" s="1"/>
  <c r="E126" i="40" s="1"/>
  <c r="E127" i="40" s="1"/>
  <c r="E128" i="40" s="1"/>
  <c r="E129" i="40" s="1"/>
  <c r="E130" i="40" s="1"/>
  <c r="E131" i="40" s="1"/>
  <c r="E132" i="40" s="1"/>
  <c r="E133" i="40" s="1"/>
  <c r="E134" i="40" s="1"/>
  <c r="E135" i="40" s="1"/>
  <c r="E136" i="40" s="1"/>
  <c r="E137" i="40" s="1"/>
  <c r="E138" i="40" s="1"/>
  <c r="E139" i="40" s="1"/>
  <c r="E140" i="40" s="1"/>
  <c r="E141" i="40" s="1"/>
  <c r="E142" i="40" s="1"/>
  <c r="E143" i="40" s="1"/>
  <c r="E144" i="40" s="1"/>
  <c r="E145" i="40" s="1"/>
  <c r="E146" i="40" s="1"/>
  <c r="E147" i="40" s="1"/>
  <c r="E148" i="40" s="1"/>
  <c r="E149" i="40" s="1"/>
  <c r="E150" i="40" s="1"/>
  <c r="E151" i="40" s="1"/>
  <c r="E152" i="40" s="1"/>
  <c r="E153" i="40" s="1"/>
  <c r="E154" i="40" s="1"/>
  <c r="E155" i="40" s="1"/>
  <c r="E156" i="40" s="1"/>
  <c r="E157" i="40" s="1"/>
  <c r="E158" i="40" s="1"/>
  <c r="E159" i="40" s="1"/>
  <c r="E160" i="40" s="1"/>
  <c r="E161" i="40" s="1"/>
  <c r="E162" i="40" s="1"/>
  <c r="E163" i="40" s="1"/>
  <c r="E164" i="40" s="1"/>
  <c r="E165" i="40" s="1"/>
  <c r="E166" i="40" s="1"/>
  <c r="E167" i="40" s="1"/>
  <c r="E168" i="40" s="1"/>
  <c r="E169" i="40" s="1"/>
  <c r="E170" i="40" s="1"/>
  <c r="E171" i="40" s="1"/>
  <c r="E172" i="40" s="1"/>
  <c r="E173" i="40" s="1"/>
  <c r="E174" i="40" s="1"/>
  <c r="E175" i="40" s="1"/>
  <c r="E176" i="40" s="1"/>
  <c r="E177" i="40" s="1"/>
  <c r="E178" i="40" s="1"/>
  <c r="E179" i="40" s="1"/>
  <c r="E180" i="40" s="1"/>
  <c r="E181" i="40" s="1"/>
  <c r="E182" i="40" s="1"/>
  <c r="E183" i="40" s="1"/>
  <c r="E184" i="40" s="1"/>
  <c r="E185" i="40" s="1"/>
  <c r="E186" i="40" s="1"/>
  <c r="E187" i="40" s="1"/>
  <c r="E188" i="40" s="1"/>
  <c r="E189" i="40" s="1"/>
  <c r="E190" i="40" s="1"/>
  <c r="E191" i="40" s="1"/>
  <c r="E192" i="40" s="1"/>
  <c r="E193" i="40" s="1"/>
  <c r="E194" i="40" s="1"/>
  <c r="E195" i="40" s="1"/>
  <c r="E196" i="40" s="1"/>
  <c r="E197" i="40" s="1"/>
  <c r="E198" i="40" s="1"/>
  <c r="E199" i="40" s="1"/>
  <c r="E200" i="40" s="1"/>
  <c r="E201" i="40" s="1"/>
  <c r="E202" i="40" s="1"/>
  <c r="E203" i="40" s="1"/>
  <c r="E204" i="40" s="1"/>
  <c r="E205" i="40" s="1"/>
  <c r="E206" i="40" s="1"/>
  <c r="E207" i="40" s="1"/>
  <c r="E208" i="40" s="1"/>
  <c r="E209" i="40" s="1"/>
  <c r="E210" i="40" s="1"/>
  <c r="E211" i="40" s="1"/>
  <c r="E212" i="40" s="1"/>
  <c r="E213" i="40" s="1"/>
  <c r="E214" i="40" s="1"/>
  <c r="E215" i="40" s="1"/>
  <c r="E216" i="40" s="1"/>
  <c r="E217" i="40" s="1"/>
  <c r="E218" i="40" s="1"/>
  <c r="E219" i="40" s="1"/>
  <c r="E220" i="40" s="1"/>
  <c r="E221" i="40" s="1"/>
  <c r="E222" i="40" s="1"/>
  <c r="E223" i="40" s="1"/>
  <c r="E224" i="40" s="1"/>
  <c r="E225" i="40" s="1"/>
  <c r="E226" i="40" s="1"/>
  <c r="E227" i="40" s="1"/>
  <c r="E228" i="40" s="1"/>
  <c r="E229" i="40" s="1"/>
  <c r="E230" i="40" s="1"/>
  <c r="E231" i="40" s="1"/>
  <c r="E232" i="40" s="1"/>
  <c r="E233" i="40" s="1"/>
  <c r="E234" i="40" s="1"/>
  <c r="E235" i="40" s="1"/>
  <c r="E236" i="40" s="1"/>
  <c r="E237" i="40" s="1"/>
  <c r="E238" i="40" s="1"/>
  <c r="E239" i="40" s="1"/>
  <c r="E240" i="40" s="1"/>
  <c r="E241" i="40" s="1"/>
  <c r="E242" i="40" s="1"/>
  <c r="E243" i="40" s="1"/>
  <c r="E244" i="40" s="1"/>
  <c r="E245" i="40" s="1"/>
  <c r="E246" i="40" s="1"/>
  <c r="E247" i="40" s="1"/>
  <c r="E248" i="40" s="1"/>
  <c r="E249" i="40" s="1"/>
  <c r="E250" i="40" s="1"/>
  <c r="E251" i="40" s="1"/>
  <c r="E252" i="40" s="1"/>
  <c r="E253" i="40" s="1"/>
  <c r="E254" i="40" s="1"/>
  <c r="E255" i="40" s="1"/>
  <c r="E256" i="40" s="1"/>
  <c r="E257" i="40" s="1"/>
  <c r="E258" i="40" s="1"/>
  <c r="E259" i="40" s="1"/>
  <c r="E260" i="40" s="1"/>
  <c r="E261" i="40" s="1"/>
  <c r="E262" i="40" s="1"/>
  <c r="E263" i="40" s="1"/>
  <c r="E264" i="40" s="1"/>
  <c r="E265" i="40" s="1"/>
  <c r="E266" i="40" s="1"/>
  <c r="E267" i="40" s="1"/>
  <c r="E268" i="40" s="1"/>
  <c r="E269" i="40" s="1"/>
  <c r="E270" i="40" s="1"/>
  <c r="E271" i="40" s="1"/>
  <c r="E272" i="40" s="1"/>
  <c r="E273" i="40" s="1"/>
  <c r="E274" i="40" s="1"/>
  <c r="E275" i="40" s="1"/>
  <c r="E276" i="40" s="1"/>
  <c r="E277" i="40" s="1"/>
  <c r="E278" i="40" s="1"/>
  <c r="E279" i="40" s="1"/>
  <c r="E280" i="40" s="1"/>
  <c r="E281" i="40" s="1"/>
  <c r="E282" i="40" s="1"/>
  <c r="E283" i="40" s="1"/>
  <c r="E284" i="40" s="1"/>
  <c r="E285" i="40" s="1"/>
  <c r="E286" i="40" s="1"/>
  <c r="E287" i="40" s="1"/>
  <c r="E288" i="40" s="1"/>
  <c r="E289" i="40" s="1"/>
  <c r="E290" i="40" s="1"/>
  <c r="E291" i="40" s="1"/>
  <c r="E292" i="40" s="1"/>
  <c r="E293" i="40" s="1"/>
  <c r="E294" i="40" s="1"/>
  <c r="E295" i="40" s="1"/>
  <c r="E296" i="40" s="1"/>
  <c r="E297" i="40" s="1"/>
  <c r="E298" i="40" s="1"/>
  <c r="E299" i="40" s="1"/>
  <c r="E300" i="40" s="1"/>
  <c r="E301" i="40" s="1"/>
  <c r="E302" i="40" s="1"/>
  <c r="E303" i="40" s="1"/>
  <c r="E36" i="40"/>
  <c r="E37" i="40"/>
  <c r="E35" i="40"/>
  <c r="E34" i="40"/>
  <c r="E11" i="40"/>
  <c r="E12" i="40"/>
  <c r="E13" i="40"/>
  <c r="E14" i="40"/>
  <c r="E15" i="40" s="1"/>
  <c r="E16" i="40" s="1"/>
  <c r="E17" i="40" s="1"/>
  <c r="E18" i="40" s="1"/>
  <c r="E19" i="40" s="1"/>
  <c r="E20" i="40" s="1"/>
  <c r="E21" i="40" s="1"/>
  <c r="E22" i="40" s="1"/>
  <c r="E23" i="40" s="1"/>
  <c r="E24" i="40" s="1"/>
  <c r="E25" i="40" s="1"/>
  <c r="E26" i="40" s="1"/>
  <c r="E27" i="40" s="1"/>
  <c r="E28" i="40" s="1"/>
  <c r="E29" i="40" s="1"/>
  <c r="E30" i="40" s="1"/>
  <c r="E31" i="40" s="1"/>
  <c r="E32" i="40" s="1"/>
  <c r="E33" i="40" s="1"/>
  <c r="E10" i="40"/>
  <c r="E9" i="40"/>
  <c r="F549" i="15"/>
  <c r="F548" i="15"/>
  <c r="F547" i="15"/>
  <c r="J124" i="60"/>
  <c r="J243" i="60"/>
  <c r="J17" i="60"/>
  <c r="J55" i="60"/>
  <c r="G541" i="60"/>
  <c r="C541" i="60"/>
  <c r="G540" i="60"/>
  <c r="C540" i="60"/>
  <c r="A526" i="60"/>
  <c r="A528" i="60" s="1"/>
  <c r="Q524" i="60"/>
  <c r="L524" i="60"/>
  <c r="N522" i="60"/>
  <c r="M522" i="60"/>
  <c r="L522" i="60"/>
  <c r="A522" i="60"/>
  <c r="N520" i="60"/>
  <c r="M520" i="60"/>
  <c r="L520" i="60"/>
  <c r="M515" i="60"/>
  <c r="N515" i="60" s="1"/>
  <c r="K515" i="60"/>
  <c r="J515" i="60"/>
  <c r="K509" i="60"/>
  <c r="J507" i="60"/>
  <c r="J509" i="60" s="1"/>
  <c r="J506" i="60"/>
  <c r="J505" i="60"/>
  <c r="J504" i="60"/>
  <c r="J503" i="60"/>
  <c r="K499" i="60"/>
  <c r="M499" i="60" s="1"/>
  <c r="N499" i="60" s="1"/>
  <c r="J496" i="60"/>
  <c r="G495" i="60"/>
  <c r="J495" i="60" s="1"/>
  <c r="G494" i="60"/>
  <c r="J494" i="60" s="1"/>
  <c r="J492" i="60"/>
  <c r="J491" i="60"/>
  <c r="J490" i="60"/>
  <c r="J489" i="60"/>
  <c r="J488" i="60"/>
  <c r="J487" i="60"/>
  <c r="J486" i="60"/>
  <c r="G484" i="60"/>
  <c r="J484" i="60" s="1"/>
  <c r="G483" i="60"/>
  <c r="J483" i="60" s="1"/>
  <c r="G482" i="60"/>
  <c r="J482" i="60" s="1"/>
  <c r="G481" i="60"/>
  <c r="J481" i="60" s="1"/>
  <c r="J497" i="60" s="1"/>
  <c r="J499" i="60" s="1"/>
  <c r="A479" i="60"/>
  <c r="A502" i="60" s="1"/>
  <c r="A512" i="60" s="1"/>
  <c r="K476" i="60"/>
  <c r="J473" i="60"/>
  <c r="J472" i="60"/>
  <c r="J471" i="60"/>
  <c r="J470" i="60"/>
  <c r="J469" i="60"/>
  <c r="G466" i="60"/>
  <c r="J466" i="60" s="1"/>
  <c r="G465" i="60"/>
  <c r="J465" i="60" s="1"/>
  <c r="G464" i="60"/>
  <c r="J464" i="60" s="1"/>
  <c r="J463" i="60"/>
  <c r="G463" i="60"/>
  <c r="G462" i="60"/>
  <c r="J462" i="60" s="1"/>
  <c r="G460" i="60"/>
  <c r="J460" i="60" s="1"/>
  <c r="G459" i="60"/>
  <c r="J459" i="60" s="1"/>
  <c r="J458" i="60"/>
  <c r="H458" i="60"/>
  <c r="G458" i="60"/>
  <c r="H457" i="60"/>
  <c r="G457" i="60"/>
  <c r="J457" i="60" s="1"/>
  <c r="H456" i="60"/>
  <c r="G456" i="60"/>
  <c r="J456" i="60" s="1"/>
  <c r="H455" i="60"/>
  <c r="G455" i="60"/>
  <c r="J455" i="60" s="1"/>
  <c r="O450" i="60"/>
  <c r="P450" i="60" s="1"/>
  <c r="K450" i="60"/>
  <c r="M450" i="60" s="1"/>
  <c r="N450" i="60" s="1"/>
  <c r="J447" i="60"/>
  <c r="G446" i="60"/>
  <c r="J446" i="60" s="1"/>
  <c r="G445" i="60"/>
  <c r="J445" i="60" s="1"/>
  <c r="J448" i="60" s="1"/>
  <c r="J450" i="60" s="1"/>
  <c r="O441" i="60"/>
  <c r="K441" i="60"/>
  <c r="J438" i="60"/>
  <c r="J437" i="60"/>
  <c r="G436" i="60"/>
  <c r="J436" i="60" s="1"/>
  <c r="G435" i="60"/>
  <c r="J435" i="60" s="1"/>
  <c r="G434" i="60"/>
  <c r="J434" i="60" s="1"/>
  <c r="G433" i="60"/>
  <c r="J433" i="60" s="1"/>
  <c r="G432" i="60"/>
  <c r="J432" i="60" s="1"/>
  <c r="C431" i="60"/>
  <c r="A431" i="60"/>
  <c r="O428" i="60"/>
  <c r="P428" i="60" s="1"/>
  <c r="M428" i="60"/>
  <c r="N428" i="60" s="1"/>
  <c r="K428" i="60"/>
  <c r="J428" i="60"/>
  <c r="J424" i="60"/>
  <c r="J423" i="60"/>
  <c r="J422" i="60"/>
  <c r="H421" i="60"/>
  <c r="J421" i="60" s="1"/>
  <c r="G421" i="60"/>
  <c r="H420" i="60"/>
  <c r="G420" i="60"/>
  <c r="J420" i="60" s="1"/>
  <c r="H419" i="60"/>
  <c r="G419" i="60"/>
  <c r="J419" i="60" s="1"/>
  <c r="J418" i="60"/>
  <c r="H418" i="60"/>
  <c r="G418" i="60"/>
  <c r="H417" i="60"/>
  <c r="G417" i="60"/>
  <c r="J417" i="60" s="1"/>
  <c r="J425" i="60" s="1"/>
  <c r="P413" i="60"/>
  <c r="M413" i="60"/>
  <c r="N413" i="60" s="1"/>
  <c r="K413" i="60"/>
  <c r="J409" i="60"/>
  <c r="J408" i="60"/>
  <c r="J407" i="60"/>
  <c r="J406" i="60"/>
  <c r="J405" i="60"/>
  <c r="J410" i="60" s="1"/>
  <c r="J402" i="60"/>
  <c r="G401" i="60"/>
  <c r="J401" i="60" s="1"/>
  <c r="G400" i="60"/>
  <c r="J400" i="60" s="1"/>
  <c r="G399" i="60"/>
  <c r="J399" i="60" s="1"/>
  <c r="G398" i="60"/>
  <c r="J398" i="60" s="1"/>
  <c r="G397" i="60"/>
  <c r="J397" i="60" s="1"/>
  <c r="J403" i="60" s="1"/>
  <c r="O392" i="60"/>
  <c r="K392" i="60"/>
  <c r="J386" i="60"/>
  <c r="J385" i="60"/>
  <c r="J384" i="60"/>
  <c r="J383" i="60"/>
  <c r="J382" i="60"/>
  <c r="J381" i="60"/>
  <c r="J380" i="60"/>
  <c r="J378" i="60"/>
  <c r="J377" i="60"/>
  <c r="J376" i="60"/>
  <c r="G375" i="60"/>
  <c r="J375" i="60" s="1"/>
  <c r="G374" i="60"/>
  <c r="J374" i="60" s="1"/>
  <c r="J373" i="60"/>
  <c r="G373" i="60"/>
  <c r="G372" i="60"/>
  <c r="J372" i="60" s="1"/>
  <c r="Q364" i="60"/>
  <c r="Q525" i="60" s="1"/>
  <c r="P361" i="60"/>
  <c r="J359" i="60"/>
  <c r="J360" i="60" s="1"/>
  <c r="J358" i="60"/>
  <c r="J357" i="60"/>
  <c r="J356" i="60"/>
  <c r="A354" i="60"/>
  <c r="O351" i="60"/>
  <c r="P351" i="60" s="1"/>
  <c r="M351" i="60"/>
  <c r="N351" i="60" s="1"/>
  <c r="K351" i="60"/>
  <c r="J347" i="60"/>
  <c r="J346" i="60"/>
  <c r="J345" i="60"/>
  <c r="H344" i="60"/>
  <c r="J344" i="60" s="1"/>
  <c r="G344" i="60"/>
  <c r="H343" i="60"/>
  <c r="G343" i="60"/>
  <c r="J343" i="60" s="1"/>
  <c r="H342" i="60"/>
  <c r="G342" i="60"/>
  <c r="J342" i="60" s="1"/>
  <c r="J341" i="60"/>
  <c r="H341" i="60"/>
  <c r="G341" i="60"/>
  <c r="H340" i="60"/>
  <c r="G340" i="60"/>
  <c r="J340" i="60" s="1"/>
  <c r="J348" i="60" s="1"/>
  <c r="J349" i="60" s="1"/>
  <c r="P336" i="60"/>
  <c r="M336" i="60"/>
  <c r="N336" i="60" s="1"/>
  <c r="K336" i="60"/>
  <c r="J332" i="60"/>
  <c r="J331" i="60"/>
  <c r="J330" i="60"/>
  <c r="J329" i="60"/>
  <c r="J328" i="60"/>
  <c r="J333" i="60" s="1"/>
  <c r="J325" i="60"/>
  <c r="G324" i="60"/>
  <c r="J324" i="60" s="1"/>
  <c r="G323" i="60"/>
  <c r="J323" i="60" s="1"/>
  <c r="G322" i="60"/>
  <c r="J322" i="60" s="1"/>
  <c r="G321" i="60"/>
  <c r="J321" i="60" s="1"/>
  <c r="G320" i="60"/>
  <c r="J320" i="60" s="1"/>
  <c r="J326" i="60" s="1"/>
  <c r="J316" i="60"/>
  <c r="J312" i="60"/>
  <c r="A310" i="60"/>
  <c r="J307" i="60"/>
  <c r="J302" i="60"/>
  <c r="J297" i="60"/>
  <c r="P292" i="60"/>
  <c r="M292" i="60"/>
  <c r="N292" i="60" s="1"/>
  <c r="K292" i="60"/>
  <c r="J288" i="60"/>
  <c r="J287" i="60"/>
  <c r="J286" i="60"/>
  <c r="J285" i="60"/>
  <c r="J284" i="60"/>
  <c r="J289" i="60" s="1"/>
  <c r="J281" i="60"/>
  <c r="G280" i="60"/>
  <c r="J280" i="60" s="1"/>
  <c r="G279" i="60"/>
  <c r="J279" i="60" s="1"/>
  <c r="G278" i="60"/>
  <c r="J278" i="60" s="1"/>
  <c r="G277" i="60"/>
  <c r="J277" i="60" s="1"/>
  <c r="G276" i="60"/>
  <c r="J276" i="60" s="1"/>
  <c r="J282" i="60" s="1"/>
  <c r="J290" i="60" s="1"/>
  <c r="O271" i="60"/>
  <c r="P271" i="60" s="1"/>
  <c r="K271" i="60"/>
  <c r="M271" i="60" s="1"/>
  <c r="N271" i="60" s="1"/>
  <c r="G268" i="60"/>
  <c r="J268" i="60" s="1"/>
  <c r="G267" i="60"/>
  <c r="J267" i="60" s="1"/>
  <c r="J266" i="60"/>
  <c r="H266" i="60"/>
  <c r="G266" i="60"/>
  <c r="H265" i="60"/>
  <c r="G265" i="60"/>
  <c r="J265" i="60" s="1"/>
  <c r="H264" i="60"/>
  <c r="G264" i="60"/>
  <c r="J264" i="60" s="1"/>
  <c r="H263" i="60"/>
  <c r="G263" i="60"/>
  <c r="J263" i="60" s="1"/>
  <c r="J260" i="60"/>
  <c r="O259" i="60"/>
  <c r="J259" i="60"/>
  <c r="C256" i="60"/>
  <c r="O253" i="60"/>
  <c r="J253" i="60"/>
  <c r="A250" i="60"/>
  <c r="A262" i="60" s="1"/>
  <c r="A274" i="60" s="1"/>
  <c r="K248" i="60"/>
  <c r="K246" i="60"/>
  <c r="J245" i="60"/>
  <c r="P245" i="60" s="1"/>
  <c r="K239" i="60"/>
  <c r="K238" i="60"/>
  <c r="K247" i="60" s="1"/>
  <c r="L247" i="60" s="1"/>
  <c r="N247" i="60" s="1"/>
  <c r="G234" i="60"/>
  <c r="J234" i="60" s="1"/>
  <c r="I233" i="60"/>
  <c r="J233" i="60" s="1"/>
  <c r="G233" i="60"/>
  <c r="I232" i="60"/>
  <c r="J232" i="60" s="1"/>
  <c r="G232" i="60"/>
  <c r="J231" i="60"/>
  <c r="K227" i="60"/>
  <c r="O226" i="60"/>
  <c r="P226" i="60" s="1"/>
  <c r="K210" i="60"/>
  <c r="O209" i="60"/>
  <c r="C186" i="60"/>
  <c r="K184" i="60"/>
  <c r="O183" i="60"/>
  <c r="K175" i="60"/>
  <c r="O174" i="60"/>
  <c r="J174" i="60"/>
  <c r="P174" i="60" s="1"/>
  <c r="K165" i="60"/>
  <c r="O164" i="60"/>
  <c r="O153" i="60"/>
  <c r="J153" i="60"/>
  <c r="R151" i="60"/>
  <c r="O147" i="60"/>
  <c r="O138" i="60"/>
  <c r="J138" i="60"/>
  <c r="P138" i="60" s="1"/>
  <c r="O126" i="60"/>
  <c r="O115" i="60"/>
  <c r="J115" i="60"/>
  <c r="P115" i="60" s="1"/>
  <c r="O109" i="60"/>
  <c r="J109" i="60"/>
  <c r="P109" i="60" s="1"/>
  <c r="A105" i="60"/>
  <c r="A156" i="60" s="1"/>
  <c r="A167" i="60" s="1"/>
  <c r="A177" i="60" s="1"/>
  <c r="A186" i="60" s="1"/>
  <c r="A212" i="60" s="1"/>
  <c r="A229" i="60" s="1"/>
  <c r="O102" i="60"/>
  <c r="K102" i="60"/>
  <c r="J101" i="60"/>
  <c r="J102" i="60" s="1"/>
  <c r="P102" i="60" s="1"/>
  <c r="O93" i="60"/>
  <c r="O72" i="60"/>
  <c r="J72" i="60"/>
  <c r="C68" i="60"/>
  <c r="O65" i="60"/>
  <c r="P65" i="60" s="1"/>
  <c r="K65" i="60"/>
  <c r="M65" i="60" s="1"/>
  <c r="N65" i="60" s="1"/>
  <c r="J65" i="60"/>
  <c r="J64" i="60"/>
  <c r="O57" i="60"/>
  <c r="A33" i="60"/>
  <c r="K31" i="60"/>
  <c r="L30" i="60"/>
  <c r="N30" i="60" s="1"/>
  <c r="K30" i="60"/>
  <c r="J30" i="60"/>
  <c r="K29" i="60"/>
  <c r="P28" i="60"/>
  <c r="K28" i="60"/>
  <c r="M28" i="60" s="1"/>
  <c r="J26" i="60"/>
  <c r="J25" i="60"/>
  <c r="J27" i="60" s="1"/>
  <c r="J24" i="60"/>
  <c r="J23" i="60"/>
  <c r="J22" i="60"/>
  <c r="J21" i="60"/>
  <c r="J20" i="60"/>
  <c r="A19" i="60"/>
  <c r="J16" i="60"/>
  <c r="P17" i="60" s="1"/>
  <c r="D5" i="60"/>
  <c r="G5" i="60" s="1"/>
  <c r="H5" i="60" s="1"/>
  <c r="I5" i="60" s="1"/>
  <c r="J5" i="60" s="1"/>
  <c r="K5" i="60" s="1"/>
  <c r="L5" i="60" s="1"/>
  <c r="M5" i="60" s="1"/>
  <c r="N5" i="60" s="1"/>
  <c r="O5" i="60" s="1"/>
  <c r="P5" i="60" s="1"/>
  <c r="Q5" i="60" s="1"/>
  <c r="C5" i="60"/>
  <c r="A2" i="60"/>
  <c r="E26" i="14"/>
  <c r="E27" i="14" s="1"/>
  <c r="H26" i="14"/>
  <c r="H27" i="14" s="1"/>
  <c r="H16" i="14"/>
  <c r="H15" i="14"/>
  <c r="A2" i="58"/>
  <c r="C3" i="54"/>
  <c r="C4" i="54"/>
  <c r="G57" i="56"/>
  <c r="H31" i="56"/>
  <c r="A19" i="56"/>
  <c r="A20" i="56" s="1"/>
  <c r="A21" i="56" s="1"/>
  <c r="A22" i="56" s="1"/>
  <c r="A23" i="56" s="1"/>
  <c r="A24" i="56" s="1"/>
  <c r="A25" i="56" s="1"/>
  <c r="A26" i="56" s="1"/>
  <c r="A27" i="56" s="1"/>
  <c r="A28" i="56" s="1"/>
  <c r="A29" i="56" s="1"/>
  <c r="A30" i="56" s="1"/>
  <c r="A31" i="56" s="1"/>
  <c r="A32" i="56" s="1"/>
  <c r="A33" i="56" s="1"/>
  <c r="A34" i="56" s="1"/>
  <c r="A35" i="56" s="1"/>
  <c r="A36" i="56" s="1"/>
  <c r="A37" i="56" s="1"/>
  <c r="A38" i="56" s="1"/>
  <c r="A39" i="56" s="1"/>
  <c r="A40" i="56" s="1"/>
  <c r="A41" i="56" s="1"/>
  <c r="A42" i="56" s="1"/>
  <c r="A43" i="56" s="1"/>
  <c r="A44" i="56" s="1"/>
  <c r="A45" i="56" s="1"/>
  <c r="A46" i="56" s="1"/>
  <c r="A47" i="56" s="1"/>
  <c r="A48" i="56" s="1"/>
  <c r="A49" i="56" s="1"/>
  <c r="A50" i="56" s="1"/>
  <c r="A51" i="56" s="1"/>
  <c r="A52" i="56" s="1"/>
  <c r="A53" i="56" s="1"/>
  <c r="A54" i="56" s="1"/>
  <c r="A55" i="56" s="1"/>
  <c r="A56" i="56" s="1"/>
  <c r="A59" i="56" s="1"/>
  <c r="E39" i="56"/>
  <c r="E38" i="56"/>
  <c r="E37" i="56"/>
  <c r="E36" i="56"/>
  <c r="E32" i="56"/>
  <c r="E30" i="56"/>
  <c r="E29" i="56"/>
  <c r="E28" i="56"/>
  <c r="E27" i="56"/>
  <c r="E25" i="56"/>
  <c r="E24" i="56"/>
  <c r="E23" i="56"/>
  <c r="E22" i="56"/>
  <c r="E21" i="56"/>
  <c r="E20" i="56"/>
  <c r="E17" i="56"/>
  <c r="J84" i="57"/>
  <c r="J80" i="57"/>
  <c r="J36" i="57"/>
  <c r="J79" i="57"/>
  <c r="R151" i="57"/>
  <c r="H503" i="58"/>
  <c r="F501" i="58"/>
  <c r="H501" i="58" s="1"/>
  <c r="H500" i="58"/>
  <c r="H498" i="58"/>
  <c r="H497" i="58"/>
  <c r="H499" i="58" s="1"/>
  <c r="H491" i="58"/>
  <c r="J489" i="58"/>
  <c r="H488" i="58"/>
  <c r="F488" i="58"/>
  <c r="H487" i="58"/>
  <c r="H483" i="58"/>
  <c r="H482" i="58"/>
  <c r="H478" i="58"/>
  <c r="J476" i="58"/>
  <c r="H475" i="58"/>
  <c r="F475" i="58"/>
  <c r="H474" i="58"/>
  <c r="F465" i="58"/>
  <c r="H465" i="58" s="1"/>
  <c r="E465" i="58"/>
  <c r="H464" i="58"/>
  <c r="G464" i="58"/>
  <c r="E464" i="58"/>
  <c r="H463" i="58"/>
  <c r="G463" i="58"/>
  <c r="E463" i="58"/>
  <c r="H462" i="58"/>
  <c r="H461" i="58"/>
  <c r="H455" i="58"/>
  <c r="J453" i="58"/>
  <c r="F452" i="58"/>
  <c r="H452" i="58" s="1"/>
  <c r="H451" i="58"/>
  <c r="H447" i="58"/>
  <c r="H448" i="58" s="1"/>
  <c r="H446" i="58"/>
  <c r="H442" i="58"/>
  <c r="J440" i="58"/>
  <c r="F439" i="58"/>
  <c r="H439" i="58" s="1"/>
  <c r="H438" i="58"/>
  <c r="H429" i="58"/>
  <c r="F429" i="58"/>
  <c r="E429" i="58"/>
  <c r="G428" i="58"/>
  <c r="E428" i="58"/>
  <c r="H428" i="58" s="1"/>
  <c r="H427" i="58"/>
  <c r="G427" i="58"/>
  <c r="E427" i="58"/>
  <c r="H426" i="58"/>
  <c r="H425" i="58"/>
  <c r="H419" i="58"/>
  <c r="J417" i="58"/>
  <c r="I416" i="58"/>
  <c r="H416" i="58"/>
  <c r="J416" i="58" s="1"/>
  <c r="F416" i="58"/>
  <c r="H415" i="58"/>
  <c r="H411" i="58"/>
  <c r="H410" i="58"/>
  <c r="H412" i="58" s="1"/>
  <c r="J404" i="58"/>
  <c r="I403" i="58"/>
  <c r="H403" i="58"/>
  <c r="J403" i="58" s="1"/>
  <c r="F403" i="58"/>
  <c r="H402" i="58"/>
  <c r="J393" i="58"/>
  <c r="I393" i="58"/>
  <c r="G393" i="58"/>
  <c r="F393" i="58"/>
  <c r="E393" i="58"/>
  <c r="H392" i="58"/>
  <c r="E392" i="58"/>
  <c r="H391" i="58"/>
  <c r="H394" i="58" s="1"/>
  <c r="E391" i="58"/>
  <c r="H390" i="58"/>
  <c r="H389" i="58"/>
  <c r="J381" i="58"/>
  <c r="I380" i="58"/>
  <c r="H380" i="58"/>
  <c r="J380" i="58" s="1"/>
  <c r="F380" i="58"/>
  <c r="H379" i="58"/>
  <c r="H376" i="58"/>
  <c r="H375" i="58"/>
  <c r="H377" i="58" s="1"/>
  <c r="J369" i="58"/>
  <c r="I368" i="58"/>
  <c r="H368" i="58"/>
  <c r="J368" i="58" s="1"/>
  <c r="F368" i="58"/>
  <c r="H367" i="58"/>
  <c r="G358" i="58"/>
  <c r="J358" i="58" s="1"/>
  <c r="F358" i="58"/>
  <c r="E358" i="58"/>
  <c r="E357" i="58"/>
  <c r="H357" i="58" s="1"/>
  <c r="H356" i="58"/>
  <c r="E356" i="58"/>
  <c r="H355" i="58"/>
  <c r="H354" i="58"/>
  <c r="H359" i="58" s="1"/>
  <c r="J346" i="58"/>
  <c r="I345" i="58"/>
  <c r="F345" i="58"/>
  <c r="H345" i="58" s="1"/>
  <c r="J345" i="58" s="1"/>
  <c r="H344" i="58"/>
  <c r="H340" i="58"/>
  <c r="H339" i="58"/>
  <c r="J333" i="58"/>
  <c r="I332" i="58"/>
  <c r="F332" i="58"/>
  <c r="H332" i="58" s="1"/>
  <c r="J332" i="58" s="1"/>
  <c r="H331" i="58"/>
  <c r="H322" i="58"/>
  <c r="F322" i="58"/>
  <c r="E322" i="58"/>
  <c r="G321" i="58"/>
  <c r="H321" i="58" s="1"/>
  <c r="E321" i="58"/>
  <c r="G320" i="58"/>
  <c r="E320" i="58"/>
  <c r="H320" i="58" s="1"/>
  <c r="H319" i="58"/>
  <c r="H318" i="58"/>
  <c r="I312" i="58"/>
  <c r="J310" i="58"/>
  <c r="F309" i="58"/>
  <c r="H309" i="58" s="1"/>
  <c r="H308" i="58"/>
  <c r="I305" i="58"/>
  <c r="H305" i="58"/>
  <c r="H304" i="58"/>
  <c r="H303" i="58"/>
  <c r="J297" i="58"/>
  <c r="H296" i="58"/>
  <c r="F296" i="58"/>
  <c r="H295" i="58"/>
  <c r="D295" i="58"/>
  <c r="H286" i="58"/>
  <c r="F286" i="58"/>
  <c r="E286" i="58"/>
  <c r="G285" i="58"/>
  <c r="H285" i="58" s="1"/>
  <c r="E285" i="58"/>
  <c r="G284" i="58"/>
  <c r="E284" i="58"/>
  <c r="H284" i="58" s="1"/>
  <c r="H287" i="58" s="1"/>
  <c r="H283" i="58"/>
  <c r="H282" i="58"/>
  <c r="J274" i="58"/>
  <c r="F273" i="58"/>
  <c r="H273" i="58" s="1"/>
  <c r="H272" i="58"/>
  <c r="H268" i="58"/>
  <c r="H267" i="58"/>
  <c r="J261" i="58"/>
  <c r="F260" i="58"/>
  <c r="H260" i="58" s="1"/>
  <c r="J260" i="58" s="1"/>
  <c r="H259" i="58"/>
  <c r="I256" i="58"/>
  <c r="I328" i="58" s="1"/>
  <c r="I255" i="58"/>
  <c r="I291" i="58" s="1"/>
  <c r="J291" i="58" s="1"/>
  <c r="I253" i="58"/>
  <c r="I325" i="58" s="1"/>
  <c r="H250" i="58"/>
  <c r="F250" i="58"/>
  <c r="E250" i="58"/>
  <c r="G249" i="58"/>
  <c r="E249" i="58"/>
  <c r="H249" i="58" s="1"/>
  <c r="G248" i="58"/>
  <c r="E248" i="58"/>
  <c r="H248" i="58" s="1"/>
  <c r="H247" i="58"/>
  <c r="H246" i="58"/>
  <c r="J238" i="58"/>
  <c r="F237" i="58"/>
  <c r="H237" i="58" s="1"/>
  <c r="J237" i="58" s="1"/>
  <c r="H236" i="58"/>
  <c r="H232" i="58"/>
  <c r="H231" i="58"/>
  <c r="H233" i="58" s="1"/>
  <c r="J225" i="58"/>
  <c r="F224" i="58"/>
  <c r="H224" i="58" s="1"/>
  <c r="H223" i="58"/>
  <c r="J220" i="58"/>
  <c r="J219" i="58"/>
  <c r="I218" i="58"/>
  <c r="I254" i="58" s="1"/>
  <c r="J254" i="58" s="1"/>
  <c r="J217" i="58"/>
  <c r="H214" i="58"/>
  <c r="F214" i="58"/>
  <c r="E214" i="58"/>
  <c r="G213" i="58"/>
  <c r="H213" i="58" s="1"/>
  <c r="E213" i="58"/>
  <c r="G212" i="58"/>
  <c r="E212" i="58"/>
  <c r="H212" i="58" s="1"/>
  <c r="H211" i="58"/>
  <c r="H210" i="58"/>
  <c r="J202" i="58"/>
  <c r="H201" i="58"/>
  <c r="H198" i="58"/>
  <c r="H197" i="58"/>
  <c r="H199" i="58" s="1"/>
  <c r="J191" i="58"/>
  <c r="H190" i="58"/>
  <c r="H178" i="58"/>
  <c r="F178" i="58"/>
  <c r="E178" i="58"/>
  <c r="G177" i="58"/>
  <c r="H177" i="58" s="1"/>
  <c r="E177" i="58"/>
  <c r="G176" i="58"/>
  <c r="E176" i="58"/>
  <c r="H176" i="58" s="1"/>
  <c r="H175" i="58"/>
  <c r="H174" i="58"/>
  <c r="J168" i="58"/>
  <c r="J166" i="58"/>
  <c r="H164" i="58"/>
  <c r="H162" i="58"/>
  <c r="H161" i="58"/>
  <c r="H163" i="58" s="1"/>
  <c r="J155" i="58"/>
  <c r="H154" i="58"/>
  <c r="H142" i="58"/>
  <c r="F142" i="58"/>
  <c r="E142" i="58"/>
  <c r="G141" i="58"/>
  <c r="H141" i="58" s="1"/>
  <c r="E141" i="58"/>
  <c r="G140" i="58"/>
  <c r="E140" i="58"/>
  <c r="H140" i="58" s="1"/>
  <c r="H139" i="58"/>
  <c r="H138" i="58"/>
  <c r="J130" i="58"/>
  <c r="H128" i="58"/>
  <c r="H127" i="58"/>
  <c r="H126" i="58"/>
  <c r="H125" i="58"/>
  <c r="J119" i="58"/>
  <c r="H118" i="58"/>
  <c r="J109" i="58"/>
  <c r="F106" i="58"/>
  <c r="H106" i="58" s="1"/>
  <c r="E106" i="58"/>
  <c r="G105" i="58"/>
  <c r="H105" i="58" s="1"/>
  <c r="E105" i="58"/>
  <c r="G104" i="58"/>
  <c r="E104" i="58"/>
  <c r="H104" i="58" s="1"/>
  <c r="H103" i="58"/>
  <c r="H102" i="58"/>
  <c r="M96" i="58"/>
  <c r="N94" i="58"/>
  <c r="J94" i="58"/>
  <c r="N93" i="58"/>
  <c r="M93" i="58"/>
  <c r="L93" i="58"/>
  <c r="H93" i="58"/>
  <c r="M92" i="58"/>
  <c r="N92" i="58" s="1"/>
  <c r="M90" i="58"/>
  <c r="N89" i="58"/>
  <c r="L89" i="58"/>
  <c r="H89" i="58"/>
  <c r="M88" i="58"/>
  <c r="M89" i="58" s="1"/>
  <c r="L88" i="58"/>
  <c r="I88" i="58"/>
  <c r="I125" i="58" s="1"/>
  <c r="H88" i="58"/>
  <c r="M84" i="58"/>
  <c r="N82" i="58"/>
  <c r="J82" i="58"/>
  <c r="N81" i="58"/>
  <c r="M81" i="58"/>
  <c r="L81" i="58"/>
  <c r="H81" i="58"/>
  <c r="N80" i="58"/>
  <c r="N79" i="58"/>
  <c r="I79" i="58"/>
  <c r="N78" i="58"/>
  <c r="I78" i="58"/>
  <c r="J78" i="58" s="1"/>
  <c r="N77" i="58"/>
  <c r="J77" i="58"/>
  <c r="I77" i="58"/>
  <c r="I114" i="58" s="1"/>
  <c r="J114" i="58" s="1"/>
  <c r="N76" i="58"/>
  <c r="I76" i="58"/>
  <c r="I113" i="58" s="1"/>
  <c r="I149" i="58" s="1"/>
  <c r="I185" i="58" s="1"/>
  <c r="J185" i="58" s="1"/>
  <c r="N75" i="58"/>
  <c r="I75" i="58"/>
  <c r="J75" i="58" s="1"/>
  <c r="N74" i="58"/>
  <c r="I74" i="58"/>
  <c r="J74" i="58" s="1"/>
  <c r="N73" i="58"/>
  <c r="I73" i="58"/>
  <c r="J73" i="58" s="1"/>
  <c r="N72" i="58"/>
  <c r="I72" i="58"/>
  <c r="I109" i="58" s="1"/>
  <c r="I145" i="58" s="1"/>
  <c r="I181" i="58" s="1"/>
  <c r="J181" i="58" s="1"/>
  <c r="M70" i="58"/>
  <c r="L70" i="58"/>
  <c r="M69" i="58"/>
  <c r="N69" i="58" s="1"/>
  <c r="L69" i="58"/>
  <c r="F69" i="58"/>
  <c r="H69" i="58" s="1"/>
  <c r="E69" i="58"/>
  <c r="N68" i="58"/>
  <c r="M68" i="58"/>
  <c r="K68" i="58"/>
  <c r="L68" i="58" s="1"/>
  <c r="J68" i="58"/>
  <c r="H68" i="58"/>
  <c r="G68" i="58"/>
  <c r="E68" i="58"/>
  <c r="M67" i="58"/>
  <c r="L67" i="58"/>
  <c r="N67" i="58" s="1"/>
  <c r="K67" i="58"/>
  <c r="I67" i="58"/>
  <c r="I104" i="58" s="1"/>
  <c r="J104" i="58" s="1"/>
  <c r="G67" i="58"/>
  <c r="E67" i="58"/>
  <c r="M66" i="58"/>
  <c r="L66" i="58"/>
  <c r="H66" i="58"/>
  <c r="M65" i="58"/>
  <c r="N65" i="58" s="1"/>
  <c r="N83" i="58" s="1"/>
  <c r="L65" i="58"/>
  <c r="I65" i="58"/>
  <c r="I102" i="58" s="1"/>
  <c r="J102" i="58" s="1"/>
  <c r="H65" i="58"/>
  <c r="J57" i="58"/>
  <c r="I56" i="58"/>
  <c r="I80" i="58" s="1"/>
  <c r="H55" i="58"/>
  <c r="H53" i="58"/>
  <c r="I52" i="58"/>
  <c r="I53" i="58" s="1"/>
  <c r="J53" i="58" s="1"/>
  <c r="H52" i="58"/>
  <c r="H54" i="58" s="1"/>
  <c r="J46" i="58"/>
  <c r="J45" i="58"/>
  <c r="H44" i="58"/>
  <c r="J43" i="58"/>
  <c r="J42" i="58"/>
  <c r="J41" i="58"/>
  <c r="J40" i="58"/>
  <c r="J39" i="58"/>
  <c r="J38" i="58"/>
  <c r="J37" i="58"/>
  <c r="J36" i="58"/>
  <c r="G33" i="58"/>
  <c r="F33" i="58"/>
  <c r="E33" i="58"/>
  <c r="H33" i="58" s="1"/>
  <c r="I32" i="58"/>
  <c r="I33" i="58" s="1"/>
  <c r="I69" i="58" s="1"/>
  <c r="I106" i="58" s="1"/>
  <c r="I141" i="58" s="1"/>
  <c r="H32" i="58"/>
  <c r="G32" i="58"/>
  <c r="E32" i="58"/>
  <c r="G31" i="58"/>
  <c r="E31" i="58"/>
  <c r="H31" i="58" s="1"/>
  <c r="J31" i="58" s="1"/>
  <c r="I30" i="58"/>
  <c r="I66" i="58" s="1"/>
  <c r="H30" i="58"/>
  <c r="H29" i="58"/>
  <c r="J29" i="58" s="1"/>
  <c r="F23" i="58"/>
  <c r="G22" i="58"/>
  <c r="G21" i="58"/>
  <c r="E23" i="58" s="1"/>
  <c r="G23" i="58" s="1"/>
  <c r="G10" i="58"/>
  <c r="G8" i="58"/>
  <c r="I6" i="58"/>
  <c r="I5" i="58"/>
  <c r="F11" i="58" s="1"/>
  <c r="D4" i="58"/>
  <c r="E4" i="58" s="1"/>
  <c r="F4" i="58" s="1"/>
  <c r="G4" i="58" s="1"/>
  <c r="H4" i="58" s="1"/>
  <c r="I4" i="58" s="1"/>
  <c r="J4" i="58" s="1"/>
  <c r="C4" i="58"/>
  <c r="F1276" i="15"/>
  <c r="G1276" i="15" s="1"/>
  <c r="F1275" i="15"/>
  <c r="J151" i="57"/>
  <c r="J153" i="57" s="1"/>
  <c r="G541" i="57"/>
  <c r="C541" i="57"/>
  <c r="G540" i="57"/>
  <c r="C540" i="57"/>
  <c r="A526" i="57"/>
  <c r="A528" i="57" s="1"/>
  <c r="Q524" i="57"/>
  <c r="N522" i="57"/>
  <c r="M522" i="57"/>
  <c r="L522" i="57"/>
  <c r="A522" i="57"/>
  <c r="N520" i="57"/>
  <c r="M520" i="57"/>
  <c r="L520" i="57"/>
  <c r="K515" i="57"/>
  <c r="J515" i="57"/>
  <c r="K509" i="57"/>
  <c r="J506" i="57"/>
  <c r="J505" i="57"/>
  <c r="J504" i="57"/>
  <c r="J503" i="57"/>
  <c r="K499" i="57"/>
  <c r="J496" i="57"/>
  <c r="G495" i="57"/>
  <c r="J495" i="57" s="1"/>
  <c r="G494" i="57"/>
  <c r="J494" i="57" s="1"/>
  <c r="J492" i="57"/>
  <c r="J491" i="57"/>
  <c r="J490" i="57"/>
  <c r="J489" i="57"/>
  <c r="J488" i="57"/>
  <c r="J487" i="57"/>
  <c r="J486" i="57"/>
  <c r="G484" i="57"/>
  <c r="J484" i="57" s="1"/>
  <c r="G483" i="57"/>
  <c r="J483" i="57" s="1"/>
  <c r="G482" i="57"/>
  <c r="J482" i="57" s="1"/>
  <c r="G481" i="57"/>
  <c r="J481" i="57" s="1"/>
  <c r="A479" i="57"/>
  <c r="A502" i="57" s="1"/>
  <c r="A512" i="57" s="1"/>
  <c r="K476" i="57"/>
  <c r="J473" i="57"/>
  <c r="J472" i="57"/>
  <c r="J471" i="57"/>
  <c r="J470" i="57"/>
  <c r="J469" i="57"/>
  <c r="G466" i="57"/>
  <c r="J466" i="57" s="1"/>
  <c r="G465" i="57"/>
  <c r="J465" i="57" s="1"/>
  <c r="G464" i="57"/>
  <c r="J464" i="57" s="1"/>
  <c r="G463" i="57"/>
  <c r="J463" i="57" s="1"/>
  <c r="G462" i="57"/>
  <c r="J462" i="57" s="1"/>
  <c r="G460" i="57"/>
  <c r="J460" i="57" s="1"/>
  <c r="G459" i="57"/>
  <c r="J459" i="57" s="1"/>
  <c r="H458" i="57"/>
  <c r="G458" i="57"/>
  <c r="H457" i="57"/>
  <c r="G457" i="57"/>
  <c r="H456" i="57"/>
  <c r="G456" i="57"/>
  <c r="H455" i="57"/>
  <c r="G455" i="57"/>
  <c r="O450" i="57"/>
  <c r="K450" i="57"/>
  <c r="J447" i="57"/>
  <c r="G446" i="57"/>
  <c r="J446" i="57" s="1"/>
  <c r="G445" i="57"/>
  <c r="J445" i="57" s="1"/>
  <c r="O441" i="57"/>
  <c r="K441" i="57"/>
  <c r="J438" i="57"/>
  <c r="J437" i="57"/>
  <c r="G436" i="57"/>
  <c r="J436" i="57" s="1"/>
  <c r="G435" i="57"/>
  <c r="J435" i="57" s="1"/>
  <c r="G434" i="57"/>
  <c r="J434" i="57" s="1"/>
  <c r="G433" i="57"/>
  <c r="J433" i="57" s="1"/>
  <c r="G432" i="57"/>
  <c r="J432" i="57" s="1"/>
  <c r="C431" i="57"/>
  <c r="A431" i="57"/>
  <c r="O428" i="57"/>
  <c r="K428" i="57"/>
  <c r="K351" i="57" s="1"/>
  <c r="M351" i="57" s="1"/>
  <c r="N351" i="57" s="1"/>
  <c r="J428" i="57"/>
  <c r="J424" i="57"/>
  <c r="J423" i="57"/>
  <c r="J422" i="57"/>
  <c r="H421" i="57"/>
  <c r="G421" i="57"/>
  <c r="H420" i="57"/>
  <c r="G420" i="57"/>
  <c r="H419" i="57"/>
  <c r="G419" i="57"/>
  <c r="H418" i="57"/>
  <c r="G418" i="57"/>
  <c r="H417" i="57"/>
  <c r="G417" i="57"/>
  <c r="P413" i="57"/>
  <c r="K413" i="57"/>
  <c r="M413" i="57" s="1"/>
  <c r="N413" i="57" s="1"/>
  <c r="J409" i="57"/>
  <c r="J408" i="57"/>
  <c r="J407" i="57"/>
  <c r="J406" i="57"/>
  <c r="J405" i="57"/>
  <c r="J402" i="57"/>
  <c r="G401" i="57"/>
  <c r="J401" i="57" s="1"/>
  <c r="G400" i="57"/>
  <c r="J400" i="57" s="1"/>
  <c r="G399" i="57"/>
  <c r="J399" i="57" s="1"/>
  <c r="G398" i="57"/>
  <c r="J398" i="57" s="1"/>
  <c r="G397" i="57"/>
  <c r="J397" i="57" s="1"/>
  <c r="O392" i="57"/>
  <c r="K392" i="57"/>
  <c r="K336" i="57" s="1"/>
  <c r="M336" i="57" s="1"/>
  <c r="N336" i="57" s="1"/>
  <c r="J386" i="57"/>
  <c r="J385" i="57"/>
  <c r="J384" i="57"/>
  <c r="J383" i="57"/>
  <c r="J382" i="57"/>
  <c r="J381" i="57"/>
  <c r="J380" i="57"/>
  <c r="J378" i="57"/>
  <c r="J377" i="57"/>
  <c r="J376" i="57"/>
  <c r="G375" i="57"/>
  <c r="J375" i="57" s="1"/>
  <c r="G374" i="57"/>
  <c r="J374" i="57" s="1"/>
  <c r="G373" i="57"/>
  <c r="J373" i="57" s="1"/>
  <c r="G372" i="57"/>
  <c r="J372" i="57" s="1"/>
  <c r="Q364" i="57"/>
  <c r="P361" i="57"/>
  <c r="J359" i="57"/>
  <c r="J358" i="57"/>
  <c r="J357" i="57"/>
  <c r="J356" i="57"/>
  <c r="A354" i="57"/>
  <c r="O351" i="57"/>
  <c r="P351" i="57" s="1"/>
  <c r="J347" i="57"/>
  <c r="J346" i="57"/>
  <c r="J345" i="57"/>
  <c r="H344" i="57"/>
  <c r="G344" i="57"/>
  <c r="H343" i="57"/>
  <c r="G343" i="57"/>
  <c r="H342" i="57"/>
  <c r="G342" i="57"/>
  <c r="H341" i="57"/>
  <c r="G341" i="57"/>
  <c r="H340" i="57"/>
  <c r="G340" i="57"/>
  <c r="P336" i="57"/>
  <c r="J332" i="57"/>
  <c r="J331" i="57"/>
  <c r="J330" i="57"/>
  <c r="J329" i="57"/>
  <c r="J328" i="57"/>
  <c r="J325" i="57"/>
  <c r="G324" i="57"/>
  <c r="J324" i="57" s="1"/>
  <c r="G323" i="57"/>
  <c r="J323" i="57" s="1"/>
  <c r="G322" i="57"/>
  <c r="J322" i="57" s="1"/>
  <c r="G321" i="57"/>
  <c r="J321" i="57" s="1"/>
  <c r="G320" i="57"/>
  <c r="J320" i="57" s="1"/>
  <c r="J316" i="57"/>
  <c r="E40" i="56" s="1"/>
  <c r="J311" i="57"/>
  <c r="J312" i="57" s="1"/>
  <c r="A310" i="57"/>
  <c r="J306" i="57"/>
  <c r="J307" i="57" s="1"/>
  <c r="J302" i="57"/>
  <c r="J303" i="57" s="1"/>
  <c r="J296" i="57"/>
  <c r="J297" i="57" s="1"/>
  <c r="P292" i="57"/>
  <c r="K292" i="57"/>
  <c r="M292" i="57" s="1"/>
  <c r="N292" i="57" s="1"/>
  <c r="J288" i="57"/>
  <c r="J287" i="57"/>
  <c r="J286" i="57"/>
  <c r="J285" i="57"/>
  <c r="J284" i="57"/>
  <c r="J281" i="57"/>
  <c r="G280" i="57"/>
  <c r="J280" i="57" s="1"/>
  <c r="G279" i="57"/>
  <c r="J279" i="57" s="1"/>
  <c r="G278" i="57"/>
  <c r="J278" i="57" s="1"/>
  <c r="G277" i="57"/>
  <c r="J277" i="57" s="1"/>
  <c r="G276" i="57"/>
  <c r="J276" i="57" s="1"/>
  <c r="O271" i="57"/>
  <c r="P271" i="57" s="1"/>
  <c r="K271" i="57"/>
  <c r="M271" i="57" s="1"/>
  <c r="N271" i="57" s="1"/>
  <c r="G268" i="57"/>
  <c r="J268" i="57" s="1"/>
  <c r="G267" i="57"/>
  <c r="J267" i="57" s="1"/>
  <c r="H266" i="57"/>
  <c r="G266" i="57"/>
  <c r="H265" i="57"/>
  <c r="G265" i="57"/>
  <c r="H264" i="57"/>
  <c r="G264" i="57"/>
  <c r="H263" i="57"/>
  <c r="G263" i="57"/>
  <c r="J260" i="57"/>
  <c r="O259" i="57"/>
  <c r="J259" i="57"/>
  <c r="E35" i="56" s="1"/>
  <c r="C256" i="57"/>
  <c r="O253" i="57"/>
  <c r="H251" i="57"/>
  <c r="G251" i="57"/>
  <c r="A250" i="57"/>
  <c r="A262" i="57" s="1"/>
  <c r="A274" i="57" s="1"/>
  <c r="K248" i="57"/>
  <c r="K246" i="57"/>
  <c r="H243" i="57"/>
  <c r="G243" i="57"/>
  <c r="K239" i="57"/>
  <c r="K238" i="57"/>
  <c r="K247" i="57" s="1"/>
  <c r="L247" i="57" s="1"/>
  <c r="N247" i="57" s="1"/>
  <c r="G234" i="57"/>
  <c r="J234" i="57" s="1"/>
  <c r="G233" i="57"/>
  <c r="I232" i="57"/>
  <c r="G232" i="57"/>
  <c r="J231" i="57"/>
  <c r="K227" i="57"/>
  <c r="O226" i="57"/>
  <c r="J222" i="57"/>
  <c r="J220" i="57"/>
  <c r="J218" i="57"/>
  <c r="J215" i="57"/>
  <c r="J214" i="57"/>
  <c r="J213" i="57"/>
  <c r="K210" i="57"/>
  <c r="O209" i="57"/>
  <c r="J205" i="57"/>
  <c r="J204" i="57"/>
  <c r="J202" i="57"/>
  <c r="J201" i="57"/>
  <c r="J200" i="57"/>
  <c r="J199" i="57"/>
  <c r="J197" i="57"/>
  <c r="J196" i="57"/>
  <c r="J195" i="57"/>
  <c r="J194" i="57"/>
  <c r="J193" i="57"/>
  <c r="J189" i="57"/>
  <c r="G188" i="57"/>
  <c r="J188" i="57" s="1"/>
  <c r="J187" i="57"/>
  <c r="C186" i="57"/>
  <c r="K184" i="57"/>
  <c r="O183" i="57"/>
  <c r="G180" i="57"/>
  <c r="J180" i="57" s="1"/>
  <c r="J179" i="57"/>
  <c r="J178" i="57"/>
  <c r="K175" i="57"/>
  <c r="O174" i="57"/>
  <c r="G171" i="57"/>
  <c r="J171" i="57" s="1"/>
  <c r="J170" i="57"/>
  <c r="J169" i="57"/>
  <c r="J168" i="57"/>
  <c r="K165" i="57"/>
  <c r="O164" i="57"/>
  <c r="J161" i="57"/>
  <c r="J160" i="57"/>
  <c r="J159" i="57"/>
  <c r="J158" i="57"/>
  <c r="J157" i="57"/>
  <c r="O153" i="57"/>
  <c r="O147" i="57"/>
  <c r="J144" i="57"/>
  <c r="G142" i="57"/>
  <c r="J142" i="57" s="1"/>
  <c r="O138" i="57"/>
  <c r="J135" i="57"/>
  <c r="J134" i="57"/>
  <c r="J133" i="57"/>
  <c r="J132" i="57"/>
  <c r="G131" i="57"/>
  <c r="G143" i="57" s="1"/>
  <c r="J143" i="57" s="1"/>
  <c r="J130" i="57"/>
  <c r="O126" i="57"/>
  <c r="J123" i="57"/>
  <c r="J121" i="57"/>
  <c r="I119" i="57"/>
  <c r="J119" i="57" s="1"/>
  <c r="O115" i="57"/>
  <c r="J113" i="57"/>
  <c r="J115" i="57" s="1"/>
  <c r="O109" i="57"/>
  <c r="J107" i="57"/>
  <c r="J109" i="57" s="1"/>
  <c r="A105" i="57"/>
  <c r="A156" i="57" s="1"/>
  <c r="A167" i="57" s="1"/>
  <c r="A177" i="57" s="1"/>
  <c r="A186" i="57" s="1"/>
  <c r="A212" i="57" s="1"/>
  <c r="A229" i="57" s="1"/>
  <c r="O102" i="57"/>
  <c r="K102" i="57"/>
  <c r="J101" i="57"/>
  <c r="J102" i="57" s="1"/>
  <c r="O93" i="57"/>
  <c r="J90" i="57"/>
  <c r="J89" i="57"/>
  <c r="J88" i="57"/>
  <c r="J87" i="57"/>
  <c r="J86" i="57"/>
  <c r="J85" i="57"/>
  <c r="O72" i="57"/>
  <c r="J69" i="57"/>
  <c r="J70" i="57" s="1"/>
  <c r="J72" i="57" s="1"/>
  <c r="E18" i="56" s="1"/>
  <c r="C68" i="57"/>
  <c r="O65" i="57"/>
  <c r="K65" i="57"/>
  <c r="J64" i="57"/>
  <c r="J65" i="57" s="1"/>
  <c r="O57" i="57"/>
  <c r="J53" i="57"/>
  <c r="J52" i="57"/>
  <c r="H51" i="57"/>
  <c r="G51" i="57"/>
  <c r="H50" i="57"/>
  <c r="J50" i="57" s="1"/>
  <c r="H49" i="57"/>
  <c r="J49" i="57" s="1"/>
  <c r="J46" i="57"/>
  <c r="H45" i="57"/>
  <c r="G45" i="57"/>
  <c r="H44" i="57"/>
  <c r="G44" i="57"/>
  <c r="H43" i="57"/>
  <c r="G43" i="57"/>
  <c r="H42" i="57"/>
  <c r="G42" i="57"/>
  <c r="D39" i="57"/>
  <c r="J39" i="57" s="1"/>
  <c r="I38" i="57"/>
  <c r="H38" i="57"/>
  <c r="G38" i="57"/>
  <c r="D38" i="57"/>
  <c r="G37" i="57"/>
  <c r="J37" i="57" s="1"/>
  <c r="G35" i="57"/>
  <c r="G78" i="57" s="1"/>
  <c r="C35" i="57"/>
  <c r="C78" i="57" s="1"/>
  <c r="C83" i="57" s="1"/>
  <c r="G34" i="57"/>
  <c r="G77" i="57" s="1"/>
  <c r="J77" i="57" s="1"/>
  <c r="C34" i="57"/>
  <c r="C77" i="57" s="1"/>
  <c r="C82" i="57" s="1"/>
  <c r="A33" i="57"/>
  <c r="K31" i="57"/>
  <c r="K30" i="57"/>
  <c r="J30" i="57"/>
  <c r="K29" i="57"/>
  <c r="P28" i="57"/>
  <c r="K28" i="57"/>
  <c r="M28" i="57" s="1"/>
  <c r="N28" i="57" s="1"/>
  <c r="J26" i="57"/>
  <c r="J25" i="57"/>
  <c r="J24" i="57"/>
  <c r="J23" i="57"/>
  <c r="J22" i="57"/>
  <c r="J21" i="57"/>
  <c r="J20" i="57"/>
  <c r="A19" i="57"/>
  <c r="J15" i="57"/>
  <c r="J14" i="57"/>
  <c r="G13" i="57"/>
  <c r="J13" i="57" s="1"/>
  <c r="J12" i="57"/>
  <c r="I11" i="57"/>
  <c r="I233" i="57" s="1"/>
  <c r="J10" i="57"/>
  <c r="J9" i="57"/>
  <c r="C5" i="57"/>
  <c r="D5" i="57" s="1"/>
  <c r="G5" i="57" s="1"/>
  <c r="H5" i="57" s="1"/>
  <c r="I5" i="57" s="1"/>
  <c r="J5" i="57" s="1"/>
  <c r="K5" i="57" s="1"/>
  <c r="L5" i="57" s="1"/>
  <c r="M5" i="57" s="1"/>
  <c r="N5" i="57" s="1"/>
  <c r="O5" i="57" s="1"/>
  <c r="P5" i="57" s="1"/>
  <c r="Q5" i="57" s="1"/>
  <c r="N10" i="14"/>
  <c r="N9" i="14"/>
  <c r="N8" i="14"/>
  <c r="F397" i="53"/>
  <c r="I397" i="53" s="1"/>
  <c r="F396" i="53"/>
  <c r="I385" i="53"/>
  <c r="I386" i="53"/>
  <c r="I387" i="53"/>
  <c r="I388" i="53"/>
  <c r="I389" i="53"/>
  <c r="I390" i="53"/>
  <c r="I391" i="53"/>
  <c r="I392" i="53"/>
  <c r="I393" i="53"/>
  <c r="I394" i="53"/>
  <c r="I395" i="53"/>
  <c r="I396" i="53"/>
  <c r="I384" i="53"/>
  <c r="I362" i="53"/>
  <c r="I363" i="53"/>
  <c r="I364" i="53"/>
  <c r="I365" i="53"/>
  <c r="I366" i="53"/>
  <c r="I367" i="53"/>
  <c r="I368" i="53"/>
  <c r="I369" i="53"/>
  <c r="I370" i="53"/>
  <c r="I371" i="53"/>
  <c r="I372" i="53"/>
  <c r="I374" i="53"/>
  <c r="I375" i="53"/>
  <c r="I376" i="53"/>
  <c r="I377" i="53"/>
  <c r="I378" i="53"/>
  <c r="H430" i="58" l="1"/>
  <c r="I309" i="58"/>
  <c r="I439" i="58" s="1"/>
  <c r="J296" i="58"/>
  <c r="J309" i="58"/>
  <c r="J273" i="58"/>
  <c r="J52" i="58"/>
  <c r="N66" i="58"/>
  <c r="N88" i="58"/>
  <c r="N95" i="58" s="1"/>
  <c r="I115" i="58"/>
  <c r="J115" i="58" s="1"/>
  <c r="J305" i="58"/>
  <c r="I89" i="58"/>
  <c r="I126" i="58" s="1"/>
  <c r="I162" i="58" s="1"/>
  <c r="I198" i="58" s="1"/>
  <c r="I232" i="58" s="1"/>
  <c r="I268" i="58" s="1"/>
  <c r="I340" i="58" s="1"/>
  <c r="J126" i="58"/>
  <c r="J224" i="58"/>
  <c r="H269" i="58"/>
  <c r="I327" i="58"/>
  <c r="I112" i="58"/>
  <c r="I111" i="58"/>
  <c r="J72" i="58"/>
  <c r="J145" i="58"/>
  <c r="I68" i="58"/>
  <c r="I105" i="58" s="1"/>
  <c r="I140" i="58" s="1"/>
  <c r="I176" i="58" s="1"/>
  <c r="J176" i="58" s="1"/>
  <c r="J32" i="58"/>
  <c r="J140" i="58"/>
  <c r="J125" i="58"/>
  <c r="I161" i="58"/>
  <c r="I197" i="58" s="1"/>
  <c r="J88" i="58"/>
  <c r="J30" i="58"/>
  <c r="G25" i="58"/>
  <c r="P153" i="60"/>
  <c r="P259" i="60"/>
  <c r="P72" i="60"/>
  <c r="J334" i="60"/>
  <c r="J411" i="60"/>
  <c r="J474" i="60"/>
  <c r="J476" i="60" s="1"/>
  <c r="M476" i="60" s="1"/>
  <c r="N476" i="60" s="1"/>
  <c r="N28" i="60"/>
  <c r="M102" i="60"/>
  <c r="N102" i="60" s="1"/>
  <c r="P183" i="60"/>
  <c r="M441" i="60"/>
  <c r="N441" i="60" s="1"/>
  <c r="J235" i="60"/>
  <c r="J236" i="60" s="1"/>
  <c r="J269" i="60"/>
  <c r="J439" i="60"/>
  <c r="J441" i="60" s="1"/>
  <c r="P441" i="60" s="1"/>
  <c r="P147" i="60"/>
  <c r="P253" i="60"/>
  <c r="M509" i="60"/>
  <c r="N509" i="60" s="1"/>
  <c r="J126" i="60"/>
  <c r="J164" i="60"/>
  <c r="P164" i="60" s="1"/>
  <c r="L238" i="60"/>
  <c r="N238" i="60" s="1"/>
  <c r="A527" i="60"/>
  <c r="J198" i="58"/>
  <c r="J161" i="58"/>
  <c r="I361" i="58"/>
  <c r="J325" i="58"/>
  <c r="H215" i="58"/>
  <c r="J218" i="58"/>
  <c r="J253" i="58"/>
  <c r="I289" i="58"/>
  <c r="J289" i="58" s="1"/>
  <c r="J255" i="58"/>
  <c r="M515" i="57"/>
  <c r="N515" i="57" s="1"/>
  <c r="J263" i="57"/>
  <c r="J418" i="57"/>
  <c r="J420" i="57"/>
  <c r="J43" i="57"/>
  <c r="J455" i="57"/>
  <c r="J44" i="57"/>
  <c r="J124" i="57"/>
  <c r="J126" i="57" s="1"/>
  <c r="P126" i="57" s="1"/>
  <c r="J243" i="57"/>
  <c r="J245" i="57" s="1"/>
  <c r="J265" i="57"/>
  <c r="J419" i="57"/>
  <c r="J51" i="57"/>
  <c r="J54" i="57" s="1"/>
  <c r="P115" i="57"/>
  <c r="J131" i="57"/>
  <c r="J136" i="57" s="1"/>
  <c r="J138" i="57" s="1"/>
  <c r="P138" i="57" s="1"/>
  <c r="Q525" i="57"/>
  <c r="J266" i="57"/>
  <c r="J341" i="57"/>
  <c r="J457" i="57"/>
  <c r="J342" i="57"/>
  <c r="P428" i="57"/>
  <c r="J458" i="57"/>
  <c r="J417" i="57"/>
  <c r="L524" i="57"/>
  <c r="J410" i="57"/>
  <c r="J507" i="57"/>
  <c r="J509" i="57" s="1"/>
  <c r="M509" i="57" s="1"/>
  <c r="N509" i="57" s="1"/>
  <c r="J42" i="57"/>
  <c r="J403" i="57"/>
  <c r="L30" i="57"/>
  <c r="N30" i="57" s="1"/>
  <c r="J264" i="57"/>
  <c r="J456" i="57"/>
  <c r="J343" i="57"/>
  <c r="J38" i="57"/>
  <c r="P72" i="57"/>
  <c r="J181" i="57"/>
  <c r="J183" i="57" s="1"/>
  <c r="P183" i="57" s="1"/>
  <c r="J232" i="57"/>
  <c r="P259" i="57"/>
  <c r="J289" i="57"/>
  <c r="J340" i="57"/>
  <c r="J344" i="57"/>
  <c r="J360" i="57"/>
  <c r="J27" i="57"/>
  <c r="M65" i="57"/>
  <c r="N65" i="57" s="1"/>
  <c r="D190" i="57"/>
  <c r="J190" i="57" s="1"/>
  <c r="J333" i="57"/>
  <c r="P65" i="57"/>
  <c r="J206" i="57"/>
  <c r="J35" i="57"/>
  <c r="J162" i="57"/>
  <c r="J164" i="57" s="1"/>
  <c r="P164" i="57" s="1"/>
  <c r="J421" i="57"/>
  <c r="J45" i="57"/>
  <c r="J251" i="57"/>
  <c r="J253" i="57" s="1"/>
  <c r="P253" i="57" s="1"/>
  <c r="P109" i="57"/>
  <c r="M102" i="57"/>
  <c r="N102" i="57" s="1"/>
  <c r="P102" i="57"/>
  <c r="J282" i="57"/>
  <c r="J78" i="57"/>
  <c r="G83" i="57"/>
  <c r="J83" i="57" s="1"/>
  <c r="J233" i="57"/>
  <c r="J172" i="57"/>
  <c r="J174" i="57" s="1"/>
  <c r="P174" i="57" s="1"/>
  <c r="J145" i="57"/>
  <c r="J147" i="57" s="1"/>
  <c r="P147" i="57" s="1"/>
  <c r="L238" i="57"/>
  <c r="N238" i="57" s="1"/>
  <c r="J34" i="57"/>
  <c r="M428" i="57"/>
  <c r="N428" i="57" s="1"/>
  <c r="A527" i="57"/>
  <c r="J11" i="57"/>
  <c r="J17" i="57" s="1"/>
  <c r="J223" i="57"/>
  <c r="J326" i="57"/>
  <c r="J439" i="57"/>
  <c r="J441" i="57" s="1"/>
  <c r="M441" i="57" s="1"/>
  <c r="N441" i="57" s="1"/>
  <c r="J448" i="57"/>
  <c r="J450" i="57" s="1"/>
  <c r="P450" i="57" s="1"/>
  <c r="J497" i="57"/>
  <c r="J499" i="57" s="1"/>
  <c r="M499" i="57" s="1"/>
  <c r="N499" i="57" s="1"/>
  <c r="J191" i="57"/>
  <c r="J106" i="58"/>
  <c r="E11" i="58"/>
  <c r="G11" i="58" s="1"/>
  <c r="N97" i="58"/>
  <c r="L96" i="58"/>
  <c r="N96" i="58" s="1"/>
  <c r="I103" i="58"/>
  <c r="J66" i="58"/>
  <c r="J33" i="58"/>
  <c r="I177" i="58"/>
  <c r="I213" i="58" s="1"/>
  <c r="I249" i="58" s="1"/>
  <c r="I142" i="58"/>
  <c r="I178" i="58" s="1"/>
  <c r="I214" i="58" s="1"/>
  <c r="H107" i="58"/>
  <c r="N85" i="58"/>
  <c r="L84" i="58"/>
  <c r="N84" i="58" s="1"/>
  <c r="I448" i="58"/>
  <c r="J448" i="58" s="1"/>
  <c r="I341" i="58"/>
  <c r="I430" i="58"/>
  <c r="I412" i="58"/>
  <c r="J412" i="58" s="1"/>
  <c r="I377" i="58"/>
  <c r="I269" i="58"/>
  <c r="I287" i="58" s="1"/>
  <c r="J287" i="58" s="1"/>
  <c r="I323" i="58"/>
  <c r="I215" i="58"/>
  <c r="I179" i="58"/>
  <c r="I143" i="58"/>
  <c r="I394" i="58"/>
  <c r="J394" i="58" s="1"/>
  <c r="I359" i="58"/>
  <c r="J359" i="58" s="1"/>
  <c r="I251" i="58"/>
  <c r="I233" i="58"/>
  <c r="J233" i="58" s="1"/>
  <c r="I90" i="58"/>
  <c r="I163" i="58"/>
  <c r="J163" i="58" s="1"/>
  <c r="I199" i="58"/>
  <c r="J199" i="58" s="1"/>
  <c r="I70" i="58"/>
  <c r="I107" i="58" s="1"/>
  <c r="I54" i="58"/>
  <c r="J54" i="58" s="1"/>
  <c r="I127" i="58"/>
  <c r="I34" i="58"/>
  <c r="J105" i="58"/>
  <c r="H34" i="58"/>
  <c r="J34" i="58" s="1"/>
  <c r="I117" i="58"/>
  <c r="I92" i="58"/>
  <c r="J92" i="58" s="1"/>
  <c r="J80" i="58"/>
  <c r="J69" i="58"/>
  <c r="H251" i="58"/>
  <c r="I193" i="58"/>
  <c r="I157" i="58"/>
  <c r="I121" i="58"/>
  <c r="I96" i="58"/>
  <c r="I84" i="58"/>
  <c r="I348" i="58"/>
  <c r="I335" i="58"/>
  <c r="I406" i="58"/>
  <c r="I383" i="58"/>
  <c r="I371" i="58"/>
  <c r="I276" i="58"/>
  <c r="I263" i="58"/>
  <c r="I240" i="58"/>
  <c r="I227" i="58"/>
  <c r="I132" i="58"/>
  <c r="H90" i="58"/>
  <c r="H179" i="58"/>
  <c r="H323" i="58"/>
  <c r="J323" i="58" s="1"/>
  <c r="J328" i="58"/>
  <c r="I364" i="58"/>
  <c r="J361" i="58"/>
  <c r="I396" i="58"/>
  <c r="I48" i="58"/>
  <c r="J56" i="58"/>
  <c r="L90" i="58"/>
  <c r="N90" i="58" s="1"/>
  <c r="J127" i="58"/>
  <c r="J141" i="58"/>
  <c r="J149" i="58"/>
  <c r="I168" i="58"/>
  <c r="I204" i="58"/>
  <c r="J377" i="58"/>
  <c r="H484" i="58"/>
  <c r="J65" i="58"/>
  <c r="J76" i="58"/>
  <c r="J79" i="58"/>
  <c r="I116" i="58"/>
  <c r="I110" i="58"/>
  <c r="I150" i="58"/>
  <c r="I326" i="58"/>
  <c r="J430" i="58"/>
  <c r="H67" i="58"/>
  <c r="J67" i="58" s="1"/>
  <c r="I151" i="58"/>
  <c r="J162" i="58"/>
  <c r="I290" i="58"/>
  <c r="J290" i="58" s="1"/>
  <c r="J327" i="58"/>
  <c r="I363" i="58"/>
  <c r="J112" i="58"/>
  <c r="I148" i="58"/>
  <c r="H143" i="58"/>
  <c r="J232" i="58"/>
  <c r="H341" i="58"/>
  <c r="H466" i="58"/>
  <c r="I59" i="58"/>
  <c r="N70" i="58"/>
  <c r="J113" i="58"/>
  <c r="J256" i="58"/>
  <c r="I292" i="58"/>
  <c r="J292" i="58" s="1"/>
  <c r="J216" i="57"/>
  <c r="P153" i="57"/>
  <c r="G82" i="57"/>
  <c r="J82" i="57" s="1"/>
  <c r="I398" i="53"/>
  <c r="F287" i="53"/>
  <c r="I287" i="53" s="1"/>
  <c r="F286" i="53"/>
  <c r="I286" i="53" s="1"/>
  <c r="I285" i="53"/>
  <c r="I284" i="53"/>
  <c r="I283" i="53"/>
  <c r="I282" i="53"/>
  <c r="I281" i="53"/>
  <c r="I280" i="53"/>
  <c r="I279" i="53"/>
  <c r="I278" i="53"/>
  <c r="I277" i="53"/>
  <c r="I276" i="53"/>
  <c r="I275" i="53"/>
  <c r="I274" i="53"/>
  <c r="I261" i="53"/>
  <c r="I262" i="53"/>
  <c r="I263" i="53"/>
  <c r="I264" i="53"/>
  <c r="I265" i="53"/>
  <c r="I266" i="53"/>
  <c r="I267" i="53"/>
  <c r="I269" i="53"/>
  <c r="H268" i="53"/>
  <c r="I268" i="53" s="1"/>
  <c r="B248" i="53"/>
  <c r="I260" i="53"/>
  <c r="I259" i="53"/>
  <c r="I258" i="53"/>
  <c r="I257" i="53"/>
  <c r="I256" i="53"/>
  <c r="I255" i="53"/>
  <c r="I254" i="53"/>
  <c r="I253" i="53"/>
  <c r="I252" i="53"/>
  <c r="I251" i="53"/>
  <c r="I250" i="53"/>
  <c r="I235" i="53"/>
  <c r="I236" i="53"/>
  <c r="I237" i="53"/>
  <c r="I238" i="53"/>
  <c r="I239" i="53"/>
  <c r="I240" i="53"/>
  <c r="I241" i="53"/>
  <c r="I242" i="53"/>
  <c r="I243" i="53"/>
  <c r="I244" i="53"/>
  <c r="I245" i="53"/>
  <c r="I234" i="53"/>
  <c r="I134" i="53"/>
  <c r="I133" i="53"/>
  <c r="I198" i="53"/>
  <c r="I199" i="53"/>
  <c r="I200" i="53"/>
  <c r="I201" i="53"/>
  <c r="I202" i="53"/>
  <c r="I203" i="53"/>
  <c r="I197" i="53"/>
  <c r="D201" i="53"/>
  <c r="I193" i="53"/>
  <c r="F192" i="53"/>
  <c r="I192" i="53" s="1"/>
  <c r="F191" i="53"/>
  <c r="I191" i="53" s="1"/>
  <c r="I190" i="53"/>
  <c r="I189" i="53"/>
  <c r="I188" i="53"/>
  <c r="I187" i="53"/>
  <c r="I186" i="53"/>
  <c r="I185" i="53"/>
  <c r="I184" i="53"/>
  <c r="I183" i="53"/>
  <c r="I182" i="53"/>
  <c r="I181" i="53"/>
  <c r="I180" i="53"/>
  <c r="I179" i="53"/>
  <c r="I178" i="53"/>
  <c r="I177" i="53"/>
  <c r="I176" i="53"/>
  <c r="I175" i="53"/>
  <c r="I173" i="53"/>
  <c r="D173" i="53"/>
  <c r="I172" i="53"/>
  <c r="D172" i="53"/>
  <c r="I171" i="53"/>
  <c r="I170" i="53"/>
  <c r="I169" i="53"/>
  <c r="I168" i="53"/>
  <c r="I167" i="53"/>
  <c r="I166" i="53"/>
  <c r="I165" i="53"/>
  <c r="I164" i="53"/>
  <c r="I163" i="53"/>
  <c r="I162" i="53"/>
  <c r="I160" i="53"/>
  <c r="I159" i="53"/>
  <c r="I110" i="53"/>
  <c r="I95" i="53"/>
  <c r="I96" i="53"/>
  <c r="I97" i="53"/>
  <c r="I94" i="53"/>
  <c r="I80" i="53"/>
  <c r="I71" i="53"/>
  <c r="I72" i="53"/>
  <c r="I51" i="53"/>
  <c r="I52" i="53"/>
  <c r="I53" i="53"/>
  <c r="I54" i="53"/>
  <c r="I50" i="53"/>
  <c r="I36" i="53"/>
  <c r="I27" i="53"/>
  <c r="A2" i="14"/>
  <c r="H57" i="56"/>
  <c r="E52" i="56"/>
  <c r="G51" i="56"/>
  <c r="B46" i="50"/>
  <c r="G36" i="35"/>
  <c r="J268" i="58" l="1"/>
  <c r="J439" i="58"/>
  <c r="I452" i="58"/>
  <c r="I304" i="58"/>
  <c r="J304" i="58" s="1"/>
  <c r="I376" i="58"/>
  <c r="I411" i="58" s="1"/>
  <c r="J340" i="58"/>
  <c r="J89" i="58"/>
  <c r="N98" i="58"/>
  <c r="I212" i="58"/>
  <c r="J111" i="58"/>
  <c r="I147" i="58"/>
  <c r="J179" i="58"/>
  <c r="J341" i="58"/>
  <c r="J90" i="58"/>
  <c r="J269" i="58"/>
  <c r="J251" i="58"/>
  <c r="J215" i="58"/>
  <c r="A1" i="52"/>
  <c r="B2" i="54"/>
  <c r="J207" i="60"/>
  <c r="D387" i="60"/>
  <c r="P126" i="60"/>
  <c r="J57" i="60"/>
  <c r="J142" i="58"/>
  <c r="J178" i="58"/>
  <c r="P17" i="57"/>
  <c r="F12" i="56"/>
  <c r="J47" i="57"/>
  <c r="P441" i="57"/>
  <c r="J425" i="57"/>
  <c r="P245" i="57"/>
  <c r="J40" i="57"/>
  <c r="J269" i="57"/>
  <c r="J474" i="57"/>
  <c r="J476" i="57" s="1"/>
  <c r="M476" i="57" s="1"/>
  <c r="N476" i="57" s="1"/>
  <c r="J348" i="57"/>
  <c r="J349" i="57" s="1"/>
  <c r="J411" i="57"/>
  <c r="J207" i="57"/>
  <c r="J209" i="57" s="1"/>
  <c r="J290" i="57"/>
  <c r="J224" i="57"/>
  <c r="J226" i="57" s="1"/>
  <c r="D387" i="57"/>
  <c r="D388" i="57" s="1"/>
  <c r="J334" i="57"/>
  <c r="J235" i="57"/>
  <c r="J236" i="57" s="1"/>
  <c r="M450" i="57"/>
  <c r="N450" i="57" s="1"/>
  <c r="J91" i="57"/>
  <c r="J93" i="57" s="1"/>
  <c r="I321" i="58"/>
  <c r="I285" i="58"/>
  <c r="J285" i="58" s="1"/>
  <c r="J364" i="58"/>
  <c r="I399" i="58"/>
  <c r="J249" i="58"/>
  <c r="G12" i="58"/>
  <c r="G13" i="58" s="1"/>
  <c r="J213" i="58"/>
  <c r="H70" i="58"/>
  <c r="J70" i="58" s="1"/>
  <c r="J107" i="58"/>
  <c r="I398" i="58"/>
  <c r="J363" i="58"/>
  <c r="J151" i="58"/>
  <c r="I187" i="58"/>
  <c r="J150" i="58"/>
  <c r="I186" i="58"/>
  <c r="J186" i="58" s="1"/>
  <c r="I139" i="58"/>
  <c r="J103" i="58"/>
  <c r="I138" i="58"/>
  <c r="I231" i="58"/>
  <c r="J197" i="58"/>
  <c r="J143" i="58"/>
  <c r="J110" i="58"/>
  <c r="I146" i="58"/>
  <c r="I432" i="58"/>
  <c r="J396" i="58"/>
  <c r="I248" i="58"/>
  <c r="J212" i="58"/>
  <c r="I362" i="58"/>
  <c r="J326" i="58"/>
  <c r="J177" i="58"/>
  <c r="I466" i="58"/>
  <c r="I484" i="58" s="1"/>
  <c r="J484" i="58" s="1"/>
  <c r="I499" i="58"/>
  <c r="J499" i="58" s="1"/>
  <c r="J148" i="58"/>
  <c r="I184" i="58"/>
  <c r="J184" i="58" s="1"/>
  <c r="J116" i="58"/>
  <c r="I152" i="58"/>
  <c r="I153" i="58"/>
  <c r="I129" i="58"/>
  <c r="J129" i="58" s="1"/>
  <c r="J117" i="58"/>
  <c r="J376" i="58"/>
  <c r="I250" i="58"/>
  <c r="J214" i="58"/>
  <c r="I288" i="53"/>
  <c r="I270" i="53"/>
  <c r="I246" i="53"/>
  <c r="I206" i="53"/>
  <c r="I135" i="53"/>
  <c r="I98" i="53"/>
  <c r="A2" i="48"/>
  <c r="A2" i="50"/>
  <c r="I475" i="58" l="1"/>
  <c r="J452" i="58"/>
  <c r="I501" i="58"/>
  <c r="J501" i="58" s="1"/>
  <c r="P93" i="57"/>
  <c r="E19" i="56"/>
  <c r="P226" i="57"/>
  <c r="E34" i="56"/>
  <c r="P209" i="57"/>
  <c r="P364" i="57" s="1"/>
  <c r="E33" i="56"/>
  <c r="J147" i="58"/>
  <c r="I183" i="58"/>
  <c r="J183" i="58" s="1"/>
  <c r="D388" i="60"/>
  <c r="J387" i="60"/>
  <c r="P209" i="60"/>
  <c r="P57" i="60"/>
  <c r="J93" i="60"/>
  <c r="J55" i="57"/>
  <c r="J57" i="57" s="1"/>
  <c r="P57" i="57" s="1"/>
  <c r="J387" i="57"/>
  <c r="D389" i="57"/>
  <c r="J389" i="57" s="1"/>
  <c r="J388" i="57"/>
  <c r="E14" i="58"/>
  <c r="G14" i="58" s="1"/>
  <c r="G15" i="58" s="1"/>
  <c r="I189" i="58"/>
  <c r="I165" i="58"/>
  <c r="J165" i="58" s="1"/>
  <c r="J153" i="58"/>
  <c r="J139" i="58"/>
  <c r="I175" i="58"/>
  <c r="I357" i="58"/>
  <c r="J321" i="58"/>
  <c r="J152" i="58"/>
  <c r="I188" i="58"/>
  <c r="J188" i="58" s="1"/>
  <c r="I397" i="58"/>
  <c r="J362" i="58"/>
  <c r="J466" i="58"/>
  <c r="I267" i="58"/>
  <c r="J231" i="58"/>
  <c r="I322" i="58"/>
  <c r="J322" i="58" s="1"/>
  <c r="I286" i="58"/>
  <c r="J286" i="58" s="1"/>
  <c r="J250" i="58"/>
  <c r="J146" i="58"/>
  <c r="I182" i="58"/>
  <c r="J182" i="58" s="1"/>
  <c r="I174" i="58"/>
  <c r="J138" i="58"/>
  <c r="I434" i="58"/>
  <c r="J398" i="58"/>
  <c r="I320" i="58"/>
  <c r="I284" i="58"/>
  <c r="J284" i="58" s="1"/>
  <c r="J248" i="58"/>
  <c r="I221" i="58"/>
  <c r="J187" i="58"/>
  <c r="I447" i="58"/>
  <c r="J411" i="58"/>
  <c r="I468" i="58"/>
  <c r="J468" i="58" s="1"/>
  <c r="J432" i="58"/>
  <c r="I435" i="58"/>
  <c r="J399" i="58"/>
  <c r="H338" i="34"/>
  <c r="H337" i="34"/>
  <c r="H275" i="34"/>
  <c r="I488" i="58" l="1"/>
  <c r="J488" i="58" s="1"/>
  <c r="J475" i="58"/>
  <c r="P93" i="60"/>
  <c r="P364" i="60" s="1"/>
  <c r="D389" i="60"/>
  <c r="J389" i="60" s="1"/>
  <c r="J388" i="60"/>
  <c r="J390" i="60" s="1"/>
  <c r="J392" i="60" s="1"/>
  <c r="J390" i="57"/>
  <c r="J392" i="57" s="1"/>
  <c r="P392" i="57" s="1"/>
  <c r="P524" i="57" s="1"/>
  <c r="I498" i="58"/>
  <c r="J498" i="58" s="1"/>
  <c r="I483" i="58"/>
  <c r="J483" i="58" s="1"/>
  <c r="J447" i="58"/>
  <c r="I257" i="58"/>
  <c r="J221" i="58"/>
  <c r="J175" i="58"/>
  <c r="I211" i="58"/>
  <c r="J189" i="58"/>
  <c r="I222" i="58"/>
  <c r="I200" i="58"/>
  <c r="J200" i="58" s="1"/>
  <c r="I471" i="58"/>
  <c r="J471" i="58" s="1"/>
  <c r="J435" i="58"/>
  <c r="I356" i="58"/>
  <c r="J320" i="58"/>
  <c r="I433" i="58"/>
  <c r="J397" i="58"/>
  <c r="I470" i="58"/>
  <c r="J470" i="58" s="1"/>
  <c r="J434" i="58"/>
  <c r="I303" i="58"/>
  <c r="J303" i="58" s="1"/>
  <c r="I339" i="58"/>
  <c r="J267" i="58"/>
  <c r="I201" i="58"/>
  <c r="J201" i="58" s="1"/>
  <c r="I451" i="58"/>
  <c r="I438" i="58"/>
  <c r="J438" i="58" s="1"/>
  <c r="I344" i="58"/>
  <c r="J344" i="58" s="1"/>
  <c r="I331" i="58"/>
  <c r="J331" i="58" s="1"/>
  <c r="I164" i="58"/>
  <c r="J164" i="58" s="1"/>
  <c r="J167" i="58" s="1"/>
  <c r="I128" i="58"/>
  <c r="J128" i="58" s="1"/>
  <c r="J131" i="58" s="1"/>
  <c r="I190" i="58"/>
  <c r="J190" i="58" s="1"/>
  <c r="I154" i="58"/>
  <c r="J154" i="58" s="1"/>
  <c r="J156" i="58" s="1"/>
  <c r="I118" i="58"/>
  <c r="J118" i="58" s="1"/>
  <c r="J120" i="58" s="1"/>
  <c r="I402" i="58"/>
  <c r="J402" i="58" s="1"/>
  <c r="I223" i="58"/>
  <c r="J223" i="58" s="1"/>
  <c r="I379" i="58"/>
  <c r="J379" i="58" s="1"/>
  <c r="I415" i="58"/>
  <c r="J415" i="58" s="1"/>
  <c r="I259" i="58"/>
  <c r="J259" i="58" s="1"/>
  <c r="I44" i="58"/>
  <c r="J44" i="58" s="1"/>
  <c r="J47" i="58" s="1"/>
  <c r="I236" i="58"/>
  <c r="J236" i="58" s="1"/>
  <c r="I81" i="58"/>
  <c r="J81" i="58" s="1"/>
  <c r="J83" i="58" s="1"/>
  <c r="I272" i="58"/>
  <c r="I367" i="58"/>
  <c r="J367" i="58" s="1"/>
  <c r="I93" i="58"/>
  <c r="J93" i="58" s="1"/>
  <c r="J95" i="58" s="1"/>
  <c r="I55" i="58"/>
  <c r="J55" i="58" s="1"/>
  <c r="J58" i="58" s="1"/>
  <c r="I210" i="58"/>
  <c r="J174" i="58"/>
  <c r="I392" i="58"/>
  <c r="J357" i="58"/>
  <c r="B41" i="53"/>
  <c r="A3" i="53"/>
  <c r="M392" i="60" l="1"/>
  <c r="N392" i="60" s="1"/>
  <c r="N524" i="60" s="1"/>
  <c r="P392" i="60"/>
  <c r="P524" i="60" s="1"/>
  <c r="J192" i="58"/>
  <c r="H193" i="58" s="1"/>
  <c r="J193" i="58" s="1"/>
  <c r="J194" i="58" s="1"/>
  <c r="M392" i="57"/>
  <c r="N392" i="57" s="1"/>
  <c r="N524" i="57" s="1"/>
  <c r="N526" i="57" s="1"/>
  <c r="H157" i="58"/>
  <c r="J157" i="58" s="1"/>
  <c r="J158" i="58" s="1"/>
  <c r="H48" i="58"/>
  <c r="J48" i="58" s="1"/>
  <c r="J49" i="58" s="1"/>
  <c r="I469" i="58"/>
  <c r="J469" i="58" s="1"/>
  <c r="J433" i="58"/>
  <c r="J211" i="58"/>
  <c r="I247" i="58"/>
  <c r="I329" i="58"/>
  <c r="I293" i="58"/>
  <c r="J293" i="58" s="1"/>
  <c r="J257" i="58"/>
  <c r="I428" i="58"/>
  <c r="J392" i="58"/>
  <c r="J169" i="58"/>
  <c r="H168" i="58"/>
  <c r="I391" i="58"/>
  <c r="J356" i="58"/>
  <c r="I246" i="58"/>
  <c r="J210" i="58"/>
  <c r="H59" i="58"/>
  <c r="J59" i="58" s="1"/>
  <c r="J60" i="58" s="1"/>
  <c r="I295" i="58"/>
  <c r="J272" i="58"/>
  <c r="J203" i="58"/>
  <c r="H132" i="58"/>
  <c r="J132" i="58" s="1"/>
  <c r="J133" i="58" s="1"/>
  <c r="I375" i="58"/>
  <c r="J339" i="58"/>
  <c r="H96" i="58"/>
  <c r="J96" i="58" s="1"/>
  <c r="J97" i="58" s="1"/>
  <c r="H84" i="58"/>
  <c r="J84" i="58" s="1"/>
  <c r="J85" i="58" s="1"/>
  <c r="J98" i="58" s="1"/>
  <c r="H121" i="58"/>
  <c r="J121" i="58" s="1"/>
  <c r="J122" i="58" s="1"/>
  <c r="I487" i="58"/>
  <c r="J487" i="58" s="1"/>
  <c r="I474" i="58"/>
  <c r="J474" i="58" s="1"/>
  <c r="I500" i="58"/>
  <c r="J500" i="58" s="1"/>
  <c r="J451" i="58"/>
  <c r="I258" i="58"/>
  <c r="J222" i="58"/>
  <c r="I235" i="58"/>
  <c r="J235" i="58" s="1"/>
  <c r="J239" i="58" s="1"/>
  <c r="H45" i="14"/>
  <c r="B45" i="14"/>
  <c r="D129" i="51"/>
  <c r="F129" i="51"/>
  <c r="D1403" i="15"/>
  <c r="B1403" i="15"/>
  <c r="G89" i="48"/>
  <c r="B89" i="48"/>
  <c r="G59" i="50"/>
  <c r="B59" i="50"/>
  <c r="D49" i="54"/>
  <c r="H423" i="53"/>
  <c r="B423" i="53"/>
  <c r="B49" i="54"/>
  <c r="H25" i="14"/>
  <c r="E25" i="14"/>
  <c r="H22" i="14"/>
  <c r="H23" i="14"/>
  <c r="H24" i="14"/>
  <c r="H21" i="14"/>
  <c r="E21" i="14"/>
  <c r="H18" i="14"/>
  <c r="H19" i="14"/>
  <c r="H20" i="14"/>
  <c r="E18" i="14"/>
  <c r="E19" i="14"/>
  <c r="E20" i="14"/>
  <c r="E17" i="14"/>
  <c r="H17" i="14"/>
  <c r="E16" i="14"/>
  <c r="E15" i="14"/>
  <c r="H14" i="14"/>
  <c r="E14" i="14"/>
  <c r="E12" i="14"/>
  <c r="E13" i="14"/>
  <c r="E11" i="14"/>
  <c r="H12" i="14"/>
  <c r="H13" i="14"/>
  <c r="H11" i="14"/>
  <c r="I225" i="53"/>
  <c r="I227" i="53"/>
  <c r="I228" i="53"/>
  <c r="D506" i="15"/>
  <c r="G506" i="15" s="1"/>
  <c r="B8" i="50"/>
  <c r="G517" i="15"/>
  <c r="F517" i="15"/>
  <c r="E517" i="15"/>
  <c r="G516" i="15"/>
  <c r="F516" i="15"/>
  <c r="E516" i="15"/>
  <c r="D514" i="15"/>
  <c r="F508" i="15"/>
  <c r="H736" i="15"/>
  <c r="N748" i="15"/>
  <c r="N747" i="15"/>
  <c r="N746" i="15"/>
  <c r="N745" i="15"/>
  <c r="M742" i="15"/>
  <c r="L746" i="15"/>
  <c r="L743" i="15"/>
  <c r="L742" i="15"/>
  <c r="J708" i="15"/>
  <c r="H700" i="15"/>
  <c r="H701" i="15" s="1"/>
  <c r="H213" i="34"/>
  <c r="H212" i="34"/>
  <c r="H187" i="34"/>
  <c r="H182" i="34"/>
  <c r="J295" i="58" l="1"/>
  <c r="I308" i="58"/>
  <c r="J308" i="58" s="1"/>
  <c r="K303" i="60"/>
  <c r="M303" i="60" s="1"/>
  <c r="N303" i="60" s="1"/>
  <c r="K303" i="57"/>
  <c r="N303" i="57" s="1"/>
  <c r="J61" i="58"/>
  <c r="K297" i="57"/>
  <c r="N297" i="57" s="1"/>
  <c r="K297" i="60"/>
  <c r="M297" i="60" s="1"/>
  <c r="N297" i="60" s="1"/>
  <c r="N526" i="60"/>
  <c r="J170" i="58"/>
  <c r="I464" i="58"/>
  <c r="I429" i="58"/>
  <c r="J429" i="58" s="1"/>
  <c r="J428" i="58"/>
  <c r="I410" i="58"/>
  <c r="J375" i="58"/>
  <c r="J226" i="58"/>
  <c r="H240" i="58"/>
  <c r="J240" i="58" s="1"/>
  <c r="J241" i="58" s="1"/>
  <c r="J329" i="58"/>
  <c r="I365" i="58"/>
  <c r="H204" i="58"/>
  <c r="J204" i="58" s="1"/>
  <c r="J205" i="58" s="1"/>
  <c r="J206" i="58" s="1"/>
  <c r="I427" i="58"/>
  <c r="J391" i="58"/>
  <c r="I318" i="58"/>
  <c r="I282" i="58"/>
  <c r="J282" i="58" s="1"/>
  <c r="J246" i="58"/>
  <c r="I271" i="58"/>
  <c r="J271" i="58" s="1"/>
  <c r="J275" i="58" s="1"/>
  <c r="I294" i="58"/>
  <c r="I330" i="58"/>
  <c r="J258" i="58"/>
  <c r="J134" i="58"/>
  <c r="J247" i="58"/>
  <c r="I283" i="58"/>
  <c r="J283" i="58" s="1"/>
  <c r="I319" i="58"/>
  <c r="I224" i="53"/>
  <c r="I220" i="53"/>
  <c r="I221" i="53"/>
  <c r="I226" i="53"/>
  <c r="I218" i="53"/>
  <c r="I222" i="53"/>
  <c r="I217" i="53"/>
  <c r="I223" i="53"/>
  <c r="I219" i="53"/>
  <c r="G513" i="15"/>
  <c r="E508" i="15"/>
  <c r="G508" i="15" s="1"/>
  <c r="I162" i="30"/>
  <c r="G36" i="56" l="1"/>
  <c r="H36" i="56" s="1"/>
  <c r="M297" i="57"/>
  <c r="G37" i="56"/>
  <c r="H37" i="56" s="1"/>
  <c r="M303" i="57"/>
  <c r="J427" i="58"/>
  <c r="I463" i="58"/>
  <c r="J463" i="58" s="1"/>
  <c r="H227" i="58"/>
  <c r="J227" i="58" s="1"/>
  <c r="J228" i="58" s="1"/>
  <c r="J242" i="58" s="1"/>
  <c r="I446" i="58"/>
  <c r="J410" i="58"/>
  <c r="J262" i="58"/>
  <c r="I465" i="58"/>
  <c r="J465" i="58" s="1"/>
  <c r="J464" i="58"/>
  <c r="I366" i="58"/>
  <c r="J330" i="58"/>
  <c r="I343" i="58"/>
  <c r="J343" i="58" s="1"/>
  <c r="J347" i="58" s="1"/>
  <c r="I307" i="58"/>
  <c r="J307" i="58" s="1"/>
  <c r="J311" i="58" s="1"/>
  <c r="J294" i="58"/>
  <c r="J298" i="58" s="1"/>
  <c r="J277" i="58"/>
  <c r="H276" i="58"/>
  <c r="J365" i="58"/>
  <c r="I400" i="58"/>
  <c r="I355" i="58"/>
  <c r="J319" i="58"/>
  <c r="I354" i="58"/>
  <c r="J318" i="58"/>
  <c r="I123" i="53"/>
  <c r="I124" i="53"/>
  <c r="I10" i="53"/>
  <c r="I12" i="53"/>
  <c r="I13" i="53"/>
  <c r="I14" i="53"/>
  <c r="I15" i="53"/>
  <c r="E60" i="53"/>
  <c r="E64" i="53" s="1"/>
  <c r="H24" i="53"/>
  <c r="H25" i="53" s="1"/>
  <c r="C43" i="53"/>
  <c r="C44" i="53"/>
  <c r="C47" i="53"/>
  <c r="I47" i="53" s="1"/>
  <c r="I48" i="53"/>
  <c r="I37" i="53"/>
  <c r="I38" i="53"/>
  <c r="C60" i="53"/>
  <c r="C64" i="53" s="1"/>
  <c r="I68" i="53"/>
  <c r="I70" i="53"/>
  <c r="I76" i="53"/>
  <c r="I77" i="53"/>
  <c r="I78" i="53"/>
  <c r="I79" i="53"/>
  <c r="I81" i="53"/>
  <c r="I85" i="53"/>
  <c r="I86" i="53"/>
  <c r="I87" i="53"/>
  <c r="I88" i="53"/>
  <c r="I90" i="53"/>
  <c r="I101" i="53"/>
  <c r="I102" i="53"/>
  <c r="I103" i="53"/>
  <c r="I104" i="53"/>
  <c r="I105" i="53"/>
  <c r="I109" i="53"/>
  <c r="I114" i="53"/>
  <c r="I115" i="53"/>
  <c r="I116" i="53"/>
  <c r="I128" i="53"/>
  <c r="I129" i="53"/>
  <c r="E149" i="53"/>
  <c r="C149" i="53"/>
  <c r="E150" i="53"/>
  <c r="C150" i="53"/>
  <c r="E292" i="53"/>
  <c r="C292" i="53"/>
  <c r="C300" i="53" s="1"/>
  <c r="E293" i="53"/>
  <c r="C293" i="53"/>
  <c r="C301" i="53" s="1"/>
  <c r="C302" i="53"/>
  <c r="C303" i="53"/>
  <c r="I310" i="53"/>
  <c r="I311" i="53" s="1"/>
  <c r="E45" i="56" s="1"/>
  <c r="I315" i="53"/>
  <c r="I316" i="53"/>
  <c r="I317" i="53"/>
  <c r="I321" i="53"/>
  <c r="E47" i="56" s="1"/>
  <c r="I325" i="53"/>
  <c r="E48" i="56" s="1"/>
  <c r="I328" i="53"/>
  <c r="E49" i="56" s="1"/>
  <c r="I335" i="53"/>
  <c r="E50" i="56" s="1"/>
  <c r="F338" i="53"/>
  <c r="H338" i="53"/>
  <c r="I339" i="53"/>
  <c r="I345" i="53"/>
  <c r="I346" i="53"/>
  <c r="I348" i="53"/>
  <c r="I349" i="53"/>
  <c r="I350" i="53"/>
  <c r="F354" i="53"/>
  <c r="G354" i="53"/>
  <c r="C354" i="53"/>
  <c r="I401" i="53"/>
  <c r="I402" i="53"/>
  <c r="I403" i="53"/>
  <c r="I404" i="53"/>
  <c r="I409" i="53"/>
  <c r="I410" i="53" s="1"/>
  <c r="K410" i="53" s="1"/>
  <c r="H495" i="30"/>
  <c r="H496" i="30"/>
  <c r="H497" i="30"/>
  <c r="H498" i="30"/>
  <c r="H499" i="30"/>
  <c r="H494" i="30"/>
  <c r="F1396" i="15"/>
  <c r="G1391" i="15"/>
  <c r="E1392" i="15" s="1"/>
  <c r="G1392" i="15" s="1"/>
  <c r="G1393" i="15" s="1"/>
  <c r="G795" i="15"/>
  <c r="E205" i="15"/>
  <c r="E204" i="15"/>
  <c r="E186" i="15"/>
  <c r="E185" i="15"/>
  <c r="F165" i="15"/>
  <c r="G165" i="15" s="1"/>
  <c r="D5" i="40"/>
  <c r="D6" i="40"/>
  <c r="D7" i="40" s="1"/>
  <c r="D8" i="40" s="1"/>
  <c r="D9" i="40" s="1"/>
  <c r="D10" i="40" s="1"/>
  <c r="D11" i="40" s="1"/>
  <c r="D12" i="40" s="1"/>
  <c r="D13" i="40" s="1"/>
  <c r="D14" i="40" s="1"/>
  <c r="D15" i="40" s="1"/>
  <c r="D16" i="40" s="1"/>
  <c r="D17" i="40" s="1"/>
  <c r="D18" i="40" s="1"/>
  <c r="D19" i="40" s="1"/>
  <c r="D20" i="40" s="1"/>
  <c r="D21" i="40" s="1"/>
  <c r="D22" i="40" s="1"/>
  <c r="D23" i="40" s="1"/>
  <c r="D24" i="40" s="1"/>
  <c r="D25" i="40" s="1"/>
  <c r="D26" i="40" s="1"/>
  <c r="D27" i="40" s="1"/>
  <c r="D28" i="40" s="1"/>
  <c r="D29" i="40" s="1"/>
  <c r="D30" i="40" s="1"/>
  <c r="D31" i="40" s="1"/>
  <c r="D32" i="40" s="1"/>
  <c r="D33" i="40" s="1"/>
  <c r="D34" i="40" s="1"/>
  <c r="D35" i="40" s="1"/>
  <c r="D36" i="40" s="1"/>
  <c r="D37" i="40" s="1"/>
  <c r="D38" i="40" s="1"/>
  <c r="D39" i="40" s="1"/>
  <c r="D40" i="40" s="1"/>
  <c r="D41" i="40" s="1"/>
  <c r="D42" i="40" s="1"/>
  <c r="D43" i="40" s="1"/>
  <c r="D44" i="40" s="1"/>
  <c r="D45" i="40" s="1"/>
  <c r="D46" i="40" s="1"/>
  <c r="D47" i="40" s="1"/>
  <c r="D48" i="40" s="1"/>
  <c r="D49" i="40" s="1"/>
  <c r="D50" i="40" s="1"/>
  <c r="D51" i="40" s="1"/>
  <c r="D52" i="40" s="1"/>
  <c r="D53" i="40" s="1"/>
  <c r="D54" i="40" s="1"/>
  <c r="D55" i="40" s="1"/>
  <c r="D56" i="40" s="1"/>
  <c r="D57" i="40" s="1"/>
  <c r="D58" i="40" s="1"/>
  <c r="D59" i="40" s="1"/>
  <c r="D60" i="40" s="1"/>
  <c r="D61" i="40" s="1"/>
  <c r="D62" i="40" s="1"/>
  <c r="D63" i="40" s="1"/>
  <c r="D64" i="40" s="1"/>
  <c r="D65" i="40" s="1"/>
  <c r="D66" i="40" s="1"/>
  <c r="D67" i="40" s="1"/>
  <c r="D68" i="40" s="1"/>
  <c r="D69" i="40" s="1"/>
  <c r="D70" i="40" s="1"/>
  <c r="D71" i="40" s="1"/>
  <c r="D72" i="40" s="1"/>
  <c r="D73" i="40" s="1"/>
  <c r="D74" i="40" s="1"/>
  <c r="D75" i="40" s="1"/>
  <c r="D76" i="40" s="1"/>
  <c r="D77" i="40" s="1"/>
  <c r="D78" i="40" s="1"/>
  <c r="D79" i="40" s="1"/>
  <c r="D80" i="40" s="1"/>
  <c r="D81" i="40" s="1"/>
  <c r="D82" i="40" s="1"/>
  <c r="D83" i="40" s="1"/>
  <c r="D84" i="40" s="1"/>
  <c r="D85" i="40" s="1"/>
  <c r="D86" i="40" s="1"/>
  <c r="D87" i="40" s="1"/>
  <c r="D88" i="40" s="1"/>
  <c r="D89" i="40" s="1"/>
  <c r="D90" i="40" s="1"/>
  <c r="D91" i="40" s="1"/>
  <c r="D92" i="40" s="1"/>
  <c r="D93" i="40" s="1"/>
  <c r="D94" i="40" s="1"/>
  <c r="D95" i="40" s="1"/>
  <c r="D96" i="40" s="1"/>
  <c r="D97" i="40" s="1"/>
  <c r="D98" i="40" s="1"/>
  <c r="D99" i="40" s="1"/>
  <c r="D100" i="40" s="1"/>
  <c r="D101" i="40" s="1"/>
  <c r="D102" i="40" s="1"/>
  <c r="D103" i="40" s="1"/>
  <c r="D104" i="40" s="1"/>
  <c r="D105" i="40" s="1"/>
  <c r="D106" i="40" s="1"/>
  <c r="D107" i="40" s="1"/>
  <c r="D108" i="40" s="1"/>
  <c r="D109" i="40" s="1"/>
  <c r="D110" i="40" s="1"/>
  <c r="D111" i="40" s="1"/>
  <c r="D112" i="40" s="1"/>
  <c r="D113" i="40" s="1"/>
  <c r="D114" i="40" s="1"/>
  <c r="D115" i="40" s="1"/>
  <c r="D116" i="40" s="1"/>
  <c r="D117" i="40" s="1"/>
  <c r="D118" i="40" s="1"/>
  <c r="D119" i="40" s="1"/>
  <c r="D120" i="40" s="1"/>
  <c r="D121" i="40" s="1"/>
  <c r="D122" i="40" s="1"/>
  <c r="D123" i="40" s="1"/>
  <c r="D124" i="40" s="1"/>
  <c r="D125" i="40" s="1"/>
  <c r="D126" i="40" s="1"/>
  <c r="D127" i="40" s="1"/>
  <c r="D128" i="40" s="1"/>
  <c r="D129" i="40" s="1"/>
  <c r="D130" i="40" s="1"/>
  <c r="D131" i="40" s="1"/>
  <c r="D132" i="40" s="1"/>
  <c r="D133" i="40" s="1"/>
  <c r="D134" i="40" s="1"/>
  <c r="D135" i="40" s="1"/>
  <c r="D136" i="40" s="1"/>
  <c r="D137" i="40" s="1"/>
  <c r="D138" i="40" s="1"/>
  <c r="D139" i="40" s="1"/>
  <c r="D140" i="40" s="1"/>
  <c r="D141" i="40" s="1"/>
  <c r="D142" i="40" s="1"/>
  <c r="D143" i="40" s="1"/>
  <c r="D144" i="40" s="1"/>
  <c r="D145" i="40" s="1"/>
  <c r="D146" i="40" s="1"/>
  <c r="D147" i="40" s="1"/>
  <c r="D148" i="40" s="1"/>
  <c r="D149" i="40" s="1"/>
  <c r="D150" i="40" s="1"/>
  <c r="D151" i="40" s="1"/>
  <c r="D152" i="40" s="1"/>
  <c r="D153" i="40" s="1"/>
  <c r="D154" i="40" s="1"/>
  <c r="D155" i="40" s="1"/>
  <c r="D156" i="40" s="1"/>
  <c r="D157" i="40" s="1"/>
  <c r="D158" i="40" s="1"/>
  <c r="D159" i="40" s="1"/>
  <c r="D160" i="40" s="1"/>
  <c r="D161" i="40" s="1"/>
  <c r="D162" i="40" s="1"/>
  <c r="D163" i="40" s="1"/>
  <c r="D164" i="40" s="1"/>
  <c r="D165" i="40" s="1"/>
  <c r="D166" i="40" s="1"/>
  <c r="D167" i="40" s="1"/>
  <c r="D168" i="40" s="1"/>
  <c r="D169" i="40" s="1"/>
  <c r="D170" i="40" s="1"/>
  <c r="D171" i="40" s="1"/>
  <c r="D172" i="40" s="1"/>
  <c r="D173" i="40" s="1"/>
  <c r="D174" i="40" s="1"/>
  <c r="D175" i="40" s="1"/>
  <c r="D176" i="40" s="1"/>
  <c r="D177" i="40" s="1"/>
  <c r="D178" i="40" s="1"/>
  <c r="D179" i="40" s="1"/>
  <c r="D180" i="40" s="1"/>
  <c r="D181" i="40" s="1"/>
  <c r="D182" i="40" s="1"/>
  <c r="D183" i="40" s="1"/>
  <c r="D184" i="40" s="1"/>
  <c r="D185" i="40" s="1"/>
  <c r="D186" i="40" s="1"/>
  <c r="D187" i="40" s="1"/>
  <c r="D188" i="40" s="1"/>
  <c r="D189" i="40" s="1"/>
  <c r="D190" i="40" s="1"/>
  <c r="D191" i="40" s="1"/>
  <c r="D192" i="40" s="1"/>
  <c r="D193" i="40" s="1"/>
  <c r="D194" i="40" s="1"/>
  <c r="D195" i="40" s="1"/>
  <c r="D196" i="40" s="1"/>
  <c r="D197" i="40" s="1"/>
  <c r="D198" i="40" s="1"/>
  <c r="D199" i="40" s="1"/>
  <c r="D200" i="40" s="1"/>
  <c r="D201" i="40" s="1"/>
  <c r="D202" i="40" s="1"/>
  <c r="D203" i="40" s="1"/>
  <c r="D204" i="40" s="1"/>
  <c r="D205" i="40" s="1"/>
  <c r="D206" i="40" s="1"/>
  <c r="D207" i="40" s="1"/>
  <c r="D208" i="40" s="1"/>
  <c r="D209" i="40" s="1"/>
  <c r="D210" i="40" s="1"/>
  <c r="D211" i="40" s="1"/>
  <c r="D212" i="40" s="1"/>
  <c r="D213" i="40" s="1"/>
  <c r="D214" i="40" s="1"/>
  <c r="D215" i="40" s="1"/>
  <c r="D216" i="40" s="1"/>
  <c r="D217" i="40" s="1"/>
  <c r="D218" i="40" s="1"/>
  <c r="D219" i="40" s="1"/>
  <c r="D220" i="40" s="1"/>
  <c r="D221" i="40" s="1"/>
  <c r="D222" i="40" s="1"/>
  <c r="D223" i="40" s="1"/>
  <c r="D224" i="40" s="1"/>
  <c r="D225" i="40" s="1"/>
  <c r="D226" i="40" s="1"/>
  <c r="D227" i="40" s="1"/>
  <c r="D228" i="40" s="1"/>
  <c r="D229" i="40" s="1"/>
  <c r="D230" i="40" s="1"/>
  <c r="D231" i="40" s="1"/>
  <c r="D232" i="40" s="1"/>
  <c r="D233" i="40" s="1"/>
  <c r="D234" i="40" s="1"/>
  <c r="D235" i="40" s="1"/>
  <c r="D236" i="40" s="1"/>
  <c r="D237" i="40" s="1"/>
  <c r="D238" i="40" s="1"/>
  <c r="D239" i="40" s="1"/>
  <c r="D240" i="40" s="1"/>
  <c r="D241" i="40" s="1"/>
  <c r="D242" i="40" s="1"/>
  <c r="D243" i="40" s="1"/>
  <c r="D244" i="40" s="1"/>
  <c r="D245" i="40" s="1"/>
  <c r="D246" i="40" s="1"/>
  <c r="D247" i="40" s="1"/>
  <c r="D248" i="40" s="1"/>
  <c r="D249" i="40" s="1"/>
  <c r="D250" i="40" s="1"/>
  <c r="D251" i="40" s="1"/>
  <c r="D252" i="40" s="1"/>
  <c r="D253" i="40" s="1"/>
  <c r="D254" i="40" s="1"/>
  <c r="D255" i="40" s="1"/>
  <c r="D256" i="40" s="1"/>
  <c r="D257" i="40" s="1"/>
  <c r="D258" i="40" s="1"/>
  <c r="D259" i="40" s="1"/>
  <c r="D260" i="40" s="1"/>
  <c r="D261" i="40" s="1"/>
  <c r="D262" i="40" s="1"/>
  <c r="D263" i="40" s="1"/>
  <c r="D264" i="40" s="1"/>
  <c r="D265" i="40" s="1"/>
  <c r="D266" i="40" s="1"/>
  <c r="D267" i="40" s="1"/>
  <c r="D268" i="40" s="1"/>
  <c r="D269" i="40" s="1"/>
  <c r="D270" i="40" s="1"/>
  <c r="D271" i="40" s="1"/>
  <c r="D272" i="40" s="1"/>
  <c r="D273" i="40" s="1"/>
  <c r="D274" i="40" s="1"/>
  <c r="D275" i="40" s="1"/>
  <c r="D276" i="40" s="1"/>
  <c r="D277" i="40" s="1"/>
  <c r="D278" i="40" s="1"/>
  <c r="D279" i="40" s="1"/>
  <c r="D280" i="40" s="1"/>
  <c r="D281" i="40" s="1"/>
  <c r="D282" i="40" s="1"/>
  <c r="D283" i="40" s="1"/>
  <c r="D284" i="40" s="1"/>
  <c r="D285" i="40" s="1"/>
  <c r="D286" i="40" s="1"/>
  <c r="D287" i="40" s="1"/>
  <c r="D288" i="40" s="1"/>
  <c r="D289" i="40" s="1"/>
  <c r="D290" i="40" s="1"/>
  <c r="D291" i="40" s="1"/>
  <c r="D292" i="40" s="1"/>
  <c r="D293" i="40" s="1"/>
  <c r="D294" i="40" s="1"/>
  <c r="D295" i="40" s="1"/>
  <c r="D296" i="40" s="1"/>
  <c r="D297" i="40" s="1"/>
  <c r="D298" i="40" s="1"/>
  <c r="D299" i="40" s="1"/>
  <c r="D300" i="40" s="1"/>
  <c r="D301" i="40" s="1"/>
  <c r="D302" i="40" s="1"/>
  <c r="D303" i="40" s="1"/>
  <c r="G5" i="40"/>
  <c r="G6" i="40" s="1"/>
  <c r="G7" i="40" s="1"/>
  <c r="G8" i="40" s="1"/>
  <c r="G9" i="40" s="1"/>
  <c r="G10" i="40" s="1"/>
  <c r="G11" i="40" s="1"/>
  <c r="G12" i="40" s="1"/>
  <c r="G13" i="40" s="1"/>
  <c r="G14" i="40" s="1"/>
  <c r="G15" i="40" s="1"/>
  <c r="G16" i="40" s="1"/>
  <c r="G17" i="40" s="1"/>
  <c r="G18" i="40" s="1"/>
  <c r="G19" i="40" s="1"/>
  <c r="G20" i="40" s="1"/>
  <c r="G21" i="40" s="1"/>
  <c r="G22" i="40" s="1"/>
  <c r="G23" i="40" s="1"/>
  <c r="G24" i="40" s="1"/>
  <c r="G25" i="40" s="1"/>
  <c r="G26" i="40" s="1"/>
  <c r="G27" i="40" s="1"/>
  <c r="G28" i="40" s="1"/>
  <c r="G29" i="40" s="1"/>
  <c r="G30" i="40" s="1"/>
  <c r="G31" i="40" s="1"/>
  <c r="G32" i="40" s="1"/>
  <c r="G33" i="40" s="1"/>
  <c r="G34" i="40" s="1"/>
  <c r="G35" i="40" s="1"/>
  <c r="G36" i="40" s="1"/>
  <c r="G37" i="40" s="1"/>
  <c r="G38" i="40" s="1"/>
  <c r="G39" i="40" s="1"/>
  <c r="G40" i="40" s="1"/>
  <c r="G41" i="40" s="1"/>
  <c r="G42" i="40" s="1"/>
  <c r="G43" i="40" s="1"/>
  <c r="G44" i="40" s="1"/>
  <c r="G45" i="40" s="1"/>
  <c r="G46" i="40" s="1"/>
  <c r="G47" i="40" s="1"/>
  <c r="G48" i="40" s="1"/>
  <c r="G49" i="40" s="1"/>
  <c r="G50" i="40" s="1"/>
  <c r="G51" i="40" s="1"/>
  <c r="G52" i="40" s="1"/>
  <c r="G53" i="40" s="1"/>
  <c r="G54" i="40" s="1"/>
  <c r="G55" i="40" s="1"/>
  <c r="G56" i="40" s="1"/>
  <c r="G57" i="40" s="1"/>
  <c r="G58" i="40" s="1"/>
  <c r="G59" i="40" s="1"/>
  <c r="G60" i="40" s="1"/>
  <c r="G61" i="40" s="1"/>
  <c r="G62" i="40" s="1"/>
  <c r="G63" i="40" s="1"/>
  <c r="G64" i="40" s="1"/>
  <c r="G65" i="40" s="1"/>
  <c r="G66" i="40" s="1"/>
  <c r="G67" i="40" s="1"/>
  <c r="G68" i="40" s="1"/>
  <c r="G69" i="40" s="1"/>
  <c r="G70" i="40" s="1"/>
  <c r="G71" i="40" s="1"/>
  <c r="G72" i="40" s="1"/>
  <c r="G73" i="40" s="1"/>
  <c r="G74" i="40" s="1"/>
  <c r="G75" i="40" s="1"/>
  <c r="G76" i="40" s="1"/>
  <c r="G77" i="40" s="1"/>
  <c r="G78" i="40" s="1"/>
  <c r="G79" i="40" s="1"/>
  <c r="G80" i="40" s="1"/>
  <c r="G81" i="40" s="1"/>
  <c r="G82" i="40" s="1"/>
  <c r="G83" i="40" s="1"/>
  <c r="G84" i="40" s="1"/>
  <c r="G85" i="40" s="1"/>
  <c r="G86" i="40" s="1"/>
  <c r="G87" i="40" s="1"/>
  <c r="G88" i="40" s="1"/>
  <c r="G89" i="40" s="1"/>
  <c r="G90" i="40" s="1"/>
  <c r="G91" i="40" s="1"/>
  <c r="G92" i="40" s="1"/>
  <c r="G93" i="40" s="1"/>
  <c r="G94" i="40" s="1"/>
  <c r="G95" i="40" s="1"/>
  <c r="G96" i="40" s="1"/>
  <c r="G97" i="40" s="1"/>
  <c r="G98" i="40" s="1"/>
  <c r="G99" i="40" s="1"/>
  <c r="G100" i="40" s="1"/>
  <c r="G101" i="40" s="1"/>
  <c r="G102" i="40" s="1"/>
  <c r="G103" i="40" s="1"/>
  <c r="G104" i="40" s="1"/>
  <c r="G105" i="40" s="1"/>
  <c r="G106" i="40" s="1"/>
  <c r="G107" i="40" s="1"/>
  <c r="G108" i="40" s="1"/>
  <c r="G109" i="40" s="1"/>
  <c r="G110" i="40" s="1"/>
  <c r="G111" i="40" s="1"/>
  <c r="G112" i="40" s="1"/>
  <c r="G113" i="40" s="1"/>
  <c r="G114" i="40" s="1"/>
  <c r="G115" i="40" s="1"/>
  <c r="G116" i="40" s="1"/>
  <c r="G117" i="40" s="1"/>
  <c r="G118" i="40" s="1"/>
  <c r="G119" i="40" s="1"/>
  <c r="G120" i="40" s="1"/>
  <c r="G121" i="40" s="1"/>
  <c r="G122" i="40" s="1"/>
  <c r="G123" i="40" s="1"/>
  <c r="G124" i="40" s="1"/>
  <c r="G125" i="40" s="1"/>
  <c r="G126" i="40" s="1"/>
  <c r="G127" i="40" s="1"/>
  <c r="G128" i="40" s="1"/>
  <c r="G129" i="40" s="1"/>
  <c r="G130" i="40" s="1"/>
  <c r="G131" i="40" s="1"/>
  <c r="G132" i="40" s="1"/>
  <c r="G133" i="40" s="1"/>
  <c r="G134" i="40" s="1"/>
  <c r="G135" i="40" s="1"/>
  <c r="G136" i="40" s="1"/>
  <c r="G137" i="40" s="1"/>
  <c r="G138" i="40" s="1"/>
  <c r="G139" i="40" s="1"/>
  <c r="G140" i="40" s="1"/>
  <c r="G141" i="40" s="1"/>
  <c r="G142" i="40" s="1"/>
  <c r="G143" i="40" s="1"/>
  <c r="G144" i="40" s="1"/>
  <c r="G145" i="40" s="1"/>
  <c r="G146" i="40" s="1"/>
  <c r="G147" i="40" s="1"/>
  <c r="G148" i="40" s="1"/>
  <c r="G149" i="40" s="1"/>
  <c r="G150" i="40" s="1"/>
  <c r="G151" i="40" s="1"/>
  <c r="G152" i="40" s="1"/>
  <c r="G153" i="40" s="1"/>
  <c r="I55" i="14"/>
  <c r="I56" i="14" s="1"/>
  <c r="Q27" i="14"/>
  <c r="P27" i="14"/>
  <c r="Q26" i="14"/>
  <c r="P26" i="14"/>
  <c r="Q16" i="14"/>
  <c r="P16" i="14"/>
  <c r="Q15" i="14"/>
  <c r="P15" i="14"/>
  <c r="L495" i="30"/>
  <c r="L494" i="30"/>
  <c r="K494" i="30"/>
  <c r="E214" i="31"/>
  <c r="E233" i="31"/>
  <c r="E241" i="31" s="1"/>
  <c r="F162" i="30"/>
  <c r="E162" i="30"/>
  <c r="D162" i="30"/>
  <c r="H162" i="30" s="1"/>
  <c r="J162" i="30" s="1"/>
  <c r="F142" i="30"/>
  <c r="E142" i="30"/>
  <c r="H142" i="30" s="1"/>
  <c r="J142" i="30" s="1"/>
  <c r="B298" i="53"/>
  <c r="B27" i="54" s="1"/>
  <c r="M178" i="34"/>
  <c r="H503" i="30"/>
  <c r="J335" i="53" s="1"/>
  <c r="G50" i="56" s="1"/>
  <c r="E90" i="30"/>
  <c r="K126" i="30"/>
  <c r="F126" i="30"/>
  <c r="E126" i="30"/>
  <c r="D126" i="30"/>
  <c r="G117" i="30"/>
  <c r="E117" i="30"/>
  <c r="F106" i="30"/>
  <c r="H106" i="30" s="1"/>
  <c r="J106" i="30" s="1"/>
  <c r="E106" i="30"/>
  <c r="D354" i="53"/>
  <c r="B353" i="53"/>
  <c r="B37" i="54" s="1"/>
  <c r="F1366" i="15"/>
  <c r="G1366" i="15" s="1"/>
  <c r="F1365" i="15"/>
  <c r="G1365" i="15" s="1"/>
  <c r="G1363" i="15"/>
  <c r="G1362" i="15"/>
  <c r="G1360" i="15"/>
  <c r="G1359" i="15"/>
  <c r="G1356" i="15"/>
  <c r="G1355" i="15"/>
  <c r="G1354" i="15"/>
  <c r="G1353" i="15"/>
  <c r="G1352" i="15"/>
  <c r="G1351" i="15"/>
  <c r="G1350" i="15"/>
  <c r="B320" i="53"/>
  <c r="B30" i="54" s="1"/>
  <c r="H75" i="48"/>
  <c r="H76" i="48" s="1"/>
  <c r="B79" i="48"/>
  <c r="B74" i="48"/>
  <c r="H323" i="34"/>
  <c r="H322" i="34"/>
  <c r="H324" i="34" s="1"/>
  <c r="H320" i="34"/>
  <c r="B57" i="48"/>
  <c r="H58" i="48"/>
  <c r="H218" i="34"/>
  <c r="H217" i="34"/>
  <c r="H216" i="34"/>
  <c r="H214" i="34"/>
  <c r="H54" i="48"/>
  <c r="B53" i="48"/>
  <c r="H201" i="34"/>
  <c r="H200" i="34"/>
  <c r="H199" i="34"/>
  <c r="H197" i="34"/>
  <c r="H50" i="48"/>
  <c r="H51" i="48" s="1"/>
  <c r="B49" i="48"/>
  <c r="H185" i="34"/>
  <c r="H184" i="34"/>
  <c r="H181" i="34"/>
  <c r="B41" i="48"/>
  <c r="H173" i="34"/>
  <c r="H172" i="34"/>
  <c r="H174" i="34" s="1"/>
  <c r="H170" i="34"/>
  <c r="H169" i="34"/>
  <c r="B61" i="48"/>
  <c r="H335" i="34"/>
  <c r="B40" i="54"/>
  <c r="B24" i="54"/>
  <c r="B20" i="54"/>
  <c r="B19" i="54"/>
  <c r="B14" i="54"/>
  <c r="G554" i="15"/>
  <c r="G553" i="15"/>
  <c r="G552" i="15"/>
  <c r="G549" i="15"/>
  <c r="G548" i="15"/>
  <c r="G547" i="15"/>
  <c r="B35" i="54"/>
  <c r="B334" i="53"/>
  <c r="B34" i="54" s="1"/>
  <c r="B331" i="53"/>
  <c r="B33" i="54" s="1"/>
  <c r="J489" i="30"/>
  <c r="J490" i="30"/>
  <c r="J491" i="30" s="1"/>
  <c r="J332" i="53" s="1"/>
  <c r="E69" i="30"/>
  <c r="E68" i="30"/>
  <c r="F219" i="31"/>
  <c r="H219" i="31" s="1"/>
  <c r="E219" i="31"/>
  <c r="E215" i="31"/>
  <c r="H215" i="31"/>
  <c r="H213" i="31"/>
  <c r="J213" i="31"/>
  <c r="E216" i="31"/>
  <c r="E218" i="31"/>
  <c r="B343" i="53"/>
  <c r="B36" i="54" s="1"/>
  <c r="B127" i="53"/>
  <c r="B17" i="54" s="1"/>
  <c r="B358" i="53"/>
  <c r="B38" i="54" s="1"/>
  <c r="B382" i="53"/>
  <c r="B39" i="54" s="1"/>
  <c r="B324" i="53"/>
  <c r="B31" i="54" s="1"/>
  <c r="B327" i="53"/>
  <c r="B32" i="54" s="1"/>
  <c r="B313" i="53"/>
  <c r="B29" i="54" s="1"/>
  <c r="B290" i="53"/>
  <c r="B26" i="54" s="1"/>
  <c r="B232" i="53"/>
  <c r="B25" i="54" s="1"/>
  <c r="B208" i="53"/>
  <c r="B23" i="54" s="1"/>
  <c r="B196" i="53"/>
  <c r="B22" i="54" s="1"/>
  <c r="B21" i="54"/>
  <c r="B132" i="53"/>
  <c r="B18" i="54" s="1"/>
  <c r="B58" i="53"/>
  <c r="B15" i="54" s="1"/>
  <c r="B20" i="53"/>
  <c r="B13" i="54" s="1"/>
  <c r="B8" i="53"/>
  <c r="B12" i="54" s="1"/>
  <c r="B373" i="53"/>
  <c r="B372" i="53"/>
  <c r="B370" i="53"/>
  <c r="B369" i="53"/>
  <c r="B367" i="53"/>
  <c r="B366" i="53"/>
  <c r="B364" i="53"/>
  <c r="B363" i="53"/>
  <c r="B361" i="53"/>
  <c r="B360" i="53"/>
  <c r="B28" i="54"/>
  <c r="D303" i="53"/>
  <c r="D302" i="53"/>
  <c r="D293" i="53"/>
  <c r="D301" i="53" s="1"/>
  <c r="D292" i="53"/>
  <c r="D300" i="53" s="1"/>
  <c r="M212" i="53"/>
  <c r="H205" i="53"/>
  <c r="F205" i="53"/>
  <c r="E205" i="53"/>
  <c r="C205" i="53"/>
  <c r="B205" i="53"/>
  <c r="H204" i="53"/>
  <c r="F204" i="53"/>
  <c r="E204" i="53"/>
  <c r="C204" i="53"/>
  <c r="B204" i="53"/>
  <c r="D150" i="53"/>
  <c r="D149" i="53"/>
  <c r="B16" i="54"/>
  <c r="B22" i="53"/>
  <c r="B60" i="53" s="1"/>
  <c r="B64" i="53" s="1"/>
  <c r="B918" i="15"/>
  <c r="B926" i="15" s="1"/>
  <c r="B938" i="15" s="1"/>
  <c r="B962" i="15" s="1"/>
  <c r="B971" i="15" s="1"/>
  <c r="B984" i="15" s="1"/>
  <c r="B997" i="15" s="1"/>
  <c r="B1011" i="15" s="1"/>
  <c r="B1046" i="15" s="1"/>
  <c r="D482" i="30"/>
  <c r="H482" i="30" s="1"/>
  <c r="E482" i="30"/>
  <c r="G482" i="30"/>
  <c r="M483" i="30"/>
  <c r="K489" i="30"/>
  <c r="K482" i="30"/>
  <c r="E480" i="30"/>
  <c r="H480" i="30" s="1"/>
  <c r="J480" i="30" s="1"/>
  <c r="F481" i="30"/>
  <c r="E481" i="30"/>
  <c r="D481" i="30"/>
  <c r="E479" i="30"/>
  <c r="H132" i="47"/>
  <c r="H100" i="47"/>
  <c r="G106" i="47"/>
  <c r="H106" i="47" s="1"/>
  <c r="B155" i="47"/>
  <c r="B64" i="47"/>
  <c r="I90" i="30"/>
  <c r="I481" i="30" s="1"/>
  <c r="F90" i="30"/>
  <c r="D90" i="30"/>
  <c r="H90" i="30" s="1"/>
  <c r="D89" i="30"/>
  <c r="E89" i="30"/>
  <c r="F89" i="30"/>
  <c r="G89" i="30"/>
  <c r="G88" i="30"/>
  <c r="F88" i="30"/>
  <c r="E88" i="30"/>
  <c r="D88" i="30"/>
  <c r="F70" i="30"/>
  <c r="F81" i="30" s="1"/>
  <c r="E70" i="30"/>
  <c r="E81" i="30" s="1"/>
  <c r="D241" i="31"/>
  <c r="D240" i="31"/>
  <c r="F240" i="31"/>
  <c r="G240" i="31"/>
  <c r="D239" i="31"/>
  <c r="H70" i="30"/>
  <c r="J70" i="30" s="1"/>
  <c r="R70" i="30" s="1"/>
  <c r="G231" i="31"/>
  <c r="G239" i="31"/>
  <c r="F239" i="31"/>
  <c r="A2" i="47"/>
  <c r="M17" i="52"/>
  <c r="H51" i="50"/>
  <c r="H52" i="50" s="1"/>
  <c r="J52" i="50" s="1"/>
  <c r="H39" i="50"/>
  <c r="H40" i="50" s="1"/>
  <c r="H35" i="50"/>
  <c r="H36" i="50" s="1"/>
  <c r="H25" i="50"/>
  <c r="H26" i="50" s="1"/>
  <c r="H21" i="50"/>
  <c r="H22" i="50" s="1"/>
  <c r="H5" i="50"/>
  <c r="H6" i="50" s="1"/>
  <c r="B4" i="50"/>
  <c r="H115" i="51"/>
  <c r="H116" i="51"/>
  <c r="H117" i="51"/>
  <c r="H118" i="51"/>
  <c r="B295" i="47"/>
  <c r="B308" i="47"/>
  <c r="I480" i="30"/>
  <c r="I479" i="30"/>
  <c r="H484" i="30"/>
  <c r="H479" i="30"/>
  <c r="B291" i="47"/>
  <c r="E217" i="31"/>
  <c r="E240" i="31"/>
  <c r="E212" i="31"/>
  <c r="E239" i="31"/>
  <c r="I242" i="31"/>
  <c r="O50" i="47"/>
  <c r="B42" i="50"/>
  <c r="B38" i="50"/>
  <c r="B34" i="50"/>
  <c r="B31" i="50"/>
  <c r="B28" i="50"/>
  <c r="B24" i="50"/>
  <c r="B20" i="50"/>
  <c r="G40" i="51"/>
  <c r="H40" i="51" s="1"/>
  <c r="B16" i="50"/>
  <c r="B12" i="50"/>
  <c r="H111" i="51"/>
  <c r="G112" i="51"/>
  <c r="H112" i="51" s="1"/>
  <c r="H113" i="51" s="1"/>
  <c r="H106" i="51"/>
  <c r="G107" i="51" s="1"/>
  <c r="H107" i="51" s="1"/>
  <c r="H108" i="51" s="1"/>
  <c r="G101" i="51"/>
  <c r="H101" i="51" s="1"/>
  <c r="H100" i="51"/>
  <c r="H95" i="51"/>
  <c r="H94" i="51"/>
  <c r="H89" i="51"/>
  <c r="G90" i="51" s="1"/>
  <c r="H90" i="51" s="1"/>
  <c r="H91" i="51" s="1"/>
  <c r="H84" i="51"/>
  <c r="H79" i="51"/>
  <c r="G80" i="51" s="1"/>
  <c r="H80" i="51" s="1"/>
  <c r="H81" i="51" s="1"/>
  <c r="I36" i="50" s="1"/>
  <c r="H74" i="51"/>
  <c r="G75" i="51" s="1"/>
  <c r="H75" i="51" s="1"/>
  <c r="H76" i="51" s="1"/>
  <c r="I32" i="50" s="1"/>
  <c r="H69" i="51"/>
  <c r="H64" i="51"/>
  <c r="G65" i="51"/>
  <c r="H65" i="51" s="1"/>
  <c r="H66" i="51" s="1"/>
  <c r="H59" i="51"/>
  <c r="H53" i="51"/>
  <c r="G54" i="51" s="1"/>
  <c r="H46" i="51"/>
  <c r="G47" i="51" s="1"/>
  <c r="H47" i="51" s="1"/>
  <c r="H48" i="51" s="1"/>
  <c r="H49" i="51" s="1"/>
  <c r="I26" i="50" s="1"/>
  <c r="H39" i="51"/>
  <c r="H34" i="51"/>
  <c r="H33" i="51"/>
  <c r="H28" i="51"/>
  <c r="H27" i="51"/>
  <c r="H22" i="51"/>
  <c r="H21" i="51"/>
  <c r="H16" i="51"/>
  <c r="H15" i="51"/>
  <c r="H10" i="51"/>
  <c r="H9" i="51"/>
  <c r="H4" i="51"/>
  <c r="H3" i="51"/>
  <c r="G5" i="51" s="1"/>
  <c r="A8" i="51"/>
  <c r="A14" i="51" s="1"/>
  <c r="A20" i="51" s="1"/>
  <c r="A26" i="51" s="1"/>
  <c r="A32" i="51" s="1"/>
  <c r="A38" i="51" s="1"/>
  <c r="A78" i="51" s="1"/>
  <c r="B172" i="35"/>
  <c r="D172" i="35"/>
  <c r="B173" i="35"/>
  <c r="D173" i="35"/>
  <c r="E162" i="35"/>
  <c r="H9" i="50"/>
  <c r="H10" i="50" s="1"/>
  <c r="H48" i="50"/>
  <c r="H44" i="50"/>
  <c r="H43" i="50"/>
  <c r="H32" i="50"/>
  <c r="H29" i="50"/>
  <c r="H17" i="50"/>
  <c r="H18" i="50" s="1"/>
  <c r="H13" i="50"/>
  <c r="H14" i="50" s="1"/>
  <c r="B82" i="48"/>
  <c r="B70" i="48"/>
  <c r="B31" i="48"/>
  <c r="B12" i="48"/>
  <c r="G64" i="34"/>
  <c r="B8" i="48"/>
  <c r="B4" i="48"/>
  <c r="H83" i="48"/>
  <c r="H80" i="48"/>
  <c r="H71" i="48"/>
  <c r="H72" i="48" s="1"/>
  <c r="H67" i="48"/>
  <c r="H66" i="48"/>
  <c r="H65" i="48"/>
  <c r="H64" i="48"/>
  <c r="H63" i="48"/>
  <c r="H62" i="48"/>
  <c r="H45" i="48"/>
  <c r="H44" i="48"/>
  <c r="H43" i="48"/>
  <c r="H42" i="48"/>
  <c r="E38" i="48"/>
  <c r="H38" i="48" s="1"/>
  <c r="E37" i="48"/>
  <c r="H37" i="48" s="1"/>
  <c r="E36" i="48"/>
  <c r="H36" i="48"/>
  <c r="E35" i="48"/>
  <c r="H35" i="48" s="1"/>
  <c r="E34" i="48"/>
  <c r="H34" i="48" s="1"/>
  <c r="E33" i="48"/>
  <c r="H33" i="48" s="1"/>
  <c r="H28" i="48"/>
  <c r="H27" i="48"/>
  <c r="H26" i="48"/>
  <c r="H25" i="48"/>
  <c r="H23" i="48"/>
  <c r="H22" i="48"/>
  <c r="H21" i="48"/>
  <c r="H20" i="48"/>
  <c r="H18" i="48"/>
  <c r="H17" i="48"/>
  <c r="H15" i="48"/>
  <c r="H14" i="48"/>
  <c r="H10" i="48"/>
  <c r="H6" i="48"/>
  <c r="G23" i="51"/>
  <c r="H23" i="51" s="1"/>
  <c r="H24" i="51" s="1"/>
  <c r="H343" i="47"/>
  <c r="B282" i="47"/>
  <c r="B277" i="47"/>
  <c r="B262" i="47"/>
  <c r="B267" i="47"/>
  <c r="R10" i="14"/>
  <c r="F1048" i="15" s="1"/>
  <c r="G1048" i="15" s="1"/>
  <c r="R9" i="14"/>
  <c r="R8" i="14"/>
  <c r="F161" i="15" s="1"/>
  <c r="G161" i="15" s="1"/>
  <c r="C1382" i="15"/>
  <c r="G1383" i="15"/>
  <c r="G1380" i="15"/>
  <c r="F49" i="15"/>
  <c r="G49" i="15" s="1"/>
  <c r="F64" i="15"/>
  <c r="G64" i="15" s="1"/>
  <c r="F63" i="15"/>
  <c r="G61" i="15"/>
  <c r="E60" i="15"/>
  <c r="F346" i="47"/>
  <c r="H346" i="47"/>
  <c r="H347" i="47" s="1"/>
  <c r="H339" i="47"/>
  <c r="H338" i="47"/>
  <c r="H340" i="47" s="1"/>
  <c r="H337" i="47"/>
  <c r="E333" i="47"/>
  <c r="H333" i="47" s="1"/>
  <c r="E332" i="47"/>
  <c r="H332" i="47"/>
  <c r="E331" i="47"/>
  <c r="H331" i="47"/>
  <c r="E330" i="47"/>
  <c r="H330" i="47"/>
  <c r="E329" i="47"/>
  <c r="H329" i="47"/>
  <c r="H334" i="47" s="1"/>
  <c r="H324" i="47"/>
  <c r="H323" i="47"/>
  <c r="H322" i="47"/>
  <c r="H321" i="47"/>
  <c r="H320" i="47"/>
  <c r="H319" i="47"/>
  <c r="H318" i="47"/>
  <c r="F317" i="47"/>
  <c r="H317" i="47"/>
  <c r="H316" i="47"/>
  <c r="H315" i="47"/>
  <c r="H314" i="47"/>
  <c r="H309" i="47"/>
  <c r="H310" i="47" s="1"/>
  <c r="H305" i="47"/>
  <c r="H304" i="47"/>
  <c r="H306" i="47" s="1"/>
  <c r="J306" i="47" s="1"/>
  <c r="H300" i="47"/>
  <c r="H301" i="47"/>
  <c r="J301" i="47" s="1"/>
  <c r="H296" i="47"/>
  <c r="H297" i="47" s="1"/>
  <c r="H292" i="47"/>
  <c r="H293" i="47"/>
  <c r="H288" i="47"/>
  <c r="H287" i="47"/>
  <c r="H286" i="47"/>
  <c r="H285" i="47"/>
  <c r="H284" i="47"/>
  <c r="H289" i="47" s="1"/>
  <c r="E279" i="47"/>
  <c r="H279" i="47"/>
  <c r="H280" i="47" s="1"/>
  <c r="H274" i="47"/>
  <c r="H275" i="47" s="1"/>
  <c r="H259" i="47"/>
  <c r="H258" i="47"/>
  <c r="H257" i="47"/>
  <c r="H256" i="47"/>
  <c r="H255" i="47"/>
  <c r="H254" i="47"/>
  <c r="H253" i="47"/>
  <c r="H251" i="47"/>
  <c r="H250" i="47"/>
  <c r="G248" i="47"/>
  <c r="H248" i="47"/>
  <c r="H243" i="47"/>
  <c r="H242" i="47"/>
  <c r="H241" i="47"/>
  <c r="H240" i="47"/>
  <c r="H239" i="47"/>
  <c r="H238" i="47"/>
  <c r="H237" i="47"/>
  <c r="H236" i="47"/>
  <c r="H234" i="47"/>
  <c r="H233" i="47"/>
  <c r="H232" i="47"/>
  <c r="H231" i="47"/>
  <c r="H230" i="47"/>
  <c r="H229" i="47"/>
  <c r="H228" i="47"/>
  <c r="H227" i="47"/>
  <c r="H226" i="47"/>
  <c r="H225" i="47"/>
  <c r="H224" i="47"/>
  <c r="H223" i="47"/>
  <c r="H222" i="47"/>
  <c r="H217" i="47"/>
  <c r="H216" i="47"/>
  <c r="H215" i="47"/>
  <c r="H214" i="47"/>
  <c r="E213" i="47"/>
  <c r="H213" i="47"/>
  <c r="E211" i="47"/>
  <c r="H211" i="47"/>
  <c r="H210" i="47"/>
  <c r="H209" i="47"/>
  <c r="H208" i="47"/>
  <c r="F207" i="47"/>
  <c r="H207" i="47"/>
  <c r="H206" i="47"/>
  <c r="H205" i="47"/>
  <c r="H199" i="47"/>
  <c r="H198" i="47"/>
  <c r="H197" i="47"/>
  <c r="H196" i="47"/>
  <c r="E195" i="47"/>
  <c r="H195" i="47" s="1"/>
  <c r="G194" i="47"/>
  <c r="H194" i="47"/>
  <c r="H200" i="47" s="1"/>
  <c r="H193" i="47"/>
  <c r="H192" i="47"/>
  <c r="H191" i="47"/>
  <c r="H190" i="47"/>
  <c r="H189" i="47"/>
  <c r="H188" i="47"/>
  <c r="E187" i="47"/>
  <c r="H187" i="47" s="1"/>
  <c r="H181" i="47"/>
  <c r="H180" i="47"/>
  <c r="H179" i="47"/>
  <c r="H178" i="47"/>
  <c r="H177" i="47"/>
  <c r="H175" i="47"/>
  <c r="H174" i="47"/>
  <c r="H173" i="47"/>
  <c r="H172" i="47"/>
  <c r="H171" i="47"/>
  <c r="H170" i="47"/>
  <c r="H169" i="47"/>
  <c r="E168" i="47"/>
  <c r="H168" i="47" s="1"/>
  <c r="H167" i="47"/>
  <c r="H159" i="47"/>
  <c r="H158" i="47"/>
  <c r="H157" i="47"/>
  <c r="H160" i="47" s="1"/>
  <c r="H152" i="47"/>
  <c r="H153" i="47"/>
  <c r="E148" i="47"/>
  <c r="H148" i="47"/>
  <c r="E147" i="47"/>
  <c r="H147" i="47" s="1"/>
  <c r="H146" i="47"/>
  <c r="H145" i="47"/>
  <c r="H140" i="47"/>
  <c r="H136" i="47"/>
  <c r="H137" i="47" s="1"/>
  <c r="H135" i="47"/>
  <c r="F131" i="47"/>
  <c r="H131" i="47" s="1"/>
  <c r="H133" i="47" s="1"/>
  <c r="E131" i="47"/>
  <c r="H126" i="47"/>
  <c r="H125" i="47"/>
  <c r="H124" i="47"/>
  <c r="H123" i="47"/>
  <c r="H122" i="47"/>
  <c r="E118" i="47"/>
  <c r="H118" i="47" s="1"/>
  <c r="H117" i="47"/>
  <c r="H113" i="47"/>
  <c r="H112" i="47"/>
  <c r="H111" i="47"/>
  <c r="H110" i="47"/>
  <c r="G107" i="47"/>
  <c r="H107" i="47"/>
  <c r="H105" i="47"/>
  <c r="H47" i="47" s="1"/>
  <c r="H102" i="47"/>
  <c r="H101" i="47"/>
  <c r="E99" i="47"/>
  <c r="H99" i="47" s="1"/>
  <c r="H103" i="47" s="1"/>
  <c r="H98" i="47"/>
  <c r="H93" i="47"/>
  <c r="C92" i="47"/>
  <c r="H92" i="47" s="1"/>
  <c r="H94" i="47" s="1"/>
  <c r="H46" i="47" s="1"/>
  <c r="H87" i="47"/>
  <c r="H86" i="47"/>
  <c r="H85" i="47"/>
  <c r="H89" i="47" s="1"/>
  <c r="H45" i="47" s="1"/>
  <c r="F80" i="47"/>
  <c r="H80" i="47" s="1"/>
  <c r="D80" i="47"/>
  <c r="F79" i="47"/>
  <c r="E79" i="47"/>
  <c r="D79" i="47"/>
  <c r="F78" i="47"/>
  <c r="H78" i="47" s="1"/>
  <c r="E78" i="47"/>
  <c r="D78" i="47"/>
  <c r="C78" i="47"/>
  <c r="B78" i="47"/>
  <c r="H77" i="47"/>
  <c r="E76" i="47"/>
  <c r="H76" i="47"/>
  <c r="E75" i="47"/>
  <c r="H75" i="47"/>
  <c r="H74" i="47"/>
  <c r="E71" i="47"/>
  <c r="H71" i="47"/>
  <c r="H70" i="47"/>
  <c r="H69" i="47"/>
  <c r="H68" i="47"/>
  <c r="H67" i="47"/>
  <c r="H66" i="47"/>
  <c r="G60" i="47"/>
  <c r="H60" i="47" s="1"/>
  <c r="F60" i="47"/>
  <c r="E60" i="47"/>
  <c r="G59" i="47"/>
  <c r="E59" i="47"/>
  <c r="G58" i="47"/>
  <c r="H58" i="47"/>
  <c r="G57" i="47"/>
  <c r="H57" i="47"/>
  <c r="G56" i="47"/>
  <c r="H56" i="47"/>
  <c r="G55" i="47"/>
  <c r="H55" i="47"/>
  <c r="G54" i="47"/>
  <c r="G53" i="47"/>
  <c r="F53" i="47"/>
  <c r="G52" i="47"/>
  <c r="H52" i="47" s="1"/>
  <c r="F52" i="47"/>
  <c r="H39" i="47"/>
  <c r="H38" i="47"/>
  <c r="H37" i="47"/>
  <c r="E36" i="47"/>
  <c r="H36" i="47"/>
  <c r="E35" i="47"/>
  <c r="H35" i="47" s="1"/>
  <c r="E34" i="47"/>
  <c r="H34" i="47" s="1"/>
  <c r="E33" i="47"/>
  <c r="H33" i="47"/>
  <c r="H32" i="47"/>
  <c r="F31" i="47"/>
  <c r="H30" i="47"/>
  <c r="H29" i="47"/>
  <c r="H28" i="47"/>
  <c r="F27" i="47"/>
  <c r="H27" i="47" s="1"/>
  <c r="H26" i="47"/>
  <c r="H25" i="47"/>
  <c r="H23" i="47"/>
  <c r="H20" i="47"/>
  <c r="H19" i="47"/>
  <c r="H18" i="47"/>
  <c r="H13" i="47"/>
  <c r="H12" i="47"/>
  <c r="H11" i="47"/>
  <c r="E10" i="47"/>
  <c r="E9" i="47"/>
  <c r="E21" i="47" s="1"/>
  <c r="H21" i="47" s="1"/>
  <c r="H8" i="47"/>
  <c r="H7" i="47"/>
  <c r="H6" i="47"/>
  <c r="E80" i="47"/>
  <c r="H79" i="47"/>
  <c r="G108" i="47"/>
  <c r="H108" i="47"/>
  <c r="H114" i="47"/>
  <c r="E212" i="47"/>
  <c r="H212" i="47" s="1"/>
  <c r="G249" i="47"/>
  <c r="H249" i="47"/>
  <c r="H127" i="47"/>
  <c r="H9" i="47"/>
  <c r="E40" i="44"/>
  <c r="M17" i="44"/>
  <c r="M16" i="44"/>
  <c r="K30" i="44"/>
  <c r="K29" i="44"/>
  <c r="K28" i="44"/>
  <c r="K27" i="44"/>
  <c r="K26" i="44"/>
  <c r="K25" i="44"/>
  <c r="K24" i="44"/>
  <c r="K23" i="44"/>
  <c r="K22" i="44"/>
  <c r="K21" i="44"/>
  <c r="K20" i="44"/>
  <c r="K19" i="44"/>
  <c r="K18" i="44"/>
  <c r="K17" i="44"/>
  <c r="K16" i="44"/>
  <c r="O41" i="44"/>
  <c r="P41" i="44"/>
  <c r="P40" i="44"/>
  <c r="O40" i="44"/>
  <c r="D2" i="44"/>
  <c r="D3" i="44"/>
  <c r="D4" i="44"/>
  <c r="D5" i="44"/>
  <c r="G5" i="44" s="1"/>
  <c r="D6" i="44"/>
  <c r="D7" i="44"/>
  <c r="D8" i="44"/>
  <c r="D9" i="44"/>
  <c r="D10" i="44"/>
  <c r="D11" i="44"/>
  <c r="H11" i="44" s="1"/>
  <c r="D12" i="44"/>
  <c r="H12" i="44" s="1"/>
  <c r="D13" i="44"/>
  <c r="D14" i="44"/>
  <c r="G14" i="44" s="1"/>
  <c r="D17" i="44"/>
  <c r="D18" i="44"/>
  <c r="D19" i="44"/>
  <c r="D20" i="44"/>
  <c r="D21" i="44"/>
  <c r="D22" i="44"/>
  <c r="D23" i="44"/>
  <c r="D24" i="44"/>
  <c r="D1" i="44"/>
  <c r="C16" i="44"/>
  <c r="C15" i="44"/>
  <c r="D15" i="44" s="1"/>
  <c r="T69" i="44"/>
  <c r="Y59" i="44"/>
  <c r="Z56" i="44"/>
  <c r="Z55" i="44"/>
  <c r="Z54" i="44"/>
  <c r="Z53" i="44"/>
  <c r="Y53" i="44"/>
  <c r="Y60" i="44"/>
  <c r="Y58" i="44"/>
  <c r="Y57" i="44"/>
  <c r="Y56" i="44"/>
  <c r="Y55" i="44"/>
  <c r="Y54" i="44"/>
  <c r="X55" i="44"/>
  <c r="X54" i="44"/>
  <c r="X53" i="44"/>
  <c r="W55" i="44"/>
  <c r="W54" i="44"/>
  <c r="W53" i="44"/>
  <c r="V54" i="44"/>
  <c r="V53" i="44"/>
  <c r="U62" i="44"/>
  <c r="U61" i="44"/>
  <c r="U60" i="44"/>
  <c r="U59" i="44"/>
  <c r="U58" i="44"/>
  <c r="U57" i="44"/>
  <c r="U56" i="44"/>
  <c r="U55" i="44"/>
  <c r="U54" i="44"/>
  <c r="T57" i="44"/>
  <c r="T56" i="44"/>
  <c r="T55" i="44"/>
  <c r="S55" i="44"/>
  <c r="R56" i="44"/>
  <c r="R55" i="44"/>
  <c r="R54" i="44"/>
  <c r="Q55" i="44"/>
  <c r="Q54" i="44"/>
  <c r="P60" i="44"/>
  <c r="P59" i="44"/>
  <c r="P58" i="44"/>
  <c r="P57" i="44"/>
  <c r="P56" i="44"/>
  <c r="P55" i="44"/>
  <c r="P54" i="44"/>
  <c r="O58" i="44"/>
  <c r="O57" i="44"/>
  <c r="O56" i="44"/>
  <c r="O55" i="44"/>
  <c r="O54" i="44"/>
  <c r="O53" i="44"/>
  <c r="O52" i="44"/>
  <c r="O39" i="44"/>
  <c r="P38" i="44"/>
  <c r="O38" i="44"/>
  <c r="O37" i="44"/>
  <c r="D32" i="44" s="1"/>
  <c r="D33" i="44" s="1"/>
  <c r="O36" i="44"/>
  <c r="P35" i="44"/>
  <c r="P34" i="44"/>
  <c r="P37" i="44" s="1"/>
  <c r="O34" i="44"/>
  <c r="P33" i="44"/>
  <c r="P31" i="44"/>
  <c r="Q34" i="45"/>
  <c r="R33" i="45"/>
  <c r="Q33" i="45"/>
  <c r="Q32" i="45"/>
  <c r="Q31" i="45"/>
  <c r="R30" i="45"/>
  <c r="R29" i="45"/>
  <c r="R32" i="45" s="1"/>
  <c r="Q29" i="45"/>
  <c r="R28" i="45"/>
  <c r="R26" i="45"/>
  <c r="B10" i="46"/>
  <c r="B7" i="46"/>
  <c r="B9" i="46"/>
  <c r="C9" i="46"/>
  <c r="B8" i="46"/>
  <c r="C6" i="46"/>
  <c r="C8" i="46" s="1"/>
  <c r="C5" i="46"/>
  <c r="B5" i="46"/>
  <c r="C4" i="46"/>
  <c r="C2" i="46"/>
  <c r="E15" i="44"/>
  <c r="E14" i="44"/>
  <c r="E13" i="44"/>
  <c r="E12" i="44"/>
  <c r="E11" i="44"/>
  <c r="E10" i="44"/>
  <c r="E9" i="44"/>
  <c r="E8" i="44"/>
  <c r="G8" i="44" s="1"/>
  <c r="K160" i="15"/>
  <c r="P44" i="30"/>
  <c r="P45" i="30" s="1"/>
  <c r="P51" i="30" s="1"/>
  <c r="P52" i="30" s="1"/>
  <c r="Q51" i="34"/>
  <c r="J3" i="44"/>
  <c r="J4" i="44"/>
  <c r="J5" i="44"/>
  <c r="J2" i="44"/>
  <c r="J6" i="44"/>
  <c r="E31" i="45"/>
  <c r="K45" i="45"/>
  <c r="D41" i="45"/>
  <c r="J34" i="45"/>
  <c r="J33" i="45"/>
  <c r="J32" i="45"/>
  <c r="J31" i="45"/>
  <c r="J30" i="45"/>
  <c r="J29" i="45"/>
  <c r="H27" i="45"/>
  <c r="G27" i="45"/>
  <c r="H25" i="45"/>
  <c r="G25" i="45"/>
  <c r="H24" i="45"/>
  <c r="G24" i="45"/>
  <c r="H23" i="45"/>
  <c r="G23" i="45"/>
  <c r="N22" i="45"/>
  <c r="H22" i="45"/>
  <c r="G22" i="45"/>
  <c r="H21" i="45"/>
  <c r="G21" i="45"/>
  <c r="H20" i="45"/>
  <c r="G20" i="45"/>
  <c r="T19" i="45"/>
  <c r="H19" i="45"/>
  <c r="G19" i="45"/>
  <c r="T18" i="45"/>
  <c r="H18" i="45"/>
  <c r="G18" i="45"/>
  <c r="T17" i="45"/>
  <c r="S17" i="45"/>
  <c r="H17" i="45"/>
  <c r="G17" i="45"/>
  <c r="S16" i="45"/>
  <c r="H16" i="45"/>
  <c r="G16" i="45"/>
  <c r="S15" i="45"/>
  <c r="H15" i="45"/>
  <c r="G15" i="45"/>
  <c r="H14" i="45"/>
  <c r="G14" i="45"/>
  <c r="L13" i="45"/>
  <c r="K13" i="45"/>
  <c r="H13" i="45"/>
  <c r="G13" i="45"/>
  <c r="K12" i="45"/>
  <c r="H12" i="45"/>
  <c r="G12" i="45"/>
  <c r="K11" i="45"/>
  <c r="H11" i="45"/>
  <c r="G11" i="45"/>
  <c r="K10" i="45"/>
  <c r="H10" i="45"/>
  <c r="G10" i="45"/>
  <c r="K9" i="45"/>
  <c r="H9" i="45"/>
  <c r="G9" i="45"/>
  <c r="K8" i="45"/>
  <c r="H8" i="45"/>
  <c r="G8" i="45"/>
  <c r="K7" i="45"/>
  <c r="E7" i="45"/>
  <c r="D7" i="45"/>
  <c r="H7" i="45" s="1"/>
  <c r="K6" i="45"/>
  <c r="E6" i="45"/>
  <c r="D6" i="45"/>
  <c r="E5" i="45"/>
  <c r="D5" i="45"/>
  <c r="H5" i="45" s="1"/>
  <c r="K4" i="45"/>
  <c r="E4" i="45"/>
  <c r="K3" i="45"/>
  <c r="E3" i="45"/>
  <c r="D3" i="45"/>
  <c r="G3" i="45" s="1"/>
  <c r="K2" i="45"/>
  <c r="E2" i="45"/>
  <c r="G2" i="45" s="1"/>
  <c r="D2" i="45"/>
  <c r="K1" i="45"/>
  <c r="E1" i="45"/>
  <c r="D1" i="45"/>
  <c r="J35" i="44"/>
  <c r="J32" i="44"/>
  <c r="J34" i="44"/>
  <c r="J33" i="44"/>
  <c r="J31" i="44"/>
  <c r="J30" i="44"/>
  <c r="K46" i="44"/>
  <c r="E7" i="44"/>
  <c r="G7" i="44" s="1"/>
  <c r="E6" i="44"/>
  <c r="H6" i="44" s="1"/>
  <c r="E5" i="44"/>
  <c r="E4" i="44"/>
  <c r="H3" i="45"/>
  <c r="E26" i="45"/>
  <c r="E34" i="45"/>
  <c r="D34" i="45" s="1"/>
  <c r="D31" i="45"/>
  <c r="G31" i="45" s="1"/>
  <c r="H31" i="45"/>
  <c r="E32" i="45"/>
  <c r="E33" i="45"/>
  <c r="D4" i="45"/>
  <c r="D26" i="45"/>
  <c r="D28" i="45" s="1"/>
  <c r="G7" i="45"/>
  <c r="G6" i="44"/>
  <c r="H7" i="44"/>
  <c r="H8" i="44"/>
  <c r="G9" i="44"/>
  <c r="H9" i="44"/>
  <c r="G11" i="44"/>
  <c r="G12" i="44"/>
  <c r="H14" i="44"/>
  <c r="G17" i="44"/>
  <c r="H17" i="44"/>
  <c r="G18" i="44"/>
  <c r="H18" i="44"/>
  <c r="G20" i="44"/>
  <c r="H20" i="44"/>
  <c r="G23" i="44"/>
  <c r="H23" i="44"/>
  <c r="G24" i="44"/>
  <c r="H24" i="44"/>
  <c r="H4" i="45"/>
  <c r="G4" i="45"/>
  <c r="O5" i="30"/>
  <c r="O4" i="30"/>
  <c r="O3" i="30"/>
  <c r="M35" i="30"/>
  <c r="M36" i="30"/>
  <c r="M37" i="30"/>
  <c r="M38" i="30"/>
  <c r="M34" i="30"/>
  <c r="G281" i="30"/>
  <c r="G282" i="30" s="1"/>
  <c r="I273" i="30"/>
  <c r="J273" i="30" s="1"/>
  <c r="F270" i="30"/>
  <c r="G270" i="30"/>
  <c r="D270" i="30"/>
  <c r="F269" i="30"/>
  <c r="G269" i="30"/>
  <c r="D269" i="30"/>
  <c r="E262" i="30"/>
  <c r="F262" i="30" s="1"/>
  <c r="H262" i="30" s="1"/>
  <c r="G261" i="30"/>
  <c r="G274" i="30" s="1"/>
  <c r="E261" i="30"/>
  <c r="E274" i="30" s="1"/>
  <c r="E275" i="30" s="1"/>
  <c r="F275" i="30" s="1"/>
  <c r="H275" i="30" s="1"/>
  <c r="N281" i="30"/>
  <c r="E252" i="30"/>
  <c r="F252" i="30"/>
  <c r="E251" i="30"/>
  <c r="E250" i="30"/>
  <c r="E249" i="30"/>
  <c r="H249" i="30" s="1"/>
  <c r="E248" i="30"/>
  <c r="E269" i="30" s="1"/>
  <c r="H252" i="30"/>
  <c r="O55" i="30"/>
  <c r="O56" i="30"/>
  <c r="O54" i="30"/>
  <c r="O52" i="30"/>
  <c r="O53" i="30" s="1"/>
  <c r="K43" i="30"/>
  <c r="K42" i="30"/>
  <c r="K41" i="30"/>
  <c r="K40" i="30"/>
  <c r="K39" i="30"/>
  <c r="I1191" i="15"/>
  <c r="F823" i="15"/>
  <c r="E821" i="15"/>
  <c r="F825" i="15"/>
  <c r="E825" i="15"/>
  <c r="G812" i="15"/>
  <c r="Q35" i="35"/>
  <c r="Q34" i="35"/>
  <c r="Q33" i="35"/>
  <c r="Q32" i="35"/>
  <c r="Q31" i="35"/>
  <c r="Q30" i="35"/>
  <c r="P102" i="35"/>
  <c r="L103" i="35"/>
  <c r="F54" i="35"/>
  <c r="D42" i="44"/>
  <c r="H28" i="44"/>
  <c r="G28" i="44"/>
  <c r="H26" i="44"/>
  <c r="G26" i="44"/>
  <c r="G25" i="44"/>
  <c r="G4" i="44"/>
  <c r="E3" i="44"/>
  <c r="G3" i="44" s="1"/>
  <c r="E2" i="44"/>
  <c r="E1" i="44"/>
  <c r="G1" i="44" s="1"/>
  <c r="K53" i="30"/>
  <c r="K54" i="30"/>
  <c r="K50" i="30"/>
  <c r="K51" i="30"/>
  <c r="K52" i="30" s="1"/>
  <c r="K49" i="30"/>
  <c r="K48" i="30"/>
  <c r="H4" i="44"/>
  <c r="H1" i="44"/>
  <c r="G2" i="44"/>
  <c r="H3" i="44"/>
  <c r="H25" i="44"/>
  <c r="D34" i="44"/>
  <c r="K841" i="15"/>
  <c r="K843" i="15"/>
  <c r="K842" i="15"/>
  <c r="K840" i="15"/>
  <c r="T20" i="14"/>
  <c r="T19" i="14"/>
  <c r="T18" i="14"/>
  <c r="T17" i="14"/>
  <c r="T16" i="14"/>
  <c r="T15" i="14"/>
  <c r="T14" i="14"/>
  <c r="T11" i="14"/>
  <c r="T12" i="14" s="1"/>
  <c r="T13" i="14" s="1"/>
  <c r="H54" i="15"/>
  <c r="H53" i="15"/>
  <c r="E33" i="30"/>
  <c r="E32" i="30"/>
  <c r="E31" i="30"/>
  <c r="G55" i="30"/>
  <c r="E55" i="30"/>
  <c r="E53" i="30"/>
  <c r="K3" i="30"/>
  <c r="K2" i="30"/>
  <c r="G44" i="30"/>
  <c r="E44" i="30"/>
  <c r="E30" i="30"/>
  <c r="E29" i="30"/>
  <c r="H29" i="30" s="1"/>
  <c r="E50" i="14"/>
  <c r="J50" i="14"/>
  <c r="J51" i="14" s="1"/>
  <c r="J52" i="14"/>
  <c r="J53" i="14" s="1"/>
  <c r="P51" i="14"/>
  <c r="P52" i="14"/>
  <c r="P53" i="14" s="1"/>
  <c r="N53" i="14"/>
  <c r="R52" i="14"/>
  <c r="R53" i="14" s="1"/>
  <c r="T53" i="14" s="1"/>
  <c r="F1152" i="15"/>
  <c r="G1152" i="15" s="1"/>
  <c r="F1082" i="15"/>
  <c r="G1082" i="15" s="1"/>
  <c r="F1081" i="15"/>
  <c r="G1081" i="15" s="1"/>
  <c r="F359" i="15"/>
  <c r="G359" i="15" s="1"/>
  <c r="F309" i="15"/>
  <c r="G309" i="15" s="1"/>
  <c r="F145" i="15"/>
  <c r="G145" i="15" s="1"/>
  <c r="I1325" i="15"/>
  <c r="E150" i="35"/>
  <c r="N376" i="34"/>
  <c r="N80" i="34"/>
  <c r="I239" i="31"/>
  <c r="I240" i="31"/>
  <c r="I218" i="31"/>
  <c r="I217" i="31"/>
  <c r="I219" i="31" s="1"/>
  <c r="J219" i="31" s="1"/>
  <c r="I214" i="31"/>
  <c r="I215" i="31"/>
  <c r="I68" i="30"/>
  <c r="I69" i="30"/>
  <c r="I103" i="30" s="1"/>
  <c r="I104" i="30"/>
  <c r="I105" i="30" s="1"/>
  <c r="I88" i="30"/>
  <c r="I89" i="30"/>
  <c r="I101" i="30"/>
  <c r="I102" i="30"/>
  <c r="I124" i="30" s="1"/>
  <c r="I56" i="30"/>
  <c r="I53" i="30"/>
  <c r="I52" i="30"/>
  <c r="F1115" i="15"/>
  <c r="G1115" i="15" s="1"/>
  <c r="F1114" i="15"/>
  <c r="G1114" i="15" s="1"/>
  <c r="I66" i="30"/>
  <c r="G443" i="15"/>
  <c r="G459" i="15" s="1"/>
  <c r="E460" i="15" s="1"/>
  <c r="G442" i="15"/>
  <c r="G458" i="15" s="1"/>
  <c r="I458" i="9"/>
  <c r="I140" i="30"/>
  <c r="I141" i="30" s="1"/>
  <c r="I174" i="30"/>
  <c r="I138" i="30"/>
  <c r="I172" i="30"/>
  <c r="I160" i="30"/>
  <c r="I161" i="30" s="1"/>
  <c r="B2" i="1"/>
  <c r="A14" i="1"/>
  <c r="A15" i="1" s="1"/>
  <c r="A16" i="1" s="1"/>
  <c r="A17" i="1" s="1"/>
  <c r="A18" i="1" s="1"/>
  <c r="A19" i="1" s="1"/>
  <c r="A20" i="1" s="1"/>
  <c r="A21" i="1" s="1"/>
  <c r="A22" i="1" s="1"/>
  <c r="A23" i="1" s="1"/>
  <c r="A26" i="1"/>
  <c r="A27" i="1"/>
  <c r="A28" i="1"/>
  <c r="A29" i="1"/>
  <c r="A30" i="1" s="1"/>
  <c r="A31" i="1" s="1"/>
  <c r="A32" i="1" s="1"/>
  <c r="A33" i="1" s="1"/>
  <c r="A34" i="1" s="1"/>
  <c r="A35" i="1" s="1"/>
  <c r="A36" i="1" s="1"/>
  <c r="A37" i="1" s="1"/>
  <c r="A38" i="1" s="1"/>
  <c r="A39" i="1" s="1"/>
  <c r="B45" i="1"/>
  <c r="D45" i="1"/>
  <c r="B46" i="1"/>
  <c r="D46" i="1"/>
  <c r="A2" i="2"/>
  <c r="B5" i="2"/>
  <c r="C5" i="2"/>
  <c r="F5" i="2" s="1"/>
  <c r="G5" i="2" s="1"/>
  <c r="H5" i="2"/>
  <c r="I5" i="2" s="1"/>
  <c r="J5" i="2" s="1"/>
  <c r="L5" i="2"/>
  <c r="M5" i="2" s="1"/>
  <c r="I8" i="2"/>
  <c r="F9" i="2"/>
  <c r="I9" i="2"/>
  <c r="F10" i="2"/>
  <c r="I10" i="2"/>
  <c r="I11" i="2"/>
  <c r="I12" i="2"/>
  <c r="I13" i="2"/>
  <c r="I14" i="2"/>
  <c r="I15" i="2"/>
  <c r="F16" i="2"/>
  <c r="I16" i="2" s="1"/>
  <c r="I17" i="2"/>
  <c r="F18" i="2"/>
  <c r="I18" i="2"/>
  <c r="I19" i="2"/>
  <c r="I24" i="2"/>
  <c r="I25" i="2" s="1"/>
  <c r="A5" i="40"/>
  <c r="A6" i="40" s="1"/>
  <c r="A7" i="40" s="1"/>
  <c r="A8" i="40" s="1"/>
  <c r="A9" i="40" s="1"/>
  <c r="A10" i="40" s="1"/>
  <c r="A11" i="40" s="1"/>
  <c r="A12" i="40" s="1"/>
  <c r="A13" i="40" s="1"/>
  <c r="A14" i="40" s="1"/>
  <c r="A15" i="40" s="1"/>
  <c r="A16" i="40" s="1"/>
  <c r="A17" i="40" s="1"/>
  <c r="A18" i="40" s="1"/>
  <c r="A19" i="40" s="1"/>
  <c r="A20" i="40" s="1"/>
  <c r="A21" i="40" s="1"/>
  <c r="A22" i="40" s="1"/>
  <c r="A23" i="40" s="1"/>
  <c r="A24" i="40" s="1"/>
  <c r="A25" i="40" s="1"/>
  <c r="A26" i="40" s="1"/>
  <c r="A27" i="40" s="1"/>
  <c r="A28" i="40" s="1"/>
  <c r="A29" i="40" s="1"/>
  <c r="A30" i="40" s="1"/>
  <c r="A31" i="40" s="1"/>
  <c r="A32" i="40" s="1"/>
  <c r="A33" i="40" s="1"/>
  <c r="A34" i="40" s="1"/>
  <c r="A35" i="40" s="1"/>
  <c r="A36" i="40" s="1"/>
  <c r="A37" i="40" s="1"/>
  <c r="A38" i="40" s="1"/>
  <c r="A39" i="40" s="1"/>
  <c r="A40" i="40" s="1"/>
  <c r="A41" i="40" s="1"/>
  <c r="A42" i="40" s="1"/>
  <c r="A43" i="40" s="1"/>
  <c r="A44" i="40" s="1"/>
  <c r="A45" i="40" s="1"/>
  <c r="A46" i="40" s="1"/>
  <c r="A47" i="40" s="1"/>
  <c r="A48" i="40" s="1"/>
  <c r="A49" i="40" s="1"/>
  <c r="A50" i="40" s="1"/>
  <c r="A51" i="40" s="1"/>
  <c r="A52" i="40" s="1"/>
  <c r="A53" i="40" s="1"/>
  <c r="A54" i="40" s="1"/>
  <c r="A55" i="40" s="1"/>
  <c r="A56" i="40" s="1"/>
  <c r="A57" i="40" s="1"/>
  <c r="A58" i="40" s="1"/>
  <c r="A59" i="40" s="1"/>
  <c r="A60" i="40" s="1"/>
  <c r="A61" i="40" s="1"/>
  <c r="A62" i="40" s="1"/>
  <c r="A63" i="40" s="1"/>
  <c r="A64" i="40" s="1"/>
  <c r="A65" i="40" s="1"/>
  <c r="A66" i="40" s="1"/>
  <c r="A67" i="40" s="1"/>
  <c r="A68" i="40" s="1"/>
  <c r="A69" i="40" s="1"/>
  <c r="A70" i="40" s="1"/>
  <c r="A71" i="40" s="1"/>
  <c r="A72" i="40" s="1"/>
  <c r="A73" i="40" s="1"/>
  <c r="A74" i="40" s="1"/>
  <c r="A75" i="40" s="1"/>
  <c r="A76" i="40" s="1"/>
  <c r="A77" i="40" s="1"/>
  <c r="A78" i="40" s="1"/>
  <c r="A79" i="40" s="1"/>
  <c r="A80" i="40" s="1"/>
  <c r="A81" i="40" s="1"/>
  <c r="A82" i="40" s="1"/>
  <c r="A83" i="40" s="1"/>
  <c r="A84" i="40" s="1"/>
  <c r="A85" i="40" s="1"/>
  <c r="A86" i="40" s="1"/>
  <c r="A87" i="40" s="1"/>
  <c r="A88" i="40" s="1"/>
  <c r="A89" i="40" s="1"/>
  <c r="A90" i="40" s="1"/>
  <c r="A91" i="40" s="1"/>
  <c r="A92" i="40" s="1"/>
  <c r="A93" i="40" s="1"/>
  <c r="A94" i="40" s="1"/>
  <c r="A95" i="40" s="1"/>
  <c r="A96" i="40" s="1"/>
  <c r="A97" i="40" s="1"/>
  <c r="A98" i="40" s="1"/>
  <c r="A99" i="40" s="1"/>
  <c r="A100" i="40" s="1"/>
  <c r="A101" i="40" s="1"/>
  <c r="A102" i="40" s="1"/>
  <c r="A103" i="40" s="1"/>
  <c r="A104" i="40" s="1"/>
  <c r="A105" i="40" s="1"/>
  <c r="A106" i="40" s="1"/>
  <c r="A107" i="40" s="1"/>
  <c r="A108" i="40" s="1"/>
  <c r="A109" i="40" s="1"/>
  <c r="A110" i="40" s="1"/>
  <c r="A111" i="40" s="1"/>
  <c r="A112" i="40" s="1"/>
  <c r="A113" i="40" s="1"/>
  <c r="A114" i="40" s="1"/>
  <c r="A115" i="40" s="1"/>
  <c r="A116" i="40" s="1"/>
  <c r="A117" i="40" s="1"/>
  <c r="A118" i="40" s="1"/>
  <c r="A119" i="40" s="1"/>
  <c r="A120" i="40" s="1"/>
  <c r="A121" i="40" s="1"/>
  <c r="A122" i="40" s="1"/>
  <c r="A123" i="40" s="1"/>
  <c r="A124" i="40" s="1"/>
  <c r="A125" i="40" s="1"/>
  <c r="A126" i="40" s="1"/>
  <c r="A127" i="40" s="1"/>
  <c r="A128" i="40" s="1"/>
  <c r="A129" i="40" s="1"/>
  <c r="A130" i="40" s="1"/>
  <c r="A131" i="40" s="1"/>
  <c r="A132" i="40" s="1"/>
  <c r="A133" i="40" s="1"/>
  <c r="A134" i="40" s="1"/>
  <c r="A135" i="40" s="1"/>
  <c r="A136" i="40" s="1"/>
  <c r="A137" i="40" s="1"/>
  <c r="A138" i="40" s="1"/>
  <c r="A139" i="40" s="1"/>
  <c r="A140" i="40" s="1"/>
  <c r="A141" i="40" s="1"/>
  <c r="A142" i="40" s="1"/>
  <c r="A143" i="40" s="1"/>
  <c r="A144" i="40" s="1"/>
  <c r="A145" i="40" s="1"/>
  <c r="A146" i="40" s="1"/>
  <c r="A147" i="40" s="1"/>
  <c r="A148" i="40" s="1"/>
  <c r="A149" i="40" s="1"/>
  <c r="A150" i="40" s="1"/>
  <c r="A151" i="40" s="1"/>
  <c r="A152" i="40" s="1"/>
  <c r="A153" i="40" s="1"/>
  <c r="G146" i="15"/>
  <c r="F148" i="15"/>
  <c r="G148" i="15" s="1"/>
  <c r="F149" i="15"/>
  <c r="G149" i="15" s="1"/>
  <c r="E150" i="15"/>
  <c r="F153" i="15"/>
  <c r="F28" i="2"/>
  <c r="G28" i="2"/>
  <c r="G29" i="2"/>
  <c r="I29" i="2"/>
  <c r="G30" i="2"/>
  <c r="I30" i="2" s="1"/>
  <c r="I31" i="2"/>
  <c r="G32" i="2"/>
  <c r="I32" i="2" s="1"/>
  <c r="F33" i="2"/>
  <c r="I33" i="2" s="1"/>
  <c r="F34" i="2"/>
  <c r="I34" i="2" s="1"/>
  <c r="I35" i="2"/>
  <c r="I36" i="2"/>
  <c r="I37" i="2"/>
  <c r="I38" i="2"/>
  <c r="F39" i="2"/>
  <c r="I39" i="2" s="1"/>
  <c r="I40" i="2"/>
  <c r="F41" i="2"/>
  <c r="I41" i="2" s="1"/>
  <c r="I42" i="2"/>
  <c r="F167" i="15"/>
  <c r="F307" i="15" s="1"/>
  <c r="F169" i="15"/>
  <c r="G169" i="15" s="1"/>
  <c r="F170" i="15"/>
  <c r="G170" i="15" s="1"/>
  <c r="E171" i="15"/>
  <c r="F173" i="15"/>
  <c r="F47" i="2"/>
  <c r="I47" i="2"/>
  <c r="F48" i="2"/>
  <c r="I48" i="2"/>
  <c r="I49" i="2"/>
  <c r="I50" i="2"/>
  <c r="I51" i="2"/>
  <c r="I52" i="2"/>
  <c r="F53" i="2"/>
  <c r="I53" i="2"/>
  <c r="I54" i="2"/>
  <c r="F56" i="2"/>
  <c r="I56" i="2"/>
  <c r="F57" i="2"/>
  <c r="I57" i="2" s="1"/>
  <c r="I58" i="2"/>
  <c r="I59" i="2"/>
  <c r="I60" i="2"/>
  <c r="I61" i="2"/>
  <c r="F62" i="2"/>
  <c r="I62" i="2" s="1"/>
  <c r="I63" i="2"/>
  <c r="F66" i="2"/>
  <c r="I66" i="2" s="1"/>
  <c r="F67" i="2"/>
  <c r="I67" i="2"/>
  <c r="F68" i="2"/>
  <c r="I68" i="2"/>
  <c r="F69" i="2"/>
  <c r="I69" i="2"/>
  <c r="F70" i="2"/>
  <c r="I70" i="2"/>
  <c r="F71" i="2"/>
  <c r="I71" i="2"/>
  <c r="F72" i="2"/>
  <c r="I72" i="2" s="1"/>
  <c r="F73" i="2"/>
  <c r="I73" i="2"/>
  <c r="F207" i="15"/>
  <c r="G207" i="15" s="1"/>
  <c r="F208" i="15"/>
  <c r="G208" i="15" s="1"/>
  <c r="E209" i="15"/>
  <c r="F211" i="15"/>
  <c r="L75" i="2"/>
  <c r="N75" i="2"/>
  <c r="I78" i="2"/>
  <c r="I79" i="2" s="1"/>
  <c r="F300" i="15"/>
  <c r="G300" i="15" s="1"/>
  <c r="F302" i="15"/>
  <c r="G302" i="15" s="1"/>
  <c r="F303" i="15"/>
  <c r="G303" i="15" s="1"/>
  <c r="F304" i="15"/>
  <c r="G304" i="15" s="1"/>
  <c r="E305" i="15"/>
  <c r="G308" i="15"/>
  <c r="E315" i="15"/>
  <c r="F315" i="15"/>
  <c r="F317" i="15"/>
  <c r="H82" i="2"/>
  <c r="I82" i="2" s="1"/>
  <c r="F204" i="2" s="1"/>
  <c r="I84" i="2"/>
  <c r="F352" i="15"/>
  <c r="G352" i="15" s="1"/>
  <c r="F353" i="15"/>
  <c r="G353" i="15" s="1"/>
  <c r="F354" i="15"/>
  <c r="G354" i="15" s="1"/>
  <c r="E355" i="15"/>
  <c r="F358" i="15"/>
  <c r="G358" i="15" s="1"/>
  <c r="E381" i="15"/>
  <c r="F381" i="15"/>
  <c r="D387" i="15"/>
  <c r="F89" i="2"/>
  <c r="I89" i="2"/>
  <c r="F90" i="2"/>
  <c r="I90" i="2"/>
  <c r="E337" i="15"/>
  <c r="F337" i="15"/>
  <c r="F339" i="15"/>
  <c r="F94" i="2"/>
  <c r="I94" i="2"/>
  <c r="I95" i="2"/>
  <c r="F400" i="15"/>
  <c r="G400" i="15" s="1"/>
  <c r="F401" i="15"/>
  <c r="G401" i="15" s="1"/>
  <c r="F402" i="15"/>
  <c r="G402" i="15" s="1"/>
  <c r="E403" i="15"/>
  <c r="G405" i="15"/>
  <c r="G406" i="15"/>
  <c r="E412" i="15"/>
  <c r="F412" i="15"/>
  <c r="D418" i="15"/>
  <c r="F99" i="2"/>
  <c r="H99" i="2"/>
  <c r="F460" i="15"/>
  <c r="D466" i="15"/>
  <c r="I104" i="2"/>
  <c r="I105" i="2"/>
  <c r="I106" i="2"/>
  <c r="E365" i="15"/>
  <c r="F365" i="15"/>
  <c r="D371" i="15"/>
  <c r="F110" i="2"/>
  <c r="I110" i="2" s="1"/>
  <c r="I111" i="2"/>
  <c r="G489" i="15"/>
  <c r="G490" i="15"/>
  <c r="E491" i="15" s="1"/>
  <c r="F491" i="15"/>
  <c r="D499" i="15"/>
  <c r="L112" i="2"/>
  <c r="I115" i="2"/>
  <c r="I116" i="2"/>
  <c r="I117" i="2"/>
  <c r="F528" i="15"/>
  <c r="F1385" i="15" s="1"/>
  <c r="G1385" i="15" s="1"/>
  <c r="F529" i="15"/>
  <c r="G529" i="15" s="1"/>
  <c r="E530" i="15"/>
  <c r="E533" i="15"/>
  <c r="F533" i="15"/>
  <c r="F535" i="15"/>
  <c r="F123" i="2"/>
  <c r="I123" i="2" s="1"/>
  <c r="F124" i="2"/>
  <c r="I124" i="2" s="1"/>
  <c r="F125" i="2"/>
  <c r="I125" i="2"/>
  <c r="I127" i="2"/>
  <c r="I128" i="2"/>
  <c r="I129" i="2"/>
  <c r="I130" i="2"/>
  <c r="F131" i="2"/>
  <c r="I131" i="2" s="1"/>
  <c r="I132" i="2"/>
  <c r="F134" i="2"/>
  <c r="I134" i="2"/>
  <c r="F135" i="2"/>
  <c r="I135" i="2"/>
  <c r="I136" i="2"/>
  <c r="I137" i="2"/>
  <c r="I140" i="2"/>
  <c r="I143" i="2"/>
  <c r="I144" i="2"/>
  <c r="F147" i="2"/>
  <c r="I147" i="2" s="1"/>
  <c r="F148" i="2"/>
  <c r="I148" i="2" s="1"/>
  <c r="F149" i="2"/>
  <c r="I149" i="2" s="1"/>
  <c r="F150" i="2"/>
  <c r="I150" i="2"/>
  <c r="I152" i="2"/>
  <c r="I153" i="2"/>
  <c r="I155" i="2"/>
  <c r="I156" i="2"/>
  <c r="I157" i="2"/>
  <c r="I159" i="2"/>
  <c r="I160" i="2"/>
  <c r="I161" i="2"/>
  <c r="J5" i="40"/>
  <c r="J6" i="40"/>
  <c r="J7" i="40" s="1"/>
  <c r="J8" i="40" s="1"/>
  <c r="J9" i="40" s="1"/>
  <c r="J10" i="40" s="1"/>
  <c r="J11" i="40" s="1"/>
  <c r="J12" i="40" s="1"/>
  <c r="J13" i="40" s="1"/>
  <c r="J14" i="40" s="1"/>
  <c r="J15" i="40" s="1"/>
  <c r="J16" i="40" s="1"/>
  <c r="J17" i="40" s="1"/>
  <c r="J18" i="40" s="1"/>
  <c r="J19" i="40" s="1"/>
  <c r="J20" i="40" s="1"/>
  <c r="J21" i="40" s="1"/>
  <c r="J22" i="40" s="1"/>
  <c r="J23" i="40" s="1"/>
  <c r="J24" i="40" s="1"/>
  <c r="J25" i="40" s="1"/>
  <c r="J26" i="40" s="1"/>
  <c r="J27" i="40" s="1"/>
  <c r="J28" i="40" s="1"/>
  <c r="J29" i="40" s="1"/>
  <c r="J30" i="40" s="1"/>
  <c r="J31" i="40" s="1"/>
  <c r="J32" i="40" s="1"/>
  <c r="J33" i="40" s="1"/>
  <c r="J34" i="40" s="1"/>
  <c r="J35" i="40" s="1"/>
  <c r="J36" i="40" s="1"/>
  <c r="J37" i="40" s="1"/>
  <c r="J38" i="40" s="1"/>
  <c r="J39" i="40" s="1"/>
  <c r="J40" i="40" s="1"/>
  <c r="J41" i="40" s="1"/>
  <c r="J42" i="40" s="1"/>
  <c r="J43" i="40" s="1"/>
  <c r="J44" i="40" s="1"/>
  <c r="J45" i="40" s="1"/>
  <c r="J46" i="40" s="1"/>
  <c r="J47" i="40" s="1"/>
  <c r="J48" i="40" s="1"/>
  <c r="J49" i="40" s="1"/>
  <c r="J50" i="40" s="1"/>
  <c r="J51" i="40" s="1"/>
  <c r="J52" i="40" s="1"/>
  <c r="J53" i="40" s="1"/>
  <c r="J54" i="40" s="1"/>
  <c r="J55" i="40" s="1"/>
  <c r="J56" i="40" s="1"/>
  <c r="J57" i="40" s="1"/>
  <c r="J58" i="40" s="1"/>
  <c r="J59" i="40" s="1"/>
  <c r="J60" i="40" s="1"/>
  <c r="J61" i="40" s="1"/>
  <c r="J62" i="40" s="1"/>
  <c r="J63" i="40" s="1"/>
  <c r="J64" i="40" s="1"/>
  <c r="J65" i="40" s="1"/>
  <c r="J66" i="40" s="1"/>
  <c r="J67" i="40" s="1"/>
  <c r="J68" i="40" s="1"/>
  <c r="J69" i="40" s="1"/>
  <c r="J70" i="40" s="1"/>
  <c r="J71" i="40" s="1"/>
  <c r="J72" i="40" s="1"/>
  <c r="J73" i="40" s="1"/>
  <c r="J74" i="40" s="1"/>
  <c r="J75" i="40" s="1"/>
  <c r="J76" i="40" s="1"/>
  <c r="J77" i="40" s="1"/>
  <c r="J78" i="40" s="1"/>
  <c r="J79" i="40" s="1"/>
  <c r="J80" i="40" s="1"/>
  <c r="J81" i="40" s="1"/>
  <c r="J82" i="40" s="1"/>
  <c r="J83" i="40" s="1"/>
  <c r="J84" i="40" s="1"/>
  <c r="J85" i="40" s="1"/>
  <c r="J86" i="40" s="1"/>
  <c r="J87" i="40" s="1"/>
  <c r="J88" i="40" s="1"/>
  <c r="J89" i="40" s="1"/>
  <c r="J90" i="40" s="1"/>
  <c r="J91" i="40" s="1"/>
  <c r="J92" i="40" s="1"/>
  <c r="J93" i="40" s="1"/>
  <c r="J94" i="40" s="1"/>
  <c r="J95" i="40" s="1"/>
  <c r="J96" i="40" s="1"/>
  <c r="J97" i="40" s="1"/>
  <c r="J98" i="40" s="1"/>
  <c r="J99" i="40" s="1"/>
  <c r="J100" i="40" s="1"/>
  <c r="J101" i="40" s="1"/>
  <c r="J102" i="40" s="1"/>
  <c r="J103" i="40" s="1"/>
  <c r="J104" i="40" s="1"/>
  <c r="J105" i="40" s="1"/>
  <c r="J106" i="40" s="1"/>
  <c r="J107" i="40" s="1"/>
  <c r="J108" i="40" s="1"/>
  <c r="J109" i="40" s="1"/>
  <c r="J110" i="40" s="1"/>
  <c r="J111" i="40" s="1"/>
  <c r="J112" i="40" s="1"/>
  <c r="J113" i="40" s="1"/>
  <c r="J114" i="40" s="1"/>
  <c r="J115" i="40" s="1"/>
  <c r="J116" i="40" s="1"/>
  <c r="J117" i="40" s="1"/>
  <c r="J118" i="40" s="1"/>
  <c r="J119" i="40" s="1"/>
  <c r="J120" i="40" s="1"/>
  <c r="J121" i="40" s="1"/>
  <c r="J122" i="40" s="1"/>
  <c r="J123" i="40" s="1"/>
  <c r="J124" i="40" s="1"/>
  <c r="J125" i="40" s="1"/>
  <c r="J126" i="40" s="1"/>
  <c r="J127" i="40" s="1"/>
  <c r="J128" i="40" s="1"/>
  <c r="J129" i="40" s="1"/>
  <c r="J130" i="40" s="1"/>
  <c r="J131" i="40" s="1"/>
  <c r="J132" i="40" s="1"/>
  <c r="J133" i="40" s="1"/>
  <c r="J134" i="40" s="1"/>
  <c r="J135" i="40" s="1"/>
  <c r="J136" i="40" s="1"/>
  <c r="J137" i="40" s="1"/>
  <c r="J138" i="40" s="1"/>
  <c r="J139" i="40" s="1"/>
  <c r="J140" i="40" s="1"/>
  <c r="J141" i="40" s="1"/>
  <c r="J142" i="40" s="1"/>
  <c r="J143" i="40" s="1"/>
  <c r="J144" i="40" s="1"/>
  <c r="J145" i="40" s="1"/>
  <c r="J146" i="40" s="1"/>
  <c r="J147" i="40" s="1"/>
  <c r="J148" i="40" s="1"/>
  <c r="J149" i="40" s="1"/>
  <c r="J150" i="40" s="1"/>
  <c r="J151" i="40" s="1"/>
  <c r="J152" i="40" s="1"/>
  <c r="J153" i="40" s="1"/>
  <c r="F620" i="15"/>
  <c r="G620" i="15" s="1"/>
  <c r="F621" i="15"/>
  <c r="G621" i="15" s="1"/>
  <c r="F622" i="15"/>
  <c r="G622" i="15" s="1"/>
  <c r="E623" i="15"/>
  <c r="D629" i="15"/>
  <c r="E629" i="15" s="1"/>
  <c r="D631" i="15"/>
  <c r="L164" i="2"/>
  <c r="N164" i="2"/>
  <c r="I168" i="2"/>
  <c r="F169" i="2"/>
  <c r="I169" i="2" s="1"/>
  <c r="F170" i="2"/>
  <c r="I170" i="2"/>
  <c r="I171" i="2"/>
  <c r="I172" i="2"/>
  <c r="I173" i="2"/>
  <c r="I174" i="2"/>
  <c r="F175" i="2"/>
  <c r="I175" i="2"/>
  <c r="I176" i="2"/>
  <c r="F177" i="2"/>
  <c r="G177" i="2"/>
  <c r="I181" i="2"/>
  <c r="F182" i="2"/>
  <c r="I182" i="2"/>
  <c r="F183" i="2"/>
  <c r="I183" i="2"/>
  <c r="I184" i="2"/>
  <c r="I185" i="2"/>
  <c r="I186" i="2"/>
  <c r="I187" i="2"/>
  <c r="F188" i="2"/>
  <c r="I188" i="2"/>
  <c r="I189" i="2"/>
  <c r="F191" i="2"/>
  <c r="G191" i="2"/>
  <c r="I192" i="2"/>
  <c r="I193" i="2"/>
  <c r="I194" i="2"/>
  <c r="I195" i="2"/>
  <c r="I196" i="2"/>
  <c r="I197" i="2"/>
  <c r="F46" i="15"/>
  <c r="G46" i="15" s="1"/>
  <c r="F47" i="15" s="1"/>
  <c r="E47" i="15"/>
  <c r="F51" i="15"/>
  <c r="F52" i="15"/>
  <c r="G52" i="15" s="1"/>
  <c r="F213" i="2"/>
  <c r="I213" i="2"/>
  <c r="F214" i="2"/>
  <c r="I214" i="2"/>
  <c r="F215" i="2"/>
  <c r="I215" i="2"/>
  <c r="I216" i="2"/>
  <c r="I217" i="2"/>
  <c r="I218" i="2"/>
  <c r="I220" i="2"/>
  <c r="I221" i="2"/>
  <c r="I222" i="2"/>
  <c r="I223" i="2"/>
  <c r="F224" i="2"/>
  <c r="I224" i="2" s="1"/>
  <c r="I225" i="2"/>
  <c r="F227" i="2"/>
  <c r="I227" i="2"/>
  <c r="F228" i="2"/>
  <c r="I228" i="2"/>
  <c r="F229" i="2"/>
  <c r="I229" i="2"/>
  <c r="I230" i="2"/>
  <c r="I232" i="2"/>
  <c r="I233" i="2"/>
  <c r="I234" i="2"/>
  <c r="F667" i="15"/>
  <c r="G667" i="15" s="1"/>
  <c r="F668" i="15"/>
  <c r="G668" i="15" s="1"/>
  <c r="F669" i="15"/>
  <c r="G669" i="15" s="1"/>
  <c r="E670" i="15"/>
  <c r="D676" i="15"/>
  <c r="E676" i="15" s="1"/>
  <c r="D678" i="15"/>
  <c r="N236" i="2"/>
  <c r="F240" i="2"/>
  <c r="I240" i="2"/>
  <c r="F241" i="2"/>
  <c r="I241" i="2" s="1"/>
  <c r="F243" i="2"/>
  <c r="I243" i="2" s="1"/>
  <c r="F244" i="2"/>
  <c r="I244" i="2" s="1"/>
  <c r="F686" i="15"/>
  <c r="G686" i="15" s="1"/>
  <c r="G691" i="15"/>
  <c r="F692" i="15"/>
  <c r="G692" i="15" s="1"/>
  <c r="F693" i="15"/>
  <c r="G693" i="15" s="1"/>
  <c r="F694" i="15"/>
  <c r="G694" i="15" s="1"/>
  <c r="E695" i="15"/>
  <c r="D701" i="15"/>
  <c r="E701" i="15" s="1"/>
  <c r="D703" i="15"/>
  <c r="E705" i="15"/>
  <c r="L245" i="2"/>
  <c r="N245" i="2"/>
  <c r="F248" i="2"/>
  <c r="H248" i="2"/>
  <c r="F249" i="2"/>
  <c r="I249" i="2"/>
  <c r="I250" i="2"/>
  <c r="F95" i="15"/>
  <c r="F105" i="15" s="1"/>
  <c r="E116" i="15"/>
  <c r="F641" i="15"/>
  <c r="G641" i="15" s="1"/>
  <c r="F642" i="15"/>
  <c r="G642" i="15" s="1"/>
  <c r="E643" i="15"/>
  <c r="D649" i="15"/>
  <c r="E649" i="15" s="1"/>
  <c r="D651" i="15"/>
  <c r="D653" i="15"/>
  <c r="E653" i="15" s="1"/>
  <c r="L251" i="2"/>
  <c r="N251" i="2"/>
  <c r="F254" i="2"/>
  <c r="H254" i="2"/>
  <c r="E96" i="15"/>
  <c r="G852" i="15"/>
  <c r="F854" i="15"/>
  <c r="G854" i="15" s="1"/>
  <c r="F855" i="15"/>
  <c r="G855" i="15" s="1"/>
  <c r="F856" i="15"/>
  <c r="G856" i="15" s="1"/>
  <c r="E857" i="15"/>
  <c r="D864" i="15"/>
  <c r="E866" i="15"/>
  <c r="L255" i="2"/>
  <c r="N255" i="2"/>
  <c r="F258" i="2"/>
  <c r="H258" i="2"/>
  <c r="F259" i="2"/>
  <c r="H259" i="2"/>
  <c r="F260" i="2"/>
  <c r="H260" i="2"/>
  <c r="I260" i="2" s="1"/>
  <c r="F261" i="2"/>
  <c r="H261" i="2"/>
  <c r="F263" i="2"/>
  <c r="I263" i="2"/>
  <c r="F264" i="2"/>
  <c r="I264" i="2" s="1"/>
  <c r="F265" i="2"/>
  <c r="I265" i="2" s="1"/>
  <c r="F266" i="2"/>
  <c r="I266" i="2" s="1"/>
  <c r="F267" i="2"/>
  <c r="I267" i="2" s="1"/>
  <c r="F268" i="2"/>
  <c r="I268" i="2"/>
  <c r="F269" i="2"/>
  <c r="I269" i="2"/>
  <c r="F270" i="2"/>
  <c r="I270" i="2" s="1"/>
  <c r="I271" i="2"/>
  <c r="I272" i="2"/>
  <c r="I273" i="2"/>
  <c r="I274" i="2"/>
  <c r="F834" i="15"/>
  <c r="G834" i="15" s="1"/>
  <c r="F835" i="15"/>
  <c r="G835" i="15" s="1"/>
  <c r="F837" i="15"/>
  <c r="G837" i="15" s="1"/>
  <c r="F838" i="15"/>
  <c r="G838" i="15" s="1"/>
  <c r="F839" i="15"/>
  <c r="G839" i="15" s="1"/>
  <c r="E840" i="15"/>
  <c r="F843" i="15"/>
  <c r="L275" i="2"/>
  <c r="N275" i="2"/>
  <c r="F278" i="2"/>
  <c r="I278" i="2" s="1"/>
  <c r="I279" i="2"/>
  <c r="F1260" i="15"/>
  <c r="G1260" i="15" s="1"/>
  <c r="F1261" i="15"/>
  <c r="G1261" i="15" s="1"/>
  <c r="F1262" i="15"/>
  <c r="E1264" i="15"/>
  <c r="E1271" i="15" s="1"/>
  <c r="L280" i="2"/>
  <c r="N280" i="2"/>
  <c r="I283" i="2"/>
  <c r="I284" i="2"/>
  <c r="G776" i="15"/>
  <c r="G779" i="15"/>
  <c r="F782" i="15"/>
  <c r="G782" i="15" s="1"/>
  <c r="F783" i="15"/>
  <c r="G783" i="15" s="1"/>
  <c r="F784" i="15"/>
  <c r="G784" i="15" s="1"/>
  <c r="E785" i="15"/>
  <c r="F788" i="15"/>
  <c r="L284" i="2"/>
  <c r="N284" i="2"/>
  <c r="F287" i="2"/>
  <c r="I287" i="2" s="1"/>
  <c r="I288" i="2"/>
  <c r="F797" i="15"/>
  <c r="G797" i="15" s="1"/>
  <c r="F798" i="15"/>
  <c r="G798" i="15" s="1"/>
  <c r="F799" i="15"/>
  <c r="G799" i="15" s="1"/>
  <c r="F801" i="15"/>
  <c r="F818" i="15" s="1"/>
  <c r="G818" i="15" s="1"/>
  <c r="F802" i="15"/>
  <c r="G802" i="15" s="1"/>
  <c r="E803" i="15"/>
  <c r="F805" i="15"/>
  <c r="L289" i="2"/>
  <c r="N289" i="2"/>
  <c r="F292" i="2"/>
  <c r="I292" i="2" s="1"/>
  <c r="F293" i="2"/>
  <c r="I293" i="2"/>
  <c r="I294" i="2"/>
  <c r="I295" i="2"/>
  <c r="L296" i="2"/>
  <c r="N296" i="2"/>
  <c r="F300" i="2"/>
  <c r="I300" i="2"/>
  <c r="F301" i="2"/>
  <c r="I301" i="2"/>
  <c r="F302" i="2"/>
  <c r="I302" i="2" s="1"/>
  <c r="F304" i="2"/>
  <c r="I304" i="2"/>
  <c r="F305" i="2"/>
  <c r="I305" i="2"/>
  <c r="F255" i="15"/>
  <c r="G255" i="15" s="1"/>
  <c r="F258" i="15"/>
  <c r="G258" i="15" s="1"/>
  <c r="F259" i="15"/>
  <c r="G259" i="15" s="1"/>
  <c r="E260" i="15"/>
  <c r="F262" i="15"/>
  <c r="L306" i="2"/>
  <c r="N306" i="2"/>
  <c r="H210" i="30"/>
  <c r="H211" i="30"/>
  <c r="E212" i="30"/>
  <c r="G212" i="30"/>
  <c r="E213" i="30"/>
  <c r="G213" i="30"/>
  <c r="E214" i="30"/>
  <c r="F214" i="30"/>
  <c r="E215" i="30"/>
  <c r="F215" i="30"/>
  <c r="F21" i="30"/>
  <c r="G21" i="30" s="1"/>
  <c r="F22" i="30"/>
  <c r="G22" i="30" s="1"/>
  <c r="I5" i="30"/>
  <c r="F23" i="30" s="1"/>
  <c r="J219" i="30"/>
  <c r="J220" i="30"/>
  <c r="J221" i="30"/>
  <c r="J222" i="30"/>
  <c r="J223" i="30"/>
  <c r="J224" i="30"/>
  <c r="J225" i="30"/>
  <c r="J226" i="30"/>
  <c r="J227" i="30"/>
  <c r="H228" i="30"/>
  <c r="G8" i="30"/>
  <c r="F10" i="30"/>
  <c r="G10" i="30" s="1"/>
  <c r="E11" i="30" s="1"/>
  <c r="J229" i="30"/>
  <c r="I231" i="30"/>
  <c r="L312" i="2"/>
  <c r="M312" i="2"/>
  <c r="H172" i="30"/>
  <c r="H173" i="30"/>
  <c r="E174" i="30"/>
  <c r="G174" i="30"/>
  <c r="G175" i="30"/>
  <c r="E177" i="30"/>
  <c r="F177" i="30"/>
  <c r="J181" i="30"/>
  <c r="J182" i="30"/>
  <c r="J183" i="30"/>
  <c r="J184" i="30"/>
  <c r="J185" i="30"/>
  <c r="J186" i="30"/>
  <c r="J187" i="30"/>
  <c r="J188" i="30"/>
  <c r="J189" i="30"/>
  <c r="H190" i="30"/>
  <c r="J191" i="30"/>
  <c r="I6" i="30"/>
  <c r="I193" i="30" s="1"/>
  <c r="L315" i="2"/>
  <c r="M315" i="2" s="1"/>
  <c r="H65" i="30"/>
  <c r="J65" i="30" s="1"/>
  <c r="R65" i="30" s="1"/>
  <c r="H66" i="30"/>
  <c r="J66" i="30" s="1"/>
  <c r="R66" i="30" s="1"/>
  <c r="E67" i="30"/>
  <c r="G67" i="30"/>
  <c r="G68" i="30"/>
  <c r="F69" i="30"/>
  <c r="J72" i="30"/>
  <c r="J73" i="30"/>
  <c r="J74" i="30"/>
  <c r="J75" i="30"/>
  <c r="J76" i="30"/>
  <c r="J77" i="30"/>
  <c r="J78" i="30"/>
  <c r="J79" i="30"/>
  <c r="J80" i="30"/>
  <c r="J82" i="30"/>
  <c r="L318" i="2"/>
  <c r="M318" i="2" s="1"/>
  <c r="I321" i="2"/>
  <c r="K321" i="2" s="1"/>
  <c r="P321" i="2"/>
  <c r="L322" i="2"/>
  <c r="M322" i="2"/>
  <c r="L324" i="2"/>
  <c r="M324" i="2" s="1"/>
  <c r="H30" i="30"/>
  <c r="J30" i="30"/>
  <c r="G31" i="30"/>
  <c r="H31" i="30"/>
  <c r="J31" i="30" s="1"/>
  <c r="G32" i="30"/>
  <c r="F33" i="30"/>
  <c r="G33" i="30"/>
  <c r="J36" i="30"/>
  <c r="J37" i="30"/>
  <c r="J38" i="30"/>
  <c r="J39" i="30"/>
  <c r="J40" i="30"/>
  <c r="J41" i="30"/>
  <c r="J42" i="30"/>
  <c r="J43" i="30"/>
  <c r="H44" i="30"/>
  <c r="J45" i="30"/>
  <c r="J46" i="30"/>
  <c r="L326" i="2"/>
  <c r="M326" i="2"/>
  <c r="F328" i="2"/>
  <c r="I328" i="2"/>
  <c r="I329" i="2"/>
  <c r="G1049" i="15"/>
  <c r="G1050" i="15"/>
  <c r="E1051" i="15"/>
  <c r="F1053" i="15"/>
  <c r="G46" i="16"/>
  <c r="G47" i="16"/>
  <c r="K338" i="2"/>
  <c r="B340" i="2"/>
  <c r="I343" i="2"/>
  <c r="I344" i="2"/>
  <c r="I346" i="2"/>
  <c r="I347" i="2"/>
  <c r="I348" i="2"/>
  <c r="I349" i="2"/>
  <c r="I350" i="2"/>
  <c r="I352" i="2"/>
  <c r="I353" i="2"/>
  <c r="I354" i="2"/>
  <c r="I355" i="2"/>
  <c r="G13" i="16"/>
  <c r="G15" i="16"/>
  <c r="G16" i="16"/>
  <c r="I362" i="2"/>
  <c r="I365" i="2"/>
  <c r="I366" i="2"/>
  <c r="E1153" i="15"/>
  <c r="G1153" i="15" s="1"/>
  <c r="E1155" i="15"/>
  <c r="G1155" i="15" s="1"/>
  <c r="E1156" i="15"/>
  <c r="G1156" i="15" s="1"/>
  <c r="E1157" i="15"/>
  <c r="G1157" i="15" s="1"/>
  <c r="E1158" i="15"/>
  <c r="G1158" i="15" s="1"/>
  <c r="E1159" i="15"/>
  <c r="G1159" i="15" s="1"/>
  <c r="E1162" i="15"/>
  <c r="F1162" i="15"/>
  <c r="E1163" i="15"/>
  <c r="F1163" i="15"/>
  <c r="E1165" i="15"/>
  <c r="F1165" i="15"/>
  <c r="E1166" i="15"/>
  <c r="F1166" i="15"/>
  <c r="E1168" i="15"/>
  <c r="F1168" i="15"/>
  <c r="E1169" i="15"/>
  <c r="F1169" i="15"/>
  <c r="E1170" i="15"/>
  <c r="E1171" i="15"/>
  <c r="F371" i="2"/>
  <c r="I371" i="2"/>
  <c r="F372" i="2"/>
  <c r="I372" i="2"/>
  <c r="F373" i="2"/>
  <c r="I373" i="2"/>
  <c r="I374" i="2"/>
  <c r="I375" i="2"/>
  <c r="I376" i="2"/>
  <c r="I378" i="2"/>
  <c r="I379" i="2"/>
  <c r="I380" i="2"/>
  <c r="I381" i="2"/>
  <c r="F382" i="2"/>
  <c r="I382" i="2" s="1"/>
  <c r="I383" i="2"/>
  <c r="F385" i="2"/>
  <c r="I385" i="2"/>
  <c r="F386" i="2"/>
  <c r="I386" i="2"/>
  <c r="F387" i="2"/>
  <c r="I387" i="2" s="1"/>
  <c r="I388" i="2"/>
  <c r="I390" i="2"/>
  <c r="I391" i="2"/>
  <c r="I392" i="2"/>
  <c r="G883" i="15"/>
  <c r="F884" i="15"/>
  <c r="G884" i="15" s="1"/>
  <c r="F885" i="15"/>
  <c r="G885" i="15" s="1"/>
  <c r="G886" i="15"/>
  <c r="F887" i="15"/>
  <c r="G887" i="15" s="1"/>
  <c r="F888" i="15"/>
  <c r="G888" i="15" s="1"/>
  <c r="E889" i="15"/>
  <c r="F891" i="15"/>
  <c r="K891" i="15" s="1"/>
  <c r="F397" i="2"/>
  <c r="I397" i="2"/>
  <c r="F398" i="2"/>
  <c r="I398" i="2"/>
  <c r="F400" i="2"/>
  <c r="I400" i="2"/>
  <c r="F401" i="2"/>
  <c r="I401" i="2"/>
  <c r="G965" i="15"/>
  <c r="F967" i="15"/>
  <c r="G967" i="15" s="1"/>
  <c r="E968" i="15"/>
  <c r="G975" i="15"/>
  <c r="F977" i="15"/>
  <c r="G977" i="15" s="1"/>
  <c r="F978" i="15"/>
  <c r="G978" i="15" s="1"/>
  <c r="J95" i="20" s="1"/>
  <c r="E979" i="15"/>
  <c r="F982" i="15"/>
  <c r="L402" i="2"/>
  <c r="I405" i="2"/>
  <c r="I406" i="2"/>
  <c r="I407" i="2"/>
  <c r="I408" i="2"/>
  <c r="I409" i="2"/>
  <c r="G918" i="15"/>
  <c r="G919" i="15"/>
  <c r="F920" i="15"/>
  <c r="G920" i="15" s="1"/>
  <c r="F921" i="15" s="1"/>
  <c r="E921" i="15"/>
  <c r="G922" i="15"/>
  <c r="F924" i="15"/>
  <c r="K924" i="15" s="1"/>
  <c r="G577" i="15"/>
  <c r="F579" i="15"/>
  <c r="G579" i="15" s="1"/>
  <c r="F580" i="15"/>
  <c r="G580" i="15" s="1"/>
  <c r="E581" i="15"/>
  <c r="F583" i="15"/>
  <c r="H47" i="34"/>
  <c r="H48" i="34"/>
  <c r="H49" i="34"/>
  <c r="H50" i="34"/>
  <c r="G51" i="34"/>
  <c r="H51" i="34" s="1"/>
  <c r="G16" i="34"/>
  <c r="G35" i="34" s="1"/>
  <c r="G17" i="34"/>
  <c r="G36" i="34" s="1"/>
  <c r="G18" i="34"/>
  <c r="G37" i="34" s="1"/>
  <c r="G56" i="34"/>
  <c r="H56" i="34" s="1"/>
  <c r="F57" i="34"/>
  <c r="F59" i="34"/>
  <c r="H80" i="34"/>
  <c r="H81" i="34"/>
  <c r="H82" i="34"/>
  <c r="H83" i="34"/>
  <c r="F88" i="34"/>
  <c r="F91" i="34"/>
  <c r="H127" i="34"/>
  <c r="F132" i="34"/>
  <c r="F135" i="34"/>
  <c r="H140" i="34"/>
  <c r="F145" i="34"/>
  <c r="F148" i="34"/>
  <c r="I429" i="2"/>
  <c r="H427" i="34"/>
  <c r="H428" i="34"/>
  <c r="H429" i="34"/>
  <c r="G431" i="34"/>
  <c r="H431" i="34" s="1"/>
  <c r="G432" i="34"/>
  <c r="H432" i="34" s="1"/>
  <c r="G433" i="34"/>
  <c r="H433" i="34" s="1"/>
  <c r="F434" i="34"/>
  <c r="F437" i="34"/>
  <c r="H401" i="34"/>
  <c r="H402" i="34"/>
  <c r="H404" i="34" s="1"/>
  <c r="H355" i="34"/>
  <c r="H356" i="34"/>
  <c r="H357" i="34"/>
  <c r="G360" i="34"/>
  <c r="H360" i="34" s="1"/>
  <c r="G361" i="34"/>
  <c r="H361" i="34" s="1"/>
  <c r="F362" i="34"/>
  <c r="F406" i="34"/>
  <c r="K435" i="2"/>
  <c r="H442" i="34"/>
  <c r="H443" i="34"/>
  <c r="H445" i="34"/>
  <c r="H447" i="34"/>
  <c r="H448" i="34"/>
  <c r="H449" i="34"/>
  <c r="H450" i="34"/>
  <c r="H451" i="34"/>
  <c r="G453" i="34"/>
  <c r="H453" i="34" s="1"/>
  <c r="G454" i="34"/>
  <c r="H454" i="34" s="1"/>
  <c r="F457" i="34"/>
  <c r="H369" i="34"/>
  <c r="H370" i="34"/>
  <c r="H371" i="34"/>
  <c r="G374" i="34"/>
  <c r="H374" i="34" s="1"/>
  <c r="F375" i="34"/>
  <c r="H377" i="34"/>
  <c r="H378" i="34"/>
  <c r="F380" i="34"/>
  <c r="G5" i="35"/>
  <c r="J445" i="2" s="1"/>
  <c r="K445" i="2" s="1"/>
  <c r="I448" i="2"/>
  <c r="K448" i="2"/>
  <c r="I451" i="2"/>
  <c r="K451" i="2"/>
  <c r="G157" i="35"/>
  <c r="E158" i="35" s="1"/>
  <c r="F158" i="35"/>
  <c r="G159" i="35"/>
  <c r="G153" i="35"/>
  <c r="E154" i="35"/>
  <c r="F154" i="35"/>
  <c r="G155" i="35"/>
  <c r="G35" i="35"/>
  <c r="E37" i="35" s="1"/>
  <c r="F37" i="35"/>
  <c r="G29" i="35"/>
  <c r="G24" i="35"/>
  <c r="E25" i="35" s="1"/>
  <c r="F25" i="35"/>
  <c r="G25" i="35" s="1"/>
  <c r="G26" i="35" s="1"/>
  <c r="G137" i="35"/>
  <c r="E138" i="35" s="1"/>
  <c r="F138" i="35"/>
  <c r="G139" i="35"/>
  <c r="G141" i="35"/>
  <c r="E142" i="35" s="1"/>
  <c r="F142" i="35"/>
  <c r="G142" i="35" s="1"/>
  <c r="G144" i="35" s="1"/>
  <c r="G143" i="35"/>
  <c r="G145" i="35"/>
  <c r="E146" i="35" s="1"/>
  <c r="F146" i="35"/>
  <c r="G147" i="35"/>
  <c r="G81" i="35"/>
  <c r="E82" i="35" s="1"/>
  <c r="F82" i="35"/>
  <c r="G82" i="35" s="1"/>
  <c r="G83" i="35" s="1"/>
  <c r="G121" i="35"/>
  <c r="E122" i="35"/>
  <c r="F122" i="35"/>
  <c r="G122" i="35" s="1"/>
  <c r="G124" i="35" s="1"/>
  <c r="I48" i="50" s="1"/>
  <c r="G123" i="35"/>
  <c r="G114" i="35"/>
  <c r="E115" i="35"/>
  <c r="F115" i="35"/>
  <c r="F116" i="35"/>
  <c r="G116" i="35" s="1"/>
  <c r="G149" i="35"/>
  <c r="F150" i="35"/>
  <c r="G150" i="35" s="1"/>
  <c r="G152" i="35" s="1"/>
  <c r="G151" i="35"/>
  <c r="A491" i="2"/>
  <c r="A492" i="2"/>
  <c r="A493" i="2" s="1"/>
  <c r="B497" i="2"/>
  <c r="F497" i="2"/>
  <c r="B498" i="2"/>
  <c r="F498" i="2"/>
  <c r="B2" i="3"/>
  <c r="A14" i="3"/>
  <c r="A15" i="3"/>
  <c r="A16" i="3" s="1"/>
  <c r="A17" i="3" s="1"/>
  <c r="A18" i="3" s="1"/>
  <c r="A19" i="3" s="1"/>
  <c r="A20" i="3" s="1"/>
  <c r="A21" i="3" s="1"/>
  <c r="A22" i="3" s="1"/>
  <c r="A23" i="3" s="1"/>
  <c r="A26" i="3"/>
  <c r="A27" i="3" s="1"/>
  <c r="A28" i="3" s="1"/>
  <c r="A29" i="3" s="1"/>
  <c r="A30" i="3" s="1"/>
  <c r="A31" i="3"/>
  <c r="A32" i="3" s="1"/>
  <c r="A33" i="3" s="1"/>
  <c r="A34" i="3" s="1"/>
  <c r="A35" i="3" s="1"/>
  <c r="A36" i="3" s="1"/>
  <c r="A37" i="3" s="1"/>
  <c r="A38" i="3" s="1"/>
  <c r="A39" i="3" s="1"/>
  <c r="B45" i="3"/>
  <c r="D45" i="3"/>
  <c r="B46" i="3"/>
  <c r="D46" i="3"/>
  <c r="A14" i="6"/>
  <c r="A15" i="6"/>
  <c r="A16" i="6" s="1"/>
  <c r="A17" i="6"/>
  <c r="A18" i="6" s="1"/>
  <c r="A21" i="6"/>
  <c r="A22" i="6"/>
  <c r="A25" i="6"/>
  <c r="A29" i="6"/>
  <c r="A30" i="6"/>
  <c r="A31" i="6" s="1"/>
  <c r="A32" i="6" s="1"/>
  <c r="A33" i="6" s="1"/>
  <c r="A34" i="6" s="1"/>
  <c r="A35" i="6" s="1"/>
  <c r="A36" i="6" s="1"/>
  <c r="A37" i="6" s="1"/>
  <c r="A38" i="6"/>
  <c r="A39" i="6"/>
  <c r="A40" i="6" s="1"/>
  <c r="A41" i="6" s="1"/>
  <c r="A42" i="6" s="1"/>
  <c r="A2" i="7"/>
  <c r="B5" i="7"/>
  <c r="C5" i="7" s="1"/>
  <c r="F5" i="7" s="1"/>
  <c r="G5" i="7" s="1"/>
  <c r="H5" i="7"/>
  <c r="I5" i="7" s="1"/>
  <c r="J5" i="7" s="1"/>
  <c r="L5" i="7"/>
  <c r="M5" i="7" s="1"/>
  <c r="I8" i="7"/>
  <c r="I9" i="7"/>
  <c r="F10" i="7"/>
  <c r="I10" i="7"/>
  <c r="I11" i="7"/>
  <c r="I12" i="7"/>
  <c r="I13" i="7"/>
  <c r="I14" i="7"/>
  <c r="I15" i="7"/>
  <c r="I16" i="7"/>
  <c r="F17" i="7"/>
  <c r="I17" i="7" s="1"/>
  <c r="I18" i="7"/>
  <c r="F19" i="7"/>
  <c r="I19" i="7" s="1"/>
  <c r="I20" i="7"/>
  <c r="I25" i="7"/>
  <c r="I26" i="7"/>
  <c r="F29" i="7"/>
  <c r="G29" i="7"/>
  <c r="G30" i="7"/>
  <c r="I30" i="7"/>
  <c r="G31" i="7"/>
  <c r="I31" i="7" s="1"/>
  <c r="I32" i="7"/>
  <c r="I33" i="7"/>
  <c r="F34" i="7"/>
  <c r="I34" i="7"/>
  <c r="F35" i="7"/>
  <c r="I35" i="7"/>
  <c r="I36" i="7"/>
  <c r="I37" i="7"/>
  <c r="I38" i="7"/>
  <c r="I39" i="7"/>
  <c r="I40" i="7"/>
  <c r="F41" i="7"/>
  <c r="I41" i="7" s="1"/>
  <c r="I42" i="7"/>
  <c r="F43" i="7"/>
  <c r="I43" i="7"/>
  <c r="I44" i="7"/>
  <c r="F49" i="7"/>
  <c r="I49" i="7" s="1"/>
  <c r="F50" i="7"/>
  <c r="I50" i="7" s="1"/>
  <c r="I51" i="7"/>
  <c r="F52" i="7"/>
  <c r="I52" i="7" s="1"/>
  <c r="F53" i="7"/>
  <c r="I53" i="7"/>
  <c r="I54" i="7"/>
  <c r="I55" i="7"/>
  <c r="F56" i="7"/>
  <c r="I56" i="7"/>
  <c r="I57" i="7"/>
  <c r="F59" i="7"/>
  <c r="I59" i="7" s="1"/>
  <c r="F60" i="7"/>
  <c r="I60" i="7"/>
  <c r="I61" i="7"/>
  <c r="F62" i="7"/>
  <c r="I62" i="7"/>
  <c r="F63" i="7"/>
  <c r="I63" i="7"/>
  <c r="I64" i="7"/>
  <c r="I65" i="7"/>
  <c r="F66" i="7"/>
  <c r="I66" i="7"/>
  <c r="I67" i="7"/>
  <c r="I68" i="7"/>
  <c r="F71" i="7"/>
  <c r="I71" i="7" s="1"/>
  <c r="F72" i="7"/>
  <c r="I72" i="7"/>
  <c r="F73" i="7"/>
  <c r="I73" i="7"/>
  <c r="F74" i="7"/>
  <c r="I74" i="7"/>
  <c r="F75" i="7"/>
  <c r="I75" i="7"/>
  <c r="F76" i="7"/>
  <c r="I76" i="7"/>
  <c r="F77" i="7"/>
  <c r="I77" i="7" s="1"/>
  <c r="F78" i="7"/>
  <c r="I78" i="7"/>
  <c r="L80" i="7"/>
  <c r="N80" i="7"/>
  <c r="I83" i="7"/>
  <c r="I84" i="7"/>
  <c r="H87" i="7"/>
  <c r="I87" i="7"/>
  <c r="I89" i="7"/>
  <c r="F94" i="7"/>
  <c r="I94" i="7" s="1"/>
  <c r="F95" i="7"/>
  <c r="I95" i="7" s="1"/>
  <c r="F99" i="7"/>
  <c r="I99" i="7" s="1"/>
  <c r="I100" i="7"/>
  <c r="I101" i="7"/>
  <c r="F105" i="7"/>
  <c r="H105" i="7"/>
  <c r="D468" i="15"/>
  <c r="E468" i="15" s="1"/>
  <c r="D469" i="15"/>
  <c r="E469" i="15" s="1"/>
  <c r="I110" i="7"/>
  <c r="I111" i="7"/>
  <c r="I112" i="7"/>
  <c r="F116" i="7"/>
  <c r="I116" i="7"/>
  <c r="F117" i="7"/>
  <c r="I117" i="7"/>
  <c r="I118" i="7"/>
  <c r="L119" i="7"/>
  <c r="I122" i="7"/>
  <c r="I123" i="7"/>
  <c r="I124" i="7"/>
  <c r="F130" i="7"/>
  <c r="I130" i="7" s="1"/>
  <c r="F131" i="7"/>
  <c r="I131" i="7" s="1"/>
  <c r="F132" i="7"/>
  <c r="I132" i="7" s="1"/>
  <c r="I134" i="7"/>
  <c r="I135" i="7"/>
  <c r="I136" i="7"/>
  <c r="I137" i="7"/>
  <c r="F138" i="7"/>
  <c r="I138" i="7" s="1"/>
  <c r="I139" i="7"/>
  <c r="F141" i="7"/>
  <c r="I141" i="7" s="1"/>
  <c r="I142" i="7"/>
  <c r="I145" i="7"/>
  <c r="I146" i="7"/>
  <c r="I149" i="7"/>
  <c r="I150" i="7"/>
  <c r="E126" i="15"/>
  <c r="G1323" i="15"/>
  <c r="G1324" i="15"/>
  <c r="F1325" i="15"/>
  <c r="G1325" i="15" s="1"/>
  <c r="F1326" i="15"/>
  <c r="G1326" i="15" s="1"/>
  <c r="F1327" i="15"/>
  <c r="F154" i="7"/>
  <c r="F155" i="7"/>
  <c r="I155" i="7"/>
  <c r="F156" i="7"/>
  <c r="I156" i="7"/>
  <c r="F157" i="7"/>
  <c r="I157" i="7"/>
  <c r="F158" i="7"/>
  <c r="I158" i="7"/>
  <c r="P158" i="7"/>
  <c r="P159" i="7"/>
  <c r="I160" i="7"/>
  <c r="P160" i="7"/>
  <c r="I161" i="7"/>
  <c r="P161" i="7"/>
  <c r="N162" i="7"/>
  <c r="P162" i="7"/>
  <c r="I163" i="7"/>
  <c r="P163" i="7"/>
  <c r="I165" i="7"/>
  <c r="L167" i="7"/>
  <c r="N167" i="7"/>
  <c r="I171" i="7"/>
  <c r="F172" i="7"/>
  <c r="I172" i="7"/>
  <c r="F173" i="7"/>
  <c r="I173" i="7"/>
  <c r="I174" i="7"/>
  <c r="I175" i="7"/>
  <c r="I176" i="7"/>
  <c r="I177" i="7"/>
  <c r="F178" i="7"/>
  <c r="I178" i="7"/>
  <c r="I179" i="7"/>
  <c r="F180" i="7"/>
  <c r="G180" i="7"/>
  <c r="I184" i="7"/>
  <c r="F185" i="7"/>
  <c r="I185" i="7"/>
  <c r="F186" i="7"/>
  <c r="I186" i="7"/>
  <c r="I187" i="7"/>
  <c r="I188" i="7"/>
  <c r="I189" i="7"/>
  <c r="I190" i="7"/>
  <c r="F191" i="7"/>
  <c r="I191" i="7" s="1"/>
  <c r="I192" i="7"/>
  <c r="F194" i="7"/>
  <c r="G194" i="7"/>
  <c r="I195" i="7"/>
  <c r="I196" i="7"/>
  <c r="I197" i="7"/>
  <c r="I198" i="7"/>
  <c r="I199" i="7"/>
  <c r="I200" i="7"/>
  <c r="F216" i="7"/>
  <c r="I216" i="7"/>
  <c r="F217" i="7"/>
  <c r="I217" i="7" s="1"/>
  <c r="F218" i="7"/>
  <c r="I218" i="7" s="1"/>
  <c r="I219" i="7"/>
  <c r="I220" i="7"/>
  <c r="I221" i="7"/>
  <c r="I223" i="7"/>
  <c r="I224" i="7"/>
  <c r="I225" i="7"/>
  <c r="I226" i="7"/>
  <c r="F227" i="7"/>
  <c r="I227" i="7" s="1"/>
  <c r="I228" i="7"/>
  <c r="F230" i="7"/>
  <c r="I230" i="7" s="1"/>
  <c r="F231" i="7"/>
  <c r="I231" i="7" s="1"/>
  <c r="F101" i="15"/>
  <c r="G101" i="15" s="1"/>
  <c r="E106" i="15"/>
  <c r="F1334" i="15"/>
  <c r="G1334" i="15" s="1"/>
  <c r="F1335" i="15"/>
  <c r="G1335" i="15" s="1"/>
  <c r="E1336" i="15"/>
  <c r="F236" i="7"/>
  <c r="I236" i="7" s="1"/>
  <c r="F237" i="7"/>
  <c r="I237" i="7" s="1"/>
  <c r="F238" i="7"/>
  <c r="I238" i="7" s="1"/>
  <c r="I239" i="7"/>
  <c r="I241" i="7"/>
  <c r="I242" i="7"/>
  <c r="I243" i="7"/>
  <c r="N245" i="7"/>
  <c r="F249" i="7"/>
  <c r="I249" i="7" s="1"/>
  <c r="F250" i="7"/>
  <c r="I250" i="7"/>
  <c r="L251" i="7"/>
  <c r="N251" i="7"/>
  <c r="F254" i="7"/>
  <c r="H254" i="7"/>
  <c r="F255" i="7"/>
  <c r="I255" i="7"/>
  <c r="F256" i="7"/>
  <c r="I256" i="7"/>
  <c r="I257" i="7"/>
  <c r="L258" i="7"/>
  <c r="N258" i="7"/>
  <c r="F261" i="7"/>
  <c r="H261" i="7"/>
  <c r="L262" i="7"/>
  <c r="N262" i="7"/>
  <c r="F265" i="7"/>
  <c r="H265" i="7"/>
  <c r="F266" i="7"/>
  <c r="H266" i="7"/>
  <c r="F267" i="7"/>
  <c r="H267" i="7"/>
  <c r="F268" i="7"/>
  <c r="H268" i="7"/>
  <c r="I269" i="7"/>
  <c r="F272" i="7"/>
  <c r="I272" i="7"/>
  <c r="F273" i="7"/>
  <c r="I273" i="7"/>
  <c r="F274" i="7"/>
  <c r="I274" i="7"/>
  <c r="F275" i="7"/>
  <c r="I275" i="7"/>
  <c r="F276" i="7"/>
  <c r="I276" i="7" s="1"/>
  <c r="F277" i="7"/>
  <c r="I277" i="7"/>
  <c r="F278" i="7"/>
  <c r="I278" i="7"/>
  <c r="F279" i="7"/>
  <c r="I279" i="7"/>
  <c r="I280" i="7"/>
  <c r="I281" i="7"/>
  <c r="I282" i="7"/>
  <c r="I283" i="7"/>
  <c r="L284" i="7"/>
  <c r="N284" i="7"/>
  <c r="F287" i="7"/>
  <c r="I287" i="7"/>
  <c r="I288" i="7"/>
  <c r="I289" i="7"/>
  <c r="L290" i="7"/>
  <c r="N290" i="7"/>
  <c r="I293" i="7"/>
  <c r="I294" i="7"/>
  <c r="L294" i="7"/>
  <c r="N294" i="7"/>
  <c r="F297" i="7"/>
  <c r="I297" i="7" s="1"/>
  <c r="I298" i="7"/>
  <c r="L299" i="7"/>
  <c r="N299" i="7"/>
  <c r="F302" i="7"/>
  <c r="I302" i="7" s="1"/>
  <c r="F303" i="7"/>
  <c r="I303" i="7" s="1"/>
  <c r="F304" i="7"/>
  <c r="I304" i="7" s="1"/>
  <c r="I305" i="7"/>
  <c r="I306" i="7"/>
  <c r="L307" i="7"/>
  <c r="N307" i="7"/>
  <c r="F311" i="7"/>
  <c r="I311" i="7" s="1"/>
  <c r="F312" i="7"/>
  <c r="I312" i="7" s="1"/>
  <c r="F313" i="7"/>
  <c r="I313" i="7" s="1"/>
  <c r="F315" i="7"/>
  <c r="I315" i="7" s="1"/>
  <c r="F316" i="7"/>
  <c r="I316" i="7"/>
  <c r="L317" i="7"/>
  <c r="N317" i="7"/>
  <c r="L323" i="7"/>
  <c r="M323" i="7" s="1"/>
  <c r="L326" i="7"/>
  <c r="M326" i="7" s="1"/>
  <c r="L329" i="7"/>
  <c r="M329" i="7" s="1"/>
  <c r="I332" i="7"/>
  <c r="K332" i="7" s="1"/>
  <c r="P332" i="7"/>
  <c r="L333" i="7"/>
  <c r="M333" i="7" s="1"/>
  <c r="L335" i="7"/>
  <c r="M335" i="7"/>
  <c r="L337" i="7"/>
  <c r="M337" i="7"/>
  <c r="F339" i="7"/>
  <c r="I339" i="7"/>
  <c r="I340" i="7"/>
  <c r="K349" i="7"/>
  <c r="B351" i="7"/>
  <c r="F355" i="7"/>
  <c r="I355" i="7"/>
  <c r="I359" i="7"/>
  <c r="I362" i="7"/>
  <c r="I363" i="7"/>
  <c r="P365" i="7"/>
  <c r="F368" i="7"/>
  <c r="I368" i="7" s="1"/>
  <c r="F369" i="7"/>
  <c r="I369" i="7" s="1"/>
  <c r="F370" i="7"/>
  <c r="I370" i="7" s="1"/>
  <c r="I371" i="7"/>
  <c r="I372" i="7"/>
  <c r="I373" i="7"/>
  <c r="I375" i="7"/>
  <c r="I376" i="7"/>
  <c r="I377" i="7"/>
  <c r="I378" i="7"/>
  <c r="F379" i="7"/>
  <c r="I379" i="7"/>
  <c r="I380" i="7"/>
  <c r="F382" i="7"/>
  <c r="I382" i="7" s="1"/>
  <c r="F383" i="7"/>
  <c r="I383" i="7" s="1"/>
  <c r="F384" i="7"/>
  <c r="I384" i="7" s="1"/>
  <c r="I385" i="7"/>
  <c r="I387" i="7"/>
  <c r="I388" i="7"/>
  <c r="I389" i="7"/>
  <c r="F394" i="7"/>
  <c r="I394" i="7" s="1"/>
  <c r="F395" i="7"/>
  <c r="I395" i="7" s="1"/>
  <c r="F397" i="7"/>
  <c r="I397" i="7"/>
  <c r="F398" i="7"/>
  <c r="I398" i="7" s="1"/>
  <c r="L399" i="7"/>
  <c r="I402" i="7"/>
  <c r="I403" i="7"/>
  <c r="I404" i="7"/>
  <c r="I405" i="7"/>
  <c r="I406" i="7"/>
  <c r="I426" i="7"/>
  <c r="K432" i="7"/>
  <c r="I445" i="7"/>
  <c r="K445" i="7" s="1"/>
  <c r="I448" i="7"/>
  <c r="K448" i="7" s="1"/>
  <c r="A488" i="7"/>
  <c r="A489" i="7" s="1"/>
  <c r="A490" i="7"/>
  <c r="H212" i="31"/>
  <c r="H214" i="31"/>
  <c r="G216" i="31"/>
  <c r="H216" i="31"/>
  <c r="G217" i="31"/>
  <c r="H217" i="31"/>
  <c r="J217" i="31"/>
  <c r="F218" i="31"/>
  <c r="H218" i="31" s="1"/>
  <c r="F21" i="31"/>
  <c r="G21" i="31" s="1"/>
  <c r="F22" i="31"/>
  <c r="G22" i="31" s="1"/>
  <c r="I5" i="31"/>
  <c r="J222" i="31"/>
  <c r="J223" i="31"/>
  <c r="J224" i="31"/>
  <c r="J225" i="31"/>
  <c r="J226" i="31"/>
  <c r="J227" i="31"/>
  <c r="J228" i="31"/>
  <c r="J229" i="31"/>
  <c r="J230" i="31"/>
  <c r="G8" i="31"/>
  <c r="F10" i="31"/>
  <c r="G10" i="31" s="1"/>
  <c r="J232" i="31"/>
  <c r="I235" i="31"/>
  <c r="I380" i="9"/>
  <c r="K380" i="9"/>
  <c r="K393" i="9"/>
  <c r="K396" i="9"/>
  <c r="I402" i="9"/>
  <c r="I405" i="9"/>
  <c r="I407" i="9" s="1"/>
  <c r="F417" i="9"/>
  <c r="I417" i="9" s="1"/>
  <c r="F418" i="9"/>
  <c r="I418" i="9" s="1"/>
  <c r="F419" i="9"/>
  <c r="I419" i="9" s="1"/>
  <c r="I420" i="9"/>
  <c r="I422" i="9"/>
  <c r="I423" i="9"/>
  <c r="I424" i="9"/>
  <c r="I425" i="9"/>
  <c r="F426" i="9"/>
  <c r="I426" i="9"/>
  <c r="I427" i="9"/>
  <c r="F429" i="9"/>
  <c r="I429" i="9" s="1"/>
  <c r="F430" i="9"/>
  <c r="I430" i="9" s="1"/>
  <c r="F431" i="9"/>
  <c r="I431" i="9"/>
  <c r="I432" i="9"/>
  <c r="I434" i="9"/>
  <c r="I435" i="9"/>
  <c r="I436" i="9"/>
  <c r="F441" i="9"/>
  <c r="I441" i="9" s="1"/>
  <c r="F442" i="9"/>
  <c r="I442" i="9" s="1"/>
  <c r="F444" i="9"/>
  <c r="I444" i="9" s="1"/>
  <c r="F445" i="9"/>
  <c r="I445" i="9"/>
  <c r="I449" i="9"/>
  <c r="I450" i="9"/>
  <c r="I451" i="9"/>
  <c r="I452" i="9"/>
  <c r="I453" i="9"/>
  <c r="I473" i="9"/>
  <c r="K480" i="9"/>
  <c r="I493" i="9"/>
  <c r="K493" i="9"/>
  <c r="I496" i="9"/>
  <c r="K496" i="9"/>
  <c r="I534" i="9"/>
  <c r="I8" i="9"/>
  <c r="I9" i="9"/>
  <c r="F10" i="9"/>
  <c r="I10" i="9" s="1"/>
  <c r="F11" i="9"/>
  <c r="I11" i="9" s="1"/>
  <c r="I12" i="9"/>
  <c r="I13" i="9"/>
  <c r="I14" i="9"/>
  <c r="I15" i="9"/>
  <c r="F16" i="9"/>
  <c r="I16" i="9"/>
  <c r="I17" i="9"/>
  <c r="F18" i="9"/>
  <c r="I18" i="9" s="1"/>
  <c r="I19" i="9"/>
  <c r="I20" i="9"/>
  <c r="I21" i="9"/>
  <c r="I27" i="9"/>
  <c r="I28" i="9"/>
  <c r="F32" i="9"/>
  <c r="G32" i="9"/>
  <c r="G33" i="9"/>
  <c r="I33" i="9" s="1"/>
  <c r="G34" i="9"/>
  <c r="I34" i="9"/>
  <c r="I35" i="9"/>
  <c r="I36" i="9"/>
  <c r="F37" i="9"/>
  <c r="I37" i="9" s="1"/>
  <c r="F38" i="9"/>
  <c r="I38" i="9" s="1"/>
  <c r="I39" i="9"/>
  <c r="I40" i="9"/>
  <c r="I41" i="9"/>
  <c r="F42" i="9"/>
  <c r="I42" i="9"/>
  <c r="I43" i="9"/>
  <c r="F44" i="9"/>
  <c r="I44" i="9" s="1"/>
  <c r="I45" i="9"/>
  <c r="I46" i="9"/>
  <c r="I47" i="9"/>
  <c r="F48" i="9"/>
  <c r="I48" i="9"/>
  <c r="F49" i="9"/>
  <c r="I49" i="9"/>
  <c r="I50" i="9"/>
  <c r="F76" i="9"/>
  <c r="I76" i="9"/>
  <c r="F77" i="9"/>
  <c r="I77" i="9" s="1"/>
  <c r="F78" i="9"/>
  <c r="I78" i="9" s="1"/>
  <c r="F79" i="9"/>
  <c r="I79" i="9" s="1"/>
  <c r="F80" i="9"/>
  <c r="I80" i="9" s="1"/>
  <c r="F81" i="9"/>
  <c r="I81" i="9" s="1"/>
  <c r="F82" i="9"/>
  <c r="I82" i="9" s="1"/>
  <c r="F83" i="9"/>
  <c r="I83" i="9" s="1"/>
  <c r="F65" i="9"/>
  <c r="I65" i="9" s="1"/>
  <c r="F66" i="9"/>
  <c r="I66" i="9" s="1"/>
  <c r="F67" i="9"/>
  <c r="I67" i="9" s="1"/>
  <c r="F68" i="9"/>
  <c r="I68" i="9"/>
  <c r="I69" i="9"/>
  <c r="F70" i="9"/>
  <c r="I70" i="9" s="1"/>
  <c r="I71" i="9"/>
  <c r="I72" i="9"/>
  <c r="I73" i="9"/>
  <c r="F56" i="9"/>
  <c r="I56" i="9" s="1"/>
  <c r="F57" i="9"/>
  <c r="I57" i="9" s="1"/>
  <c r="F58" i="9"/>
  <c r="I58" i="9" s="1"/>
  <c r="F59" i="9"/>
  <c r="I59" i="9" s="1"/>
  <c r="I60" i="9"/>
  <c r="F61" i="9"/>
  <c r="I61" i="9"/>
  <c r="I62" i="9"/>
  <c r="I63" i="9"/>
  <c r="I90" i="9"/>
  <c r="I91" i="9"/>
  <c r="H95" i="9"/>
  <c r="I95" i="9"/>
  <c r="H96" i="9"/>
  <c r="I96" i="9"/>
  <c r="H97" i="9"/>
  <c r="I97" i="9" s="1"/>
  <c r="I99" i="9"/>
  <c r="I100" i="9"/>
  <c r="I101" i="9"/>
  <c r="I103" i="9"/>
  <c r="I104" i="9"/>
  <c r="I105" i="9"/>
  <c r="F111" i="9"/>
  <c r="I111" i="9"/>
  <c r="F112" i="9"/>
  <c r="I112" i="9" s="1"/>
  <c r="F113" i="9"/>
  <c r="I113" i="9" s="1"/>
  <c r="F114" i="9"/>
  <c r="I114" i="9"/>
  <c r="I115" i="9"/>
  <c r="I119" i="9"/>
  <c r="F120" i="9"/>
  <c r="I120" i="9"/>
  <c r="I121" i="9"/>
  <c r="F122" i="9"/>
  <c r="I122" i="9"/>
  <c r="F124" i="9"/>
  <c r="I124" i="9" s="1"/>
  <c r="F125" i="9"/>
  <c r="I125" i="9" s="1"/>
  <c r="F126" i="9"/>
  <c r="I126" i="9"/>
  <c r="F127" i="9"/>
  <c r="I127" i="9" s="1"/>
  <c r="F132" i="9"/>
  <c r="I132" i="9" s="1"/>
  <c r="I133" i="9" s="1"/>
  <c r="H132" i="9"/>
  <c r="I136" i="9"/>
  <c r="I137" i="9"/>
  <c r="I138" i="9"/>
  <c r="I143" i="9"/>
  <c r="I144" i="9"/>
  <c r="F145" i="9"/>
  <c r="I145" i="9"/>
  <c r="I146" i="9"/>
  <c r="I150" i="9"/>
  <c r="I151" i="9"/>
  <c r="I152" i="9"/>
  <c r="F158" i="9"/>
  <c r="I158" i="9" s="1"/>
  <c r="F159" i="9"/>
  <c r="I159" i="9" s="1"/>
  <c r="F160" i="9"/>
  <c r="I160" i="9"/>
  <c r="I161" i="9"/>
  <c r="I163" i="9"/>
  <c r="I164" i="9"/>
  <c r="I165" i="9"/>
  <c r="I166" i="9"/>
  <c r="F167" i="9"/>
  <c r="I167" i="9" s="1"/>
  <c r="I168" i="9"/>
  <c r="I170" i="9"/>
  <c r="F171" i="9"/>
  <c r="I171" i="9" s="1"/>
  <c r="I172" i="9"/>
  <c r="F173" i="9"/>
  <c r="I173" i="9"/>
  <c r="F175" i="9"/>
  <c r="I175" i="9"/>
  <c r="F176" i="9"/>
  <c r="I176" i="9"/>
  <c r="F177" i="9"/>
  <c r="I177" i="9" s="1"/>
  <c r="F178" i="9"/>
  <c r="I178" i="9" s="1"/>
  <c r="I180" i="9"/>
  <c r="I181" i="9"/>
  <c r="I183" i="9"/>
  <c r="I184" i="9"/>
  <c r="F190" i="9"/>
  <c r="I190" i="9"/>
  <c r="F191" i="9"/>
  <c r="I191" i="9"/>
  <c r="F193" i="9"/>
  <c r="I193" i="9" s="1"/>
  <c r="F194" i="9"/>
  <c r="I194" i="9" s="1"/>
  <c r="F195" i="9"/>
  <c r="I195" i="9"/>
  <c r="F196" i="9"/>
  <c r="I196" i="9"/>
  <c r="I198" i="9"/>
  <c r="I199" i="9"/>
  <c r="I201" i="9"/>
  <c r="I203" i="9"/>
  <c r="I204" i="9"/>
  <c r="I205" i="9" s="1"/>
  <c r="I206" i="9" s="1"/>
  <c r="I210" i="9"/>
  <c r="I211" i="9"/>
  <c r="F212" i="9"/>
  <c r="I212" i="9" s="1"/>
  <c r="F213" i="9"/>
  <c r="I213" i="9" s="1"/>
  <c r="I214" i="9"/>
  <c r="I215" i="9"/>
  <c r="I216" i="9"/>
  <c r="I217" i="9"/>
  <c r="F218" i="9"/>
  <c r="I218" i="9" s="1"/>
  <c r="I219" i="9"/>
  <c r="F220" i="9"/>
  <c r="I220" i="9" s="1"/>
  <c r="I221" i="9"/>
  <c r="I222" i="9"/>
  <c r="I223" i="9"/>
  <c r="I228" i="9"/>
  <c r="I229" i="9"/>
  <c r="F230" i="9"/>
  <c r="I230" i="9" s="1"/>
  <c r="F231" i="9"/>
  <c r="I231" i="9" s="1"/>
  <c r="I232" i="9"/>
  <c r="I233" i="9"/>
  <c r="I234" i="9"/>
  <c r="I235" i="9"/>
  <c r="F236" i="9"/>
  <c r="I236" i="9" s="1"/>
  <c r="I237" i="9"/>
  <c r="F239" i="9"/>
  <c r="G239" i="9"/>
  <c r="I240" i="9"/>
  <c r="I241" i="9"/>
  <c r="I242" i="9"/>
  <c r="I243" i="9"/>
  <c r="I244" i="9"/>
  <c r="I245" i="9"/>
  <c r="F262" i="9"/>
  <c r="I262" i="9" s="1"/>
  <c r="F263" i="9"/>
  <c r="I263" i="9"/>
  <c r="F264" i="9"/>
  <c r="I264" i="9"/>
  <c r="F265" i="9"/>
  <c r="I265" i="9"/>
  <c r="F266" i="9"/>
  <c r="I266" i="9" s="1"/>
  <c r="I268" i="9"/>
  <c r="I269" i="9"/>
  <c r="I270" i="9"/>
  <c r="I271" i="9"/>
  <c r="F272" i="9"/>
  <c r="I272" i="9"/>
  <c r="I273" i="9"/>
  <c r="F275" i="9"/>
  <c r="I275" i="9" s="1"/>
  <c r="F276" i="9"/>
  <c r="I276" i="9" s="1"/>
  <c r="F281" i="9"/>
  <c r="I281" i="9" s="1"/>
  <c r="F282" i="9"/>
  <c r="I282" i="9" s="1"/>
  <c r="F283" i="9"/>
  <c r="I283" i="9" s="1"/>
  <c r="I284" i="9"/>
  <c r="I286" i="9"/>
  <c r="I287" i="9"/>
  <c r="I288" i="9"/>
  <c r="F294" i="9"/>
  <c r="I294" i="9" s="1"/>
  <c r="F295" i="9"/>
  <c r="I295" i="9" s="1"/>
  <c r="F296" i="9"/>
  <c r="I296" i="9" s="1"/>
  <c r="F300" i="9"/>
  <c r="H300" i="9"/>
  <c r="F301" i="9"/>
  <c r="I301" i="9" s="1"/>
  <c r="F302" i="9"/>
  <c r="I302" i="9" s="1"/>
  <c r="I303" i="9"/>
  <c r="F307" i="9"/>
  <c r="H307" i="9"/>
  <c r="F311" i="9"/>
  <c r="G311" i="9"/>
  <c r="F312" i="9"/>
  <c r="G312" i="9"/>
  <c r="F313" i="9"/>
  <c r="G313" i="9"/>
  <c r="F314" i="9"/>
  <c r="G314" i="9"/>
  <c r="I314" i="9" s="1"/>
  <c r="I315" i="9"/>
  <c r="F317" i="9"/>
  <c r="I317" i="9"/>
  <c r="F318" i="9"/>
  <c r="I318" i="9" s="1"/>
  <c r="F319" i="9"/>
  <c r="I319" i="9" s="1"/>
  <c r="F320" i="9"/>
  <c r="I320" i="9"/>
  <c r="F321" i="9"/>
  <c r="I321" i="9"/>
  <c r="F322" i="9"/>
  <c r="I322" i="9"/>
  <c r="F323" i="9"/>
  <c r="I323" i="9" s="1"/>
  <c r="F324" i="9"/>
  <c r="I324" i="9" s="1"/>
  <c r="I325" i="9"/>
  <c r="I326" i="9"/>
  <c r="I327" i="9"/>
  <c r="I328" i="9"/>
  <c r="F332" i="9"/>
  <c r="I332" i="9"/>
  <c r="I333" i="9"/>
  <c r="I334" i="9"/>
  <c r="I338" i="9"/>
  <c r="I339" i="9"/>
  <c r="F342" i="9"/>
  <c r="I342" i="9" s="1"/>
  <c r="I343" i="9"/>
  <c r="F347" i="9"/>
  <c r="I347" i="9"/>
  <c r="F348" i="9"/>
  <c r="I348" i="9" s="1"/>
  <c r="F349" i="9"/>
  <c r="I349" i="9" s="1"/>
  <c r="I350" i="9"/>
  <c r="F351" i="9"/>
  <c r="I351" i="9"/>
  <c r="I352" i="9"/>
  <c r="I353" i="9"/>
  <c r="I354" i="9"/>
  <c r="F359" i="9"/>
  <c r="I359" i="9"/>
  <c r="F360" i="9"/>
  <c r="I360" i="9" s="1"/>
  <c r="F361" i="9"/>
  <c r="I361" i="9" s="1"/>
  <c r="F363" i="9"/>
  <c r="I363" i="9" s="1"/>
  <c r="F364" i="9"/>
  <c r="I364" i="9" s="1"/>
  <c r="I410" i="9"/>
  <c r="I411" i="9"/>
  <c r="I412" i="9"/>
  <c r="A2" i="9"/>
  <c r="B5" i="9"/>
  <c r="C5" i="9" s="1"/>
  <c r="F5" i="9"/>
  <c r="G5" i="9" s="1"/>
  <c r="H5" i="9"/>
  <c r="I5" i="9"/>
  <c r="J5" i="9" s="1"/>
  <c r="L5" i="9"/>
  <c r="M5" i="9"/>
  <c r="L86" i="9"/>
  <c r="N86" i="9"/>
  <c r="L147" i="9"/>
  <c r="I153" i="9"/>
  <c r="N190" i="9"/>
  <c r="P196" i="9"/>
  <c r="P197" i="9"/>
  <c r="P198" i="9"/>
  <c r="P199" i="9"/>
  <c r="P200" i="9"/>
  <c r="P201" i="9"/>
  <c r="L206" i="9"/>
  <c r="N290" i="9"/>
  <c r="L297" i="9"/>
  <c r="N297" i="9"/>
  <c r="L304" i="9"/>
  <c r="N304" i="9"/>
  <c r="L308" i="9"/>
  <c r="N308" i="9"/>
  <c r="L329" i="9"/>
  <c r="N329" i="9"/>
  <c r="L335" i="9"/>
  <c r="N335" i="9"/>
  <c r="L339" i="9"/>
  <c r="N339" i="9"/>
  <c r="L344" i="9"/>
  <c r="N344" i="9"/>
  <c r="L355" i="9"/>
  <c r="N355" i="9"/>
  <c r="L365" i="9"/>
  <c r="N365" i="9"/>
  <c r="L371" i="9"/>
  <c r="M371" i="9"/>
  <c r="L374" i="9"/>
  <c r="M374" i="9" s="1"/>
  <c r="L377" i="9"/>
  <c r="M377" i="9" s="1"/>
  <c r="P380" i="9"/>
  <c r="L381" i="9"/>
  <c r="M381" i="9" s="1"/>
  <c r="L383" i="9"/>
  <c r="M383" i="9" s="1"/>
  <c r="H29" i="33"/>
  <c r="H30" i="33"/>
  <c r="J30" i="33" s="1"/>
  <c r="F21" i="33"/>
  <c r="G21" i="33" s="1"/>
  <c r="F22" i="33"/>
  <c r="G22" i="33" s="1"/>
  <c r="I5" i="33"/>
  <c r="F23" i="33" s="1"/>
  <c r="F32" i="33"/>
  <c r="H32" i="33"/>
  <c r="J32" i="33" s="1"/>
  <c r="F33" i="33"/>
  <c r="H33" i="33"/>
  <c r="J33" i="33"/>
  <c r="J35" i="33"/>
  <c r="J36" i="33"/>
  <c r="J37" i="33"/>
  <c r="J38" i="33"/>
  <c r="J39" i="33"/>
  <c r="J40" i="33"/>
  <c r="J41" i="33"/>
  <c r="J42" i="33"/>
  <c r="H43" i="33"/>
  <c r="G8" i="33"/>
  <c r="F10" i="33"/>
  <c r="G10" i="33" s="1"/>
  <c r="E11" i="33" s="1"/>
  <c r="J44" i="33"/>
  <c r="J45" i="33"/>
  <c r="I6" i="33"/>
  <c r="I47" i="33" s="1"/>
  <c r="L385" i="9"/>
  <c r="M385" i="9" s="1"/>
  <c r="F387" i="9"/>
  <c r="I387" i="9"/>
  <c r="I388" i="9"/>
  <c r="P414" i="9"/>
  <c r="L446" i="9"/>
  <c r="N457" i="9"/>
  <c r="O457" i="9"/>
  <c r="P458" i="9"/>
  <c r="L539" i="9"/>
  <c r="B543" i="9"/>
  <c r="F543" i="9"/>
  <c r="B544" i="9"/>
  <c r="F544" i="9"/>
  <c r="A2" i="10"/>
  <c r="B5" i="10"/>
  <c r="C5" i="10"/>
  <c r="F5" i="10"/>
  <c r="G5" i="10" s="1"/>
  <c r="H5" i="10" s="1"/>
  <c r="I5" i="10" s="1"/>
  <c r="J5" i="10" s="1"/>
  <c r="L5" i="10"/>
  <c r="M5" i="10"/>
  <c r="I8" i="10"/>
  <c r="I9" i="10"/>
  <c r="F10" i="10"/>
  <c r="I10" i="10" s="1"/>
  <c r="F11" i="10"/>
  <c r="I11" i="10"/>
  <c r="I12" i="10"/>
  <c r="I13" i="10"/>
  <c r="I14" i="10"/>
  <c r="I15" i="10"/>
  <c r="I16" i="10"/>
  <c r="F17" i="10"/>
  <c r="I17" i="10" s="1"/>
  <c r="I18" i="10"/>
  <c r="F19" i="10"/>
  <c r="I19" i="10" s="1"/>
  <c r="I20" i="10"/>
  <c r="I21" i="10"/>
  <c r="I22" i="10"/>
  <c r="I27" i="10"/>
  <c r="I28" i="10"/>
  <c r="F32" i="10"/>
  <c r="G32" i="10"/>
  <c r="G33" i="10"/>
  <c r="I33" i="10" s="1"/>
  <c r="G34" i="10"/>
  <c r="I34" i="10"/>
  <c r="I35" i="10"/>
  <c r="I36" i="10"/>
  <c r="F37" i="10"/>
  <c r="I37" i="10"/>
  <c r="F38" i="10"/>
  <c r="I38" i="10" s="1"/>
  <c r="I39" i="10"/>
  <c r="I40" i="10"/>
  <c r="I41" i="10"/>
  <c r="I42" i="10"/>
  <c r="F43" i="10"/>
  <c r="I43" i="10"/>
  <c r="I44" i="10"/>
  <c r="F45" i="10"/>
  <c r="I45" i="10"/>
  <c r="I46" i="10"/>
  <c r="I47" i="10"/>
  <c r="I48" i="10"/>
  <c r="F49" i="10"/>
  <c r="I49" i="10" s="1"/>
  <c r="F50" i="10"/>
  <c r="I50" i="10" s="1"/>
  <c r="I51" i="10"/>
  <c r="F56" i="10"/>
  <c r="I56" i="10" s="1"/>
  <c r="F57" i="10"/>
  <c r="I57" i="10"/>
  <c r="F58" i="10"/>
  <c r="I58" i="10" s="1"/>
  <c r="F59" i="10"/>
  <c r="I59" i="10"/>
  <c r="I60" i="10"/>
  <c r="I61" i="10"/>
  <c r="F62" i="10"/>
  <c r="I62" i="10" s="1"/>
  <c r="I63" i="10"/>
  <c r="I64" i="10"/>
  <c r="F66" i="10"/>
  <c r="I66" i="10"/>
  <c r="F67" i="10"/>
  <c r="I67" i="10" s="1"/>
  <c r="I68" i="10"/>
  <c r="F69" i="10"/>
  <c r="I69" i="10" s="1"/>
  <c r="F70" i="10"/>
  <c r="I70" i="10" s="1"/>
  <c r="I71" i="10"/>
  <c r="I72" i="10"/>
  <c r="F73" i="10"/>
  <c r="I73" i="10"/>
  <c r="I74" i="10"/>
  <c r="I75" i="10"/>
  <c r="I76" i="10"/>
  <c r="F79" i="10"/>
  <c r="I79" i="10"/>
  <c r="F80" i="10"/>
  <c r="I80" i="10"/>
  <c r="F81" i="10"/>
  <c r="I81" i="10" s="1"/>
  <c r="F82" i="10"/>
  <c r="I82" i="10" s="1"/>
  <c r="F83" i="10"/>
  <c r="I83" i="10"/>
  <c r="F84" i="10"/>
  <c r="I84" i="10" s="1"/>
  <c r="F85" i="10"/>
  <c r="I85" i="10"/>
  <c r="F86" i="10"/>
  <c r="I86" i="10"/>
  <c r="L88" i="10"/>
  <c r="N88" i="10"/>
  <c r="I92" i="10"/>
  <c r="I93" i="10"/>
  <c r="H97" i="10"/>
  <c r="I97" i="10"/>
  <c r="H98" i="10"/>
  <c r="I98" i="10" s="1"/>
  <c r="H99" i="10"/>
  <c r="I99" i="10"/>
  <c r="I101" i="10"/>
  <c r="I102" i="10"/>
  <c r="I103" i="10"/>
  <c r="F108" i="10"/>
  <c r="I108" i="10"/>
  <c r="F109" i="10"/>
  <c r="I109" i="10"/>
  <c r="F110" i="10"/>
  <c r="I110" i="10" s="1"/>
  <c r="F111" i="10"/>
  <c r="I111" i="10" s="1"/>
  <c r="I112" i="10"/>
  <c r="F116" i="10"/>
  <c r="I116" i="10"/>
  <c r="I117" i="10"/>
  <c r="F118" i="10"/>
  <c r="I118" i="10"/>
  <c r="F119" i="10"/>
  <c r="I119" i="10"/>
  <c r="F121" i="10"/>
  <c r="I121" i="10" s="1"/>
  <c r="F122" i="10"/>
  <c r="I122" i="10" s="1"/>
  <c r="F123" i="10"/>
  <c r="I123" i="10" s="1"/>
  <c r="F124" i="10"/>
  <c r="I124" i="10" s="1"/>
  <c r="I125" i="10"/>
  <c r="F129" i="10"/>
  <c r="H129" i="10"/>
  <c r="I133" i="10"/>
  <c r="I134" i="10"/>
  <c r="I138" i="10"/>
  <c r="I139" i="10"/>
  <c r="F140" i="10"/>
  <c r="I140" i="10"/>
  <c r="I141" i="10"/>
  <c r="L142" i="10"/>
  <c r="I145" i="10"/>
  <c r="I146" i="10"/>
  <c r="I147" i="10"/>
  <c r="I148" i="10"/>
  <c r="F153" i="10"/>
  <c r="I153" i="10"/>
  <c r="F154" i="10"/>
  <c r="I154" i="10" s="1"/>
  <c r="F155" i="10"/>
  <c r="I155" i="10"/>
  <c r="I156" i="10"/>
  <c r="I158" i="10"/>
  <c r="I159" i="10"/>
  <c r="I160" i="10"/>
  <c r="I161" i="10"/>
  <c r="F162" i="10"/>
  <c r="I162" i="10"/>
  <c r="I163" i="10"/>
  <c r="F165" i="10"/>
  <c r="I165" i="10" s="1"/>
  <c r="F166" i="10"/>
  <c r="I166" i="10"/>
  <c r="I167" i="10"/>
  <c r="F168" i="10"/>
  <c r="I168" i="10" s="1"/>
  <c r="F170" i="10"/>
  <c r="I170" i="10"/>
  <c r="F171" i="10"/>
  <c r="I171" i="10"/>
  <c r="F172" i="10"/>
  <c r="I172" i="10" s="1"/>
  <c r="F173" i="10"/>
  <c r="I173" i="10" s="1"/>
  <c r="I174" i="10"/>
  <c r="I176" i="10"/>
  <c r="I177" i="10"/>
  <c r="I179" i="10"/>
  <c r="I180" i="10"/>
  <c r="F185" i="10"/>
  <c r="I185" i="10" s="1"/>
  <c r="N185" i="10"/>
  <c r="F186" i="10"/>
  <c r="I186" i="10" s="1"/>
  <c r="F188" i="10"/>
  <c r="I188" i="10" s="1"/>
  <c r="I200" i="10" s="1"/>
  <c r="F189" i="10"/>
  <c r="I189" i="10" s="1"/>
  <c r="F190" i="10"/>
  <c r="I190" i="10" s="1"/>
  <c r="F191" i="10"/>
  <c r="I191" i="10"/>
  <c r="P191" i="10"/>
  <c r="P192" i="10"/>
  <c r="I193" i="10"/>
  <c r="P193" i="10"/>
  <c r="I194" i="10"/>
  <c r="P194" i="10"/>
  <c r="P195" i="10"/>
  <c r="I196" i="10"/>
  <c r="P196" i="10"/>
  <c r="I198" i="10"/>
  <c r="I199" i="10"/>
  <c r="L201" i="10"/>
  <c r="I205" i="10"/>
  <c r="F206" i="10"/>
  <c r="I206" i="10"/>
  <c r="F207" i="10"/>
  <c r="I207" i="10" s="1"/>
  <c r="I208" i="10"/>
  <c r="I209" i="10"/>
  <c r="I210" i="10"/>
  <c r="I211" i="10"/>
  <c r="F212" i="10"/>
  <c r="I212" i="10" s="1"/>
  <c r="I213" i="10"/>
  <c r="F214" i="10"/>
  <c r="G214" i="10"/>
  <c r="I218" i="10"/>
  <c r="F219" i="10"/>
  <c r="I219" i="10" s="1"/>
  <c r="I227" i="10" s="1"/>
  <c r="F220" i="10"/>
  <c r="I220" i="10"/>
  <c r="I221" i="10"/>
  <c r="I222" i="10"/>
  <c r="I223" i="10"/>
  <c r="I224" i="10"/>
  <c r="F225" i="10"/>
  <c r="I225" i="10" s="1"/>
  <c r="I226" i="10"/>
  <c r="F228" i="10"/>
  <c r="G228" i="10"/>
  <c r="I229" i="10"/>
  <c r="I230" i="10"/>
  <c r="I231" i="10"/>
  <c r="I232" i="10"/>
  <c r="I233" i="10"/>
  <c r="I234" i="10"/>
  <c r="F250" i="10"/>
  <c r="I250" i="10"/>
  <c r="F251" i="10"/>
  <c r="I251" i="10"/>
  <c r="F252" i="10"/>
  <c r="I252" i="10" s="1"/>
  <c r="F253" i="10"/>
  <c r="I253" i="10" s="1"/>
  <c r="F254" i="10"/>
  <c r="I254" i="10" s="1"/>
  <c r="I265" i="10" s="1"/>
  <c r="I256" i="10"/>
  <c r="I257" i="10"/>
  <c r="I258" i="10"/>
  <c r="I259" i="10"/>
  <c r="F260" i="10"/>
  <c r="I260" i="10"/>
  <c r="I261" i="10"/>
  <c r="F263" i="10"/>
  <c r="I263" i="10" s="1"/>
  <c r="F264" i="10"/>
  <c r="I264" i="10"/>
  <c r="F269" i="10"/>
  <c r="I269" i="10"/>
  <c r="I277" i="10" s="1"/>
  <c r="I278" i="10" s="1"/>
  <c r="O278" i="10" s="1"/>
  <c r="F270" i="10"/>
  <c r="I270" i="10" s="1"/>
  <c r="F271" i="10"/>
  <c r="I271" i="10" s="1"/>
  <c r="I272" i="10"/>
  <c r="I274" i="10"/>
  <c r="I275" i="10"/>
  <c r="I276" i="10"/>
  <c r="N278" i="10"/>
  <c r="F282" i="10"/>
  <c r="I282" i="10" s="1"/>
  <c r="F283" i="10"/>
  <c r="I283" i="10" s="1"/>
  <c r="F284" i="10"/>
  <c r="I284" i="10"/>
  <c r="L285" i="10"/>
  <c r="N285" i="10"/>
  <c r="F288" i="10"/>
  <c r="H288" i="10"/>
  <c r="F289" i="10"/>
  <c r="I289" i="10" s="1"/>
  <c r="F290" i="10"/>
  <c r="I290" i="10" s="1"/>
  <c r="I291" i="10"/>
  <c r="L292" i="10"/>
  <c r="N292" i="10"/>
  <c r="F295" i="10"/>
  <c r="H295" i="10"/>
  <c r="L296" i="10"/>
  <c r="N296" i="10"/>
  <c r="F299" i="10"/>
  <c r="G299" i="10"/>
  <c r="F300" i="10"/>
  <c r="G300" i="10"/>
  <c r="F301" i="10"/>
  <c r="G301" i="10"/>
  <c r="I301" i="10" s="1"/>
  <c r="F302" i="10"/>
  <c r="G302" i="10"/>
  <c r="I303" i="10"/>
  <c r="F305" i="10"/>
  <c r="I305" i="10"/>
  <c r="F306" i="10"/>
  <c r="I306" i="10" s="1"/>
  <c r="I317" i="10" s="1"/>
  <c r="F307" i="10"/>
  <c r="I307" i="10" s="1"/>
  <c r="F308" i="10"/>
  <c r="I308" i="10" s="1"/>
  <c r="F309" i="10"/>
  <c r="I309" i="10" s="1"/>
  <c r="F310" i="10"/>
  <c r="I310" i="10"/>
  <c r="F311" i="10"/>
  <c r="I311" i="10"/>
  <c r="F312" i="10"/>
  <c r="I312" i="10" s="1"/>
  <c r="I313" i="10"/>
  <c r="I314" i="10"/>
  <c r="I315" i="10"/>
  <c r="I316" i="10"/>
  <c r="L317" i="10"/>
  <c r="N317" i="10"/>
  <c r="F320" i="10"/>
  <c r="I320" i="10"/>
  <c r="I321" i="10"/>
  <c r="I322" i="10"/>
  <c r="L323" i="10"/>
  <c r="N323" i="10"/>
  <c r="I326" i="10"/>
  <c r="I327" i="10" s="1"/>
  <c r="L327" i="10"/>
  <c r="N327" i="10"/>
  <c r="F330" i="10"/>
  <c r="I330" i="10" s="1"/>
  <c r="I331" i="10"/>
  <c r="L332" i="10"/>
  <c r="N332" i="10"/>
  <c r="F335" i="10"/>
  <c r="I335" i="10"/>
  <c r="F336" i="10"/>
  <c r="I336" i="10" s="1"/>
  <c r="F337" i="10"/>
  <c r="I337" i="10"/>
  <c r="I338" i="10"/>
  <c r="F339" i="10"/>
  <c r="I339" i="10" s="1"/>
  <c r="I340" i="10"/>
  <c r="I341" i="10"/>
  <c r="I342" i="10"/>
  <c r="L343" i="10"/>
  <c r="N343" i="10"/>
  <c r="F347" i="10"/>
  <c r="I347" i="10" s="1"/>
  <c r="F348" i="10"/>
  <c r="I348" i="10"/>
  <c r="F349" i="10"/>
  <c r="I349" i="10"/>
  <c r="F351" i="10"/>
  <c r="I351" i="10" s="1"/>
  <c r="F352" i="10"/>
  <c r="I352" i="10" s="1"/>
  <c r="L353" i="10"/>
  <c r="N353" i="10"/>
  <c r="L359" i="10"/>
  <c r="M359" i="10" s="1"/>
  <c r="L362" i="10"/>
  <c r="M362" i="10"/>
  <c r="L365" i="10"/>
  <c r="M365" i="10"/>
  <c r="I368" i="10"/>
  <c r="K368" i="10" s="1"/>
  <c r="P368" i="10"/>
  <c r="L369" i="10"/>
  <c r="M369" i="10"/>
  <c r="L371" i="10"/>
  <c r="M371" i="10"/>
  <c r="L373" i="10"/>
  <c r="M373" i="10" s="1"/>
  <c r="F375" i="10"/>
  <c r="I375" i="10" s="1"/>
  <c r="I376" i="10"/>
  <c r="K382" i="10"/>
  <c r="K385" i="10"/>
  <c r="I391" i="10"/>
  <c r="I394" i="10"/>
  <c r="I395" i="10"/>
  <c r="I396" i="10"/>
  <c r="I399" i="10"/>
  <c r="I400" i="10"/>
  <c r="I401" i="10"/>
  <c r="P403" i="10"/>
  <c r="F406" i="10"/>
  <c r="I406" i="10"/>
  <c r="F407" i="10"/>
  <c r="I407" i="10" s="1"/>
  <c r="F408" i="10"/>
  <c r="I408" i="10" s="1"/>
  <c r="I409" i="10"/>
  <c r="I411" i="10"/>
  <c r="I412" i="10"/>
  <c r="I413" i="10"/>
  <c r="I414" i="10"/>
  <c r="F415" i="10"/>
  <c r="I415" i="10" s="1"/>
  <c r="I416" i="10"/>
  <c r="I426" i="10" s="1"/>
  <c r="F418" i="10"/>
  <c r="I418" i="10" s="1"/>
  <c r="F419" i="10"/>
  <c r="I419" i="10" s="1"/>
  <c r="F420" i="10"/>
  <c r="I420" i="10"/>
  <c r="I421" i="10"/>
  <c r="I423" i="10"/>
  <c r="I424" i="10"/>
  <c r="I425" i="10"/>
  <c r="F430" i="10"/>
  <c r="I430" i="10"/>
  <c r="F431" i="10"/>
  <c r="I431" i="10" s="1"/>
  <c r="F433" i="10"/>
  <c r="I433" i="10" s="1"/>
  <c r="I435" i="10" s="1"/>
  <c r="M435" i="10" s="1"/>
  <c r="F434" i="10"/>
  <c r="I434" i="10"/>
  <c r="L435" i="10"/>
  <c r="I438" i="10"/>
  <c r="I439" i="10"/>
  <c r="I440" i="10"/>
  <c r="I441" i="10"/>
  <c r="I442" i="10"/>
  <c r="I462" i="10"/>
  <c r="K468" i="10"/>
  <c r="I481" i="10"/>
  <c r="K481" i="10" s="1"/>
  <c r="I484" i="10"/>
  <c r="K484" i="10"/>
  <c r="A524" i="10"/>
  <c r="A525" i="10" s="1"/>
  <c r="A526" i="10" s="1"/>
  <c r="O532" i="10"/>
  <c r="O533" i="10"/>
  <c r="O534" i="10"/>
  <c r="O535" i="10"/>
  <c r="K536" i="10"/>
  <c r="O536" i="10"/>
  <c r="B2" i="11"/>
  <c r="A14" i="11"/>
  <c r="A15" i="11"/>
  <c r="A16" i="11"/>
  <c r="A17" i="11" s="1"/>
  <c r="A18" i="11" s="1"/>
  <c r="A19" i="11" s="1"/>
  <c r="A20" i="11" s="1"/>
  <c r="A21" i="11" s="1"/>
  <c r="A22" i="11" s="1"/>
  <c r="A23" i="11" s="1"/>
  <c r="A26" i="11"/>
  <c r="A27" i="11" s="1"/>
  <c r="A28" i="11" s="1"/>
  <c r="A29" i="11" s="1"/>
  <c r="A30" i="11" s="1"/>
  <c r="A31" i="11" s="1"/>
  <c r="A32" i="11" s="1"/>
  <c r="A33" i="11" s="1"/>
  <c r="A34" i="11" s="1"/>
  <c r="A35" i="11"/>
  <c r="A36" i="11" s="1"/>
  <c r="A37" i="11" s="1"/>
  <c r="A38" i="11" s="1"/>
  <c r="A39" i="11" s="1"/>
  <c r="B45" i="11"/>
  <c r="D45" i="11"/>
  <c r="B46" i="11"/>
  <c r="D46" i="11"/>
  <c r="A2" i="12"/>
  <c r="B5" i="12"/>
  <c r="C5" i="12" s="1"/>
  <c r="F5" i="12"/>
  <c r="G5" i="12" s="1"/>
  <c r="H5" i="12" s="1"/>
  <c r="I5" i="12" s="1"/>
  <c r="J5" i="12" s="1"/>
  <c r="L5" i="12"/>
  <c r="M5" i="12"/>
  <c r="I8" i="12"/>
  <c r="I9" i="12"/>
  <c r="F10" i="12"/>
  <c r="I10" i="12"/>
  <c r="I11" i="12"/>
  <c r="I12" i="12"/>
  <c r="I13" i="12"/>
  <c r="I14" i="12"/>
  <c r="I15" i="12"/>
  <c r="F16" i="12"/>
  <c r="I16" i="12"/>
  <c r="I17" i="12"/>
  <c r="F18" i="12"/>
  <c r="I18" i="12" s="1"/>
  <c r="I19" i="12"/>
  <c r="I25" i="12"/>
  <c r="I26" i="12" s="1"/>
  <c r="M26" i="12" s="1"/>
  <c r="F29" i="12"/>
  <c r="G29" i="12"/>
  <c r="G30" i="12"/>
  <c r="I30" i="12" s="1"/>
  <c r="G31" i="12"/>
  <c r="I31" i="12"/>
  <c r="I32" i="12"/>
  <c r="G33" i="12"/>
  <c r="I33" i="12" s="1"/>
  <c r="F34" i="12"/>
  <c r="I34" i="12" s="1"/>
  <c r="F35" i="12"/>
  <c r="I35" i="12" s="1"/>
  <c r="I36" i="12"/>
  <c r="I37" i="12"/>
  <c r="I38" i="12"/>
  <c r="I39" i="12"/>
  <c r="F40" i="12"/>
  <c r="I40" i="12" s="1"/>
  <c r="I41" i="12"/>
  <c r="F42" i="12"/>
  <c r="I42" i="12"/>
  <c r="I43" i="12"/>
  <c r="F48" i="12"/>
  <c r="I48" i="12" s="1"/>
  <c r="F49" i="12"/>
  <c r="I49" i="12"/>
  <c r="I50" i="12"/>
  <c r="I51" i="12"/>
  <c r="I52" i="12"/>
  <c r="I53" i="12"/>
  <c r="F54" i="12"/>
  <c r="I54" i="12" s="1"/>
  <c r="I55" i="12"/>
  <c r="F57" i="12"/>
  <c r="I57" i="12"/>
  <c r="I65" i="12" s="1"/>
  <c r="F58" i="12"/>
  <c r="I58" i="12"/>
  <c r="I59" i="12"/>
  <c r="I60" i="12"/>
  <c r="I61" i="12"/>
  <c r="I62" i="12"/>
  <c r="F63" i="12"/>
  <c r="I63" i="12" s="1"/>
  <c r="I64" i="12"/>
  <c r="F67" i="12"/>
  <c r="I67" i="12" s="1"/>
  <c r="F68" i="12"/>
  <c r="I68" i="12" s="1"/>
  <c r="F69" i="12"/>
  <c r="I69" i="12"/>
  <c r="F70" i="12"/>
  <c r="I70" i="12"/>
  <c r="F71" i="12"/>
  <c r="I71" i="12" s="1"/>
  <c r="F72" i="12"/>
  <c r="I72" i="12" s="1"/>
  <c r="F73" i="12"/>
  <c r="I73" i="12" s="1"/>
  <c r="F74" i="12"/>
  <c r="I74" i="12" s="1"/>
  <c r="L76" i="12"/>
  <c r="N76" i="12"/>
  <c r="I79" i="12"/>
  <c r="I80" i="12"/>
  <c r="M80" i="12"/>
  <c r="H83" i="12"/>
  <c r="I83" i="12" s="1"/>
  <c r="I85" i="12"/>
  <c r="F90" i="12"/>
  <c r="I90" i="12" s="1"/>
  <c r="F91" i="12"/>
  <c r="I91" i="12" s="1"/>
  <c r="F95" i="12"/>
  <c r="I95" i="12"/>
  <c r="I96" i="12"/>
  <c r="F100" i="12"/>
  <c r="H100" i="12"/>
  <c r="I105" i="12"/>
  <c r="I106" i="12"/>
  <c r="I107" i="12"/>
  <c r="F111" i="12"/>
  <c r="I111" i="12" s="1"/>
  <c r="I112" i="12"/>
  <c r="L113" i="12"/>
  <c r="I116" i="12"/>
  <c r="I117" i="12"/>
  <c r="I118" i="12"/>
  <c r="F124" i="12"/>
  <c r="I124" i="12"/>
  <c r="F125" i="12"/>
  <c r="I125" i="12" s="1"/>
  <c r="F126" i="12"/>
  <c r="I126" i="12"/>
  <c r="I128" i="12"/>
  <c r="I129" i="12"/>
  <c r="I130" i="12"/>
  <c r="I131" i="12"/>
  <c r="F132" i="12"/>
  <c r="I132" i="12" s="1"/>
  <c r="I133" i="12"/>
  <c r="F135" i="12"/>
  <c r="I135" i="12"/>
  <c r="F136" i="12"/>
  <c r="I136" i="12" s="1"/>
  <c r="I137" i="12"/>
  <c r="I138" i="12"/>
  <c r="I141" i="12"/>
  <c r="I144" i="12"/>
  <c r="I145" i="12"/>
  <c r="F148" i="12"/>
  <c r="I148" i="12" s="1"/>
  <c r="F149" i="12"/>
  <c r="I149" i="12"/>
  <c r="F150" i="12"/>
  <c r="I150" i="12" s="1"/>
  <c r="F151" i="12"/>
  <c r="I151" i="12"/>
  <c r="I153" i="12"/>
  <c r="I154" i="12"/>
  <c r="I156" i="12"/>
  <c r="I157" i="12"/>
  <c r="I158" i="12"/>
  <c r="I160" i="12"/>
  <c r="I161" i="12"/>
  <c r="I162" i="12"/>
  <c r="L165" i="12"/>
  <c r="N165" i="12"/>
  <c r="I169" i="12"/>
  <c r="F170" i="12"/>
  <c r="I170" i="12" s="1"/>
  <c r="F171" i="12"/>
  <c r="I171" i="12" s="1"/>
  <c r="I172" i="12"/>
  <c r="I173" i="12"/>
  <c r="I174" i="12"/>
  <c r="I175" i="12"/>
  <c r="F176" i="12"/>
  <c r="I176" i="12"/>
  <c r="I177" i="12"/>
  <c r="F178" i="12"/>
  <c r="G178" i="12"/>
  <c r="I178" i="12" s="1"/>
  <c r="I179" i="12" s="1"/>
  <c r="I182" i="12"/>
  <c r="F183" i="12"/>
  <c r="I183" i="12"/>
  <c r="F184" i="12"/>
  <c r="I184" i="12"/>
  <c r="I185" i="12"/>
  <c r="I186" i="12"/>
  <c r="I187" i="12"/>
  <c r="I188" i="12"/>
  <c r="F189" i="12"/>
  <c r="I189" i="12" s="1"/>
  <c r="I190" i="12"/>
  <c r="F192" i="12"/>
  <c r="G192" i="12"/>
  <c r="I193" i="12"/>
  <c r="I194" i="12"/>
  <c r="I195" i="12"/>
  <c r="I196" i="12"/>
  <c r="I197" i="12"/>
  <c r="I198" i="12"/>
  <c r="F214" i="12"/>
  <c r="I214" i="12"/>
  <c r="F215" i="12"/>
  <c r="I215" i="12"/>
  <c r="F216" i="12"/>
  <c r="I216" i="12"/>
  <c r="I217" i="12"/>
  <c r="I218" i="12"/>
  <c r="I219" i="12"/>
  <c r="I221" i="12"/>
  <c r="I222" i="12"/>
  <c r="I223" i="12"/>
  <c r="I224" i="12"/>
  <c r="F225" i="12"/>
  <c r="I225" i="12" s="1"/>
  <c r="I226" i="12"/>
  <c r="F228" i="12"/>
  <c r="I228" i="12"/>
  <c r="F229" i="12"/>
  <c r="I229" i="12" s="1"/>
  <c r="F230" i="12"/>
  <c r="I230" i="12"/>
  <c r="I231" i="12"/>
  <c r="I233" i="12"/>
  <c r="I234" i="12"/>
  <c r="I235" i="12"/>
  <c r="N237" i="12"/>
  <c r="F241" i="12"/>
  <c r="I241" i="12" s="1"/>
  <c r="F242" i="12"/>
  <c r="I242" i="12"/>
  <c r="F244" i="12"/>
  <c r="I244" i="12"/>
  <c r="F245" i="12"/>
  <c r="I245" i="12" s="1"/>
  <c r="F737" i="15"/>
  <c r="G737" i="15" s="1"/>
  <c r="F738" i="15"/>
  <c r="G738" i="15" s="1"/>
  <c r="F739" i="15"/>
  <c r="G739" i="15" s="1"/>
  <c r="E740" i="15"/>
  <c r="D747" i="15"/>
  <c r="L246" i="12"/>
  <c r="N246" i="12"/>
  <c r="F249" i="12"/>
  <c r="H249" i="12"/>
  <c r="F250" i="12"/>
  <c r="I250" i="12" s="1"/>
  <c r="I251" i="12"/>
  <c r="L252" i="12"/>
  <c r="N252" i="12"/>
  <c r="F255" i="12"/>
  <c r="H255" i="12"/>
  <c r="L256" i="12"/>
  <c r="N256" i="12"/>
  <c r="F259" i="12"/>
  <c r="H259" i="12"/>
  <c r="F260" i="12"/>
  <c r="H260" i="12"/>
  <c r="F261" i="12"/>
  <c r="H261" i="12"/>
  <c r="F262" i="12"/>
  <c r="H262" i="12"/>
  <c r="F264" i="12"/>
  <c r="I264" i="12" s="1"/>
  <c r="F265" i="12"/>
  <c r="I265" i="12"/>
  <c r="F266" i="12"/>
  <c r="I266" i="12"/>
  <c r="F267" i="12"/>
  <c r="I267" i="12" s="1"/>
  <c r="F268" i="12"/>
  <c r="I268" i="12" s="1"/>
  <c r="F269" i="12"/>
  <c r="I269" i="12" s="1"/>
  <c r="F270" i="12"/>
  <c r="I270" i="12" s="1"/>
  <c r="F271" i="12"/>
  <c r="I271" i="12"/>
  <c r="I272" i="12"/>
  <c r="I273" i="12"/>
  <c r="I274" i="12"/>
  <c r="I275" i="12"/>
  <c r="L276" i="12"/>
  <c r="N276" i="12"/>
  <c r="F279" i="12"/>
  <c r="I279" i="12" s="1"/>
  <c r="I280" i="12"/>
  <c r="L281" i="12"/>
  <c r="N281" i="12"/>
  <c r="I284" i="12"/>
  <c r="I285" i="12" s="1"/>
  <c r="L285" i="12"/>
  <c r="N285" i="12"/>
  <c r="F288" i="12"/>
  <c r="I288" i="12" s="1"/>
  <c r="I289" i="12"/>
  <c r="L290" i="12"/>
  <c r="N290" i="12"/>
  <c r="F293" i="12"/>
  <c r="I293" i="12" s="1"/>
  <c r="F294" i="12"/>
  <c r="I294" i="12"/>
  <c r="I295" i="12"/>
  <c r="I296" i="12"/>
  <c r="L297" i="12"/>
  <c r="M297" i="12"/>
  <c r="N297" i="12"/>
  <c r="O297" i="12" s="1"/>
  <c r="F301" i="12"/>
  <c r="I301" i="12" s="1"/>
  <c r="F302" i="12"/>
  <c r="I302" i="12" s="1"/>
  <c r="F303" i="12"/>
  <c r="I303" i="12"/>
  <c r="F305" i="12"/>
  <c r="I305" i="12"/>
  <c r="F306" i="12"/>
  <c r="I306" i="12"/>
  <c r="L307" i="12"/>
  <c r="N307" i="12"/>
  <c r="L313" i="12"/>
  <c r="M313" i="12" s="1"/>
  <c r="L316" i="12"/>
  <c r="M316" i="12" s="1"/>
  <c r="L319" i="12"/>
  <c r="M319" i="12"/>
  <c r="I322" i="12"/>
  <c r="K322" i="12"/>
  <c r="L323" i="12"/>
  <c r="M323" i="12" s="1"/>
  <c r="L325" i="12"/>
  <c r="M325" i="12" s="1"/>
  <c r="L327" i="12"/>
  <c r="M327" i="12" s="1"/>
  <c r="F329" i="12"/>
  <c r="I329" i="12" s="1"/>
  <c r="I330" i="12"/>
  <c r="K339" i="12"/>
  <c r="B341" i="12"/>
  <c r="I344" i="12"/>
  <c r="I345" i="12"/>
  <c r="I347" i="12"/>
  <c r="I348" i="12"/>
  <c r="I349" i="12"/>
  <c r="I350" i="12"/>
  <c r="I351" i="12"/>
  <c r="I353" i="12"/>
  <c r="I354" i="12"/>
  <c r="I355" i="12"/>
  <c r="I356" i="12"/>
  <c r="I363" i="12"/>
  <c r="I366" i="12"/>
  <c r="I367" i="12"/>
  <c r="F372" i="12"/>
  <c r="I372" i="12" s="1"/>
  <c r="F373" i="12"/>
  <c r="I373" i="12"/>
  <c r="F374" i="12"/>
  <c r="I374" i="12"/>
  <c r="I375" i="12"/>
  <c r="I376" i="12"/>
  <c r="I377" i="12"/>
  <c r="I379" i="12"/>
  <c r="I380" i="12"/>
  <c r="I381" i="12"/>
  <c r="I382" i="12"/>
  <c r="F383" i="12"/>
  <c r="I383" i="12" s="1"/>
  <c r="I384" i="12"/>
  <c r="F386" i="12"/>
  <c r="I386" i="12"/>
  <c r="F387" i="12"/>
  <c r="I387" i="12"/>
  <c r="F388" i="12"/>
  <c r="I388" i="12" s="1"/>
  <c r="I389" i="12"/>
  <c r="I391" i="12"/>
  <c r="I392" i="12"/>
  <c r="I393" i="12"/>
  <c r="F398" i="12"/>
  <c r="I398" i="12"/>
  <c r="F399" i="12"/>
  <c r="I399" i="12"/>
  <c r="I403" i="12" s="1"/>
  <c r="F401" i="12"/>
  <c r="I401" i="12"/>
  <c r="F402" i="12"/>
  <c r="I402" i="12" s="1"/>
  <c r="L403" i="12"/>
  <c r="I406" i="12"/>
  <c r="I407" i="12"/>
  <c r="I408" i="12"/>
  <c r="I409" i="12"/>
  <c r="I410" i="12"/>
  <c r="I430" i="12"/>
  <c r="K436" i="12"/>
  <c r="I449" i="12"/>
  <c r="K449" i="12"/>
  <c r="I452" i="12"/>
  <c r="K452" i="12" s="1"/>
  <c r="A493" i="12"/>
  <c r="A494" i="12"/>
  <c r="A495" i="12" s="1"/>
  <c r="B500" i="12"/>
  <c r="F500" i="12"/>
  <c r="B501" i="12"/>
  <c r="F501" i="12"/>
  <c r="A2" i="13"/>
  <c r="B5" i="13"/>
  <c r="C5" i="13"/>
  <c r="F5" i="13"/>
  <c r="G5" i="13" s="1"/>
  <c r="H5" i="13" s="1"/>
  <c r="I5" i="13"/>
  <c r="J5" i="13"/>
  <c r="L5" i="13"/>
  <c r="M5" i="13" s="1"/>
  <c r="I8" i="13"/>
  <c r="F9" i="13"/>
  <c r="I9" i="13"/>
  <c r="F10" i="13"/>
  <c r="I10" i="13"/>
  <c r="I11" i="13"/>
  <c r="I12" i="13"/>
  <c r="I13" i="13"/>
  <c r="I14" i="13"/>
  <c r="I15" i="13"/>
  <c r="F16" i="13"/>
  <c r="I16" i="13" s="1"/>
  <c r="I17" i="13"/>
  <c r="F18" i="13"/>
  <c r="I18" i="13"/>
  <c r="I20" i="13" s="1"/>
  <c r="I21" i="13" s="1"/>
  <c r="I19" i="13"/>
  <c r="I24" i="13"/>
  <c r="I25" i="13"/>
  <c r="F28" i="13"/>
  <c r="G28" i="13"/>
  <c r="G29" i="13"/>
  <c r="I29" i="13" s="1"/>
  <c r="G30" i="13"/>
  <c r="I30" i="13" s="1"/>
  <c r="I31" i="13"/>
  <c r="G32" i="13"/>
  <c r="I32" i="13"/>
  <c r="F33" i="13"/>
  <c r="I33" i="13"/>
  <c r="F34" i="13"/>
  <c r="I34" i="13" s="1"/>
  <c r="I35" i="13"/>
  <c r="I36" i="13"/>
  <c r="I37" i="13"/>
  <c r="I38" i="13"/>
  <c r="F39" i="13"/>
  <c r="I39" i="13"/>
  <c r="I40" i="13"/>
  <c r="F41" i="13"/>
  <c r="I41" i="13" s="1"/>
  <c r="I42" i="13"/>
  <c r="F47" i="13"/>
  <c r="I47" i="13" s="1"/>
  <c r="F48" i="13"/>
  <c r="I48" i="13"/>
  <c r="I49" i="13"/>
  <c r="I50" i="13"/>
  <c r="I51" i="13"/>
  <c r="I52" i="13"/>
  <c r="F53" i="13"/>
  <c r="I53" i="13"/>
  <c r="I54" i="13"/>
  <c r="F56" i="13"/>
  <c r="I56" i="13"/>
  <c r="F57" i="13"/>
  <c r="I57" i="13"/>
  <c r="I58" i="13"/>
  <c r="I59" i="13"/>
  <c r="I60" i="13"/>
  <c r="I61" i="13"/>
  <c r="F62" i="13"/>
  <c r="I62" i="13" s="1"/>
  <c r="I63" i="13"/>
  <c r="F66" i="13"/>
  <c r="I66" i="13"/>
  <c r="F67" i="13"/>
  <c r="I67" i="13" s="1"/>
  <c r="F68" i="13"/>
  <c r="I68" i="13"/>
  <c r="F69" i="13"/>
  <c r="I69" i="13" s="1"/>
  <c r="I74" i="13" s="1"/>
  <c r="F70" i="13"/>
  <c r="I70" i="13"/>
  <c r="F71" i="13"/>
  <c r="I71" i="13"/>
  <c r="F72" i="13"/>
  <c r="I72" i="13"/>
  <c r="F73" i="13"/>
  <c r="I73" i="13" s="1"/>
  <c r="L75" i="13"/>
  <c r="I78" i="13"/>
  <c r="I79" i="13" s="1"/>
  <c r="H82" i="13"/>
  <c r="I82" i="13" s="1"/>
  <c r="I84" i="13"/>
  <c r="G85" i="13"/>
  <c r="F89" i="13"/>
  <c r="I89" i="13" s="1"/>
  <c r="F90" i="13"/>
  <c r="I90" i="13"/>
  <c r="F94" i="13"/>
  <c r="I94" i="13"/>
  <c r="F95" i="13"/>
  <c r="I95" i="13"/>
  <c r="I96" i="13"/>
  <c r="I97" i="13"/>
  <c r="F101" i="13"/>
  <c r="I101" i="13" s="1"/>
  <c r="I102" i="13" s="1"/>
  <c r="M102" i="13" s="1"/>
  <c r="H101" i="13"/>
  <c r="I106" i="13"/>
  <c r="I107" i="13"/>
  <c r="I108" i="13"/>
  <c r="F112" i="13"/>
  <c r="I112" i="13" s="1"/>
  <c r="I113" i="13"/>
  <c r="L114" i="13"/>
  <c r="I117" i="13"/>
  <c r="I118" i="13"/>
  <c r="I119" i="13"/>
  <c r="F125" i="13"/>
  <c r="I125" i="13" s="1"/>
  <c r="F126" i="13"/>
  <c r="I126" i="13" s="1"/>
  <c r="F127" i="13"/>
  <c r="I127" i="13"/>
  <c r="I129" i="13"/>
  <c r="I130" i="13"/>
  <c r="I131" i="13"/>
  <c r="I132" i="13"/>
  <c r="F133" i="13"/>
  <c r="I133" i="13" s="1"/>
  <c r="I134" i="13"/>
  <c r="F136" i="13"/>
  <c r="I136" i="13"/>
  <c r="F137" i="13"/>
  <c r="I137" i="13"/>
  <c r="I138" i="13"/>
  <c r="I139" i="13"/>
  <c r="I142" i="13"/>
  <c r="I145" i="13"/>
  <c r="I146" i="13"/>
  <c r="F149" i="13"/>
  <c r="I149" i="13" s="1"/>
  <c r="F150" i="13"/>
  <c r="I150" i="13" s="1"/>
  <c r="F151" i="13"/>
  <c r="I151" i="13" s="1"/>
  <c r="F152" i="13"/>
  <c r="I152" i="13"/>
  <c r="I154" i="13"/>
  <c r="I155" i="13"/>
  <c r="I157" i="13"/>
  <c r="I158" i="13"/>
  <c r="I159" i="13"/>
  <c r="I161" i="13"/>
  <c r="I162" i="13"/>
  <c r="I163" i="13"/>
  <c r="L166" i="13"/>
  <c r="I170" i="13"/>
  <c r="F171" i="13"/>
  <c r="I171" i="13"/>
  <c r="F172" i="13"/>
  <c r="I172" i="13"/>
  <c r="I173" i="13"/>
  <c r="I174" i="13"/>
  <c r="I175" i="13"/>
  <c r="I176" i="13"/>
  <c r="F177" i="13"/>
  <c r="I177" i="13" s="1"/>
  <c r="I178" i="13"/>
  <c r="F179" i="13"/>
  <c r="G179" i="13"/>
  <c r="I183" i="13"/>
  <c r="F184" i="13"/>
  <c r="I184" i="13"/>
  <c r="F185" i="13"/>
  <c r="I185" i="13" s="1"/>
  <c r="I192" i="13" s="1"/>
  <c r="I200" i="13" s="1"/>
  <c r="F209" i="13" s="1"/>
  <c r="I186" i="13"/>
  <c r="I187" i="13"/>
  <c r="I188" i="13"/>
  <c r="I189" i="13"/>
  <c r="F190" i="13"/>
  <c r="I190" i="13" s="1"/>
  <c r="I191" i="13"/>
  <c r="F193" i="13"/>
  <c r="G193" i="13"/>
  <c r="I194" i="13"/>
  <c r="I195" i="13"/>
  <c r="I196" i="13"/>
  <c r="I197" i="13"/>
  <c r="I198" i="13"/>
  <c r="I199" i="13"/>
  <c r="F215" i="13"/>
  <c r="I215" i="13"/>
  <c r="F216" i="13"/>
  <c r="I216" i="13"/>
  <c r="F217" i="13"/>
  <c r="I217" i="13" s="1"/>
  <c r="I218" i="13"/>
  <c r="I219" i="13"/>
  <c r="I220" i="13"/>
  <c r="I222" i="13"/>
  <c r="I223" i="13"/>
  <c r="I224" i="13"/>
  <c r="I225" i="13"/>
  <c r="F226" i="13"/>
  <c r="I226" i="13" s="1"/>
  <c r="I227" i="13"/>
  <c r="F229" i="13"/>
  <c r="I229" i="13" s="1"/>
  <c r="F230" i="13"/>
  <c r="I230" i="13"/>
  <c r="F231" i="13"/>
  <c r="I231" i="13" s="1"/>
  <c r="I232" i="13"/>
  <c r="I234" i="13"/>
  <c r="I235" i="13"/>
  <c r="I236" i="13"/>
  <c r="F242" i="13"/>
  <c r="I242" i="13"/>
  <c r="F243" i="13"/>
  <c r="I243" i="13" s="1"/>
  <c r="F245" i="13"/>
  <c r="I245" i="13"/>
  <c r="F246" i="13"/>
  <c r="I246" i="13" s="1"/>
  <c r="L247" i="13"/>
  <c r="F250" i="13"/>
  <c r="H250" i="13"/>
  <c r="F251" i="13"/>
  <c r="I251" i="13" s="1"/>
  <c r="I252" i="13"/>
  <c r="L253" i="13"/>
  <c r="F256" i="13"/>
  <c r="H256" i="13"/>
  <c r="L257" i="13"/>
  <c r="F260" i="13"/>
  <c r="H260" i="13"/>
  <c r="F261" i="13"/>
  <c r="H261" i="13"/>
  <c r="F262" i="13"/>
  <c r="H262" i="13"/>
  <c r="F263" i="13"/>
  <c r="H263" i="13"/>
  <c r="F265" i="13"/>
  <c r="I265" i="13" s="1"/>
  <c r="F266" i="13"/>
  <c r="I266" i="13"/>
  <c r="F267" i="13"/>
  <c r="I267" i="13" s="1"/>
  <c r="F268" i="13"/>
  <c r="I268" i="13"/>
  <c r="F269" i="13"/>
  <c r="I269" i="13"/>
  <c r="F270" i="13"/>
  <c r="I270" i="13"/>
  <c r="F271" i="13"/>
  <c r="I271" i="13" s="1"/>
  <c r="F272" i="13"/>
  <c r="I272" i="13"/>
  <c r="I273" i="13"/>
  <c r="I274" i="13"/>
  <c r="I275" i="13"/>
  <c r="I276" i="13"/>
  <c r="L277" i="13"/>
  <c r="F280" i="13"/>
  <c r="I280" i="13" s="1"/>
  <c r="I281" i="13"/>
  <c r="L282" i="13"/>
  <c r="I285" i="13"/>
  <c r="I286" i="13"/>
  <c r="L286" i="13"/>
  <c r="F289" i="13"/>
  <c r="I289" i="13" s="1"/>
  <c r="I290" i="13"/>
  <c r="L291" i="13"/>
  <c r="F294" i="13"/>
  <c r="I294" i="13"/>
  <c r="F295" i="13"/>
  <c r="I295" i="13"/>
  <c r="I296" i="13"/>
  <c r="I297" i="13"/>
  <c r="L298" i="13"/>
  <c r="F302" i="13"/>
  <c r="I302" i="13"/>
  <c r="F303" i="13"/>
  <c r="I303" i="13" s="1"/>
  <c r="F304" i="13"/>
  <c r="I304" i="13" s="1"/>
  <c r="F306" i="13"/>
  <c r="I306" i="13" s="1"/>
  <c r="F307" i="13"/>
  <c r="I307" i="13"/>
  <c r="L308" i="13"/>
  <c r="L314" i="13"/>
  <c r="M314" i="13"/>
  <c r="L317" i="13"/>
  <c r="M317" i="13" s="1"/>
  <c r="L320" i="13"/>
  <c r="M320" i="13"/>
  <c r="I323" i="13"/>
  <c r="K323" i="13"/>
  <c r="N323" i="13"/>
  <c r="P323" i="13"/>
  <c r="L324" i="13"/>
  <c r="M324" i="13" s="1"/>
  <c r="O324" i="13"/>
  <c r="L326" i="13"/>
  <c r="M326" i="13" s="1"/>
  <c r="L328" i="13"/>
  <c r="M328" i="13" s="1"/>
  <c r="F330" i="13"/>
  <c r="I330" i="13" s="1"/>
  <c r="I331" i="13"/>
  <c r="I341" i="13"/>
  <c r="I342" i="13"/>
  <c r="I343" i="13"/>
  <c r="I344" i="13" s="1"/>
  <c r="K344" i="13" s="1"/>
  <c r="N344" i="13"/>
  <c r="F352" i="13"/>
  <c r="I352" i="13" s="1"/>
  <c r="F353" i="13"/>
  <c r="I353" i="13"/>
  <c r="F354" i="13"/>
  <c r="I354" i="13"/>
  <c r="I355" i="13"/>
  <c r="I356" i="13"/>
  <c r="I357" i="13"/>
  <c r="I359" i="13"/>
  <c r="I360" i="13"/>
  <c r="I361" i="13"/>
  <c r="I362" i="13"/>
  <c r="F363" i="13"/>
  <c r="I363" i="13" s="1"/>
  <c r="I364" i="13"/>
  <c r="F366" i="13"/>
  <c r="I366" i="13"/>
  <c r="F367" i="13"/>
  <c r="I367" i="13"/>
  <c r="F368" i="13"/>
  <c r="I368" i="13" s="1"/>
  <c r="I369" i="13"/>
  <c r="I371" i="13"/>
  <c r="I372" i="13"/>
  <c r="I373" i="13"/>
  <c r="F378" i="13"/>
  <c r="I378" i="13"/>
  <c r="F379" i="13"/>
  <c r="I379" i="13"/>
  <c r="F381" i="13"/>
  <c r="I381" i="13"/>
  <c r="F382" i="13"/>
  <c r="I382" i="13" s="1"/>
  <c r="L383" i="13"/>
  <c r="I386" i="13"/>
  <c r="I387" i="13"/>
  <c r="I388" i="13"/>
  <c r="I389" i="13"/>
  <c r="I390" i="13"/>
  <c r="I410" i="13"/>
  <c r="K416" i="13"/>
  <c r="J426" i="13"/>
  <c r="K426" i="13" s="1"/>
  <c r="I429" i="13"/>
  <c r="K429" i="13" s="1"/>
  <c r="I432" i="13"/>
  <c r="K432" i="13"/>
  <c r="A472" i="13"/>
  <c r="A473" i="13" s="1"/>
  <c r="A474" i="13" s="1"/>
  <c r="B479" i="13"/>
  <c r="F479" i="13"/>
  <c r="B480" i="13"/>
  <c r="F480" i="13"/>
  <c r="B6" i="14"/>
  <c r="C6" i="14" s="1"/>
  <c r="D6" i="14" s="1"/>
  <c r="E6" i="14" s="1"/>
  <c r="F6" i="14" s="1"/>
  <c r="G6" i="14" s="1"/>
  <c r="H6" i="14" s="1"/>
  <c r="I6" i="14" s="1"/>
  <c r="J6" i="14" s="1"/>
  <c r="K6" i="14" s="1"/>
  <c r="L6" i="14" s="1"/>
  <c r="A9" i="14"/>
  <c r="A10" i="14" s="1"/>
  <c r="A11" i="14" s="1"/>
  <c r="A12" i="14" s="1"/>
  <c r="A13" i="14" s="1"/>
  <c r="C11" i="14"/>
  <c r="A18" i="14"/>
  <c r="A19" i="14" s="1"/>
  <c r="A20" i="14" s="1"/>
  <c r="A21" i="14" s="1"/>
  <c r="A22" i="14" s="1"/>
  <c r="A23" i="14" s="1"/>
  <c r="A24" i="14" s="1"/>
  <c r="A25" i="14" s="1"/>
  <c r="A26" i="14" s="1"/>
  <c r="A27" i="14" s="1"/>
  <c r="A28" i="14" s="1"/>
  <c r="A29" i="14" s="1"/>
  <c r="A30" i="14" s="1"/>
  <c r="A31" i="14" s="1"/>
  <c r="A32" i="14" s="1"/>
  <c r="A33" i="14" s="1"/>
  <c r="A34" i="14" s="1"/>
  <c r="A35" i="14" s="1"/>
  <c r="A36" i="14" s="1"/>
  <c r="A2" i="15"/>
  <c r="A16" i="59" s="1"/>
  <c r="G9" i="15"/>
  <c r="E11" i="15"/>
  <c r="F13" i="15"/>
  <c r="F20" i="15"/>
  <c r="G20" i="15" s="1"/>
  <c r="E21" i="15"/>
  <c r="G23" i="15"/>
  <c r="I23" i="15"/>
  <c r="J23" i="15"/>
  <c r="G24" i="15"/>
  <c r="F26" i="15"/>
  <c r="E34" i="15"/>
  <c r="G36" i="15"/>
  <c r="F38" i="15"/>
  <c r="F39" i="15"/>
  <c r="G39" i="15" s="1"/>
  <c r="F75" i="15"/>
  <c r="G75" i="15" s="1"/>
  <c r="F76" i="15" s="1"/>
  <c r="E76" i="15"/>
  <c r="F85" i="15"/>
  <c r="G85" i="15" s="1"/>
  <c r="F86" i="15" s="1"/>
  <c r="E86" i="15"/>
  <c r="E136" i="15"/>
  <c r="F155" i="15"/>
  <c r="G155" i="15" s="1"/>
  <c r="F156" i="15"/>
  <c r="G156" i="15" s="1"/>
  <c r="F175" i="15"/>
  <c r="G175" i="15" s="1"/>
  <c r="F176" i="15"/>
  <c r="G176" i="15" s="1"/>
  <c r="F188" i="15"/>
  <c r="G188" i="15" s="1"/>
  <c r="F189" i="15"/>
  <c r="G189" i="15" s="1"/>
  <c r="E190" i="15"/>
  <c r="F192" i="15"/>
  <c r="F194" i="15"/>
  <c r="G194" i="15" s="1"/>
  <c r="F195" i="15"/>
  <c r="G195" i="15" s="1"/>
  <c r="F213" i="15"/>
  <c r="G213" i="15" s="1"/>
  <c r="F214" i="15"/>
  <c r="G214" i="15" s="1"/>
  <c r="F225" i="15"/>
  <c r="G225" i="15" s="1"/>
  <c r="F226" i="15"/>
  <c r="G226" i="15" s="1"/>
  <c r="E227" i="15"/>
  <c r="F229" i="15"/>
  <c r="F231" i="15"/>
  <c r="G231" i="15" s="1"/>
  <c r="F232" i="15"/>
  <c r="G232" i="15" s="1"/>
  <c r="F243" i="15"/>
  <c r="G243" i="15" s="1"/>
  <c r="F244" i="15"/>
  <c r="G244" i="15" s="1"/>
  <c r="E245" i="15"/>
  <c r="F247" i="15"/>
  <c r="F249" i="15"/>
  <c r="G249" i="15" s="1"/>
  <c r="F250" i="15"/>
  <c r="G250" i="15" s="1"/>
  <c r="F264" i="15"/>
  <c r="G264" i="15" s="1"/>
  <c r="F272" i="15"/>
  <c r="G272" i="15" s="1"/>
  <c r="F273" i="15"/>
  <c r="G273" i="15" s="1"/>
  <c r="E274" i="15"/>
  <c r="F276" i="15"/>
  <c r="F278" i="15"/>
  <c r="G278" i="15" s="1"/>
  <c r="F283" i="15"/>
  <c r="G283" i="15" s="1"/>
  <c r="F286" i="15"/>
  <c r="G286" i="15" s="1"/>
  <c r="F287" i="15"/>
  <c r="G287" i="15" s="1"/>
  <c r="E288" i="15"/>
  <c r="F290" i="15"/>
  <c r="F292" i="15"/>
  <c r="G292" i="15" s="1"/>
  <c r="F319" i="15"/>
  <c r="G319" i="15" s="1"/>
  <c r="F320" i="15"/>
  <c r="G320" i="15" s="1"/>
  <c r="E326" i="15"/>
  <c r="F326" i="15"/>
  <c r="F328" i="15"/>
  <c r="F330" i="15"/>
  <c r="G330" i="15" s="1"/>
  <c r="F331" i="15"/>
  <c r="G331" i="15" s="1"/>
  <c r="F341" i="15"/>
  <c r="G341" i="15" s="1"/>
  <c r="F342" i="15"/>
  <c r="G342" i="15" s="1"/>
  <c r="G370" i="15"/>
  <c r="E373" i="15"/>
  <c r="F373" i="15"/>
  <c r="G373" i="15"/>
  <c r="E374" i="15"/>
  <c r="F374" i="15"/>
  <c r="G374" i="15"/>
  <c r="G386" i="15"/>
  <c r="E389" i="15"/>
  <c r="F389" i="15"/>
  <c r="G389" i="15"/>
  <c r="E390" i="15"/>
  <c r="F390" i="15"/>
  <c r="G390" i="15"/>
  <c r="J412" i="15"/>
  <c r="K412" i="15" s="1"/>
  <c r="J413" i="15"/>
  <c r="G417" i="15"/>
  <c r="E420" i="15"/>
  <c r="F420" i="15"/>
  <c r="G420" i="15"/>
  <c r="E421" i="15"/>
  <c r="F421" i="15"/>
  <c r="G421" i="15"/>
  <c r="E428" i="15"/>
  <c r="F428" i="15"/>
  <c r="G433" i="15"/>
  <c r="D434" i="15"/>
  <c r="D436" i="15"/>
  <c r="G436" i="15" s="1"/>
  <c r="D437" i="15"/>
  <c r="G437" i="15" s="1"/>
  <c r="F444" i="15"/>
  <c r="D450" i="15"/>
  <c r="D452" i="15"/>
  <c r="G452" i="15" s="1"/>
  <c r="D453" i="15"/>
  <c r="G453" i="15" s="1"/>
  <c r="E476" i="15"/>
  <c r="F476" i="15"/>
  <c r="G481" i="15"/>
  <c r="D482" i="15"/>
  <c r="D484" i="15"/>
  <c r="E484" i="15" s="1"/>
  <c r="D485" i="15"/>
  <c r="E485" i="15" s="1"/>
  <c r="H488" i="15"/>
  <c r="D501" i="15"/>
  <c r="E501" i="15" s="1"/>
  <c r="D502" i="15"/>
  <c r="E502" i="15" s="1"/>
  <c r="J533" i="15"/>
  <c r="K533" i="15" s="1"/>
  <c r="F537" i="15"/>
  <c r="G537" i="15" s="1"/>
  <c r="F538" i="15"/>
  <c r="G538" i="15" s="1"/>
  <c r="F592" i="15"/>
  <c r="G592" i="15" s="1"/>
  <c r="F593" i="15"/>
  <c r="G593" i="15" s="1"/>
  <c r="F594" i="15"/>
  <c r="G594" i="15" s="1"/>
  <c r="E595" i="15"/>
  <c r="F599" i="15"/>
  <c r="G599" i="15" s="1"/>
  <c r="D606" i="15"/>
  <c r="J607" i="15"/>
  <c r="D608" i="15"/>
  <c r="E610" i="15"/>
  <c r="F610" i="15"/>
  <c r="G610" i="15"/>
  <c r="E611" i="15"/>
  <c r="F611" i="15"/>
  <c r="G611" i="15"/>
  <c r="F627" i="15"/>
  <c r="G627" i="15" s="1"/>
  <c r="F628" i="15"/>
  <c r="G628" i="15"/>
  <c r="E633" i="15"/>
  <c r="F633" i="15"/>
  <c r="G633" i="15"/>
  <c r="E634" i="15"/>
  <c r="F634" i="15"/>
  <c r="G634" i="15"/>
  <c r="F647" i="15"/>
  <c r="G647" i="15" s="1"/>
  <c r="F648" i="15"/>
  <c r="G648" i="15"/>
  <c r="G650" i="15" s="1"/>
  <c r="G677" i="15"/>
  <c r="E680" i="15"/>
  <c r="F680" i="15"/>
  <c r="G680" i="15"/>
  <c r="J686" i="15"/>
  <c r="G699" i="15"/>
  <c r="G700" i="15"/>
  <c r="G702" i="15" s="1"/>
  <c r="F705" i="15"/>
  <c r="G705" i="15"/>
  <c r="G711" i="15"/>
  <c r="H712" i="15"/>
  <c r="F713" i="15"/>
  <c r="G713" i="15" s="1"/>
  <c r="H714" i="15"/>
  <c r="F717" i="15"/>
  <c r="G717" i="15" s="1"/>
  <c r="F718" i="15"/>
  <c r="G718" i="15" s="1"/>
  <c r="F719" i="15"/>
  <c r="G719" i="15" s="1"/>
  <c r="E720" i="15"/>
  <c r="F724" i="15"/>
  <c r="E726" i="15"/>
  <c r="F726" i="15"/>
  <c r="E749" i="15"/>
  <c r="F749" i="15"/>
  <c r="G749" i="15"/>
  <c r="D750" i="15"/>
  <c r="F750" i="15" s="1"/>
  <c r="F757" i="15"/>
  <c r="G757" i="15" s="1"/>
  <c r="F762" i="15"/>
  <c r="G762" i="15" s="1"/>
  <c r="F763" i="15"/>
  <c r="G763" i="15" s="1"/>
  <c r="F764" i="15"/>
  <c r="G764" i="15" s="1"/>
  <c r="E765" i="15"/>
  <c r="F768" i="15"/>
  <c r="E770" i="15"/>
  <c r="F770" i="15"/>
  <c r="E771" i="15"/>
  <c r="F771" i="15"/>
  <c r="E790" i="15"/>
  <c r="F790" i="15"/>
  <c r="E807" i="15"/>
  <c r="F807" i="15"/>
  <c r="F845" i="15"/>
  <c r="G845" i="15" s="1"/>
  <c r="E846" i="15"/>
  <c r="F846" i="15"/>
  <c r="F866" i="15"/>
  <c r="G866" i="15"/>
  <c r="G871" i="15"/>
  <c r="F874" i="15"/>
  <c r="G874" i="15" s="1"/>
  <c r="E876" i="15"/>
  <c r="F879" i="15"/>
  <c r="K886" i="15"/>
  <c r="L886" i="15" s="1"/>
  <c r="G896" i="15"/>
  <c r="F898" i="15"/>
  <c r="G898" i="15" s="1"/>
  <c r="F899" i="15" s="1"/>
  <c r="E899" i="15"/>
  <c r="F902" i="15"/>
  <c r="G905" i="15"/>
  <c r="F906" i="15"/>
  <c r="G906" i="15" s="1"/>
  <c r="F907" i="15"/>
  <c r="G907" i="15" s="1"/>
  <c r="G908" i="15"/>
  <c r="F911" i="15"/>
  <c r="G911" i="15" s="1"/>
  <c r="E912" i="15"/>
  <c r="F914" i="15"/>
  <c r="L918" i="15"/>
  <c r="L919" i="15"/>
  <c r="J921" i="15"/>
  <c r="L922" i="15"/>
  <c r="G929" i="15"/>
  <c r="F931" i="15"/>
  <c r="G931" i="15" s="1"/>
  <c r="F932" i="15" s="1"/>
  <c r="E932" i="15"/>
  <c r="F935" i="15"/>
  <c r="J943" i="15"/>
  <c r="F945" i="15"/>
  <c r="G945" i="15" s="1"/>
  <c r="F946" i="15"/>
  <c r="G946" i="15" s="1"/>
  <c r="F947" i="15"/>
  <c r="G947" i="15" s="1"/>
  <c r="E948" i="15"/>
  <c r="F952" i="15"/>
  <c r="G952" i="15" s="1"/>
  <c r="F953" i="15"/>
  <c r="G953" i="15"/>
  <c r="D954" i="15"/>
  <c r="E954" i="15" s="1"/>
  <c r="D956" i="15"/>
  <c r="E958" i="15"/>
  <c r="F958" i="15"/>
  <c r="G958" i="15"/>
  <c r="E959" i="15"/>
  <c r="F959" i="15"/>
  <c r="G959" i="15"/>
  <c r="G989" i="15"/>
  <c r="F991" i="15"/>
  <c r="G991" i="15" s="1"/>
  <c r="F992" i="15"/>
  <c r="G992" i="15" s="1"/>
  <c r="E993" i="15"/>
  <c r="F995" i="15"/>
  <c r="G1002" i="15"/>
  <c r="F1004" i="15"/>
  <c r="G1004" i="15" s="1"/>
  <c r="F1005" i="15"/>
  <c r="G1005" i="15" s="1"/>
  <c r="F1006" i="15"/>
  <c r="G1006" i="15" s="1"/>
  <c r="E1007" i="15"/>
  <c r="F1009" i="15"/>
  <c r="F1015" i="15"/>
  <c r="G1015" i="15" s="1"/>
  <c r="F1016" i="15"/>
  <c r="G1016" i="15" s="1"/>
  <c r="E1017" i="15"/>
  <c r="F1019" i="15"/>
  <c r="E1023" i="15"/>
  <c r="F1023" i="15"/>
  <c r="F1035" i="15"/>
  <c r="G1035" i="15" s="1"/>
  <c r="F1036" i="15"/>
  <c r="G1036" i="15" s="1"/>
  <c r="E1037" i="15"/>
  <c r="F1040" i="15"/>
  <c r="F1042" i="15"/>
  <c r="G1042" i="15" s="1"/>
  <c r="F1043" i="15"/>
  <c r="G1043" i="15" s="1"/>
  <c r="G1058" i="15"/>
  <c r="F1059" i="15"/>
  <c r="G1059" i="15" s="1"/>
  <c r="F1060" i="15"/>
  <c r="G1060" i="15" s="1"/>
  <c r="G1061" i="15"/>
  <c r="F1062" i="15"/>
  <c r="G1062" i="15" s="1"/>
  <c r="F1063" i="15"/>
  <c r="G1063" i="15" s="1"/>
  <c r="E1064" i="15"/>
  <c r="E1066" i="15"/>
  <c r="E1070" i="15"/>
  <c r="F1070" i="15"/>
  <c r="G1075" i="15"/>
  <c r="G1076" i="15"/>
  <c r="F1077" i="15"/>
  <c r="G1077" i="15" s="1"/>
  <c r="F1078" i="15"/>
  <c r="G1078" i="15" s="1"/>
  <c r="F1079" i="15"/>
  <c r="G1079" i="15" s="1"/>
  <c r="F1080" i="15"/>
  <c r="G1080" i="15" s="1"/>
  <c r="F1083" i="15"/>
  <c r="G1083" i="15" s="1"/>
  <c r="G1086" i="15"/>
  <c r="G1087" i="15"/>
  <c r="E1090" i="15"/>
  <c r="G1096" i="15"/>
  <c r="G1097" i="15"/>
  <c r="G1098" i="15"/>
  <c r="G1099" i="15"/>
  <c r="G1100" i="15"/>
  <c r="G1101" i="15"/>
  <c r="G1102" i="15"/>
  <c r="G1103" i="15"/>
  <c r="G1104" i="15"/>
  <c r="F1105" i="15"/>
  <c r="G1105" i="15" s="1"/>
  <c r="F1106" i="15"/>
  <c r="G1106" i="15" s="1"/>
  <c r="F1107" i="15"/>
  <c r="G1107" i="15" s="1"/>
  <c r="F1108" i="15"/>
  <c r="G1108" i="15" s="1"/>
  <c r="G1109" i="15"/>
  <c r="G1110" i="15"/>
  <c r="F1111" i="15"/>
  <c r="G1111" i="15" s="1"/>
  <c r="E1118" i="15"/>
  <c r="G1123" i="15"/>
  <c r="G1124" i="15"/>
  <c r="F1125" i="15"/>
  <c r="G1125" i="15" s="1"/>
  <c r="F1126" i="15"/>
  <c r="G1126" i="15" s="1"/>
  <c r="F1127" i="15"/>
  <c r="G1127" i="15" s="1"/>
  <c r="E1128" i="15"/>
  <c r="E1130" i="15"/>
  <c r="F1136" i="15"/>
  <c r="G1136" i="15" s="1"/>
  <c r="F1138" i="15"/>
  <c r="G1138" i="15" s="1"/>
  <c r="F1139" i="15"/>
  <c r="G1139" i="15" s="1"/>
  <c r="F1142" i="15"/>
  <c r="G1142" i="15" s="1"/>
  <c r="F1143" i="15"/>
  <c r="G1143" i="15" s="1"/>
  <c r="F1144" i="15"/>
  <c r="G1144" i="15" s="1"/>
  <c r="E1146" i="15"/>
  <c r="G1177" i="15"/>
  <c r="F1179" i="15"/>
  <c r="G1179" i="15" s="1"/>
  <c r="F1180" i="15"/>
  <c r="G1180" i="15" s="1"/>
  <c r="G1183" i="15"/>
  <c r="F1185" i="15"/>
  <c r="G1185" i="15" s="1"/>
  <c r="F1186" i="15"/>
  <c r="G1186" i="15" s="1"/>
  <c r="F1187" i="15"/>
  <c r="G1187" i="15" s="1"/>
  <c r="E1189" i="15"/>
  <c r="F1198" i="15"/>
  <c r="G1198" i="15" s="1"/>
  <c r="F1199" i="15"/>
  <c r="G1199" i="15" s="1"/>
  <c r="E1200" i="15"/>
  <c r="G1201" i="15"/>
  <c r="E1202" i="15"/>
  <c r="G1204" i="15"/>
  <c r="G1205" i="15"/>
  <c r="E1206" i="15"/>
  <c r="G1214" i="15"/>
  <c r="F1216" i="15"/>
  <c r="G1216" i="15" s="1"/>
  <c r="E1218" i="15"/>
  <c r="G1219" i="15"/>
  <c r="G1220" i="15"/>
  <c r="F1221" i="15"/>
  <c r="G1221" i="15" s="1"/>
  <c r="F1222" i="15" s="1"/>
  <c r="E1222" i="15"/>
  <c r="G1223" i="15"/>
  <c r="F1225" i="15"/>
  <c r="G1230" i="15"/>
  <c r="F1231" i="15"/>
  <c r="G1231" i="15" s="1"/>
  <c r="F1232" i="15"/>
  <c r="G1232" i="15" s="1"/>
  <c r="G1233" i="15"/>
  <c r="F1235" i="15"/>
  <c r="G1235" i="15" s="1"/>
  <c r="F1236" i="15"/>
  <c r="G1236" i="15" s="1"/>
  <c r="E1237" i="15"/>
  <c r="F1239" i="15"/>
  <c r="G1245" i="15"/>
  <c r="G1248" i="15"/>
  <c r="G1249" i="15"/>
  <c r="G1250" i="15"/>
  <c r="G1284" i="15"/>
  <c r="G1289" i="15"/>
  <c r="G1290" i="15"/>
  <c r="G1291" i="15"/>
  <c r="E1300" i="15"/>
  <c r="E1301" i="15"/>
  <c r="G1303" i="15"/>
  <c r="F1312" i="15"/>
  <c r="G1312" i="15" s="1"/>
  <c r="F1313" i="15"/>
  <c r="G1313" i="15" s="1"/>
  <c r="E1314" i="15"/>
  <c r="I1320" i="15"/>
  <c r="J1320" i="15"/>
  <c r="F1343" i="15"/>
  <c r="G1343" i="15" s="1"/>
  <c r="F1344" i="15"/>
  <c r="G1344" i="15" s="1"/>
  <c r="E1345" i="15"/>
  <c r="A2" i="16"/>
  <c r="G8" i="16"/>
  <c r="G9" i="16"/>
  <c r="G21" i="16"/>
  <c r="G22" i="16"/>
  <c r="G23" i="16"/>
  <c r="G24" i="16"/>
  <c r="G25" i="16"/>
  <c r="G26" i="16"/>
  <c r="G27" i="16"/>
  <c r="G30" i="16"/>
  <c r="G31" i="16"/>
  <c r="G33" i="16"/>
  <c r="G34" i="16"/>
  <c r="F36" i="16"/>
  <c r="G36" i="16" s="1"/>
  <c r="F37" i="16"/>
  <c r="G37" i="16" s="1"/>
  <c r="B52" i="16"/>
  <c r="D52" i="16"/>
  <c r="B53" i="16"/>
  <c r="D53" i="16"/>
  <c r="B2" i="17"/>
  <c r="F3" i="17"/>
  <c r="A14" i="17"/>
  <c r="A15" i="17" s="1"/>
  <c r="A16" i="17" s="1"/>
  <c r="A17" i="17" s="1"/>
  <c r="A18" i="17" s="1"/>
  <c r="A19" i="17" s="1"/>
  <c r="A20" i="17" s="1"/>
  <c r="A21" i="17" s="1"/>
  <c r="A22" i="17" s="1"/>
  <c r="A23" i="17" s="1"/>
  <c r="A24" i="17" s="1"/>
  <c r="A25" i="17" s="1"/>
  <c r="A26" i="17" s="1"/>
  <c r="A27" i="17" s="1"/>
  <c r="A28" i="17" s="1"/>
  <c r="A29" i="17" s="1"/>
  <c r="A30" i="17" s="1"/>
  <c r="A31" i="17" s="1"/>
  <c r="A32" i="17" s="1"/>
  <c r="A33" i="17" s="1"/>
  <c r="A34" i="17" s="1"/>
  <c r="A35" i="17" s="1"/>
  <c r="A36" i="17" s="1"/>
  <c r="A37" i="17" s="1"/>
  <c r="A38" i="17" s="1"/>
  <c r="A39" i="17" s="1"/>
  <c r="B45" i="17"/>
  <c r="D45" i="17"/>
  <c r="B46" i="17"/>
  <c r="D46" i="17"/>
  <c r="A1" i="18"/>
  <c r="B5" i="18"/>
  <c r="C5" i="18" s="1"/>
  <c r="D5" i="18" s="1"/>
  <c r="E5" i="18"/>
  <c r="F5" i="18" s="1"/>
  <c r="G5" i="18" s="1"/>
  <c r="H5" i="18" s="1"/>
  <c r="I5" i="18" s="1"/>
  <c r="J5" i="18" s="1"/>
  <c r="K5" i="18"/>
  <c r="L5" i="18" s="1"/>
  <c r="J7" i="18"/>
  <c r="L7" i="18"/>
  <c r="A8" i="18"/>
  <c r="A9" i="18"/>
  <c r="A10" i="18"/>
  <c r="A11" i="18"/>
  <c r="A12" i="18" s="1"/>
  <c r="A14" i="18" s="1"/>
  <c r="A15" i="18" s="1"/>
  <c r="A18" i="18" s="1"/>
  <c r="A19" i="18" s="1"/>
  <c r="A20" i="18" s="1"/>
  <c r="A21" i="18" s="1"/>
  <c r="A22" i="18" s="1"/>
  <c r="A23" i="18" s="1"/>
  <c r="A24" i="18" s="1"/>
  <c r="A25" i="18" s="1"/>
  <c r="A26" i="18" s="1"/>
  <c r="A27" i="18" s="1"/>
  <c r="A28" i="18" s="1"/>
  <c r="A29" i="18" s="1"/>
  <c r="J8" i="18"/>
  <c r="L8" i="18"/>
  <c r="J9" i="18"/>
  <c r="L9" i="18"/>
  <c r="J10" i="18"/>
  <c r="L10" i="18" s="1"/>
  <c r="H11" i="18"/>
  <c r="I11" i="18"/>
  <c r="J11" i="18" s="1"/>
  <c r="L11" i="18" s="1"/>
  <c r="J12" i="18"/>
  <c r="L12" i="18" s="1"/>
  <c r="J13" i="18"/>
  <c r="L13" i="18"/>
  <c r="H14" i="18"/>
  <c r="I14" i="18"/>
  <c r="J15" i="18"/>
  <c r="L15" i="18"/>
  <c r="J16" i="18"/>
  <c r="L16" i="18" s="1"/>
  <c r="J17" i="18"/>
  <c r="L17" i="18"/>
  <c r="H18" i="18"/>
  <c r="I18" i="18"/>
  <c r="J19" i="18"/>
  <c r="L19" i="18"/>
  <c r="H20" i="18"/>
  <c r="I20" i="18"/>
  <c r="J21" i="18"/>
  <c r="L21" i="18"/>
  <c r="H22" i="18"/>
  <c r="J22" i="18" s="1"/>
  <c r="L22" i="18" s="1"/>
  <c r="J23" i="18"/>
  <c r="L23" i="18"/>
  <c r="H24" i="18"/>
  <c r="J24" i="18" s="1"/>
  <c r="L24" i="18" s="1"/>
  <c r="J25" i="18"/>
  <c r="L25" i="18"/>
  <c r="J26" i="18"/>
  <c r="L26" i="18"/>
  <c r="J27" i="18"/>
  <c r="L27" i="18" s="1"/>
  <c r="J28" i="18"/>
  <c r="L28" i="18"/>
  <c r="J29" i="18"/>
  <c r="L29" i="18" s="1"/>
  <c r="J32" i="18"/>
  <c r="L32" i="18"/>
  <c r="A33" i="18"/>
  <c r="A34" i="18"/>
  <c r="A35" i="18" s="1"/>
  <c r="A36" i="18" s="1"/>
  <c r="A37" i="18" s="1"/>
  <c r="A38" i="18" s="1"/>
  <c r="A39" i="18" s="1"/>
  <c r="A40" i="18"/>
  <c r="A41" i="18" s="1"/>
  <c r="J33" i="18"/>
  <c r="L33" i="18" s="1"/>
  <c r="J34" i="18"/>
  <c r="L34" i="18" s="1"/>
  <c r="J35" i="18"/>
  <c r="L35" i="18" s="1"/>
  <c r="I36" i="18"/>
  <c r="J36" i="18"/>
  <c r="L36" i="18" s="1"/>
  <c r="I37" i="18"/>
  <c r="I38" i="18"/>
  <c r="J38" i="18"/>
  <c r="L38" i="18" s="1"/>
  <c r="I39" i="18"/>
  <c r="J40" i="18"/>
  <c r="L40" i="18" s="1"/>
  <c r="H41" i="18"/>
  <c r="J41" i="18" s="1"/>
  <c r="L41" i="18" s="1"/>
  <c r="J42" i="18"/>
  <c r="L42" i="18" s="1"/>
  <c r="J43" i="18"/>
  <c r="L43" i="18"/>
  <c r="H44" i="18"/>
  <c r="J44" i="18" s="1"/>
  <c r="L44" i="18" s="1"/>
  <c r="I45" i="18"/>
  <c r="J45" i="18" s="1"/>
  <c r="L45" i="18"/>
  <c r="J46" i="18"/>
  <c r="L46" i="18"/>
  <c r="J48" i="18"/>
  <c r="L48" i="18" s="1"/>
  <c r="J49" i="18"/>
  <c r="L49" i="18"/>
  <c r="J50" i="18"/>
  <c r="L50" i="18" s="1"/>
  <c r="J51" i="18"/>
  <c r="L51" i="18"/>
  <c r="J55" i="18"/>
  <c r="L55" i="18"/>
  <c r="J56" i="18"/>
  <c r="L56" i="18"/>
  <c r="J58" i="18"/>
  <c r="L58" i="18" s="1"/>
  <c r="J59" i="18"/>
  <c r="L59" i="18"/>
  <c r="J60" i="18"/>
  <c r="L60" i="18" s="1"/>
  <c r="J61" i="18"/>
  <c r="L61" i="18"/>
  <c r="D4" i="19"/>
  <c r="D5" i="19"/>
  <c r="D6" i="19"/>
  <c r="D7" i="19"/>
  <c r="D8" i="19"/>
  <c r="D9" i="19"/>
  <c r="D10" i="19"/>
  <c r="D11" i="19"/>
  <c r="D12" i="19"/>
  <c r="D13" i="19"/>
  <c r="D14" i="19"/>
  <c r="D15" i="19"/>
  <c r="D16" i="19"/>
  <c r="D17" i="19"/>
  <c r="D18" i="19"/>
  <c r="D19" i="19"/>
  <c r="D20" i="19"/>
  <c r="D21" i="19"/>
  <c r="D22" i="19"/>
  <c r="D23" i="19"/>
  <c r="D24" i="19"/>
  <c r="D25" i="19"/>
  <c r="D26" i="19"/>
  <c r="D27" i="19"/>
  <c r="B5" i="20"/>
  <c r="C5" i="20"/>
  <c r="F5" i="20" s="1"/>
  <c r="G5" i="20" s="1"/>
  <c r="H5" i="20" s="1"/>
  <c r="I5" i="20" s="1"/>
  <c r="J5" i="20" s="1"/>
  <c r="L5" i="20"/>
  <c r="M5" i="20" s="1"/>
  <c r="I8" i="20"/>
  <c r="I9" i="20" s="1"/>
  <c r="M9" i="20"/>
  <c r="I11" i="20"/>
  <c r="M11" i="20"/>
  <c r="I14" i="20"/>
  <c r="I15" i="20"/>
  <c r="I16" i="20"/>
  <c r="M16" i="20" s="1"/>
  <c r="F20" i="20"/>
  <c r="I20" i="20"/>
  <c r="I21" i="20"/>
  <c r="I22" i="20"/>
  <c r="I23" i="20"/>
  <c r="I28" i="20"/>
  <c r="I29" i="20"/>
  <c r="I30" i="20"/>
  <c r="I31" i="20"/>
  <c r="I32" i="20"/>
  <c r="L34" i="20"/>
  <c r="F38" i="20"/>
  <c r="I38" i="20"/>
  <c r="F39" i="20"/>
  <c r="I39" i="20"/>
  <c r="L40" i="20"/>
  <c r="F43" i="20"/>
  <c r="H43" i="20"/>
  <c r="I44" i="20"/>
  <c r="I45" i="20"/>
  <c r="L47" i="20"/>
  <c r="F50" i="20"/>
  <c r="I50" i="20"/>
  <c r="I51" i="20"/>
  <c r="L53" i="20"/>
  <c r="J56" i="20"/>
  <c r="K56" i="20"/>
  <c r="J59" i="20"/>
  <c r="K59" i="20" s="1"/>
  <c r="J61" i="20"/>
  <c r="K61" i="20" s="1"/>
  <c r="I68" i="20"/>
  <c r="I69" i="20"/>
  <c r="I70" i="20"/>
  <c r="I71" i="20"/>
  <c r="I72" i="20"/>
  <c r="I73" i="20"/>
  <c r="I74" i="20"/>
  <c r="I75" i="20"/>
  <c r="I76" i="20"/>
  <c r="I77" i="20"/>
  <c r="I78" i="20"/>
  <c r="I79" i="20"/>
  <c r="I80" i="20"/>
  <c r="I81" i="20"/>
  <c r="I82" i="20"/>
  <c r="I83" i="20"/>
  <c r="I84" i="20"/>
  <c r="I85" i="20"/>
  <c r="I86" i="20"/>
  <c r="I87" i="20"/>
  <c r="I88" i="20"/>
  <c r="I89" i="20"/>
  <c r="I91" i="20"/>
  <c r="I92" i="20"/>
  <c r="F95" i="20"/>
  <c r="I98" i="20"/>
  <c r="I99" i="20"/>
  <c r="I100" i="20"/>
  <c r="I101" i="20"/>
  <c r="I102" i="20"/>
  <c r="I103" i="20"/>
  <c r="I104" i="20"/>
  <c r="I105" i="20"/>
  <c r="I106" i="20"/>
  <c r="I107" i="20"/>
  <c r="I108" i="20"/>
  <c r="I109" i="20"/>
  <c r="F111" i="20"/>
  <c r="I114" i="20"/>
  <c r="I115" i="20"/>
  <c r="I116" i="20"/>
  <c r="I117" i="20"/>
  <c r="I118" i="20"/>
  <c r="I119" i="20"/>
  <c r="I120" i="20"/>
  <c r="I121" i="20"/>
  <c r="I122" i="20"/>
  <c r="I123" i="20"/>
  <c r="I124" i="20"/>
  <c r="I125" i="20"/>
  <c r="I126" i="20"/>
  <c r="I127" i="20"/>
  <c r="I128" i="20"/>
  <c r="I129" i="20"/>
  <c r="I130" i="20"/>
  <c r="F140" i="20"/>
  <c r="F141" i="20"/>
  <c r="A2" i="21"/>
  <c r="B5" i="21"/>
  <c r="C5" i="21" s="1"/>
  <c r="F5" i="21" s="1"/>
  <c r="G5" i="21" s="1"/>
  <c r="H5" i="21" s="1"/>
  <c r="I5" i="21" s="1"/>
  <c r="J5" i="21" s="1"/>
  <c r="I8" i="21"/>
  <c r="I10" i="21"/>
  <c r="I12" i="21"/>
  <c r="I14" i="21"/>
  <c r="H64" i="34"/>
  <c r="H65" i="34"/>
  <c r="H66" i="34"/>
  <c r="F71" i="34"/>
  <c r="F73" i="34"/>
  <c r="I16" i="21"/>
  <c r="I18" i="21"/>
  <c r="I22" i="21"/>
  <c r="H228" i="34"/>
  <c r="H229" i="34"/>
  <c r="F233" i="34"/>
  <c r="F235" i="34"/>
  <c r="I24" i="21"/>
  <c r="I26" i="21" s="1"/>
  <c r="H241" i="34"/>
  <c r="H242" i="34"/>
  <c r="H243" i="34"/>
  <c r="G245" i="34"/>
  <c r="H245" i="34" s="1"/>
  <c r="F247" i="34"/>
  <c r="F249" i="34"/>
  <c r="I28" i="21"/>
  <c r="H113" i="34"/>
  <c r="F118" i="34"/>
  <c r="F121" i="34"/>
  <c r="I30" i="21"/>
  <c r="I32" i="21"/>
  <c r="I34" i="21"/>
  <c r="H153" i="34"/>
  <c r="F158" i="34"/>
  <c r="F161" i="34"/>
  <c r="I36" i="21"/>
  <c r="I37" i="21"/>
  <c r="I40" i="21"/>
  <c r="K42" i="21"/>
  <c r="I44" i="21"/>
  <c r="I46" i="21"/>
  <c r="K46" i="21" s="1"/>
  <c r="I48" i="21"/>
  <c r="I50" i="21"/>
  <c r="I52" i="21"/>
  <c r="I54" i="21"/>
  <c r="I56" i="21"/>
  <c r="I59" i="21"/>
  <c r="I61" i="21"/>
  <c r="G278" i="34"/>
  <c r="H278" i="34" s="1"/>
  <c r="F280" i="34"/>
  <c r="F282" i="34"/>
  <c r="H267" i="34"/>
  <c r="H268" i="34"/>
  <c r="F270" i="34"/>
  <c r="I63" i="21"/>
  <c r="I65" i="21"/>
  <c r="H287" i="34"/>
  <c r="F290" i="34"/>
  <c r="F292" i="34"/>
  <c r="I67" i="21"/>
  <c r="I69" i="21" s="1"/>
  <c r="H298" i="34"/>
  <c r="H299" i="34"/>
  <c r="H300" i="34" s="1"/>
  <c r="G301" i="34" s="1"/>
  <c r="F301" i="34"/>
  <c r="I71" i="21"/>
  <c r="I73" i="21"/>
  <c r="G305" i="34"/>
  <c r="H305" i="34"/>
  <c r="G14" i="34"/>
  <c r="G306" i="34" s="1"/>
  <c r="H306" i="34" s="1"/>
  <c r="G308" i="34"/>
  <c r="H308" i="34" s="1"/>
  <c r="G310" i="34"/>
  <c r="H310" i="34" s="1"/>
  <c r="F311" i="34"/>
  <c r="F313" i="34"/>
  <c r="I75" i="21"/>
  <c r="H410" i="34"/>
  <c r="H411" i="34"/>
  <c r="H412" i="34"/>
  <c r="G415" i="34"/>
  <c r="H415" i="34" s="1"/>
  <c r="G416" i="34"/>
  <c r="H416" i="34" s="1"/>
  <c r="G417" i="34"/>
  <c r="H417" i="34" s="1"/>
  <c r="F420" i="34"/>
  <c r="I78" i="21"/>
  <c r="K78" i="21"/>
  <c r="B85" i="21"/>
  <c r="C85" i="21"/>
  <c r="G85" i="21"/>
  <c r="B86" i="21"/>
  <c r="C86" i="21"/>
  <c r="G86" i="21"/>
  <c r="B90" i="21"/>
  <c r="G90" i="21"/>
  <c r="B91" i="21"/>
  <c r="G91" i="21"/>
  <c r="A2" i="22"/>
  <c r="B5" i="22"/>
  <c r="C5" i="22"/>
  <c r="F5" i="22" s="1"/>
  <c r="G5" i="22" s="1"/>
  <c r="H5" i="22" s="1"/>
  <c r="I5" i="22" s="1"/>
  <c r="J5" i="22" s="1"/>
  <c r="I9" i="22"/>
  <c r="G6" i="35"/>
  <c r="E8" i="35"/>
  <c r="E7" i="35"/>
  <c r="F7" i="35"/>
  <c r="G7" i="35" s="1"/>
  <c r="F8" i="35"/>
  <c r="G8" i="35" s="1"/>
  <c r="I12" i="22"/>
  <c r="I13" i="22" s="1"/>
  <c r="E13" i="35"/>
  <c r="E14" i="35"/>
  <c r="F13" i="35"/>
  <c r="F14" i="35"/>
  <c r="G14" i="35" s="1"/>
  <c r="J16" i="22"/>
  <c r="K16" i="22" s="1"/>
  <c r="G128" i="35"/>
  <c r="E129" i="35" s="1"/>
  <c r="F129" i="35"/>
  <c r="G129" i="35" s="1"/>
  <c r="G130" i="35" s="1"/>
  <c r="G131" i="35"/>
  <c r="E132" i="35" s="1"/>
  <c r="F132" i="35"/>
  <c r="G134" i="35"/>
  <c r="E135" i="35"/>
  <c r="F135" i="35"/>
  <c r="J22" i="22"/>
  <c r="K22" i="22" s="1"/>
  <c r="J23" i="22"/>
  <c r="K23" i="22"/>
  <c r="G60" i="35"/>
  <c r="E62" i="35" s="1"/>
  <c r="F58" i="35"/>
  <c r="F62" i="35" s="1"/>
  <c r="G57" i="35"/>
  <c r="E58" i="35" s="1"/>
  <c r="J28" i="22"/>
  <c r="K28" i="22" s="1"/>
  <c r="J29" i="22"/>
  <c r="K29" i="22" s="1"/>
  <c r="J30" i="22"/>
  <c r="K30" i="22" s="1"/>
  <c r="J50" i="22"/>
  <c r="K50" i="22" s="1"/>
  <c r="J55" i="22"/>
  <c r="K55" i="22" s="1"/>
  <c r="G73" i="35"/>
  <c r="E74" i="35" s="1"/>
  <c r="F74" i="35"/>
  <c r="G77" i="35"/>
  <c r="E78" i="35" s="1"/>
  <c r="F78" i="35"/>
  <c r="G78" i="35" s="1"/>
  <c r="G79" i="35" s="1"/>
  <c r="J61" i="22" s="1"/>
  <c r="K61" i="22" s="1"/>
  <c r="J64" i="22"/>
  <c r="K64" i="22" s="1"/>
  <c r="G18" i="35"/>
  <c r="J67" i="22" s="1"/>
  <c r="K67" i="22" s="1"/>
  <c r="J69" i="22"/>
  <c r="K69" i="22" s="1"/>
  <c r="J73" i="22"/>
  <c r="K73" i="22" s="1"/>
  <c r="F19" i="35"/>
  <c r="B84" i="22"/>
  <c r="E84" i="22"/>
  <c r="H84" i="22"/>
  <c r="B85" i="22"/>
  <c r="E85" i="22"/>
  <c r="H85" i="22"/>
  <c r="A2" i="23"/>
  <c r="B5" i="23"/>
  <c r="C5" i="23" s="1"/>
  <c r="F5" i="23" s="1"/>
  <c r="G5" i="23"/>
  <c r="H5" i="23" s="1"/>
  <c r="I5" i="23" s="1"/>
  <c r="J5" i="23" s="1"/>
  <c r="I7" i="23"/>
  <c r="I8" i="23" s="1"/>
  <c r="L7" i="23"/>
  <c r="J8" i="23"/>
  <c r="K8" i="23" s="1"/>
  <c r="K50" i="23" s="1"/>
  <c r="L50" i="23" s="1"/>
  <c r="I11" i="23"/>
  <c r="I12" i="23" s="1"/>
  <c r="L11" i="23"/>
  <c r="I15" i="23"/>
  <c r="I16" i="23"/>
  <c r="I17" i="23"/>
  <c r="I20" i="23"/>
  <c r="I21" i="23"/>
  <c r="J24" i="23"/>
  <c r="I27" i="23"/>
  <c r="I28" i="23" s="1"/>
  <c r="I32" i="23"/>
  <c r="I33" i="23"/>
  <c r="I38" i="23"/>
  <c r="I39" i="23"/>
  <c r="I40" i="23"/>
  <c r="I41" i="23"/>
  <c r="I42" i="23"/>
  <c r="I47" i="23"/>
  <c r="I48" i="23"/>
  <c r="A2" i="24"/>
  <c r="B4" i="24"/>
  <c r="C4" i="24" s="1"/>
  <c r="D4" i="24"/>
  <c r="E4" i="24" s="1"/>
  <c r="E5" i="24"/>
  <c r="E6" i="24"/>
  <c r="A7" i="24"/>
  <c r="E7" i="24"/>
  <c r="G87" i="35"/>
  <c r="F89" i="35" s="1"/>
  <c r="G88" i="35"/>
  <c r="F91" i="35"/>
  <c r="G91" i="35" s="1"/>
  <c r="F92" i="35"/>
  <c r="G92" i="35" s="1"/>
  <c r="F93" i="35"/>
  <c r="G93" i="35" s="1"/>
  <c r="F95" i="35"/>
  <c r="G96" i="35"/>
  <c r="E9" i="24"/>
  <c r="E10" i="24"/>
  <c r="E11" i="24"/>
  <c r="E12" i="24"/>
  <c r="E13" i="24"/>
  <c r="A2" i="25"/>
  <c r="B4" i="25"/>
  <c r="C4" i="25"/>
  <c r="D4" i="25" s="1"/>
  <c r="E4" i="25" s="1"/>
  <c r="E5" i="25"/>
  <c r="E6" i="25"/>
  <c r="E7" i="25"/>
  <c r="E8" i="25"/>
  <c r="E9" i="25"/>
  <c r="E10" i="25"/>
  <c r="A2" i="26"/>
  <c r="C5" i="26"/>
  <c r="D5" i="26"/>
  <c r="G5" i="26"/>
  <c r="H5" i="26" s="1"/>
  <c r="I5" i="26" s="1"/>
  <c r="J5" i="26"/>
  <c r="K5" i="26" s="1"/>
  <c r="L5" i="26" s="1"/>
  <c r="M5" i="26" s="1"/>
  <c r="N5" i="26" s="1"/>
  <c r="O5" i="26" s="1"/>
  <c r="P5" i="26" s="1"/>
  <c r="Q5" i="26" s="1"/>
  <c r="J8" i="26"/>
  <c r="J9" i="26"/>
  <c r="J10" i="26"/>
  <c r="G11" i="26"/>
  <c r="J11" i="26" s="1"/>
  <c r="G12" i="26"/>
  <c r="J12" i="26"/>
  <c r="G13" i="26"/>
  <c r="J13" i="26"/>
  <c r="G14" i="26"/>
  <c r="J14" i="26" s="1"/>
  <c r="J15" i="26"/>
  <c r="J16" i="26"/>
  <c r="J17" i="26"/>
  <c r="J18" i="26"/>
  <c r="J19" i="26"/>
  <c r="J20" i="26"/>
  <c r="K22" i="26"/>
  <c r="J25" i="26"/>
  <c r="J26" i="26"/>
  <c r="J27" i="26"/>
  <c r="G28" i="26"/>
  <c r="J28" i="26" s="1"/>
  <c r="G29" i="26"/>
  <c r="J29" i="26"/>
  <c r="G30" i="26"/>
  <c r="J30" i="26"/>
  <c r="G31" i="26"/>
  <c r="J31" i="26"/>
  <c r="J32" i="26"/>
  <c r="J33" i="26"/>
  <c r="J34" i="26"/>
  <c r="K36" i="26"/>
  <c r="M36" i="26" s="1"/>
  <c r="N36" i="26" s="1"/>
  <c r="O36" i="26"/>
  <c r="P36" i="26" s="1"/>
  <c r="J38" i="26"/>
  <c r="G41" i="26"/>
  <c r="J41" i="26"/>
  <c r="G42" i="26"/>
  <c r="J42" i="26"/>
  <c r="G43" i="26"/>
  <c r="J43" i="26"/>
  <c r="G44" i="26"/>
  <c r="J44" i="26" s="1"/>
  <c r="J50" i="26" s="1"/>
  <c r="G45" i="26"/>
  <c r="J45" i="26"/>
  <c r="J46" i="26"/>
  <c r="J47" i="26"/>
  <c r="J48" i="26"/>
  <c r="J49" i="26"/>
  <c r="J51" i="26"/>
  <c r="J52" i="26"/>
  <c r="J53" i="26"/>
  <c r="J54" i="26"/>
  <c r="J55" i="26"/>
  <c r="J56" i="26"/>
  <c r="J57" i="26"/>
  <c r="J58" i="26"/>
  <c r="J59" i="26"/>
  <c r="J60" i="26"/>
  <c r="J61" i="26"/>
  <c r="J63" i="26"/>
  <c r="G64" i="26"/>
  <c r="J64" i="26"/>
  <c r="G65" i="26"/>
  <c r="J65" i="26"/>
  <c r="J66" i="26"/>
  <c r="G67" i="26"/>
  <c r="J67" i="26" s="1"/>
  <c r="G68" i="26"/>
  <c r="J68" i="26" s="1"/>
  <c r="J69" i="26"/>
  <c r="J70" i="26"/>
  <c r="J71" i="26"/>
  <c r="J72" i="26"/>
  <c r="J73" i="26"/>
  <c r="O75" i="26"/>
  <c r="J79" i="26"/>
  <c r="J80" i="26"/>
  <c r="J81" i="26"/>
  <c r="J82" i="26"/>
  <c r="O84" i="26"/>
  <c r="G88" i="26"/>
  <c r="J88" i="26"/>
  <c r="G89" i="26"/>
  <c r="J89" i="26"/>
  <c r="G90" i="26"/>
  <c r="J90" i="26" s="1"/>
  <c r="J97" i="26" s="1"/>
  <c r="G495" i="26" s="1"/>
  <c r="G91" i="26"/>
  <c r="J91" i="26" s="1"/>
  <c r="G92" i="26"/>
  <c r="J92" i="26"/>
  <c r="J93" i="26"/>
  <c r="J94" i="26"/>
  <c r="J95" i="26"/>
  <c r="J96" i="26"/>
  <c r="J98" i="26"/>
  <c r="J99" i="26"/>
  <c r="J100" i="26"/>
  <c r="J101" i="26"/>
  <c r="J102" i="26"/>
  <c r="J109" i="26" s="1"/>
  <c r="J118" i="26" s="1"/>
  <c r="J120" i="26" s="1"/>
  <c r="P120" i="26" s="1"/>
  <c r="J103" i="26"/>
  <c r="G104" i="26"/>
  <c r="J104" i="26"/>
  <c r="G105" i="26"/>
  <c r="J105" i="26" s="1"/>
  <c r="J106" i="26"/>
  <c r="J107" i="26"/>
  <c r="J108" i="26"/>
  <c r="G111" i="26"/>
  <c r="J111" i="26"/>
  <c r="G112" i="26"/>
  <c r="J112" i="26"/>
  <c r="G113" i="26"/>
  <c r="J113" i="26"/>
  <c r="G114" i="26"/>
  <c r="J114" i="26" s="1"/>
  <c r="G115" i="26"/>
  <c r="J115" i="26"/>
  <c r="J116" i="26"/>
  <c r="O120" i="26"/>
  <c r="J123" i="26"/>
  <c r="J124" i="26"/>
  <c r="J125" i="26"/>
  <c r="O129" i="26"/>
  <c r="J132" i="26"/>
  <c r="J133" i="26"/>
  <c r="O136" i="26"/>
  <c r="I139" i="26"/>
  <c r="J139" i="26" s="1"/>
  <c r="I140" i="26"/>
  <c r="J140" i="26" s="1"/>
  <c r="G497" i="26" s="1"/>
  <c r="I141" i="26"/>
  <c r="J141" i="26"/>
  <c r="J143" i="26"/>
  <c r="J144" i="26"/>
  <c r="J145" i="26"/>
  <c r="J148" i="26"/>
  <c r="J149" i="26"/>
  <c r="J150" i="26"/>
  <c r="O152" i="26"/>
  <c r="J155" i="26"/>
  <c r="J156" i="26"/>
  <c r="J158" i="26" s="1"/>
  <c r="J159" i="26" s="1"/>
  <c r="J157" i="26"/>
  <c r="O159" i="26"/>
  <c r="J162" i="26"/>
  <c r="J163" i="26"/>
  <c r="O166" i="26"/>
  <c r="G170" i="26"/>
  <c r="J170" i="26" s="1"/>
  <c r="G171" i="26"/>
  <c r="J171" i="26"/>
  <c r="G172" i="26"/>
  <c r="J172" i="26" s="1"/>
  <c r="J177" i="26" s="1"/>
  <c r="J173" i="26"/>
  <c r="J174" i="26"/>
  <c r="J175" i="26"/>
  <c r="G176" i="26"/>
  <c r="J176" i="26"/>
  <c r="G178" i="26"/>
  <c r="J178" i="26"/>
  <c r="G179" i="26"/>
  <c r="J179" i="26"/>
  <c r="G180" i="26"/>
  <c r="J180" i="26" s="1"/>
  <c r="G181" i="26"/>
  <c r="J181" i="26"/>
  <c r="G182" i="26"/>
  <c r="J182" i="26" s="1"/>
  <c r="G183" i="26"/>
  <c r="J183" i="26"/>
  <c r="G184" i="26"/>
  <c r="J184" i="26"/>
  <c r="G185" i="26"/>
  <c r="J185" i="26"/>
  <c r="J186" i="26"/>
  <c r="O190" i="26"/>
  <c r="G193" i="26"/>
  <c r="J193" i="26"/>
  <c r="G194" i="26"/>
  <c r="J194" i="26" s="1"/>
  <c r="J208" i="26" s="1"/>
  <c r="J209" i="26" s="1"/>
  <c r="G195" i="26"/>
  <c r="J195" i="26"/>
  <c r="G196" i="26"/>
  <c r="J196" i="26"/>
  <c r="G197" i="26"/>
  <c r="J197" i="26"/>
  <c r="G198" i="26"/>
  <c r="J198" i="26" s="1"/>
  <c r="G199" i="26"/>
  <c r="J199" i="26"/>
  <c r="I200" i="26"/>
  <c r="J200" i="26" s="1"/>
  <c r="G201" i="26"/>
  <c r="J201" i="26"/>
  <c r="I202" i="26"/>
  <c r="J202" i="26"/>
  <c r="G203" i="26"/>
  <c r="J203" i="26"/>
  <c r="G204" i="26"/>
  <c r="J204" i="26" s="1"/>
  <c r="G205" i="26"/>
  <c r="J205" i="26"/>
  <c r="G206" i="26"/>
  <c r="J206" i="26" s="1"/>
  <c r="G207" i="26"/>
  <c r="J207" i="26"/>
  <c r="O209" i="26"/>
  <c r="G212" i="26"/>
  <c r="J212" i="26" s="1"/>
  <c r="G213" i="26"/>
  <c r="J213" i="26"/>
  <c r="G214" i="26"/>
  <c r="J214" i="26" s="1"/>
  <c r="G215" i="26"/>
  <c r="J215" i="26"/>
  <c r="G216" i="26"/>
  <c r="J216" i="26"/>
  <c r="G217" i="26"/>
  <c r="J217" i="26" s="1"/>
  <c r="G218" i="26"/>
  <c r="J218" i="26" s="1"/>
  <c r="G219" i="26"/>
  <c r="J219" i="26"/>
  <c r="G220" i="26"/>
  <c r="J220" i="26" s="1"/>
  <c r="O222" i="26"/>
  <c r="G225" i="26"/>
  <c r="J225" i="26" s="1"/>
  <c r="G226" i="26"/>
  <c r="J226" i="26"/>
  <c r="G227" i="26"/>
  <c r="J227" i="26"/>
  <c r="J229" i="26" s="1"/>
  <c r="J230" i="26" s="1"/>
  <c r="P230" i="26" s="1"/>
  <c r="J228" i="26"/>
  <c r="O230" i="26"/>
  <c r="H233" i="26"/>
  <c r="J233" i="26" s="1"/>
  <c r="J234" i="26"/>
  <c r="J235" i="26"/>
  <c r="G236" i="26"/>
  <c r="J236" i="26" s="1"/>
  <c r="J237" i="26" s="1"/>
  <c r="J239" i="26" s="1"/>
  <c r="P239" i="26" s="1"/>
  <c r="O239" i="26"/>
  <c r="J240" i="26"/>
  <c r="J242" i="26"/>
  <c r="J243" i="26"/>
  <c r="J245" i="26" s="1"/>
  <c r="O245" i="26"/>
  <c r="J246" i="26"/>
  <c r="G248" i="26"/>
  <c r="H248" i="26"/>
  <c r="G249" i="26"/>
  <c r="J249" i="26"/>
  <c r="J250" i="26"/>
  <c r="O253" i="26"/>
  <c r="J254" i="26"/>
  <c r="G256" i="26"/>
  <c r="H256" i="26"/>
  <c r="O259" i="26"/>
  <c r="J260" i="26"/>
  <c r="G262" i="26"/>
  <c r="J262" i="26" s="1"/>
  <c r="G263" i="26"/>
  <c r="J263" i="26"/>
  <c r="J264" i="26"/>
  <c r="O267" i="26"/>
  <c r="J268" i="26"/>
  <c r="G270" i="26"/>
  <c r="J270" i="26" s="1"/>
  <c r="J273" i="26" s="1"/>
  <c r="J275" i="26" s="1"/>
  <c r="P275" i="26" s="1"/>
  <c r="G271" i="26"/>
  <c r="J271" i="26" s="1"/>
  <c r="J272" i="26"/>
  <c r="O275" i="26"/>
  <c r="J276" i="26"/>
  <c r="F279" i="26"/>
  <c r="J279" i="26"/>
  <c r="J280" i="26"/>
  <c r="J281" i="26"/>
  <c r="G282" i="26"/>
  <c r="J282" i="26"/>
  <c r="G283" i="26"/>
  <c r="J283" i="26"/>
  <c r="J284" i="26"/>
  <c r="J285" i="26"/>
  <c r="J286" i="26"/>
  <c r="J287" i="26"/>
  <c r="O289" i="26"/>
  <c r="K290" i="26"/>
  <c r="J292" i="26"/>
  <c r="G293" i="26"/>
  <c r="J293" i="26"/>
  <c r="G294" i="26"/>
  <c r="J294" i="26" s="1"/>
  <c r="J295" i="26"/>
  <c r="J296" i="26"/>
  <c r="J297" i="26"/>
  <c r="O300" i="26"/>
  <c r="K301" i="26"/>
  <c r="G304" i="26"/>
  <c r="J304" i="26"/>
  <c r="J305" i="26"/>
  <c r="J306" i="26"/>
  <c r="J307" i="26"/>
  <c r="O310" i="26"/>
  <c r="K311" i="26"/>
  <c r="G313" i="26"/>
  <c r="J313" i="26" s="1"/>
  <c r="J314" i="26"/>
  <c r="J315" i="26"/>
  <c r="J316" i="26"/>
  <c r="J317" i="26"/>
  <c r="O319" i="26"/>
  <c r="K320" i="26"/>
  <c r="J323" i="26"/>
  <c r="J324" i="26"/>
  <c r="J325" i="26"/>
  <c r="N327" i="26"/>
  <c r="O327" i="26"/>
  <c r="K328" i="26"/>
  <c r="J330" i="26"/>
  <c r="J331" i="26"/>
  <c r="J332" i="26"/>
  <c r="N334" i="26"/>
  <c r="O334" i="26"/>
  <c r="K335" i="26"/>
  <c r="G338" i="26"/>
  <c r="J338" i="26"/>
  <c r="J339" i="26"/>
  <c r="G340" i="26"/>
  <c r="J340" i="26"/>
  <c r="G341" i="26"/>
  <c r="J341" i="26"/>
  <c r="J342" i="26"/>
  <c r="J343" i="26"/>
  <c r="G344" i="26"/>
  <c r="J344" i="26"/>
  <c r="J345" i="26"/>
  <c r="J348" i="26"/>
  <c r="J349" i="26"/>
  <c r="J350" i="26"/>
  <c r="J351" i="26"/>
  <c r="J352" i="26"/>
  <c r="J353" i="26"/>
  <c r="J355" i="26"/>
  <c r="J356" i="26"/>
  <c r="J357" i="26"/>
  <c r="J358" i="26"/>
  <c r="J359" i="26"/>
  <c r="J360" i="26"/>
  <c r="J361" i="26"/>
  <c r="J363" i="26"/>
  <c r="J364" i="26"/>
  <c r="J365" i="26"/>
  <c r="J366" i="26"/>
  <c r="J367" i="26"/>
  <c r="J368" i="26"/>
  <c r="J369" i="26"/>
  <c r="O372" i="26"/>
  <c r="K373" i="26"/>
  <c r="G375" i="26"/>
  <c r="J375" i="26"/>
  <c r="G376" i="26"/>
  <c r="J376" i="26"/>
  <c r="G377" i="26"/>
  <c r="J377" i="26" s="1"/>
  <c r="G378" i="26"/>
  <c r="J378" i="26" s="1"/>
  <c r="J379" i="26"/>
  <c r="G380" i="26"/>
  <c r="J380" i="26" s="1"/>
  <c r="G381" i="26"/>
  <c r="J381" i="26"/>
  <c r="G382" i="26"/>
  <c r="J382" i="26" s="1"/>
  <c r="J385" i="26"/>
  <c r="J386" i="26"/>
  <c r="J387" i="26"/>
  <c r="J388" i="26"/>
  <c r="J390" i="26"/>
  <c r="G391" i="26"/>
  <c r="J391" i="26"/>
  <c r="G392" i="26"/>
  <c r="J392" i="26" s="1"/>
  <c r="J393" i="26"/>
  <c r="J394" i="26"/>
  <c r="J399" i="26" s="1"/>
  <c r="J395" i="26"/>
  <c r="J397" i="26"/>
  <c r="J398" i="26"/>
  <c r="O401" i="26"/>
  <c r="K402" i="26"/>
  <c r="J404" i="26"/>
  <c r="J405" i="26"/>
  <c r="G406" i="26"/>
  <c r="J406" i="26" s="1"/>
  <c r="J407" i="26"/>
  <c r="J408" i="26"/>
  <c r="G409" i="26"/>
  <c r="J409" i="26" s="1"/>
  <c r="J411" i="26"/>
  <c r="J413" i="26"/>
  <c r="J415" i="26"/>
  <c r="O418" i="26"/>
  <c r="K419" i="26"/>
  <c r="G422" i="26"/>
  <c r="J422" i="26"/>
  <c r="G423" i="26"/>
  <c r="J423" i="26" s="1"/>
  <c r="G424" i="26"/>
  <c r="J424" i="26"/>
  <c r="G425" i="26"/>
  <c r="J425" i="26"/>
  <c r="J426" i="26"/>
  <c r="J427" i="26"/>
  <c r="G428" i="26"/>
  <c r="J428" i="26" s="1"/>
  <c r="J431" i="26"/>
  <c r="J432" i="26"/>
  <c r="J434" i="26"/>
  <c r="G435" i="26"/>
  <c r="J435" i="26"/>
  <c r="J439" i="26" s="1"/>
  <c r="J437" i="26"/>
  <c r="J438" i="26"/>
  <c r="O441" i="26"/>
  <c r="K442" i="26"/>
  <c r="G444" i="26"/>
  <c r="J444" i="26"/>
  <c r="G445" i="26"/>
  <c r="I445" i="26"/>
  <c r="G446" i="26"/>
  <c r="J446" i="26" s="1"/>
  <c r="G447" i="26"/>
  <c r="I447" i="26"/>
  <c r="G448" i="26"/>
  <c r="J448" i="26" s="1"/>
  <c r="I448" i="26"/>
  <c r="G449" i="26"/>
  <c r="I449" i="26"/>
  <c r="G450" i="26"/>
  <c r="I450" i="26"/>
  <c r="J450" i="26" s="1"/>
  <c r="J452" i="26"/>
  <c r="J453" i="26"/>
  <c r="J455" i="26"/>
  <c r="G456" i="26"/>
  <c r="J456" i="26" s="1"/>
  <c r="J458" i="26"/>
  <c r="J459" i="26"/>
  <c r="K463" i="26"/>
  <c r="G465" i="26"/>
  <c r="J465" i="26"/>
  <c r="G466" i="26"/>
  <c r="J466" i="26"/>
  <c r="G467" i="26"/>
  <c r="J467" i="26"/>
  <c r="G468" i="26"/>
  <c r="J468" i="26" s="1"/>
  <c r="J469" i="26"/>
  <c r="J470" i="26"/>
  <c r="K473" i="26"/>
  <c r="J476" i="26"/>
  <c r="J477" i="26"/>
  <c r="J478" i="26"/>
  <c r="G479" i="26"/>
  <c r="J479" i="26"/>
  <c r="G480" i="26"/>
  <c r="J480" i="26"/>
  <c r="G481" i="26"/>
  <c r="J481" i="26" s="1"/>
  <c r="G482" i="26"/>
  <c r="J482" i="26"/>
  <c r="J483" i="26"/>
  <c r="J484" i="26"/>
  <c r="J485" i="26"/>
  <c r="J486" i="26"/>
  <c r="J487" i="26"/>
  <c r="J488" i="26"/>
  <c r="G490" i="26"/>
  <c r="H490" i="26"/>
  <c r="G499" i="26"/>
  <c r="K503" i="26"/>
  <c r="K506" i="26"/>
  <c r="K507" i="26"/>
  <c r="K508" i="26"/>
  <c r="K509" i="26"/>
  <c r="G512" i="26"/>
  <c r="J512" i="26" s="1"/>
  <c r="H512" i="26"/>
  <c r="J513" i="26"/>
  <c r="J514" i="26"/>
  <c r="J515" i="26"/>
  <c r="J516" i="26"/>
  <c r="G517" i="26"/>
  <c r="J517" i="26" s="1"/>
  <c r="J518" i="26"/>
  <c r="J519" i="26"/>
  <c r="G521" i="26"/>
  <c r="J521" i="26"/>
  <c r="G522" i="26"/>
  <c r="J522" i="26" s="1"/>
  <c r="G523" i="26"/>
  <c r="H523" i="26"/>
  <c r="O525" i="26"/>
  <c r="G529" i="26"/>
  <c r="J529" i="26" s="1"/>
  <c r="J530" i="26"/>
  <c r="J531" i="26"/>
  <c r="J532" i="26"/>
  <c r="J533" i="26"/>
  <c r="J534" i="26"/>
  <c r="J535" i="26"/>
  <c r="G536" i="26"/>
  <c r="J536" i="26"/>
  <c r="G537" i="26"/>
  <c r="J537" i="26"/>
  <c r="J538" i="26"/>
  <c r="J539" i="26"/>
  <c r="J540" i="26"/>
  <c r="J541" i="26"/>
  <c r="J542" i="26"/>
  <c r="J543" i="26"/>
  <c r="J544" i="26"/>
  <c r="J545" i="26"/>
  <c r="G546" i="26"/>
  <c r="J546" i="26"/>
  <c r="J547" i="26"/>
  <c r="J548" i="26"/>
  <c r="J549" i="26"/>
  <c r="O551" i="26"/>
  <c r="G554" i="26"/>
  <c r="J554" i="26"/>
  <c r="J555" i="26"/>
  <c r="J566" i="26" s="1"/>
  <c r="J567" i="26" s="1"/>
  <c r="J556" i="26"/>
  <c r="J557" i="26"/>
  <c r="J558" i="26"/>
  <c r="J559" i="26"/>
  <c r="J560" i="26"/>
  <c r="G561" i="26"/>
  <c r="J561" i="26"/>
  <c r="J562" i="26"/>
  <c r="J563" i="26"/>
  <c r="J564" i="26"/>
  <c r="J565" i="26"/>
  <c r="O567" i="26"/>
  <c r="P567" i="26" s="1"/>
  <c r="G570" i="26"/>
  <c r="J570" i="26"/>
  <c r="J571" i="26"/>
  <c r="O573" i="26"/>
  <c r="G577" i="26"/>
  <c r="I577" i="26"/>
  <c r="G578" i="26"/>
  <c r="I578" i="26"/>
  <c r="G579" i="26"/>
  <c r="I579" i="26"/>
  <c r="G580" i="26"/>
  <c r="I580" i="26"/>
  <c r="J580" i="26" s="1"/>
  <c r="G581" i="26"/>
  <c r="I581" i="26"/>
  <c r="G582" i="26"/>
  <c r="I582" i="26"/>
  <c r="G583" i="26"/>
  <c r="I583" i="26"/>
  <c r="G584" i="26"/>
  <c r="I584" i="26"/>
  <c r="J587" i="26"/>
  <c r="J588" i="26"/>
  <c r="J589" i="26"/>
  <c r="J590" i="26"/>
  <c r="J596" i="26" s="1"/>
  <c r="J591" i="26"/>
  <c r="J592" i="26"/>
  <c r="J593" i="26"/>
  <c r="J594" i="26"/>
  <c r="J595" i="26"/>
  <c r="G601" i="26"/>
  <c r="I601" i="26"/>
  <c r="G602" i="26"/>
  <c r="I602" i="26"/>
  <c r="G603" i="26"/>
  <c r="I603" i="26"/>
  <c r="G604" i="26"/>
  <c r="J604" i="26" s="1"/>
  <c r="I604" i="26"/>
  <c r="G605" i="26"/>
  <c r="I605" i="26"/>
  <c r="I606" i="26"/>
  <c r="J606" i="26"/>
  <c r="G607" i="26"/>
  <c r="I607" i="26"/>
  <c r="I608" i="26"/>
  <c r="J608" i="26" s="1"/>
  <c r="I609" i="26"/>
  <c r="J609" i="26"/>
  <c r="G610" i="26"/>
  <c r="I610" i="26"/>
  <c r="G611" i="26"/>
  <c r="J611" i="26"/>
  <c r="J613" i="26"/>
  <c r="J614" i="26"/>
  <c r="J615" i="26"/>
  <c r="J616" i="26"/>
  <c r="J617" i="26"/>
  <c r="J618" i="26"/>
  <c r="G624" i="26"/>
  <c r="J624" i="26"/>
  <c r="J625" i="26" s="1"/>
  <c r="J629" i="26" s="1"/>
  <c r="J630" i="26" s="1"/>
  <c r="J626" i="26"/>
  <c r="J627" i="26"/>
  <c r="G634" i="26"/>
  <c r="I634" i="26"/>
  <c r="I635" i="26"/>
  <c r="J635" i="26" s="1"/>
  <c r="J636" i="26"/>
  <c r="J637" i="26"/>
  <c r="O639" i="26"/>
  <c r="G642" i="26"/>
  <c r="J642" i="26"/>
  <c r="J643" i="26"/>
  <c r="J644" i="26"/>
  <c r="J645" i="26"/>
  <c r="G646" i="26"/>
  <c r="J646" i="26" s="1"/>
  <c r="G647" i="26"/>
  <c r="J647" i="26" s="1"/>
  <c r="G648" i="26"/>
  <c r="J648" i="26"/>
  <c r="O650" i="26"/>
  <c r="G653" i="26"/>
  <c r="J653" i="26"/>
  <c r="J659" i="26" s="1"/>
  <c r="J660" i="26" s="1"/>
  <c r="G654" i="26"/>
  <c r="J654" i="26" s="1"/>
  <c r="G655" i="26"/>
  <c r="J655" i="26"/>
  <c r="G656" i="26"/>
  <c r="J656" i="26"/>
  <c r="J657" i="26"/>
  <c r="J658" i="26"/>
  <c r="O660" i="26"/>
  <c r="J664" i="26"/>
  <c r="J665" i="26"/>
  <c r="J666" i="26"/>
  <c r="J667" i="26"/>
  <c r="J678" i="26" s="1"/>
  <c r="J668" i="26"/>
  <c r="J669" i="26"/>
  <c r="J670" i="26"/>
  <c r="J671" i="26"/>
  <c r="J672" i="26"/>
  <c r="J673" i="26"/>
  <c r="F674" i="26"/>
  <c r="J674" i="26"/>
  <c r="J675" i="26"/>
  <c r="J676" i="26"/>
  <c r="J677" i="26"/>
  <c r="O678" i="26"/>
  <c r="P678" i="26" s="1"/>
  <c r="J680" i="26"/>
  <c r="J681" i="26"/>
  <c r="G682" i="26"/>
  <c r="J682" i="26" s="1"/>
  <c r="J683" i="26"/>
  <c r="J684" i="26"/>
  <c r="J685" i="26"/>
  <c r="J686" i="26"/>
  <c r="J687" i="26"/>
  <c r="J688" i="26"/>
  <c r="O692" i="26"/>
  <c r="G696" i="26"/>
  <c r="J696" i="26" s="1"/>
  <c r="G697" i="26"/>
  <c r="J697" i="26"/>
  <c r="G698" i="26"/>
  <c r="J698" i="26"/>
  <c r="G699" i="26"/>
  <c r="J699" i="26"/>
  <c r="G700" i="26"/>
  <c r="J700" i="26" s="1"/>
  <c r="G701" i="26"/>
  <c r="J701" i="26"/>
  <c r="G702" i="26"/>
  <c r="J702" i="26" s="1"/>
  <c r="G704" i="26"/>
  <c r="J704" i="26"/>
  <c r="G705" i="26"/>
  <c r="J705" i="26"/>
  <c r="G706" i="26"/>
  <c r="J706" i="26"/>
  <c r="G707" i="26"/>
  <c r="J707" i="26" s="1"/>
  <c r="G710" i="26"/>
  <c r="J710" i="26"/>
  <c r="G711" i="26"/>
  <c r="J711" i="26" s="1"/>
  <c r="G712" i="26"/>
  <c r="J712" i="26"/>
  <c r="G713" i="26"/>
  <c r="J713" i="26"/>
  <c r="G714" i="26"/>
  <c r="J714" i="26"/>
  <c r="G715" i="26"/>
  <c r="J715" i="26" s="1"/>
  <c r="G716" i="26"/>
  <c r="J716" i="26"/>
  <c r="O720" i="26"/>
  <c r="J724" i="26"/>
  <c r="J725" i="26"/>
  <c r="J726" i="26"/>
  <c r="J729" i="26"/>
  <c r="J730" i="26"/>
  <c r="J731" i="26"/>
  <c r="G739" i="26"/>
  <c r="J739" i="26"/>
  <c r="P739" i="26" s="1"/>
  <c r="G741" i="26"/>
  <c r="J741" i="26"/>
  <c r="G742" i="26"/>
  <c r="J742" i="26" s="1"/>
  <c r="G749" i="26"/>
  <c r="J749" i="26"/>
  <c r="J750" i="26"/>
  <c r="G751" i="26"/>
  <c r="J751" i="26" s="1"/>
  <c r="G752" i="26"/>
  <c r="J752" i="26"/>
  <c r="J753" i="26"/>
  <c r="J754" i="26"/>
  <c r="N756" i="26"/>
  <c r="J759" i="26"/>
  <c r="J761" i="26" s="1"/>
  <c r="J760" i="26"/>
  <c r="K761" i="26"/>
  <c r="J764" i="26"/>
  <c r="J765" i="26"/>
  <c r="K766" i="26"/>
  <c r="J769" i="26"/>
  <c r="J770" i="26"/>
  <c r="K771" i="26"/>
  <c r="J774" i="26"/>
  <c r="J775" i="26"/>
  <c r="K776" i="26"/>
  <c r="J781" i="26"/>
  <c r="K781" i="26"/>
  <c r="J784" i="26"/>
  <c r="J785" i="26"/>
  <c r="N785" i="26"/>
  <c r="J788" i="26"/>
  <c r="J789" i="26" s="1"/>
  <c r="K789" i="26"/>
  <c r="J792" i="26"/>
  <c r="J793" i="26"/>
  <c r="J815" i="26"/>
  <c r="J816" i="26"/>
  <c r="J823" i="26" s="1"/>
  <c r="J824" i="26" s="1"/>
  <c r="J826" i="26" s="1"/>
  <c r="J817" i="26"/>
  <c r="J818" i="26"/>
  <c r="J819" i="26"/>
  <c r="J820" i="26"/>
  <c r="J821" i="26"/>
  <c r="J822" i="26"/>
  <c r="J830" i="26"/>
  <c r="J841" i="26"/>
  <c r="J844" i="26"/>
  <c r="J846" i="26" s="1"/>
  <c r="J848" i="26"/>
  <c r="J850" i="26"/>
  <c r="J852" i="26"/>
  <c r="J854" i="26" s="1"/>
  <c r="J858" i="26"/>
  <c r="J860" i="26"/>
  <c r="J862" i="26" s="1"/>
  <c r="J864" i="26"/>
  <c r="N864" i="26"/>
  <c r="J865" i="26"/>
  <c r="J867" i="26"/>
  <c r="J869" i="26"/>
  <c r="M871" i="26"/>
  <c r="N871" i="26"/>
  <c r="J873" i="26"/>
  <c r="J875" i="26" s="1"/>
  <c r="M875" i="26" s="1"/>
  <c r="N875" i="26" s="1"/>
  <c r="J877" i="26"/>
  <c r="J879" i="26"/>
  <c r="J881" i="26"/>
  <c r="J883" i="26"/>
  <c r="J885" i="26"/>
  <c r="G888" i="26"/>
  <c r="J888" i="26" s="1"/>
  <c r="J890" i="26"/>
  <c r="J892" i="26"/>
  <c r="N892" i="26"/>
  <c r="J896" i="26"/>
  <c r="J898" i="26"/>
  <c r="K900" i="26"/>
  <c r="M900" i="26" s="1"/>
  <c r="N900" i="26" s="1"/>
  <c r="J904" i="26"/>
  <c r="K924" i="26"/>
  <c r="M924" i="26"/>
  <c r="N924" i="26" s="1"/>
  <c r="K927" i="26"/>
  <c r="M927" i="26" s="1"/>
  <c r="N927" i="26" s="1"/>
  <c r="K932" i="26"/>
  <c r="M932" i="26" s="1"/>
  <c r="N932" i="26" s="1"/>
  <c r="K935" i="26"/>
  <c r="M935" i="26" s="1"/>
  <c r="N935" i="26" s="1"/>
  <c r="A942" i="26"/>
  <c r="A944" i="26"/>
  <c r="C948" i="26"/>
  <c r="H948" i="26"/>
  <c r="L948" i="26"/>
  <c r="C949" i="26"/>
  <c r="H949" i="26"/>
  <c r="L949" i="26"/>
  <c r="A2" i="27"/>
  <c r="C4" i="27"/>
  <c r="D4" i="27"/>
  <c r="E4" i="27" s="1"/>
  <c r="F4" i="27" s="1"/>
  <c r="G4" i="27" s="1"/>
  <c r="H4" i="27" s="1"/>
  <c r="I4" i="27" s="1"/>
  <c r="J4" i="27" s="1"/>
  <c r="I5" i="27"/>
  <c r="F11" i="27" s="1"/>
  <c r="I6" i="27"/>
  <c r="I132" i="27" s="1"/>
  <c r="G8" i="27"/>
  <c r="G10" i="27"/>
  <c r="E11" i="27"/>
  <c r="F21" i="27"/>
  <c r="G21" i="27" s="1"/>
  <c r="F22" i="27"/>
  <c r="G22" i="27" s="1"/>
  <c r="H29" i="27"/>
  <c r="J29" i="27" s="1"/>
  <c r="H30" i="27"/>
  <c r="J30" i="27" s="1"/>
  <c r="E31" i="27"/>
  <c r="H31" i="27" s="1"/>
  <c r="J31" i="27" s="1"/>
  <c r="G31" i="27"/>
  <c r="E32" i="27"/>
  <c r="G32" i="27"/>
  <c r="E33" i="27"/>
  <c r="F33" i="27"/>
  <c r="G33" i="27"/>
  <c r="J36" i="27"/>
  <c r="J37" i="27"/>
  <c r="J38" i="27"/>
  <c r="J39" i="27"/>
  <c r="J40" i="27"/>
  <c r="J41" i="27"/>
  <c r="J42" i="27"/>
  <c r="J43" i="27"/>
  <c r="H44" i="27"/>
  <c r="J45" i="27"/>
  <c r="J46" i="27"/>
  <c r="H52" i="27"/>
  <c r="H53" i="27"/>
  <c r="J53" i="27"/>
  <c r="H55" i="27"/>
  <c r="J56" i="27"/>
  <c r="J57" i="27"/>
  <c r="H65" i="27"/>
  <c r="J65" i="27" s="1"/>
  <c r="H66" i="27"/>
  <c r="J66" i="27" s="1"/>
  <c r="E67" i="27"/>
  <c r="G67" i="27"/>
  <c r="E68" i="27"/>
  <c r="G68" i="27"/>
  <c r="E69" i="27"/>
  <c r="F69" i="27"/>
  <c r="J72" i="27"/>
  <c r="J73" i="27"/>
  <c r="J74" i="27"/>
  <c r="J75" i="27"/>
  <c r="J76" i="27"/>
  <c r="J77" i="27"/>
  <c r="J78" i="27"/>
  <c r="J79" i="27"/>
  <c r="J80" i="27"/>
  <c r="H81" i="27"/>
  <c r="J82" i="27"/>
  <c r="H88" i="27"/>
  <c r="H89" i="27"/>
  <c r="J89" i="27"/>
  <c r="J92" i="27"/>
  <c r="H93" i="27"/>
  <c r="J94" i="27"/>
  <c r="H102" i="27"/>
  <c r="J102" i="27" s="1"/>
  <c r="H103" i="27"/>
  <c r="J103" i="27"/>
  <c r="E104" i="27"/>
  <c r="G104" i="27"/>
  <c r="E105" i="27"/>
  <c r="G105" i="27"/>
  <c r="E106" i="27"/>
  <c r="F106" i="27"/>
  <c r="J109" i="27"/>
  <c r="J110" i="27"/>
  <c r="J111" i="27"/>
  <c r="J112" i="27"/>
  <c r="J113" i="27"/>
  <c r="J114" i="27"/>
  <c r="J115" i="27"/>
  <c r="J116" i="27"/>
  <c r="J117" i="27"/>
  <c r="H118" i="27"/>
  <c r="J119" i="27"/>
  <c r="H125" i="27"/>
  <c r="J125" i="27" s="1"/>
  <c r="H126" i="27"/>
  <c r="H127" i="27" s="1"/>
  <c r="H128" i="27"/>
  <c r="J129" i="27"/>
  <c r="J130" i="27"/>
  <c r="H138" i="27"/>
  <c r="J138" i="27"/>
  <c r="H139" i="27"/>
  <c r="J139" i="27"/>
  <c r="E140" i="27"/>
  <c r="G140" i="27"/>
  <c r="E141" i="27"/>
  <c r="G141" i="27"/>
  <c r="E142" i="27"/>
  <c r="F142" i="27"/>
  <c r="J145" i="27"/>
  <c r="J146" i="27"/>
  <c r="J147" i="27"/>
  <c r="J148" i="27"/>
  <c r="J149" i="27"/>
  <c r="J150" i="27"/>
  <c r="J151" i="27"/>
  <c r="J152" i="27"/>
  <c r="J153" i="27"/>
  <c r="H154" i="27"/>
  <c r="J155" i="27"/>
  <c r="H161" i="27"/>
  <c r="J161" i="27"/>
  <c r="H162" i="27"/>
  <c r="J162" i="27" s="1"/>
  <c r="H164" i="27"/>
  <c r="J165" i="27"/>
  <c r="J166" i="27"/>
  <c r="H174" i="27"/>
  <c r="J174" i="27" s="1"/>
  <c r="H175" i="27"/>
  <c r="J175" i="27"/>
  <c r="E176" i="27"/>
  <c r="G176" i="27"/>
  <c r="E177" i="27"/>
  <c r="G177" i="27"/>
  <c r="E178" i="27"/>
  <c r="F178" i="27"/>
  <c r="J181" i="27"/>
  <c r="J182" i="27"/>
  <c r="J183" i="27"/>
  <c r="J184" i="27"/>
  <c r="J185" i="27"/>
  <c r="J186" i="27"/>
  <c r="J187" i="27"/>
  <c r="J188" i="27"/>
  <c r="J189" i="27"/>
  <c r="H190" i="27"/>
  <c r="J191" i="27"/>
  <c r="H197" i="27"/>
  <c r="J197" i="27" s="1"/>
  <c r="H198" i="27"/>
  <c r="J198" i="27"/>
  <c r="J200" i="27"/>
  <c r="H201" i="27"/>
  <c r="J202" i="27"/>
  <c r="H210" i="27"/>
  <c r="J210" i="27" s="1"/>
  <c r="H211" i="27"/>
  <c r="J211" i="27"/>
  <c r="E212" i="27"/>
  <c r="G212" i="27"/>
  <c r="H212" i="27" s="1"/>
  <c r="J212" i="27" s="1"/>
  <c r="E213" i="27"/>
  <c r="G213" i="27"/>
  <c r="E214" i="27"/>
  <c r="F214" i="27"/>
  <c r="J217" i="27"/>
  <c r="J218" i="27"/>
  <c r="J219" i="27"/>
  <c r="J220" i="27"/>
  <c r="J221" i="27"/>
  <c r="J222" i="27"/>
  <c r="H223" i="27"/>
  <c r="F224" i="27"/>
  <c r="H224" i="27" s="1"/>
  <c r="J225" i="27"/>
  <c r="H231" i="27"/>
  <c r="J231" i="27" s="1"/>
  <c r="H232" i="27"/>
  <c r="J232" i="27"/>
  <c r="J235" i="27"/>
  <c r="H236" i="27"/>
  <c r="J236" i="27"/>
  <c r="F237" i="27"/>
  <c r="H237" i="27" s="1"/>
  <c r="J238" i="27"/>
  <c r="F260" i="27"/>
  <c r="H260" i="27"/>
  <c r="H246" i="27"/>
  <c r="J246" i="27" s="1"/>
  <c r="H247" i="27"/>
  <c r="J247" i="27"/>
  <c r="E248" i="27"/>
  <c r="G248" i="27"/>
  <c r="E249" i="27"/>
  <c r="G249" i="27"/>
  <c r="E250" i="27"/>
  <c r="F250" i="27"/>
  <c r="J253" i="27"/>
  <c r="J254" i="27"/>
  <c r="J255" i="27"/>
  <c r="J256" i="27"/>
  <c r="J257" i="27"/>
  <c r="J258" i="27"/>
  <c r="H259" i="27"/>
  <c r="J261" i="27"/>
  <c r="H267" i="27"/>
  <c r="J267" i="27"/>
  <c r="H268" i="27"/>
  <c r="J268" i="27"/>
  <c r="J271" i="27"/>
  <c r="H272" i="27"/>
  <c r="F273" i="27"/>
  <c r="H273" i="27" s="1"/>
  <c r="J274" i="27"/>
  <c r="F296" i="27"/>
  <c r="H296" i="27"/>
  <c r="H282" i="27"/>
  <c r="J282" i="27"/>
  <c r="H283" i="27"/>
  <c r="J283" i="27" s="1"/>
  <c r="E284" i="27"/>
  <c r="H284" i="27" s="1"/>
  <c r="H287" i="27" s="1"/>
  <c r="G284" i="27"/>
  <c r="E285" i="27"/>
  <c r="G285" i="27"/>
  <c r="E286" i="27"/>
  <c r="F286" i="27"/>
  <c r="J289" i="27"/>
  <c r="J290" i="27"/>
  <c r="J291" i="27"/>
  <c r="J292" i="27"/>
  <c r="J293" i="27"/>
  <c r="J294" i="27"/>
  <c r="H295" i="27"/>
  <c r="J297" i="27"/>
  <c r="H303" i="27"/>
  <c r="H304" i="27"/>
  <c r="J304" i="27" s="1"/>
  <c r="J307" i="27"/>
  <c r="H308" i="27"/>
  <c r="F309" i="27"/>
  <c r="H309" i="27" s="1"/>
  <c r="J310" i="27"/>
  <c r="B317" i="27"/>
  <c r="D317" i="27"/>
  <c r="B318" i="27"/>
  <c r="D318" i="27"/>
  <c r="A2" i="28"/>
  <c r="F9" i="28"/>
  <c r="G9" i="28" s="1"/>
  <c r="F10" i="28" s="1"/>
  <c r="G10" i="28" s="1"/>
  <c r="E11" i="28"/>
  <c r="F13" i="28"/>
  <c r="F20" i="28"/>
  <c r="G20" i="28" s="1"/>
  <c r="F21" i="28" s="1"/>
  <c r="G21" i="28" s="1"/>
  <c r="G25" i="28" s="1"/>
  <c r="E21" i="28"/>
  <c r="G23" i="28"/>
  <c r="I23" i="28"/>
  <c r="G24" i="28"/>
  <c r="F26" i="28"/>
  <c r="E34" i="28"/>
  <c r="F36" i="28"/>
  <c r="G36" i="28" s="1"/>
  <c r="F38" i="28"/>
  <c r="F39" i="28"/>
  <c r="G39" i="28" s="1"/>
  <c r="F46" i="28"/>
  <c r="G46" i="28" s="1"/>
  <c r="F47" i="28" s="1"/>
  <c r="E47" i="28"/>
  <c r="F49" i="28"/>
  <c r="G49" i="28" s="1"/>
  <c r="F51" i="28"/>
  <c r="F52" i="28"/>
  <c r="G52" i="28" s="1"/>
  <c r="F63" i="28"/>
  <c r="G63" i="28" s="1"/>
  <c r="F64" i="28" s="1"/>
  <c r="E64" i="28"/>
  <c r="F69" i="28"/>
  <c r="G69" i="28" s="1"/>
  <c r="F73" i="28"/>
  <c r="G73" i="28" s="1"/>
  <c r="F74" i="28" s="1"/>
  <c r="E74" i="28"/>
  <c r="F79" i="28"/>
  <c r="G79" i="28" s="1"/>
  <c r="F83" i="28"/>
  <c r="F93" i="28" s="1"/>
  <c r="G93" i="28" s="1"/>
  <c r="F94" i="28" s="1"/>
  <c r="E84" i="28"/>
  <c r="E94" i="28"/>
  <c r="F99" i="28"/>
  <c r="G99" i="28" s="1"/>
  <c r="E104" i="28"/>
  <c r="F109" i="28"/>
  <c r="G109" i="28" s="1"/>
  <c r="E114" i="28"/>
  <c r="E124" i="28"/>
  <c r="F132" i="28"/>
  <c r="G132" i="28" s="1"/>
  <c r="G133" i="28"/>
  <c r="F135" i="28"/>
  <c r="G135" i="28" s="1"/>
  <c r="F136" i="28"/>
  <c r="G136" i="28" s="1"/>
  <c r="E137" i="28"/>
  <c r="F140" i="28"/>
  <c r="F142" i="28"/>
  <c r="G142" i="28" s="1"/>
  <c r="F143" i="28"/>
  <c r="G143" i="28" s="1"/>
  <c r="F151" i="28"/>
  <c r="G151" i="28" s="1"/>
  <c r="G153" i="28"/>
  <c r="F155" i="28"/>
  <c r="G155" i="28" s="1"/>
  <c r="F156" i="28"/>
  <c r="G156" i="28" s="1"/>
  <c r="E157" i="28"/>
  <c r="F159" i="28"/>
  <c r="F161" i="28"/>
  <c r="G161" i="28" s="1"/>
  <c r="F162" i="28"/>
  <c r="G162" i="28" s="1"/>
  <c r="F167" i="28"/>
  <c r="G167" i="28" s="1"/>
  <c r="F173" i="28"/>
  <c r="G173" i="28"/>
  <c r="F174" i="28"/>
  <c r="G174" i="28" s="1"/>
  <c r="E175" i="28"/>
  <c r="F177" i="28"/>
  <c r="F179" i="28"/>
  <c r="G179" i="28" s="1"/>
  <c r="F180" i="28"/>
  <c r="G180" i="28" s="1"/>
  <c r="F185" i="28"/>
  <c r="G185" i="28" s="1"/>
  <c r="F191" i="28"/>
  <c r="G191" i="28" s="1"/>
  <c r="F192" i="28"/>
  <c r="G192" i="28" s="1"/>
  <c r="E193" i="28"/>
  <c r="F195" i="28"/>
  <c r="F197" i="28"/>
  <c r="G197" i="28" s="1"/>
  <c r="F198" i="28"/>
  <c r="G198" i="28" s="1"/>
  <c r="F208" i="28"/>
  <c r="G208" i="28" s="1"/>
  <c r="F209" i="28"/>
  <c r="G209" i="28" s="1"/>
  <c r="E210" i="28"/>
  <c r="F212" i="28"/>
  <c r="F214" i="28"/>
  <c r="G214" i="28" s="1"/>
  <c r="F215" i="28"/>
  <c r="G215" i="28" s="1"/>
  <c r="F225" i="28"/>
  <c r="G225" i="28" s="1"/>
  <c r="F226" i="28"/>
  <c r="G226" i="28" s="1"/>
  <c r="E227" i="28"/>
  <c r="F229" i="28"/>
  <c r="F231" i="28"/>
  <c r="G231" i="28" s="1"/>
  <c r="F232" i="28"/>
  <c r="G232" i="28" s="1"/>
  <c r="F240" i="28"/>
  <c r="G240" i="28" s="1"/>
  <c r="F241" i="28"/>
  <c r="G241" i="28" s="1"/>
  <c r="E242" i="28"/>
  <c r="F244" i="28"/>
  <c r="F246" i="28"/>
  <c r="G246" i="28" s="1"/>
  <c r="F251" i="28"/>
  <c r="G251" i="28" s="1"/>
  <c r="F254" i="28"/>
  <c r="G254" i="28" s="1"/>
  <c r="F255" i="28"/>
  <c r="G255" i="28" s="1"/>
  <c r="E256" i="28"/>
  <c r="F258" i="28"/>
  <c r="F260" i="28"/>
  <c r="G260" i="28" s="1"/>
  <c r="F268" i="28"/>
  <c r="G268" i="28" s="1"/>
  <c r="F269" i="28"/>
  <c r="G269" i="28" s="1"/>
  <c r="E270" i="28"/>
  <c r="F272" i="28"/>
  <c r="F274" i="28"/>
  <c r="G274" i="28" s="1"/>
  <c r="F283" i="28"/>
  <c r="G283" i="28" s="1"/>
  <c r="F284" i="28"/>
  <c r="G284" i="28" s="1"/>
  <c r="F285" i="28"/>
  <c r="G285" i="28" s="1"/>
  <c r="E286" i="28"/>
  <c r="F288" i="28"/>
  <c r="F337" i="28" s="1"/>
  <c r="G337" i="28" s="1"/>
  <c r="G288" i="28"/>
  <c r="G289" i="28"/>
  <c r="F290" i="28"/>
  <c r="G290" i="28" s="1"/>
  <c r="E296" i="28"/>
  <c r="F296" i="28"/>
  <c r="G296" i="28" s="1"/>
  <c r="F298" i="28"/>
  <c r="F300" i="28"/>
  <c r="G300" i="28" s="1"/>
  <c r="F301" i="28"/>
  <c r="G301" i="28" s="1"/>
  <c r="E307" i="28"/>
  <c r="F307" i="28"/>
  <c r="G307" i="28" s="1"/>
  <c r="F309" i="28"/>
  <c r="F311" i="28"/>
  <c r="G311" i="28" s="1"/>
  <c r="F312" i="28"/>
  <c r="G312" i="28" s="1"/>
  <c r="E318" i="28"/>
  <c r="F318" i="28"/>
  <c r="G318" i="28" s="1"/>
  <c r="F320" i="28"/>
  <c r="F322" i="28"/>
  <c r="G322" i="28" s="1"/>
  <c r="F323" i="28"/>
  <c r="G323" i="28" s="1"/>
  <c r="F332" i="28"/>
  <c r="G332" i="28" s="1"/>
  <c r="F333" i="28"/>
  <c r="G333" i="28" s="1"/>
  <c r="F334" i="28"/>
  <c r="G334" i="28" s="1"/>
  <c r="E335" i="28"/>
  <c r="F338" i="28"/>
  <c r="G338" i="28" s="1"/>
  <c r="F339" i="28"/>
  <c r="G339" i="28" s="1"/>
  <c r="G343" i="28"/>
  <c r="G344" i="28"/>
  <c r="E345" i="28" s="1"/>
  <c r="F345" i="28"/>
  <c r="F354" i="28"/>
  <c r="G354" i="28" s="1"/>
  <c r="F355" i="28"/>
  <c r="G355" i="28" s="1"/>
  <c r="F356" i="28"/>
  <c r="G356" i="28" s="1"/>
  <c r="E357" i="28"/>
  <c r="F359" i="28"/>
  <c r="G359" i="28" s="1"/>
  <c r="F360" i="28"/>
  <c r="G360" i="28" s="1"/>
  <c r="E366" i="28"/>
  <c r="F366" i="28"/>
  <c r="G366" i="28" s="1"/>
  <c r="J366" i="28"/>
  <c r="K366" i="28" s="1"/>
  <c r="J367" i="28"/>
  <c r="G371" i="28"/>
  <c r="D372" i="28"/>
  <c r="E374" i="28"/>
  <c r="F374" i="28"/>
  <c r="G374" i="28"/>
  <c r="E375" i="28"/>
  <c r="F375" i="28"/>
  <c r="G375" i="28"/>
  <c r="E382" i="28"/>
  <c r="F382" i="28"/>
  <c r="G387" i="28"/>
  <c r="D388" i="28"/>
  <c r="D390" i="28"/>
  <c r="F390" i="28" s="1"/>
  <c r="D391" i="28"/>
  <c r="F391" i="28" s="1"/>
  <c r="E398" i="28"/>
  <c r="F398" i="28"/>
  <c r="G398" i="28" s="1"/>
  <c r="G403" i="28"/>
  <c r="D404" i="28"/>
  <c r="D406" i="28"/>
  <c r="E406" i="28" s="1"/>
  <c r="D407" i="28"/>
  <c r="E407" i="28" s="1"/>
  <c r="E414" i="28"/>
  <c r="F414" i="28"/>
  <c r="G414" i="28" s="1"/>
  <c r="G419" i="28"/>
  <c r="D420" i="28"/>
  <c r="D422" i="28"/>
  <c r="G422" i="28" s="1"/>
  <c r="D423" i="28"/>
  <c r="E423" i="28" s="1"/>
  <c r="E430" i="28"/>
  <c r="F430" i="28"/>
  <c r="G430" i="28" s="1"/>
  <c r="G435" i="28"/>
  <c r="D436" i="28"/>
  <c r="D438" i="28"/>
  <c r="G438" i="28" s="1"/>
  <c r="D439" i="28"/>
  <c r="G439" i="28" s="1"/>
  <c r="H442" i="28"/>
  <c r="G443" i="28"/>
  <c r="G444" i="28"/>
  <c r="E445" i="28"/>
  <c r="F445" i="28"/>
  <c r="D453" i="28"/>
  <c r="D455" i="28"/>
  <c r="E455" i="28" s="1"/>
  <c r="D456" i="28"/>
  <c r="E456" i="28" s="1"/>
  <c r="F466" i="28"/>
  <c r="G466" i="28" s="1"/>
  <c r="F467" i="28"/>
  <c r="G467" i="28"/>
  <c r="E468" i="28"/>
  <c r="E471" i="28"/>
  <c r="F471" i="28"/>
  <c r="J471" i="28"/>
  <c r="K471" i="28"/>
  <c r="F473" i="28"/>
  <c r="F475" i="28"/>
  <c r="G475" i="28"/>
  <c r="F476" i="28"/>
  <c r="G476" i="28" s="1"/>
  <c r="G483" i="28"/>
  <c r="F485" i="28"/>
  <c r="G485" i="28" s="1"/>
  <c r="F486" i="28"/>
  <c r="G486" i="28" s="1"/>
  <c r="E487" i="28"/>
  <c r="F489" i="28"/>
  <c r="F498" i="28"/>
  <c r="G498" i="28" s="1"/>
  <c r="F499" i="28"/>
  <c r="G499" i="28" s="1"/>
  <c r="F500" i="28"/>
  <c r="G500" i="28" s="1"/>
  <c r="E501" i="28"/>
  <c r="F505" i="28"/>
  <c r="G505" i="28" s="1"/>
  <c r="F507" i="28"/>
  <c r="F511" i="28"/>
  <c r="G511" i="28" s="1"/>
  <c r="F512" i="28"/>
  <c r="G512" i="28"/>
  <c r="D513" i="28"/>
  <c r="E513" i="28" s="1"/>
  <c r="J514" i="28"/>
  <c r="D515" i="28"/>
  <c r="E517" i="28"/>
  <c r="F517" i="28"/>
  <c r="G517" i="28"/>
  <c r="E518" i="28"/>
  <c r="F518" i="28"/>
  <c r="G518" i="28"/>
  <c r="F527" i="28"/>
  <c r="G527" i="28" s="1"/>
  <c r="F528" i="28"/>
  <c r="G528" i="28" s="1"/>
  <c r="F529" i="28"/>
  <c r="G529" i="28" s="1"/>
  <c r="E530" i="28"/>
  <c r="F534" i="28"/>
  <c r="G534" i="28" s="1"/>
  <c r="F535" i="28"/>
  <c r="G535" i="28"/>
  <c r="D536" i="28"/>
  <c r="E536" i="28" s="1"/>
  <c r="D538" i="28"/>
  <c r="E540" i="28"/>
  <c r="F540" i="28"/>
  <c r="G540" i="28"/>
  <c r="E541" i="28"/>
  <c r="F541" i="28"/>
  <c r="G541" i="28"/>
  <c r="F548" i="28"/>
  <c r="G548" i="28" s="1"/>
  <c r="F549" i="28"/>
  <c r="G549" i="28" s="1"/>
  <c r="E550" i="28"/>
  <c r="F554" i="28"/>
  <c r="G554" i="28" s="1"/>
  <c r="F555" i="28"/>
  <c r="G555" i="28"/>
  <c r="G557" i="28" s="1"/>
  <c r="D556" i="28"/>
  <c r="E556" i="28" s="1"/>
  <c r="D558" i="28"/>
  <c r="D560" i="28"/>
  <c r="E560" i="28" s="1"/>
  <c r="F567" i="28"/>
  <c r="G567" i="28" s="1"/>
  <c r="F570" i="28"/>
  <c r="G570" i="28" s="1"/>
  <c r="F574" i="28"/>
  <c r="G574" i="28" s="1"/>
  <c r="F575" i="28"/>
  <c r="G575" i="28" s="1"/>
  <c r="F576" i="28"/>
  <c r="G576" i="28" s="1"/>
  <c r="E577" i="28"/>
  <c r="F581" i="28"/>
  <c r="G581" i="28"/>
  <c r="F582" i="28"/>
  <c r="G582" i="28"/>
  <c r="G584" i="28" s="1"/>
  <c r="D583" i="28"/>
  <c r="D585" i="28"/>
  <c r="E587" i="28"/>
  <c r="F587" i="28"/>
  <c r="G587" i="28"/>
  <c r="J593" i="28"/>
  <c r="F596" i="28"/>
  <c r="G596" i="28" s="1"/>
  <c r="G598" i="28"/>
  <c r="F599" i="28"/>
  <c r="G599" i="28" s="1"/>
  <c r="F600" i="28"/>
  <c r="G600" i="28" s="1"/>
  <c r="F601" i="28"/>
  <c r="G601" i="28" s="1"/>
  <c r="E602" i="28"/>
  <c r="F606" i="28"/>
  <c r="G606" i="28" s="1"/>
  <c r="F607" i="28"/>
  <c r="G607" i="28"/>
  <c r="G609" i="28"/>
  <c r="D608" i="28"/>
  <c r="G608" i="28" s="1"/>
  <c r="D610" i="28"/>
  <c r="E612" i="28"/>
  <c r="F612" i="28"/>
  <c r="G612" i="28"/>
  <c r="G618" i="28"/>
  <c r="H619" i="28"/>
  <c r="H621" i="28"/>
  <c r="F624" i="28"/>
  <c r="G624" i="28" s="1"/>
  <c r="F625" i="28"/>
  <c r="G625" i="28" s="1"/>
  <c r="F626" i="28"/>
  <c r="G626" i="28" s="1"/>
  <c r="E627" i="28"/>
  <c r="F631" i="28"/>
  <c r="E633" i="28"/>
  <c r="F633" i="28"/>
  <c r="F644" i="28"/>
  <c r="G644" i="28" s="1"/>
  <c r="F645" i="28"/>
  <c r="G645" i="28" s="1"/>
  <c r="F646" i="28"/>
  <c r="G646" i="28" s="1"/>
  <c r="E647" i="28"/>
  <c r="D654" i="28"/>
  <c r="E656" i="28"/>
  <c r="F656" i="28"/>
  <c r="G656" i="28"/>
  <c r="D657" i="28"/>
  <c r="E657" i="28" s="1"/>
  <c r="G663" i="28"/>
  <c r="F664" i="28"/>
  <c r="G664" i="28" s="1"/>
  <c r="F669" i="28"/>
  <c r="G669" i="28" s="1"/>
  <c r="F670" i="28"/>
  <c r="G670" i="28" s="1"/>
  <c r="F671" i="28"/>
  <c r="G671" i="28" s="1"/>
  <c r="E672" i="28"/>
  <c r="F675" i="28"/>
  <c r="E677" i="28"/>
  <c r="F677" i="28"/>
  <c r="E678" i="28"/>
  <c r="F678" i="28"/>
  <c r="G683" i="28"/>
  <c r="G686" i="28"/>
  <c r="F689" i="28"/>
  <c r="G689" i="28" s="1"/>
  <c r="F690" i="28"/>
  <c r="G690" i="28" s="1"/>
  <c r="F691" i="28"/>
  <c r="G691" i="28" s="1"/>
  <c r="E692" i="28"/>
  <c r="F695" i="28"/>
  <c r="E697" i="28"/>
  <c r="F697" i="28"/>
  <c r="G702" i="28"/>
  <c r="F705" i="28"/>
  <c r="G705" i="28" s="1"/>
  <c r="F706" i="28"/>
  <c r="G706" i="28" s="1"/>
  <c r="F708" i="28"/>
  <c r="G708" i="28" s="1"/>
  <c r="F709" i="28"/>
  <c r="G709" i="28" s="1"/>
  <c r="E710" i="28"/>
  <c r="F712" i="28"/>
  <c r="E714" i="28"/>
  <c r="F714" i="28"/>
  <c r="F721" i="28"/>
  <c r="G721" i="28" s="1"/>
  <c r="F724" i="28"/>
  <c r="G724" i="28" s="1"/>
  <c r="F725" i="28"/>
  <c r="G725" i="28" s="1"/>
  <c r="F726" i="28"/>
  <c r="G726" i="28" s="1"/>
  <c r="E727" i="28"/>
  <c r="F730" i="28"/>
  <c r="F732" i="28"/>
  <c r="G732" i="28" s="1"/>
  <c r="E733" i="28"/>
  <c r="F733" i="28"/>
  <c r="G739" i="28"/>
  <c r="F741" i="28"/>
  <c r="G741" i="28" s="1"/>
  <c r="F742" i="28"/>
  <c r="G742" i="28" s="1"/>
  <c r="F743" i="28"/>
  <c r="G743" i="28" s="1"/>
  <c r="E744" i="28"/>
  <c r="D751" i="28"/>
  <c r="E753" i="28"/>
  <c r="F753" i="28"/>
  <c r="G753" i="28"/>
  <c r="F761" i="28"/>
  <c r="G761" i="28" s="1"/>
  <c r="E763" i="28"/>
  <c r="F766" i="28"/>
  <c r="G770" i="28"/>
  <c r="F771" i="28"/>
  <c r="G771" i="28" s="1"/>
  <c r="F772" i="28"/>
  <c r="G772" i="28" s="1"/>
  <c r="G773" i="28"/>
  <c r="F774" i="28"/>
  <c r="G774" i="28" s="1"/>
  <c r="F775" i="28"/>
  <c r="G775" i="28" s="1"/>
  <c r="E776" i="28"/>
  <c r="F778" i="28"/>
  <c r="G783" i="28"/>
  <c r="F785" i="28"/>
  <c r="G785" i="28" s="1"/>
  <c r="F786" i="28" s="1"/>
  <c r="E786" i="28"/>
  <c r="F789" i="28"/>
  <c r="G792" i="28"/>
  <c r="F793" i="28"/>
  <c r="G793" i="28" s="1"/>
  <c r="F794" i="28"/>
  <c r="F797" i="28" s="1"/>
  <c r="G797" i="28" s="1"/>
  <c r="G795" i="28"/>
  <c r="F798" i="28"/>
  <c r="G798" i="28" s="1"/>
  <c r="E799" i="28"/>
  <c r="F801" i="28"/>
  <c r="G805" i="28"/>
  <c r="G806" i="28"/>
  <c r="F807" i="28"/>
  <c r="G807" i="28" s="1"/>
  <c r="E808" i="28"/>
  <c r="G809" i="28"/>
  <c r="F811" i="28"/>
  <c r="G816" i="28"/>
  <c r="F818" i="28"/>
  <c r="G818" i="28" s="1"/>
  <c r="F819" i="28" s="1"/>
  <c r="E819" i="28"/>
  <c r="F822" i="28"/>
  <c r="J829" i="28"/>
  <c r="F831" i="28"/>
  <c r="G831" i="28" s="1"/>
  <c r="F832" i="28"/>
  <c r="G832" i="28" s="1"/>
  <c r="F833" i="28"/>
  <c r="G833" i="28" s="1"/>
  <c r="E834" i="28"/>
  <c r="F838" i="28"/>
  <c r="G838" i="28" s="1"/>
  <c r="F839" i="28"/>
  <c r="G839" i="28"/>
  <c r="D840" i="28"/>
  <c r="F840" i="28" s="1"/>
  <c r="D842" i="28"/>
  <c r="E844" i="28"/>
  <c r="F844" i="28"/>
  <c r="G844" i="28"/>
  <c r="E845" i="28"/>
  <c r="F845" i="28"/>
  <c r="G845" i="28"/>
  <c r="G850" i="28"/>
  <c r="F852" i="28"/>
  <c r="G852" i="28" s="1"/>
  <c r="E853" i="28"/>
  <c r="G860" i="28"/>
  <c r="F862" i="28"/>
  <c r="G862" i="28" s="1"/>
  <c r="F863" i="28"/>
  <c r="G863" i="28" s="1"/>
  <c r="E864" i="28"/>
  <c r="F867" i="28"/>
  <c r="G871" i="28"/>
  <c r="F873" i="28"/>
  <c r="G873" i="28" s="1"/>
  <c r="F874" i="28"/>
  <c r="G874" i="28" s="1"/>
  <c r="E875" i="28"/>
  <c r="F877" i="28"/>
  <c r="G881" i="28"/>
  <c r="F883" i="28"/>
  <c r="G883" i="28" s="1"/>
  <c r="F884" i="28"/>
  <c r="G884" i="28" s="1"/>
  <c r="F885" i="28"/>
  <c r="G885" i="28" s="1"/>
  <c r="E886" i="28"/>
  <c r="F888" i="28"/>
  <c r="F894" i="28"/>
  <c r="G894" i="28" s="1"/>
  <c r="F895" i="28"/>
  <c r="G895" i="28" s="1"/>
  <c r="E896" i="28"/>
  <c r="F898" i="28"/>
  <c r="E902" i="28"/>
  <c r="F902" i="28"/>
  <c r="F914" i="28"/>
  <c r="G914" i="28" s="1"/>
  <c r="F915" i="28"/>
  <c r="G915" i="28" s="1"/>
  <c r="E916" i="28"/>
  <c r="F919" i="28"/>
  <c r="F921" i="28"/>
  <c r="G921" i="28" s="1"/>
  <c r="F922" i="28"/>
  <c r="G922" i="28" s="1"/>
  <c r="G928" i="28"/>
  <c r="G929" i="28"/>
  <c r="E930" i="28"/>
  <c r="F932" i="28"/>
  <c r="G937" i="28"/>
  <c r="F938" i="28"/>
  <c r="G938" i="28" s="1"/>
  <c r="F939" i="28"/>
  <c r="G939" i="28" s="1"/>
  <c r="G940" i="28"/>
  <c r="F941" i="28"/>
  <c r="G941" i="28" s="1"/>
  <c r="F942" i="28"/>
  <c r="G942" i="28" s="1"/>
  <c r="E943" i="28"/>
  <c r="E945" i="28"/>
  <c r="E949" i="28"/>
  <c r="G949" i="28" s="1"/>
  <c r="G950" i="28" s="1"/>
  <c r="F949" i="28"/>
  <c r="G954" i="28"/>
  <c r="G955" i="28"/>
  <c r="G956" i="28"/>
  <c r="G957" i="28"/>
  <c r="G958" i="28"/>
  <c r="G959" i="28"/>
  <c r="G960" i="28"/>
  <c r="G961" i="28"/>
  <c r="G962" i="28"/>
  <c r="E963" i="28"/>
  <c r="G965" i="28"/>
  <c r="G966" i="28"/>
  <c r="E969" i="28"/>
  <c r="G975" i="28"/>
  <c r="G976" i="28"/>
  <c r="G977" i="28"/>
  <c r="G978" i="28"/>
  <c r="G979" i="28"/>
  <c r="G980" i="28"/>
  <c r="G981" i="28"/>
  <c r="G982" i="28"/>
  <c r="G983" i="28"/>
  <c r="G984" i="28"/>
  <c r="G985" i="28"/>
  <c r="G986" i="28"/>
  <c r="G987" i="28"/>
  <c r="G988" i="28"/>
  <c r="G989" i="28"/>
  <c r="G990" i="28"/>
  <c r="F991" i="28" s="1"/>
  <c r="E991" i="28"/>
  <c r="G993" i="28"/>
  <c r="G994" i="28"/>
  <c r="E997" i="28"/>
  <c r="G1002" i="28"/>
  <c r="G1003" i="28"/>
  <c r="G1004" i="28"/>
  <c r="G1005" i="28"/>
  <c r="G1006" i="28"/>
  <c r="E1007" i="28"/>
  <c r="E1009" i="28"/>
  <c r="G1014" i="28"/>
  <c r="F1015" i="28"/>
  <c r="G1015" i="28" s="1"/>
  <c r="F1016" i="28"/>
  <c r="G1016" i="28" s="1"/>
  <c r="G1017" i="28"/>
  <c r="F1018" i="28"/>
  <c r="G1018" i="28" s="1"/>
  <c r="F1020" i="28"/>
  <c r="G1020" i="28" s="1"/>
  <c r="F1021" i="28"/>
  <c r="G1021" i="28" s="1"/>
  <c r="F1022" i="28"/>
  <c r="G1022" i="28" s="1"/>
  <c r="F1023" i="28"/>
  <c r="G1023" i="28" s="1"/>
  <c r="F1024" i="28"/>
  <c r="G1024" i="28" s="1"/>
  <c r="E1026" i="28"/>
  <c r="G1031" i="28"/>
  <c r="I1031" i="28"/>
  <c r="E1032" i="28"/>
  <c r="G1032" i="28"/>
  <c r="E1034" i="28"/>
  <c r="G1034" i="28" s="1"/>
  <c r="E1035" i="28"/>
  <c r="G1035" i="28" s="1"/>
  <c r="E1036" i="28"/>
  <c r="G1036" i="28"/>
  <c r="E1037" i="28"/>
  <c r="G1037" i="28" s="1"/>
  <c r="E1038" i="28"/>
  <c r="G1038" i="28" s="1"/>
  <c r="E1041" i="28"/>
  <c r="F1041" i="28"/>
  <c r="E1042" i="28"/>
  <c r="G1042" i="28" s="1"/>
  <c r="E1044" i="28"/>
  <c r="G1044" i="28" s="1"/>
  <c r="E1045" i="28"/>
  <c r="G1045" i="28"/>
  <c r="E1047" i="28"/>
  <c r="G1047" i="28" s="1"/>
  <c r="E1048" i="28"/>
  <c r="G1048" i="28" s="1"/>
  <c r="G1054" i="28"/>
  <c r="F1056" i="28"/>
  <c r="G1056" i="28" s="1"/>
  <c r="G1060" i="28"/>
  <c r="G1062" i="28"/>
  <c r="G1063" i="28"/>
  <c r="G1064" i="28"/>
  <c r="E1066" i="28"/>
  <c r="G1066" i="28" s="1"/>
  <c r="G1075" i="28"/>
  <c r="G1076" i="28"/>
  <c r="G1078" i="28"/>
  <c r="G1080" i="28"/>
  <c r="G1081" i="28"/>
  <c r="E1082" i="28"/>
  <c r="D3" i="29"/>
  <c r="D4" i="29"/>
  <c r="D5" i="29"/>
  <c r="D6" i="29"/>
  <c r="D7" i="29"/>
  <c r="D9" i="29"/>
  <c r="D10" i="29"/>
  <c r="D11" i="29"/>
  <c r="D12" i="29"/>
  <c r="D13" i="29"/>
  <c r="D15" i="29"/>
  <c r="D16" i="29"/>
  <c r="D17" i="29"/>
  <c r="D18" i="29"/>
  <c r="D19" i="29"/>
  <c r="D21" i="29"/>
  <c r="D22" i="29"/>
  <c r="D23" i="29"/>
  <c r="D24" i="29"/>
  <c r="D25" i="29"/>
  <c r="D27" i="29"/>
  <c r="D28" i="29"/>
  <c r="D29" i="29"/>
  <c r="D30" i="29"/>
  <c r="D31" i="29"/>
  <c r="D33" i="29"/>
  <c r="D34" i="29"/>
  <c r="D35" i="29"/>
  <c r="D36" i="29"/>
  <c r="D37" i="29"/>
  <c r="A39" i="29"/>
  <c r="A45" i="29"/>
  <c r="A51" i="29" s="1"/>
  <c r="A57" i="29" s="1"/>
  <c r="A63" i="29" s="1"/>
  <c r="A69" i="29" s="1"/>
  <c r="A75" i="29" s="1"/>
  <c r="A81" i="29" s="1"/>
  <c r="A87" i="29" s="1"/>
  <c r="D39" i="29"/>
  <c r="D40" i="29"/>
  <c r="D41" i="29"/>
  <c r="D42" i="29"/>
  <c r="D43" i="29"/>
  <c r="D45" i="29"/>
  <c r="D46" i="29"/>
  <c r="D47" i="29"/>
  <c r="D48" i="29"/>
  <c r="D49" i="29"/>
  <c r="D51" i="29"/>
  <c r="D52" i="29"/>
  <c r="D53" i="29"/>
  <c r="D54" i="29"/>
  <c r="D55" i="29"/>
  <c r="D57" i="29"/>
  <c r="D58" i="29"/>
  <c r="D59" i="29"/>
  <c r="D60" i="29"/>
  <c r="D61" i="29"/>
  <c r="D63" i="29"/>
  <c r="D64" i="29"/>
  <c r="D65" i="29"/>
  <c r="D66" i="29"/>
  <c r="D67" i="29"/>
  <c r="D69" i="29"/>
  <c r="D70" i="29"/>
  <c r="D71" i="29"/>
  <c r="D72" i="29"/>
  <c r="D73" i="29"/>
  <c r="D75" i="29"/>
  <c r="D76" i="29"/>
  <c r="D77" i="29"/>
  <c r="D78" i="29"/>
  <c r="D79" i="29"/>
  <c r="D81" i="29"/>
  <c r="D82" i="29"/>
  <c r="D83" i="29"/>
  <c r="D84" i="29"/>
  <c r="D85" i="29"/>
  <c r="D87" i="29"/>
  <c r="D88" i="29"/>
  <c r="D89" i="29"/>
  <c r="D90" i="29"/>
  <c r="D91" i="29"/>
  <c r="A2" i="30"/>
  <c r="C4" i="30"/>
  <c r="D4" i="30" s="1"/>
  <c r="E4" i="30" s="1"/>
  <c r="F4" i="30" s="1"/>
  <c r="G4" i="30" s="1"/>
  <c r="H4" i="30" s="1"/>
  <c r="I4" i="30" s="1"/>
  <c r="J4" i="30"/>
  <c r="H52" i="30"/>
  <c r="J52" i="30" s="1"/>
  <c r="H53" i="30"/>
  <c r="H55" i="30"/>
  <c r="J56" i="30"/>
  <c r="J57" i="30"/>
  <c r="H88" i="30"/>
  <c r="J88" i="30" s="1"/>
  <c r="H89" i="30"/>
  <c r="J89" i="30"/>
  <c r="J92" i="30"/>
  <c r="J93" i="30"/>
  <c r="H101" i="30"/>
  <c r="J101" i="30" s="1"/>
  <c r="H102" i="30"/>
  <c r="J102" i="30" s="1"/>
  <c r="E103" i="30"/>
  <c r="G103" i="30"/>
  <c r="E104" i="30"/>
  <c r="G104" i="30"/>
  <c r="E105" i="30"/>
  <c r="F105" i="30"/>
  <c r="J108" i="30"/>
  <c r="J109" i="30"/>
  <c r="J110" i="30"/>
  <c r="J111" i="30"/>
  <c r="J112" i="30"/>
  <c r="J113" i="30"/>
  <c r="J114" i="30"/>
  <c r="J115" i="30"/>
  <c r="J116" i="30"/>
  <c r="H117" i="30"/>
  <c r="J118" i="30"/>
  <c r="H124" i="30"/>
  <c r="H125" i="30"/>
  <c r="H127" i="30"/>
  <c r="J128" i="30"/>
  <c r="J129" i="30"/>
  <c r="H137" i="30"/>
  <c r="J137" i="30" s="1"/>
  <c r="H138" i="30"/>
  <c r="E139" i="30"/>
  <c r="G139" i="30"/>
  <c r="E140" i="30"/>
  <c r="G140" i="30"/>
  <c r="E141" i="30"/>
  <c r="F141" i="30"/>
  <c r="J144" i="30"/>
  <c r="J145" i="30"/>
  <c r="J146" i="30"/>
  <c r="J147" i="30"/>
  <c r="J148" i="30"/>
  <c r="J149" i="30"/>
  <c r="J150" i="30"/>
  <c r="J151" i="30"/>
  <c r="J152" i="30"/>
  <c r="H153" i="30"/>
  <c r="J154" i="30"/>
  <c r="H160" i="30"/>
  <c r="J160" i="30" s="1"/>
  <c r="H161" i="30"/>
  <c r="J163" i="30"/>
  <c r="J164" i="30"/>
  <c r="H197" i="30"/>
  <c r="H199" i="30" s="1"/>
  <c r="H198" i="30"/>
  <c r="J200" i="30"/>
  <c r="H201" i="30"/>
  <c r="J202" i="30"/>
  <c r="H235" i="30"/>
  <c r="H236" i="30"/>
  <c r="J238" i="30"/>
  <c r="H239" i="30"/>
  <c r="J240" i="30"/>
  <c r="I242" i="30"/>
  <c r="H248" i="30"/>
  <c r="H253" i="30" s="1"/>
  <c r="P248" i="30"/>
  <c r="R248" i="30" s="1"/>
  <c r="P249" i="30"/>
  <c r="G250" i="30"/>
  <c r="H250" i="30"/>
  <c r="M250" i="30"/>
  <c r="O250" i="30"/>
  <c r="G251" i="30"/>
  <c r="H251" i="30"/>
  <c r="M251" i="30"/>
  <c r="O251" i="30"/>
  <c r="M252" i="30"/>
  <c r="N252" i="30"/>
  <c r="J255" i="30"/>
  <c r="R255" i="30"/>
  <c r="J256" i="30"/>
  <c r="R256" i="30"/>
  <c r="J257" i="30"/>
  <c r="R257" i="30"/>
  <c r="J258" i="30"/>
  <c r="R258" i="30"/>
  <c r="J259" i="30"/>
  <c r="R259" i="30"/>
  <c r="J260" i="30"/>
  <c r="R260" i="30"/>
  <c r="P261" i="30"/>
  <c r="N262" i="30"/>
  <c r="P262" i="30"/>
  <c r="J263" i="30"/>
  <c r="R263" i="30"/>
  <c r="Q265" i="30"/>
  <c r="P269" i="30"/>
  <c r="R269" i="30" s="1"/>
  <c r="P270" i="30"/>
  <c r="R270" i="30" s="1"/>
  <c r="R273" i="30"/>
  <c r="P274" i="30"/>
  <c r="N275" i="30"/>
  <c r="P275" i="30" s="1"/>
  <c r="J276" i="30"/>
  <c r="R276" i="30"/>
  <c r="Q278" i="30"/>
  <c r="H284" i="30"/>
  <c r="J284" i="30" s="1"/>
  <c r="P284" i="30"/>
  <c r="R284" i="30"/>
  <c r="H285" i="30"/>
  <c r="J285" i="30" s="1"/>
  <c r="P285" i="30"/>
  <c r="R285" i="30" s="1"/>
  <c r="E286" i="30"/>
  <c r="G286" i="30"/>
  <c r="M286" i="30"/>
  <c r="O286" i="30"/>
  <c r="E287" i="30"/>
  <c r="G287" i="30"/>
  <c r="M287" i="30"/>
  <c r="O287" i="30"/>
  <c r="E288" i="30"/>
  <c r="F288" i="30"/>
  <c r="M288" i="30"/>
  <c r="N288" i="30"/>
  <c r="J291" i="30"/>
  <c r="R291" i="30"/>
  <c r="J292" i="30"/>
  <c r="R292" i="30"/>
  <c r="J293" i="30"/>
  <c r="R293" i="30"/>
  <c r="J294" i="30"/>
  <c r="R294" i="30"/>
  <c r="J295" i="30"/>
  <c r="R295" i="30"/>
  <c r="J296" i="30"/>
  <c r="R296" i="30"/>
  <c r="H297" i="30"/>
  <c r="P297" i="30"/>
  <c r="F298" i="30"/>
  <c r="H298" i="30" s="1"/>
  <c r="N298" i="30"/>
  <c r="P298" i="30" s="1"/>
  <c r="J299" i="30"/>
  <c r="R299" i="30"/>
  <c r="H305" i="30"/>
  <c r="J305" i="30" s="1"/>
  <c r="P305" i="30"/>
  <c r="R305" i="30" s="1"/>
  <c r="H306" i="30"/>
  <c r="J306" i="30" s="1"/>
  <c r="P306" i="30"/>
  <c r="R306" i="30" s="1"/>
  <c r="J309" i="30"/>
  <c r="R309" i="30"/>
  <c r="H310" i="30"/>
  <c r="P310" i="30"/>
  <c r="F311" i="30"/>
  <c r="H311" i="30" s="1"/>
  <c r="N311" i="30"/>
  <c r="P311" i="30" s="1"/>
  <c r="J312" i="30"/>
  <c r="R312" i="30"/>
  <c r="F334" i="30"/>
  <c r="H334" i="30" s="1"/>
  <c r="R314" i="30"/>
  <c r="H320" i="30"/>
  <c r="J320" i="30" s="1"/>
  <c r="H321" i="30"/>
  <c r="J321" i="30" s="1"/>
  <c r="E322" i="30"/>
  <c r="G322" i="30"/>
  <c r="E323" i="30"/>
  <c r="G323" i="30"/>
  <c r="E324" i="30"/>
  <c r="F324" i="30"/>
  <c r="J327" i="30"/>
  <c r="J328" i="30"/>
  <c r="J329" i="30"/>
  <c r="J330" i="30"/>
  <c r="J331" i="30"/>
  <c r="J332" i="30"/>
  <c r="H333" i="30"/>
  <c r="J335" i="30"/>
  <c r="H341" i="30"/>
  <c r="J341" i="30" s="1"/>
  <c r="H342" i="30"/>
  <c r="J342" i="30" s="1"/>
  <c r="J345" i="30"/>
  <c r="H346" i="30"/>
  <c r="F347" i="30"/>
  <c r="H347" i="30" s="1"/>
  <c r="J348" i="30"/>
  <c r="H356" i="30"/>
  <c r="H357" i="30"/>
  <c r="J357" i="30" s="1"/>
  <c r="E358" i="30"/>
  <c r="H358" i="30"/>
  <c r="J358" i="30" s="1"/>
  <c r="E359" i="30"/>
  <c r="H359" i="30"/>
  <c r="J359" i="30" s="1"/>
  <c r="E360" i="30"/>
  <c r="F360" i="30"/>
  <c r="J363" i="30"/>
  <c r="J364" i="30"/>
  <c r="J365" i="30"/>
  <c r="J366" i="30"/>
  <c r="J367" i="30"/>
  <c r="J368" i="30"/>
  <c r="H369" i="30"/>
  <c r="F370" i="30"/>
  <c r="H370" i="30"/>
  <c r="J371" i="30"/>
  <c r="H377" i="30"/>
  <c r="J377" i="30" s="1"/>
  <c r="H378" i="30"/>
  <c r="J378" i="30" s="1"/>
  <c r="J380" i="30"/>
  <c r="H381" i="30"/>
  <c r="F382" i="30"/>
  <c r="H382" i="30" s="1"/>
  <c r="J383" i="30"/>
  <c r="H391" i="30"/>
  <c r="J391" i="30" s="1"/>
  <c r="P391" i="30"/>
  <c r="R391" i="30" s="1"/>
  <c r="H392" i="30"/>
  <c r="J392" i="30"/>
  <c r="P392" i="30"/>
  <c r="R392" i="30" s="1"/>
  <c r="E393" i="30"/>
  <c r="H393" i="30"/>
  <c r="J393" i="30" s="1"/>
  <c r="M393" i="30"/>
  <c r="P393" i="30"/>
  <c r="R393" i="30" s="1"/>
  <c r="E394" i="30"/>
  <c r="H394" i="30"/>
  <c r="J394" i="30" s="1"/>
  <c r="M394" i="30"/>
  <c r="P394" i="30" s="1"/>
  <c r="E395" i="30"/>
  <c r="F395" i="30"/>
  <c r="M395" i="30"/>
  <c r="O395" i="30" s="1"/>
  <c r="R395" i="30" s="1"/>
  <c r="N395" i="30"/>
  <c r="J398" i="30"/>
  <c r="R398" i="30"/>
  <c r="J399" i="30"/>
  <c r="R399" i="30"/>
  <c r="J400" i="30"/>
  <c r="R400" i="30"/>
  <c r="J401" i="30"/>
  <c r="R401" i="30"/>
  <c r="J402" i="30"/>
  <c r="R402" i="30"/>
  <c r="J403" i="30"/>
  <c r="R403" i="30"/>
  <c r="H404" i="30"/>
  <c r="P404" i="30"/>
  <c r="F405" i="30"/>
  <c r="H405" i="30"/>
  <c r="N405" i="30"/>
  <c r="P405" i="30"/>
  <c r="J406" i="30"/>
  <c r="R406" i="30"/>
  <c r="Q408" i="30"/>
  <c r="H412" i="30"/>
  <c r="J412" i="30" s="1"/>
  <c r="P412" i="30"/>
  <c r="R412" i="30" s="1"/>
  <c r="H413" i="30"/>
  <c r="J413" i="30"/>
  <c r="P413" i="30"/>
  <c r="R413" i="30" s="1"/>
  <c r="J416" i="30"/>
  <c r="R416" i="30"/>
  <c r="H417" i="30"/>
  <c r="P417" i="30"/>
  <c r="F418" i="30"/>
  <c r="H418" i="30"/>
  <c r="N418" i="30"/>
  <c r="P418" i="30"/>
  <c r="J419" i="30"/>
  <c r="R419" i="30"/>
  <c r="H421" i="30"/>
  <c r="P421" i="30"/>
  <c r="H427" i="30"/>
  <c r="J427" i="30" s="1"/>
  <c r="H428" i="30"/>
  <c r="J428" i="30" s="1"/>
  <c r="E429" i="30"/>
  <c r="G429" i="30"/>
  <c r="E430" i="30"/>
  <c r="G430" i="30"/>
  <c r="E431" i="30"/>
  <c r="F431" i="30"/>
  <c r="J434" i="30"/>
  <c r="J435" i="30"/>
  <c r="J436" i="30"/>
  <c r="J437" i="30"/>
  <c r="J438" i="30"/>
  <c r="J439" i="30"/>
  <c r="H440" i="30"/>
  <c r="F441" i="30"/>
  <c r="H441" i="30" s="1"/>
  <c r="K441" i="30"/>
  <c r="J442" i="30"/>
  <c r="H444" i="30"/>
  <c r="H448" i="30"/>
  <c r="J448" i="30" s="1"/>
  <c r="H449" i="30"/>
  <c r="J449" i="30" s="1"/>
  <c r="J452" i="30"/>
  <c r="H453" i="30"/>
  <c r="F454" i="30"/>
  <c r="H454" i="30" s="1"/>
  <c r="J455" i="30"/>
  <c r="H457" i="30"/>
  <c r="H465" i="30"/>
  <c r="J465" i="30" s="1"/>
  <c r="H466" i="30"/>
  <c r="J466" i="30" s="1"/>
  <c r="H468" i="30"/>
  <c r="F469" i="30"/>
  <c r="H469" i="30" s="1"/>
  <c r="H471" i="30"/>
  <c r="A2" i="31"/>
  <c r="C4" i="31"/>
  <c r="D4" i="31" s="1"/>
  <c r="E4" i="31" s="1"/>
  <c r="F4" i="31" s="1"/>
  <c r="G4" i="31" s="1"/>
  <c r="H4" i="31" s="1"/>
  <c r="I4" i="31" s="1"/>
  <c r="J4" i="31"/>
  <c r="I6" i="31"/>
  <c r="I268" i="31" s="1"/>
  <c r="H29" i="31"/>
  <c r="J29" i="31" s="1"/>
  <c r="H30" i="31"/>
  <c r="J30" i="31" s="1"/>
  <c r="E31" i="31"/>
  <c r="G31" i="31"/>
  <c r="E32" i="31"/>
  <c r="G32" i="31"/>
  <c r="E33" i="31"/>
  <c r="F33" i="31"/>
  <c r="G33" i="31"/>
  <c r="J36" i="31"/>
  <c r="J37" i="31"/>
  <c r="J38" i="31"/>
  <c r="J39" i="31"/>
  <c r="J40" i="31"/>
  <c r="J41" i="31"/>
  <c r="J42" i="31"/>
  <c r="J43" i="31"/>
  <c r="H44" i="31"/>
  <c r="J45" i="31"/>
  <c r="J46" i="31"/>
  <c r="H52" i="31"/>
  <c r="J52" i="31" s="1"/>
  <c r="H53" i="31"/>
  <c r="J53" i="31" s="1"/>
  <c r="H55" i="31"/>
  <c r="J56" i="31"/>
  <c r="J57" i="31"/>
  <c r="H65" i="31"/>
  <c r="J65" i="31" s="1"/>
  <c r="H66" i="31"/>
  <c r="J66" i="31" s="1"/>
  <c r="E67" i="31"/>
  <c r="G67" i="31"/>
  <c r="E68" i="31"/>
  <c r="G68" i="31"/>
  <c r="E69" i="31"/>
  <c r="F69" i="31"/>
  <c r="J72" i="31"/>
  <c r="J73" i="31"/>
  <c r="J74" i="31"/>
  <c r="J75" i="31"/>
  <c r="J76" i="31"/>
  <c r="J77" i="31"/>
  <c r="J78" i="31"/>
  <c r="J79" i="31"/>
  <c r="J80" i="31"/>
  <c r="H81" i="31"/>
  <c r="J82" i="31"/>
  <c r="H88" i="31"/>
  <c r="J88" i="31" s="1"/>
  <c r="H89" i="31"/>
  <c r="J89" i="31" s="1"/>
  <c r="J92" i="31"/>
  <c r="H93" i="31"/>
  <c r="J94" i="31"/>
  <c r="H102" i="31"/>
  <c r="J102" i="31" s="1"/>
  <c r="H103" i="31"/>
  <c r="J103" i="31" s="1"/>
  <c r="E104" i="31"/>
  <c r="G104" i="31"/>
  <c r="E105" i="31"/>
  <c r="G105" i="31"/>
  <c r="E106" i="31"/>
  <c r="F106" i="31"/>
  <c r="J109" i="31"/>
  <c r="J110" i="31"/>
  <c r="J111" i="31"/>
  <c r="J112" i="31"/>
  <c r="J113" i="31"/>
  <c r="J114" i="31"/>
  <c r="J115" i="31"/>
  <c r="J116" i="31"/>
  <c r="J117" i="31"/>
  <c r="H118" i="31"/>
  <c r="J119" i="31"/>
  <c r="H125" i="31"/>
  <c r="J125" i="31" s="1"/>
  <c r="H126" i="31"/>
  <c r="J126" i="31" s="1"/>
  <c r="H128" i="31"/>
  <c r="J129" i="31"/>
  <c r="J130" i="31"/>
  <c r="H138" i="31"/>
  <c r="H139" i="31"/>
  <c r="J139" i="31" s="1"/>
  <c r="E140" i="31"/>
  <c r="G140" i="31"/>
  <c r="E141" i="31"/>
  <c r="G141" i="31"/>
  <c r="E142" i="31"/>
  <c r="F142" i="31"/>
  <c r="J145" i="31"/>
  <c r="J146" i="31"/>
  <c r="J147" i="31"/>
  <c r="J148" i="31"/>
  <c r="J149" i="31"/>
  <c r="J150" i="31"/>
  <c r="J151" i="31"/>
  <c r="J152" i="31"/>
  <c r="J153" i="31"/>
  <c r="H154" i="31"/>
  <c r="J155" i="31"/>
  <c r="H161" i="31"/>
  <c r="J161" i="31" s="1"/>
  <c r="H162" i="31"/>
  <c r="J162" i="31" s="1"/>
  <c r="H164" i="31"/>
  <c r="J165" i="31"/>
  <c r="J166" i="31"/>
  <c r="H174" i="31"/>
  <c r="J174" i="31" s="1"/>
  <c r="H175" i="31"/>
  <c r="J175" i="31" s="1"/>
  <c r="E176" i="31"/>
  <c r="G176" i="31"/>
  <c r="E177" i="31"/>
  <c r="G177" i="31"/>
  <c r="E178" i="31"/>
  <c r="F178" i="31"/>
  <c r="E179" i="31"/>
  <c r="F179" i="31"/>
  <c r="J183" i="31"/>
  <c r="J184" i="31"/>
  <c r="J185" i="31"/>
  <c r="J186" i="31"/>
  <c r="J187" i="31"/>
  <c r="J188" i="31"/>
  <c r="J189" i="31"/>
  <c r="J190" i="31"/>
  <c r="J191" i="31"/>
  <c r="H192" i="31"/>
  <c r="J193" i="31"/>
  <c r="H199" i="31"/>
  <c r="J199" i="31" s="1"/>
  <c r="H200" i="31"/>
  <c r="J200" i="31" s="1"/>
  <c r="J202" i="31"/>
  <c r="H203" i="31"/>
  <c r="J204" i="31"/>
  <c r="H239" i="31"/>
  <c r="J239" i="31"/>
  <c r="H240" i="31"/>
  <c r="J240" i="31"/>
  <c r="J242" i="31"/>
  <c r="J243" i="31"/>
  <c r="I245" i="31"/>
  <c r="H251" i="31"/>
  <c r="J251" i="31" s="1"/>
  <c r="P251" i="31"/>
  <c r="R251" i="31" s="1"/>
  <c r="H252" i="31"/>
  <c r="J252" i="31" s="1"/>
  <c r="P252" i="31"/>
  <c r="R252" i="31" s="1"/>
  <c r="E253" i="31"/>
  <c r="G253" i="31"/>
  <c r="M253" i="31"/>
  <c r="O253" i="31"/>
  <c r="E254" i="31"/>
  <c r="G254" i="31"/>
  <c r="M254" i="31"/>
  <c r="O254" i="31"/>
  <c r="E255" i="31"/>
  <c r="F255" i="31"/>
  <c r="M255" i="31"/>
  <c r="N255" i="31"/>
  <c r="P255" i="31" s="1"/>
  <c r="R255" i="31" s="1"/>
  <c r="J258" i="31"/>
  <c r="R258" i="31"/>
  <c r="J259" i="31"/>
  <c r="R259" i="31"/>
  <c r="J260" i="31"/>
  <c r="R260" i="31"/>
  <c r="J261" i="31"/>
  <c r="R261" i="31"/>
  <c r="J262" i="31"/>
  <c r="R262" i="31"/>
  <c r="J263" i="31"/>
  <c r="R263" i="31"/>
  <c r="H264" i="31"/>
  <c r="P264" i="31"/>
  <c r="F265" i="31"/>
  <c r="H265" i="31" s="1"/>
  <c r="N265" i="31"/>
  <c r="P265" i="31" s="1"/>
  <c r="J266" i="31"/>
  <c r="R266" i="31"/>
  <c r="Q268" i="31"/>
  <c r="H272" i="31"/>
  <c r="J272" i="31" s="1"/>
  <c r="P272" i="31"/>
  <c r="R272" i="31" s="1"/>
  <c r="H273" i="31"/>
  <c r="J273" i="31" s="1"/>
  <c r="P273" i="31"/>
  <c r="R273" i="31" s="1"/>
  <c r="J276" i="31"/>
  <c r="R276" i="31"/>
  <c r="H277" i="31"/>
  <c r="P277" i="31"/>
  <c r="F278" i="31"/>
  <c r="H278" i="31" s="1"/>
  <c r="N278" i="31"/>
  <c r="P278" i="31" s="1"/>
  <c r="J279" i="31"/>
  <c r="R279" i="31"/>
  <c r="Q281" i="31"/>
  <c r="H287" i="31"/>
  <c r="J287" i="31" s="1"/>
  <c r="P287" i="31"/>
  <c r="R287" i="31" s="1"/>
  <c r="H288" i="31"/>
  <c r="J288" i="31" s="1"/>
  <c r="P288" i="31"/>
  <c r="R288" i="31" s="1"/>
  <c r="E289" i="31"/>
  <c r="G289" i="31"/>
  <c r="M289" i="31"/>
  <c r="O289" i="31"/>
  <c r="E290" i="31"/>
  <c r="G290" i="31"/>
  <c r="H290" i="31" s="1"/>
  <c r="J290" i="31" s="1"/>
  <c r="M290" i="31"/>
  <c r="O290" i="31"/>
  <c r="E291" i="31"/>
  <c r="F291" i="31"/>
  <c r="M291" i="31"/>
  <c r="N291" i="31"/>
  <c r="J294" i="31"/>
  <c r="R294" i="31"/>
  <c r="J295" i="31"/>
  <c r="R295" i="31"/>
  <c r="J296" i="31"/>
  <c r="R296" i="31"/>
  <c r="J297" i="31"/>
  <c r="R297" i="31"/>
  <c r="J298" i="31"/>
  <c r="R298" i="31"/>
  <c r="J299" i="31"/>
  <c r="R299" i="31"/>
  <c r="H300" i="31"/>
  <c r="P300" i="31"/>
  <c r="F301" i="31"/>
  <c r="H301" i="31" s="1"/>
  <c r="N301" i="31"/>
  <c r="P301" i="31" s="1"/>
  <c r="J302" i="31"/>
  <c r="R302" i="31"/>
  <c r="H308" i="31"/>
  <c r="J308" i="31" s="1"/>
  <c r="P308" i="31"/>
  <c r="R308" i="31" s="1"/>
  <c r="H309" i="31"/>
  <c r="J309" i="31" s="1"/>
  <c r="P309" i="31"/>
  <c r="R309" i="31" s="1"/>
  <c r="J312" i="31"/>
  <c r="R312" i="31"/>
  <c r="H313" i="31"/>
  <c r="P313" i="31"/>
  <c r="F314" i="31"/>
  <c r="H314" i="31" s="1"/>
  <c r="N314" i="31"/>
  <c r="P314" i="31" s="1"/>
  <c r="J315" i="31"/>
  <c r="R315" i="31"/>
  <c r="F337" i="31"/>
  <c r="H337" i="31" s="1"/>
  <c r="R317" i="31"/>
  <c r="H323" i="31"/>
  <c r="J323" i="31"/>
  <c r="H324" i="31"/>
  <c r="J324" i="31" s="1"/>
  <c r="E325" i="31"/>
  <c r="G325" i="31"/>
  <c r="E326" i="31"/>
  <c r="G326" i="31"/>
  <c r="E327" i="31"/>
  <c r="F327" i="31"/>
  <c r="J330" i="31"/>
  <c r="J331" i="31"/>
  <c r="J332" i="31"/>
  <c r="J333" i="31"/>
  <c r="J334" i="31"/>
  <c r="J335" i="31"/>
  <c r="H336" i="31"/>
  <c r="J338" i="31"/>
  <c r="H344" i="31"/>
  <c r="J344" i="31" s="1"/>
  <c r="H345" i="31"/>
  <c r="J345" i="31" s="1"/>
  <c r="J348" i="31"/>
  <c r="H349" i="31"/>
  <c r="F350" i="31"/>
  <c r="H350" i="31" s="1"/>
  <c r="J351" i="31"/>
  <c r="H359" i="31"/>
  <c r="J359" i="31" s="1"/>
  <c r="H360" i="31"/>
  <c r="J360" i="31" s="1"/>
  <c r="E361" i="31"/>
  <c r="H361" i="31" s="1"/>
  <c r="J361" i="31" s="1"/>
  <c r="E362" i="31"/>
  <c r="H362" i="31"/>
  <c r="J362" i="31" s="1"/>
  <c r="E363" i="31"/>
  <c r="F363" i="31"/>
  <c r="J366" i="31"/>
  <c r="J367" i="31"/>
  <c r="J368" i="31"/>
  <c r="J369" i="31"/>
  <c r="J370" i="31"/>
  <c r="J371" i="31"/>
  <c r="H372" i="31"/>
  <c r="F373" i="31"/>
  <c r="H373" i="31"/>
  <c r="J374" i="31"/>
  <c r="H380" i="31"/>
  <c r="H381" i="31"/>
  <c r="J381" i="31"/>
  <c r="J383" i="31"/>
  <c r="H384" i="31"/>
  <c r="F385" i="31"/>
  <c r="H385" i="31"/>
  <c r="J386" i="31"/>
  <c r="H394" i="31"/>
  <c r="P394" i="31"/>
  <c r="R394" i="31" s="1"/>
  <c r="H395" i="31"/>
  <c r="J395" i="31" s="1"/>
  <c r="P395" i="31"/>
  <c r="R395" i="31" s="1"/>
  <c r="E396" i="31"/>
  <c r="H396" i="31"/>
  <c r="J396" i="31"/>
  <c r="M396" i="31"/>
  <c r="P396" i="31" s="1"/>
  <c r="E397" i="31"/>
  <c r="H397" i="31"/>
  <c r="J397" i="31" s="1"/>
  <c r="M397" i="31"/>
  <c r="P397" i="31"/>
  <c r="R397" i="31" s="1"/>
  <c r="E398" i="31"/>
  <c r="F398" i="31"/>
  <c r="M398" i="31"/>
  <c r="N398" i="31"/>
  <c r="J401" i="31"/>
  <c r="R401" i="31"/>
  <c r="J402" i="31"/>
  <c r="R402" i="31"/>
  <c r="J403" i="31"/>
  <c r="R403" i="31"/>
  <c r="J404" i="31"/>
  <c r="R404" i="31"/>
  <c r="J405" i="31"/>
  <c r="R405" i="31"/>
  <c r="J406" i="31"/>
  <c r="R406" i="31"/>
  <c r="H407" i="31"/>
  <c r="P407" i="31"/>
  <c r="F408" i="31"/>
  <c r="H408" i="31" s="1"/>
  <c r="N408" i="31"/>
  <c r="P408" i="31"/>
  <c r="J409" i="31"/>
  <c r="R409" i="31"/>
  <c r="Q411" i="31"/>
  <c r="H415" i="31"/>
  <c r="H417" i="31" s="1"/>
  <c r="P415" i="31"/>
  <c r="H416" i="31"/>
  <c r="J416" i="31" s="1"/>
  <c r="P416" i="31"/>
  <c r="R416" i="31" s="1"/>
  <c r="J419" i="31"/>
  <c r="R419" i="31"/>
  <c r="H420" i="31"/>
  <c r="P420" i="31"/>
  <c r="F421" i="31"/>
  <c r="H421" i="31" s="1"/>
  <c r="N421" i="31"/>
  <c r="P421" i="31" s="1"/>
  <c r="J422" i="31"/>
  <c r="R422" i="31"/>
  <c r="H424" i="31"/>
  <c r="P424" i="31"/>
  <c r="H430" i="31"/>
  <c r="J430" i="31" s="1"/>
  <c r="H431" i="31"/>
  <c r="J431" i="31" s="1"/>
  <c r="E432" i="31"/>
  <c r="G432" i="31"/>
  <c r="E433" i="31"/>
  <c r="G433" i="31"/>
  <c r="E434" i="31"/>
  <c r="F434" i="31"/>
  <c r="J437" i="31"/>
  <c r="J438" i="31"/>
  <c r="J439" i="31"/>
  <c r="J440" i="31"/>
  <c r="J441" i="31"/>
  <c r="J442" i="31"/>
  <c r="H443" i="31"/>
  <c r="F444" i="31"/>
  <c r="H444" i="31"/>
  <c r="K444" i="31"/>
  <c r="J445" i="31"/>
  <c r="H447" i="31"/>
  <c r="H451" i="31"/>
  <c r="J451" i="31" s="1"/>
  <c r="H452" i="31"/>
  <c r="J452" i="31" s="1"/>
  <c r="J455" i="31"/>
  <c r="H456" i="31"/>
  <c r="F457" i="31"/>
  <c r="H457" i="31" s="1"/>
  <c r="J458" i="31"/>
  <c r="H460" i="31"/>
  <c r="H468" i="31"/>
  <c r="J468" i="31" s="1"/>
  <c r="H469" i="31"/>
  <c r="J469" i="31" s="1"/>
  <c r="H471" i="31"/>
  <c r="F472" i="31"/>
  <c r="H472" i="31" s="1"/>
  <c r="H474" i="31"/>
  <c r="C480" i="31"/>
  <c r="D480" i="31"/>
  <c r="C481" i="31"/>
  <c r="D481" i="31"/>
  <c r="A2" i="32"/>
  <c r="B4" i="32"/>
  <c r="C4" i="32"/>
  <c r="D4" i="32"/>
  <c r="E4" i="32" s="1"/>
  <c r="F4" i="32"/>
  <c r="G4" i="32" s="1"/>
  <c r="H4" i="32" s="1"/>
  <c r="I4" i="32" s="1"/>
  <c r="J4" i="32" s="1"/>
  <c r="I5" i="32"/>
  <c r="F11" i="32" s="1"/>
  <c r="G11" i="32" s="1"/>
  <c r="I6" i="32"/>
  <c r="I80" i="32" s="1"/>
  <c r="G8" i="32"/>
  <c r="G10" i="32"/>
  <c r="E11" i="32"/>
  <c r="F21" i="32"/>
  <c r="G21" i="32" s="1"/>
  <c r="F22" i="32"/>
  <c r="G22" i="32" s="1"/>
  <c r="H29" i="32"/>
  <c r="J29" i="32"/>
  <c r="H30" i="32"/>
  <c r="J30" i="32"/>
  <c r="E32" i="32"/>
  <c r="G32" i="32" s="1"/>
  <c r="J32" i="32" s="1"/>
  <c r="F32" i="32"/>
  <c r="E33" i="32"/>
  <c r="F33" i="32"/>
  <c r="J35" i="32"/>
  <c r="J36" i="32"/>
  <c r="J37" i="32"/>
  <c r="J38" i="32"/>
  <c r="J39" i="32"/>
  <c r="J40" i="32"/>
  <c r="J41" i="32"/>
  <c r="H42" i="32"/>
  <c r="J43" i="32"/>
  <c r="J44" i="32"/>
  <c r="H50" i="32"/>
  <c r="H51" i="32"/>
  <c r="J51" i="32"/>
  <c r="H53" i="32"/>
  <c r="J54" i="32"/>
  <c r="J55" i="32"/>
  <c r="I57" i="32"/>
  <c r="H63" i="32"/>
  <c r="H64" i="32"/>
  <c r="J64" i="32"/>
  <c r="E66" i="32"/>
  <c r="F66" i="32"/>
  <c r="J66" i="32"/>
  <c r="E67" i="32"/>
  <c r="F67" i="32"/>
  <c r="J67" i="32"/>
  <c r="J69" i="32"/>
  <c r="J70" i="32"/>
  <c r="J71" i="32"/>
  <c r="J72" i="32"/>
  <c r="J73" i="32"/>
  <c r="J74" i="32"/>
  <c r="J75" i="32"/>
  <c r="J76" i="32"/>
  <c r="H77" i="32"/>
  <c r="J78" i="32"/>
  <c r="H84" i="32"/>
  <c r="J84" i="32" s="1"/>
  <c r="H85" i="32"/>
  <c r="J88" i="32"/>
  <c r="H89" i="32"/>
  <c r="J90" i="32"/>
  <c r="H98" i="32"/>
  <c r="J98" i="32"/>
  <c r="H99" i="32"/>
  <c r="J99" i="32" s="1"/>
  <c r="E101" i="32"/>
  <c r="F101" i="32"/>
  <c r="J101" i="32"/>
  <c r="E102" i="32"/>
  <c r="F102" i="32"/>
  <c r="J102" i="32"/>
  <c r="J104" i="32"/>
  <c r="J105" i="32"/>
  <c r="J106" i="32"/>
  <c r="J107" i="32"/>
  <c r="J108" i="32"/>
  <c r="J109" i="32"/>
  <c r="J110" i="32"/>
  <c r="J111" i="32"/>
  <c r="H112" i="32"/>
  <c r="J113" i="32"/>
  <c r="I115" i="32"/>
  <c r="H119" i="32"/>
  <c r="H120" i="32"/>
  <c r="J120" i="32" s="1"/>
  <c r="H122" i="32"/>
  <c r="J123" i="32"/>
  <c r="J124" i="32"/>
  <c r="I126" i="32"/>
  <c r="C131" i="32"/>
  <c r="C132" i="32"/>
  <c r="A2" i="33"/>
  <c r="C4" i="33"/>
  <c r="D4" i="33" s="1"/>
  <c r="E4" i="33" s="1"/>
  <c r="F4" i="33" s="1"/>
  <c r="G4" i="33" s="1"/>
  <c r="H4" i="33" s="1"/>
  <c r="I4" i="33"/>
  <c r="J4" i="33" s="1"/>
  <c r="H51" i="33"/>
  <c r="J51" i="33"/>
  <c r="H52" i="33"/>
  <c r="J52" i="33" s="1"/>
  <c r="H54" i="33"/>
  <c r="J55" i="33"/>
  <c r="J56" i="33"/>
  <c r="H64" i="33"/>
  <c r="J64" i="33" s="1"/>
  <c r="H65" i="33"/>
  <c r="J65" i="33"/>
  <c r="E67" i="33"/>
  <c r="G67" i="33"/>
  <c r="E68" i="33"/>
  <c r="G68" i="33"/>
  <c r="J71" i="33"/>
  <c r="J72" i="33"/>
  <c r="J73" i="33"/>
  <c r="J74" i="33"/>
  <c r="J75" i="33"/>
  <c r="J76" i="33"/>
  <c r="J77" i="33"/>
  <c r="J78" i="33"/>
  <c r="J79" i="33"/>
  <c r="H80" i="33"/>
  <c r="J81" i="33"/>
  <c r="H87" i="33"/>
  <c r="J87" i="33" s="1"/>
  <c r="H88" i="33"/>
  <c r="J88" i="33" s="1"/>
  <c r="J91" i="33"/>
  <c r="H92" i="33"/>
  <c r="J93" i="33"/>
  <c r="H101" i="33"/>
  <c r="J101" i="33"/>
  <c r="H102" i="33"/>
  <c r="J102" i="33" s="1"/>
  <c r="E103" i="33"/>
  <c r="G103" i="33"/>
  <c r="E104" i="33"/>
  <c r="G104" i="33"/>
  <c r="E105" i="33"/>
  <c r="F105" i="33"/>
  <c r="J108" i="33"/>
  <c r="J109" i="33"/>
  <c r="J110" i="33"/>
  <c r="J111" i="33"/>
  <c r="J112" i="33"/>
  <c r="J113" i="33"/>
  <c r="J114" i="33"/>
  <c r="J115" i="33"/>
  <c r="J116" i="33"/>
  <c r="H117" i="33"/>
  <c r="J118" i="33"/>
  <c r="H124" i="33"/>
  <c r="J124" i="33"/>
  <c r="H125" i="33"/>
  <c r="J125" i="33"/>
  <c r="H127" i="33"/>
  <c r="J128" i="33"/>
  <c r="J129" i="33"/>
  <c r="H137" i="33"/>
  <c r="J137" i="33"/>
  <c r="H138" i="33"/>
  <c r="J138" i="33"/>
  <c r="E139" i="33"/>
  <c r="G139" i="33"/>
  <c r="E140" i="33"/>
  <c r="G140" i="33"/>
  <c r="E141" i="33"/>
  <c r="F141" i="33"/>
  <c r="J144" i="33"/>
  <c r="J145" i="33"/>
  <c r="J146" i="33"/>
  <c r="J147" i="33"/>
  <c r="J148" i="33"/>
  <c r="J149" i="33"/>
  <c r="J150" i="33"/>
  <c r="J151" i="33"/>
  <c r="J152" i="33"/>
  <c r="H153" i="33"/>
  <c r="J154" i="33"/>
  <c r="H160" i="33"/>
  <c r="J160" i="33"/>
  <c r="H161" i="33"/>
  <c r="J161" i="33"/>
  <c r="H163" i="33"/>
  <c r="J164" i="33"/>
  <c r="J165" i="33"/>
  <c r="H173" i="33"/>
  <c r="J173" i="33"/>
  <c r="H174" i="33"/>
  <c r="J174" i="33" s="1"/>
  <c r="E176" i="33"/>
  <c r="F176" i="33"/>
  <c r="E177" i="33"/>
  <c r="F177" i="33"/>
  <c r="F178" i="33"/>
  <c r="H178" i="33"/>
  <c r="E179" i="33"/>
  <c r="G179" i="33"/>
  <c r="E180" i="33"/>
  <c r="G180" i="33"/>
  <c r="J183" i="33"/>
  <c r="J184" i="33"/>
  <c r="J185" i="33"/>
  <c r="J186" i="33"/>
  <c r="J187" i="33"/>
  <c r="J188" i="33"/>
  <c r="J189" i="33"/>
  <c r="J190" i="33"/>
  <c r="J191" i="33"/>
  <c r="H192" i="33"/>
  <c r="J193" i="33"/>
  <c r="H199" i="33"/>
  <c r="J199" i="33"/>
  <c r="H200" i="33"/>
  <c r="J202" i="33"/>
  <c r="H203" i="33"/>
  <c r="J204" i="33"/>
  <c r="H212" i="33"/>
  <c r="J212" i="33"/>
  <c r="H213" i="33"/>
  <c r="J213" i="33" s="1"/>
  <c r="E214" i="33"/>
  <c r="G214" i="33"/>
  <c r="E215" i="33"/>
  <c r="G215" i="33"/>
  <c r="E216" i="33"/>
  <c r="F216" i="33"/>
  <c r="E217" i="33"/>
  <c r="F217" i="33"/>
  <c r="F218" i="33"/>
  <c r="H218" i="33"/>
  <c r="J218" i="33"/>
  <c r="F219" i="33"/>
  <c r="H219" i="33"/>
  <c r="I219" i="33"/>
  <c r="I220" i="33"/>
  <c r="I241" i="33"/>
  <c r="J223" i="33"/>
  <c r="J224" i="33"/>
  <c r="J225" i="33"/>
  <c r="J226" i="33"/>
  <c r="J227" i="33"/>
  <c r="J228" i="33"/>
  <c r="J229" i="33"/>
  <c r="J230" i="33"/>
  <c r="J231" i="33"/>
  <c r="H232" i="33"/>
  <c r="J233" i="33"/>
  <c r="I235" i="33"/>
  <c r="H239" i="33"/>
  <c r="J239" i="33"/>
  <c r="H240" i="33"/>
  <c r="J240" i="33" s="1"/>
  <c r="J245" i="33" s="1"/>
  <c r="H246" i="33" s="1"/>
  <c r="J242" i="33"/>
  <c r="H243" i="33"/>
  <c r="J244" i="33"/>
  <c r="I246" i="33"/>
  <c r="H252" i="33"/>
  <c r="J252" i="33" s="1"/>
  <c r="P252" i="33"/>
  <c r="R252" i="33"/>
  <c r="H253" i="33"/>
  <c r="J253" i="33"/>
  <c r="P253" i="33"/>
  <c r="R253" i="33"/>
  <c r="E254" i="33"/>
  <c r="G254" i="33"/>
  <c r="M254" i="33"/>
  <c r="O254" i="33"/>
  <c r="E255" i="33"/>
  <c r="G255" i="33"/>
  <c r="M255" i="33"/>
  <c r="O255" i="33"/>
  <c r="E256" i="33"/>
  <c r="F256" i="33"/>
  <c r="M256" i="33"/>
  <c r="N256" i="33"/>
  <c r="J259" i="33"/>
  <c r="R259" i="33"/>
  <c r="J260" i="33"/>
  <c r="R260" i="33"/>
  <c r="J261" i="33"/>
  <c r="R261" i="33"/>
  <c r="J262" i="33"/>
  <c r="R262" i="33"/>
  <c r="J263" i="33"/>
  <c r="R263" i="33"/>
  <c r="J264" i="33"/>
  <c r="R264" i="33"/>
  <c r="H265" i="33"/>
  <c r="P265" i="33"/>
  <c r="F266" i="33"/>
  <c r="H266" i="33" s="1"/>
  <c r="N266" i="33"/>
  <c r="P266" i="33" s="1"/>
  <c r="J267" i="33"/>
  <c r="R267" i="33"/>
  <c r="Q269" i="33"/>
  <c r="H273" i="33"/>
  <c r="J273" i="33"/>
  <c r="P273" i="33"/>
  <c r="R273" i="33" s="1"/>
  <c r="H274" i="33"/>
  <c r="P274" i="33"/>
  <c r="R274" i="33" s="1"/>
  <c r="J277" i="33"/>
  <c r="R277" i="33"/>
  <c r="H278" i="33"/>
  <c r="P278" i="33"/>
  <c r="F279" i="33"/>
  <c r="H279" i="33"/>
  <c r="N279" i="33"/>
  <c r="P279" i="33" s="1"/>
  <c r="J280" i="33"/>
  <c r="R280" i="33"/>
  <c r="Q282" i="33"/>
  <c r="H288" i="33"/>
  <c r="J288" i="33"/>
  <c r="P288" i="33"/>
  <c r="R288" i="33"/>
  <c r="H289" i="33"/>
  <c r="J289" i="33" s="1"/>
  <c r="P289" i="33"/>
  <c r="R289" i="33"/>
  <c r="E290" i="33"/>
  <c r="H290" i="33" s="1"/>
  <c r="J290" i="33" s="1"/>
  <c r="G290" i="33"/>
  <c r="M290" i="33"/>
  <c r="O290" i="33"/>
  <c r="E291" i="33"/>
  <c r="G291" i="33"/>
  <c r="M291" i="33"/>
  <c r="O291" i="33"/>
  <c r="E292" i="33"/>
  <c r="F292" i="33"/>
  <c r="M292" i="33"/>
  <c r="N292" i="33"/>
  <c r="P292" i="33" s="1"/>
  <c r="R292" i="33" s="1"/>
  <c r="J295" i="33"/>
  <c r="R295" i="33"/>
  <c r="J296" i="33"/>
  <c r="R296" i="33"/>
  <c r="J297" i="33"/>
  <c r="R297" i="33"/>
  <c r="J298" i="33"/>
  <c r="R298" i="33"/>
  <c r="J299" i="33"/>
  <c r="R299" i="33"/>
  <c r="J300" i="33"/>
  <c r="R300" i="33"/>
  <c r="H301" i="33"/>
  <c r="P301" i="33"/>
  <c r="F302" i="33"/>
  <c r="H302" i="33"/>
  <c r="N302" i="33"/>
  <c r="P302" i="33"/>
  <c r="J303" i="33"/>
  <c r="R303" i="33"/>
  <c r="H309" i="33"/>
  <c r="J309" i="33" s="1"/>
  <c r="P309" i="33"/>
  <c r="H310" i="33"/>
  <c r="H311" i="33" s="1"/>
  <c r="J310" i="33"/>
  <c r="P310" i="33"/>
  <c r="R310" i="33"/>
  <c r="J313" i="33"/>
  <c r="R313" i="33"/>
  <c r="H314" i="33"/>
  <c r="P314" i="33"/>
  <c r="F315" i="33"/>
  <c r="H315" i="33"/>
  <c r="N315" i="33"/>
  <c r="P315" i="33"/>
  <c r="J316" i="33"/>
  <c r="R316" i="33"/>
  <c r="F338" i="33"/>
  <c r="H338" i="33"/>
  <c r="R318" i="33"/>
  <c r="H324" i="33"/>
  <c r="J324" i="33"/>
  <c r="H325" i="33"/>
  <c r="J325" i="33"/>
  <c r="E326" i="33"/>
  <c r="G326" i="33"/>
  <c r="E327" i="33"/>
  <c r="G327" i="33"/>
  <c r="E328" i="33"/>
  <c r="H328" i="33" s="1"/>
  <c r="J328" i="33" s="1"/>
  <c r="F328" i="33"/>
  <c r="J331" i="33"/>
  <c r="J332" i="33"/>
  <c r="J333" i="33"/>
  <c r="J334" i="33"/>
  <c r="J335" i="33"/>
  <c r="J336" i="33"/>
  <c r="H337" i="33"/>
  <c r="J339" i="33"/>
  <c r="H345" i="33"/>
  <c r="J345" i="33"/>
  <c r="H346" i="33"/>
  <c r="J346" i="33" s="1"/>
  <c r="J349" i="33"/>
  <c r="H350" i="33"/>
  <c r="F351" i="33"/>
  <c r="H351" i="33"/>
  <c r="J352" i="33"/>
  <c r="H360" i="33"/>
  <c r="J360" i="33"/>
  <c r="H361" i="33"/>
  <c r="J361" i="33"/>
  <c r="E362" i="33"/>
  <c r="H362" i="33" s="1"/>
  <c r="E363" i="33"/>
  <c r="H363" i="33"/>
  <c r="J363" i="33"/>
  <c r="E364" i="33"/>
  <c r="F364" i="33"/>
  <c r="J367" i="33"/>
  <c r="J368" i="33"/>
  <c r="J369" i="33"/>
  <c r="J370" i="33"/>
  <c r="J371" i="33"/>
  <c r="J372" i="33"/>
  <c r="H373" i="33"/>
  <c r="F374" i="33"/>
  <c r="H374" i="33"/>
  <c r="J375" i="33"/>
  <c r="H381" i="33"/>
  <c r="J381" i="33"/>
  <c r="H382" i="33"/>
  <c r="J382" i="33"/>
  <c r="J384" i="33"/>
  <c r="H385" i="33"/>
  <c r="F386" i="33"/>
  <c r="H386" i="33"/>
  <c r="J387" i="33"/>
  <c r="H395" i="33"/>
  <c r="J395" i="33"/>
  <c r="P395" i="33"/>
  <c r="R395" i="33" s="1"/>
  <c r="H396" i="33"/>
  <c r="J396" i="33" s="1"/>
  <c r="P396" i="33"/>
  <c r="R396" i="33"/>
  <c r="E397" i="33"/>
  <c r="H397" i="33"/>
  <c r="M397" i="33"/>
  <c r="P397" i="33"/>
  <c r="R397" i="33" s="1"/>
  <c r="E398" i="33"/>
  <c r="H398" i="33"/>
  <c r="J398" i="33" s="1"/>
  <c r="M398" i="33"/>
  <c r="P398" i="33" s="1"/>
  <c r="R398" i="33" s="1"/>
  <c r="E399" i="33"/>
  <c r="F399" i="33"/>
  <c r="M399" i="33"/>
  <c r="N399" i="33"/>
  <c r="O399" i="33" s="1"/>
  <c r="R399" i="33" s="1"/>
  <c r="J402" i="33"/>
  <c r="R402" i="33"/>
  <c r="J403" i="33"/>
  <c r="R403" i="33"/>
  <c r="J404" i="33"/>
  <c r="R404" i="33"/>
  <c r="J405" i="33"/>
  <c r="R405" i="33"/>
  <c r="J406" i="33"/>
  <c r="R406" i="33"/>
  <c r="J407" i="33"/>
  <c r="R407" i="33"/>
  <c r="H408" i="33"/>
  <c r="P408" i="33"/>
  <c r="F409" i="33"/>
  <c r="H409" i="33"/>
  <c r="N409" i="33"/>
  <c r="P409" i="33"/>
  <c r="J410" i="33"/>
  <c r="R410" i="33"/>
  <c r="Q412" i="33"/>
  <c r="H416" i="33"/>
  <c r="J416" i="33"/>
  <c r="P416" i="33"/>
  <c r="R416" i="33"/>
  <c r="H417" i="33"/>
  <c r="J417" i="33"/>
  <c r="P417" i="33"/>
  <c r="R417" i="33" s="1"/>
  <c r="J420" i="33"/>
  <c r="R420" i="33"/>
  <c r="H421" i="33"/>
  <c r="P421" i="33"/>
  <c r="F422" i="33"/>
  <c r="H422" i="33"/>
  <c r="N422" i="33"/>
  <c r="P422" i="33" s="1"/>
  <c r="J423" i="33"/>
  <c r="R423" i="33"/>
  <c r="H425" i="33"/>
  <c r="P425" i="33"/>
  <c r="H431" i="33"/>
  <c r="J431" i="33" s="1"/>
  <c r="H432" i="33"/>
  <c r="J432" i="33"/>
  <c r="E433" i="33"/>
  <c r="G433" i="33"/>
  <c r="E434" i="33"/>
  <c r="G434" i="33"/>
  <c r="H434" i="33" s="1"/>
  <c r="E435" i="33"/>
  <c r="F435" i="33"/>
  <c r="J438" i="33"/>
  <c r="J439" i="33"/>
  <c r="J440" i="33"/>
  <c r="J441" i="33"/>
  <c r="J442" i="33"/>
  <c r="J443" i="33"/>
  <c r="H444" i="33"/>
  <c r="F445" i="33"/>
  <c r="H445" i="33"/>
  <c r="K445" i="33"/>
  <c r="J446" i="33"/>
  <c r="H448" i="33"/>
  <c r="H452" i="33"/>
  <c r="H453" i="33"/>
  <c r="J453" i="33"/>
  <c r="J456" i="33"/>
  <c r="H457" i="33"/>
  <c r="F458" i="33"/>
  <c r="H458" i="33" s="1"/>
  <c r="J459" i="33"/>
  <c r="H461" i="33"/>
  <c r="H469" i="33"/>
  <c r="H470" i="33"/>
  <c r="H472" i="33"/>
  <c r="F473" i="33"/>
  <c r="H473" i="33"/>
  <c r="H475" i="33"/>
  <c r="A2" i="34"/>
  <c r="H7" i="34"/>
  <c r="H8" i="34"/>
  <c r="N8" i="34"/>
  <c r="H9" i="34"/>
  <c r="H10" i="34"/>
  <c r="H11" i="34"/>
  <c r="H12" i="34"/>
  <c r="H13" i="34"/>
  <c r="F19" i="34"/>
  <c r="F22" i="34"/>
  <c r="H27" i="34"/>
  <c r="B28" i="34"/>
  <c r="H28" i="34"/>
  <c r="N28" i="34"/>
  <c r="B29" i="34"/>
  <c r="H29" i="34"/>
  <c r="B30" i="34"/>
  <c r="H30" i="34"/>
  <c r="B31" i="34"/>
  <c r="H31" i="34"/>
  <c r="B32" i="34"/>
  <c r="H32" i="34"/>
  <c r="F38" i="34"/>
  <c r="F41" i="34"/>
  <c r="B50" i="34"/>
  <c r="H96" i="34"/>
  <c r="G97" i="34"/>
  <c r="H97" i="34" s="1"/>
  <c r="G98" i="34"/>
  <c r="H98" i="34"/>
  <c r="H99" i="34"/>
  <c r="F104" i="34"/>
  <c r="F107" i="34"/>
  <c r="H254" i="34"/>
  <c r="H255" i="34"/>
  <c r="H256" i="34"/>
  <c r="G258" i="34"/>
  <c r="H258" i="34" s="1"/>
  <c r="F260" i="34"/>
  <c r="F262" i="34"/>
  <c r="H347" i="34"/>
  <c r="H348" i="34"/>
  <c r="H350" i="34" s="1"/>
  <c r="G351" i="34" s="1"/>
  <c r="F351" i="34"/>
  <c r="H351" i="34" s="1"/>
  <c r="H352" i="34" s="1"/>
  <c r="F364" i="34"/>
  <c r="H386" i="34"/>
  <c r="H387" i="34"/>
  <c r="H388" i="34"/>
  <c r="G391" i="34"/>
  <c r="H391" i="34" s="1"/>
  <c r="G392" i="34"/>
  <c r="H392" i="34" s="1"/>
  <c r="F393" i="34"/>
  <c r="F396" i="34"/>
  <c r="F418" i="34"/>
  <c r="F455" i="34"/>
  <c r="B462" i="34"/>
  <c r="F462" i="34"/>
  <c r="B463" i="34"/>
  <c r="F463" i="34"/>
  <c r="H471" i="34"/>
  <c r="G473" i="34"/>
  <c r="H473" i="34" s="1"/>
  <c r="H481" i="34" s="1"/>
  <c r="H482" i="34" s="1"/>
  <c r="G488" i="34" s="1"/>
  <c r="H488" i="34" s="1"/>
  <c r="H495" i="34" s="1"/>
  <c r="H477" i="34"/>
  <c r="H478" i="34"/>
  <c r="H479" i="34"/>
  <c r="H485" i="34"/>
  <c r="H486" i="34"/>
  <c r="H487" i="34"/>
  <c r="B488" i="34"/>
  <c r="H489" i="34"/>
  <c r="H491" i="34"/>
  <c r="H492" i="34"/>
  <c r="H493" i="34"/>
  <c r="G494" i="34" s="1"/>
  <c r="H494" i="34" s="1"/>
  <c r="H499" i="34"/>
  <c r="H507" i="34" s="1"/>
  <c r="H500" i="34"/>
  <c r="H501" i="34"/>
  <c r="H502" i="34"/>
  <c r="H503" i="34"/>
  <c r="H504" i="34"/>
  <c r="H505" i="34"/>
  <c r="H506" i="34"/>
  <c r="A1" i="35"/>
  <c r="G42" i="35"/>
  <c r="E43" i="35" s="1"/>
  <c r="F43" i="35"/>
  <c r="G43" i="35" s="1"/>
  <c r="G44" i="35" s="1"/>
  <c r="G47" i="35"/>
  <c r="F49" i="35"/>
  <c r="G53" i="35"/>
  <c r="E54" i="35" s="1"/>
  <c r="G64" i="35"/>
  <c r="E66" i="35" s="1"/>
  <c r="G69" i="35"/>
  <c r="E70" i="35" s="1"/>
  <c r="F70" i="35"/>
  <c r="G85" i="35"/>
  <c r="G100" i="35"/>
  <c r="G101" i="35"/>
  <c r="F103" i="35"/>
  <c r="G103" i="35" s="1"/>
  <c r="F104" i="35"/>
  <c r="G104" i="35" s="1"/>
  <c r="F107" i="35"/>
  <c r="G108" i="35"/>
  <c r="G161" i="35"/>
  <c r="F162" i="35"/>
  <c r="G162" i="35" s="1"/>
  <c r="G164" i="35" s="1"/>
  <c r="G163" i="35"/>
  <c r="G165" i="35"/>
  <c r="E166" i="35" s="1"/>
  <c r="F166" i="35"/>
  <c r="G166" i="35" s="1"/>
  <c r="G168" i="35" s="1"/>
  <c r="G167" i="35"/>
  <c r="A2" i="36"/>
  <c r="C4" i="36"/>
  <c r="D4" i="36"/>
  <c r="E4" i="36"/>
  <c r="F4" i="36" s="1"/>
  <c r="G4" i="36" s="1"/>
  <c r="H4" i="36" s="1"/>
  <c r="I4" i="36" s="1"/>
  <c r="J4" i="36" s="1"/>
  <c r="I5" i="36"/>
  <c r="F11" i="36" s="1"/>
  <c r="I6" i="36"/>
  <c r="I346" i="36" s="1"/>
  <c r="G8" i="36"/>
  <c r="F10" i="36"/>
  <c r="G10" i="36" s="1"/>
  <c r="E11" i="36" s="1"/>
  <c r="F21" i="36"/>
  <c r="G21" i="36" s="1"/>
  <c r="F22" i="36"/>
  <c r="G22" i="36" s="1"/>
  <c r="H29" i="36"/>
  <c r="J29" i="36" s="1"/>
  <c r="H30" i="36"/>
  <c r="J30" i="36"/>
  <c r="E32" i="36"/>
  <c r="G32" i="36"/>
  <c r="E33" i="36"/>
  <c r="G33" i="36"/>
  <c r="H33" i="36" s="1"/>
  <c r="J33" i="36" s="1"/>
  <c r="E34" i="36"/>
  <c r="G34" i="36"/>
  <c r="J36" i="36"/>
  <c r="J37" i="36"/>
  <c r="J38" i="36"/>
  <c r="J39" i="36"/>
  <c r="J40" i="36"/>
  <c r="J41" i="36"/>
  <c r="J42" i="36"/>
  <c r="H43" i="36"/>
  <c r="J44" i="36"/>
  <c r="J45" i="36"/>
  <c r="H51" i="36"/>
  <c r="J51" i="36" s="1"/>
  <c r="H52" i="36"/>
  <c r="J52" i="36" s="1"/>
  <c r="H54" i="36"/>
  <c r="J55" i="36"/>
  <c r="J56" i="36"/>
  <c r="H64" i="36"/>
  <c r="J64" i="36"/>
  <c r="H65" i="36"/>
  <c r="J65" i="36" s="1"/>
  <c r="E67" i="36"/>
  <c r="G67" i="36"/>
  <c r="E68" i="36"/>
  <c r="G68" i="36"/>
  <c r="H68" i="36" s="1"/>
  <c r="J68" i="36" s="1"/>
  <c r="J70" i="36"/>
  <c r="J71" i="36"/>
  <c r="J72" i="36"/>
  <c r="J73" i="36"/>
  <c r="J74" i="36"/>
  <c r="J75" i="36"/>
  <c r="J76" i="36"/>
  <c r="J77" i="36"/>
  <c r="J78" i="36"/>
  <c r="H79" i="36"/>
  <c r="J80" i="36"/>
  <c r="H86" i="36"/>
  <c r="H87" i="36"/>
  <c r="J87" i="36" s="1"/>
  <c r="J90" i="36"/>
  <c r="H91" i="36"/>
  <c r="J92" i="36"/>
  <c r="H100" i="36"/>
  <c r="J100" i="36"/>
  <c r="H101" i="36"/>
  <c r="J101" i="36" s="1"/>
  <c r="E102" i="36"/>
  <c r="G102" i="36"/>
  <c r="E103" i="36"/>
  <c r="G103" i="36"/>
  <c r="E104" i="36"/>
  <c r="F104" i="36"/>
  <c r="J107" i="36"/>
  <c r="J108" i="36"/>
  <c r="J109" i="36"/>
  <c r="J110" i="36"/>
  <c r="J111" i="36"/>
  <c r="J112" i="36"/>
  <c r="J113" i="36"/>
  <c r="J114" i="36"/>
  <c r="J115" i="36"/>
  <c r="H116" i="36"/>
  <c r="J117" i="36"/>
  <c r="H123" i="36"/>
  <c r="J123" i="36"/>
  <c r="H124" i="36"/>
  <c r="J124" i="36" s="1"/>
  <c r="H126" i="36"/>
  <c r="J127" i="36"/>
  <c r="J128" i="36"/>
  <c r="H136" i="36"/>
  <c r="J136" i="36" s="1"/>
  <c r="H137" i="36"/>
  <c r="J137" i="36"/>
  <c r="E138" i="36"/>
  <c r="G138" i="36"/>
  <c r="E139" i="36"/>
  <c r="G139" i="36"/>
  <c r="E140" i="36"/>
  <c r="F140" i="36"/>
  <c r="J143" i="36"/>
  <c r="J144" i="36"/>
  <c r="J145" i="36"/>
  <c r="J146" i="36"/>
  <c r="J147" i="36"/>
  <c r="J148" i="36"/>
  <c r="J149" i="36"/>
  <c r="J150" i="36"/>
  <c r="J151" i="36"/>
  <c r="H152" i="36"/>
  <c r="J153" i="36"/>
  <c r="H159" i="36"/>
  <c r="J159" i="36"/>
  <c r="H160" i="36"/>
  <c r="J160" i="36"/>
  <c r="H162" i="36"/>
  <c r="J163" i="36"/>
  <c r="J164" i="36"/>
  <c r="H172" i="36"/>
  <c r="J172" i="36"/>
  <c r="H173" i="36"/>
  <c r="E175" i="36"/>
  <c r="G175" i="36"/>
  <c r="E176" i="36"/>
  <c r="G176" i="36"/>
  <c r="J178" i="36"/>
  <c r="J179" i="36"/>
  <c r="J180" i="36"/>
  <c r="J181" i="36"/>
  <c r="J182" i="36"/>
  <c r="J183" i="36"/>
  <c r="J184" i="36"/>
  <c r="J185" i="36"/>
  <c r="J186" i="36"/>
  <c r="H187" i="36"/>
  <c r="J188" i="36"/>
  <c r="H195" i="36"/>
  <c r="J195" i="36" s="1"/>
  <c r="H196" i="36"/>
  <c r="J198" i="36"/>
  <c r="H199" i="36"/>
  <c r="J200" i="36"/>
  <c r="H209" i="36"/>
  <c r="J209" i="36"/>
  <c r="P209" i="36"/>
  <c r="R209" i="36" s="1"/>
  <c r="H210" i="36"/>
  <c r="J210" i="36"/>
  <c r="P210" i="36"/>
  <c r="R210" i="36"/>
  <c r="E211" i="36"/>
  <c r="G211" i="36"/>
  <c r="M211" i="36"/>
  <c r="O211" i="36"/>
  <c r="E212" i="36"/>
  <c r="G212" i="36"/>
  <c r="M212" i="36"/>
  <c r="P212" i="36" s="1"/>
  <c r="O212" i="36"/>
  <c r="E213" i="36"/>
  <c r="F213" i="36"/>
  <c r="M213" i="36"/>
  <c r="N213" i="36"/>
  <c r="J216" i="36"/>
  <c r="R216" i="36"/>
  <c r="J217" i="36"/>
  <c r="R217" i="36"/>
  <c r="J218" i="36"/>
  <c r="R218" i="36"/>
  <c r="J219" i="36"/>
  <c r="R219" i="36"/>
  <c r="J220" i="36"/>
  <c r="R220" i="36"/>
  <c r="J221" i="36"/>
  <c r="R221" i="36"/>
  <c r="H222" i="36"/>
  <c r="P222" i="36"/>
  <c r="F223" i="36"/>
  <c r="H223" i="36" s="1"/>
  <c r="N223" i="36"/>
  <c r="P223" i="36"/>
  <c r="J224" i="36"/>
  <c r="R224" i="36"/>
  <c r="Q226" i="36"/>
  <c r="H230" i="36"/>
  <c r="J230" i="36" s="1"/>
  <c r="P230" i="36"/>
  <c r="R230" i="36" s="1"/>
  <c r="H231" i="36"/>
  <c r="P231" i="36"/>
  <c r="R231" i="36" s="1"/>
  <c r="J234" i="36"/>
  <c r="R234" i="36"/>
  <c r="H235" i="36"/>
  <c r="P235" i="36"/>
  <c r="F236" i="36"/>
  <c r="H236" i="36"/>
  <c r="N236" i="36"/>
  <c r="P236" i="36"/>
  <c r="J237" i="36"/>
  <c r="R237" i="36"/>
  <c r="Q239" i="36"/>
  <c r="H245" i="36"/>
  <c r="J245" i="36"/>
  <c r="H246" i="36"/>
  <c r="E247" i="36"/>
  <c r="G247" i="36"/>
  <c r="E248" i="36"/>
  <c r="G248" i="36"/>
  <c r="E249" i="36"/>
  <c r="F249" i="36"/>
  <c r="J252" i="36"/>
  <c r="J253" i="36"/>
  <c r="J254" i="36"/>
  <c r="J255" i="36"/>
  <c r="J256" i="36"/>
  <c r="J257" i="36"/>
  <c r="H258" i="36"/>
  <c r="F259" i="36"/>
  <c r="H259" i="36"/>
  <c r="J260" i="36"/>
  <c r="H266" i="36"/>
  <c r="J266" i="36" s="1"/>
  <c r="H267" i="36"/>
  <c r="J267" i="36"/>
  <c r="J270" i="36"/>
  <c r="H271" i="36"/>
  <c r="F272" i="36"/>
  <c r="H272" i="36"/>
  <c r="J273" i="36"/>
  <c r="F295" i="36"/>
  <c r="H295" i="36"/>
  <c r="H281" i="36"/>
  <c r="J281" i="36"/>
  <c r="H282" i="36"/>
  <c r="J282" i="36"/>
  <c r="E283" i="36"/>
  <c r="G283" i="36"/>
  <c r="E284" i="36"/>
  <c r="G284" i="36"/>
  <c r="H284" i="36" s="1"/>
  <c r="J284" i="36" s="1"/>
  <c r="E285" i="36"/>
  <c r="H285" i="36" s="1"/>
  <c r="J285" i="36" s="1"/>
  <c r="F285" i="36"/>
  <c r="J288" i="36"/>
  <c r="J289" i="36"/>
  <c r="J290" i="36"/>
  <c r="J291" i="36"/>
  <c r="J292" i="36"/>
  <c r="J293" i="36"/>
  <c r="H294" i="36"/>
  <c r="J296" i="36"/>
  <c r="H302" i="36"/>
  <c r="J302" i="36"/>
  <c r="H303" i="36"/>
  <c r="J306" i="36"/>
  <c r="H307" i="36"/>
  <c r="F308" i="36"/>
  <c r="H308" i="36"/>
  <c r="J309" i="36"/>
  <c r="H317" i="36"/>
  <c r="J317" i="36"/>
  <c r="H318" i="36"/>
  <c r="J318" i="36"/>
  <c r="E319" i="36"/>
  <c r="H319" i="36"/>
  <c r="J319" i="36" s="1"/>
  <c r="E320" i="36"/>
  <c r="H320" i="36"/>
  <c r="J320" i="36" s="1"/>
  <c r="E321" i="36"/>
  <c r="F321" i="36"/>
  <c r="J324" i="36"/>
  <c r="J325" i="36"/>
  <c r="J326" i="36"/>
  <c r="J327" i="36"/>
  <c r="J328" i="36"/>
  <c r="J329" i="36"/>
  <c r="H330" i="36"/>
  <c r="F331" i="36"/>
  <c r="H331" i="36"/>
  <c r="J332" i="36"/>
  <c r="H338" i="36"/>
  <c r="J338" i="36" s="1"/>
  <c r="H339" i="36"/>
  <c r="J339" i="36"/>
  <c r="J341" i="36"/>
  <c r="H342" i="36"/>
  <c r="F343" i="36"/>
  <c r="H343" i="36" s="1"/>
  <c r="J344" i="36"/>
  <c r="H352" i="36"/>
  <c r="J352" i="36"/>
  <c r="P352" i="36"/>
  <c r="R352" i="36"/>
  <c r="H353" i="36"/>
  <c r="J353" i="36"/>
  <c r="P353" i="36"/>
  <c r="R353" i="36" s="1"/>
  <c r="E354" i="36"/>
  <c r="H354" i="36"/>
  <c r="J354" i="36"/>
  <c r="M354" i="36"/>
  <c r="P354" i="36"/>
  <c r="E355" i="36"/>
  <c r="H355" i="36" s="1"/>
  <c r="J355" i="36"/>
  <c r="M355" i="36"/>
  <c r="P355" i="36"/>
  <c r="R355" i="36"/>
  <c r="E356" i="36"/>
  <c r="F356" i="36"/>
  <c r="M356" i="36"/>
  <c r="O356" i="36" s="1"/>
  <c r="R356" i="36" s="1"/>
  <c r="N356" i="36"/>
  <c r="J359" i="36"/>
  <c r="R359" i="36"/>
  <c r="J360" i="36"/>
  <c r="R360" i="36"/>
  <c r="J361" i="36"/>
  <c r="R361" i="36"/>
  <c r="J362" i="36"/>
  <c r="R362" i="36"/>
  <c r="J363" i="36"/>
  <c r="R363" i="36"/>
  <c r="J364" i="36"/>
  <c r="R364" i="36"/>
  <c r="H365" i="36"/>
  <c r="P365" i="36"/>
  <c r="F366" i="36"/>
  <c r="H366" i="36" s="1"/>
  <c r="N366" i="36"/>
  <c r="P366" i="36" s="1"/>
  <c r="J367" i="36"/>
  <c r="R367" i="36"/>
  <c r="Q369" i="36"/>
  <c r="H373" i="36"/>
  <c r="J373" i="36"/>
  <c r="P373" i="36"/>
  <c r="R373" i="36" s="1"/>
  <c r="H374" i="36"/>
  <c r="J374" i="36"/>
  <c r="P374" i="36"/>
  <c r="R374" i="36"/>
  <c r="J377" i="36"/>
  <c r="R377" i="36"/>
  <c r="H378" i="36"/>
  <c r="P378" i="36"/>
  <c r="F379" i="36"/>
  <c r="H379" i="36"/>
  <c r="N379" i="36"/>
  <c r="P379" i="36" s="1"/>
  <c r="J380" i="36"/>
  <c r="R380" i="36"/>
  <c r="H382" i="36"/>
  <c r="P382" i="36"/>
  <c r="H388" i="36"/>
  <c r="J388" i="36"/>
  <c r="H389" i="36"/>
  <c r="J389" i="36" s="1"/>
  <c r="E390" i="36"/>
  <c r="G390" i="36"/>
  <c r="H390" i="36" s="1"/>
  <c r="E391" i="36"/>
  <c r="G391" i="36"/>
  <c r="E392" i="36"/>
  <c r="F392" i="36"/>
  <c r="J395" i="36"/>
  <c r="J396" i="36"/>
  <c r="J397" i="36"/>
  <c r="J398" i="36"/>
  <c r="J399" i="36"/>
  <c r="J400" i="36"/>
  <c r="H401" i="36"/>
  <c r="F402" i="36"/>
  <c r="H402" i="36" s="1"/>
  <c r="K402" i="36"/>
  <c r="J403" i="36"/>
  <c r="H405" i="36"/>
  <c r="H409" i="36"/>
  <c r="J409" i="36"/>
  <c r="H410" i="36"/>
  <c r="J410" i="36"/>
  <c r="J413" i="36"/>
  <c r="H414" i="36"/>
  <c r="F415" i="36"/>
  <c r="H415" i="36"/>
  <c r="J416" i="36"/>
  <c r="H418" i="36"/>
  <c r="H426" i="36"/>
  <c r="J426" i="36"/>
  <c r="H427" i="36"/>
  <c r="J427" i="36"/>
  <c r="H429" i="36"/>
  <c r="F430" i="36"/>
  <c r="H430" i="36"/>
  <c r="H432" i="36"/>
  <c r="A2" i="37"/>
  <c r="C4" i="37"/>
  <c r="D4" i="37" s="1"/>
  <c r="E4" i="37" s="1"/>
  <c r="F4" i="37" s="1"/>
  <c r="G4" i="37" s="1"/>
  <c r="H4" i="37" s="1"/>
  <c r="I4" i="37" s="1"/>
  <c r="J4" i="37" s="1"/>
  <c r="I5" i="37"/>
  <c r="F23" i="37" s="1"/>
  <c r="I6" i="37"/>
  <c r="I168" i="37" s="1"/>
  <c r="G8" i="37"/>
  <c r="F10" i="37"/>
  <c r="G10" i="37" s="1"/>
  <c r="G21" i="37"/>
  <c r="F22" i="37"/>
  <c r="G22" i="37" s="1"/>
  <c r="E23" i="37" s="1"/>
  <c r="H29" i="37"/>
  <c r="J29" i="37" s="1"/>
  <c r="H30" i="37"/>
  <c r="E31" i="37"/>
  <c r="G31" i="37"/>
  <c r="E32" i="37"/>
  <c r="G32" i="37"/>
  <c r="E33" i="37"/>
  <c r="H33" i="37" s="1"/>
  <c r="J33" i="37" s="1"/>
  <c r="F33" i="37"/>
  <c r="G33" i="37"/>
  <c r="J36" i="37"/>
  <c r="J37" i="37"/>
  <c r="J38" i="37"/>
  <c r="J39" i="37"/>
  <c r="J40" i="37"/>
  <c r="J41" i="37"/>
  <c r="J42" i="37"/>
  <c r="J43" i="37"/>
  <c r="H44" i="37"/>
  <c r="J45" i="37"/>
  <c r="J46" i="37"/>
  <c r="H52" i="37"/>
  <c r="J52" i="37"/>
  <c r="H53" i="37"/>
  <c r="J53" i="37" s="1"/>
  <c r="H55" i="37"/>
  <c r="J56" i="37"/>
  <c r="J57" i="37"/>
  <c r="H65" i="37"/>
  <c r="J65" i="37" s="1"/>
  <c r="P65" i="37"/>
  <c r="R65" i="37"/>
  <c r="H66" i="37"/>
  <c r="J66" i="37" s="1"/>
  <c r="P66" i="37"/>
  <c r="R66" i="37"/>
  <c r="E67" i="37"/>
  <c r="G67" i="37"/>
  <c r="E68" i="37"/>
  <c r="G68" i="37"/>
  <c r="E69" i="37"/>
  <c r="F69" i="37"/>
  <c r="M69" i="37"/>
  <c r="N69" i="37"/>
  <c r="P69" i="37" s="1"/>
  <c r="R69" i="37" s="1"/>
  <c r="M70" i="37"/>
  <c r="N70" i="37"/>
  <c r="J72" i="37"/>
  <c r="R72" i="37"/>
  <c r="J73" i="37"/>
  <c r="R73" i="37"/>
  <c r="J74" i="37"/>
  <c r="R74" i="37"/>
  <c r="J75" i="37"/>
  <c r="R75" i="37"/>
  <c r="J76" i="37"/>
  <c r="R76" i="37"/>
  <c r="J77" i="37"/>
  <c r="R77" i="37"/>
  <c r="J78" i="37"/>
  <c r="R78" i="37"/>
  <c r="J79" i="37"/>
  <c r="R79" i="37"/>
  <c r="J80" i="37"/>
  <c r="R80" i="37"/>
  <c r="H81" i="37"/>
  <c r="Q81" i="37"/>
  <c r="R81" i="37"/>
  <c r="J82" i="37"/>
  <c r="R82" i="37"/>
  <c r="H88" i="37"/>
  <c r="J88" i="37"/>
  <c r="P88" i="37"/>
  <c r="R88" i="37" s="1"/>
  <c r="H89" i="37"/>
  <c r="J89" i="37" s="1"/>
  <c r="P89" i="37"/>
  <c r="R89" i="37"/>
  <c r="J92" i="37"/>
  <c r="R92" i="37"/>
  <c r="H93" i="37"/>
  <c r="R93" i="37"/>
  <c r="J94" i="37"/>
  <c r="R94" i="37"/>
  <c r="Q96" i="37"/>
  <c r="H102" i="37"/>
  <c r="J102" i="37"/>
  <c r="H103" i="37"/>
  <c r="J103" i="37"/>
  <c r="E104" i="37"/>
  <c r="G104" i="37"/>
  <c r="E105" i="37"/>
  <c r="G105" i="37"/>
  <c r="H105" i="37" s="1"/>
  <c r="E106" i="37"/>
  <c r="F106" i="37"/>
  <c r="J109" i="37"/>
  <c r="J110" i="37"/>
  <c r="J111" i="37"/>
  <c r="J112" i="37"/>
  <c r="J113" i="37"/>
  <c r="J114" i="37"/>
  <c r="J115" i="37"/>
  <c r="J116" i="37"/>
  <c r="J117" i="37"/>
  <c r="H118" i="37"/>
  <c r="J119" i="37"/>
  <c r="H125" i="37"/>
  <c r="J125" i="37"/>
  <c r="H126" i="37"/>
  <c r="J126" i="37" s="1"/>
  <c r="H128" i="37"/>
  <c r="J129" i="37"/>
  <c r="J130" i="37"/>
  <c r="H138" i="37"/>
  <c r="J138" i="37" s="1"/>
  <c r="H139" i="37"/>
  <c r="J139" i="37"/>
  <c r="E140" i="37"/>
  <c r="H140" i="37" s="1"/>
  <c r="G140" i="37"/>
  <c r="E141" i="37"/>
  <c r="G141" i="37"/>
  <c r="E142" i="37"/>
  <c r="F142" i="37"/>
  <c r="J145" i="37"/>
  <c r="J146" i="37"/>
  <c r="J147" i="37"/>
  <c r="J148" i="37"/>
  <c r="J149" i="37"/>
  <c r="J150" i="37"/>
  <c r="J151" i="37"/>
  <c r="J152" i="37"/>
  <c r="J153" i="37"/>
  <c r="H154" i="37"/>
  <c r="J155" i="37"/>
  <c r="H161" i="37"/>
  <c r="J161" i="37" s="1"/>
  <c r="H162" i="37"/>
  <c r="J162" i="37"/>
  <c r="H164" i="37"/>
  <c r="J165" i="37"/>
  <c r="J166" i="37"/>
  <c r="H174" i="37"/>
  <c r="J174" i="37" s="1"/>
  <c r="H175" i="37"/>
  <c r="J175" i="37"/>
  <c r="E176" i="37"/>
  <c r="G176" i="37"/>
  <c r="E177" i="37"/>
  <c r="G177" i="37"/>
  <c r="E178" i="37"/>
  <c r="F178" i="37"/>
  <c r="J181" i="37"/>
  <c r="J182" i="37"/>
  <c r="J183" i="37"/>
  <c r="J184" i="37"/>
  <c r="J185" i="37"/>
  <c r="J186" i="37"/>
  <c r="J187" i="37"/>
  <c r="J188" i="37"/>
  <c r="J189" i="37"/>
  <c r="H190" i="37"/>
  <c r="J191" i="37"/>
  <c r="H197" i="37"/>
  <c r="J197" i="37"/>
  <c r="H198" i="37"/>
  <c r="H199" i="37" s="1"/>
  <c r="J200" i="37"/>
  <c r="H201" i="37"/>
  <c r="J202" i="37"/>
  <c r="H210" i="37"/>
  <c r="J210" i="37"/>
  <c r="P210" i="37"/>
  <c r="R210" i="37"/>
  <c r="H211" i="37"/>
  <c r="J211" i="37" s="1"/>
  <c r="P211" i="37"/>
  <c r="R211" i="37"/>
  <c r="E212" i="37"/>
  <c r="H212" i="37" s="1"/>
  <c r="J212" i="37" s="1"/>
  <c r="G212" i="37"/>
  <c r="M212" i="37"/>
  <c r="O212" i="37"/>
  <c r="E213" i="37"/>
  <c r="G213" i="37"/>
  <c r="M213" i="37"/>
  <c r="O213" i="37"/>
  <c r="E214" i="37"/>
  <c r="F214" i="37"/>
  <c r="M214" i="37"/>
  <c r="N214" i="37"/>
  <c r="J217" i="37"/>
  <c r="R217" i="37"/>
  <c r="J218" i="37"/>
  <c r="R218" i="37"/>
  <c r="J219" i="37"/>
  <c r="R219" i="37"/>
  <c r="J220" i="37"/>
  <c r="R220" i="37"/>
  <c r="J221" i="37"/>
  <c r="R221" i="37"/>
  <c r="J222" i="37"/>
  <c r="R222" i="37"/>
  <c r="H223" i="37"/>
  <c r="P223" i="37"/>
  <c r="F224" i="37"/>
  <c r="H224" i="37"/>
  <c r="N224" i="37"/>
  <c r="P224" i="37"/>
  <c r="J225" i="37"/>
  <c r="R225" i="37"/>
  <c r="Q227" i="37"/>
  <c r="H231" i="37"/>
  <c r="J231" i="37"/>
  <c r="P231" i="37"/>
  <c r="R231" i="37" s="1"/>
  <c r="H232" i="37"/>
  <c r="J232" i="37"/>
  <c r="P232" i="37"/>
  <c r="R232" i="37" s="1"/>
  <c r="J235" i="37"/>
  <c r="R235" i="37"/>
  <c r="H236" i="37"/>
  <c r="P236" i="37"/>
  <c r="F237" i="37"/>
  <c r="H237" i="37"/>
  <c r="N237" i="37"/>
  <c r="P237" i="37"/>
  <c r="J238" i="37"/>
  <c r="R238" i="37"/>
  <c r="Q240" i="37"/>
  <c r="H246" i="37"/>
  <c r="J246" i="37"/>
  <c r="P246" i="37"/>
  <c r="R246" i="37"/>
  <c r="H247" i="37"/>
  <c r="J247" i="37" s="1"/>
  <c r="P247" i="37"/>
  <c r="R247" i="37"/>
  <c r="E248" i="37"/>
  <c r="H248" i="37" s="1"/>
  <c r="J248" i="37" s="1"/>
  <c r="G248" i="37"/>
  <c r="M248" i="37"/>
  <c r="O248" i="37"/>
  <c r="E249" i="37"/>
  <c r="G249" i="37"/>
  <c r="H249" i="37" s="1"/>
  <c r="M249" i="37"/>
  <c r="O249" i="37"/>
  <c r="E250" i="37"/>
  <c r="H250" i="37" s="1"/>
  <c r="F250" i="37"/>
  <c r="M250" i="37"/>
  <c r="N250" i="37"/>
  <c r="J253" i="37"/>
  <c r="R253" i="37"/>
  <c r="J254" i="37"/>
  <c r="R254" i="37"/>
  <c r="J255" i="37"/>
  <c r="R255" i="37"/>
  <c r="J256" i="37"/>
  <c r="R256" i="37"/>
  <c r="J257" i="37"/>
  <c r="R257" i="37"/>
  <c r="J258" i="37"/>
  <c r="R258" i="37"/>
  <c r="H259" i="37"/>
  <c r="P259" i="37"/>
  <c r="F260" i="37"/>
  <c r="H260" i="37" s="1"/>
  <c r="N260" i="37"/>
  <c r="P260" i="37" s="1"/>
  <c r="J261" i="37"/>
  <c r="R261" i="37"/>
  <c r="Q263" i="37"/>
  <c r="H267" i="37"/>
  <c r="J267" i="37"/>
  <c r="P267" i="37"/>
  <c r="R267" i="37" s="1"/>
  <c r="H268" i="37"/>
  <c r="J268" i="37"/>
  <c r="P268" i="37"/>
  <c r="R268" i="37"/>
  <c r="Q269" i="37"/>
  <c r="J271" i="37"/>
  <c r="R271" i="37"/>
  <c r="H272" i="37"/>
  <c r="P272" i="37"/>
  <c r="Q272" i="37"/>
  <c r="R272" i="37"/>
  <c r="F273" i="37"/>
  <c r="H273" i="37"/>
  <c r="N273" i="37"/>
  <c r="P273" i="37" s="1"/>
  <c r="R273" i="37" s="1"/>
  <c r="Q273" i="37"/>
  <c r="J274" i="37"/>
  <c r="R274" i="37"/>
  <c r="Q276" i="37"/>
  <c r="H282" i="37"/>
  <c r="J282" i="37"/>
  <c r="H283" i="37"/>
  <c r="E284" i="37"/>
  <c r="G284" i="37"/>
  <c r="E285" i="37"/>
  <c r="G285" i="37"/>
  <c r="E286" i="37"/>
  <c r="F286" i="37"/>
  <c r="J289" i="37"/>
  <c r="J290" i="37"/>
  <c r="J291" i="37"/>
  <c r="J292" i="37"/>
  <c r="J293" i="37"/>
  <c r="J294" i="37"/>
  <c r="H295" i="37"/>
  <c r="F296" i="37"/>
  <c r="H296" i="37"/>
  <c r="J297" i="37"/>
  <c r="H303" i="37"/>
  <c r="J303" i="37" s="1"/>
  <c r="H304" i="37"/>
  <c r="J304" i="37"/>
  <c r="J307" i="37"/>
  <c r="H308" i="37"/>
  <c r="F309" i="37"/>
  <c r="H309" i="37"/>
  <c r="J310" i="37"/>
  <c r="H318" i="37"/>
  <c r="J318" i="37"/>
  <c r="H319" i="37"/>
  <c r="J319" i="37"/>
  <c r="E320" i="37"/>
  <c r="H320" i="37"/>
  <c r="J320" i="37"/>
  <c r="E321" i="37"/>
  <c r="H321" i="37"/>
  <c r="J321" i="37"/>
  <c r="E322" i="37"/>
  <c r="G322" i="37" s="1"/>
  <c r="F322" i="37"/>
  <c r="J325" i="37"/>
  <c r="J326" i="37"/>
  <c r="J327" i="37"/>
  <c r="J328" i="37"/>
  <c r="J329" i="37"/>
  <c r="J330" i="37"/>
  <c r="H331" i="37"/>
  <c r="F332" i="37"/>
  <c r="H332" i="37"/>
  <c r="J333" i="37"/>
  <c r="H339" i="37"/>
  <c r="J339" i="37" s="1"/>
  <c r="H340" i="37"/>
  <c r="J340" i="37"/>
  <c r="J342" i="37"/>
  <c r="H343" i="37"/>
  <c r="F344" i="37"/>
  <c r="H344" i="37"/>
  <c r="J345" i="37"/>
  <c r="H353" i="37"/>
  <c r="J353" i="37"/>
  <c r="P353" i="37"/>
  <c r="R353" i="37"/>
  <c r="H354" i="37"/>
  <c r="J354" i="37"/>
  <c r="P354" i="37"/>
  <c r="R354" i="37" s="1"/>
  <c r="E355" i="37"/>
  <c r="H355" i="37" s="1"/>
  <c r="J355" i="37" s="1"/>
  <c r="M355" i="37"/>
  <c r="P355" i="37" s="1"/>
  <c r="E356" i="37"/>
  <c r="H356" i="37"/>
  <c r="J356" i="37"/>
  <c r="M356" i="37"/>
  <c r="P356" i="37"/>
  <c r="R356" i="37"/>
  <c r="E357" i="37"/>
  <c r="F357" i="37"/>
  <c r="G357" i="37" s="1"/>
  <c r="J357" i="37" s="1"/>
  <c r="M357" i="37"/>
  <c r="N357" i="37"/>
  <c r="J360" i="37"/>
  <c r="R360" i="37"/>
  <c r="J361" i="37"/>
  <c r="R361" i="37"/>
  <c r="J362" i="37"/>
  <c r="R362" i="37"/>
  <c r="J363" i="37"/>
  <c r="R363" i="37"/>
  <c r="J364" i="37"/>
  <c r="R364" i="37"/>
  <c r="J365" i="37"/>
  <c r="R365" i="37"/>
  <c r="H366" i="37"/>
  <c r="P366" i="37"/>
  <c r="F367" i="37"/>
  <c r="H367" i="37"/>
  <c r="N367" i="37"/>
  <c r="P367" i="37" s="1"/>
  <c r="J368" i="37"/>
  <c r="R368" i="37"/>
  <c r="Q370" i="37"/>
  <c r="H374" i="37"/>
  <c r="H376" i="37" s="1"/>
  <c r="H375" i="37"/>
  <c r="P374" i="37"/>
  <c r="R374" i="37" s="1"/>
  <c r="J375" i="37"/>
  <c r="P375" i="37"/>
  <c r="R375" i="37" s="1"/>
  <c r="J378" i="37"/>
  <c r="R378" i="37"/>
  <c r="H379" i="37"/>
  <c r="P379" i="37"/>
  <c r="F380" i="37"/>
  <c r="H380" i="37" s="1"/>
  <c r="N380" i="37"/>
  <c r="P380" i="37"/>
  <c r="J381" i="37"/>
  <c r="R381" i="37"/>
  <c r="H383" i="37"/>
  <c r="P383" i="37"/>
  <c r="H389" i="37"/>
  <c r="J389" i="37"/>
  <c r="H390" i="37"/>
  <c r="J390" i="37" s="1"/>
  <c r="E391" i="37"/>
  <c r="G391" i="37"/>
  <c r="E392" i="37"/>
  <c r="G392" i="37"/>
  <c r="E393" i="37"/>
  <c r="F393" i="37"/>
  <c r="J396" i="37"/>
  <c r="J397" i="37"/>
  <c r="J398" i="37"/>
  <c r="J399" i="37"/>
  <c r="J400" i="37"/>
  <c r="J401" i="37"/>
  <c r="H402" i="37"/>
  <c r="F403" i="37"/>
  <c r="H403" i="37"/>
  <c r="K403" i="37"/>
  <c r="J404" i="37"/>
  <c r="H406" i="37"/>
  <c r="H410" i="37"/>
  <c r="H412" i="37" s="1"/>
  <c r="J410" i="37"/>
  <c r="H411" i="37"/>
  <c r="J411" i="37"/>
  <c r="J414" i="37"/>
  <c r="H415" i="37"/>
  <c r="F416" i="37"/>
  <c r="H416" i="37" s="1"/>
  <c r="J417" i="37"/>
  <c r="H419" i="37"/>
  <c r="H427" i="37"/>
  <c r="J427" i="37"/>
  <c r="H428" i="37"/>
  <c r="H430" i="37"/>
  <c r="F431" i="37"/>
  <c r="H431" i="37"/>
  <c r="H433" i="37"/>
  <c r="A2" i="38"/>
  <c r="C4" i="38"/>
  <c r="D4" i="38"/>
  <c r="E4" i="38"/>
  <c r="F4" i="38" s="1"/>
  <c r="G4" i="38" s="1"/>
  <c r="H4" i="38"/>
  <c r="I4" i="38"/>
  <c r="J4" i="38" s="1"/>
  <c r="I5" i="38"/>
  <c r="F23" i="38" s="1"/>
  <c r="I6" i="38"/>
  <c r="I335" i="38" s="1"/>
  <c r="G8" i="38"/>
  <c r="F10" i="38"/>
  <c r="G10" i="38" s="1"/>
  <c r="G21" i="38"/>
  <c r="F22" i="38"/>
  <c r="G22" i="38" s="1"/>
  <c r="H29" i="38"/>
  <c r="J29" i="38"/>
  <c r="H30" i="38"/>
  <c r="J30" i="38" s="1"/>
  <c r="E31" i="38"/>
  <c r="G31" i="38"/>
  <c r="E32" i="38"/>
  <c r="G32" i="38"/>
  <c r="E33" i="38"/>
  <c r="F33" i="38"/>
  <c r="G33" i="38"/>
  <c r="J36" i="38"/>
  <c r="J37" i="38"/>
  <c r="J38" i="38"/>
  <c r="J39" i="38"/>
  <c r="J40" i="38"/>
  <c r="J41" i="38"/>
  <c r="J42" i="38"/>
  <c r="J43" i="38"/>
  <c r="H44" i="38"/>
  <c r="J45" i="38"/>
  <c r="J46" i="38"/>
  <c r="H52" i="38"/>
  <c r="J52" i="38" s="1"/>
  <c r="H53" i="38"/>
  <c r="J53" i="38"/>
  <c r="H55" i="38"/>
  <c r="J56" i="38"/>
  <c r="J57" i="38"/>
  <c r="H65" i="38"/>
  <c r="J65" i="38" s="1"/>
  <c r="H66" i="38"/>
  <c r="E67" i="38"/>
  <c r="G67" i="38"/>
  <c r="E68" i="38"/>
  <c r="G68" i="38"/>
  <c r="E69" i="38"/>
  <c r="H69" i="38" s="1"/>
  <c r="J69" i="38" s="1"/>
  <c r="F69" i="38"/>
  <c r="J72" i="38"/>
  <c r="J73" i="38"/>
  <c r="J74" i="38"/>
  <c r="J75" i="38"/>
  <c r="J76" i="38"/>
  <c r="J77" i="38"/>
  <c r="J78" i="38"/>
  <c r="J79" i="38"/>
  <c r="J80" i="38"/>
  <c r="H81" i="38"/>
  <c r="J82" i="38"/>
  <c r="H88" i="38"/>
  <c r="J88" i="38"/>
  <c r="H89" i="38"/>
  <c r="J89" i="38"/>
  <c r="J92" i="38"/>
  <c r="H93" i="38"/>
  <c r="J94" i="38"/>
  <c r="H102" i="38"/>
  <c r="J102" i="38"/>
  <c r="H103" i="38"/>
  <c r="J103" i="38"/>
  <c r="E104" i="38"/>
  <c r="G104" i="38"/>
  <c r="E105" i="38"/>
  <c r="G105" i="38"/>
  <c r="E106" i="38"/>
  <c r="F106" i="38"/>
  <c r="J109" i="38"/>
  <c r="J110" i="38"/>
  <c r="J111" i="38"/>
  <c r="J112" i="38"/>
  <c r="J113" i="38"/>
  <c r="J114" i="38"/>
  <c r="J115" i="38"/>
  <c r="J116" i="38"/>
  <c r="J117" i="38"/>
  <c r="H118" i="38"/>
  <c r="J119" i="38"/>
  <c r="H125" i="38"/>
  <c r="J125" i="38"/>
  <c r="H126" i="38"/>
  <c r="J126" i="38" s="1"/>
  <c r="H128" i="38"/>
  <c r="J129" i="38"/>
  <c r="J130" i="38"/>
  <c r="H138" i="38"/>
  <c r="J138" i="38"/>
  <c r="H139" i="38"/>
  <c r="J139" i="38" s="1"/>
  <c r="E140" i="38"/>
  <c r="G140" i="38"/>
  <c r="E141" i="38"/>
  <c r="H141" i="38" s="1"/>
  <c r="J141" i="38" s="1"/>
  <c r="G141" i="38"/>
  <c r="E142" i="38"/>
  <c r="H142" i="38" s="1"/>
  <c r="J142" i="38" s="1"/>
  <c r="F142" i="38"/>
  <c r="J145" i="38"/>
  <c r="J146" i="38"/>
  <c r="J147" i="38"/>
  <c r="J148" i="38"/>
  <c r="J149" i="38"/>
  <c r="J150" i="38"/>
  <c r="J151" i="38"/>
  <c r="J152" i="38"/>
  <c r="J153" i="38"/>
  <c r="H154" i="38"/>
  <c r="J155" i="38"/>
  <c r="H161" i="38"/>
  <c r="H162" i="38"/>
  <c r="J162" i="38"/>
  <c r="H164" i="38"/>
  <c r="J165" i="38"/>
  <c r="J166" i="38"/>
  <c r="H174" i="38"/>
  <c r="J174" i="38"/>
  <c r="H175" i="38"/>
  <c r="J175" i="38"/>
  <c r="E176" i="38"/>
  <c r="G176" i="38"/>
  <c r="H176" i="38" s="1"/>
  <c r="E177" i="38"/>
  <c r="G177" i="38"/>
  <c r="E178" i="38"/>
  <c r="F178" i="38"/>
  <c r="J181" i="38"/>
  <c r="J182" i="38"/>
  <c r="J183" i="38"/>
  <c r="J184" i="38"/>
  <c r="J185" i="38"/>
  <c r="J186" i="38"/>
  <c r="J187" i="38"/>
  <c r="J188" i="38"/>
  <c r="J189" i="38"/>
  <c r="H190" i="38"/>
  <c r="J191" i="38"/>
  <c r="H197" i="38"/>
  <c r="J197" i="38"/>
  <c r="H198" i="38"/>
  <c r="J198" i="38"/>
  <c r="J200" i="38"/>
  <c r="H201" i="38"/>
  <c r="J202" i="38"/>
  <c r="H210" i="38"/>
  <c r="J210" i="38"/>
  <c r="P210" i="38"/>
  <c r="R210" i="38"/>
  <c r="H211" i="38"/>
  <c r="J211" i="38" s="1"/>
  <c r="P211" i="38"/>
  <c r="R211" i="38" s="1"/>
  <c r="E212" i="38"/>
  <c r="G212" i="38"/>
  <c r="M212" i="38"/>
  <c r="O212" i="38"/>
  <c r="E213" i="38"/>
  <c r="G213" i="38"/>
  <c r="M213" i="38"/>
  <c r="O213" i="38"/>
  <c r="E214" i="38"/>
  <c r="F214" i="38"/>
  <c r="M214" i="38"/>
  <c r="N214" i="38"/>
  <c r="J217" i="38"/>
  <c r="R217" i="38"/>
  <c r="J218" i="38"/>
  <c r="R218" i="38"/>
  <c r="J219" i="38"/>
  <c r="R219" i="38"/>
  <c r="J220" i="38"/>
  <c r="R220" i="38"/>
  <c r="J221" i="38"/>
  <c r="R221" i="38"/>
  <c r="J222" i="38"/>
  <c r="R222" i="38"/>
  <c r="H223" i="38"/>
  <c r="P223" i="38"/>
  <c r="F224" i="38"/>
  <c r="H224" i="38"/>
  <c r="N224" i="38"/>
  <c r="P224" i="38" s="1"/>
  <c r="J225" i="38"/>
  <c r="R225" i="38"/>
  <c r="Q227" i="38"/>
  <c r="H231" i="38"/>
  <c r="J231" i="38"/>
  <c r="P231" i="38"/>
  <c r="R231" i="38"/>
  <c r="H232" i="38"/>
  <c r="J232" i="38" s="1"/>
  <c r="P232" i="38"/>
  <c r="R232" i="38"/>
  <c r="J235" i="38"/>
  <c r="R235" i="38"/>
  <c r="H236" i="38"/>
  <c r="P236" i="38"/>
  <c r="F237" i="38"/>
  <c r="H237" i="38"/>
  <c r="N237" i="38"/>
  <c r="P237" i="38"/>
  <c r="J238" i="38"/>
  <c r="R238" i="38"/>
  <c r="Q240" i="38"/>
  <c r="H246" i="38"/>
  <c r="J246" i="38" s="1"/>
  <c r="P246" i="38"/>
  <c r="R246" i="38"/>
  <c r="H247" i="38"/>
  <c r="J247" i="38" s="1"/>
  <c r="P247" i="38"/>
  <c r="E248" i="38"/>
  <c r="G248" i="38"/>
  <c r="M248" i="38"/>
  <c r="O248" i="38"/>
  <c r="E249" i="38"/>
  <c r="H249" i="38" s="1"/>
  <c r="J249" i="38" s="1"/>
  <c r="G249" i="38"/>
  <c r="M249" i="38"/>
  <c r="O249" i="38"/>
  <c r="E250" i="38"/>
  <c r="F250" i="38"/>
  <c r="M250" i="38"/>
  <c r="P250" i="38" s="1"/>
  <c r="R250" i="38" s="1"/>
  <c r="N250" i="38"/>
  <c r="J253" i="38"/>
  <c r="R253" i="38"/>
  <c r="J254" i="38"/>
  <c r="R254" i="38"/>
  <c r="J255" i="38"/>
  <c r="R255" i="38"/>
  <c r="J256" i="38"/>
  <c r="R256" i="38"/>
  <c r="J257" i="38"/>
  <c r="R257" i="38"/>
  <c r="J258" i="38"/>
  <c r="R258" i="38"/>
  <c r="H259" i="38"/>
  <c r="P259" i="38"/>
  <c r="F260" i="38"/>
  <c r="H260" i="38"/>
  <c r="N260" i="38"/>
  <c r="P260" i="38" s="1"/>
  <c r="J261" i="38"/>
  <c r="R261" i="38"/>
  <c r="Q263" i="38"/>
  <c r="H267" i="38"/>
  <c r="J267" i="38"/>
  <c r="P267" i="38"/>
  <c r="R267" i="38"/>
  <c r="H268" i="38"/>
  <c r="J268" i="38" s="1"/>
  <c r="P268" i="38"/>
  <c r="R268" i="38"/>
  <c r="J271" i="38"/>
  <c r="R271" i="38"/>
  <c r="H272" i="38"/>
  <c r="P272" i="38"/>
  <c r="F273" i="38"/>
  <c r="H273" i="38"/>
  <c r="N273" i="38"/>
  <c r="P273" i="38"/>
  <c r="J274" i="38"/>
  <c r="R274" i="38"/>
  <c r="F296" i="38"/>
  <c r="H296" i="38"/>
  <c r="Q276" i="38"/>
  <c r="N296" i="38"/>
  <c r="P296" i="38"/>
  <c r="Q296" i="38"/>
  <c r="R296" i="38" s="1"/>
  <c r="R298" i="38" s="1"/>
  <c r="P299" i="38" s="1"/>
  <c r="R299" i="38" s="1"/>
  <c r="R300" i="38" s="1"/>
  <c r="H282" i="38"/>
  <c r="J282" i="38"/>
  <c r="P282" i="38"/>
  <c r="R282" i="38"/>
  <c r="H283" i="38"/>
  <c r="J283" i="38" s="1"/>
  <c r="P283" i="38"/>
  <c r="R283" i="38"/>
  <c r="E284" i="38"/>
  <c r="G284" i="38"/>
  <c r="M284" i="38"/>
  <c r="O284" i="38"/>
  <c r="E285" i="38"/>
  <c r="G285" i="38"/>
  <c r="H285" i="38" s="1"/>
  <c r="M285" i="38"/>
  <c r="O285" i="38"/>
  <c r="E286" i="38"/>
  <c r="F286" i="38"/>
  <c r="M286" i="38"/>
  <c r="N286" i="38"/>
  <c r="P286" i="38" s="1"/>
  <c r="R286" i="38" s="1"/>
  <c r="Q287" i="38"/>
  <c r="J289" i="38"/>
  <c r="R289" i="38"/>
  <c r="J290" i="38"/>
  <c r="R290" i="38"/>
  <c r="J291" i="38"/>
  <c r="R291" i="38"/>
  <c r="J292" i="38"/>
  <c r="R292" i="38"/>
  <c r="J293" i="38"/>
  <c r="R293" i="38"/>
  <c r="J294" i="38"/>
  <c r="R294" i="38"/>
  <c r="H295" i="38"/>
  <c r="P295" i="38"/>
  <c r="Q295" i="38"/>
  <c r="J297" i="38"/>
  <c r="R297" i="38"/>
  <c r="Q299" i="38"/>
  <c r="H303" i="38"/>
  <c r="J303" i="38"/>
  <c r="P303" i="38"/>
  <c r="R303" i="38"/>
  <c r="H304" i="38"/>
  <c r="H305" i="38" s="1"/>
  <c r="P304" i="38"/>
  <c r="P305" i="38"/>
  <c r="Q305" i="38"/>
  <c r="J307" i="38"/>
  <c r="R307" i="38"/>
  <c r="H308" i="38"/>
  <c r="P308" i="38"/>
  <c r="Q308" i="38"/>
  <c r="F309" i="38"/>
  <c r="H309" i="38"/>
  <c r="N309" i="38"/>
  <c r="P309" i="38" s="1"/>
  <c r="Q309" i="38"/>
  <c r="J310" i="38"/>
  <c r="R310" i="38"/>
  <c r="Q312" i="38"/>
  <c r="H318" i="38"/>
  <c r="J318" i="38" s="1"/>
  <c r="H319" i="38"/>
  <c r="J319" i="38"/>
  <c r="E320" i="38"/>
  <c r="H320" i="38"/>
  <c r="J320" i="38"/>
  <c r="E321" i="38"/>
  <c r="H321" i="38" s="1"/>
  <c r="J321" i="38" s="1"/>
  <c r="E322" i="38"/>
  <c r="F322" i="38"/>
  <c r="J325" i="38"/>
  <c r="J326" i="38"/>
  <c r="J327" i="38"/>
  <c r="J328" i="38"/>
  <c r="J329" i="38"/>
  <c r="J330" i="38"/>
  <c r="H331" i="38"/>
  <c r="F332" i="38"/>
  <c r="H332" i="38" s="1"/>
  <c r="J333" i="38"/>
  <c r="H339" i="38"/>
  <c r="J339" i="38" s="1"/>
  <c r="H340" i="38"/>
  <c r="J340" i="38" s="1"/>
  <c r="J342" i="38"/>
  <c r="H343" i="38"/>
  <c r="F344" i="38"/>
  <c r="H344" i="38"/>
  <c r="J345" i="38"/>
  <c r="H353" i="38"/>
  <c r="J353" i="38" s="1"/>
  <c r="P353" i="38"/>
  <c r="R353" i="38"/>
  <c r="H354" i="38"/>
  <c r="J354" i="38"/>
  <c r="P354" i="38"/>
  <c r="R354" i="38"/>
  <c r="E355" i="38"/>
  <c r="H355" i="38" s="1"/>
  <c r="M355" i="38"/>
  <c r="P355" i="38"/>
  <c r="E356" i="38"/>
  <c r="H356" i="38"/>
  <c r="J356" i="38"/>
  <c r="M356" i="38"/>
  <c r="P356" i="38"/>
  <c r="E357" i="38"/>
  <c r="G357" i="38" s="1"/>
  <c r="J357" i="38" s="1"/>
  <c r="F357" i="38"/>
  <c r="M357" i="38"/>
  <c r="N357" i="38"/>
  <c r="J360" i="38"/>
  <c r="R360" i="38"/>
  <c r="J361" i="38"/>
  <c r="R361" i="38"/>
  <c r="J362" i="38"/>
  <c r="R362" i="38"/>
  <c r="J363" i="38"/>
  <c r="R363" i="38"/>
  <c r="J364" i="38"/>
  <c r="R364" i="38"/>
  <c r="J365" i="38"/>
  <c r="R365" i="38"/>
  <c r="H366" i="38"/>
  <c r="P366" i="38"/>
  <c r="F367" i="38"/>
  <c r="H367" i="38" s="1"/>
  <c r="N367" i="38"/>
  <c r="P367" i="38" s="1"/>
  <c r="J368" i="38"/>
  <c r="R368" i="38"/>
  <c r="Q370" i="38"/>
  <c r="H374" i="38"/>
  <c r="J374" i="38"/>
  <c r="P374" i="38"/>
  <c r="H375" i="38"/>
  <c r="J375" i="38"/>
  <c r="P375" i="38"/>
  <c r="R375" i="38"/>
  <c r="J378" i="38"/>
  <c r="R378" i="38"/>
  <c r="H379" i="38"/>
  <c r="P379" i="38"/>
  <c r="F380" i="38"/>
  <c r="H380" i="38"/>
  <c r="N380" i="38"/>
  <c r="P380" i="38" s="1"/>
  <c r="J381" i="38"/>
  <c r="R381" i="38"/>
  <c r="H383" i="38"/>
  <c r="P383" i="38"/>
  <c r="H389" i="38"/>
  <c r="J389" i="38"/>
  <c r="H390" i="38"/>
  <c r="J390" i="38" s="1"/>
  <c r="E391" i="38"/>
  <c r="G391" i="38"/>
  <c r="E392" i="38"/>
  <c r="G392" i="38"/>
  <c r="E393" i="38"/>
  <c r="F393" i="38"/>
  <c r="J396" i="38"/>
  <c r="J397" i="38"/>
  <c r="J398" i="38"/>
  <c r="J399" i="38"/>
  <c r="J400" i="38"/>
  <c r="J401" i="38"/>
  <c r="H402" i="38"/>
  <c r="F403" i="38"/>
  <c r="H403" i="38"/>
  <c r="K403" i="38"/>
  <c r="J404" i="38"/>
  <c r="H406" i="38"/>
  <c r="H410" i="38"/>
  <c r="J410" i="38"/>
  <c r="H411" i="38"/>
  <c r="J411" i="38"/>
  <c r="J414" i="38"/>
  <c r="H415" i="38"/>
  <c r="F416" i="38"/>
  <c r="H416" i="38"/>
  <c r="J417" i="38"/>
  <c r="H419" i="38"/>
  <c r="H427" i="38"/>
  <c r="J427" i="38"/>
  <c r="H428" i="38"/>
  <c r="J428" i="38"/>
  <c r="H430" i="38"/>
  <c r="F431" i="38"/>
  <c r="H431" i="38"/>
  <c r="H433" i="38"/>
  <c r="A2" i="39"/>
  <c r="C5" i="39"/>
  <c r="D5" i="39"/>
  <c r="E5" i="39" s="1"/>
  <c r="F5" i="39" s="1"/>
  <c r="G5" i="39" s="1"/>
  <c r="H5" i="39" s="1"/>
  <c r="I5" i="39"/>
  <c r="J5" i="39" s="1"/>
  <c r="F11" i="39"/>
  <c r="G11" i="39" s="1"/>
  <c r="F12" i="39"/>
  <c r="G12" i="39" s="1"/>
  <c r="H18" i="39"/>
  <c r="H19" i="39"/>
  <c r="J19" i="39"/>
  <c r="H20" i="39"/>
  <c r="J20" i="39" s="1"/>
  <c r="H21" i="39"/>
  <c r="J21" i="39" s="1"/>
  <c r="H22" i="39"/>
  <c r="J22" i="39"/>
  <c r="J25" i="39"/>
  <c r="J26" i="39"/>
  <c r="J27" i="39"/>
  <c r="J28" i="39"/>
  <c r="J29" i="39"/>
  <c r="J30" i="39"/>
  <c r="J31" i="39"/>
  <c r="H32" i="39"/>
  <c r="J33" i="39"/>
  <c r="J34" i="39"/>
  <c r="I36" i="39"/>
  <c r="H42" i="39"/>
  <c r="J42" i="39" s="1"/>
  <c r="H43" i="39"/>
  <c r="J43" i="39"/>
  <c r="E44" i="39"/>
  <c r="H44" i="39" s="1"/>
  <c r="J44" i="39" s="1"/>
  <c r="G44" i="39"/>
  <c r="G45" i="39"/>
  <c r="H45" i="39"/>
  <c r="J45" i="39" s="1"/>
  <c r="H46" i="39"/>
  <c r="J46" i="39" s="1"/>
  <c r="J49" i="39"/>
  <c r="J50" i="39"/>
  <c r="J51" i="39"/>
  <c r="J52" i="39"/>
  <c r="J53" i="39"/>
  <c r="J54" i="39"/>
  <c r="J55" i="39"/>
  <c r="J56" i="39"/>
  <c r="H57" i="39"/>
  <c r="J58" i="39"/>
  <c r="I60" i="39"/>
  <c r="H65" i="39"/>
  <c r="H66" i="39"/>
  <c r="J66" i="39"/>
  <c r="E67" i="39"/>
  <c r="G67" i="39"/>
  <c r="G68" i="39"/>
  <c r="H68" i="39" s="1"/>
  <c r="H69" i="39"/>
  <c r="J69" i="39"/>
  <c r="J72" i="39"/>
  <c r="J73" i="39"/>
  <c r="J74" i="39"/>
  <c r="J75" i="39"/>
  <c r="J76" i="39"/>
  <c r="J77" i="39"/>
  <c r="J78" i="39"/>
  <c r="J79" i="39"/>
  <c r="H80" i="39"/>
  <c r="J81" i="39"/>
  <c r="I83" i="39"/>
  <c r="H88" i="39"/>
  <c r="J88" i="39" s="1"/>
  <c r="H89" i="39"/>
  <c r="J89" i="39" s="1"/>
  <c r="E90" i="39"/>
  <c r="G90" i="39"/>
  <c r="G91" i="39"/>
  <c r="H91" i="39"/>
  <c r="J91" i="39"/>
  <c r="H92" i="39"/>
  <c r="J92" i="39" s="1"/>
  <c r="J95" i="39"/>
  <c r="J96" i="39"/>
  <c r="J97" i="39"/>
  <c r="J98" i="39"/>
  <c r="J99" i="39"/>
  <c r="J100" i="39"/>
  <c r="J101" i="39"/>
  <c r="J102" i="39"/>
  <c r="H103" i="39"/>
  <c r="J104" i="39"/>
  <c r="I106" i="39"/>
  <c r="H113" i="39"/>
  <c r="H114" i="39"/>
  <c r="J114" i="39"/>
  <c r="E115" i="39"/>
  <c r="H115" i="39"/>
  <c r="J115" i="39" s="1"/>
  <c r="E116" i="39"/>
  <c r="G116" i="39"/>
  <c r="H117" i="39"/>
  <c r="J117" i="39"/>
  <c r="J120" i="39"/>
  <c r="J121" i="39"/>
  <c r="J122" i="39"/>
  <c r="J123" i="39"/>
  <c r="J124" i="39"/>
  <c r="J125" i="39"/>
  <c r="H126" i="39"/>
  <c r="F127" i="39"/>
  <c r="H127" i="39"/>
  <c r="J127" i="39"/>
  <c r="J128" i="39"/>
  <c r="I130" i="39"/>
  <c r="H135" i="39"/>
  <c r="J135" i="39" s="1"/>
  <c r="H136" i="39"/>
  <c r="J136" i="39"/>
  <c r="E137" i="39"/>
  <c r="H137" i="39" s="1"/>
  <c r="J137" i="39"/>
  <c r="G138" i="39"/>
  <c r="H138" i="39"/>
  <c r="J138" i="39"/>
  <c r="H139" i="39"/>
  <c r="J139" i="39"/>
  <c r="J142" i="39"/>
  <c r="J143" i="39"/>
  <c r="J144" i="39"/>
  <c r="J145" i="39"/>
  <c r="J146" i="39"/>
  <c r="J147" i="39"/>
  <c r="H148" i="39"/>
  <c r="F149" i="39"/>
  <c r="H149" i="39"/>
  <c r="J149" i="39"/>
  <c r="J150" i="39"/>
  <c r="I152" i="39"/>
  <c r="H157" i="39"/>
  <c r="J157" i="39"/>
  <c r="H158" i="39"/>
  <c r="J158" i="39"/>
  <c r="H159" i="39"/>
  <c r="J159" i="39" s="1"/>
  <c r="H160" i="39"/>
  <c r="J160" i="39" s="1"/>
  <c r="H161" i="39"/>
  <c r="J161" i="39"/>
  <c r="J164" i="39"/>
  <c r="J165" i="39"/>
  <c r="J166" i="39"/>
  <c r="J167" i="39"/>
  <c r="J168" i="39"/>
  <c r="J169" i="39"/>
  <c r="H170" i="39"/>
  <c r="F171" i="39"/>
  <c r="H171" i="39"/>
  <c r="J171" i="39" s="1"/>
  <c r="J172" i="39"/>
  <c r="I174" i="39"/>
  <c r="H179" i="39"/>
  <c r="J179" i="39"/>
  <c r="H180" i="39"/>
  <c r="J180" i="39" s="1"/>
  <c r="H181" i="39"/>
  <c r="J181" i="39"/>
  <c r="H182" i="39"/>
  <c r="J182" i="39" s="1"/>
  <c r="H183" i="39"/>
  <c r="J183" i="39" s="1"/>
  <c r="J186" i="39"/>
  <c r="J187" i="39"/>
  <c r="J188" i="39"/>
  <c r="J189" i="39"/>
  <c r="J190" i="39"/>
  <c r="J191" i="39"/>
  <c r="J192" i="39"/>
  <c r="H193" i="39"/>
  <c r="J194" i="39"/>
  <c r="J195" i="39"/>
  <c r="I197" i="39"/>
  <c r="B202" i="39"/>
  <c r="G202" i="39"/>
  <c r="B203" i="39"/>
  <c r="G203" i="39"/>
  <c r="J138" i="30"/>
  <c r="I276" i="37"/>
  <c r="I332" i="10"/>
  <c r="J766" i="26"/>
  <c r="I191" i="2"/>
  <c r="H17" i="34"/>
  <c r="H18" i="34"/>
  <c r="H16" i="34"/>
  <c r="P291" i="33"/>
  <c r="R291" i="33" s="1"/>
  <c r="H32" i="27"/>
  <c r="J32" i="27" s="1"/>
  <c r="I99" i="2"/>
  <c r="I100" i="2"/>
  <c r="I96" i="2"/>
  <c r="O96" i="2"/>
  <c r="H32" i="37"/>
  <c r="J32" i="37"/>
  <c r="I32" i="10"/>
  <c r="I265" i="7"/>
  <c r="H31" i="37"/>
  <c r="J31" i="37"/>
  <c r="H68" i="37"/>
  <c r="J68" i="37" s="1"/>
  <c r="H139" i="33"/>
  <c r="J139" i="33" s="1"/>
  <c r="I91" i="2"/>
  <c r="F205" i="2" s="1"/>
  <c r="H31" i="31"/>
  <c r="J31" i="31" s="1"/>
  <c r="J212" i="31"/>
  <c r="H176" i="31"/>
  <c r="H31" i="38"/>
  <c r="J31" i="38"/>
  <c r="J572" i="26"/>
  <c r="J573" i="26" s="1"/>
  <c r="J14" i="18"/>
  <c r="L14" i="18"/>
  <c r="I28" i="13"/>
  <c r="I43" i="13" s="1"/>
  <c r="F203" i="13" s="1"/>
  <c r="I290" i="12"/>
  <c r="I313" i="9"/>
  <c r="P285" i="38"/>
  <c r="R285" i="38"/>
  <c r="H435" i="33"/>
  <c r="J435" i="33"/>
  <c r="F1007" i="28"/>
  <c r="H284" i="37"/>
  <c r="J284" i="37"/>
  <c r="P214" i="37"/>
  <c r="R214" i="37" s="1"/>
  <c r="P212" i="37"/>
  <c r="R212" i="37" s="1"/>
  <c r="F930" i="28"/>
  <c r="G399" i="33"/>
  <c r="J399" i="33"/>
  <c r="I282" i="13"/>
  <c r="M282" i="13" s="1"/>
  <c r="I239" i="9"/>
  <c r="I267" i="7"/>
  <c r="I254" i="2"/>
  <c r="I255" i="2" s="1"/>
  <c r="H67" i="38"/>
  <c r="H32" i="38"/>
  <c r="J32" i="38" s="1"/>
  <c r="H140" i="33"/>
  <c r="J140" i="33"/>
  <c r="J164" i="26"/>
  <c r="J165" i="26" s="1"/>
  <c r="I43" i="20"/>
  <c r="P290" i="33"/>
  <c r="R290" i="33"/>
  <c r="I261" i="13"/>
  <c r="I262" i="12"/>
  <c r="I192" i="12"/>
  <c r="I364" i="7"/>
  <c r="H69" i="30"/>
  <c r="J69" i="30"/>
  <c r="R69" i="30" s="1"/>
  <c r="H214" i="30"/>
  <c r="H212" i="30"/>
  <c r="J161" i="30"/>
  <c r="H325" i="31"/>
  <c r="J325" i="31" s="1"/>
  <c r="H326" i="31"/>
  <c r="J326" i="31"/>
  <c r="H346" i="31"/>
  <c r="P290" i="31"/>
  <c r="R290" i="31" s="1"/>
  <c r="G820" i="15"/>
  <c r="I120" i="33"/>
  <c r="I95" i="33"/>
  <c r="I84" i="38"/>
  <c r="I370" i="37"/>
  <c r="I377" i="33"/>
  <c r="I354" i="33"/>
  <c r="I269" i="33"/>
  <c r="I311" i="36"/>
  <c r="I202" i="36"/>
  <c r="I341" i="33"/>
  <c r="I318" i="33"/>
  <c r="Q318" i="33" s="1"/>
  <c r="H286" i="38"/>
  <c r="J286" i="38" s="1"/>
  <c r="J285" i="38"/>
  <c r="P249" i="38"/>
  <c r="R249" i="38" s="1"/>
  <c r="P248" i="38"/>
  <c r="P249" i="37"/>
  <c r="R249" i="37" s="1"/>
  <c r="H214" i="37"/>
  <c r="H215" i="37" s="1"/>
  <c r="J214" i="37"/>
  <c r="H213" i="37"/>
  <c r="J213" i="37"/>
  <c r="H142" i="37"/>
  <c r="J142" i="37" s="1"/>
  <c r="J231" i="36"/>
  <c r="H232" i="36"/>
  <c r="H67" i="36"/>
  <c r="J67" i="36" s="1"/>
  <c r="H241" i="33"/>
  <c r="M25" i="13"/>
  <c r="F202" i="13"/>
  <c r="R305" i="38"/>
  <c r="P284" i="38"/>
  <c r="R284" i="38"/>
  <c r="H269" i="38"/>
  <c r="P213" i="37"/>
  <c r="R213" i="37"/>
  <c r="J52" i="27"/>
  <c r="H54" i="27"/>
  <c r="J380" i="31"/>
  <c r="H382" i="31"/>
  <c r="H116" i="39"/>
  <c r="J116" i="39"/>
  <c r="H177" i="38"/>
  <c r="J177" i="38" s="1"/>
  <c r="P376" i="37"/>
  <c r="J322" i="37"/>
  <c r="H178" i="37"/>
  <c r="J178" i="37"/>
  <c r="H127" i="37"/>
  <c r="H289" i="31"/>
  <c r="J289" i="31" s="1"/>
  <c r="H32" i="31"/>
  <c r="J32" i="31" s="1"/>
  <c r="H141" i="30"/>
  <c r="J141" i="30" s="1"/>
  <c r="F1077" i="28"/>
  <c r="G1077" i="28" s="1"/>
  <c r="F1065" i="28"/>
  <c r="G1065" i="28"/>
  <c r="G1041" i="28"/>
  <c r="G697" i="28"/>
  <c r="P197" i="10"/>
  <c r="P202" i="9"/>
  <c r="I356" i="2"/>
  <c r="I357" i="2" s="1"/>
  <c r="F358" i="2"/>
  <c r="I358" i="2"/>
  <c r="I210" i="30"/>
  <c r="J210" i="30"/>
  <c r="I197" i="30"/>
  <c r="I198" i="30" s="1"/>
  <c r="J198" i="30" s="1"/>
  <c r="I173" i="30"/>
  <c r="H375" i="36"/>
  <c r="H140" i="30"/>
  <c r="J140" i="30"/>
  <c r="H285" i="27"/>
  <c r="J285" i="27"/>
  <c r="H141" i="27"/>
  <c r="H33" i="27"/>
  <c r="J33" i="27" s="1"/>
  <c r="J794" i="26"/>
  <c r="M794" i="26"/>
  <c r="N794" i="26" s="1"/>
  <c r="J771" i="26"/>
  <c r="M771" i="26" s="1"/>
  <c r="N771" i="26" s="1"/>
  <c r="J732" i="26"/>
  <c r="J581" i="26"/>
  <c r="J577" i="26"/>
  <c r="I291" i="13"/>
  <c r="J446" i="12"/>
  <c r="K446" i="12" s="1"/>
  <c r="F204" i="12"/>
  <c r="I29" i="12"/>
  <c r="K534" i="9"/>
  <c r="I312" i="9"/>
  <c r="I32" i="9"/>
  <c r="J490" i="9"/>
  <c r="K490" i="9" s="1"/>
  <c r="M294" i="7"/>
  <c r="I105" i="7"/>
  <c r="I106" i="7"/>
  <c r="H68" i="30"/>
  <c r="J68" i="30" s="1"/>
  <c r="R68" i="30" s="1"/>
  <c r="J172" i="30"/>
  <c r="H326" i="33"/>
  <c r="H329" i="33" s="1"/>
  <c r="H68" i="33"/>
  <c r="J68" i="33"/>
  <c r="G33" i="32"/>
  <c r="J33" i="32" s="1"/>
  <c r="P288" i="30"/>
  <c r="R288" i="30" s="1"/>
  <c r="P287" i="30"/>
  <c r="P286" i="30"/>
  <c r="R286" i="30" s="1"/>
  <c r="I40" i="20"/>
  <c r="J442" i="7"/>
  <c r="K442" i="7" s="1"/>
  <c r="I212" i="30"/>
  <c r="J212" i="30" s="1"/>
  <c r="I175" i="30"/>
  <c r="I176" i="30" s="1"/>
  <c r="J776" i="26"/>
  <c r="M776" i="26" s="1"/>
  <c r="N776" i="26" s="1"/>
  <c r="J605" i="26"/>
  <c r="J603" i="26"/>
  <c r="J449" i="26"/>
  <c r="J416" i="26"/>
  <c r="I90" i="20"/>
  <c r="H39" i="18"/>
  <c r="M286" i="13"/>
  <c r="I262" i="13"/>
  <c r="I260" i="13"/>
  <c r="I114" i="13"/>
  <c r="I260" i="12"/>
  <c r="I249" i="12"/>
  <c r="I252" i="12" s="1"/>
  <c r="O252" i="12" s="1"/>
  <c r="I108" i="12"/>
  <c r="M108" i="12"/>
  <c r="I97" i="12"/>
  <c r="J478" i="10"/>
  <c r="K478" i="10" s="1"/>
  <c r="I323" i="10"/>
  <c r="M323" i="10"/>
  <c r="I149" i="10"/>
  <c r="I142" i="10"/>
  <c r="O142" i="10"/>
  <c r="I135" i="10"/>
  <c r="M135" i="10"/>
  <c r="I140" i="9"/>
  <c r="J218" i="31"/>
  <c r="I126" i="7"/>
  <c r="I119" i="7"/>
  <c r="O119" i="7"/>
  <c r="I96" i="7"/>
  <c r="I299" i="38"/>
  <c r="I48" i="37"/>
  <c r="I168" i="27"/>
  <c r="O323" i="10"/>
  <c r="H429" i="38"/>
  <c r="H393" i="38"/>
  <c r="J393" i="38"/>
  <c r="I347" i="38"/>
  <c r="R304" i="38"/>
  <c r="P233" i="38"/>
  <c r="H90" i="38"/>
  <c r="O357" i="37"/>
  <c r="R357" i="37"/>
  <c r="H285" i="37"/>
  <c r="J285" i="37"/>
  <c r="P248" i="37"/>
  <c r="R248" i="37"/>
  <c r="H176" i="37"/>
  <c r="P70" i="37"/>
  <c r="R70" i="37" s="1"/>
  <c r="P67" i="37"/>
  <c r="H411" i="36"/>
  <c r="H391" i="36"/>
  <c r="J391" i="36" s="1"/>
  <c r="H340" i="36"/>
  <c r="H268" i="36"/>
  <c r="H248" i="36"/>
  <c r="J248" i="36" s="1"/>
  <c r="H213" i="36"/>
  <c r="J213" i="36" s="1"/>
  <c r="H212" i="36"/>
  <c r="J212" i="36"/>
  <c r="H211" i="36"/>
  <c r="J63" i="32"/>
  <c r="H65" i="32"/>
  <c r="J303" i="27"/>
  <c r="H305" i="27"/>
  <c r="J200" i="33"/>
  <c r="H201" i="33"/>
  <c r="H412" i="38"/>
  <c r="H376" i="38"/>
  <c r="H233" i="38"/>
  <c r="H233" i="37"/>
  <c r="H90" i="37"/>
  <c r="P375" i="36"/>
  <c r="H176" i="36"/>
  <c r="J176" i="36"/>
  <c r="H104" i="36"/>
  <c r="H102" i="36"/>
  <c r="J470" i="33"/>
  <c r="J241" i="33"/>
  <c r="J88" i="27"/>
  <c r="H90" i="27"/>
  <c r="J274" i="33"/>
  <c r="H275" i="33"/>
  <c r="H67" i="39"/>
  <c r="J67" i="39" s="1"/>
  <c r="R295" i="38"/>
  <c r="I240" i="38"/>
  <c r="H214" i="38"/>
  <c r="J214" i="38"/>
  <c r="H213" i="38"/>
  <c r="J213" i="38"/>
  <c r="H212" i="38"/>
  <c r="H127" i="38"/>
  <c r="H105" i="38"/>
  <c r="J105" i="38"/>
  <c r="H392" i="37"/>
  <c r="H177" i="37"/>
  <c r="J177" i="37"/>
  <c r="P232" i="36"/>
  <c r="H139" i="36"/>
  <c r="J139" i="36"/>
  <c r="H66" i="36"/>
  <c r="J452" i="33"/>
  <c r="H454" i="33"/>
  <c r="J119" i="32"/>
  <c r="H121" i="32"/>
  <c r="J50" i="32"/>
  <c r="H52" i="32"/>
  <c r="I312" i="27"/>
  <c r="G364" i="33"/>
  <c r="J364" i="33"/>
  <c r="H347" i="33"/>
  <c r="H291" i="33"/>
  <c r="P256" i="33"/>
  <c r="R256" i="33"/>
  <c r="P255" i="33"/>
  <c r="R255" i="33"/>
  <c r="P254" i="33"/>
  <c r="R254" i="33"/>
  <c r="H217" i="33"/>
  <c r="J217" i="33" s="1"/>
  <c r="H215" i="33"/>
  <c r="H179" i="33"/>
  <c r="J179" i="33"/>
  <c r="H177" i="33"/>
  <c r="J177" i="33"/>
  <c r="H175" i="33"/>
  <c r="H162" i="33"/>
  <c r="H105" i="33"/>
  <c r="J105" i="33" s="1"/>
  <c r="H103" i="33"/>
  <c r="H89" i="33"/>
  <c r="H310" i="31"/>
  <c r="H291" i="31"/>
  <c r="P289" i="31"/>
  <c r="R289" i="31" s="1"/>
  <c r="H324" i="30"/>
  <c r="J324" i="30" s="1"/>
  <c r="H322" i="30"/>
  <c r="F423" i="28"/>
  <c r="H233" i="27"/>
  <c r="H177" i="27"/>
  <c r="J619" i="26"/>
  <c r="J601" i="26"/>
  <c r="J583" i="26"/>
  <c r="J579" i="26"/>
  <c r="J523" i="26"/>
  <c r="J524" i="26"/>
  <c r="J525" i="26" s="1"/>
  <c r="P525" i="26" s="1"/>
  <c r="J490" i="26"/>
  <c r="J333" i="26"/>
  <c r="J334" i="26"/>
  <c r="P334" i="26"/>
  <c r="J326" i="26"/>
  <c r="J327" i="26" s="1"/>
  <c r="P327" i="26" s="1"/>
  <c r="J256" i="26"/>
  <c r="J257" i="26"/>
  <c r="J259" i="26"/>
  <c r="P259" i="26" s="1"/>
  <c r="M25" i="2"/>
  <c r="F200" i="2"/>
  <c r="O25" i="2"/>
  <c r="H67" i="33"/>
  <c r="J67" i="33"/>
  <c r="H453" i="31"/>
  <c r="P417" i="31"/>
  <c r="O398" i="31"/>
  <c r="R398" i="31" s="1"/>
  <c r="P254" i="31"/>
  <c r="P253" i="31"/>
  <c r="R253" i="31" s="1"/>
  <c r="H106" i="31"/>
  <c r="J106" i="31" s="1"/>
  <c r="H104" i="31"/>
  <c r="H33" i="31"/>
  <c r="H430" i="30"/>
  <c r="J430" i="30" s="1"/>
  <c r="G395" i="30"/>
  <c r="J395" i="30" s="1"/>
  <c r="H288" i="30"/>
  <c r="J288" i="30" s="1"/>
  <c r="H139" i="30"/>
  <c r="H104" i="30"/>
  <c r="J104" i="30" s="1"/>
  <c r="H54" i="30"/>
  <c r="H286" i="27"/>
  <c r="J286" i="27"/>
  <c r="H142" i="27"/>
  <c r="J142" i="27"/>
  <c r="H140" i="27"/>
  <c r="M789" i="26"/>
  <c r="N789" i="26"/>
  <c r="M781" i="26"/>
  <c r="N781" i="26" s="1"/>
  <c r="M761" i="26"/>
  <c r="N761" i="26"/>
  <c r="J602" i="26"/>
  <c r="I43" i="23"/>
  <c r="I44" i="23"/>
  <c r="P311" i="33"/>
  <c r="H180" i="33"/>
  <c r="J180" i="33" s="1"/>
  <c r="H176" i="33"/>
  <c r="J176" i="33" s="1"/>
  <c r="H434" i="31"/>
  <c r="J434" i="31" s="1"/>
  <c r="H432" i="31"/>
  <c r="H142" i="31"/>
  <c r="J142" i="31" s="1"/>
  <c r="H140" i="31"/>
  <c r="J140" i="31" s="1"/>
  <c r="H68" i="31"/>
  <c r="J68" i="31" s="1"/>
  <c r="F1066" i="28"/>
  <c r="G583" i="28"/>
  <c r="H178" i="27"/>
  <c r="J178" i="27" s="1"/>
  <c r="H176" i="27"/>
  <c r="J610" i="26"/>
  <c r="J607" i="26"/>
  <c r="J582" i="26"/>
  <c r="J578" i="26"/>
  <c r="J445" i="26"/>
  <c r="J134" i="26"/>
  <c r="J136" i="26"/>
  <c r="M327" i="10"/>
  <c r="O327" i="10"/>
  <c r="I411" i="12"/>
  <c r="I412" i="12" s="1"/>
  <c r="I113" i="12"/>
  <c r="O113" i="12"/>
  <c r="O537" i="10"/>
  <c r="I443" i="10"/>
  <c r="I444" i="10"/>
  <c r="I299" i="10"/>
  <c r="I295" i="10"/>
  <c r="I296" i="10"/>
  <c r="I29" i="9"/>
  <c r="I289" i="2"/>
  <c r="O289" i="2"/>
  <c r="I391" i="13"/>
  <c r="I392" i="13" s="1"/>
  <c r="I85" i="13"/>
  <c r="I86" i="13"/>
  <c r="M86" i="13" s="1"/>
  <c r="I368" i="12"/>
  <c r="I357" i="12"/>
  <c r="I358" i="12" s="1"/>
  <c r="F359" i="12" s="1"/>
  <c r="I359" i="12" s="1"/>
  <c r="I331" i="12"/>
  <c r="I332" i="12" s="1"/>
  <c r="I56" i="12"/>
  <c r="F203" i="12" s="1"/>
  <c r="I300" i="10"/>
  <c r="I228" i="10"/>
  <c r="I235" i="10" s="1"/>
  <c r="I214" i="10"/>
  <c r="I215" i="10"/>
  <c r="I129" i="10"/>
  <c r="I130" i="10" s="1"/>
  <c r="O130" i="10" s="1"/>
  <c r="I446" i="9"/>
  <c r="M446" i="9"/>
  <c r="J216" i="31"/>
  <c r="O294" i="7"/>
  <c r="I194" i="7"/>
  <c r="I113" i="7"/>
  <c r="M113" i="7" s="1"/>
  <c r="I102" i="7"/>
  <c r="I29" i="7"/>
  <c r="I45" i="7"/>
  <c r="O45" i="7"/>
  <c r="G138" i="35"/>
  <c r="G140" i="35" s="1"/>
  <c r="K916" i="26" s="1"/>
  <c r="M916" i="26" s="1"/>
  <c r="N916" i="26" s="1"/>
  <c r="I330" i="2"/>
  <c r="I331" i="2"/>
  <c r="I258" i="2"/>
  <c r="I248" i="2"/>
  <c r="I251" i="2"/>
  <c r="O251" i="2" s="1"/>
  <c r="I177" i="2"/>
  <c r="I178" i="2"/>
  <c r="I119" i="2"/>
  <c r="M119" i="2"/>
  <c r="J20" i="18"/>
  <c r="L20" i="18"/>
  <c r="I256" i="13"/>
  <c r="I257" i="13"/>
  <c r="M257" i="13" s="1"/>
  <c r="I250" i="13"/>
  <c r="I109" i="13"/>
  <c r="M109" i="13" s="1"/>
  <c r="I281" i="12"/>
  <c r="I246" i="12"/>
  <c r="O246" i="12"/>
  <c r="I92" i="12"/>
  <c r="M92" i="12"/>
  <c r="I29" i="10"/>
  <c r="M29" i="10" s="1"/>
  <c r="I64" i="9"/>
  <c r="F250" i="9"/>
  <c r="I261" i="7"/>
  <c r="I262" i="7"/>
  <c r="O262" i="7"/>
  <c r="H32" i="30"/>
  <c r="J32" i="30" s="1"/>
  <c r="H67" i="30"/>
  <c r="H215" i="30"/>
  <c r="J215" i="30" s="1"/>
  <c r="H213" i="30"/>
  <c r="I259" i="2"/>
  <c r="O78" i="2"/>
  <c r="I28" i="2"/>
  <c r="I93" i="20"/>
  <c r="I94" i="20"/>
  <c r="I95" i="20"/>
  <c r="I193" i="13"/>
  <c r="I261" i="12"/>
  <c r="I236" i="12"/>
  <c r="I237" i="12"/>
  <c r="O237" i="12" s="1"/>
  <c r="I311" i="9"/>
  <c r="H444" i="34"/>
  <c r="H140" i="39"/>
  <c r="R308" i="38"/>
  <c r="H284" i="38"/>
  <c r="P269" i="38"/>
  <c r="I96" i="38"/>
  <c r="H286" i="37"/>
  <c r="J286" i="37" s="1"/>
  <c r="P250" i="37"/>
  <c r="H141" i="37"/>
  <c r="J141" i="37" s="1"/>
  <c r="J86" i="36"/>
  <c r="H88" i="36"/>
  <c r="J717" i="26"/>
  <c r="H90" i="39"/>
  <c r="H93" i="39" s="1"/>
  <c r="J90" i="39"/>
  <c r="H391" i="38"/>
  <c r="H341" i="38"/>
  <c r="G322" i="38"/>
  <c r="J322" i="38"/>
  <c r="H250" i="38"/>
  <c r="J250" i="38"/>
  <c r="H248" i="38"/>
  <c r="I193" i="38"/>
  <c r="H178" i="38"/>
  <c r="J178" i="38"/>
  <c r="H140" i="38"/>
  <c r="H68" i="38"/>
  <c r="I59" i="38"/>
  <c r="H33" i="38"/>
  <c r="J33" i="38" s="1"/>
  <c r="H341" i="37"/>
  <c r="H305" i="37"/>
  <c r="H163" i="37"/>
  <c r="H106" i="37"/>
  <c r="H104" i="37"/>
  <c r="J104" i="37" s="1"/>
  <c r="I96" i="37"/>
  <c r="I84" i="37"/>
  <c r="Q84" i="37" s="1"/>
  <c r="H69" i="37"/>
  <c r="J69" i="37" s="1"/>
  <c r="H67" i="37"/>
  <c r="G356" i="36"/>
  <c r="J356" i="36"/>
  <c r="H283" i="36"/>
  <c r="H249" i="36"/>
  <c r="J249" i="36"/>
  <c r="H247" i="36"/>
  <c r="H175" i="36"/>
  <c r="J175" i="36" s="1"/>
  <c r="H392" i="38"/>
  <c r="J392" i="38"/>
  <c r="O357" i="38"/>
  <c r="R357" i="38" s="1"/>
  <c r="P214" i="38"/>
  <c r="R214" i="38" s="1"/>
  <c r="P213" i="38"/>
  <c r="P212" i="38"/>
  <c r="R212" i="38" s="1"/>
  <c r="H199" i="38"/>
  <c r="H106" i="38"/>
  <c r="J106" i="38"/>
  <c r="H104" i="38"/>
  <c r="H393" i="37"/>
  <c r="J393" i="37"/>
  <c r="H391" i="37"/>
  <c r="J391" i="37"/>
  <c r="H269" i="37"/>
  <c r="H392" i="36"/>
  <c r="J392" i="36"/>
  <c r="G321" i="36"/>
  <c r="J321" i="36"/>
  <c r="P213" i="36"/>
  <c r="R213" i="36"/>
  <c r="P211" i="36"/>
  <c r="J173" i="36"/>
  <c r="H174" i="36"/>
  <c r="H292" i="33"/>
  <c r="H256" i="33"/>
  <c r="J256" i="33"/>
  <c r="H255" i="33"/>
  <c r="J255" i="33" s="1"/>
  <c r="H254" i="33"/>
  <c r="J254" i="33" s="1"/>
  <c r="H216" i="33"/>
  <c r="J216" i="33"/>
  <c r="H214" i="33"/>
  <c r="H126" i="33"/>
  <c r="H104" i="33"/>
  <c r="H53" i="33"/>
  <c r="H100" i="32"/>
  <c r="H31" i="32"/>
  <c r="H433" i="31"/>
  <c r="J433" i="31" s="1"/>
  <c r="G398" i="31"/>
  <c r="J398" i="31" s="1"/>
  <c r="G363" i="31"/>
  <c r="J363" i="31" s="1"/>
  <c r="H327" i="31"/>
  <c r="J327" i="31" s="1"/>
  <c r="P291" i="31"/>
  <c r="H179" i="31"/>
  <c r="J179" i="31" s="1"/>
  <c r="H177" i="31"/>
  <c r="J177" i="31" s="1"/>
  <c r="H141" i="31"/>
  <c r="J141" i="31" s="1"/>
  <c r="H127" i="31"/>
  <c r="H69" i="31"/>
  <c r="J69" i="31" s="1"/>
  <c r="H67" i="31"/>
  <c r="H431" i="30"/>
  <c r="H429" i="30"/>
  <c r="H323" i="30"/>
  <c r="J323" i="30" s="1"/>
  <c r="H105" i="30"/>
  <c r="H103" i="30"/>
  <c r="J103" i="30" s="1"/>
  <c r="G902" i="28"/>
  <c r="G903" i="28" s="1"/>
  <c r="H163" i="27"/>
  <c r="J649" i="26"/>
  <c r="J650" i="26" s="1"/>
  <c r="G807" i="26" s="1"/>
  <c r="J460" i="26"/>
  <c r="J248" i="26"/>
  <c r="J251" i="26"/>
  <c r="J253" i="26" s="1"/>
  <c r="P253" i="26" s="1"/>
  <c r="J126" i="26"/>
  <c r="J83" i="26"/>
  <c r="I164" i="12"/>
  <c r="I165" i="12"/>
  <c r="M165" i="12" s="1"/>
  <c r="H140" i="36"/>
  <c r="J140" i="36" s="1"/>
  <c r="H138" i="36"/>
  <c r="H103" i="36"/>
  <c r="J103" i="36"/>
  <c r="H34" i="36"/>
  <c r="J34" i="36" s="1"/>
  <c r="H32" i="36"/>
  <c r="J32" i="36"/>
  <c r="H418" i="33"/>
  <c r="H327" i="33"/>
  <c r="J327" i="33"/>
  <c r="R309" i="33"/>
  <c r="R415" i="31"/>
  <c r="H201" i="31"/>
  <c r="H105" i="31"/>
  <c r="J105" i="31" s="1"/>
  <c r="H90" i="31"/>
  <c r="P252" i="30"/>
  <c r="R252" i="30"/>
  <c r="P251" i="30"/>
  <c r="R251" i="30" s="1"/>
  <c r="P250" i="30"/>
  <c r="R250" i="30"/>
  <c r="G633" i="28"/>
  <c r="G382" i="28"/>
  <c r="H249" i="27"/>
  <c r="J249" i="27"/>
  <c r="H214" i="27"/>
  <c r="J214" i="27"/>
  <c r="H105" i="27"/>
  <c r="J105" i="27"/>
  <c r="H68" i="27"/>
  <c r="J68" i="27" s="1"/>
  <c r="J634" i="26"/>
  <c r="J638" i="26" s="1"/>
  <c r="J639" i="26" s="1"/>
  <c r="G806" i="26" s="1"/>
  <c r="J489" i="26"/>
  <c r="J491" i="26" s="1"/>
  <c r="G501" i="26" s="1"/>
  <c r="J447" i="26"/>
  <c r="J410" i="26"/>
  <c r="J417" i="26" s="1"/>
  <c r="J418" i="26" s="1"/>
  <c r="P418" i="26" s="1"/>
  <c r="J308" i="26"/>
  <c r="J310" i="26"/>
  <c r="P310" i="26" s="1"/>
  <c r="P209" i="26"/>
  <c r="I52" i="20"/>
  <c r="I53" i="20"/>
  <c r="M53" i="20" s="1"/>
  <c r="D28" i="19"/>
  <c r="D29" i="19"/>
  <c r="M291" i="13"/>
  <c r="M290" i="12"/>
  <c r="O290" i="12"/>
  <c r="M113" i="12"/>
  <c r="F1082" i="28"/>
  <c r="J743" i="26"/>
  <c r="J744" i="26"/>
  <c r="J746" i="26" s="1"/>
  <c r="P746" i="26" s="1"/>
  <c r="J265" i="26"/>
  <c r="J267" i="26"/>
  <c r="P267" i="26"/>
  <c r="J166" i="26"/>
  <c r="P166" i="26" s="1"/>
  <c r="P159" i="26"/>
  <c r="J151" i="26"/>
  <c r="J152" i="26"/>
  <c r="P152" i="26"/>
  <c r="J62" i="26"/>
  <c r="I34" i="23"/>
  <c r="I35" i="23"/>
  <c r="I46" i="20"/>
  <c r="I47" i="20" s="1"/>
  <c r="M47" i="20" s="1"/>
  <c r="M97" i="12"/>
  <c r="O97" i="12"/>
  <c r="M332" i="10"/>
  <c r="O332" i="10"/>
  <c r="H433" i="33"/>
  <c r="J433" i="33" s="1"/>
  <c r="H141" i="33"/>
  <c r="H142" i="33"/>
  <c r="I46" i="32"/>
  <c r="H255" i="31"/>
  <c r="J255" i="31"/>
  <c r="H254" i="31"/>
  <c r="J254" i="31" s="1"/>
  <c r="H253" i="31"/>
  <c r="J253" i="31"/>
  <c r="G360" i="30"/>
  <c r="J360" i="30" s="1"/>
  <c r="H287" i="30"/>
  <c r="J287" i="30" s="1"/>
  <c r="H286" i="30"/>
  <c r="J286" i="30" s="1"/>
  <c r="H269" i="27"/>
  <c r="H250" i="27"/>
  <c r="H248" i="27"/>
  <c r="H213" i="27"/>
  <c r="J213" i="27"/>
  <c r="H199" i="27"/>
  <c r="H106" i="27"/>
  <c r="J106" i="27"/>
  <c r="H104" i="27"/>
  <c r="J104" i="27" s="1"/>
  <c r="H69" i="27"/>
  <c r="J69" i="27"/>
  <c r="H67" i="27"/>
  <c r="J67" i="27" s="1"/>
  <c r="J727" i="26"/>
  <c r="P727" i="26" s="1"/>
  <c r="J689" i="26"/>
  <c r="J628" i="26"/>
  <c r="J584" i="26"/>
  <c r="P573" i="26"/>
  <c r="J318" i="26"/>
  <c r="J319" i="26"/>
  <c r="P319" i="26" s="1"/>
  <c r="J21" i="26"/>
  <c r="J22" i="26"/>
  <c r="E11" i="25"/>
  <c r="M179" i="12"/>
  <c r="K179" i="12"/>
  <c r="H210" i="12"/>
  <c r="F205" i="12"/>
  <c r="I86" i="12"/>
  <c r="I87" i="12"/>
  <c r="I131" i="20"/>
  <c r="I110" i="20"/>
  <c r="I111" i="20"/>
  <c r="M29" i="18"/>
  <c r="M114" i="13"/>
  <c r="I307" i="12"/>
  <c r="O307" i="12"/>
  <c r="J29" i="33"/>
  <c r="H31" i="33"/>
  <c r="I454" i="9"/>
  <c r="I455" i="9"/>
  <c r="I166" i="7"/>
  <c r="I167" i="7"/>
  <c r="M167" i="7"/>
  <c r="I33" i="20"/>
  <c r="I34" i="20"/>
  <c r="M34" i="20" s="1"/>
  <c r="I24" i="20"/>
  <c r="I25" i="20" s="1"/>
  <c r="M25" i="20" s="1"/>
  <c r="J39" i="18"/>
  <c r="L39" i="18" s="1"/>
  <c r="J18" i="18"/>
  <c r="L18" i="18"/>
  <c r="L30" i="18" s="1"/>
  <c r="I263" i="13"/>
  <c r="F206" i="13"/>
  <c r="I179" i="13"/>
  <c r="I180" i="13" s="1"/>
  <c r="I98" i="13"/>
  <c r="M98" i="13" s="1"/>
  <c r="I259" i="12"/>
  <c r="I255" i="12"/>
  <c r="I256" i="12" s="1"/>
  <c r="M256" i="12" s="1"/>
  <c r="I100" i="12"/>
  <c r="I101" i="12" s="1"/>
  <c r="I302" i="10"/>
  <c r="I288" i="10"/>
  <c r="I292" i="10" s="1"/>
  <c r="O292" i="10" s="1"/>
  <c r="I113" i="10"/>
  <c r="M113" i="10" s="1"/>
  <c r="F23" i="31"/>
  <c r="F11" i="31"/>
  <c r="J214" i="31"/>
  <c r="I307" i="7"/>
  <c r="O307" i="7"/>
  <c r="I299" i="7"/>
  <c r="O299" i="7" s="1"/>
  <c r="M9" i="18"/>
  <c r="I298" i="13"/>
  <c r="M298" i="13"/>
  <c r="I44" i="12"/>
  <c r="M44" i="12" s="1"/>
  <c r="I353" i="10"/>
  <c r="F244" i="10"/>
  <c r="I52" i="10"/>
  <c r="O52" i="10"/>
  <c r="I92" i="9"/>
  <c r="O100" i="2"/>
  <c r="M100" i="2"/>
  <c r="M79" i="2"/>
  <c r="F203" i="2"/>
  <c r="I18" i="23"/>
  <c r="I22" i="23"/>
  <c r="I23" i="23" s="1"/>
  <c r="H37" i="18"/>
  <c r="J37" i="18"/>
  <c r="L37" i="18" s="1"/>
  <c r="I332" i="13"/>
  <c r="I333" i="13"/>
  <c r="I121" i="13"/>
  <c r="M121" i="13"/>
  <c r="I91" i="13"/>
  <c r="M91" i="13"/>
  <c r="M246" i="12"/>
  <c r="O80" i="12"/>
  <c r="I377" i="10"/>
  <c r="I378" i="10"/>
  <c r="I285" i="10"/>
  <c r="M285" i="10"/>
  <c r="M142" i="10"/>
  <c r="I389" i="9"/>
  <c r="I300" i="9"/>
  <c r="I304" i="9"/>
  <c r="I297" i="9"/>
  <c r="O297" i="9"/>
  <c r="I289" i="9"/>
  <c r="I290" i="9" s="1"/>
  <c r="O290" i="9" s="1"/>
  <c r="I116" i="9"/>
  <c r="M116" i="9" s="1"/>
  <c r="F248" i="9"/>
  <c r="I399" i="7"/>
  <c r="M399" i="7"/>
  <c r="I365" i="9"/>
  <c r="M365" i="9" s="1"/>
  <c r="I344" i="9"/>
  <c r="O344" i="9"/>
  <c r="I335" i="9"/>
  <c r="I84" i="9"/>
  <c r="I266" i="7"/>
  <c r="I69" i="7"/>
  <c r="I367" i="2"/>
  <c r="M255" i="2"/>
  <c r="I85" i="2"/>
  <c r="I86" i="2" s="1"/>
  <c r="I20" i="2"/>
  <c r="I21" i="2"/>
  <c r="K21" i="2"/>
  <c r="I94" i="10"/>
  <c r="I77" i="10"/>
  <c r="I23" i="10"/>
  <c r="I24" i="10" s="1"/>
  <c r="O24" i="10" s="1"/>
  <c r="I307" i="9"/>
  <c r="I308" i="9"/>
  <c r="I277" i="9"/>
  <c r="I129" i="9"/>
  <c r="M129" i="9"/>
  <c r="P164" i="7"/>
  <c r="H176" i="30"/>
  <c r="H174" i="30"/>
  <c r="J174" i="30" s="1"/>
  <c r="I261" i="2"/>
  <c r="I74" i="2"/>
  <c r="I75" i="2" s="1"/>
  <c r="I410" i="2"/>
  <c r="I411" i="2"/>
  <c r="I402" i="2"/>
  <c r="M402" i="2" s="1"/>
  <c r="I306" i="2"/>
  <c r="I413" i="9"/>
  <c r="I154" i="9"/>
  <c r="M154" i="9"/>
  <c r="I106" i="9"/>
  <c r="I108" i="9" s="1"/>
  <c r="O108" i="9" s="1"/>
  <c r="I407" i="7"/>
  <c r="I408" i="7" s="1"/>
  <c r="I341" i="7"/>
  <c r="I342" i="7"/>
  <c r="I290" i="7"/>
  <c r="I268" i="7"/>
  <c r="I254" i="7"/>
  <c r="I180" i="7"/>
  <c r="I181" i="7"/>
  <c r="J177" i="30"/>
  <c r="H175" i="30"/>
  <c r="J175" i="30" s="1"/>
  <c r="I280" i="2"/>
  <c r="F11" i="30"/>
  <c r="G345" i="28"/>
  <c r="H450" i="30"/>
  <c r="J53" i="30"/>
  <c r="H414" i="30"/>
  <c r="H237" i="30"/>
  <c r="I347" i="37"/>
  <c r="I299" i="37"/>
  <c r="I240" i="37"/>
  <c r="I121" i="37"/>
  <c r="I94" i="36"/>
  <c r="I47" i="36"/>
  <c r="G794" i="28"/>
  <c r="I263" i="37"/>
  <c r="I227" i="37"/>
  <c r="I193" i="37"/>
  <c r="I157" i="37"/>
  <c r="I132" i="37"/>
  <c r="I59" i="37"/>
  <c r="I335" i="37"/>
  <c r="I312" i="37"/>
  <c r="I204" i="37"/>
  <c r="G115" i="35"/>
  <c r="I296" i="38"/>
  <c r="J296" i="38" s="1"/>
  <c r="I279" i="33"/>
  <c r="I343" i="36"/>
  <c r="I301" i="31"/>
  <c r="Q301" i="31" s="1"/>
  <c r="G13" i="35"/>
  <c r="F10" i="16"/>
  <c r="G10" i="16" s="1"/>
  <c r="F576" i="15"/>
  <c r="G576" i="15" s="1"/>
  <c r="F482" i="28"/>
  <c r="G482" i="28" s="1"/>
  <c r="H184" i="39"/>
  <c r="J113" i="39"/>
  <c r="H118" i="39"/>
  <c r="J65" i="39"/>
  <c r="H47" i="39"/>
  <c r="R355" i="38"/>
  <c r="J284" i="38"/>
  <c r="H287" i="38"/>
  <c r="J67" i="38"/>
  <c r="J140" i="37"/>
  <c r="H143" i="37"/>
  <c r="J102" i="36"/>
  <c r="J397" i="33"/>
  <c r="H400" i="33"/>
  <c r="J214" i="33"/>
  <c r="J141" i="33"/>
  <c r="H256" i="31"/>
  <c r="R248" i="38"/>
  <c r="J248" i="38"/>
  <c r="P358" i="37"/>
  <c r="R355" i="37"/>
  <c r="J250" i="37"/>
  <c r="J67" i="37"/>
  <c r="R354" i="36"/>
  <c r="P357" i="36"/>
  <c r="J283" i="36"/>
  <c r="R211" i="36"/>
  <c r="J211" i="36"/>
  <c r="J326" i="33"/>
  <c r="J292" i="33"/>
  <c r="J103" i="33"/>
  <c r="J291" i="31"/>
  <c r="J176" i="31"/>
  <c r="J67" i="31"/>
  <c r="H428" i="36"/>
  <c r="H161" i="36"/>
  <c r="H383" i="33"/>
  <c r="H66" i="33"/>
  <c r="J176" i="27"/>
  <c r="J708" i="26"/>
  <c r="J429" i="26"/>
  <c r="J440" i="26" s="1"/>
  <c r="J441" i="26" s="1"/>
  <c r="P441" i="26" s="1"/>
  <c r="J383" i="26"/>
  <c r="P245" i="26"/>
  <c r="P136" i="26"/>
  <c r="J117" i="26"/>
  <c r="J74" i="26"/>
  <c r="J75" i="26" s="1"/>
  <c r="P75" i="26" s="1"/>
  <c r="J502" i="26"/>
  <c r="I505" i="26" s="1"/>
  <c r="P22" i="26"/>
  <c r="M40" i="20"/>
  <c r="L62" i="18"/>
  <c r="M51" i="18"/>
  <c r="M46" i="18"/>
  <c r="M35" i="18"/>
  <c r="M26" i="18"/>
  <c r="M14" i="18"/>
  <c r="I308" i="13"/>
  <c r="M308" i="13"/>
  <c r="I277" i="13"/>
  <c r="M277" i="13" s="1"/>
  <c r="I253" i="13"/>
  <c r="M253" i="13"/>
  <c r="I247" i="13"/>
  <c r="M247" i="13" s="1"/>
  <c r="I237" i="13"/>
  <c r="I238" i="13"/>
  <c r="M79" i="13"/>
  <c r="F205" i="13"/>
  <c r="O44" i="12"/>
  <c r="F202" i="12"/>
  <c r="M353" i="10"/>
  <c r="O353" i="10"/>
  <c r="M24" i="10"/>
  <c r="K24" i="10"/>
  <c r="H54" i="38"/>
  <c r="H54" i="37"/>
  <c r="H125" i="36"/>
  <c r="H53" i="36"/>
  <c r="H31" i="36"/>
  <c r="H54" i="31"/>
  <c r="H323" i="38"/>
  <c r="P287" i="38"/>
  <c r="R287" i="38" s="1"/>
  <c r="H34" i="38"/>
  <c r="H358" i="37"/>
  <c r="H323" i="37"/>
  <c r="P269" i="37"/>
  <c r="R269" i="37"/>
  <c r="P233" i="37"/>
  <c r="P215" i="37"/>
  <c r="P90" i="37"/>
  <c r="H357" i="36"/>
  <c r="H322" i="36"/>
  <c r="F23" i="36"/>
  <c r="P418" i="33"/>
  <c r="P400" i="33"/>
  <c r="P275" i="33"/>
  <c r="J219" i="33"/>
  <c r="H364" i="31"/>
  <c r="P274" i="31"/>
  <c r="H396" i="30"/>
  <c r="P307" i="30"/>
  <c r="G1049" i="28"/>
  <c r="G1050" i="28"/>
  <c r="J248" i="27"/>
  <c r="J140" i="27"/>
  <c r="J755" i="26"/>
  <c r="G808" i="26"/>
  <c r="P660" i="26"/>
  <c r="J471" i="26"/>
  <c r="J472" i="26" s="1"/>
  <c r="P472" i="26"/>
  <c r="J346" i="26"/>
  <c r="J298" i="26"/>
  <c r="J300" i="26"/>
  <c r="P300" i="26" s="1"/>
  <c r="J146" i="26"/>
  <c r="G494" i="26"/>
  <c r="J84" i="26"/>
  <c r="P84" i="26"/>
  <c r="J35" i="26"/>
  <c r="A45" i="18"/>
  <c r="A46" i="18" s="1"/>
  <c r="A47" i="18" s="1"/>
  <c r="A48" i="18" s="1"/>
  <c r="A49" i="18" s="1"/>
  <c r="A50" i="18" s="1"/>
  <c r="A51" i="18" s="1"/>
  <c r="A52" i="18"/>
  <c r="A42" i="18"/>
  <c r="A44" i="18" s="1"/>
  <c r="M7" i="18"/>
  <c r="F38" i="16"/>
  <c r="G38" i="16" s="1"/>
  <c r="I383" i="13"/>
  <c r="M383" i="13" s="1"/>
  <c r="I374" i="13"/>
  <c r="I165" i="13"/>
  <c r="I166" i="13"/>
  <c r="M166" i="13" s="1"/>
  <c r="I64" i="13"/>
  <c r="I55" i="13"/>
  <c r="F204" i="13" s="1"/>
  <c r="M403" i="12"/>
  <c r="I394" i="12"/>
  <c r="O285" i="10"/>
  <c r="G445" i="28"/>
  <c r="G135" i="35"/>
  <c r="G136" i="35" s="1"/>
  <c r="J21" i="22" s="1"/>
  <c r="K21" i="22" s="1"/>
  <c r="M285" i="12"/>
  <c r="I276" i="12"/>
  <c r="F206" i="12"/>
  <c r="O108" i="12"/>
  <c r="O26" i="12"/>
  <c r="F201" i="12"/>
  <c r="I402" i="10"/>
  <c r="I201" i="10"/>
  <c r="I126" i="10"/>
  <c r="O126" i="10" s="1"/>
  <c r="O113" i="10"/>
  <c r="I104" i="10"/>
  <c r="I105" i="10"/>
  <c r="I65" i="10"/>
  <c r="F239" i="10" s="1"/>
  <c r="O29" i="10"/>
  <c r="M339" i="9"/>
  <c r="O339" i="9"/>
  <c r="I329" i="9"/>
  <c r="O329" i="9" s="1"/>
  <c r="I238" i="9"/>
  <c r="I246" i="9" s="1"/>
  <c r="F256" i="9" s="1"/>
  <c r="O154" i="9"/>
  <c r="I147" i="9"/>
  <c r="M133" i="9"/>
  <c r="O133" i="9"/>
  <c r="M108" i="9"/>
  <c r="I74" i="9"/>
  <c r="I52" i="9"/>
  <c r="F249" i="9" s="1"/>
  <c r="I23" i="9"/>
  <c r="I24" i="9"/>
  <c r="I390" i="7"/>
  <c r="I317" i="7"/>
  <c r="M307" i="7"/>
  <c r="M262" i="7"/>
  <c r="I251" i="7"/>
  <c r="I244" i="7"/>
  <c r="I245" i="7"/>
  <c r="O245" i="7" s="1"/>
  <c r="O126" i="7"/>
  <c r="M126" i="7"/>
  <c r="M106" i="7"/>
  <c r="O106" i="7"/>
  <c r="I90" i="7"/>
  <c r="I91" i="7" s="1"/>
  <c r="O91" i="7" s="1"/>
  <c r="F207" i="7"/>
  <c r="I58" i="7"/>
  <c r="F205" i="7" s="1"/>
  <c r="F204" i="7"/>
  <c r="I393" i="2"/>
  <c r="F608" i="28"/>
  <c r="F583" i="28"/>
  <c r="G560" i="28"/>
  <c r="G452" i="28"/>
  <c r="G423" i="28"/>
  <c r="F358" i="28"/>
  <c r="F912" i="28" s="1"/>
  <c r="G912" i="28" s="1"/>
  <c r="H34" i="27"/>
  <c r="L22" i="26"/>
  <c r="N22" i="26" s="1"/>
  <c r="E19" i="35"/>
  <c r="O344" i="13"/>
  <c r="O285" i="12"/>
  <c r="O165" i="12"/>
  <c r="I120" i="12"/>
  <c r="M120" i="12" s="1"/>
  <c r="I75" i="12"/>
  <c r="I76" i="12"/>
  <c r="I21" i="12"/>
  <c r="I22" i="12" s="1"/>
  <c r="I343" i="10"/>
  <c r="O343" i="10"/>
  <c r="I181" i="10"/>
  <c r="O135" i="10"/>
  <c r="M130" i="10"/>
  <c r="I87" i="10"/>
  <c r="I355" i="9"/>
  <c r="M335" i="9"/>
  <c r="O335" i="9"/>
  <c r="I225" i="9"/>
  <c r="I186" i="9"/>
  <c r="M140" i="9"/>
  <c r="O140" i="9"/>
  <c r="I437" i="9"/>
  <c r="I258" i="7"/>
  <c r="O258" i="7"/>
  <c r="I232" i="7"/>
  <c r="I193" i="7"/>
  <c r="I201" i="7"/>
  <c r="F210" i="7" s="1"/>
  <c r="K181" i="7"/>
  <c r="I151" i="7"/>
  <c r="O96" i="7"/>
  <c r="F208" i="7"/>
  <c r="F209" i="7" s="1"/>
  <c r="H210" i="7" s="1"/>
  <c r="M96" i="7"/>
  <c r="O84" i="7"/>
  <c r="F206" i="7"/>
  <c r="M84" i="7"/>
  <c r="I79" i="7"/>
  <c r="I80" i="7" s="1"/>
  <c r="O26" i="7"/>
  <c r="M26" i="7"/>
  <c r="F203" i="7"/>
  <c r="I21" i="7"/>
  <c r="I22" i="7"/>
  <c r="G30" i="35"/>
  <c r="G32" i="35" s="1"/>
  <c r="G33" i="35" s="1"/>
  <c r="G17" i="16"/>
  <c r="M306" i="2"/>
  <c r="O306" i="2"/>
  <c r="M284" i="2"/>
  <c r="O284" i="2"/>
  <c r="G154" i="35"/>
  <c r="G156" i="35" s="1"/>
  <c r="H33" i="30"/>
  <c r="J33" i="30" s="1"/>
  <c r="I296" i="2"/>
  <c r="I245" i="2"/>
  <c r="I235" i="2"/>
  <c r="I236" i="2"/>
  <c r="O236" i="2" s="1"/>
  <c r="I190" i="2"/>
  <c r="I198" i="2" s="1"/>
  <c r="F207" i="2" s="1"/>
  <c r="H209" i="2"/>
  <c r="O255" i="2"/>
  <c r="O91" i="2"/>
  <c r="M91" i="2"/>
  <c r="I163" i="2"/>
  <c r="I164" i="2" s="1"/>
  <c r="O164" i="2" s="1"/>
  <c r="O119" i="2"/>
  <c r="I112" i="2"/>
  <c r="O112" i="2" s="1"/>
  <c r="I107" i="2"/>
  <c r="M96" i="2"/>
  <c r="I64" i="2"/>
  <c r="I55" i="2"/>
  <c r="F202" i="2"/>
  <c r="I43" i="2"/>
  <c r="F201" i="2" s="1"/>
  <c r="O21" i="2"/>
  <c r="F657" i="28"/>
  <c r="F407" i="28"/>
  <c r="F406" i="28"/>
  <c r="G657" i="28"/>
  <c r="E608" i="28"/>
  <c r="E583" i="28"/>
  <c r="G407" i="28"/>
  <c r="G406" i="28"/>
  <c r="E22" i="14"/>
  <c r="E23" i="14" s="1"/>
  <c r="E24" i="14" s="1"/>
  <c r="M20" i="18"/>
  <c r="O365" i="9"/>
  <c r="M21" i="2"/>
  <c r="F207" i="13"/>
  <c r="P293" i="33"/>
  <c r="M289" i="2"/>
  <c r="O129" i="9"/>
  <c r="M119" i="7"/>
  <c r="O167" i="7"/>
  <c r="M307" i="12"/>
  <c r="M297" i="9"/>
  <c r="O92" i="12"/>
  <c r="H107" i="38"/>
  <c r="I88" i="10"/>
  <c r="M299" i="7"/>
  <c r="M133" i="20"/>
  <c r="H215" i="27"/>
  <c r="J719" i="26"/>
  <c r="J720" i="26"/>
  <c r="I250" i="30"/>
  <c r="I211" i="30"/>
  <c r="I236" i="30" s="1"/>
  <c r="J236" i="30" s="1"/>
  <c r="I235" i="30"/>
  <c r="J235" i="30" s="1"/>
  <c r="I248" i="30"/>
  <c r="I269" i="30" s="1"/>
  <c r="H141" i="36"/>
  <c r="J612" i="26"/>
  <c r="J620" i="26"/>
  <c r="J621" i="26" s="1"/>
  <c r="P621" i="26" s="1"/>
  <c r="H178" i="30"/>
  <c r="J431" i="30"/>
  <c r="R291" i="31"/>
  <c r="P292" i="31"/>
  <c r="J104" i="33"/>
  <c r="H106" i="33"/>
  <c r="R213" i="38"/>
  <c r="P215" i="38"/>
  <c r="J68" i="38"/>
  <c r="H251" i="38"/>
  <c r="O29" i="9"/>
  <c r="M29" i="9"/>
  <c r="J139" i="30"/>
  <c r="R254" i="31"/>
  <c r="J177" i="27"/>
  <c r="H179" i="27"/>
  <c r="J176" i="37"/>
  <c r="H179" i="37"/>
  <c r="M45" i="7"/>
  <c r="M344" i="9"/>
  <c r="P650" i="26"/>
  <c r="J104" i="38"/>
  <c r="H257" i="33"/>
  <c r="O280" i="2"/>
  <c r="M280" i="2"/>
  <c r="J690" i="26"/>
  <c r="J692" i="26"/>
  <c r="P692" i="26" s="1"/>
  <c r="H107" i="27"/>
  <c r="G496" i="26"/>
  <c r="J127" i="26"/>
  <c r="J129" i="26" s="1"/>
  <c r="P129" i="26" s="1"/>
  <c r="H286" i="36"/>
  <c r="J106" i="37"/>
  <c r="H179" i="38"/>
  <c r="J176" i="38"/>
  <c r="J391" i="38"/>
  <c r="H394" i="38"/>
  <c r="J67" i="30"/>
  <c r="R67" i="30"/>
  <c r="O281" i="12"/>
  <c r="M281" i="12"/>
  <c r="M215" i="10"/>
  <c r="H246" i="10"/>
  <c r="K215" i="10"/>
  <c r="J33" i="31"/>
  <c r="H34" i="31"/>
  <c r="J322" i="30"/>
  <c r="J215" i="33"/>
  <c r="J234" i="33" s="1"/>
  <c r="J236" i="33" s="1"/>
  <c r="H220" i="33"/>
  <c r="J220" i="33"/>
  <c r="H214" i="36"/>
  <c r="P257" i="33"/>
  <c r="J138" i="36"/>
  <c r="I284" i="7"/>
  <c r="O284" i="7" s="1"/>
  <c r="M251" i="2"/>
  <c r="F237" i="10"/>
  <c r="H70" i="37"/>
  <c r="M52" i="10"/>
  <c r="F238" i="10"/>
  <c r="J247" i="36"/>
  <c r="J104" i="31"/>
  <c r="J390" i="36"/>
  <c r="M30" i="18"/>
  <c r="J400" i="26"/>
  <c r="J401" i="26"/>
  <c r="P401" i="26" s="1"/>
  <c r="I275" i="2"/>
  <c r="O275" i="2"/>
  <c r="M39" i="18"/>
  <c r="M52" i="18"/>
  <c r="L52" i="18"/>
  <c r="L53" i="18"/>
  <c r="L63" i="18" s="1"/>
  <c r="O86" i="2"/>
  <c r="M86" i="2"/>
  <c r="M304" i="9"/>
  <c r="O304" i="9"/>
  <c r="J733" i="26"/>
  <c r="J735" i="26" s="1"/>
  <c r="P735" i="26" s="1"/>
  <c r="O116" i="9"/>
  <c r="F207" i="12"/>
  <c r="H208" i="12" s="1"/>
  <c r="F240" i="10"/>
  <c r="F251" i="9"/>
  <c r="M92" i="9"/>
  <c r="O92" i="9"/>
  <c r="M252" i="12"/>
  <c r="P639" i="26"/>
  <c r="O107" i="2"/>
  <c r="M107" i="2"/>
  <c r="M112" i="2"/>
  <c r="M164" i="2"/>
  <c r="M296" i="2"/>
  <c r="O296" i="2"/>
  <c r="K22" i="7"/>
  <c r="O22" i="7"/>
  <c r="M22" i="7"/>
  <c r="M258" i="7"/>
  <c r="M355" i="9"/>
  <c r="O355" i="9"/>
  <c r="M343" i="10"/>
  <c r="K22" i="12"/>
  <c r="O22" i="12"/>
  <c r="M22" i="12"/>
  <c r="O120" i="12"/>
  <c r="M24" i="9"/>
  <c r="O201" i="10"/>
  <c r="M201" i="10"/>
  <c r="M21" i="13"/>
  <c r="K21" i="13"/>
  <c r="I75" i="13"/>
  <c r="M75" i="13" s="1"/>
  <c r="J756" i="26"/>
  <c r="P756" i="26"/>
  <c r="G809" i="26"/>
  <c r="G810" i="26"/>
  <c r="J810" i="26" s="1"/>
  <c r="J812" i="26" s="1"/>
  <c r="O43" i="2"/>
  <c r="M43" i="2"/>
  <c r="F206" i="2"/>
  <c r="H207" i="2" s="1"/>
  <c r="M245" i="2"/>
  <c r="O245" i="2"/>
  <c r="K225" i="9"/>
  <c r="H258" i="9"/>
  <c r="M225" i="9"/>
  <c r="M88" i="10"/>
  <c r="O88" i="10"/>
  <c r="M76" i="12"/>
  <c r="O76" i="12"/>
  <c r="M91" i="7"/>
  <c r="M251" i="7"/>
  <c r="O251" i="7"/>
  <c r="M317" i="7"/>
  <c r="O317" i="7"/>
  <c r="M52" i="9"/>
  <c r="F255" i="9"/>
  <c r="H256" i="9"/>
  <c r="O52" i="9"/>
  <c r="O147" i="9"/>
  <c r="M147" i="9"/>
  <c r="M329" i="9"/>
  <c r="M105" i="10"/>
  <c r="O105" i="10"/>
  <c r="M126" i="10"/>
  <c r="M292" i="10"/>
  <c r="M43" i="13"/>
  <c r="G799" i="26"/>
  <c r="F243" i="10"/>
  <c r="H244" i="10" s="1"/>
  <c r="I244" i="10" s="1"/>
  <c r="F246" i="10" s="1"/>
  <c r="I246" i="10" s="1"/>
  <c r="M284" i="7"/>
  <c r="O80" i="7"/>
  <c r="M80" i="7"/>
  <c r="M275" i="2"/>
  <c r="M208" i="53"/>
  <c r="H269" i="34" l="1"/>
  <c r="G270" i="34" s="1"/>
  <c r="H336" i="34"/>
  <c r="H339" i="34"/>
  <c r="H175" i="34"/>
  <c r="H176" i="34" s="1"/>
  <c r="I46" i="48" s="1"/>
  <c r="J46" i="48" s="1"/>
  <c r="J334" i="58"/>
  <c r="G146" i="35"/>
  <c r="G148" i="35" s="1"/>
  <c r="F456" i="28"/>
  <c r="F11" i="33"/>
  <c r="I416" i="37"/>
  <c r="J416" i="37" s="1"/>
  <c r="I445" i="33"/>
  <c r="J445" i="33" s="1"/>
  <c r="F1057" i="28"/>
  <c r="G1057" i="28" s="1"/>
  <c r="F722" i="28"/>
  <c r="G722" i="28" s="1"/>
  <c r="G678" i="28"/>
  <c r="F665" i="28"/>
  <c r="G665" i="28" s="1"/>
  <c r="F593" i="28"/>
  <c r="G593" i="28" s="1"/>
  <c r="F523" i="28"/>
  <c r="G523" i="28" s="1"/>
  <c r="F352" i="28"/>
  <c r="G352" i="28" s="1"/>
  <c r="F265" i="28"/>
  <c r="G265" i="28" s="1"/>
  <c r="F1178" i="15"/>
  <c r="G1178" i="15" s="1"/>
  <c r="F1137" i="15"/>
  <c r="G1137" i="15" s="1"/>
  <c r="F758" i="15"/>
  <c r="G758" i="15" s="1"/>
  <c r="F71" i="15"/>
  <c r="G71" i="15" s="1"/>
  <c r="G456" i="28"/>
  <c r="E840" i="28"/>
  <c r="I382" i="30"/>
  <c r="J382" i="30" s="1"/>
  <c r="J246" i="33"/>
  <c r="F1055" i="28"/>
  <c r="G1055" i="28" s="1"/>
  <c r="F704" i="28"/>
  <c r="G704" i="28" s="1"/>
  <c r="F330" i="28"/>
  <c r="G330" i="28" s="1"/>
  <c r="F281" i="28"/>
  <c r="G281" i="28" s="1"/>
  <c r="F203" i="28"/>
  <c r="G203" i="28" s="1"/>
  <c r="F148" i="28"/>
  <c r="G148" i="28" s="1"/>
  <c r="F588" i="15"/>
  <c r="G588" i="15" s="1"/>
  <c r="F131" i="15"/>
  <c r="G131" i="15" s="1"/>
  <c r="F778" i="15"/>
  <c r="G778" i="15" s="1"/>
  <c r="F762" i="28"/>
  <c r="G762" i="28" s="1"/>
  <c r="F796" i="28"/>
  <c r="G796" i="28" s="1"/>
  <c r="I259" i="36"/>
  <c r="J259" i="36" s="1"/>
  <c r="F494" i="28"/>
  <c r="G494" i="28" s="1"/>
  <c r="F220" i="28"/>
  <c r="G220" i="28" s="1"/>
  <c r="F129" i="28"/>
  <c r="G129" i="28" s="1"/>
  <c r="F89" i="28"/>
  <c r="G89" i="28" s="1"/>
  <c r="F219" i="15"/>
  <c r="G219" i="15" s="1"/>
  <c r="F121" i="15"/>
  <c r="G121" i="15" s="1"/>
  <c r="F663" i="15"/>
  <c r="G663" i="15" s="1"/>
  <c r="I366" i="36"/>
  <c r="J366" i="36" s="1"/>
  <c r="F33" i="28"/>
  <c r="G33" i="28" s="1"/>
  <c r="F685" i="28"/>
  <c r="G685" i="28" s="1"/>
  <c r="F639" i="28"/>
  <c r="F237" i="28"/>
  <c r="G237" i="28" s="1"/>
  <c r="F59" i="28"/>
  <c r="G59" i="28" s="1"/>
  <c r="F1028" i="15"/>
  <c r="G1028" i="15" s="1"/>
  <c r="F269" i="15"/>
  <c r="G269" i="15" s="1"/>
  <c r="F237" i="15"/>
  <c r="G237" i="15" s="1"/>
  <c r="F181" i="15"/>
  <c r="G181" i="15" s="1"/>
  <c r="F732" i="15"/>
  <c r="F733" i="15" s="1"/>
  <c r="F1258" i="15"/>
  <c r="G1258" i="15" s="1"/>
  <c r="F660" i="15"/>
  <c r="G660" i="15" s="1"/>
  <c r="F523" i="15"/>
  <c r="G523" i="15" s="1"/>
  <c r="I441" i="30"/>
  <c r="G373" i="34"/>
  <c r="H373" i="34" s="1"/>
  <c r="G33" i="34"/>
  <c r="H33" i="34" s="1"/>
  <c r="F907" i="28"/>
  <c r="G907" i="28" s="1"/>
  <c r="F684" i="28"/>
  <c r="G684" i="28" s="1"/>
  <c r="F620" i="28"/>
  <c r="G620" i="28" s="1"/>
  <c r="F462" i="28"/>
  <c r="G462" i="28" s="1"/>
  <c r="F119" i="28"/>
  <c r="G119" i="28" s="1"/>
  <c r="F81" i="15"/>
  <c r="G81" i="15" s="1"/>
  <c r="F111" i="15"/>
  <c r="G111" i="15" s="1"/>
  <c r="F689" i="15"/>
  <c r="G689" i="15" s="1"/>
  <c r="F616" i="15"/>
  <c r="G616" i="15" s="1"/>
  <c r="N6" i="14"/>
  <c r="M6" i="14"/>
  <c r="O6" i="14" s="1"/>
  <c r="P6" i="14" s="1"/>
  <c r="Q6" i="14" s="1"/>
  <c r="R6" i="14" s="1"/>
  <c r="F468" i="28"/>
  <c r="G468" i="28" s="1"/>
  <c r="F629" i="28"/>
  <c r="G629" i="28" s="1"/>
  <c r="G358" i="28"/>
  <c r="R276" i="38"/>
  <c r="G677" i="28"/>
  <c r="F556" i="28"/>
  <c r="G1007" i="28"/>
  <c r="F1009" i="28" s="1"/>
  <c r="G1009" i="28" s="1"/>
  <c r="G391" i="28"/>
  <c r="I96" i="31"/>
  <c r="E391" i="28"/>
  <c r="I121" i="31"/>
  <c r="E390" i="28"/>
  <c r="I59" i="31"/>
  <c r="G390" i="28"/>
  <c r="I84" i="31"/>
  <c r="G733" i="28"/>
  <c r="G471" i="28"/>
  <c r="R309" i="38"/>
  <c r="R311" i="38" s="1"/>
  <c r="P312" i="38" s="1"/>
  <c r="R312" i="38" s="1"/>
  <c r="E438" i="28"/>
  <c r="I301" i="30"/>
  <c r="Q301" i="30" s="1"/>
  <c r="H270" i="34"/>
  <c r="H271" i="34" s="1"/>
  <c r="F11" i="38"/>
  <c r="G74" i="35"/>
  <c r="G75" i="35" s="1"/>
  <c r="J58" i="22" s="1"/>
  <c r="K58" i="22" s="1"/>
  <c r="E439" i="28"/>
  <c r="F455" i="28"/>
  <c r="R275" i="37"/>
  <c r="P276" i="37" s="1"/>
  <c r="R276" i="37" s="1"/>
  <c r="I48" i="30"/>
  <c r="F422" i="28"/>
  <c r="I314" i="30"/>
  <c r="Q314" i="30" s="1"/>
  <c r="G11" i="36"/>
  <c r="F12" i="36" s="1"/>
  <c r="G12" i="36" s="1"/>
  <c r="G13" i="36" s="1"/>
  <c r="F23" i="32"/>
  <c r="G9" i="35"/>
  <c r="J9" i="22" s="1"/>
  <c r="K9" i="22" s="1"/>
  <c r="G455" i="28"/>
  <c r="G19" i="35"/>
  <c r="G20" i="35" s="1"/>
  <c r="F438" i="28"/>
  <c r="E422" i="28"/>
  <c r="F439" i="28"/>
  <c r="I121" i="38"/>
  <c r="G54" i="35"/>
  <c r="G55" i="35" s="1"/>
  <c r="G132" i="35"/>
  <c r="G133" i="35" s="1"/>
  <c r="J20" i="22" s="1"/>
  <c r="K20" i="22" s="1"/>
  <c r="F758" i="28"/>
  <c r="G758" i="28" s="1"/>
  <c r="G19" i="34"/>
  <c r="H19" i="34" s="1"/>
  <c r="G11" i="33"/>
  <c r="F12" i="33" s="1"/>
  <c r="G12" i="33" s="1"/>
  <c r="F560" i="28"/>
  <c r="G58" i="35"/>
  <c r="G59" i="35" s="1"/>
  <c r="J27" i="22" s="1"/>
  <c r="K27" i="22" s="1"/>
  <c r="I457" i="31"/>
  <c r="I472" i="31" s="1"/>
  <c r="J472" i="31" s="1"/>
  <c r="I262" i="30"/>
  <c r="Q262" i="30" s="1"/>
  <c r="R262" i="30" s="1"/>
  <c r="I311" i="30"/>
  <c r="Q311" i="30" s="1"/>
  <c r="R311" i="30" s="1"/>
  <c r="I314" i="31"/>
  <c r="Q314" i="31" s="1"/>
  <c r="I418" i="30"/>
  <c r="Q418" i="30" s="1"/>
  <c r="R418" i="30" s="1"/>
  <c r="I331" i="36"/>
  <c r="J331" i="36" s="1"/>
  <c r="I347" i="30"/>
  <c r="J347" i="30" s="1"/>
  <c r="I405" i="30"/>
  <c r="Q405" i="30" s="1"/>
  <c r="R405" i="30" s="1"/>
  <c r="I386" i="33"/>
  <c r="J386" i="33" s="1"/>
  <c r="I344" i="37"/>
  <c r="J344" i="37" s="1"/>
  <c r="I344" i="38"/>
  <c r="J344" i="38" s="1"/>
  <c r="I458" i="33"/>
  <c r="I473" i="33" s="1"/>
  <c r="J473" i="33" s="1"/>
  <c r="I351" i="33"/>
  <c r="J351" i="33" s="1"/>
  <c r="I431" i="37"/>
  <c r="J431" i="37" s="1"/>
  <c r="F44" i="16"/>
  <c r="G44" i="16" s="1"/>
  <c r="G48" i="16" s="1"/>
  <c r="J335" i="2" s="1"/>
  <c r="K335" i="2" s="1"/>
  <c r="I309" i="27"/>
  <c r="J309" i="27" s="1"/>
  <c r="I332" i="37"/>
  <c r="J332" i="37" s="1"/>
  <c r="I409" i="33"/>
  <c r="Q409" i="33" s="1"/>
  <c r="R409" i="33" s="1"/>
  <c r="F927" i="28"/>
  <c r="G927" i="28" s="1"/>
  <c r="I332" i="38"/>
  <c r="J332" i="38" s="1"/>
  <c r="I422" i="33"/>
  <c r="J422" i="33" s="1"/>
  <c r="I260" i="27"/>
  <c r="J260" i="27" s="1"/>
  <c r="I334" i="30"/>
  <c r="J314" i="30" s="1"/>
  <c r="I380" i="37"/>
  <c r="I266" i="33"/>
  <c r="Q266" i="33" s="1"/>
  <c r="R266" i="33" s="1"/>
  <c r="Q366" i="36"/>
  <c r="R366" i="36" s="1"/>
  <c r="J276" i="38"/>
  <c r="I295" i="36"/>
  <c r="J295" i="36" s="1"/>
  <c r="I296" i="37"/>
  <c r="J296" i="37" s="1"/>
  <c r="I338" i="33"/>
  <c r="I296" i="27"/>
  <c r="J296" i="27" s="1"/>
  <c r="I273" i="38"/>
  <c r="I374" i="33"/>
  <c r="J374" i="33" s="1"/>
  <c r="I237" i="27"/>
  <c r="J237" i="27" s="1"/>
  <c r="I298" i="30"/>
  <c r="Q298" i="30" s="1"/>
  <c r="R298" i="30" s="1"/>
  <c r="I237" i="37"/>
  <c r="I408" i="31"/>
  <c r="I315" i="33"/>
  <c r="I416" i="38"/>
  <c r="I260" i="37"/>
  <c r="J260" i="37" s="1"/>
  <c r="I385" i="31"/>
  <c r="J385" i="31" s="1"/>
  <c r="I273" i="27"/>
  <c r="J273" i="27" s="1"/>
  <c r="I237" i="38"/>
  <c r="J237" i="38" s="1"/>
  <c r="I302" i="33"/>
  <c r="F5" i="16"/>
  <c r="G5" i="16" s="1"/>
  <c r="F11" i="16" s="1"/>
  <c r="G11" i="16" s="1"/>
  <c r="G12" i="16" s="1"/>
  <c r="I224" i="27"/>
  <c r="J224" i="27" s="1"/>
  <c r="I373" i="31"/>
  <c r="J373" i="31" s="1"/>
  <c r="I444" i="31"/>
  <c r="J444" i="31" s="1"/>
  <c r="I403" i="38"/>
  <c r="J403" i="38" s="1"/>
  <c r="I415" i="36"/>
  <c r="I430" i="36" s="1"/>
  <c r="J430" i="36" s="1"/>
  <c r="I350" i="31"/>
  <c r="J350" i="31" s="1"/>
  <c r="G446" i="34"/>
  <c r="H446" i="34" s="1"/>
  <c r="H456" i="34" s="1"/>
  <c r="G457" i="34" s="1"/>
  <c r="H457" i="34" s="1"/>
  <c r="H458" i="34" s="1"/>
  <c r="I367" i="37"/>
  <c r="I421" i="31"/>
  <c r="I273" i="37"/>
  <c r="J273" i="37" s="1"/>
  <c r="I367" i="38"/>
  <c r="I379" i="36"/>
  <c r="I454" i="30"/>
  <c r="I469" i="30" s="1"/>
  <c r="I403" i="37"/>
  <c r="J403" i="37" s="1"/>
  <c r="I178" i="33"/>
  <c r="J178" i="33" s="1"/>
  <c r="I272" i="36"/>
  <c r="J272" i="36" s="1"/>
  <c r="I260" i="38"/>
  <c r="Q260" i="38" s="1"/>
  <c r="R260" i="38" s="1"/>
  <c r="I223" i="36"/>
  <c r="Q223" i="36" s="1"/>
  <c r="R223" i="36" s="1"/>
  <c r="I275" i="30"/>
  <c r="Q275" i="30" s="1"/>
  <c r="R275" i="30" s="1"/>
  <c r="I224" i="38"/>
  <c r="Q224" i="38" s="1"/>
  <c r="R224" i="38" s="1"/>
  <c r="I337" i="31"/>
  <c r="J317" i="31" s="1"/>
  <c r="I380" i="38"/>
  <c r="Q380" i="38" s="1"/>
  <c r="R380" i="38" s="1"/>
  <c r="I402" i="36"/>
  <c r="J402" i="36" s="1"/>
  <c r="I265" i="31"/>
  <c r="Q265" i="31" s="1"/>
  <c r="I309" i="37"/>
  <c r="J309" i="37" s="1"/>
  <c r="I224" i="37"/>
  <c r="I278" i="31"/>
  <c r="Q278" i="31" s="1"/>
  <c r="R278" i="31" s="1"/>
  <c r="I236" i="36"/>
  <c r="I309" i="38"/>
  <c r="J309" i="38" s="1"/>
  <c r="I308" i="36"/>
  <c r="J308" i="36" s="1"/>
  <c r="I370" i="30"/>
  <c r="J370" i="30" s="1"/>
  <c r="F350" i="15"/>
  <c r="G350" i="15" s="1"/>
  <c r="F91" i="15"/>
  <c r="G91" i="15" s="1"/>
  <c r="F777" i="15"/>
  <c r="G777" i="15" s="1"/>
  <c r="F200" i="15"/>
  <c r="G200" i="15" s="1"/>
  <c r="F398" i="15"/>
  <c r="G398" i="15" s="1"/>
  <c r="G14" i="39"/>
  <c r="I140" i="39" s="1"/>
  <c r="J140" i="39" s="1"/>
  <c r="F103" i="28"/>
  <c r="F113" i="28" s="1"/>
  <c r="G113" i="28" s="1"/>
  <c r="F114" i="28" s="1"/>
  <c r="G114" i="28" s="1"/>
  <c r="E23" i="33"/>
  <c r="G23" i="33" s="1"/>
  <c r="G25" i="33" s="1"/>
  <c r="I126" i="33" s="1"/>
  <c r="J126" i="33" s="1"/>
  <c r="G83" i="28"/>
  <c r="F84" i="28" s="1"/>
  <c r="G84" i="28" s="1"/>
  <c r="J484" i="7"/>
  <c r="K484" i="7" s="1"/>
  <c r="J488" i="12"/>
  <c r="K488" i="12" s="1"/>
  <c r="J520" i="10"/>
  <c r="K520" i="10" s="1"/>
  <c r="J468" i="13"/>
  <c r="K468" i="13" s="1"/>
  <c r="J487" i="2"/>
  <c r="K487" i="2" s="1"/>
  <c r="J531" i="9"/>
  <c r="K531" i="9" s="1"/>
  <c r="I10" i="50"/>
  <c r="J71" i="22"/>
  <c r="K71" i="22" s="1"/>
  <c r="A15" i="14"/>
  <c r="A16" i="14" s="1"/>
  <c r="A14" i="14"/>
  <c r="I84" i="27"/>
  <c r="I337" i="30"/>
  <c r="I168" i="31"/>
  <c r="H235" i="33"/>
  <c r="J235" i="33" s="1"/>
  <c r="F357" i="28"/>
  <c r="G357" i="28" s="1"/>
  <c r="I96" i="27"/>
  <c r="I240" i="27"/>
  <c r="I120" i="30"/>
  <c r="G37" i="35"/>
  <c r="G38" i="35" s="1"/>
  <c r="G39" i="35" s="1"/>
  <c r="K907" i="26" s="1"/>
  <c r="M907" i="26" s="1"/>
  <c r="N907" i="26" s="1"/>
  <c r="G1262" i="15"/>
  <c r="F1270" i="15"/>
  <c r="G1270" i="15" s="1"/>
  <c r="F1271" i="15" s="1"/>
  <c r="G1271" i="15" s="1"/>
  <c r="J247" i="33"/>
  <c r="J248" i="33" s="1"/>
  <c r="I59" i="27"/>
  <c r="I48" i="38"/>
  <c r="I168" i="38"/>
  <c r="I227" i="27"/>
  <c r="I166" i="30"/>
  <c r="I389" i="33"/>
  <c r="I157" i="31"/>
  <c r="G714" i="28"/>
  <c r="F513" i="28"/>
  <c r="I157" i="27"/>
  <c r="I92" i="32"/>
  <c r="I227" i="38"/>
  <c r="I350" i="30"/>
  <c r="I412" i="33"/>
  <c r="I281" i="31"/>
  <c r="H14" i="34"/>
  <c r="H20" i="34" s="1"/>
  <c r="H21" i="34" s="1"/>
  <c r="G22" i="34" s="1"/>
  <c r="H22" i="34" s="1"/>
  <c r="H23" i="34" s="1"/>
  <c r="I156" i="33"/>
  <c r="G513" i="28"/>
  <c r="G514" i="28" s="1"/>
  <c r="F105" i="35"/>
  <c r="G105" i="35" s="1"/>
  <c r="E107" i="35" s="1"/>
  <c r="G107" i="35" s="1"/>
  <c r="G109" i="35" s="1"/>
  <c r="I155" i="36"/>
  <c r="I166" i="36"/>
  <c r="I157" i="38"/>
  <c r="I299" i="27"/>
  <c r="I121" i="27"/>
  <c r="I373" i="30"/>
  <c r="I265" i="30"/>
  <c r="I82" i="36"/>
  <c r="I156" i="30"/>
  <c r="I353" i="31"/>
  <c r="I304" i="31"/>
  <c r="Q304" i="31" s="1"/>
  <c r="I376" i="31"/>
  <c r="I282" i="33"/>
  <c r="I95" i="30"/>
  <c r="G70" i="35"/>
  <c r="G71" i="35" s="1"/>
  <c r="I132" i="31"/>
  <c r="G94" i="28"/>
  <c r="I195" i="33"/>
  <c r="F270" i="28"/>
  <c r="G270" i="28" s="1"/>
  <c r="G536" i="28"/>
  <c r="G537" i="28" s="1"/>
  <c r="I276" i="38"/>
  <c r="I312" i="38"/>
  <c r="I276" i="27"/>
  <c r="I48" i="27"/>
  <c r="I263" i="38"/>
  <c r="I131" i="33"/>
  <c r="I83" i="33"/>
  <c r="I275" i="36"/>
  <c r="I204" i="30"/>
  <c r="I388" i="31"/>
  <c r="I340" i="31"/>
  <c r="I305" i="33"/>
  <c r="Q305" i="33" s="1"/>
  <c r="F11" i="37"/>
  <c r="I263" i="27"/>
  <c r="G158" i="35"/>
  <c r="G160" i="35" s="1"/>
  <c r="J487" i="10" s="1"/>
  <c r="K487" i="10" s="1"/>
  <c r="F23" i="27"/>
  <c r="I84" i="30"/>
  <c r="I385" i="30"/>
  <c r="G786" i="28"/>
  <c r="F787" i="28" s="1"/>
  <c r="G787" i="28" s="1"/>
  <c r="J275" i="36"/>
  <c r="I132" i="38"/>
  <c r="I59" i="30"/>
  <c r="I206" i="31"/>
  <c r="I408" i="30"/>
  <c r="G991" i="28"/>
  <c r="I119" i="36"/>
  <c r="I130" i="36"/>
  <c r="I204" i="38"/>
  <c r="I193" i="27"/>
  <c r="I334" i="36"/>
  <c r="I131" i="30"/>
  <c r="I317" i="31"/>
  <c r="Q317" i="31" s="1"/>
  <c r="I195" i="31"/>
  <c r="G930" i="28"/>
  <c r="J409" i="33"/>
  <c r="F536" i="28"/>
  <c r="G556" i="28"/>
  <c r="G1082" i="28"/>
  <c r="G1083" i="28" s="1"/>
  <c r="G1084" i="28" s="1"/>
  <c r="I370" i="38"/>
  <c r="I204" i="27"/>
  <c r="I206" i="33"/>
  <c r="I167" i="33"/>
  <c r="I48" i="31"/>
  <c r="I411" i="31"/>
  <c r="I278" i="30"/>
  <c r="I58" i="33"/>
  <c r="G840" i="28"/>
  <c r="G841" i="28" s="1"/>
  <c r="F487" i="28"/>
  <c r="G487" i="28" s="1"/>
  <c r="G488" i="28" s="1"/>
  <c r="G74" i="28"/>
  <c r="H299" i="58"/>
  <c r="J299" i="58" s="1"/>
  <c r="J300" i="58" s="1"/>
  <c r="I401" i="58"/>
  <c r="I378" i="58"/>
  <c r="J378" i="58" s="1"/>
  <c r="J382" i="58" s="1"/>
  <c r="J366" i="58"/>
  <c r="H335" i="58"/>
  <c r="J335" i="58" s="1"/>
  <c r="J336" i="58" s="1"/>
  <c r="H263" i="58"/>
  <c r="J263" i="58" s="1"/>
  <c r="J264" i="58" s="1"/>
  <c r="J278" i="58" s="1"/>
  <c r="I389" i="58"/>
  <c r="J354" i="58"/>
  <c r="H348" i="58"/>
  <c r="J348" i="58" s="1"/>
  <c r="J349" i="58" s="1"/>
  <c r="I497" i="58"/>
  <c r="J497" i="58" s="1"/>
  <c r="J502" i="58" s="1"/>
  <c r="I482" i="58"/>
  <c r="J482" i="58" s="1"/>
  <c r="J446" i="58"/>
  <c r="J313" i="58"/>
  <c r="H312" i="58"/>
  <c r="I390" i="58"/>
  <c r="J355" i="58"/>
  <c r="I436" i="58"/>
  <c r="J400" i="58"/>
  <c r="I73" i="53"/>
  <c r="I302" i="53"/>
  <c r="H50" i="56"/>
  <c r="I24" i="53"/>
  <c r="K919" i="26"/>
  <c r="M919" i="26" s="1"/>
  <c r="N919" i="26" s="1"/>
  <c r="J452" i="13"/>
  <c r="K452" i="13" s="1"/>
  <c r="J45" i="22"/>
  <c r="K45" i="22" s="1"/>
  <c r="J471" i="2"/>
  <c r="K471" i="2" s="1"/>
  <c r="J472" i="12"/>
  <c r="K472" i="12" s="1"/>
  <c r="J504" i="10"/>
  <c r="K504" i="10" s="1"/>
  <c r="J516" i="9"/>
  <c r="K516" i="9" s="1"/>
  <c r="J468" i="7"/>
  <c r="K468" i="7" s="1"/>
  <c r="J52" i="22"/>
  <c r="K52" i="22" s="1"/>
  <c r="J462" i="13"/>
  <c r="K462" i="13" s="1"/>
  <c r="J525" i="9"/>
  <c r="K525" i="9" s="1"/>
  <c r="J47" i="22"/>
  <c r="K47" i="22" s="1"/>
  <c r="K921" i="26"/>
  <c r="M921" i="26" s="1"/>
  <c r="N921" i="26" s="1"/>
  <c r="H301" i="34"/>
  <c r="H302" i="34" s="1"/>
  <c r="J69" i="21" s="1"/>
  <c r="K69" i="21" s="1"/>
  <c r="I68" i="48"/>
  <c r="J68" i="48" s="1"/>
  <c r="J165" i="30"/>
  <c r="H166" i="30" s="1"/>
  <c r="J166" i="30" s="1"/>
  <c r="J167" i="30" s="1"/>
  <c r="I249" i="30"/>
  <c r="I270" i="30" s="1"/>
  <c r="J197" i="30"/>
  <c r="I213" i="30"/>
  <c r="I214" i="30" s="1"/>
  <c r="J248" i="30"/>
  <c r="H289" i="30"/>
  <c r="P271" i="30"/>
  <c r="H261" i="30"/>
  <c r="J211" i="30"/>
  <c r="H274" i="30"/>
  <c r="H325" i="30"/>
  <c r="J250" i="30"/>
  <c r="H343" i="30"/>
  <c r="J213" i="30"/>
  <c r="P289" i="30"/>
  <c r="H432" i="30"/>
  <c r="J479" i="30"/>
  <c r="P414" i="30"/>
  <c r="H467" i="30"/>
  <c r="H379" i="30"/>
  <c r="H481" i="30"/>
  <c r="H46" i="48"/>
  <c r="I89" i="53"/>
  <c r="I91" i="53" s="1"/>
  <c r="I338" i="53"/>
  <c r="I340" i="53" s="1"/>
  <c r="I154" i="53"/>
  <c r="I60" i="53"/>
  <c r="I300" i="53"/>
  <c r="I143" i="53"/>
  <c r="I405" i="53"/>
  <c r="I305" i="53"/>
  <c r="I125" i="53"/>
  <c r="I149" i="53"/>
  <c r="I32" i="53"/>
  <c r="I293" i="53"/>
  <c r="I152" i="53"/>
  <c r="I35" i="53"/>
  <c r="I64" i="53"/>
  <c r="I26" i="53"/>
  <c r="I46" i="53"/>
  <c r="K335" i="53"/>
  <c r="I354" i="53"/>
  <c r="I355" i="53" s="1"/>
  <c r="E53" i="56" s="1"/>
  <c r="I304" i="53"/>
  <c r="I153" i="53"/>
  <c r="I111" i="53"/>
  <c r="I82" i="53"/>
  <c r="I31" i="53"/>
  <c r="K332" i="53"/>
  <c r="I301" i="53"/>
  <c r="I292" i="53"/>
  <c r="I151" i="53"/>
  <c r="I119" i="53"/>
  <c r="I28" i="53"/>
  <c r="I16" i="53"/>
  <c r="J10" i="50"/>
  <c r="G498" i="15"/>
  <c r="G412" i="15"/>
  <c r="G449" i="15"/>
  <c r="E444" i="15"/>
  <c r="G444" i="15" s="1"/>
  <c r="G337" i="15"/>
  <c r="G502" i="15"/>
  <c r="G1162" i="15"/>
  <c r="F452" i="15"/>
  <c r="F502" i="15"/>
  <c r="G726" i="15"/>
  <c r="G807" i="15"/>
  <c r="G533" i="15"/>
  <c r="G1163" i="15"/>
  <c r="G468" i="15"/>
  <c r="F701" i="15"/>
  <c r="G428" i="15"/>
  <c r="F501" i="15"/>
  <c r="F468" i="15"/>
  <c r="F606" i="15"/>
  <c r="F816" i="15"/>
  <c r="G816" i="15" s="1"/>
  <c r="G846" i="15"/>
  <c r="G801" i="15"/>
  <c r="F803" i="15" s="1"/>
  <c r="G803" i="15" s="1"/>
  <c r="G790" i="15"/>
  <c r="G1168" i="15"/>
  <c r="F437" i="15"/>
  <c r="F1386" i="15"/>
  <c r="G1386" i="15" s="1"/>
  <c r="F1387" i="15" s="1"/>
  <c r="G1387" i="15" s="1"/>
  <c r="F629" i="15"/>
  <c r="G629" i="15"/>
  <c r="G630" i="15" s="1"/>
  <c r="G1165" i="15"/>
  <c r="G1023" i="15"/>
  <c r="G1024" i="15" s="1"/>
  <c r="F875" i="15"/>
  <c r="G875" i="15" s="1"/>
  <c r="F876" i="15" s="1"/>
  <c r="G876" i="15" s="1"/>
  <c r="F877" i="15" s="1"/>
  <c r="G877" i="15" s="1"/>
  <c r="G770" i="15"/>
  <c r="F1051" i="15"/>
  <c r="G1051" i="15" s="1"/>
  <c r="G1052" i="15" s="1"/>
  <c r="E1053" i="15" s="1"/>
  <c r="G1053" i="15" s="1"/>
  <c r="G1054" i="15" s="1"/>
  <c r="G485" i="15"/>
  <c r="G750" i="15"/>
  <c r="F819" i="15"/>
  <c r="G819" i="15" s="1"/>
  <c r="F821" i="15" s="1"/>
  <c r="G821" i="15" s="1"/>
  <c r="G76" i="15"/>
  <c r="G1169" i="15"/>
  <c r="G365" i="15"/>
  <c r="G381" i="15"/>
  <c r="E606" i="15"/>
  <c r="E750" i="15"/>
  <c r="G491" i="15"/>
  <c r="F910" i="15"/>
  <c r="G910" i="15" s="1"/>
  <c r="E452" i="15"/>
  <c r="G501" i="15"/>
  <c r="G954" i="15"/>
  <c r="G955" i="15" s="1"/>
  <c r="G1166" i="15"/>
  <c r="G326" i="15"/>
  <c r="G95" i="15"/>
  <c r="F96" i="15" s="1"/>
  <c r="G96" i="15" s="1"/>
  <c r="G606" i="15"/>
  <c r="G607" i="15" s="1"/>
  <c r="G167" i="15"/>
  <c r="K885" i="15"/>
  <c r="G315" i="15"/>
  <c r="F1382" i="15"/>
  <c r="G1382" i="15" s="1"/>
  <c r="G460" i="15"/>
  <c r="F436" i="15"/>
  <c r="G47" i="15"/>
  <c r="F954" i="15"/>
  <c r="K844" i="15"/>
  <c r="K845" i="15" s="1"/>
  <c r="G732" i="15"/>
  <c r="E436" i="15"/>
  <c r="G476" i="15"/>
  <c r="G307" i="15"/>
  <c r="F357" i="15"/>
  <c r="F404" i="15" s="1"/>
  <c r="F676" i="15"/>
  <c r="G550" i="15"/>
  <c r="G484" i="15"/>
  <c r="G701" i="15"/>
  <c r="K887" i="15"/>
  <c r="L887" i="15" s="1"/>
  <c r="F649" i="15"/>
  <c r="F785" i="15"/>
  <c r="G785" i="15" s="1"/>
  <c r="F469" i="15"/>
  <c r="G86" i="15"/>
  <c r="G1396" i="15"/>
  <c r="G1397" i="15" s="1"/>
  <c r="E453" i="15"/>
  <c r="F59" i="15"/>
  <c r="G59" i="15" s="1"/>
  <c r="F60" i="15" s="1"/>
  <c r="G60" i="15" s="1"/>
  <c r="G62" i="15" s="1"/>
  <c r="F485" i="15"/>
  <c r="G1070" i="15"/>
  <c r="G1071" i="15" s="1"/>
  <c r="G771" i="15"/>
  <c r="F909" i="15"/>
  <c r="G909" i="15" s="1"/>
  <c r="F484" i="15"/>
  <c r="F33" i="15"/>
  <c r="G33" i="15" s="1"/>
  <c r="K38" i="26" s="1"/>
  <c r="L38" i="26" s="1"/>
  <c r="G469" i="15"/>
  <c r="G465" i="15"/>
  <c r="E437" i="15"/>
  <c r="G528" i="15"/>
  <c r="F530" i="15" s="1"/>
  <c r="G530" i="15" s="1"/>
  <c r="F653" i="15"/>
  <c r="G649" i="15"/>
  <c r="G653" i="15"/>
  <c r="K888" i="15"/>
  <c r="L888" i="15" s="1"/>
  <c r="F453" i="15"/>
  <c r="G676" i="15"/>
  <c r="K884" i="15"/>
  <c r="K920" i="15"/>
  <c r="L920" i="15" s="1"/>
  <c r="K921" i="15" s="1"/>
  <c r="L921" i="15" s="1"/>
  <c r="L923" i="15" s="1"/>
  <c r="J26" i="50"/>
  <c r="J32" i="50"/>
  <c r="J48" i="50"/>
  <c r="H219" i="34"/>
  <c r="H220" i="34" s="1"/>
  <c r="H221" i="34" s="1"/>
  <c r="H222" i="34" s="1"/>
  <c r="I58" i="48" s="1"/>
  <c r="J58" i="48" s="1"/>
  <c r="G41" i="51"/>
  <c r="H41" i="51" s="1"/>
  <c r="H42" i="51" s="1"/>
  <c r="I18" i="50" s="1"/>
  <c r="J18" i="50" s="1"/>
  <c r="G35" i="51"/>
  <c r="H35" i="51" s="1"/>
  <c r="H36" i="51"/>
  <c r="I14" i="50" s="1"/>
  <c r="J14" i="50" s="1"/>
  <c r="G15" i="35"/>
  <c r="J13" i="22" s="1"/>
  <c r="K13" i="22" s="1"/>
  <c r="K70" i="30"/>
  <c r="J90" i="30"/>
  <c r="J94" i="30" s="1"/>
  <c r="H95" i="30" s="1"/>
  <c r="J481" i="30"/>
  <c r="P630" i="26"/>
  <c r="G800" i="26"/>
  <c r="M75" i="2"/>
  <c r="O75" i="2"/>
  <c r="O317" i="10"/>
  <c r="M317" i="10"/>
  <c r="O246" i="10"/>
  <c r="M246" i="10"/>
  <c r="J359" i="12"/>
  <c r="J402" i="9"/>
  <c r="J391" i="10"/>
  <c r="R247" i="38"/>
  <c r="P251" i="38"/>
  <c r="F963" i="28"/>
  <c r="G963" i="28" s="1"/>
  <c r="F967" i="28" s="1"/>
  <c r="G967" i="28" s="1"/>
  <c r="G493" i="26"/>
  <c r="M180" i="13"/>
  <c r="H211" i="13"/>
  <c r="K180" i="13"/>
  <c r="M149" i="10"/>
  <c r="O149" i="10"/>
  <c r="O276" i="12"/>
  <c r="M276" i="12"/>
  <c r="J196" i="36"/>
  <c r="H197" i="36"/>
  <c r="J85" i="32"/>
  <c r="H86" i="32"/>
  <c r="J394" i="31"/>
  <c r="H399" i="31"/>
  <c r="J284" i="27"/>
  <c r="Q279" i="33"/>
  <c r="R279" i="33" s="1"/>
  <c r="J279" i="33"/>
  <c r="I86" i="9"/>
  <c r="M296" i="10"/>
  <c r="O296" i="10"/>
  <c r="R356" i="38"/>
  <c r="P358" i="38"/>
  <c r="I210" i="7"/>
  <c r="F212" i="7" s="1"/>
  <c r="J481" i="2"/>
  <c r="K481" i="2" s="1"/>
  <c r="J478" i="7"/>
  <c r="K478" i="7" s="1"/>
  <c r="J514" i="10"/>
  <c r="K514" i="10" s="1"/>
  <c r="K929" i="26"/>
  <c r="M929" i="26" s="1"/>
  <c r="N929" i="26" s="1"/>
  <c r="J482" i="12"/>
  <c r="K482" i="12" s="1"/>
  <c r="J104" i="36"/>
  <c r="H105" i="36"/>
  <c r="J434" i="33"/>
  <c r="H436" i="33"/>
  <c r="R396" i="31"/>
  <c r="P399" i="31"/>
  <c r="I207" i="2"/>
  <c r="F209" i="2" s="1"/>
  <c r="I209" i="2" s="1"/>
  <c r="H435" i="31"/>
  <c r="J432" i="31"/>
  <c r="J585" i="26"/>
  <c r="J597" i="26" s="1"/>
  <c r="J598" i="26" s="1"/>
  <c r="J392" i="37"/>
  <c r="H394" i="37"/>
  <c r="F208" i="13"/>
  <c r="H209" i="13" s="1"/>
  <c r="I209" i="13" s="1"/>
  <c r="F211" i="13" s="1"/>
  <c r="I211" i="13" s="1"/>
  <c r="M211" i="13" s="1"/>
  <c r="R250" i="37"/>
  <c r="P251" i="37"/>
  <c r="H250" i="36"/>
  <c r="J246" i="36"/>
  <c r="J105" i="37"/>
  <c r="H107" i="37"/>
  <c r="J355" i="7"/>
  <c r="I256" i="9"/>
  <c r="F258" i="9" s="1"/>
  <c r="I258" i="9" s="1"/>
  <c r="J358" i="2"/>
  <c r="I12" i="14"/>
  <c r="J12" i="14" s="1"/>
  <c r="K12" i="14" s="1"/>
  <c r="R12" i="14" s="1"/>
  <c r="O101" i="12"/>
  <c r="M101" i="12"/>
  <c r="J30" i="37"/>
  <c r="H34" i="37"/>
  <c r="I13" i="14"/>
  <c r="J13" i="14" s="1"/>
  <c r="K13" i="14" s="1"/>
  <c r="R13" i="14" s="1"/>
  <c r="J250" i="27"/>
  <c r="H251" i="27"/>
  <c r="K24" i="9"/>
  <c r="O24" i="9"/>
  <c r="O256" i="12"/>
  <c r="M308" i="9"/>
  <c r="O308" i="9"/>
  <c r="D31" i="19"/>
  <c r="E31" i="19" s="1"/>
  <c r="M102" i="7"/>
  <c r="O102" i="7"/>
  <c r="J303" i="36"/>
  <c r="H304" i="36"/>
  <c r="J550" i="26"/>
  <c r="J551" i="26" s="1"/>
  <c r="J221" i="26"/>
  <c r="J222" i="26" s="1"/>
  <c r="P222" i="26" s="1"/>
  <c r="I15" i="14"/>
  <c r="J15" i="14" s="1"/>
  <c r="J154" i="40"/>
  <c r="O290" i="7"/>
  <c r="M290" i="7"/>
  <c r="M178" i="2"/>
  <c r="K178" i="2"/>
  <c r="H393" i="36"/>
  <c r="P720" i="26"/>
  <c r="M94" i="10"/>
  <c r="O94" i="10"/>
  <c r="O522" i="10" s="1"/>
  <c r="J68" i="39"/>
  <c r="H70" i="39"/>
  <c r="O206" i="9"/>
  <c r="M206" i="9"/>
  <c r="H143" i="27"/>
  <c r="J141" i="27"/>
  <c r="J451" i="26"/>
  <c r="J461" i="26" s="1"/>
  <c r="J462" i="26" s="1"/>
  <c r="P462" i="26" s="1"/>
  <c r="J288" i="26"/>
  <c r="J289" i="26" s="1"/>
  <c r="P289" i="26" s="1"/>
  <c r="J187" i="26"/>
  <c r="Q422" i="33"/>
  <c r="R422" i="33" s="1"/>
  <c r="O87" i="12"/>
  <c r="M87" i="12"/>
  <c r="H287" i="37"/>
  <c r="J283" i="37"/>
  <c r="P214" i="36"/>
  <c r="R212" i="36"/>
  <c r="F39" i="16"/>
  <c r="G39" i="16" s="1"/>
  <c r="G40" i="16"/>
  <c r="G41" i="16" s="1"/>
  <c r="F1293" i="15"/>
  <c r="G1293" i="15" s="1"/>
  <c r="G1294" i="15" s="1"/>
  <c r="G1295" i="15" s="1"/>
  <c r="H251" i="37"/>
  <c r="J249" i="37"/>
  <c r="J362" i="33"/>
  <c r="H365" i="33"/>
  <c r="H429" i="37"/>
  <c r="J428" i="37"/>
  <c r="D93" i="29"/>
  <c r="H70" i="27"/>
  <c r="H212" i="7"/>
  <c r="M181" i="7"/>
  <c r="H143" i="38"/>
  <c r="J140" i="38"/>
  <c r="J291" i="33"/>
  <c r="H293" i="33"/>
  <c r="G1008" i="28"/>
  <c r="J18" i="39"/>
  <c r="H23" i="39"/>
  <c r="J355" i="38"/>
  <c r="H358" i="38"/>
  <c r="J161" i="38"/>
  <c r="H163" i="38"/>
  <c r="J66" i="38"/>
  <c r="H70" i="38"/>
  <c r="E49" i="35"/>
  <c r="G49" i="35" s="1"/>
  <c r="G50" i="35" s="1"/>
  <c r="J212" i="38"/>
  <c r="H215" i="38"/>
  <c r="J176" i="30"/>
  <c r="J374" i="37"/>
  <c r="J304" i="38"/>
  <c r="H471" i="33"/>
  <c r="J469" i="33"/>
  <c r="J126" i="27"/>
  <c r="J370" i="26"/>
  <c r="J371" i="26" s="1"/>
  <c r="J372" i="26" s="1"/>
  <c r="P372" i="26" s="1"/>
  <c r="A154" i="40"/>
  <c r="A155" i="40" s="1"/>
  <c r="A156" i="40" s="1"/>
  <c r="I14" i="14"/>
  <c r="J14" i="14" s="1"/>
  <c r="K14" i="14" s="1"/>
  <c r="R14" i="14" s="1"/>
  <c r="J343" i="36"/>
  <c r="P376" i="38"/>
  <c r="R374" i="38"/>
  <c r="H178" i="31"/>
  <c r="J178" i="31" s="1"/>
  <c r="G154" i="40"/>
  <c r="I26" i="14"/>
  <c r="I191" i="12"/>
  <c r="I199" i="12" s="1"/>
  <c r="F208" i="12" s="1"/>
  <c r="I208" i="12" s="1"/>
  <c r="F210" i="12" s="1"/>
  <c r="I210" i="12" s="1"/>
  <c r="J198" i="37"/>
  <c r="P396" i="30"/>
  <c r="O113" i="7"/>
  <c r="I58" i="36"/>
  <c r="I190" i="36"/>
  <c r="I369" i="36"/>
  <c r="I226" i="36"/>
  <c r="I262" i="36"/>
  <c r="I298" i="36"/>
  <c r="I239" i="36"/>
  <c r="M766" i="26"/>
  <c r="N766" i="26" s="1"/>
  <c r="H162" i="39"/>
  <c r="E23" i="32"/>
  <c r="H143" i="31"/>
  <c r="F286" i="28"/>
  <c r="G286" i="28" s="1"/>
  <c r="E22" i="47"/>
  <c r="H22" i="47" s="1"/>
  <c r="H10" i="47"/>
  <c r="H14" i="47" s="1"/>
  <c r="H43" i="47" s="1"/>
  <c r="H48" i="47" s="1"/>
  <c r="G23" i="37"/>
  <c r="G25" i="37" s="1"/>
  <c r="I341" i="37" s="1"/>
  <c r="J341" i="37" s="1"/>
  <c r="P253" i="30"/>
  <c r="G819" i="28"/>
  <c r="F820" i="28" s="1"/>
  <c r="G820" i="28" s="1"/>
  <c r="E23" i="38"/>
  <c r="G23" i="38" s="1"/>
  <c r="G25" i="38" s="1"/>
  <c r="I107" i="38" s="1"/>
  <c r="J107" i="38" s="1"/>
  <c r="G19" i="44"/>
  <c r="H19" i="44"/>
  <c r="J214" i="30"/>
  <c r="H361" i="30"/>
  <c r="G11" i="27"/>
  <c r="F12" i="27" s="1"/>
  <c r="G12" i="27" s="1"/>
  <c r="G13" i="27" s="1"/>
  <c r="E14" i="27" s="1"/>
  <c r="G14" i="27" s="1"/>
  <c r="G15" i="27" s="1"/>
  <c r="I272" i="27" s="1"/>
  <c r="J272" i="27" s="1"/>
  <c r="K95" i="20"/>
  <c r="F875" i="28"/>
  <c r="G875" i="28" s="1"/>
  <c r="G876" i="28" s="1"/>
  <c r="E877" i="28" s="1"/>
  <c r="G877" i="28" s="1"/>
  <c r="G878" i="28" s="1"/>
  <c r="G64" i="28"/>
  <c r="A44" i="51"/>
  <c r="A51" i="51" s="1"/>
  <c r="A58" i="51" s="1"/>
  <c r="A63" i="51" s="1"/>
  <c r="A68" i="51" s="1"/>
  <c r="A73" i="51" s="1"/>
  <c r="G13" i="44"/>
  <c r="H13" i="44"/>
  <c r="F1146" i="15"/>
  <c r="G1146" i="15" s="1"/>
  <c r="F1128" i="15"/>
  <c r="G1128" i="15" s="1"/>
  <c r="G1129" i="15" s="1"/>
  <c r="A88" i="51"/>
  <c r="A93" i="51" s="1"/>
  <c r="A99" i="51" s="1"/>
  <c r="A83" i="51"/>
  <c r="G96" i="51"/>
  <c r="H96" i="51" s="1"/>
  <c r="H97" i="51" s="1"/>
  <c r="I44" i="50" s="1"/>
  <c r="J44" i="50" s="1"/>
  <c r="F948" i="15"/>
  <c r="G948" i="15" s="1"/>
  <c r="H17" i="51"/>
  <c r="H18" i="51" s="1"/>
  <c r="G932" i="15"/>
  <c r="F933" i="15" s="1"/>
  <c r="G933" i="15" s="1"/>
  <c r="G934" i="15" s="1"/>
  <c r="H218" i="47"/>
  <c r="H269" i="47" s="1"/>
  <c r="H270" i="47" s="1"/>
  <c r="J36" i="50"/>
  <c r="D29" i="45"/>
  <c r="D35" i="45" s="1"/>
  <c r="D30" i="45"/>
  <c r="F274" i="15"/>
  <c r="G274" i="15" s="1"/>
  <c r="G11" i="51"/>
  <c r="H11" i="51" s="1"/>
  <c r="H12" i="51" s="1"/>
  <c r="G29" i="51"/>
  <c r="H29" i="51" s="1"/>
  <c r="H30" i="51" s="1"/>
  <c r="G70" i="51"/>
  <c r="H70" i="51" s="1"/>
  <c r="H71" i="51" s="1"/>
  <c r="G899" i="15"/>
  <c r="F900" i="15" s="1"/>
  <c r="G900" i="15" s="1"/>
  <c r="G901" i="15" s="1"/>
  <c r="H54" i="47"/>
  <c r="G921" i="15"/>
  <c r="G923" i="15" s="1"/>
  <c r="F979" i="15"/>
  <c r="G979" i="15" s="1"/>
  <c r="F150" i="15"/>
  <c r="G150" i="15" s="1"/>
  <c r="G33" i="45"/>
  <c r="F59" i="47"/>
  <c r="H31" i="47"/>
  <c r="H40" i="47" s="1"/>
  <c r="H260" i="47"/>
  <c r="H264" i="47" s="1"/>
  <c r="H265" i="47" s="1"/>
  <c r="H39" i="48"/>
  <c r="G10" i="44"/>
  <c r="H10" i="44"/>
  <c r="Y61" i="44"/>
  <c r="F54" i="47"/>
  <c r="H53" i="47"/>
  <c r="H62" i="47" s="1"/>
  <c r="H59" i="47"/>
  <c r="H29" i="48"/>
  <c r="H81" i="30"/>
  <c r="J81" i="30" s="1"/>
  <c r="J83" i="30" s="1"/>
  <c r="H84" i="30" s="1"/>
  <c r="J173" i="30"/>
  <c r="F260" i="15"/>
  <c r="G260" i="15" s="1"/>
  <c r="G21" i="44"/>
  <c r="H21" i="44"/>
  <c r="H44" i="47"/>
  <c r="H244" i="47"/>
  <c r="H325" i="47"/>
  <c r="H54" i="51"/>
  <c r="H121" i="51"/>
  <c r="E30" i="45"/>
  <c r="E28" i="45"/>
  <c r="E35" i="44"/>
  <c r="D35" i="44"/>
  <c r="G233" i="31"/>
  <c r="H231" i="31"/>
  <c r="G15" i="44"/>
  <c r="H15" i="44"/>
  <c r="F814" i="15"/>
  <c r="F141" i="15"/>
  <c r="G141" i="15" s="1"/>
  <c r="F1375" i="15"/>
  <c r="G1375" i="15" s="1"/>
  <c r="F545" i="15"/>
  <c r="G545" i="15" s="1"/>
  <c r="F857" i="15"/>
  <c r="G857" i="15" s="1"/>
  <c r="G863" i="15" s="1"/>
  <c r="G5" i="45"/>
  <c r="E32" i="44"/>
  <c r="H2" i="44"/>
  <c r="H55" i="51"/>
  <c r="H56" i="51" s="1"/>
  <c r="I22" i="50" s="1"/>
  <c r="J22" i="50" s="1"/>
  <c r="G102" i="51"/>
  <c r="H102" i="51" s="1"/>
  <c r="H103" i="51" s="1"/>
  <c r="J105" i="30"/>
  <c r="H1" i="45"/>
  <c r="G1" i="45"/>
  <c r="H81" i="47"/>
  <c r="G17" i="51"/>
  <c r="H5" i="51"/>
  <c r="H6" i="51" s="1"/>
  <c r="G85" i="51"/>
  <c r="H85" i="51" s="1"/>
  <c r="H86" i="51" s="1"/>
  <c r="I40" i="50" s="1"/>
  <c r="J40" i="50" s="1"/>
  <c r="J215" i="31"/>
  <c r="F1367" i="15"/>
  <c r="G1367" i="15" s="1"/>
  <c r="F1368" i="15" s="1"/>
  <c r="G1368" i="15" s="1"/>
  <c r="J249" i="30"/>
  <c r="H5" i="44"/>
  <c r="G6" i="45"/>
  <c r="D16" i="44"/>
  <c r="D27" i="44" s="1"/>
  <c r="D29" i="44" s="1"/>
  <c r="E16" i="44"/>
  <c r="E27" i="44" s="1"/>
  <c r="H149" i="47"/>
  <c r="H182" i="47" s="1"/>
  <c r="H183" i="47" s="1"/>
  <c r="I25" i="14"/>
  <c r="J25" i="14" s="1"/>
  <c r="K25" i="14" s="1"/>
  <c r="R25" i="14" s="1"/>
  <c r="I11" i="14"/>
  <c r="G60" i="51"/>
  <c r="H60" i="51" s="1"/>
  <c r="H61" i="51" s="1"/>
  <c r="I29" i="50" s="1"/>
  <c r="J29" i="50" s="1"/>
  <c r="O57" i="30"/>
  <c r="G825" i="15"/>
  <c r="D33" i="45"/>
  <c r="H33" i="45" s="1"/>
  <c r="H6" i="45"/>
  <c r="H202" i="34"/>
  <c r="H203" i="34" s="1"/>
  <c r="H204" i="34" s="1"/>
  <c r="H205" i="34" s="1"/>
  <c r="I54" i="48" s="1"/>
  <c r="J54" i="48" s="1"/>
  <c r="H325" i="34"/>
  <c r="H326" i="34" s="1"/>
  <c r="I76" i="48" s="1"/>
  <c r="J76" i="48" s="1"/>
  <c r="D32" i="45"/>
  <c r="I23" i="53"/>
  <c r="H186" i="34"/>
  <c r="H188" i="34" s="1"/>
  <c r="H2" i="45"/>
  <c r="H269" i="30"/>
  <c r="J269" i="30" s="1"/>
  <c r="I150" i="53"/>
  <c r="I17" i="53"/>
  <c r="I33" i="53"/>
  <c r="H126" i="30"/>
  <c r="J126" i="30" s="1"/>
  <c r="I45" i="53"/>
  <c r="I30" i="53"/>
  <c r="I295" i="53"/>
  <c r="I303" i="53"/>
  <c r="I130" i="53"/>
  <c r="I106" i="53"/>
  <c r="I294" i="53"/>
  <c r="I25" i="53"/>
  <c r="I22" i="53"/>
  <c r="G555" i="15"/>
  <c r="I43" i="53"/>
  <c r="I318" i="53"/>
  <c r="E46" i="56" s="1"/>
  <c r="I34" i="53"/>
  <c r="P310" i="31"/>
  <c r="H274" i="31"/>
  <c r="H292" i="31"/>
  <c r="J415" i="31"/>
  <c r="P256" i="31"/>
  <c r="H328" i="31"/>
  <c r="H470" i="31"/>
  <c r="J138" i="31"/>
  <c r="H180" i="31"/>
  <c r="H70" i="31"/>
  <c r="H107" i="31"/>
  <c r="H163" i="31"/>
  <c r="F577" i="28"/>
  <c r="G577" i="28" s="1"/>
  <c r="F840" i="15"/>
  <c r="G840" i="15" s="1"/>
  <c r="J314" i="31"/>
  <c r="J298" i="30"/>
  <c r="F242" i="28"/>
  <c r="G242" i="28" s="1"/>
  <c r="F288" i="15"/>
  <c r="G288" i="15" s="1"/>
  <c r="R301" i="31"/>
  <c r="F1037" i="15"/>
  <c r="G1037" i="15" s="1"/>
  <c r="F1007" i="15"/>
  <c r="G1007" i="15" s="1"/>
  <c r="F993" i="15"/>
  <c r="G993" i="15" s="1"/>
  <c r="F765" i="15"/>
  <c r="G765" i="15" s="1"/>
  <c r="F245" i="15"/>
  <c r="G245" i="15" s="1"/>
  <c r="F1336" i="15"/>
  <c r="G1336" i="15" s="1"/>
  <c r="F171" i="15"/>
  <c r="G171" i="15" s="1"/>
  <c r="F1026" i="28"/>
  <c r="G1026" i="28" s="1"/>
  <c r="F256" i="28"/>
  <c r="G256" i="28" s="1"/>
  <c r="F227" i="28"/>
  <c r="G227" i="28" s="1"/>
  <c r="G47" i="28"/>
  <c r="E23" i="27"/>
  <c r="F190" i="15"/>
  <c r="G190" i="15" s="1"/>
  <c r="R265" i="31"/>
  <c r="F227" i="15"/>
  <c r="G227" i="15" s="1"/>
  <c r="G11" i="30"/>
  <c r="F12" i="30" s="1"/>
  <c r="G12" i="30" s="1"/>
  <c r="R314" i="31"/>
  <c r="J301" i="31"/>
  <c r="J124" i="30"/>
  <c r="I125" i="30"/>
  <c r="J125" i="30" s="1"/>
  <c r="H34" i="30"/>
  <c r="J29" i="30"/>
  <c r="J469" i="30"/>
  <c r="H216" i="30"/>
  <c r="R287" i="30"/>
  <c r="H307" i="30"/>
  <c r="R394" i="30"/>
  <c r="J356" i="30"/>
  <c r="R249" i="30"/>
  <c r="E270" i="30"/>
  <c r="H270" i="30" s="1"/>
  <c r="J270" i="30" s="1"/>
  <c r="J429" i="30"/>
  <c r="J441" i="30"/>
  <c r="J498" i="10"/>
  <c r="K498" i="10" s="1"/>
  <c r="J466" i="12"/>
  <c r="K466" i="12" s="1"/>
  <c r="J446" i="13"/>
  <c r="K446" i="13" s="1"/>
  <c r="K913" i="26"/>
  <c r="M913" i="26" s="1"/>
  <c r="N913" i="26" s="1"/>
  <c r="J465" i="2"/>
  <c r="K465" i="2" s="1"/>
  <c r="J39" i="22"/>
  <c r="K39" i="22" s="1"/>
  <c r="J510" i="9"/>
  <c r="K510" i="9" s="1"/>
  <c r="J462" i="7"/>
  <c r="K462" i="7" s="1"/>
  <c r="F1200" i="15"/>
  <c r="G1200" i="15" s="1"/>
  <c r="E11" i="31"/>
  <c r="G11" i="31" s="1"/>
  <c r="F12" i="31" s="1"/>
  <c r="G12" i="31" s="1"/>
  <c r="G455" i="34"/>
  <c r="H455" i="34" s="1"/>
  <c r="H35" i="34"/>
  <c r="G53" i="34"/>
  <c r="F916" i="28"/>
  <c r="G916" i="28" s="1"/>
  <c r="F1314" i="15"/>
  <c r="G1314" i="15" s="1"/>
  <c r="F643" i="15"/>
  <c r="G643" i="15" s="1"/>
  <c r="I454" i="33"/>
  <c r="I311" i="33"/>
  <c r="I175" i="33"/>
  <c r="J175" i="33" s="1"/>
  <c r="I106" i="33"/>
  <c r="J106" i="33" s="1"/>
  <c r="I142" i="33"/>
  <c r="J142" i="33" s="1"/>
  <c r="I436" i="33"/>
  <c r="I31" i="33"/>
  <c r="J31" i="33" s="1"/>
  <c r="I53" i="33"/>
  <c r="J53" i="33" s="1"/>
  <c r="F12" i="32"/>
  <c r="G12" i="32" s="1"/>
  <c r="G13" i="32" s="1"/>
  <c r="E14" i="32" s="1"/>
  <c r="G14" i="32" s="1"/>
  <c r="G15" i="32" s="1"/>
  <c r="J33" i="22"/>
  <c r="K33" i="22" s="1"/>
  <c r="J19" i="22"/>
  <c r="K19" i="22" s="1"/>
  <c r="K904" i="26"/>
  <c r="M904" i="26" s="1"/>
  <c r="N904" i="26" s="1"/>
  <c r="I251" i="37"/>
  <c r="G434" i="34"/>
  <c r="H434" i="34" s="1"/>
  <c r="H436" i="34" s="1"/>
  <c r="E26" i="28"/>
  <c r="G26" i="28" s="1"/>
  <c r="G27" i="28" s="1"/>
  <c r="G28" i="28" s="1"/>
  <c r="F11" i="28"/>
  <c r="G11" i="28" s="1"/>
  <c r="G12" i="28" s="1"/>
  <c r="J75" i="22"/>
  <c r="K75" i="22" s="1"/>
  <c r="K938" i="26"/>
  <c r="M938" i="26" s="1"/>
  <c r="N938" i="26" s="1"/>
  <c r="F744" i="28"/>
  <c r="G744" i="28" s="1"/>
  <c r="F750" i="28" s="1"/>
  <c r="G375" i="34"/>
  <c r="H375" i="34" s="1"/>
  <c r="H379" i="34" s="1"/>
  <c r="F692" i="28"/>
  <c r="G692" i="28" s="1"/>
  <c r="F627" i="28"/>
  <c r="G627" i="28" s="1"/>
  <c r="F175" i="28"/>
  <c r="G175" i="28" s="1"/>
  <c r="F1112" i="15"/>
  <c r="G1112" i="15" s="1"/>
  <c r="F1116" i="15" s="1"/>
  <c r="G1116" i="15" s="1"/>
  <c r="F1118" i="15" s="1"/>
  <c r="F670" i="15"/>
  <c r="G670" i="15" s="1"/>
  <c r="F623" i="15"/>
  <c r="G623" i="15" s="1"/>
  <c r="F209" i="15"/>
  <c r="G209" i="15" s="1"/>
  <c r="G117" i="35"/>
  <c r="J485" i="12" s="1"/>
  <c r="K485" i="12" s="1"/>
  <c r="F727" i="28"/>
  <c r="G727" i="28" s="1"/>
  <c r="F710" i="28"/>
  <c r="G710" i="28" s="1"/>
  <c r="F672" i="28"/>
  <c r="G672" i="28" s="1"/>
  <c r="F602" i="28"/>
  <c r="G602" i="28" s="1"/>
  <c r="F501" i="28"/>
  <c r="G501" i="28" s="1"/>
  <c r="F193" i="28"/>
  <c r="G193" i="28" s="1"/>
  <c r="G94" i="35"/>
  <c r="E95" i="35" s="1"/>
  <c r="G95" i="35" s="1"/>
  <c r="G97" i="35" s="1"/>
  <c r="D8" i="24" s="1"/>
  <c r="E8" i="24" s="1"/>
  <c r="E15" i="24" s="1"/>
  <c r="F15" i="24" s="1"/>
  <c r="E23" i="36"/>
  <c r="G23" i="36" s="1"/>
  <c r="G25" i="36" s="1"/>
  <c r="I53" i="36" s="1"/>
  <c r="J53" i="36" s="1"/>
  <c r="F210" i="28"/>
  <c r="G210" i="28" s="1"/>
  <c r="G1222" i="15"/>
  <c r="F581" i="15"/>
  <c r="G581" i="15" s="1"/>
  <c r="G582" i="15" s="1"/>
  <c r="F157" i="28"/>
  <c r="G157" i="28" s="1"/>
  <c r="F137" i="28"/>
  <c r="G137" i="28" s="1"/>
  <c r="F305" i="15"/>
  <c r="G305" i="15" s="1"/>
  <c r="J456" i="2"/>
  <c r="K456" i="2" s="1"/>
  <c r="J457" i="12"/>
  <c r="K457" i="12" s="1"/>
  <c r="J437" i="13"/>
  <c r="K437" i="13" s="1"/>
  <c r="J501" i="9"/>
  <c r="K501" i="9" s="1"/>
  <c r="J489" i="10"/>
  <c r="K489" i="10" s="1"/>
  <c r="J453" i="7"/>
  <c r="K453" i="7" s="1"/>
  <c r="J462" i="2"/>
  <c r="K462" i="2" s="1"/>
  <c r="J495" i="10"/>
  <c r="K495" i="10" s="1"/>
  <c r="J459" i="7"/>
  <c r="K459" i="7" s="1"/>
  <c r="J443" i="13"/>
  <c r="K443" i="13" s="1"/>
  <c r="J463" i="12"/>
  <c r="K463" i="12" s="1"/>
  <c r="J507" i="9"/>
  <c r="K507" i="9" s="1"/>
  <c r="J36" i="22"/>
  <c r="K36" i="22" s="1"/>
  <c r="K910" i="26"/>
  <c r="M910" i="26" s="1"/>
  <c r="N910" i="26" s="1"/>
  <c r="E11" i="38"/>
  <c r="E11" i="37"/>
  <c r="F808" i="28"/>
  <c r="G808" i="28" s="1"/>
  <c r="G810" i="28" s="1"/>
  <c r="F647" i="28"/>
  <c r="G647" i="28" s="1"/>
  <c r="F653" i="28" s="1"/>
  <c r="G653" i="28" s="1"/>
  <c r="F1237" i="15"/>
  <c r="G1237" i="15" s="1"/>
  <c r="G1238" i="15" s="1"/>
  <c r="F10" i="15"/>
  <c r="G10" i="15" s="1"/>
  <c r="E23" i="31"/>
  <c r="G23" i="31" s="1"/>
  <c r="G25" i="31" s="1"/>
  <c r="G362" i="34"/>
  <c r="H362" i="34" s="1"/>
  <c r="H363" i="34" s="1"/>
  <c r="F889" i="15"/>
  <c r="G889" i="15" s="1"/>
  <c r="G890" i="15" s="1"/>
  <c r="J455" i="12"/>
  <c r="K455" i="12" s="1"/>
  <c r="J454" i="2"/>
  <c r="K454" i="2" s="1"/>
  <c r="F34" i="28"/>
  <c r="G34" i="28" s="1"/>
  <c r="J469" i="12"/>
  <c r="K469" i="12" s="1"/>
  <c r="J513" i="9"/>
  <c r="K513" i="9" s="1"/>
  <c r="J468" i="2"/>
  <c r="K468" i="2" s="1"/>
  <c r="J449" i="13"/>
  <c r="K449" i="13" s="1"/>
  <c r="J465" i="7"/>
  <c r="K465" i="7" s="1"/>
  <c r="J501" i="10"/>
  <c r="K501" i="10" s="1"/>
  <c r="J474" i="7"/>
  <c r="K474" i="7" s="1"/>
  <c r="J522" i="9"/>
  <c r="K522" i="9" s="1"/>
  <c r="J458" i="13"/>
  <c r="K458" i="13" s="1"/>
  <c r="J510" i="10"/>
  <c r="K510" i="10" s="1"/>
  <c r="J477" i="2"/>
  <c r="K477" i="2" s="1"/>
  <c r="J478" i="12"/>
  <c r="K478" i="12" s="1"/>
  <c r="F763" i="28"/>
  <c r="G763" i="28" s="1"/>
  <c r="F66" i="35"/>
  <c r="G66" i="35" s="1"/>
  <c r="G67" i="35" s="1"/>
  <c r="G62" i="35"/>
  <c r="G63" i="35" s="1"/>
  <c r="J26" i="22" s="1"/>
  <c r="K26" i="22" s="1"/>
  <c r="F1064" i="15"/>
  <c r="G1064" i="15" s="1"/>
  <c r="G1065" i="15" s="1"/>
  <c r="G733" i="15"/>
  <c r="F734" i="15"/>
  <c r="G734" i="15" s="1"/>
  <c r="H36" i="34"/>
  <c r="G54" i="34"/>
  <c r="E23" i="30"/>
  <c r="G23" i="30" s="1"/>
  <c r="G25" i="30" s="1"/>
  <c r="F799" i="28"/>
  <c r="G799" i="28" s="1"/>
  <c r="G800" i="28" s="1"/>
  <c r="F1084" i="15"/>
  <c r="G1084" i="15" s="1"/>
  <c r="F1088" i="15" s="1"/>
  <c r="G1088" i="15" s="1"/>
  <c r="F695" i="15"/>
  <c r="G695" i="15" s="1"/>
  <c r="J507" i="10"/>
  <c r="K507" i="10" s="1"/>
  <c r="J474" i="2"/>
  <c r="K474" i="2" s="1"/>
  <c r="J519" i="9"/>
  <c r="K519" i="9" s="1"/>
  <c r="J475" i="12"/>
  <c r="K475" i="12" s="1"/>
  <c r="J455" i="13"/>
  <c r="K455" i="13" s="1"/>
  <c r="J471" i="7"/>
  <c r="K471" i="7" s="1"/>
  <c r="F886" i="28"/>
  <c r="G886" i="28" s="1"/>
  <c r="G887" i="28" s="1"/>
  <c r="F776" i="28"/>
  <c r="G776" i="28" s="1"/>
  <c r="G777" i="28" s="1"/>
  <c r="G418" i="34"/>
  <c r="H418" i="34" s="1"/>
  <c r="H419" i="34"/>
  <c r="F1218" i="15"/>
  <c r="G1218" i="15" s="1"/>
  <c r="F1017" i="15"/>
  <c r="G1017" i="15" s="1"/>
  <c r="G1018" i="15" s="1"/>
  <c r="F740" i="15"/>
  <c r="G740" i="15" s="1"/>
  <c r="F746" i="15" s="1"/>
  <c r="G746" i="15" s="1"/>
  <c r="G55" i="34"/>
  <c r="H37" i="34"/>
  <c r="F968" i="15"/>
  <c r="G968" i="15" s="1"/>
  <c r="F969" i="15"/>
  <c r="G969" i="15" s="1"/>
  <c r="F403" i="15"/>
  <c r="G403" i="15" s="1"/>
  <c r="F355" i="15"/>
  <c r="G355" i="15" s="1"/>
  <c r="G393" i="34"/>
  <c r="H393" i="34" s="1"/>
  <c r="F864" i="28"/>
  <c r="G864" i="28" s="1"/>
  <c r="F834" i="28"/>
  <c r="G834" i="28" s="1"/>
  <c r="F530" i="28"/>
  <c r="G530" i="28" s="1"/>
  <c r="F1345" i="15"/>
  <c r="G1345" i="15" s="1"/>
  <c r="F720" i="15"/>
  <c r="G720" i="15" s="1"/>
  <c r="J460" i="12"/>
  <c r="K460" i="12" s="1"/>
  <c r="J492" i="10"/>
  <c r="K492" i="10" s="1"/>
  <c r="J440" i="13"/>
  <c r="K440" i="13" s="1"/>
  <c r="J456" i="7"/>
  <c r="K456" i="7" s="1"/>
  <c r="F943" i="28"/>
  <c r="G943" i="28" s="1"/>
  <c r="G944" i="28" s="1"/>
  <c r="F896" i="28"/>
  <c r="G896" i="28" s="1"/>
  <c r="G897" i="28" s="1"/>
  <c r="F854" i="28"/>
  <c r="G854" i="28" s="1"/>
  <c r="F853" i="28"/>
  <c r="G853" i="28" s="1"/>
  <c r="F1188" i="15"/>
  <c r="G1188" i="15" s="1"/>
  <c r="F1189" i="15"/>
  <c r="G1189" i="15" s="1"/>
  <c r="F21" i="15"/>
  <c r="G21" i="15" s="1"/>
  <c r="G25" i="15" s="1"/>
  <c r="F115" i="15"/>
  <c r="G105" i="15"/>
  <c r="F106" i="15" s="1"/>
  <c r="G106" i="15" s="1"/>
  <c r="G13" i="33"/>
  <c r="J42" i="22"/>
  <c r="K42" i="22" s="1"/>
  <c r="G1025" i="28"/>
  <c r="G1027" i="28" s="1"/>
  <c r="F550" i="28"/>
  <c r="G550" i="28" s="1"/>
  <c r="F335" i="28"/>
  <c r="G335" i="28" s="1"/>
  <c r="F595" i="15"/>
  <c r="G595" i="15" s="1"/>
  <c r="R313" i="38"/>
  <c r="R314" i="38" s="1"/>
  <c r="R277" i="37"/>
  <c r="J314" i="58" l="1"/>
  <c r="G390" i="34"/>
  <c r="H390" i="34" s="1"/>
  <c r="K307" i="57"/>
  <c r="N307" i="57" s="1"/>
  <c r="K307" i="60"/>
  <c r="M307" i="60" s="1"/>
  <c r="N307" i="60" s="1"/>
  <c r="J504" i="9"/>
  <c r="K504" i="9" s="1"/>
  <c r="J499" i="9"/>
  <c r="K499" i="9" s="1"/>
  <c r="I179" i="37"/>
  <c r="J179" i="37" s="1"/>
  <c r="I70" i="39"/>
  <c r="I93" i="39" s="1"/>
  <c r="J93" i="39" s="1"/>
  <c r="J459" i="2"/>
  <c r="K459" i="2" s="1"/>
  <c r="H395" i="34"/>
  <c r="J415" i="36"/>
  <c r="J311" i="30"/>
  <c r="F640" i="28"/>
  <c r="G639" i="28"/>
  <c r="G931" i="28"/>
  <c r="E932" i="28" s="1"/>
  <c r="G932" i="28" s="1"/>
  <c r="G933" i="28" s="1"/>
  <c r="I305" i="37"/>
  <c r="J305" i="37" s="1"/>
  <c r="J337" i="31"/>
  <c r="J380" i="38"/>
  <c r="J240" i="27"/>
  <c r="I143" i="37"/>
  <c r="J143" i="37" s="1"/>
  <c r="I23" i="39"/>
  <c r="I47" i="39"/>
  <c r="J47" i="39" s="1"/>
  <c r="Q237" i="38"/>
  <c r="R237" i="38" s="1"/>
  <c r="K898" i="26"/>
  <c r="M898" i="26" s="1"/>
  <c r="N898" i="26" s="1"/>
  <c r="G750" i="28"/>
  <c r="J528" i="9"/>
  <c r="K528" i="9" s="1"/>
  <c r="G103" i="28"/>
  <c r="F104" i="28" s="1"/>
  <c r="G104" i="28" s="1"/>
  <c r="F123" i="28"/>
  <c r="G123" i="28" s="1"/>
  <c r="F124" i="28" s="1"/>
  <c r="G124" i="28" s="1"/>
  <c r="G1010" i="28"/>
  <c r="J224" i="38"/>
  <c r="F969" i="28"/>
  <c r="G969" i="28" s="1"/>
  <c r="G970" i="28" s="1"/>
  <c r="G23" i="32"/>
  <c r="G25" i="32" s="1"/>
  <c r="I52" i="32" s="1"/>
  <c r="J52" i="32" s="1"/>
  <c r="G11" i="37"/>
  <c r="F12" i="37" s="1"/>
  <c r="G12" i="37" s="1"/>
  <c r="G13" i="37" s="1"/>
  <c r="E14" i="37" s="1"/>
  <c r="G14" i="37" s="1"/>
  <c r="G15" i="37" s="1"/>
  <c r="I305" i="38"/>
  <c r="J305" i="38" s="1"/>
  <c r="J457" i="31"/>
  <c r="F995" i="28"/>
  <c r="G995" i="28" s="1"/>
  <c r="F997" i="28" s="1"/>
  <c r="G997" i="28" s="1"/>
  <c r="G998" i="28" s="1"/>
  <c r="J262" i="30"/>
  <c r="G788" i="28"/>
  <c r="I6" i="50"/>
  <c r="J6" i="50" s="1"/>
  <c r="Q260" i="37"/>
  <c r="R260" i="37" s="1"/>
  <c r="J266" i="33"/>
  <c r="G11" i="38"/>
  <c r="F12" i="38" s="1"/>
  <c r="G12" i="38" s="1"/>
  <c r="G13" i="38" s="1"/>
  <c r="I341" i="38"/>
  <c r="J341" i="38" s="1"/>
  <c r="J454" i="30"/>
  <c r="K78" i="22"/>
  <c r="L78" i="22" s="1"/>
  <c r="K15" i="14"/>
  <c r="R15" i="14" s="1"/>
  <c r="F589" i="15" s="1"/>
  <c r="G589" i="15" s="1"/>
  <c r="Q224" i="37"/>
  <c r="R224" i="37" s="1"/>
  <c r="J224" i="37"/>
  <c r="J223" i="36"/>
  <c r="Q421" i="31"/>
  <c r="R421" i="31" s="1"/>
  <c r="J421" i="31"/>
  <c r="Q315" i="33"/>
  <c r="R315" i="33" s="1"/>
  <c r="J315" i="33"/>
  <c r="J318" i="33"/>
  <c r="J338" i="33"/>
  <c r="Q367" i="37"/>
  <c r="R367" i="37" s="1"/>
  <c r="J367" i="37"/>
  <c r="Q408" i="31"/>
  <c r="R408" i="31" s="1"/>
  <c r="J408" i="31"/>
  <c r="J334" i="30"/>
  <c r="J276" i="27"/>
  <c r="Q302" i="33"/>
  <c r="R302" i="33" s="1"/>
  <c r="J302" i="33"/>
  <c r="Q237" i="37"/>
  <c r="R237" i="37" s="1"/>
  <c r="J237" i="37"/>
  <c r="J275" i="30"/>
  <c r="J418" i="30"/>
  <c r="J260" i="38"/>
  <c r="J458" i="33"/>
  <c r="J346" i="7"/>
  <c r="K346" i="7" s="1"/>
  <c r="J265" i="31"/>
  <c r="J336" i="12"/>
  <c r="K336" i="12" s="1"/>
  <c r="J278" i="31"/>
  <c r="Q236" i="36"/>
  <c r="R236" i="36" s="1"/>
  <c r="J236" i="36"/>
  <c r="Q379" i="36"/>
  <c r="R379" i="36" s="1"/>
  <c r="J379" i="36"/>
  <c r="J405" i="30"/>
  <c r="J416" i="38"/>
  <c r="I431" i="38"/>
  <c r="J431" i="38" s="1"/>
  <c r="J367" i="38"/>
  <c r="Q367" i="38"/>
  <c r="R367" i="38" s="1"/>
  <c r="J273" i="38"/>
  <c r="Q273" i="38"/>
  <c r="R273" i="38" s="1"/>
  <c r="J380" i="37"/>
  <c r="Q380" i="37"/>
  <c r="R380" i="37" s="1"/>
  <c r="G13" i="30"/>
  <c r="E14" i="30" s="1"/>
  <c r="G14" i="30" s="1"/>
  <c r="G15" i="30" s="1"/>
  <c r="I66" i="33"/>
  <c r="J66" i="33" s="1"/>
  <c r="I383" i="33"/>
  <c r="J383" i="33" s="1"/>
  <c r="I293" i="33"/>
  <c r="I257" i="33"/>
  <c r="Q257" i="33" s="1"/>
  <c r="R257" i="33" s="1"/>
  <c r="I201" i="33"/>
  <c r="J201" i="33" s="1"/>
  <c r="I418" i="33"/>
  <c r="J418" i="33" s="1"/>
  <c r="I365" i="33"/>
  <c r="J365" i="33" s="1"/>
  <c r="I162" i="33"/>
  <c r="J162" i="33" s="1"/>
  <c r="I347" i="33"/>
  <c r="J347" i="33" s="1"/>
  <c r="I89" i="33"/>
  <c r="J89" i="33" s="1"/>
  <c r="I400" i="33"/>
  <c r="J400" i="33" s="1"/>
  <c r="I329" i="33"/>
  <c r="J329" i="33" s="1"/>
  <c r="I275" i="33"/>
  <c r="Q275" i="33" s="1"/>
  <c r="R275" i="33" s="1"/>
  <c r="I118" i="39"/>
  <c r="J118" i="39" s="1"/>
  <c r="I184" i="39"/>
  <c r="J184" i="39" s="1"/>
  <c r="I162" i="39"/>
  <c r="J162" i="39" s="1"/>
  <c r="J23" i="39"/>
  <c r="I357" i="36"/>
  <c r="Q357" i="36" s="1"/>
  <c r="R357" i="36" s="1"/>
  <c r="I107" i="37"/>
  <c r="J107" i="37" s="1"/>
  <c r="I54" i="37"/>
  <c r="J54" i="37" s="1"/>
  <c r="I70" i="37"/>
  <c r="J70" i="37" s="1"/>
  <c r="I163" i="37"/>
  <c r="J163" i="37" s="1"/>
  <c r="I287" i="37"/>
  <c r="J287" i="37" s="1"/>
  <c r="I233" i="37"/>
  <c r="Q233" i="37" s="1"/>
  <c r="R233" i="37" s="1"/>
  <c r="Q67" i="37"/>
  <c r="R67" i="37" s="1"/>
  <c r="R83" i="37" s="1"/>
  <c r="P84" i="37" s="1"/>
  <c r="R84" i="37" s="1"/>
  <c r="I90" i="37"/>
  <c r="J90" i="37" s="1"/>
  <c r="G38" i="56"/>
  <c r="H38" i="56" s="1"/>
  <c r="M307" i="57"/>
  <c r="I127" i="38"/>
  <c r="J127" i="38" s="1"/>
  <c r="F418" i="28"/>
  <c r="G418" i="28" s="1"/>
  <c r="F451" i="28"/>
  <c r="G451" i="28" s="1"/>
  <c r="F402" i="28"/>
  <c r="G402" i="28" s="1"/>
  <c r="I179" i="38"/>
  <c r="J179" i="38" s="1"/>
  <c r="I215" i="37"/>
  <c r="J215" i="37" s="1"/>
  <c r="I269" i="37"/>
  <c r="J269" i="37" s="1"/>
  <c r="I90" i="38"/>
  <c r="J90" i="38" s="1"/>
  <c r="F370" i="28"/>
  <c r="G370" i="28" s="1"/>
  <c r="J435" i="13"/>
  <c r="K435" i="13" s="1"/>
  <c r="I141" i="36"/>
  <c r="J141" i="36" s="1"/>
  <c r="I269" i="38"/>
  <c r="Q269" i="38" s="1"/>
  <c r="R269" i="38" s="1"/>
  <c r="I358" i="38"/>
  <c r="J358" i="38" s="1"/>
  <c r="I412" i="37"/>
  <c r="J412" i="37" s="1"/>
  <c r="I323" i="37"/>
  <c r="J323" i="37" s="1"/>
  <c r="I127" i="37"/>
  <c r="J127" i="37" s="1"/>
  <c r="I215" i="38"/>
  <c r="Q215" i="38" s="1"/>
  <c r="R215" i="38" s="1"/>
  <c r="I223" i="27"/>
  <c r="J223" i="27" s="1"/>
  <c r="F386" i="28"/>
  <c r="G386" i="28" s="1"/>
  <c r="I412" i="38"/>
  <c r="J412" i="38" s="1"/>
  <c r="I251" i="38"/>
  <c r="J251" i="38" s="1"/>
  <c r="I376" i="38"/>
  <c r="Q376" i="38" s="1"/>
  <c r="R376" i="38" s="1"/>
  <c r="I394" i="38"/>
  <c r="J394" i="38" s="1"/>
  <c r="G23" i="27"/>
  <c r="G25" i="27" s="1"/>
  <c r="I90" i="27" s="1"/>
  <c r="J90" i="27" s="1"/>
  <c r="I394" i="37"/>
  <c r="J394" i="37" s="1"/>
  <c r="J451" i="7"/>
  <c r="K451" i="7" s="1"/>
  <c r="I105" i="36"/>
  <c r="J105" i="36" s="1"/>
  <c r="I323" i="38"/>
  <c r="J323" i="38" s="1"/>
  <c r="I287" i="38"/>
  <c r="J287" i="38" s="1"/>
  <c r="I34" i="37"/>
  <c r="J34" i="37" s="1"/>
  <c r="I199" i="37"/>
  <c r="J199" i="37" s="1"/>
  <c r="I199" i="38"/>
  <c r="J199" i="38" s="1"/>
  <c r="I201" i="27"/>
  <c r="J201" i="27" s="1"/>
  <c r="J95" i="30"/>
  <c r="J96" i="30" s="1"/>
  <c r="J84" i="30"/>
  <c r="J85" i="30" s="1"/>
  <c r="J318" i="12" s="1"/>
  <c r="K318" i="12" s="1"/>
  <c r="I233" i="38"/>
  <c r="I70" i="38"/>
  <c r="J70" i="38" s="1"/>
  <c r="I34" i="38"/>
  <c r="J34" i="38" s="1"/>
  <c r="G821" i="28"/>
  <c r="E822" i="28" s="1"/>
  <c r="G822" i="28" s="1"/>
  <c r="G823" i="28" s="1"/>
  <c r="I174" i="36"/>
  <c r="J174" i="36" s="1"/>
  <c r="I54" i="38"/>
  <c r="J54" i="38" s="1"/>
  <c r="I143" i="38"/>
  <c r="J143" i="38" s="1"/>
  <c r="I358" i="37"/>
  <c r="J358" i="37" s="1"/>
  <c r="I376" i="37"/>
  <c r="I164" i="27"/>
  <c r="J164" i="27" s="1"/>
  <c r="F434" i="28"/>
  <c r="G434" i="28" s="1"/>
  <c r="F48" i="15"/>
  <c r="G48" i="15" s="1"/>
  <c r="G50" i="15" s="1"/>
  <c r="E51" i="15" s="1"/>
  <c r="G51" i="15" s="1"/>
  <c r="G53" i="15" s="1"/>
  <c r="G54" i="15" s="1"/>
  <c r="F1272" i="15"/>
  <c r="G1272" i="15" s="1"/>
  <c r="G1273" i="15" s="1"/>
  <c r="G1274" i="15" s="1"/>
  <c r="E1275" i="15" s="1"/>
  <c r="G1275" i="15" s="1"/>
  <c r="G1277" i="15" s="1"/>
  <c r="G1278" i="15" s="1"/>
  <c r="I503" i="58"/>
  <c r="J503" i="58" s="1"/>
  <c r="J504" i="58" s="1"/>
  <c r="I426" i="58"/>
  <c r="J390" i="58"/>
  <c r="H383" i="58"/>
  <c r="J383" i="58" s="1"/>
  <c r="J384" i="58" s="1"/>
  <c r="J350" i="58"/>
  <c r="J370" i="58"/>
  <c r="I414" i="58"/>
  <c r="J414" i="58" s="1"/>
  <c r="J418" i="58" s="1"/>
  <c r="I437" i="58"/>
  <c r="J401" i="58"/>
  <c r="I472" i="58"/>
  <c r="J472" i="58" s="1"/>
  <c r="J436" i="58"/>
  <c r="J389" i="58"/>
  <c r="I425" i="58"/>
  <c r="E924" i="15"/>
  <c r="G924" i="15" s="1"/>
  <c r="G925" i="15" s="1"/>
  <c r="E56" i="56"/>
  <c r="K340" i="53"/>
  <c r="E51" i="56"/>
  <c r="H51" i="56" s="1"/>
  <c r="I251" i="30"/>
  <c r="I252" i="30"/>
  <c r="J252" i="30" s="1"/>
  <c r="J251" i="30"/>
  <c r="I229" i="53"/>
  <c r="I18" i="53"/>
  <c r="I65" i="53"/>
  <c r="I296" i="53"/>
  <c r="E43" i="56" s="1"/>
  <c r="I61" i="53"/>
  <c r="I29" i="53"/>
  <c r="I39" i="53" s="1"/>
  <c r="I44" i="53"/>
  <c r="I55" i="53" s="1"/>
  <c r="I155" i="53"/>
  <c r="F1170" i="15"/>
  <c r="G1170" i="15" s="1"/>
  <c r="F1171" i="15" s="1"/>
  <c r="G1171" i="15" s="1"/>
  <c r="G1172" i="15" s="1"/>
  <c r="G1173" i="15" s="1"/>
  <c r="J364" i="7" s="1"/>
  <c r="K364" i="7" s="1"/>
  <c r="F369" i="15"/>
  <c r="G369" i="15" s="1"/>
  <c r="F1130" i="15"/>
  <c r="G1130" i="15" s="1"/>
  <c r="G1131" i="15" s="1"/>
  <c r="F912" i="15"/>
  <c r="G912" i="15" s="1"/>
  <c r="G913" i="15" s="1"/>
  <c r="E914" i="15" s="1"/>
  <c r="G914" i="15" s="1"/>
  <c r="G915" i="15" s="1"/>
  <c r="G357" i="15"/>
  <c r="F464" i="15"/>
  <c r="G464" i="15" s="1"/>
  <c r="K889" i="15"/>
  <c r="L889" i="15" s="1"/>
  <c r="L890" i="15" s="1"/>
  <c r="J891" i="15" s="1"/>
  <c r="L891" i="15" s="1"/>
  <c r="L892" i="15" s="1"/>
  <c r="G1369" i="15"/>
  <c r="G1370" i="15" s="1"/>
  <c r="J355" i="53" s="1"/>
  <c r="F34" i="15"/>
  <c r="G34" i="15" s="1"/>
  <c r="G1224" i="15"/>
  <c r="E1225" i="15" s="1"/>
  <c r="G1225" i="15" s="1"/>
  <c r="G1226" i="15" s="1"/>
  <c r="E31" i="44"/>
  <c r="E29" i="44"/>
  <c r="D30" i="44"/>
  <c r="D36" i="44" s="1"/>
  <c r="D31" i="44"/>
  <c r="D36" i="45"/>
  <c r="D37" i="45" s="1"/>
  <c r="H32" i="44"/>
  <c r="E33" i="44"/>
  <c r="E34" i="44"/>
  <c r="G32" i="44"/>
  <c r="M209" i="2"/>
  <c r="O209" i="2"/>
  <c r="I93" i="27"/>
  <c r="J93" i="27" s="1"/>
  <c r="I306" i="53"/>
  <c r="E44" i="56" s="1"/>
  <c r="H233" i="31"/>
  <c r="J233" i="31" s="1"/>
  <c r="G241" i="31"/>
  <c r="H241" i="31" s="1"/>
  <c r="J241" i="31" s="1"/>
  <c r="J244" i="31" s="1"/>
  <c r="H245" i="31" s="1"/>
  <c r="J245" i="31" s="1"/>
  <c r="J246" i="31" s="1"/>
  <c r="A105" i="51"/>
  <c r="A110" i="51"/>
  <c r="F35" i="28"/>
  <c r="G35" i="28" s="1"/>
  <c r="G37" i="28" s="1"/>
  <c r="E38" i="28" s="1"/>
  <c r="G38" i="28" s="1"/>
  <c r="G40" i="28" s="1"/>
  <c r="G41" i="28" s="1"/>
  <c r="F35" i="15"/>
  <c r="G35" i="15" s="1"/>
  <c r="G970" i="15"/>
  <c r="F1000" i="15" s="1"/>
  <c r="G1000" i="15" s="1"/>
  <c r="G1008" i="15" s="1"/>
  <c r="I232" i="36"/>
  <c r="Q232" i="36" s="1"/>
  <c r="R232" i="36" s="1"/>
  <c r="I308" i="27"/>
  <c r="J308" i="27" s="1"/>
  <c r="I16" i="14"/>
  <c r="J16" i="14" s="1"/>
  <c r="K16" i="14" s="1"/>
  <c r="R16" i="14" s="1"/>
  <c r="F1320" i="15" s="1"/>
  <c r="G1320" i="15" s="1"/>
  <c r="J155" i="40"/>
  <c r="J156" i="40" s="1"/>
  <c r="J157" i="40" s="1"/>
  <c r="J158" i="40" s="1"/>
  <c r="J159" i="40" s="1"/>
  <c r="J160" i="40" s="1"/>
  <c r="J161" i="40" s="1"/>
  <c r="J162" i="40" s="1"/>
  <c r="J163" i="40" s="1"/>
  <c r="J164" i="40" s="1"/>
  <c r="J165" i="40" s="1"/>
  <c r="J166" i="40" s="1"/>
  <c r="J167" i="40" s="1"/>
  <c r="J168" i="40" s="1"/>
  <c r="J169" i="40" s="1"/>
  <c r="J170" i="40" s="1"/>
  <c r="J171" i="40" s="1"/>
  <c r="J172" i="40" s="1"/>
  <c r="J173" i="40" s="1"/>
  <c r="J174" i="40" s="1"/>
  <c r="J175" i="40" s="1"/>
  <c r="J176" i="40" s="1"/>
  <c r="J177" i="40" s="1"/>
  <c r="J178" i="40" s="1"/>
  <c r="J179" i="40" s="1"/>
  <c r="J180" i="40" s="1"/>
  <c r="J181" i="40" s="1"/>
  <c r="J182" i="40" s="1"/>
  <c r="J183" i="40" s="1"/>
  <c r="J184" i="40" s="1"/>
  <c r="J185" i="40" s="1"/>
  <c r="J186" i="40" s="1"/>
  <c r="J187" i="40" s="1"/>
  <c r="J188" i="40" s="1"/>
  <c r="J189" i="40" s="1"/>
  <c r="J190" i="40" s="1"/>
  <c r="J191" i="40" s="1"/>
  <c r="J192" i="40" s="1"/>
  <c r="J193" i="40" s="1"/>
  <c r="J194" i="40" s="1"/>
  <c r="J195" i="40" s="1"/>
  <c r="J196" i="40" s="1"/>
  <c r="J197" i="40" s="1"/>
  <c r="J198" i="40" s="1"/>
  <c r="J199" i="40" s="1"/>
  <c r="J200" i="40" s="1"/>
  <c r="J201" i="40" s="1"/>
  <c r="J202" i="40" s="1"/>
  <c r="J203" i="40" s="1"/>
  <c r="J204" i="40" s="1"/>
  <c r="J205" i="40" s="1"/>
  <c r="J206" i="40" s="1"/>
  <c r="J207" i="40" s="1"/>
  <c r="J208" i="40" s="1"/>
  <c r="J209" i="40" s="1"/>
  <c r="J210" i="40" s="1"/>
  <c r="J211" i="40" s="1"/>
  <c r="J212" i="40" s="1"/>
  <c r="J213" i="40" s="1"/>
  <c r="J214" i="40" s="1"/>
  <c r="J215" i="40" s="1"/>
  <c r="J216" i="40" s="1"/>
  <c r="J217" i="40" s="1"/>
  <c r="J218" i="40" s="1"/>
  <c r="J219" i="40" s="1"/>
  <c r="J220" i="40" s="1"/>
  <c r="J221" i="40" s="1"/>
  <c r="J222" i="40" s="1"/>
  <c r="J223" i="40" s="1"/>
  <c r="J224" i="40" s="1"/>
  <c r="J225" i="40" s="1"/>
  <c r="J226" i="40" s="1"/>
  <c r="J227" i="40" s="1"/>
  <c r="J228" i="40" s="1"/>
  <c r="J229" i="40" s="1"/>
  <c r="J230" i="40" s="1"/>
  <c r="J231" i="40" s="1"/>
  <c r="J232" i="40" s="1"/>
  <c r="J233" i="40" s="1"/>
  <c r="J234" i="40" s="1"/>
  <c r="J235" i="40" s="1"/>
  <c r="J236" i="40" s="1"/>
  <c r="J237" i="40" s="1"/>
  <c r="J238" i="40" s="1"/>
  <c r="J239" i="40" s="1"/>
  <c r="J240" i="40" s="1"/>
  <c r="J241" i="40" s="1"/>
  <c r="J242" i="40" s="1"/>
  <c r="J243" i="40" s="1"/>
  <c r="J244" i="40" s="1"/>
  <c r="J245" i="40" s="1"/>
  <c r="J246" i="40" s="1"/>
  <c r="J247" i="40" s="1"/>
  <c r="J248" i="40" s="1"/>
  <c r="J249" i="40" s="1"/>
  <c r="J250" i="40" s="1"/>
  <c r="J251" i="40" s="1"/>
  <c r="J252" i="40" s="1"/>
  <c r="J253" i="40" s="1"/>
  <c r="J254" i="40" s="1"/>
  <c r="J255" i="40" s="1"/>
  <c r="J256" i="40" s="1"/>
  <c r="J257" i="40" s="1"/>
  <c r="J258" i="40" s="1"/>
  <c r="J259" i="40" s="1"/>
  <c r="J260" i="40" s="1"/>
  <c r="J261" i="40" s="1"/>
  <c r="J262" i="40" s="1"/>
  <c r="J263" i="40" s="1"/>
  <c r="J264" i="40" s="1"/>
  <c r="J265" i="40" s="1"/>
  <c r="J266" i="40" s="1"/>
  <c r="J267" i="40" s="1"/>
  <c r="J268" i="40" s="1"/>
  <c r="J269" i="40" s="1"/>
  <c r="J270" i="40" s="1"/>
  <c r="J271" i="40" s="1"/>
  <c r="J272" i="40" s="1"/>
  <c r="J273" i="40" s="1"/>
  <c r="J274" i="40" s="1"/>
  <c r="J275" i="40" s="1"/>
  <c r="J276" i="40" s="1"/>
  <c r="J277" i="40" s="1"/>
  <c r="J278" i="40" s="1"/>
  <c r="J279" i="40" s="1"/>
  <c r="J280" i="40" s="1"/>
  <c r="J281" i="40" s="1"/>
  <c r="J282" i="40" s="1"/>
  <c r="J283" i="40" s="1"/>
  <c r="J284" i="40" s="1"/>
  <c r="J285" i="40" s="1"/>
  <c r="J286" i="40" s="1"/>
  <c r="J287" i="40" s="1"/>
  <c r="J288" i="40" s="1"/>
  <c r="J289" i="40" s="1"/>
  <c r="J290" i="40" s="1"/>
  <c r="J291" i="40" s="1"/>
  <c r="J292" i="40" s="1"/>
  <c r="J293" i="40" s="1"/>
  <c r="J294" i="40" s="1"/>
  <c r="J295" i="40" s="1"/>
  <c r="J296" i="40" s="1"/>
  <c r="J297" i="40" s="1"/>
  <c r="J298" i="40" s="1"/>
  <c r="J299" i="40" s="1"/>
  <c r="J300" i="40" s="1"/>
  <c r="J301" i="40" s="1"/>
  <c r="J302" i="40" s="1"/>
  <c r="J303" i="40" s="1"/>
  <c r="J362" i="2"/>
  <c r="K362" i="2" s="1"/>
  <c r="K358" i="2"/>
  <c r="I212" i="7"/>
  <c r="G35" i="44"/>
  <c r="H35" i="44"/>
  <c r="N38" i="26"/>
  <c r="I340" i="36"/>
  <c r="J340" i="36" s="1"/>
  <c r="I66" i="36"/>
  <c r="J66" i="36" s="1"/>
  <c r="I154" i="27"/>
  <c r="J154" i="27" s="1"/>
  <c r="H189" i="34"/>
  <c r="I51" i="48" s="1"/>
  <c r="J51" i="48" s="1"/>
  <c r="J11" i="14"/>
  <c r="K11" i="14" s="1"/>
  <c r="R11" i="14" s="1"/>
  <c r="E29" i="45"/>
  <c r="I31" i="36"/>
  <c r="J31" i="36" s="1"/>
  <c r="J436" i="33"/>
  <c r="I118" i="27"/>
  <c r="J118" i="27" s="1"/>
  <c r="K355" i="7"/>
  <c r="J359" i="7"/>
  <c r="K359" i="7" s="1"/>
  <c r="O489" i="2"/>
  <c r="H30" i="45"/>
  <c r="G30" i="45"/>
  <c r="I259" i="27"/>
  <c r="J259" i="27" s="1"/>
  <c r="G32" i="45"/>
  <c r="H32" i="45"/>
  <c r="G16" i="44"/>
  <c r="H16" i="44"/>
  <c r="M86" i="9"/>
  <c r="O86" i="9"/>
  <c r="K391" i="10"/>
  <c r="J396" i="10"/>
  <c r="K396" i="10" s="1"/>
  <c r="O210" i="12"/>
  <c r="O490" i="12" s="1"/>
  <c r="K492" i="12" s="1"/>
  <c r="M210" i="12"/>
  <c r="G797" i="26"/>
  <c r="J797" i="26" s="1"/>
  <c r="P551" i="26"/>
  <c r="F1033" i="15"/>
  <c r="G1033" i="15" s="1"/>
  <c r="F722" i="15"/>
  <c r="G722" i="15" s="1"/>
  <c r="G404" i="15"/>
  <c r="I44" i="27"/>
  <c r="J44" i="27" s="1"/>
  <c r="K402" i="9"/>
  <c r="J407" i="9"/>
  <c r="K407" i="9" s="1"/>
  <c r="A157" i="40"/>
  <c r="I17" i="14"/>
  <c r="J17" i="14" s="1"/>
  <c r="K17" i="14" s="1"/>
  <c r="R17" i="14" s="1"/>
  <c r="F130" i="28" s="1"/>
  <c r="G130" i="28" s="1"/>
  <c r="I161" i="36"/>
  <c r="J161" i="36" s="1"/>
  <c r="J481" i="7"/>
  <c r="K481" i="7" s="1"/>
  <c r="I250" i="36"/>
  <c r="J250" i="36" s="1"/>
  <c r="I375" i="36"/>
  <c r="Q375" i="36" s="1"/>
  <c r="R375" i="36" s="1"/>
  <c r="J484" i="2"/>
  <c r="K484" i="2" s="1"/>
  <c r="I304" i="36"/>
  <c r="J304" i="36" s="1"/>
  <c r="I125" i="36"/>
  <c r="J125" i="36" s="1"/>
  <c r="I163" i="38"/>
  <c r="J163" i="38" s="1"/>
  <c r="F863" i="15"/>
  <c r="I128" i="27"/>
  <c r="J128" i="27" s="1"/>
  <c r="I190" i="27"/>
  <c r="J190" i="27" s="1"/>
  <c r="F815" i="15"/>
  <c r="G815" i="15" s="1"/>
  <c r="G814" i="15"/>
  <c r="J26" i="14"/>
  <c r="K26" i="14" s="1"/>
  <c r="R26" i="14" s="1"/>
  <c r="J188" i="26"/>
  <c r="J190" i="26" s="1"/>
  <c r="P190" i="26" s="1"/>
  <c r="G498" i="26"/>
  <c r="G500" i="26" s="1"/>
  <c r="I501" i="26" s="1"/>
  <c r="J501" i="26" s="1"/>
  <c r="G505" i="26" s="1"/>
  <c r="J505" i="26" s="1"/>
  <c r="J506" i="26" s="1"/>
  <c r="P598" i="26"/>
  <c r="G798" i="26"/>
  <c r="G801" i="26" s="1"/>
  <c r="J801" i="26" s="1"/>
  <c r="J803" i="26" s="1"/>
  <c r="J363" i="12"/>
  <c r="K363" i="12" s="1"/>
  <c r="K359" i="12"/>
  <c r="I236" i="27"/>
  <c r="M258" i="9"/>
  <c r="K258" i="9"/>
  <c r="O258" i="9"/>
  <c r="J465" i="13"/>
  <c r="K465" i="13" s="1"/>
  <c r="I295" i="27"/>
  <c r="J295" i="27" s="1"/>
  <c r="I55" i="27"/>
  <c r="J55" i="27" s="1"/>
  <c r="H122" i="51"/>
  <c r="H124" i="51" s="1"/>
  <c r="G155" i="40"/>
  <c r="G156" i="40" s="1"/>
  <c r="G157" i="40" s="1"/>
  <c r="G158" i="40" s="1"/>
  <c r="G159" i="40" s="1"/>
  <c r="G160" i="40" s="1"/>
  <c r="G161" i="40" s="1"/>
  <c r="G162" i="40" s="1"/>
  <c r="G163" i="40" s="1"/>
  <c r="G164" i="40" s="1"/>
  <c r="G165" i="40" s="1"/>
  <c r="G166" i="40" s="1"/>
  <c r="G167" i="40" s="1"/>
  <c r="G168" i="40" s="1"/>
  <c r="G169" i="40" s="1"/>
  <c r="G170" i="40" s="1"/>
  <c r="G171" i="40" s="1"/>
  <c r="G172" i="40" s="1"/>
  <c r="G173" i="40" s="1"/>
  <c r="G174" i="40" s="1"/>
  <c r="G175" i="40" s="1"/>
  <c r="G176" i="40" s="1"/>
  <c r="G177" i="40" s="1"/>
  <c r="G178" i="40" s="1"/>
  <c r="G179" i="40" s="1"/>
  <c r="G180" i="40" s="1"/>
  <c r="G181" i="40" s="1"/>
  <c r="G182" i="40" s="1"/>
  <c r="G183" i="40" s="1"/>
  <c r="G184" i="40" s="1"/>
  <c r="G185" i="40" s="1"/>
  <c r="G186" i="40" s="1"/>
  <c r="G187" i="40" s="1"/>
  <c r="G188" i="40" s="1"/>
  <c r="G189" i="40" s="1"/>
  <c r="G190" i="40" s="1"/>
  <c r="G191" i="40" s="1"/>
  <c r="G192" i="40" s="1"/>
  <c r="G193" i="40" s="1"/>
  <c r="G194" i="40" s="1"/>
  <c r="G195" i="40" s="1"/>
  <c r="G196" i="40" s="1"/>
  <c r="G197" i="40" s="1"/>
  <c r="G198" i="40" s="1"/>
  <c r="G199" i="40" s="1"/>
  <c r="G200" i="40" s="1"/>
  <c r="G201" i="40" s="1"/>
  <c r="G202" i="40" s="1"/>
  <c r="G203" i="40" s="1"/>
  <c r="G204" i="40" s="1"/>
  <c r="G205" i="40" s="1"/>
  <c r="G206" i="40" s="1"/>
  <c r="G207" i="40" s="1"/>
  <c r="G208" i="40" s="1"/>
  <c r="G209" i="40" s="1"/>
  <c r="G210" i="40" s="1"/>
  <c r="G211" i="40" s="1"/>
  <c r="G212" i="40" s="1"/>
  <c r="G213" i="40" s="1"/>
  <c r="G214" i="40" s="1"/>
  <c r="G215" i="40" s="1"/>
  <c r="G216" i="40" s="1"/>
  <c r="G217" i="40" s="1"/>
  <c r="G218" i="40" s="1"/>
  <c r="G219" i="40" s="1"/>
  <c r="G220" i="40" s="1"/>
  <c r="G221" i="40" s="1"/>
  <c r="G222" i="40" s="1"/>
  <c r="G223" i="40" s="1"/>
  <c r="G224" i="40" s="1"/>
  <c r="G225" i="40" s="1"/>
  <c r="G226" i="40" s="1"/>
  <c r="G227" i="40" s="1"/>
  <c r="G228" i="40" s="1"/>
  <c r="G229" i="40" s="1"/>
  <c r="G230" i="40" s="1"/>
  <c r="G231" i="40" s="1"/>
  <c r="G232" i="40" s="1"/>
  <c r="G233" i="40" s="1"/>
  <c r="G234" i="40" s="1"/>
  <c r="G235" i="40" s="1"/>
  <c r="G236" i="40" s="1"/>
  <c r="G237" i="40" s="1"/>
  <c r="G238" i="40" s="1"/>
  <c r="G239" i="40" s="1"/>
  <c r="G240" i="40" s="1"/>
  <c r="G241" i="40" s="1"/>
  <c r="G242" i="40" s="1"/>
  <c r="G243" i="40" s="1"/>
  <c r="G244" i="40" s="1"/>
  <c r="G245" i="40" s="1"/>
  <c r="G246" i="40" s="1"/>
  <c r="G247" i="40" s="1"/>
  <c r="G248" i="40" s="1"/>
  <c r="G249" i="40" s="1"/>
  <c r="G250" i="40" s="1"/>
  <c r="G251" i="40" s="1"/>
  <c r="G252" i="40" s="1"/>
  <c r="G253" i="40" s="1"/>
  <c r="G254" i="40" s="1"/>
  <c r="G255" i="40" s="1"/>
  <c r="G256" i="40" s="1"/>
  <c r="G257" i="40" s="1"/>
  <c r="G258" i="40" s="1"/>
  <c r="G259" i="40" s="1"/>
  <c r="G260" i="40" s="1"/>
  <c r="G261" i="40" s="1"/>
  <c r="G262" i="40" s="1"/>
  <c r="G263" i="40" s="1"/>
  <c r="G264" i="40" s="1"/>
  <c r="G265" i="40" s="1"/>
  <c r="G266" i="40" s="1"/>
  <c r="G267" i="40" s="1"/>
  <c r="G268" i="40" s="1"/>
  <c r="G269" i="40" s="1"/>
  <c r="G270" i="40" s="1"/>
  <c r="G271" i="40" s="1"/>
  <c r="G272" i="40" s="1"/>
  <c r="G273" i="40" s="1"/>
  <c r="G274" i="40" s="1"/>
  <c r="G275" i="40" s="1"/>
  <c r="G276" i="40" s="1"/>
  <c r="G277" i="40" s="1"/>
  <c r="G278" i="40" s="1"/>
  <c r="G279" i="40" s="1"/>
  <c r="G280" i="40" s="1"/>
  <c r="G281" i="40" s="1"/>
  <c r="G282" i="40" s="1"/>
  <c r="G283" i="40" s="1"/>
  <c r="G284" i="40" s="1"/>
  <c r="G285" i="40" s="1"/>
  <c r="G286" i="40" s="1"/>
  <c r="G287" i="40" s="1"/>
  <c r="G288" i="40" s="1"/>
  <c r="G289" i="40" s="1"/>
  <c r="G290" i="40" s="1"/>
  <c r="G291" i="40" s="1"/>
  <c r="G292" i="40" s="1"/>
  <c r="G293" i="40" s="1"/>
  <c r="G294" i="40" s="1"/>
  <c r="G295" i="40" s="1"/>
  <c r="G296" i="40" s="1"/>
  <c r="G297" i="40" s="1"/>
  <c r="G298" i="40" s="1"/>
  <c r="G299" i="40" s="1"/>
  <c r="G300" i="40" s="1"/>
  <c r="G301" i="40" s="1"/>
  <c r="G302" i="40" s="1"/>
  <c r="G303" i="40" s="1"/>
  <c r="I411" i="36"/>
  <c r="I428" i="36" s="1"/>
  <c r="J428" i="36" s="1"/>
  <c r="I393" i="36"/>
  <c r="J393" i="36" s="1"/>
  <c r="F48" i="28"/>
  <c r="G48" i="28" s="1"/>
  <c r="G50" i="28" s="1"/>
  <c r="E51" i="28" s="1"/>
  <c r="G51" i="28" s="1"/>
  <c r="G53" i="28" s="1"/>
  <c r="G54" i="28" s="1"/>
  <c r="J517" i="10"/>
  <c r="K517" i="10" s="1"/>
  <c r="I88" i="36"/>
  <c r="J88" i="36" s="1"/>
  <c r="I81" i="27"/>
  <c r="J81" i="27" s="1"/>
  <c r="I360" i="53"/>
  <c r="G13" i="31"/>
  <c r="F1202" i="15"/>
  <c r="G1202" i="15" s="1"/>
  <c r="F1206" i="15" s="1"/>
  <c r="G1206" i="15" s="1"/>
  <c r="G1207" i="15" s="1"/>
  <c r="G1208" i="15" s="1"/>
  <c r="H271" i="30"/>
  <c r="E583" i="15"/>
  <c r="G583" i="15" s="1"/>
  <c r="G584" i="15" s="1"/>
  <c r="K259" i="60" s="1"/>
  <c r="M259" i="60" s="1"/>
  <c r="N259" i="60" s="1"/>
  <c r="E14" i="36"/>
  <c r="G14" i="36" s="1"/>
  <c r="G15" i="36" s="1"/>
  <c r="I197" i="36"/>
  <c r="J197" i="36" s="1"/>
  <c r="I214" i="36"/>
  <c r="I286" i="36"/>
  <c r="J286" i="36" s="1"/>
  <c r="I268" i="36"/>
  <c r="J268" i="36" s="1"/>
  <c r="I322" i="36"/>
  <c r="J322" i="36" s="1"/>
  <c r="Q251" i="37"/>
  <c r="R251" i="37" s="1"/>
  <c r="J251" i="37"/>
  <c r="Q418" i="33"/>
  <c r="R418" i="33" s="1"/>
  <c r="Q311" i="33"/>
  <c r="R311" i="33" s="1"/>
  <c r="J311" i="33"/>
  <c r="F448" i="15"/>
  <c r="G448" i="15" s="1"/>
  <c r="G878" i="15"/>
  <c r="E879" i="15" s="1"/>
  <c r="G879" i="15" s="1"/>
  <c r="G880" i="15" s="1"/>
  <c r="F497" i="15"/>
  <c r="G497" i="15" s="1"/>
  <c r="J376" i="37"/>
  <c r="Q376" i="37"/>
  <c r="R376" i="37" s="1"/>
  <c r="E13" i="28"/>
  <c r="G13" i="28" s="1"/>
  <c r="G14" i="28" s="1"/>
  <c r="G15" i="28" s="1"/>
  <c r="G437" i="34"/>
  <c r="H437" i="34" s="1"/>
  <c r="H438" i="34" s="1"/>
  <c r="J293" i="33"/>
  <c r="Q293" i="33"/>
  <c r="R293" i="33" s="1"/>
  <c r="H53" i="34"/>
  <c r="G68" i="34"/>
  <c r="I42" i="32"/>
  <c r="J42" i="32" s="1"/>
  <c r="I77" i="32"/>
  <c r="J77" i="32" s="1"/>
  <c r="I53" i="32"/>
  <c r="J53" i="32" s="1"/>
  <c r="I122" i="32"/>
  <c r="J122" i="32" s="1"/>
  <c r="I112" i="32"/>
  <c r="J112" i="32" s="1"/>
  <c r="I89" i="32"/>
  <c r="J89" i="32" s="1"/>
  <c r="J454" i="33"/>
  <c r="I471" i="33"/>
  <c r="J471" i="33" s="1"/>
  <c r="F480" i="15"/>
  <c r="G480" i="15" s="1"/>
  <c r="E888" i="28"/>
  <c r="G888" i="28" s="1"/>
  <c r="G889" i="28" s="1"/>
  <c r="F1066" i="15"/>
  <c r="G1066" i="15" s="1"/>
  <c r="G1067" i="15" s="1"/>
  <c r="G364" i="34"/>
  <c r="H364" i="34" s="1"/>
  <c r="H365" i="34" s="1"/>
  <c r="H366" i="34" s="1"/>
  <c r="H405" i="34"/>
  <c r="F945" i="28"/>
  <c r="G945" i="28" s="1"/>
  <c r="G946" i="28" s="1"/>
  <c r="J435" i="7"/>
  <c r="K435" i="7" s="1"/>
  <c r="J438" i="2"/>
  <c r="K438" i="2" s="1"/>
  <c r="J419" i="13"/>
  <c r="K419" i="13" s="1"/>
  <c r="K883" i="26"/>
  <c r="M883" i="26" s="1"/>
  <c r="N883" i="26" s="1"/>
  <c r="J54" i="21"/>
  <c r="I80" i="48"/>
  <c r="J80" i="48" s="1"/>
  <c r="J439" i="12"/>
  <c r="K439" i="12" s="1"/>
  <c r="J471" i="10"/>
  <c r="K471" i="10" s="1"/>
  <c r="J483" i="9"/>
  <c r="K483" i="9" s="1"/>
  <c r="E801" i="28"/>
  <c r="G801" i="28" s="1"/>
  <c r="G802" i="28" s="1"/>
  <c r="E891" i="15"/>
  <c r="G891" i="15" s="1"/>
  <c r="G892" i="15" s="1"/>
  <c r="F299" i="15"/>
  <c r="G299" i="15" s="1"/>
  <c r="F223" i="15"/>
  <c r="G223" i="15" s="1"/>
  <c r="F349" i="15"/>
  <c r="G349" i="15" s="1"/>
  <c r="F205" i="15"/>
  <c r="G205" i="15" s="1"/>
  <c r="F164" i="15"/>
  <c r="G164" i="15" s="1"/>
  <c r="F526" i="15"/>
  <c r="G526" i="15" s="1"/>
  <c r="F241" i="15"/>
  <c r="G241" i="15" s="1"/>
  <c r="F144" i="15"/>
  <c r="G144" i="15" s="1"/>
  <c r="F397" i="15"/>
  <c r="G397" i="15" s="1"/>
  <c r="F186" i="15"/>
  <c r="G186" i="15" s="1"/>
  <c r="E26" i="15"/>
  <c r="G26" i="15" s="1"/>
  <c r="G27" i="15" s="1"/>
  <c r="G28" i="15" s="1"/>
  <c r="E1019" i="15"/>
  <c r="G1019" i="15" s="1"/>
  <c r="G1020" i="15" s="1"/>
  <c r="G1021" i="15" s="1"/>
  <c r="K502" i="26" s="1"/>
  <c r="M502" i="26" s="1"/>
  <c r="N502" i="26" s="1"/>
  <c r="J924" i="15"/>
  <c r="L924" i="15" s="1"/>
  <c r="L925" i="15" s="1"/>
  <c r="I54" i="30"/>
  <c r="J54" i="30" s="1"/>
  <c r="I343" i="30"/>
  <c r="J343" i="30" s="1"/>
  <c r="I414" i="30"/>
  <c r="I432" i="30"/>
  <c r="J432" i="30" s="1"/>
  <c r="I253" i="30"/>
  <c r="I325" i="30"/>
  <c r="J325" i="30" s="1"/>
  <c r="I178" i="30"/>
  <c r="I307" i="30"/>
  <c r="I34" i="30"/>
  <c r="J34" i="30" s="1"/>
  <c r="I379" i="30"/>
  <c r="J379" i="30" s="1"/>
  <c r="I199" i="30"/>
  <c r="J199" i="30" s="1"/>
  <c r="I450" i="30"/>
  <c r="I361" i="30"/>
  <c r="J361" i="30" s="1"/>
  <c r="I271" i="30"/>
  <c r="I289" i="30"/>
  <c r="I396" i="30"/>
  <c r="J351" i="53"/>
  <c r="J331" i="2"/>
  <c r="K331" i="2" s="1"/>
  <c r="J342" i="7"/>
  <c r="K342" i="7" s="1"/>
  <c r="J64" i="20"/>
  <c r="K64" i="20" s="1"/>
  <c r="I343" i="47"/>
  <c r="J343" i="47" s="1"/>
  <c r="I482" i="30"/>
  <c r="J482" i="30" s="1"/>
  <c r="J483" i="30" s="1"/>
  <c r="J332" i="12"/>
  <c r="K332" i="12" s="1"/>
  <c r="J333" i="13"/>
  <c r="K333" i="13" s="1"/>
  <c r="J378" i="10"/>
  <c r="K378" i="10" s="1"/>
  <c r="I180" i="31"/>
  <c r="J180" i="31" s="1"/>
  <c r="I382" i="31"/>
  <c r="J382" i="31" s="1"/>
  <c r="I453" i="31"/>
  <c r="I143" i="31"/>
  <c r="J143" i="31" s="1"/>
  <c r="I70" i="31"/>
  <c r="J70" i="31" s="1"/>
  <c r="I346" i="31"/>
  <c r="J346" i="31" s="1"/>
  <c r="I292" i="31"/>
  <c r="I90" i="31"/>
  <c r="J90" i="31" s="1"/>
  <c r="I54" i="31"/>
  <c r="J54" i="31" s="1"/>
  <c r="I417" i="31"/>
  <c r="I127" i="31"/>
  <c r="J127" i="31" s="1"/>
  <c r="I364" i="31"/>
  <c r="J364" i="31" s="1"/>
  <c r="I310" i="31"/>
  <c r="I328" i="31"/>
  <c r="J328" i="31" s="1"/>
  <c r="I274" i="31"/>
  <c r="I163" i="31"/>
  <c r="J163" i="31" s="1"/>
  <c r="I201" i="31"/>
  <c r="J201" i="31" s="1"/>
  <c r="I107" i="31"/>
  <c r="J107" i="31" s="1"/>
  <c r="I256" i="31"/>
  <c r="I435" i="31"/>
  <c r="J435" i="31" s="1"/>
  <c r="I34" i="31"/>
  <c r="J34" i="31" s="1"/>
  <c r="I399" i="31"/>
  <c r="E811" i="28"/>
  <c r="G812" i="28"/>
  <c r="E14" i="33"/>
  <c r="G14" i="33" s="1"/>
  <c r="G15" i="33" s="1"/>
  <c r="E898" i="28"/>
  <c r="G898" i="28" s="1"/>
  <c r="G899" i="28" s="1"/>
  <c r="G900" i="28" s="1"/>
  <c r="G380" i="34"/>
  <c r="H380" i="34" s="1"/>
  <c r="H381" i="34" s="1"/>
  <c r="E489" i="28"/>
  <c r="G489" i="28" s="1"/>
  <c r="G490" i="28" s="1"/>
  <c r="Q233" i="38"/>
  <c r="R233" i="38" s="1"/>
  <c r="J233" i="38"/>
  <c r="G1119" i="15"/>
  <c r="F385" i="15"/>
  <c r="G385" i="15" s="1"/>
  <c r="F416" i="15"/>
  <c r="G416" i="15" s="1"/>
  <c r="F432" i="15"/>
  <c r="G432" i="15" s="1"/>
  <c r="F764" i="28"/>
  <c r="G764" i="28" s="1"/>
  <c r="G765" i="28" s="1"/>
  <c r="F11" i="15"/>
  <c r="G11" i="15" s="1"/>
  <c r="G12" i="15" s="1"/>
  <c r="F617" i="15"/>
  <c r="G617" i="15" s="1"/>
  <c r="F828" i="28"/>
  <c r="G828" i="28" s="1"/>
  <c r="F524" i="28"/>
  <c r="G524" i="28" s="1"/>
  <c r="E1239" i="15"/>
  <c r="G1239" i="15" s="1"/>
  <c r="G1240" i="15" s="1"/>
  <c r="F525" i="15"/>
  <c r="G525" i="15" s="1"/>
  <c r="F396" i="15"/>
  <c r="G396" i="15" s="1"/>
  <c r="F163" i="15"/>
  <c r="G163" i="15" s="1"/>
  <c r="F143" i="15"/>
  <c r="G143" i="15" s="1"/>
  <c r="F544" i="15"/>
  <c r="G544" i="15" s="1"/>
  <c r="F351" i="28"/>
  <c r="G351" i="28" s="1"/>
  <c r="F280" i="28"/>
  <c r="G280" i="28" s="1"/>
  <c r="F464" i="28"/>
  <c r="G464" i="28" s="1"/>
  <c r="F298" i="15"/>
  <c r="G298" i="15" s="1"/>
  <c r="F348" i="15"/>
  <c r="G348" i="15" s="1"/>
  <c r="F150" i="28"/>
  <c r="G150" i="28" s="1"/>
  <c r="F1377" i="15"/>
  <c r="G1377" i="15" s="1"/>
  <c r="F131" i="28"/>
  <c r="G131" i="28" s="1"/>
  <c r="F329" i="28"/>
  <c r="G329" i="28" s="1"/>
  <c r="J376" i="38"/>
  <c r="G115" i="15"/>
  <c r="F125" i="15"/>
  <c r="G420" i="34"/>
  <c r="H420" i="34" s="1"/>
  <c r="H421" i="34" s="1"/>
  <c r="G38" i="34"/>
  <c r="H38" i="34" s="1"/>
  <c r="H39" i="34" s="1"/>
  <c r="H40" i="34" s="1"/>
  <c r="E789" i="28"/>
  <c r="G789" i="28" s="1"/>
  <c r="G790" i="28" s="1"/>
  <c r="G396" i="34"/>
  <c r="H396" i="34" s="1"/>
  <c r="H397" i="34" s="1"/>
  <c r="H55" i="34"/>
  <c r="G70" i="34"/>
  <c r="I148" i="39"/>
  <c r="J148" i="39" s="1"/>
  <c r="J151" i="39" s="1"/>
  <c r="I170" i="39"/>
  <c r="J170" i="39" s="1"/>
  <c r="I32" i="39"/>
  <c r="E935" i="15"/>
  <c r="G935" i="15" s="1"/>
  <c r="G936" i="15" s="1"/>
  <c r="I126" i="39"/>
  <c r="J126" i="39" s="1"/>
  <c r="J129" i="39" s="1"/>
  <c r="I57" i="39"/>
  <c r="I103" i="39"/>
  <c r="J103" i="39" s="1"/>
  <c r="J105" i="39" s="1"/>
  <c r="E778" i="28"/>
  <c r="G778" i="28" s="1"/>
  <c r="G779" i="28" s="1"/>
  <c r="G69" i="34"/>
  <c r="H54" i="34"/>
  <c r="E902" i="15"/>
  <c r="G902" i="15" s="1"/>
  <c r="G903" i="15" s="1"/>
  <c r="E63" i="15"/>
  <c r="G63" i="15" s="1"/>
  <c r="G65" i="15" s="1"/>
  <c r="G66" i="15" s="1"/>
  <c r="G855" i="28"/>
  <c r="G858" i="28" s="1"/>
  <c r="G866" i="28" s="1"/>
  <c r="F1090" i="15"/>
  <c r="G1090" i="15" s="1"/>
  <c r="G1091" i="15" s="1"/>
  <c r="I31" i="32" l="1"/>
  <c r="J31" i="32" s="1"/>
  <c r="I107" i="27"/>
  <c r="J107" i="27" s="1"/>
  <c r="I121" i="32"/>
  <c r="J121" i="32" s="1"/>
  <c r="I269" i="27"/>
  <c r="J269" i="27" s="1"/>
  <c r="J275" i="27" s="1"/>
  <c r="H276" i="27" s="1"/>
  <c r="J91" i="32"/>
  <c r="H92" i="32" s="1"/>
  <c r="J92" i="32" s="1"/>
  <c r="J93" i="32" s="1"/>
  <c r="J56" i="32"/>
  <c r="H57" i="32" s="1"/>
  <c r="J57" i="32" s="1"/>
  <c r="J58" i="32" s="1"/>
  <c r="J70" i="39"/>
  <c r="I251" i="27"/>
  <c r="J251" i="27" s="1"/>
  <c r="J262" i="27" s="1"/>
  <c r="H263" i="27" s="1"/>
  <c r="J263" i="27" s="1"/>
  <c r="J264" i="27" s="1"/>
  <c r="I179" i="27"/>
  <c r="J179" i="27" s="1"/>
  <c r="I100" i="32"/>
  <c r="J100" i="32" s="1"/>
  <c r="J114" i="32" s="1"/>
  <c r="H115" i="32" s="1"/>
  <c r="J115" i="32" s="1"/>
  <c r="J116" i="32" s="1"/>
  <c r="I65" i="32"/>
  <c r="J65" i="32" s="1"/>
  <c r="J79" i="32" s="1"/>
  <c r="H80" i="32" s="1"/>
  <c r="J80" i="32" s="1"/>
  <c r="J81" i="32" s="1"/>
  <c r="J94" i="32" s="1"/>
  <c r="I86" i="32"/>
  <c r="J86" i="32" s="1"/>
  <c r="F641" i="28"/>
  <c r="G641" i="28" s="1"/>
  <c r="G640" i="28"/>
  <c r="J95" i="27"/>
  <c r="H96" i="27" s="1"/>
  <c r="J96" i="27" s="1"/>
  <c r="J97" i="27" s="1"/>
  <c r="J376" i="9"/>
  <c r="K376" i="9" s="1"/>
  <c r="O376" i="9" s="1"/>
  <c r="Q215" i="37"/>
  <c r="R215" i="37" s="1"/>
  <c r="Q90" i="37"/>
  <c r="R90" i="37" s="1"/>
  <c r="R95" i="37" s="1"/>
  <c r="J269" i="38"/>
  <c r="J257" i="33"/>
  <c r="I34" i="27"/>
  <c r="J34" i="27" s="1"/>
  <c r="J47" i="27" s="1"/>
  <c r="H48" i="27" s="1"/>
  <c r="J48" i="27" s="1"/>
  <c r="J49" i="27" s="1"/>
  <c r="I429" i="38"/>
  <c r="J429" i="38" s="1"/>
  <c r="F495" i="28"/>
  <c r="G495" i="28" s="1"/>
  <c r="F942" i="15"/>
  <c r="G942" i="15" s="1"/>
  <c r="J413" i="9"/>
  <c r="K413" i="9" s="1"/>
  <c r="J275" i="33"/>
  <c r="J357" i="36"/>
  <c r="Q400" i="33"/>
  <c r="R400" i="33" s="1"/>
  <c r="J232" i="36"/>
  <c r="J45" i="32"/>
  <c r="H46" i="32" s="1"/>
  <c r="J46" i="32" s="1"/>
  <c r="J47" i="32" s="1"/>
  <c r="J173" i="39"/>
  <c r="H174" i="39" s="1"/>
  <c r="J174" i="39" s="1"/>
  <c r="J175" i="39" s="1"/>
  <c r="K245" i="57"/>
  <c r="M245" i="57" s="1"/>
  <c r="K245" i="60"/>
  <c r="M245" i="60" s="1"/>
  <c r="N245" i="60" s="1"/>
  <c r="J367" i="2"/>
  <c r="K367" i="2" s="1"/>
  <c r="J375" i="36"/>
  <c r="J402" i="10"/>
  <c r="K402" i="10" s="1"/>
  <c r="J233" i="37"/>
  <c r="R85" i="37"/>
  <c r="J215" i="38"/>
  <c r="Q358" i="38"/>
  <c r="R358" i="38" s="1"/>
  <c r="J405" i="58"/>
  <c r="H406" i="58" s="1"/>
  <c r="J406" i="58" s="1"/>
  <c r="J407" i="58" s="1"/>
  <c r="J317" i="2"/>
  <c r="K317" i="2" s="1"/>
  <c r="I429" i="37"/>
  <c r="J429" i="37" s="1"/>
  <c r="J319" i="13"/>
  <c r="K319" i="13" s="1"/>
  <c r="I199" i="27"/>
  <c r="J199" i="27" s="1"/>
  <c r="J203" i="27" s="1"/>
  <c r="H204" i="27" s="1"/>
  <c r="J204" i="27" s="1"/>
  <c r="J205" i="27" s="1"/>
  <c r="I70" i="27"/>
  <c r="J70" i="27" s="1"/>
  <c r="J83" i="27" s="1"/>
  <c r="H84" i="27" s="1"/>
  <c r="J84" i="27" s="1"/>
  <c r="J85" i="27" s="1"/>
  <c r="J98" i="27" s="1"/>
  <c r="I287" i="27"/>
  <c r="J287" i="27" s="1"/>
  <c r="J298" i="27" s="1"/>
  <c r="H299" i="27" s="1"/>
  <c r="J299" i="27" s="1"/>
  <c r="J300" i="27" s="1"/>
  <c r="I143" i="27"/>
  <c r="J143" i="27" s="1"/>
  <c r="J156" i="27" s="1"/>
  <c r="Q251" i="38"/>
  <c r="R251" i="38" s="1"/>
  <c r="Q358" i="37"/>
  <c r="R358" i="37" s="1"/>
  <c r="I305" i="27"/>
  <c r="J305" i="27" s="1"/>
  <c r="J311" i="27" s="1"/>
  <c r="H312" i="27" s="1"/>
  <c r="J312" i="27" s="1"/>
  <c r="J313" i="27" s="1"/>
  <c r="I127" i="27"/>
  <c r="J127" i="27" s="1"/>
  <c r="J131" i="27" s="1"/>
  <c r="H132" i="27" s="1"/>
  <c r="J132" i="27" s="1"/>
  <c r="J133" i="27" s="1"/>
  <c r="J328" i="53"/>
  <c r="K328" i="53" s="1"/>
  <c r="I54" i="27"/>
  <c r="J54" i="27" s="1"/>
  <c r="J58" i="27" s="1"/>
  <c r="H59" i="27" s="1"/>
  <c r="J59" i="27" s="1"/>
  <c r="J60" i="27" s="1"/>
  <c r="J61" i="27" s="1"/>
  <c r="J210" i="53"/>
  <c r="K210" i="53" s="1"/>
  <c r="K259" i="57"/>
  <c r="J364" i="10"/>
  <c r="K364" i="10" s="1"/>
  <c r="J368" i="12"/>
  <c r="K368" i="12" s="1"/>
  <c r="J277" i="27"/>
  <c r="J278" i="27" s="1"/>
  <c r="J125" i="32"/>
  <c r="H126" i="32" s="1"/>
  <c r="J126" i="32" s="1"/>
  <c r="J127" i="32" s="1"/>
  <c r="I163" i="27"/>
  <c r="J163" i="27" s="1"/>
  <c r="J167" i="27" s="1"/>
  <c r="H168" i="27" s="1"/>
  <c r="J168" i="27" s="1"/>
  <c r="J169" i="27" s="1"/>
  <c r="I215" i="27"/>
  <c r="J215" i="27" s="1"/>
  <c r="J226" i="27" s="1"/>
  <c r="H227" i="27" s="1"/>
  <c r="J227" i="27" s="1"/>
  <c r="J228" i="27" s="1"/>
  <c r="I297" i="47"/>
  <c r="J297" i="47" s="1"/>
  <c r="J97" i="30"/>
  <c r="J192" i="27"/>
  <c r="I231" i="31"/>
  <c r="J231" i="31" s="1"/>
  <c r="J234" i="31" s="1"/>
  <c r="H235" i="31" s="1"/>
  <c r="J235" i="31" s="1"/>
  <c r="J236" i="31" s="1"/>
  <c r="I153" i="30"/>
  <c r="J153" i="30" s="1"/>
  <c r="J155" i="30" s="1"/>
  <c r="H156" i="30" s="1"/>
  <c r="J156" i="30" s="1"/>
  <c r="J157" i="30" s="1"/>
  <c r="J328" i="7"/>
  <c r="K328" i="7" s="1"/>
  <c r="I233" i="27"/>
  <c r="J233" i="27" s="1"/>
  <c r="J239" i="27" s="1"/>
  <c r="J241" i="27" s="1"/>
  <c r="J425" i="58"/>
  <c r="I461" i="58"/>
  <c r="J461" i="58" s="1"/>
  <c r="I462" i="58"/>
  <c r="J462" i="58" s="1"/>
  <c r="J426" i="58"/>
  <c r="I473" i="58"/>
  <c r="I450" i="58"/>
  <c r="J450" i="58" s="1"/>
  <c r="J454" i="58" s="1"/>
  <c r="J437" i="58"/>
  <c r="I419" i="58"/>
  <c r="J419" i="58" s="1"/>
  <c r="J420" i="58" s="1"/>
  <c r="H371" i="58"/>
  <c r="J371" i="58" s="1"/>
  <c r="J372" i="58" s="1"/>
  <c r="J385" i="58" s="1"/>
  <c r="J444" i="10"/>
  <c r="K444" i="10" s="1"/>
  <c r="J411" i="2"/>
  <c r="K411" i="2" s="1"/>
  <c r="I340" i="47"/>
  <c r="J340" i="47" s="1"/>
  <c r="J455" i="9"/>
  <c r="K455" i="9" s="1"/>
  <c r="J131" i="20"/>
  <c r="K131" i="20" s="1"/>
  <c r="K826" i="26"/>
  <c r="M826" i="26" s="1"/>
  <c r="N826" i="26" s="1"/>
  <c r="J405" i="53"/>
  <c r="G56" i="56" s="1"/>
  <c r="H56" i="56" s="1"/>
  <c r="J412" i="12"/>
  <c r="K412" i="12" s="1"/>
  <c r="J392" i="13"/>
  <c r="K392" i="13" s="1"/>
  <c r="J408" i="7"/>
  <c r="K408" i="7" s="1"/>
  <c r="K351" i="53"/>
  <c r="G52" i="56"/>
  <c r="H52" i="56" s="1"/>
  <c r="I144" i="53"/>
  <c r="K355" i="53"/>
  <c r="G53" i="56"/>
  <c r="H53" i="56" s="1"/>
  <c r="I140" i="53"/>
  <c r="I141" i="53"/>
  <c r="I142" i="53"/>
  <c r="I139" i="53"/>
  <c r="F162" i="15"/>
  <c r="G162" i="15" s="1"/>
  <c r="G172" i="15" s="1"/>
  <c r="I230" i="53"/>
  <c r="I194" i="53"/>
  <c r="G37" i="15"/>
  <c r="E38" i="15" s="1"/>
  <c r="G38" i="15" s="1"/>
  <c r="G40" i="15" s="1"/>
  <c r="G41" i="15" s="1"/>
  <c r="H164" i="15"/>
  <c r="G973" i="15"/>
  <c r="G981" i="15" s="1"/>
  <c r="E982" i="15" s="1"/>
  <c r="G982" i="15" s="1"/>
  <c r="G983" i="15" s="1"/>
  <c r="F987" i="15"/>
  <c r="G987" i="15" s="1"/>
  <c r="G994" i="15" s="1"/>
  <c r="J508" i="26"/>
  <c r="M506" i="26"/>
  <c r="N506" i="26" s="1"/>
  <c r="P506" i="26"/>
  <c r="D38" i="45"/>
  <c r="D37" i="44"/>
  <c r="D38" i="44" s="1"/>
  <c r="F703" i="28"/>
  <c r="G703" i="28" s="1"/>
  <c r="G711" i="28" s="1"/>
  <c r="E712" i="28" s="1"/>
  <c r="G712" i="28" s="1"/>
  <c r="G713" i="28" s="1"/>
  <c r="G715" i="28" s="1"/>
  <c r="F1059" i="28"/>
  <c r="G1059" i="28" s="1"/>
  <c r="F780" i="15"/>
  <c r="G780" i="15" s="1"/>
  <c r="F496" i="28"/>
  <c r="G496" i="28" s="1"/>
  <c r="F1030" i="15"/>
  <c r="G1030" i="15" s="1"/>
  <c r="F666" i="28"/>
  <c r="G666" i="28" s="1"/>
  <c r="F222" i="15"/>
  <c r="G222" i="15" s="1"/>
  <c r="F256" i="15"/>
  <c r="G256" i="15" s="1"/>
  <c r="G261" i="15" s="1"/>
  <c r="E262" i="15" s="1"/>
  <c r="G262" i="15" s="1"/>
  <c r="G263" i="15" s="1"/>
  <c r="J308" i="13" s="1"/>
  <c r="K308" i="13" s="1"/>
  <c r="F240" i="15"/>
  <c r="G240" i="15" s="1"/>
  <c r="F80" i="28"/>
  <c r="F909" i="28"/>
  <c r="G909" i="28" s="1"/>
  <c r="F1058" i="28"/>
  <c r="G1058" i="28" s="1"/>
  <c r="F594" i="28"/>
  <c r="G594" i="28" s="1"/>
  <c r="G590" i="15"/>
  <c r="G596" i="15" s="1"/>
  <c r="F598" i="15" s="1"/>
  <c r="G598" i="15" s="1"/>
  <c r="G600" i="15" s="1"/>
  <c r="G601" i="15" s="1"/>
  <c r="E603" i="15" s="1"/>
  <c r="F1182" i="15"/>
  <c r="G1182" i="15" s="1"/>
  <c r="F759" i="15"/>
  <c r="G759" i="15" s="1"/>
  <c r="F266" i="28"/>
  <c r="G266" i="28" s="1"/>
  <c r="G271" i="28" s="1"/>
  <c r="E272" i="28" s="1"/>
  <c r="G272" i="28" s="1"/>
  <c r="G273" i="28" s="1"/>
  <c r="G275" i="28" s="1"/>
  <c r="F525" i="28"/>
  <c r="G525" i="28" s="1"/>
  <c r="G531" i="28" s="1"/>
  <c r="F833" i="15"/>
  <c r="G833" i="15" s="1"/>
  <c r="F642" i="28"/>
  <c r="G642" i="28" s="1"/>
  <c r="F1181" i="15"/>
  <c r="G1181" i="15" s="1"/>
  <c r="F760" i="15"/>
  <c r="G760" i="15" s="1"/>
  <c r="F1140" i="15"/>
  <c r="G1140" i="15" s="1"/>
  <c r="F92" i="15"/>
  <c r="F667" i="28"/>
  <c r="G667" i="28" s="1"/>
  <c r="F687" i="28"/>
  <c r="G687" i="28" s="1"/>
  <c r="F693" i="28" s="1"/>
  <c r="G693" i="28" s="1"/>
  <c r="G694" i="28" s="1"/>
  <c r="E695" i="28" s="1"/>
  <c r="G695" i="28" s="1"/>
  <c r="G696" i="28" s="1"/>
  <c r="G698" i="28" s="1"/>
  <c r="F252" i="28"/>
  <c r="G252" i="28" s="1"/>
  <c r="G257" i="28" s="1"/>
  <c r="F720" i="28"/>
  <c r="G720" i="28" s="1"/>
  <c r="F185" i="15"/>
  <c r="G185" i="15" s="1"/>
  <c r="F238" i="28"/>
  <c r="G238" i="28" s="1"/>
  <c r="G243" i="28" s="1"/>
  <c r="F223" i="28"/>
  <c r="G223" i="28" s="1"/>
  <c r="F618" i="15"/>
  <c r="G618" i="15" s="1"/>
  <c r="G624" i="15" s="1"/>
  <c r="F206" i="28"/>
  <c r="G206" i="28" s="1"/>
  <c r="F204" i="15"/>
  <c r="G204" i="15" s="1"/>
  <c r="F571" i="28"/>
  <c r="G571" i="28" s="1"/>
  <c r="F813" i="15"/>
  <c r="G813" i="15" s="1"/>
  <c r="G822" i="15" s="1"/>
  <c r="E823" i="15" s="1"/>
  <c r="G823" i="15" s="1"/>
  <c r="G824" i="15" s="1"/>
  <c r="F664" i="15"/>
  <c r="G664" i="15" s="1"/>
  <c r="F189" i="28"/>
  <c r="G189" i="28" s="1"/>
  <c r="F171" i="28"/>
  <c r="G171" i="28" s="1"/>
  <c r="G687" i="15"/>
  <c r="F568" i="28"/>
  <c r="G568" i="28" s="1"/>
  <c r="F284" i="15"/>
  <c r="G284" i="15" s="1"/>
  <c r="G289" i="15" s="1"/>
  <c r="E290" i="15" s="1"/>
  <c r="G290" i="15" s="1"/>
  <c r="G291" i="15" s="1"/>
  <c r="G293" i="15" s="1"/>
  <c r="F597" i="28"/>
  <c r="G597" i="28" s="1"/>
  <c r="F735" i="15"/>
  <c r="G735" i="15" s="1"/>
  <c r="F270" i="15"/>
  <c r="G270" i="15" s="1"/>
  <c r="G275" i="15" s="1"/>
  <c r="F70" i="28"/>
  <c r="G70" i="28" s="1"/>
  <c r="G75" i="28" s="1"/>
  <c r="F60" i="28"/>
  <c r="G60" i="28" s="1"/>
  <c r="G65" i="28" s="1"/>
  <c r="F690" i="15"/>
  <c r="G690" i="15" s="1"/>
  <c r="F82" i="15"/>
  <c r="G82" i="15" s="1"/>
  <c r="G87" i="15" s="1"/>
  <c r="F796" i="15"/>
  <c r="G796" i="15" s="1"/>
  <c r="G804" i="15" s="1"/>
  <c r="F72" i="15"/>
  <c r="G72" i="15" s="1"/>
  <c r="G77" i="15" s="1"/>
  <c r="G661" i="15"/>
  <c r="H193" i="27"/>
  <c r="J193" i="27" s="1"/>
  <c r="J194" i="27" s="1"/>
  <c r="J411" i="36"/>
  <c r="F142" i="15"/>
  <c r="G142" i="15" s="1"/>
  <c r="E151" i="15" s="1"/>
  <c r="G151" i="15" s="1"/>
  <c r="G152" i="15" s="1"/>
  <c r="E42" i="56"/>
  <c r="F149" i="28"/>
  <c r="G149" i="28" s="1"/>
  <c r="G158" i="28" s="1"/>
  <c r="A158" i="40"/>
  <c r="I18" i="14"/>
  <c r="J18" i="14" s="1"/>
  <c r="K18" i="14" s="1"/>
  <c r="R18" i="14" s="1"/>
  <c r="I361" i="53"/>
  <c r="F832" i="15"/>
  <c r="G832" i="15" s="1"/>
  <c r="F719" i="28"/>
  <c r="G719" i="28" s="1"/>
  <c r="F638" i="28"/>
  <c r="G638" i="28" s="1"/>
  <c r="F731" i="15"/>
  <c r="G731" i="15" s="1"/>
  <c r="F1135" i="15"/>
  <c r="G1135" i="15" s="1"/>
  <c r="O212" i="7"/>
  <c r="O486" i="7" s="1"/>
  <c r="M212" i="7"/>
  <c r="E30" i="44"/>
  <c r="E36" i="44"/>
  <c r="I27" i="14"/>
  <c r="J27" i="14" s="1"/>
  <c r="K27" i="14" s="1"/>
  <c r="R27" i="14" s="1"/>
  <c r="F756" i="15" s="1"/>
  <c r="G756" i="15" s="1"/>
  <c r="G31" i="44"/>
  <c r="H31" i="44"/>
  <c r="J120" i="27"/>
  <c r="H121" i="27" s="1"/>
  <c r="J121" i="27" s="1"/>
  <c r="J122" i="27" s="1"/>
  <c r="G29" i="45"/>
  <c r="H29" i="45"/>
  <c r="E35" i="45"/>
  <c r="H34" i="44"/>
  <c r="G34" i="44"/>
  <c r="H33" i="44"/>
  <c r="G33" i="44"/>
  <c r="J447" i="10"/>
  <c r="K447" i="10" s="1"/>
  <c r="J415" i="12"/>
  <c r="K415" i="12" s="1"/>
  <c r="J458" i="9"/>
  <c r="K458" i="9" s="1"/>
  <c r="F1302" i="15"/>
  <c r="G1302" i="15" s="1"/>
  <c r="I163" i="47"/>
  <c r="J163" i="47" s="1"/>
  <c r="J395" i="13"/>
  <c r="K395" i="13" s="1"/>
  <c r="J414" i="2"/>
  <c r="K414" i="2" s="1"/>
  <c r="K841" i="26"/>
  <c r="M841" i="26" s="1"/>
  <c r="N841" i="26" s="1"/>
  <c r="J411" i="7"/>
  <c r="K411" i="7" s="1"/>
  <c r="J48" i="23"/>
  <c r="K48" i="23" s="1"/>
  <c r="E14" i="31"/>
  <c r="G14" i="31" s="1"/>
  <c r="G15" i="31" s="1"/>
  <c r="I91" i="36"/>
  <c r="J91" i="36" s="1"/>
  <c r="J93" i="36" s="1"/>
  <c r="H94" i="36" s="1"/>
  <c r="J94" i="36" s="1"/>
  <c r="J95" i="36" s="1"/>
  <c r="I401" i="36"/>
  <c r="J401" i="36" s="1"/>
  <c r="J404" i="36" s="1"/>
  <c r="I405" i="36" s="1"/>
  <c r="J405" i="36" s="1"/>
  <c r="J406" i="36" s="1"/>
  <c r="I365" i="36"/>
  <c r="Q365" i="36" s="1"/>
  <c r="R365" i="36" s="1"/>
  <c r="R368" i="36" s="1"/>
  <c r="I187" i="36"/>
  <c r="J187" i="36" s="1"/>
  <c r="J189" i="36" s="1"/>
  <c r="H190" i="36" s="1"/>
  <c r="J190" i="36" s="1"/>
  <c r="J191" i="36" s="1"/>
  <c r="I54" i="36"/>
  <c r="J54" i="36" s="1"/>
  <c r="J57" i="36" s="1"/>
  <c r="H58" i="36" s="1"/>
  <c r="J58" i="36" s="1"/>
  <c r="J59" i="36" s="1"/>
  <c r="I235" i="36"/>
  <c r="J235" i="36" s="1"/>
  <c r="I342" i="36"/>
  <c r="J342" i="36" s="1"/>
  <c r="J345" i="36" s="1"/>
  <c r="H346" i="36" s="1"/>
  <c r="J346" i="36" s="1"/>
  <c r="J347" i="36" s="1"/>
  <c r="I162" i="36"/>
  <c r="J162" i="36" s="1"/>
  <c r="J165" i="36" s="1"/>
  <c r="H166" i="36" s="1"/>
  <c r="J166" i="36" s="1"/>
  <c r="J167" i="36" s="1"/>
  <c r="I414" i="36"/>
  <c r="I429" i="36" s="1"/>
  <c r="J429" i="36" s="1"/>
  <c r="J431" i="36" s="1"/>
  <c r="I199" i="36"/>
  <c r="J199" i="36" s="1"/>
  <c r="J201" i="36" s="1"/>
  <c r="H202" i="36" s="1"/>
  <c r="J202" i="36" s="1"/>
  <c r="J203" i="36" s="1"/>
  <c r="J204" i="36" s="1"/>
  <c r="I258" i="36"/>
  <c r="J258" i="36" s="1"/>
  <c r="J261" i="36" s="1"/>
  <c r="H262" i="36" s="1"/>
  <c r="J262" i="36" s="1"/>
  <c r="J263" i="36" s="1"/>
  <c r="I152" i="36"/>
  <c r="J152" i="36" s="1"/>
  <c r="J154" i="36" s="1"/>
  <c r="H155" i="36" s="1"/>
  <c r="J155" i="36" s="1"/>
  <c r="J156" i="36" s="1"/>
  <c r="I378" i="36"/>
  <c r="Q378" i="36" s="1"/>
  <c r="R378" i="36" s="1"/>
  <c r="R381" i="36" s="1"/>
  <c r="I116" i="36"/>
  <c r="J116" i="36" s="1"/>
  <c r="J118" i="36" s="1"/>
  <c r="H119" i="36" s="1"/>
  <c r="J119" i="36" s="1"/>
  <c r="I307" i="36"/>
  <c r="J307" i="36" s="1"/>
  <c r="J310" i="36" s="1"/>
  <c r="H311" i="36" s="1"/>
  <c r="J311" i="36" s="1"/>
  <c r="J312" i="36" s="1"/>
  <c r="I294" i="36"/>
  <c r="J294" i="36" s="1"/>
  <c r="J297" i="36" s="1"/>
  <c r="H298" i="36" s="1"/>
  <c r="J298" i="36" s="1"/>
  <c r="J299" i="36" s="1"/>
  <c r="I126" i="36"/>
  <c r="J126" i="36" s="1"/>
  <c r="J129" i="36" s="1"/>
  <c r="H130" i="36" s="1"/>
  <c r="J130" i="36" s="1"/>
  <c r="I79" i="36"/>
  <c r="J79" i="36" s="1"/>
  <c r="J81" i="36" s="1"/>
  <c r="H82" i="36" s="1"/>
  <c r="J82" i="36" s="1"/>
  <c r="J83" i="36" s="1"/>
  <c r="I271" i="36"/>
  <c r="J271" i="36" s="1"/>
  <c r="J274" i="36" s="1"/>
  <c r="H275" i="36" s="1"/>
  <c r="I330" i="36"/>
  <c r="J330" i="36" s="1"/>
  <c r="J333" i="36" s="1"/>
  <c r="H334" i="36" s="1"/>
  <c r="J334" i="36" s="1"/>
  <c r="J335" i="36" s="1"/>
  <c r="I43" i="36"/>
  <c r="J43" i="36" s="1"/>
  <c r="J46" i="36" s="1"/>
  <c r="H47" i="36" s="1"/>
  <c r="J47" i="36" s="1"/>
  <c r="J48" i="36" s="1"/>
  <c r="I222" i="36"/>
  <c r="J50" i="21"/>
  <c r="J429" i="2"/>
  <c r="K429" i="2" s="1"/>
  <c r="I83" i="48"/>
  <c r="J83" i="48" s="1"/>
  <c r="J410" i="13"/>
  <c r="K410" i="13" s="1"/>
  <c r="J430" i="12"/>
  <c r="K430" i="12" s="1"/>
  <c r="J462" i="10"/>
  <c r="K462" i="10" s="1"/>
  <c r="J426" i="7"/>
  <c r="K426" i="7" s="1"/>
  <c r="J473" i="9"/>
  <c r="K473" i="9" s="1"/>
  <c r="K879" i="26"/>
  <c r="M879" i="26" s="1"/>
  <c r="N879" i="26" s="1"/>
  <c r="H68" i="34"/>
  <c r="G85" i="34"/>
  <c r="H144" i="15"/>
  <c r="J214" i="36"/>
  <c r="Q214" i="36"/>
  <c r="R214" i="36" s="1"/>
  <c r="P96" i="37"/>
  <c r="R96" i="37" s="1"/>
  <c r="R97" i="37" s="1"/>
  <c r="J145" i="53"/>
  <c r="I48" i="47"/>
  <c r="J48" i="47" s="1"/>
  <c r="E766" i="28"/>
  <c r="G766" i="28" s="1"/>
  <c r="G767" i="28" s="1"/>
  <c r="J390" i="7"/>
  <c r="K390" i="7" s="1"/>
  <c r="J393" i="2"/>
  <c r="K393" i="2" s="1"/>
  <c r="J437" i="9"/>
  <c r="K437" i="9" s="1"/>
  <c r="J394" i="12"/>
  <c r="K394" i="12" s="1"/>
  <c r="J426" i="10"/>
  <c r="K426" i="10" s="1"/>
  <c r="J374" i="13"/>
  <c r="K374" i="13" s="1"/>
  <c r="I369" i="30"/>
  <c r="J369" i="30" s="1"/>
  <c r="I127" i="30"/>
  <c r="J127" i="30" s="1"/>
  <c r="J130" i="30" s="1"/>
  <c r="I297" i="30"/>
  <c r="I417" i="30"/>
  <c r="I201" i="30"/>
  <c r="J201" i="30" s="1"/>
  <c r="J203" i="30" s="1"/>
  <c r="I310" i="30"/>
  <c r="I190" i="30"/>
  <c r="I440" i="30"/>
  <c r="J440" i="30" s="1"/>
  <c r="J443" i="30" s="1"/>
  <c r="I261" i="30"/>
  <c r="I274" i="30"/>
  <c r="I381" i="30"/>
  <c r="J381" i="30" s="1"/>
  <c r="J384" i="30" s="1"/>
  <c r="I55" i="30"/>
  <c r="J55" i="30" s="1"/>
  <c r="J58" i="30" s="1"/>
  <c r="I453" i="30"/>
  <c r="I333" i="30"/>
  <c r="J333" i="30" s="1"/>
  <c r="J336" i="30" s="1"/>
  <c r="I117" i="30"/>
  <c r="J117" i="30" s="1"/>
  <c r="J119" i="30" s="1"/>
  <c r="I346" i="30"/>
  <c r="J346" i="30" s="1"/>
  <c r="J349" i="30" s="1"/>
  <c r="I404" i="30"/>
  <c r="I44" i="30"/>
  <c r="J44" i="30" s="1"/>
  <c r="J47" i="30" s="1"/>
  <c r="E13" i="15"/>
  <c r="G13" i="15" s="1"/>
  <c r="G14" i="15" s="1"/>
  <c r="G15" i="15" s="1"/>
  <c r="I190" i="37"/>
  <c r="J190" i="37" s="1"/>
  <c r="J192" i="37" s="1"/>
  <c r="I236" i="37"/>
  <c r="I343" i="37"/>
  <c r="J343" i="37" s="1"/>
  <c r="J346" i="37" s="1"/>
  <c r="I118" i="37"/>
  <c r="J118" i="37" s="1"/>
  <c r="J120" i="37" s="1"/>
  <c r="I154" i="37"/>
  <c r="J154" i="37" s="1"/>
  <c r="J156" i="37" s="1"/>
  <c r="I223" i="37"/>
  <c r="I55" i="37"/>
  <c r="J55" i="37" s="1"/>
  <c r="J58" i="37" s="1"/>
  <c r="I295" i="37"/>
  <c r="J295" i="37" s="1"/>
  <c r="J298" i="37" s="1"/>
  <c r="I44" i="37"/>
  <c r="J44" i="37" s="1"/>
  <c r="J47" i="37" s="1"/>
  <c r="I366" i="37"/>
  <c r="I128" i="37"/>
  <c r="J128" i="37" s="1"/>
  <c r="J131" i="37" s="1"/>
  <c r="I164" i="37"/>
  <c r="J164" i="37" s="1"/>
  <c r="J167" i="37" s="1"/>
  <c r="I93" i="37"/>
  <c r="J93" i="37" s="1"/>
  <c r="J95" i="37" s="1"/>
  <c r="I415" i="37"/>
  <c r="I201" i="37"/>
  <c r="J201" i="37" s="1"/>
  <c r="J203" i="37" s="1"/>
  <c r="I272" i="37"/>
  <c r="J272" i="37" s="1"/>
  <c r="J275" i="37" s="1"/>
  <c r="I402" i="37"/>
  <c r="J402" i="37" s="1"/>
  <c r="J405" i="37" s="1"/>
  <c r="I379" i="37"/>
  <c r="I81" i="37"/>
  <c r="J81" i="37" s="1"/>
  <c r="J83" i="37" s="1"/>
  <c r="I259" i="37"/>
  <c r="I308" i="37"/>
  <c r="J308" i="37" s="1"/>
  <c r="J311" i="37" s="1"/>
  <c r="I331" i="37"/>
  <c r="J331" i="37" s="1"/>
  <c r="J334" i="37" s="1"/>
  <c r="E14" i="38"/>
  <c r="G14" i="38" s="1"/>
  <c r="G15" i="38" s="1"/>
  <c r="J155" i="53"/>
  <c r="J209" i="2"/>
  <c r="K209" i="2" s="1"/>
  <c r="J212" i="7"/>
  <c r="K212" i="7" s="1"/>
  <c r="J211" i="13"/>
  <c r="K211" i="13" s="1"/>
  <c r="I62" i="47"/>
  <c r="J62" i="47" s="1"/>
  <c r="J246" i="10"/>
  <c r="K246" i="10" s="1"/>
  <c r="J210" i="12"/>
  <c r="K210" i="12" s="1"/>
  <c r="J486" i="9"/>
  <c r="K486" i="9" s="1"/>
  <c r="J438" i="7"/>
  <c r="K438" i="7" s="1"/>
  <c r="J442" i="12"/>
  <c r="K442" i="12" s="1"/>
  <c r="J441" i="2"/>
  <c r="K441" i="2" s="1"/>
  <c r="J422" i="13"/>
  <c r="K422" i="13" s="1"/>
  <c r="J474" i="10"/>
  <c r="K474" i="10" s="1"/>
  <c r="H130" i="39"/>
  <c r="J130" i="39" s="1"/>
  <c r="J131" i="39" s="1"/>
  <c r="H69" i="34"/>
  <c r="G86" i="34"/>
  <c r="J57" i="39"/>
  <c r="J59" i="39" s="1"/>
  <c r="I80" i="39"/>
  <c r="J80" i="39" s="1"/>
  <c r="J82" i="39" s="1"/>
  <c r="F116" i="15"/>
  <c r="G116" i="15" s="1"/>
  <c r="Q253" i="30"/>
  <c r="R253" i="30" s="1"/>
  <c r="J253" i="30"/>
  <c r="E138" i="28"/>
  <c r="G138" i="28" s="1"/>
  <c r="G139" i="28" s="1"/>
  <c r="G406" i="34"/>
  <c r="H406" i="34" s="1"/>
  <c r="H407" i="34" s="1"/>
  <c r="J372" i="30"/>
  <c r="J75" i="21"/>
  <c r="K75" i="21" s="1"/>
  <c r="K892" i="26"/>
  <c r="G125" i="15"/>
  <c r="F135" i="15"/>
  <c r="G135" i="15" s="1"/>
  <c r="Q310" i="31"/>
  <c r="R310" i="31" s="1"/>
  <c r="J310" i="31"/>
  <c r="I484" i="30"/>
  <c r="J484" i="30" s="1"/>
  <c r="J485" i="30" s="1"/>
  <c r="I310" i="47" s="1"/>
  <c r="J310" i="47" s="1"/>
  <c r="Q271" i="30"/>
  <c r="R271" i="30" s="1"/>
  <c r="J271" i="30"/>
  <c r="K797" i="26"/>
  <c r="M797" i="26" s="1"/>
  <c r="N797" i="26" s="1"/>
  <c r="K803" i="26"/>
  <c r="M803" i="26" s="1"/>
  <c r="N803" i="26" s="1"/>
  <c r="E1009" i="15"/>
  <c r="G1009" i="15" s="1"/>
  <c r="G1010" i="15" s="1"/>
  <c r="G57" i="34"/>
  <c r="H57" i="34" s="1"/>
  <c r="H58" i="34" s="1"/>
  <c r="I193" i="39"/>
  <c r="J193" i="39" s="1"/>
  <c r="J196" i="39" s="1"/>
  <c r="J32" i="39"/>
  <c r="J35" i="39" s="1"/>
  <c r="G87" i="34"/>
  <c r="H70" i="34"/>
  <c r="G41" i="34"/>
  <c r="H41" i="34" s="1"/>
  <c r="H42" i="34" s="1"/>
  <c r="J399" i="31"/>
  <c r="Q399" i="31"/>
  <c r="R399" i="31" s="1"/>
  <c r="Q417" i="31"/>
  <c r="R417" i="31" s="1"/>
  <c r="J417" i="31"/>
  <c r="Q289" i="30"/>
  <c r="R289" i="30" s="1"/>
  <c r="J289" i="30"/>
  <c r="J178" i="30"/>
  <c r="I216" i="30"/>
  <c r="Q414" i="30"/>
  <c r="R414" i="30" s="1"/>
  <c r="J414" i="30"/>
  <c r="H106" i="39"/>
  <c r="J106" i="39" s="1"/>
  <c r="J107" i="39" s="1"/>
  <c r="E867" i="28"/>
  <c r="G867" i="28" s="1"/>
  <c r="G868" i="28" s="1"/>
  <c r="H152" i="39"/>
  <c r="J152" i="39" s="1"/>
  <c r="J153" i="39" s="1"/>
  <c r="J222" i="36"/>
  <c r="Q222" i="36"/>
  <c r="R222" i="36" s="1"/>
  <c r="R225" i="36" s="1"/>
  <c r="I457" i="33"/>
  <c r="I163" i="33"/>
  <c r="J163" i="33" s="1"/>
  <c r="J166" i="33" s="1"/>
  <c r="I337" i="33"/>
  <c r="J337" i="33" s="1"/>
  <c r="J340" i="33" s="1"/>
  <c r="I80" i="33"/>
  <c r="J80" i="33" s="1"/>
  <c r="J82" i="33" s="1"/>
  <c r="I301" i="33"/>
  <c r="I421" i="33"/>
  <c r="I43" i="33"/>
  <c r="J43" i="33" s="1"/>
  <c r="J46" i="33" s="1"/>
  <c r="I203" i="33"/>
  <c r="J203" i="33" s="1"/>
  <c r="J205" i="33" s="1"/>
  <c r="I314" i="33"/>
  <c r="I385" i="33"/>
  <c r="J385" i="33" s="1"/>
  <c r="J388" i="33" s="1"/>
  <c r="I54" i="33"/>
  <c r="J54" i="33" s="1"/>
  <c r="J57" i="33" s="1"/>
  <c r="I265" i="33"/>
  <c r="I117" i="33"/>
  <c r="J117" i="33" s="1"/>
  <c r="J119" i="33" s="1"/>
  <c r="I278" i="33"/>
  <c r="I408" i="33"/>
  <c r="I92" i="33"/>
  <c r="J92" i="33" s="1"/>
  <c r="J94" i="33" s="1"/>
  <c r="I373" i="33"/>
  <c r="J373" i="33" s="1"/>
  <c r="J376" i="33" s="1"/>
  <c r="I192" i="33"/>
  <c r="I350" i="33"/>
  <c r="J350" i="33" s="1"/>
  <c r="J353" i="33" s="1"/>
  <c r="I153" i="33"/>
  <c r="J153" i="33" s="1"/>
  <c r="J155" i="33" s="1"/>
  <c r="I127" i="33"/>
  <c r="J127" i="33" s="1"/>
  <c r="J130" i="33" s="1"/>
  <c r="I444" i="33"/>
  <c r="J444" i="33" s="1"/>
  <c r="J447" i="33" s="1"/>
  <c r="J256" i="31"/>
  <c r="Q256" i="31"/>
  <c r="R256" i="31" s="1"/>
  <c r="J274" i="31"/>
  <c r="Q274" i="31"/>
  <c r="R274" i="31" s="1"/>
  <c r="Q292" i="31"/>
  <c r="R292" i="31" s="1"/>
  <c r="J292" i="31"/>
  <c r="J453" i="31"/>
  <c r="I470" i="31"/>
  <c r="J470" i="31" s="1"/>
  <c r="Q396" i="30"/>
  <c r="R396" i="30" s="1"/>
  <c r="J396" i="30"/>
  <c r="I467" i="30"/>
  <c r="J467" i="30" s="1"/>
  <c r="J450" i="30"/>
  <c r="J307" i="30"/>
  <c r="Q307" i="30"/>
  <c r="R307" i="30" s="1"/>
  <c r="G49" i="56" l="1"/>
  <c r="H49" i="56" s="1"/>
  <c r="J59" i="32"/>
  <c r="G502" i="28"/>
  <c r="F504" i="28" s="1"/>
  <c r="G504" i="28" s="1"/>
  <c r="G506" i="28" s="1"/>
  <c r="E507" i="28" s="1"/>
  <c r="G507" i="28" s="1"/>
  <c r="G508" i="28" s="1"/>
  <c r="J128" i="32"/>
  <c r="J365" i="36"/>
  <c r="J368" i="36" s="1"/>
  <c r="H369" i="36" s="1"/>
  <c r="J369" i="36" s="1"/>
  <c r="J370" i="36" s="1"/>
  <c r="R98" i="37"/>
  <c r="G32" i="56"/>
  <c r="H32" i="56" s="1"/>
  <c r="J414" i="36"/>
  <c r="J417" i="36" s="1"/>
  <c r="I418" i="36" s="1"/>
  <c r="J418" i="36" s="1"/>
  <c r="K405" i="53"/>
  <c r="J238" i="36"/>
  <c r="J225" i="36"/>
  <c r="J276" i="36"/>
  <c r="J277" i="36" s="1"/>
  <c r="J314" i="27"/>
  <c r="J242" i="27"/>
  <c r="H240" i="27"/>
  <c r="J134" i="27"/>
  <c r="K17" i="57"/>
  <c r="G12" i="56" s="1"/>
  <c r="K17" i="60"/>
  <c r="J421" i="58"/>
  <c r="J247" i="31"/>
  <c r="I293" i="47"/>
  <c r="J293" i="47" s="1"/>
  <c r="J358" i="10"/>
  <c r="K358" i="10" s="1"/>
  <c r="J321" i="53"/>
  <c r="K321" i="53" s="1"/>
  <c r="J370" i="9"/>
  <c r="K370" i="9" s="1"/>
  <c r="Q235" i="36"/>
  <c r="R235" i="36" s="1"/>
  <c r="R238" i="36" s="1"/>
  <c r="P239" i="36" s="1"/>
  <c r="R239" i="36" s="1"/>
  <c r="R240" i="36" s="1"/>
  <c r="H157" i="27"/>
  <c r="J157" i="27" s="1"/>
  <c r="J158" i="27" s="1"/>
  <c r="J170" i="27" s="1"/>
  <c r="J206" i="27"/>
  <c r="J325" i="53"/>
  <c r="J168" i="30"/>
  <c r="G35" i="56"/>
  <c r="H35" i="56" s="1"/>
  <c r="M259" i="57"/>
  <c r="I455" i="58"/>
  <c r="J455" i="58" s="1"/>
  <c r="J456" i="58" s="1"/>
  <c r="J473" i="58"/>
  <c r="J477" i="58" s="1"/>
  <c r="I486" i="58"/>
  <c r="J486" i="58" s="1"/>
  <c r="J490" i="58" s="1"/>
  <c r="J441" i="58"/>
  <c r="E995" i="15"/>
  <c r="G995" i="15" s="1"/>
  <c r="G996" i="15" s="1"/>
  <c r="F648" i="28"/>
  <c r="G648" i="28" s="1"/>
  <c r="G649" i="28" s="1"/>
  <c r="G650" i="28" s="1"/>
  <c r="F652" i="28" s="1"/>
  <c r="F654" i="28" s="1"/>
  <c r="F655" i="28" s="1"/>
  <c r="F658" i="28" s="1"/>
  <c r="I145" i="53"/>
  <c r="E55" i="56"/>
  <c r="G1190" i="15"/>
  <c r="J296" i="53" s="1"/>
  <c r="K155" i="53"/>
  <c r="G826" i="15"/>
  <c r="J306" i="53" s="1"/>
  <c r="J353" i="10"/>
  <c r="K353" i="10" s="1"/>
  <c r="F673" i="28"/>
  <c r="G673" i="28" s="1"/>
  <c r="G674" i="28" s="1"/>
  <c r="E675" i="28" s="1"/>
  <c r="G675" i="28" s="1"/>
  <c r="G676" i="28" s="1"/>
  <c r="G679" i="28" s="1"/>
  <c r="G578" i="28"/>
  <c r="G1145" i="15"/>
  <c r="G1147" i="15" s="1"/>
  <c r="G1148" i="15" s="1"/>
  <c r="J365" i="9"/>
  <c r="K365" i="9" s="1"/>
  <c r="G671" i="15"/>
  <c r="F673" i="15" s="1"/>
  <c r="F678" i="15" s="1"/>
  <c r="F679" i="15" s="1"/>
  <c r="F681" i="15" s="1"/>
  <c r="G696" i="15"/>
  <c r="F698" i="15" s="1"/>
  <c r="F703" i="15" s="1"/>
  <c r="F704" i="15" s="1"/>
  <c r="F706" i="15" s="1"/>
  <c r="G265" i="15"/>
  <c r="J307" i="12"/>
  <c r="K307" i="12" s="1"/>
  <c r="J306" i="2"/>
  <c r="K306" i="2" s="1"/>
  <c r="K756" i="26"/>
  <c r="J317" i="7"/>
  <c r="K317" i="7" s="1"/>
  <c r="F841" i="15"/>
  <c r="G841" i="15" s="1"/>
  <c r="G842" i="15" s="1"/>
  <c r="E843" i="15" s="1"/>
  <c r="G843" i="15" s="1"/>
  <c r="G844" i="15" s="1"/>
  <c r="D39" i="44"/>
  <c r="G626" i="15"/>
  <c r="G631" i="15" s="1"/>
  <c r="G632" i="15" s="1"/>
  <c r="E626" i="15"/>
  <c r="E631" i="15" s="1"/>
  <c r="E632" i="15" s="1"/>
  <c r="F626" i="15"/>
  <c r="E533" i="28"/>
  <c r="E538" i="28" s="1"/>
  <c r="E539" i="28" s="1"/>
  <c r="E542" i="28" s="1"/>
  <c r="G533" i="28"/>
  <c r="F533" i="28"/>
  <c r="F538" i="28" s="1"/>
  <c r="F539" i="28" s="1"/>
  <c r="F542" i="28" s="1"/>
  <c r="J131" i="36"/>
  <c r="E276" i="15"/>
  <c r="G276" i="15" s="1"/>
  <c r="G277" i="15" s="1"/>
  <c r="G279" i="15" s="1"/>
  <c r="F766" i="15"/>
  <c r="G766" i="15" s="1"/>
  <c r="G767" i="15" s="1"/>
  <c r="E768" i="15" s="1"/>
  <c r="G768" i="15" s="1"/>
  <c r="G769" i="15" s="1"/>
  <c r="G772" i="15" s="1"/>
  <c r="F741" i="15"/>
  <c r="G741" i="15" s="1"/>
  <c r="G742" i="15" s="1"/>
  <c r="G743" i="15" s="1"/>
  <c r="E36" i="45"/>
  <c r="E38" i="44"/>
  <c r="E39" i="44" s="1"/>
  <c r="E37" i="44"/>
  <c r="F728" i="28"/>
  <c r="G728" i="28" s="1"/>
  <c r="G729" i="28" s="1"/>
  <c r="E244" i="28"/>
  <c r="G244" i="28" s="1"/>
  <c r="G245" i="28" s="1"/>
  <c r="G247" i="28" s="1"/>
  <c r="G30" i="44"/>
  <c r="H30" i="44"/>
  <c r="E258" i="28"/>
  <c r="G258" i="28" s="1"/>
  <c r="G259" i="28" s="1"/>
  <c r="G261" i="28" s="1"/>
  <c r="F786" i="15"/>
  <c r="G786" i="15" s="1"/>
  <c r="G787" i="15" s="1"/>
  <c r="E805" i="15"/>
  <c r="G805" i="15" s="1"/>
  <c r="G806" i="15" s="1"/>
  <c r="G808" i="15" s="1"/>
  <c r="J23" i="23"/>
  <c r="K23" i="23" s="1"/>
  <c r="G603" i="28"/>
  <c r="F603" i="15"/>
  <c r="F608" i="15" s="1"/>
  <c r="F609" i="15" s="1"/>
  <c r="F612" i="15" s="1"/>
  <c r="F350" i="28"/>
  <c r="G350" i="28" s="1"/>
  <c r="G361" i="28" s="1"/>
  <c r="F1029" i="15"/>
  <c r="G1029" i="15" s="1"/>
  <c r="G1038" i="15" s="1"/>
  <c r="G1039" i="15" s="1"/>
  <c r="E1040" i="15" s="1"/>
  <c r="G1040" i="15" s="1"/>
  <c r="G1041" i="15" s="1"/>
  <c r="G1044" i="15" s="1"/>
  <c r="F1376" i="15"/>
  <c r="G1376" i="15" s="1"/>
  <c r="F1388" i="15" s="1"/>
  <c r="G1388" i="15" s="1"/>
  <c r="G1389" i="15" s="1"/>
  <c r="F328" i="28"/>
  <c r="G328" i="28" s="1"/>
  <c r="G340" i="28" s="1"/>
  <c r="F342" i="28" s="1"/>
  <c r="G342" i="28" s="1"/>
  <c r="G346" i="28" s="1"/>
  <c r="F524" i="15"/>
  <c r="G524" i="15" s="1"/>
  <c r="G534" i="15" s="1"/>
  <c r="E535" i="15" s="1"/>
  <c r="G535" i="15" s="1"/>
  <c r="G536" i="15" s="1"/>
  <c r="J126" i="7" s="1"/>
  <c r="K126" i="7" s="1"/>
  <c r="F395" i="15"/>
  <c r="G395" i="15" s="1"/>
  <c r="G407" i="15" s="1"/>
  <c r="F908" i="28"/>
  <c r="G908" i="28" s="1"/>
  <c r="G917" i="28" s="1"/>
  <c r="G918" i="28" s="1"/>
  <c r="E919" i="28" s="1"/>
  <c r="G919" i="28" s="1"/>
  <c r="G920" i="28" s="1"/>
  <c r="G923" i="28" s="1"/>
  <c r="F347" i="15"/>
  <c r="G347" i="15" s="1"/>
  <c r="G360" i="15" s="1"/>
  <c r="F463" i="28"/>
  <c r="G463" i="28" s="1"/>
  <c r="G472" i="28" s="1"/>
  <c r="E473" i="28" s="1"/>
  <c r="G473" i="28" s="1"/>
  <c r="G474" i="28" s="1"/>
  <c r="G477" i="28" s="1"/>
  <c r="F543" i="15"/>
  <c r="G543" i="15" s="1"/>
  <c r="F279" i="28"/>
  <c r="G279" i="28" s="1"/>
  <c r="G291" i="28" s="1"/>
  <c r="G293" i="28" s="1"/>
  <c r="F102" i="15"/>
  <c r="G92" i="15"/>
  <c r="G97" i="15" s="1"/>
  <c r="G1067" i="28"/>
  <c r="A159" i="40"/>
  <c r="I19" i="14"/>
  <c r="J19" i="14" s="1"/>
  <c r="K19" i="14" s="1"/>
  <c r="R19" i="14" s="1"/>
  <c r="F297" i="15" s="1"/>
  <c r="G297" i="15" s="1"/>
  <c r="G310" i="15" s="1"/>
  <c r="G603" i="15"/>
  <c r="G608" i="15" s="1"/>
  <c r="G609" i="15" s="1"/>
  <c r="G612" i="15" s="1"/>
  <c r="F90" i="28"/>
  <c r="G80" i="28"/>
  <c r="G85" i="28" s="1"/>
  <c r="P508" i="26"/>
  <c r="P939" i="26" s="1"/>
  <c r="L508" i="26"/>
  <c r="I264" i="31"/>
  <c r="I443" i="31"/>
  <c r="J443" i="31" s="1"/>
  <c r="J446" i="31" s="1"/>
  <c r="I447" i="31" s="1"/>
  <c r="J447" i="31" s="1"/>
  <c r="J448" i="31" s="1"/>
  <c r="I118" i="31"/>
  <c r="J118" i="31" s="1"/>
  <c r="J120" i="31" s="1"/>
  <c r="H121" i="31" s="1"/>
  <c r="J121" i="31" s="1"/>
  <c r="J122" i="31" s="1"/>
  <c r="I277" i="31"/>
  <c r="I44" i="31"/>
  <c r="J44" i="31" s="1"/>
  <c r="J47" i="31" s="1"/>
  <c r="H48" i="31" s="1"/>
  <c r="J48" i="31" s="1"/>
  <c r="J49" i="31" s="1"/>
  <c r="I300" i="31"/>
  <c r="I384" i="31"/>
  <c r="J384" i="31" s="1"/>
  <c r="J387" i="31" s="1"/>
  <c r="H388" i="31" s="1"/>
  <c r="J388" i="31" s="1"/>
  <c r="J389" i="31" s="1"/>
  <c r="I372" i="31"/>
  <c r="J372" i="31" s="1"/>
  <c r="J375" i="31" s="1"/>
  <c r="H376" i="31" s="1"/>
  <c r="J376" i="31" s="1"/>
  <c r="J377" i="31" s="1"/>
  <c r="I55" i="31"/>
  <c r="J55" i="31" s="1"/>
  <c r="J58" i="31" s="1"/>
  <c r="H59" i="31" s="1"/>
  <c r="J59" i="31" s="1"/>
  <c r="J60" i="31" s="1"/>
  <c r="I164" i="31"/>
  <c r="J164" i="31" s="1"/>
  <c r="J167" i="31" s="1"/>
  <c r="H168" i="31" s="1"/>
  <c r="J168" i="31" s="1"/>
  <c r="J169" i="31" s="1"/>
  <c r="I128" i="31"/>
  <c r="J128" i="31" s="1"/>
  <c r="J131" i="31" s="1"/>
  <c r="I81" i="31"/>
  <c r="J81" i="31" s="1"/>
  <c r="J83" i="31" s="1"/>
  <c r="H84" i="31" s="1"/>
  <c r="J84" i="31" s="1"/>
  <c r="J85" i="31" s="1"/>
  <c r="I313" i="31"/>
  <c r="I349" i="31"/>
  <c r="J349" i="31" s="1"/>
  <c r="J352" i="31" s="1"/>
  <c r="H353" i="31" s="1"/>
  <c r="J353" i="31" s="1"/>
  <c r="J354" i="31" s="1"/>
  <c r="I192" i="31"/>
  <c r="J192" i="31" s="1"/>
  <c r="J194" i="31" s="1"/>
  <c r="H195" i="31" s="1"/>
  <c r="J195" i="31" s="1"/>
  <c r="J196" i="31" s="1"/>
  <c r="I420" i="31"/>
  <c r="I456" i="31"/>
  <c r="I203" i="31"/>
  <c r="J203" i="31" s="1"/>
  <c r="J205" i="31" s="1"/>
  <c r="H206" i="31" s="1"/>
  <c r="J206" i="31" s="1"/>
  <c r="J207" i="31" s="1"/>
  <c r="I154" i="31"/>
  <c r="J154" i="31" s="1"/>
  <c r="J156" i="31" s="1"/>
  <c r="H157" i="31" s="1"/>
  <c r="J157" i="31" s="1"/>
  <c r="J158" i="31" s="1"/>
  <c r="I407" i="31"/>
  <c r="I93" i="31"/>
  <c r="J93" i="31" s="1"/>
  <c r="J95" i="31" s="1"/>
  <c r="H96" i="31" s="1"/>
  <c r="J96" i="31" s="1"/>
  <c r="J97" i="31" s="1"/>
  <c r="I336" i="31"/>
  <c r="J336" i="31" s="1"/>
  <c r="J339" i="31" s="1"/>
  <c r="H340" i="31" s="1"/>
  <c r="J340" i="31" s="1"/>
  <c r="J341" i="31" s="1"/>
  <c r="J378" i="36"/>
  <c r="J381" i="36" s="1"/>
  <c r="I382" i="36" s="1"/>
  <c r="J382" i="36" s="1"/>
  <c r="J383" i="36" s="1"/>
  <c r="J120" i="36"/>
  <c r="J348" i="36"/>
  <c r="J60" i="36"/>
  <c r="G101" i="34"/>
  <c r="H85" i="34"/>
  <c r="H239" i="36"/>
  <c r="J239" i="36" s="1"/>
  <c r="J240" i="36" s="1"/>
  <c r="E140" i="28"/>
  <c r="G140" i="28" s="1"/>
  <c r="G141" i="28" s="1"/>
  <c r="G144" i="28" s="1"/>
  <c r="G59" i="34"/>
  <c r="H59" i="34" s="1"/>
  <c r="H60" i="34" s="1"/>
  <c r="I432" i="36"/>
  <c r="J432" i="36" s="1"/>
  <c r="J433" i="36" s="1"/>
  <c r="J192" i="36"/>
  <c r="J205" i="36"/>
  <c r="I190" i="38"/>
  <c r="J190" i="38" s="1"/>
  <c r="J192" i="38" s="1"/>
  <c r="I44" i="38"/>
  <c r="J44" i="38" s="1"/>
  <c r="J47" i="38" s="1"/>
  <c r="I366" i="38"/>
  <c r="I128" i="38"/>
  <c r="J128" i="38" s="1"/>
  <c r="J131" i="38" s="1"/>
  <c r="I223" i="38"/>
  <c r="I55" i="38"/>
  <c r="J55" i="38" s="1"/>
  <c r="J58" i="38" s="1"/>
  <c r="I415" i="38"/>
  <c r="I81" i="38"/>
  <c r="J81" i="38" s="1"/>
  <c r="J83" i="38" s="1"/>
  <c r="I295" i="38"/>
  <c r="J295" i="38" s="1"/>
  <c r="J298" i="38" s="1"/>
  <c r="I154" i="38"/>
  <c r="J154" i="38" s="1"/>
  <c r="J156" i="38" s="1"/>
  <c r="I272" i="38"/>
  <c r="I331" i="38"/>
  <c r="J331" i="38" s="1"/>
  <c r="J334" i="38" s="1"/>
  <c r="I164" i="38"/>
  <c r="J164" i="38" s="1"/>
  <c r="J167" i="38" s="1"/>
  <c r="I379" i="38"/>
  <c r="I236" i="38"/>
  <c r="I343" i="38"/>
  <c r="J343" i="38" s="1"/>
  <c r="J346" i="38" s="1"/>
  <c r="I259" i="38"/>
  <c r="I118" i="38"/>
  <c r="J118" i="38" s="1"/>
  <c r="J120" i="38" s="1"/>
  <c r="I201" i="38"/>
  <c r="J201" i="38" s="1"/>
  <c r="J203" i="38" s="1"/>
  <c r="I93" i="38"/>
  <c r="J93" i="38" s="1"/>
  <c r="J95" i="38" s="1"/>
  <c r="I308" i="38"/>
  <c r="J308" i="38" s="1"/>
  <c r="J311" i="38" s="1"/>
  <c r="I402" i="38"/>
  <c r="J402" i="38" s="1"/>
  <c r="J405" i="38" s="1"/>
  <c r="J18" i="53"/>
  <c r="F1300" i="15"/>
  <c r="G1300" i="15" s="1"/>
  <c r="I14" i="47"/>
  <c r="J14" i="47" s="1"/>
  <c r="H377" i="33"/>
  <c r="J377" i="33" s="1"/>
  <c r="J378" i="33" s="1"/>
  <c r="I448" i="33"/>
  <c r="J448" i="33" s="1"/>
  <c r="J449" i="33" s="1"/>
  <c r="J192" i="33"/>
  <c r="J194" i="33" s="1"/>
  <c r="I232" i="33"/>
  <c r="J278" i="33"/>
  <c r="J281" i="33" s="1"/>
  <c r="Q278" i="33"/>
  <c r="R278" i="33" s="1"/>
  <c r="R281" i="33" s="1"/>
  <c r="H354" i="33"/>
  <c r="J354" i="33" s="1"/>
  <c r="J355" i="33" s="1"/>
  <c r="H58" i="33"/>
  <c r="J58" i="33" s="1"/>
  <c r="J59" i="33" s="1"/>
  <c r="H341" i="33"/>
  <c r="J341" i="33" s="1"/>
  <c r="J342" i="33" s="1"/>
  <c r="H226" i="36"/>
  <c r="J226" i="36" s="1"/>
  <c r="J227" i="36" s="1"/>
  <c r="E153" i="15"/>
  <c r="G153" i="15" s="1"/>
  <c r="G154" i="15" s="1"/>
  <c r="H36" i="39"/>
  <c r="J36" i="39" s="1"/>
  <c r="J37" i="39" s="1"/>
  <c r="H337" i="30"/>
  <c r="J337" i="30" s="1"/>
  <c r="J338" i="30" s="1"/>
  <c r="Q382" i="36"/>
  <c r="R382" i="36" s="1"/>
  <c r="R383" i="36" s="1"/>
  <c r="H132" i="31"/>
  <c r="J132" i="31" s="1"/>
  <c r="J133" i="31" s="1"/>
  <c r="J134" i="31" s="1"/>
  <c r="H156" i="33"/>
  <c r="J156" i="33" s="1"/>
  <c r="J157" i="33" s="1"/>
  <c r="H95" i="33"/>
  <c r="J95" i="33" s="1"/>
  <c r="J96" i="33" s="1"/>
  <c r="Q265" i="33"/>
  <c r="R265" i="33" s="1"/>
  <c r="R268" i="33" s="1"/>
  <c r="J265" i="33"/>
  <c r="J268" i="33" s="1"/>
  <c r="H206" i="33"/>
  <c r="J206" i="33" s="1"/>
  <c r="J207" i="33" s="1"/>
  <c r="H83" i="33"/>
  <c r="J83" i="33" s="1"/>
  <c r="J84" i="33" s="1"/>
  <c r="P226" i="36"/>
  <c r="R226" i="36" s="1"/>
  <c r="R227" i="36" s="1"/>
  <c r="H87" i="34"/>
  <c r="G103" i="34"/>
  <c r="H350" i="30"/>
  <c r="J350" i="30" s="1"/>
  <c r="J351" i="30" s="1"/>
  <c r="E608" i="15"/>
  <c r="E609" i="15" s="1"/>
  <c r="E612" i="15" s="1"/>
  <c r="F136" i="15"/>
  <c r="G136" i="15" s="1"/>
  <c r="H59" i="30"/>
  <c r="J59" i="30" s="1"/>
  <c r="J60" i="30" s="1"/>
  <c r="G102" i="34"/>
  <c r="H86" i="34"/>
  <c r="H84" i="37"/>
  <c r="J84" i="37" s="1"/>
  <c r="J85" i="37" s="1"/>
  <c r="H204" i="37"/>
  <c r="J204" i="37" s="1"/>
  <c r="J205" i="37" s="1"/>
  <c r="H132" i="37"/>
  <c r="J132" i="37" s="1"/>
  <c r="J133" i="37" s="1"/>
  <c r="H59" i="37"/>
  <c r="J59" i="37" s="1"/>
  <c r="J60" i="37" s="1"/>
  <c r="H347" i="37"/>
  <c r="J347" i="37" s="1"/>
  <c r="J348" i="37" s="1"/>
  <c r="J404" i="30"/>
  <c r="J407" i="30" s="1"/>
  <c r="Q404" i="30"/>
  <c r="R404" i="30" s="1"/>
  <c r="R407" i="30" s="1"/>
  <c r="J453" i="30"/>
  <c r="J456" i="30" s="1"/>
  <c r="I468" i="30"/>
  <c r="J468" i="30" s="1"/>
  <c r="J470" i="30" s="1"/>
  <c r="J261" i="30"/>
  <c r="J264" i="30" s="1"/>
  <c r="Q261" i="30"/>
  <c r="R261" i="30" s="1"/>
  <c r="R264" i="30" s="1"/>
  <c r="J96" i="36"/>
  <c r="Q301" i="33"/>
  <c r="R301" i="33" s="1"/>
  <c r="R304" i="33" s="1"/>
  <c r="J301" i="33"/>
  <c r="J304" i="33" s="1"/>
  <c r="J383" i="13"/>
  <c r="K383" i="13" s="1"/>
  <c r="J111" i="20"/>
  <c r="K111" i="20" s="1"/>
  <c r="J446" i="9"/>
  <c r="K446" i="9" s="1"/>
  <c r="J435" i="10"/>
  <c r="K435" i="10" s="1"/>
  <c r="K812" i="26"/>
  <c r="M812" i="26" s="1"/>
  <c r="N812" i="26" s="1"/>
  <c r="J399" i="7"/>
  <c r="K399" i="7" s="1"/>
  <c r="J403" i="12"/>
  <c r="K403" i="12" s="1"/>
  <c r="J402" i="2"/>
  <c r="K402" i="2" s="1"/>
  <c r="E159" i="28"/>
  <c r="G159" i="28" s="1"/>
  <c r="G160" i="28" s="1"/>
  <c r="G163" i="28" s="1"/>
  <c r="J398" i="53"/>
  <c r="G55" i="56" s="1"/>
  <c r="I265" i="47"/>
  <c r="J265" i="47" s="1"/>
  <c r="J433" i="12"/>
  <c r="K433" i="12" s="1"/>
  <c r="J413" i="13"/>
  <c r="K413" i="13" s="1"/>
  <c r="J429" i="7"/>
  <c r="K429" i="7" s="1"/>
  <c r="J56" i="21"/>
  <c r="K56" i="21" s="1"/>
  <c r="J465" i="10"/>
  <c r="K465" i="10" s="1"/>
  <c r="J476" i="9"/>
  <c r="K476" i="9" s="1"/>
  <c r="J432" i="2"/>
  <c r="K432" i="2" s="1"/>
  <c r="K885" i="26"/>
  <c r="M885" i="26" s="1"/>
  <c r="N885" i="26" s="1"/>
  <c r="H60" i="39"/>
  <c r="J60" i="39" s="1"/>
  <c r="J61" i="39" s="1"/>
  <c r="Q259" i="37"/>
  <c r="R259" i="37" s="1"/>
  <c r="R262" i="37" s="1"/>
  <c r="J259" i="37"/>
  <c r="J262" i="37" s="1"/>
  <c r="H276" i="37"/>
  <c r="J276" i="37" s="1"/>
  <c r="J277" i="37" s="1"/>
  <c r="H168" i="37"/>
  <c r="J168" i="37" s="1"/>
  <c r="J169" i="37" s="1"/>
  <c r="H299" i="37"/>
  <c r="J299" i="37" s="1"/>
  <c r="J300" i="37" s="1"/>
  <c r="H121" i="37"/>
  <c r="J121" i="37" s="1"/>
  <c r="J122" i="37" s="1"/>
  <c r="Q274" i="30"/>
  <c r="R274" i="30" s="1"/>
  <c r="R277" i="30" s="1"/>
  <c r="J274" i="30"/>
  <c r="J277" i="30" s="1"/>
  <c r="Q310" i="30"/>
  <c r="R310" i="30" s="1"/>
  <c r="R313" i="30" s="1"/>
  <c r="J310" i="30"/>
  <c r="J313" i="30" s="1"/>
  <c r="H131" i="30"/>
  <c r="J131" i="30" s="1"/>
  <c r="J132" i="30" s="1"/>
  <c r="J168" i="36"/>
  <c r="I444" i="30"/>
  <c r="J444" i="30" s="1"/>
  <c r="J445" i="30" s="1"/>
  <c r="H120" i="33"/>
  <c r="J120" i="33" s="1"/>
  <c r="J121" i="33" s="1"/>
  <c r="H167" i="33"/>
  <c r="J167" i="33" s="1"/>
  <c r="J168" i="33" s="1"/>
  <c r="H204" i="30"/>
  <c r="J204" i="30" s="1"/>
  <c r="J205" i="30" s="1"/>
  <c r="J216" i="30"/>
  <c r="I237" i="30"/>
  <c r="J237" i="30" s="1"/>
  <c r="H197" i="39"/>
  <c r="J197" i="39" s="1"/>
  <c r="J198" i="39" s="1"/>
  <c r="H385" i="30"/>
  <c r="J385" i="30" s="1"/>
  <c r="J386" i="30" s="1"/>
  <c r="H373" i="30"/>
  <c r="J373" i="30" s="1"/>
  <c r="J374" i="30" s="1"/>
  <c r="H83" i="39"/>
  <c r="J83" i="39" s="1"/>
  <c r="J84" i="39" s="1"/>
  <c r="H312" i="37"/>
  <c r="J312" i="37" s="1"/>
  <c r="J313" i="37" s="1"/>
  <c r="I406" i="37"/>
  <c r="J406" i="37" s="1"/>
  <c r="J407" i="37" s="1"/>
  <c r="H96" i="37"/>
  <c r="J96" i="37" s="1"/>
  <c r="J97" i="37" s="1"/>
  <c r="H48" i="37"/>
  <c r="J48" i="37" s="1"/>
  <c r="J49" i="37" s="1"/>
  <c r="H157" i="37"/>
  <c r="J157" i="37" s="1"/>
  <c r="J158" i="37" s="1"/>
  <c r="H193" i="37"/>
  <c r="J193" i="37" s="1"/>
  <c r="J194" i="37" s="1"/>
  <c r="H120" i="30"/>
  <c r="J120" i="30" s="1"/>
  <c r="J121" i="30" s="1"/>
  <c r="I228" i="30"/>
  <c r="J190" i="30"/>
  <c r="J192" i="30" s="1"/>
  <c r="Q297" i="30"/>
  <c r="R297" i="30" s="1"/>
  <c r="R300" i="30" s="1"/>
  <c r="J297" i="30"/>
  <c r="J300" i="30" s="1"/>
  <c r="J313" i="36"/>
  <c r="H131" i="33"/>
  <c r="J131" i="33" s="1"/>
  <c r="J132" i="33" s="1"/>
  <c r="J314" i="33"/>
  <c r="J317" i="33" s="1"/>
  <c r="Q314" i="33"/>
  <c r="R314" i="33" s="1"/>
  <c r="R317" i="33" s="1"/>
  <c r="J457" i="33"/>
  <c r="J460" i="33" s="1"/>
  <c r="I472" i="33"/>
  <c r="J472" i="33" s="1"/>
  <c r="J474" i="33" s="1"/>
  <c r="E173" i="15"/>
  <c r="G173" i="15" s="1"/>
  <c r="G174" i="15" s="1"/>
  <c r="H389" i="33"/>
  <c r="J389" i="33" s="1"/>
  <c r="J390" i="33" s="1"/>
  <c r="J421" i="33"/>
  <c r="J424" i="33" s="1"/>
  <c r="Q421" i="33"/>
  <c r="R421" i="33" s="1"/>
  <c r="R424" i="33" s="1"/>
  <c r="P369" i="36"/>
  <c r="R369" i="36" s="1"/>
  <c r="R370" i="36" s="1"/>
  <c r="Q408" i="33"/>
  <c r="R408" i="33" s="1"/>
  <c r="R411" i="33" s="1"/>
  <c r="J408" i="33"/>
  <c r="J411" i="33" s="1"/>
  <c r="H47" i="33"/>
  <c r="J47" i="33" s="1"/>
  <c r="J48" i="33" s="1"/>
  <c r="F126" i="15"/>
  <c r="G126" i="15" s="1"/>
  <c r="H48" i="30"/>
  <c r="J48" i="30" s="1"/>
  <c r="J49" i="30" s="1"/>
  <c r="E510" i="28"/>
  <c r="F510" i="28"/>
  <c r="G510" i="28"/>
  <c r="G71" i="34"/>
  <c r="H71" i="34" s="1"/>
  <c r="H72" i="34" s="1"/>
  <c r="H335" i="37"/>
  <c r="J335" i="37" s="1"/>
  <c r="J336" i="37" s="1"/>
  <c r="J379" i="37"/>
  <c r="J382" i="37" s="1"/>
  <c r="Q379" i="37"/>
  <c r="R379" i="37" s="1"/>
  <c r="R382" i="37" s="1"/>
  <c r="I430" i="37"/>
  <c r="J430" i="37" s="1"/>
  <c r="J432" i="37" s="1"/>
  <c r="J415" i="37"/>
  <c r="J418" i="37" s="1"/>
  <c r="Q366" i="37"/>
  <c r="R366" i="37" s="1"/>
  <c r="R369" i="37" s="1"/>
  <c r="J366" i="37"/>
  <c r="J369" i="37" s="1"/>
  <c r="J223" i="37"/>
  <c r="J226" i="37" s="1"/>
  <c r="Q223" i="37"/>
  <c r="R223" i="37" s="1"/>
  <c r="R226" i="37" s="1"/>
  <c r="J236" i="37"/>
  <c r="J239" i="37" s="1"/>
  <c r="Q236" i="37"/>
  <c r="R236" i="37" s="1"/>
  <c r="R239" i="37" s="1"/>
  <c r="J417" i="30"/>
  <c r="J420" i="30" s="1"/>
  <c r="Q417" i="30"/>
  <c r="R417" i="30" s="1"/>
  <c r="R420" i="30" s="1"/>
  <c r="K361" i="57" l="1"/>
  <c r="L361" i="57" s="1"/>
  <c r="N361" i="57" s="1"/>
  <c r="G47" i="56"/>
  <c r="H47" i="56" s="1"/>
  <c r="J241" i="36"/>
  <c r="J61" i="31"/>
  <c r="K316" i="60"/>
  <c r="M316" i="60" s="1"/>
  <c r="N316" i="60" s="1"/>
  <c r="K316" i="57"/>
  <c r="K72" i="57"/>
  <c r="K72" i="60"/>
  <c r="M72" i="60" s="1"/>
  <c r="N72" i="60" s="1"/>
  <c r="K209" i="57"/>
  <c r="M209" i="57" s="1"/>
  <c r="K209" i="60"/>
  <c r="M209" i="60" s="1"/>
  <c r="N209" i="60" s="1"/>
  <c r="K361" i="60"/>
  <c r="L361" i="60" s="1"/>
  <c r="N361" i="60" s="1"/>
  <c r="L17" i="60"/>
  <c r="E652" i="28"/>
  <c r="E654" i="28" s="1"/>
  <c r="E655" i="28" s="1"/>
  <c r="E658" i="28" s="1"/>
  <c r="G48" i="56"/>
  <c r="H48" i="56" s="1"/>
  <c r="K325" i="53"/>
  <c r="I478" i="58"/>
  <c r="J478" i="58" s="1"/>
  <c r="J479" i="58" s="1"/>
  <c r="I442" i="58"/>
  <c r="J442" i="58" s="1"/>
  <c r="J443" i="58" s="1"/>
  <c r="J457" i="58" s="1"/>
  <c r="I491" i="58"/>
  <c r="J491" i="58" s="1"/>
  <c r="J492" i="58" s="1"/>
  <c r="J380" i="53"/>
  <c r="G54" i="56" s="1"/>
  <c r="I270" i="47"/>
  <c r="J270" i="47" s="1"/>
  <c r="G652" i="28"/>
  <c r="G654" i="28" s="1"/>
  <c r="G655" i="28" s="1"/>
  <c r="G658" i="28" s="1"/>
  <c r="H55" i="56"/>
  <c r="K145" i="53"/>
  <c r="K398" i="53"/>
  <c r="K18" i="53"/>
  <c r="H12" i="56"/>
  <c r="K296" i="53"/>
  <c r="G43" i="56"/>
  <c r="H43" i="56" s="1"/>
  <c r="K306" i="53"/>
  <c r="G44" i="56"/>
  <c r="H44" i="56" s="1"/>
  <c r="F580" i="28"/>
  <c r="F585" i="28" s="1"/>
  <c r="F586" i="28" s="1"/>
  <c r="F588" i="28" s="1"/>
  <c r="G580" i="28"/>
  <c r="G585" i="28" s="1"/>
  <c r="G586" i="28" s="1"/>
  <c r="G588" i="28" s="1"/>
  <c r="E580" i="28"/>
  <c r="F457" i="15"/>
  <c r="G457" i="15" s="1"/>
  <c r="G461" i="15" s="1"/>
  <c r="K153" i="60" s="1"/>
  <c r="M153" i="60" s="1"/>
  <c r="N153" i="60" s="1"/>
  <c r="G505" i="15"/>
  <c r="G509" i="15" s="1"/>
  <c r="G673" i="15"/>
  <c r="G678" i="15" s="1"/>
  <c r="G679" i="15" s="1"/>
  <c r="G681" i="15" s="1"/>
  <c r="F488" i="15"/>
  <c r="G488" i="15" s="1"/>
  <c r="G492" i="15" s="1"/>
  <c r="G494" i="15" s="1"/>
  <c r="E496" i="15" s="1"/>
  <c r="F425" i="15"/>
  <c r="G425" i="15" s="1"/>
  <c r="G429" i="15" s="1"/>
  <c r="E431" i="15" s="1"/>
  <c r="F441" i="15"/>
  <c r="G441" i="15" s="1"/>
  <c r="G445" i="15" s="1"/>
  <c r="G447" i="15" s="1"/>
  <c r="K621" i="26"/>
  <c r="M621" i="26" s="1"/>
  <c r="N621" i="26" s="1"/>
  <c r="E698" i="15"/>
  <c r="E703" i="15" s="1"/>
  <c r="E704" i="15" s="1"/>
  <c r="E673" i="15"/>
  <c r="E678" i="15" s="1"/>
  <c r="E679" i="15" s="1"/>
  <c r="G698" i="15"/>
  <c r="G703" i="15" s="1"/>
  <c r="G704" i="15" s="1"/>
  <c r="F1299" i="15"/>
  <c r="G1299" i="15" s="1"/>
  <c r="K327" i="26"/>
  <c r="K334" i="26"/>
  <c r="J121" i="13"/>
  <c r="K121" i="13" s="1"/>
  <c r="J149" i="10"/>
  <c r="K149" i="10" s="1"/>
  <c r="J119" i="2"/>
  <c r="K119" i="2" s="1"/>
  <c r="J120" i="12"/>
  <c r="K120" i="12" s="1"/>
  <c r="J275" i="2"/>
  <c r="K275" i="2" s="1"/>
  <c r="J53" i="20"/>
  <c r="K53" i="20" s="1"/>
  <c r="J276" i="12"/>
  <c r="K276" i="12" s="1"/>
  <c r="J284" i="7"/>
  <c r="K284" i="7" s="1"/>
  <c r="J329" i="9"/>
  <c r="K329" i="9" s="1"/>
  <c r="J343" i="10"/>
  <c r="K343" i="10" s="1"/>
  <c r="J317" i="10"/>
  <c r="K317" i="10" s="1"/>
  <c r="K720" i="26"/>
  <c r="M720" i="26" s="1"/>
  <c r="N720" i="26" s="1"/>
  <c r="J297" i="12"/>
  <c r="K297" i="12" s="1"/>
  <c r="J296" i="2"/>
  <c r="K296" i="2" s="1"/>
  <c r="G847" i="15"/>
  <c r="I334" i="47" s="1"/>
  <c r="J334" i="47" s="1"/>
  <c r="J355" i="9"/>
  <c r="K355" i="9" s="1"/>
  <c r="J277" i="13"/>
  <c r="K277" i="13" s="1"/>
  <c r="J307" i="7"/>
  <c r="K307" i="7" s="1"/>
  <c r="J298" i="13"/>
  <c r="K298" i="13" s="1"/>
  <c r="K708" i="26"/>
  <c r="M708" i="26" s="1"/>
  <c r="N708" i="26" s="1"/>
  <c r="F473" i="15"/>
  <c r="G473" i="15" s="1"/>
  <c r="G477" i="15" s="1"/>
  <c r="F479" i="15" s="1"/>
  <c r="F631" i="15"/>
  <c r="F632" i="15" s="1"/>
  <c r="G409" i="15"/>
  <c r="G413" i="15" s="1"/>
  <c r="F415" i="15" s="1"/>
  <c r="G539" i="15"/>
  <c r="K183" i="60" s="1"/>
  <c r="M183" i="60" s="1"/>
  <c r="N183" i="60" s="1"/>
  <c r="J154" i="9"/>
  <c r="K154" i="9" s="1"/>
  <c r="E788" i="15"/>
  <c r="G788" i="15" s="1"/>
  <c r="G789" i="15" s="1"/>
  <c r="G791" i="15" s="1"/>
  <c r="J290" i="12"/>
  <c r="K290" i="12" s="1"/>
  <c r="J299" i="7"/>
  <c r="K299" i="7" s="1"/>
  <c r="K739" i="26"/>
  <c r="M739" i="26" s="1"/>
  <c r="N739" i="26" s="1"/>
  <c r="J289" i="2"/>
  <c r="K289" i="2" s="1"/>
  <c r="J344" i="9"/>
  <c r="K344" i="9" s="1"/>
  <c r="J291" i="13"/>
  <c r="K291" i="13" s="1"/>
  <c r="K746" i="26"/>
  <c r="M746" i="26" s="1"/>
  <c r="N746" i="26" s="1"/>
  <c r="J332" i="10"/>
  <c r="K332" i="10" s="1"/>
  <c r="J349" i="37"/>
  <c r="J419" i="36"/>
  <c r="J420" i="36" s="1"/>
  <c r="G538" i="28"/>
  <c r="G539" i="28" s="1"/>
  <c r="G542" i="28" s="1"/>
  <c r="F712" i="15"/>
  <c r="G712" i="15" s="1"/>
  <c r="F851" i="15"/>
  <c r="G851" i="15" s="1"/>
  <c r="G858" i="15" s="1"/>
  <c r="G860" i="15" s="1"/>
  <c r="H37" i="44"/>
  <c r="H38" i="44" s="1"/>
  <c r="H39" i="44" s="1"/>
  <c r="G37" i="44"/>
  <c r="G38" i="44" s="1"/>
  <c r="H36" i="45"/>
  <c r="H37" i="45" s="1"/>
  <c r="H39" i="45" s="1"/>
  <c r="G36" i="45"/>
  <c r="G37" i="45" s="1"/>
  <c r="G39" i="45" s="1"/>
  <c r="J132" i="36"/>
  <c r="N508" i="26"/>
  <c r="L939" i="26"/>
  <c r="G556" i="15"/>
  <c r="G557" i="15" s="1"/>
  <c r="J125" i="53" s="1"/>
  <c r="K125" i="53" s="1"/>
  <c r="E37" i="45"/>
  <c r="G102" i="15"/>
  <c r="G107" i="15" s="1"/>
  <c r="F112" i="15"/>
  <c r="G304" i="28"/>
  <c r="G297" i="28"/>
  <c r="E298" i="28" s="1"/>
  <c r="G298" i="28" s="1"/>
  <c r="G299" i="28" s="1"/>
  <c r="G302" i="28" s="1"/>
  <c r="N940" i="26"/>
  <c r="K940" i="26"/>
  <c r="F605" i="28"/>
  <c r="F610" i="28" s="1"/>
  <c r="F611" i="28" s="1"/>
  <c r="F613" i="28" s="1"/>
  <c r="E605" i="28"/>
  <c r="E610" i="28" s="1"/>
  <c r="E611" i="28" s="1"/>
  <c r="E613" i="28" s="1"/>
  <c r="G605" i="28"/>
  <c r="G610" i="28" s="1"/>
  <c r="G611" i="28" s="1"/>
  <c r="G613" i="28" s="1"/>
  <c r="E730" i="28"/>
  <c r="G730" i="28" s="1"/>
  <c r="G731" i="28" s="1"/>
  <c r="G734" i="28" s="1"/>
  <c r="F738" i="28"/>
  <c r="G738" i="28" s="1"/>
  <c r="G745" i="28" s="1"/>
  <c r="G747" i="28" s="1"/>
  <c r="F619" i="28"/>
  <c r="G619" i="28" s="1"/>
  <c r="G362" i="15"/>
  <c r="G366" i="15" s="1"/>
  <c r="G378" i="15"/>
  <c r="G382" i="15" s="1"/>
  <c r="F745" i="15"/>
  <c r="F747" i="15" s="1"/>
  <c r="F748" i="15" s="1"/>
  <c r="F751" i="15" s="1"/>
  <c r="K678" i="26"/>
  <c r="M678" i="26" s="1"/>
  <c r="N678" i="26" s="1"/>
  <c r="E745" i="15"/>
  <c r="E747" i="15" s="1"/>
  <c r="E748" i="15" s="1"/>
  <c r="E751" i="15" s="1"/>
  <c r="I325" i="47" s="1"/>
  <c r="J325" i="47" s="1"/>
  <c r="G745" i="15"/>
  <c r="G747" i="15" s="1"/>
  <c r="G748" i="15" s="1"/>
  <c r="G751" i="15" s="1"/>
  <c r="K692" i="26"/>
  <c r="M692" i="26" s="1"/>
  <c r="N692" i="26" s="1"/>
  <c r="F379" i="28"/>
  <c r="G379" i="28" s="1"/>
  <c r="G383" i="28" s="1"/>
  <c r="F427" i="28"/>
  <c r="G427" i="28" s="1"/>
  <c r="G431" i="28" s="1"/>
  <c r="F411" i="28"/>
  <c r="G411" i="28" s="1"/>
  <c r="G415" i="28" s="1"/>
  <c r="F442" i="28"/>
  <c r="G442" i="28" s="1"/>
  <c r="G446" i="28" s="1"/>
  <c r="G448" i="28" s="1"/>
  <c r="F395" i="28"/>
  <c r="G395" i="28" s="1"/>
  <c r="G399" i="28" s="1"/>
  <c r="G363" i="28"/>
  <c r="G367" i="28" s="1"/>
  <c r="G90" i="28"/>
  <c r="G95" i="28" s="1"/>
  <c r="F100" i="28"/>
  <c r="J28" i="23"/>
  <c r="K28" i="23" s="1"/>
  <c r="G312" i="15"/>
  <c r="A160" i="40"/>
  <c r="I20" i="14"/>
  <c r="J20" i="14" s="1"/>
  <c r="K20" i="14" s="1"/>
  <c r="R20" i="14" s="1"/>
  <c r="F1257" i="15" s="1"/>
  <c r="G1257" i="15" s="1"/>
  <c r="E42" i="44"/>
  <c r="I471" i="31"/>
  <c r="J471" i="31" s="1"/>
  <c r="J473" i="31" s="1"/>
  <c r="I474" i="31" s="1"/>
  <c r="J474" i="31" s="1"/>
  <c r="J456" i="31"/>
  <c r="J459" i="31" s="1"/>
  <c r="I460" i="31" s="1"/>
  <c r="J460" i="31" s="1"/>
  <c r="J461" i="31" s="1"/>
  <c r="J462" i="31" s="1"/>
  <c r="J313" i="31"/>
  <c r="J316" i="31" s="1"/>
  <c r="H317" i="31" s="1"/>
  <c r="Q313" i="31"/>
  <c r="R313" i="31" s="1"/>
  <c r="R316" i="31" s="1"/>
  <c r="Q264" i="31"/>
  <c r="R264" i="31" s="1"/>
  <c r="R267" i="31" s="1"/>
  <c r="P268" i="31" s="1"/>
  <c r="R268" i="31" s="1"/>
  <c r="R269" i="31" s="1"/>
  <c r="J264" i="31"/>
  <c r="J267" i="31" s="1"/>
  <c r="H268" i="31" s="1"/>
  <c r="J268" i="31" s="1"/>
  <c r="J269" i="31" s="1"/>
  <c r="J300" i="31"/>
  <c r="J303" i="31" s="1"/>
  <c r="H304" i="31" s="1"/>
  <c r="J304" i="31" s="1"/>
  <c r="J305" i="31" s="1"/>
  <c r="Q300" i="31"/>
  <c r="R300" i="31" s="1"/>
  <c r="R303" i="31" s="1"/>
  <c r="P304" i="31" s="1"/>
  <c r="R304" i="31" s="1"/>
  <c r="R305" i="31" s="1"/>
  <c r="R384" i="36"/>
  <c r="J134" i="37"/>
  <c r="J407" i="31"/>
  <c r="J410" i="31" s="1"/>
  <c r="H411" i="31" s="1"/>
  <c r="J411" i="31" s="1"/>
  <c r="J412" i="31" s="1"/>
  <c r="Q407" i="31"/>
  <c r="R407" i="31" s="1"/>
  <c r="R410" i="31" s="1"/>
  <c r="P411" i="31" s="1"/>
  <c r="R411" i="31" s="1"/>
  <c r="R412" i="31" s="1"/>
  <c r="J420" i="31"/>
  <c r="J423" i="31" s="1"/>
  <c r="I424" i="31" s="1"/>
  <c r="J424" i="31" s="1"/>
  <c r="J425" i="31" s="1"/>
  <c r="Q420" i="31"/>
  <c r="R420" i="31" s="1"/>
  <c r="R423" i="31" s="1"/>
  <c r="Q424" i="31" s="1"/>
  <c r="R424" i="31" s="1"/>
  <c r="R425" i="31" s="1"/>
  <c r="J277" i="31"/>
  <c r="J280" i="31" s="1"/>
  <c r="H281" i="31" s="1"/>
  <c r="J281" i="31" s="1"/>
  <c r="J282" i="31" s="1"/>
  <c r="Q277" i="31"/>
  <c r="R277" i="31" s="1"/>
  <c r="R280" i="31" s="1"/>
  <c r="P281" i="31" s="1"/>
  <c r="R281" i="31" s="1"/>
  <c r="R282" i="31" s="1"/>
  <c r="J133" i="30"/>
  <c r="J61" i="37"/>
  <c r="G115" i="34"/>
  <c r="H101" i="34"/>
  <c r="J314" i="37"/>
  <c r="J98" i="31"/>
  <c r="J97" i="33"/>
  <c r="J391" i="33"/>
  <c r="J390" i="31"/>
  <c r="J355" i="31"/>
  <c r="J208" i="31"/>
  <c r="I421" i="30"/>
  <c r="J421" i="30" s="1"/>
  <c r="J422" i="30" s="1"/>
  <c r="G635" i="15"/>
  <c r="K418" i="26"/>
  <c r="M418" i="26" s="1"/>
  <c r="N418" i="26" s="1"/>
  <c r="H314" i="30"/>
  <c r="J315" i="30"/>
  <c r="K650" i="26"/>
  <c r="M650" i="26" s="1"/>
  <c r="N650" i="26" s="1"/>
  <c r="Q421" i="30"/>
  <c r="R421" i="30" s="1"/>
  <c r="R422" i="30" s="1"/>
  <c r="P301" i="30"/>
  <c r="R301" i="30" s="1"/>
  <c r="R302" i="30" s="1"/>
  <c r="I6" i="48"/>
  <c r="J6" i="48" s="1"/>
  <c r="J418" i="2"/>
  <c r="K418" i="2" s="1"/>
  <c r="J462" i="9"/>
  <c r="K462" i="9" s="1"/>
  <c r="J451" i="10"/>
  <c r="K451" i="10" s="1"/>
  <c r="K846" i="26"/>
  <c r="M846" i="26" s="1"/>
  <c r="N846" i="26" s="1"/>
  <c r="J10" i="21"/>
  <c r="K10" i="21" s="1"/>
  <c r="J419" i="12"/>
  <c r="K419" i="12" s="1"/>
  <c r="J415" i="7"/>
  <c r="K415" i="7" s="1"/>
  <c r="J399" i="13"/>
  <c r="K399" i="13" s="1"/>
  <c r="N384" i="9"/>
  <c r="J60" i="33"/>
  <c r="J45" i="7"/>
  <c r="K45" i="7" s="1"/>
  <c r="G177" i="15"/>
  <c r="J52" i="10"/>
  <c r="K52" i="10" s="1"/>
  <c r="J52" i="9"/>
  <c r="K52" i="9" s="1"/>
  <c r="J44" i="12"/>
  <c r="K44" i="12" s="1"/>
  <c r="K75" i="26"/>
  <c r="M75" i="26" s="1"/>
  <c r="J43" i="13"/>
  <c r="K43" i="13" s="1"/>
  <c r="J43" i="2"/>
  <c r="K43" i="2" s="1"/>
  <c r="H301" i="30"/>
  <c r="J301" i="30" s="1"/>
  <c r="J302" i="30" s="1"/>
  <c r="J206" i="37"/>
  <c r="J356" i="33"/>
  <c r="J167" i="7"/>
  <c r="K167" i="7" s="1"/>
  <c r="J201" i="10"/>
  <c r="K201" i="10" s="1"/>
  <c r="J166" i="13"/>
  <c r="K166" i="13" s="1"/>
  <c r="E635" i="15"/>
  <c r="J206" i="9"/>
  <c r="K206" i="9" s="1"/>
  <c r="J165" i="12"/>
  <c r="K165" i="12" s="1"/>
  <c r="K372" i="26"/>
  <c r="M372" i="26" s="1"/>
  <c r="N372" i="26" s="1"/>
  <c r="J164" i="2"/>
  <c r="K164" i="2" s="1"/>
  <c r="J25" i="20"/>
  <c r="K25" i="20" s="1"/>
  <c r="R315" i="30"/>
  <c r="P314" i="30"/>
  <c r="J326" i="12"/>
  <c r="K326" i="12" s="1"/>
  <c r="J336" i="7"/>
  <c r="K336" i="7" s="1"/>
  <c r="J327" i="13"/>
  <c r="K327" i="13" s="1"/>
  <c r="J325" i="2"/>
  <c r="K325" i="2" s="1"/>
  <c r="J372" i="10"/>
  <c r="K372" i="10" s="1"/>
  <c r="J384" i="9"/>
  <c r="K384" i="9" s="1"/>
  <c r="J61" i="30"/>
  <c r="H265" i="30"/>
  <c r="J265" i="30" s="1"/>
  <c r="J266" i="30" s="1"/>
  <c r="G73" i="34"/>
  <c r="H73" i="34" s="1"/>
  <c r="H74" i="34" s="1"/>
  <c r="G515" i="28"/>
  <c r="G516" i="28" s="1"/>
  <c r="G519" i="28" s="1"/>
  <c r="I383" i="37"/>
  <c r="J383" i="37" s="1"/>
  <c r="J384" i="37" s="1"/>
  <c r="P265" i="30"/>
  <c r="R265" i="30" s="1"/>
  <c r="R266" i="30" s="1"/>
  <c r="P240" i="37"/>
  <c r="R240" i="37" s="1"/>
  <c r="R241" i="37" s="1"/>
  <c r="Q383" i="37"/>
  <c r="R383" i="37" s="1"/>
  <c r="R384" i="37" s="1"/>
  <c r="E515" i="28"/>
  <c r="E516" i="28" s="1"/>
  <c r="E519" i="28" s="1"/>
  <c r="P412" i="33"/>
  <c r="R412" i="33" s="1"/>
  <c r="R413" i="33" s="1"/>
  <c r="I475" i="33"/>
  <c r="J475" i="33" s="1"/>
  <c r="J476" i="33" s="1"/>
  <c r="I239" i="30"/>
  <c r="J239" i="30" s="1"/>
  <c r="J241" i="30" s="1"/>
  <c r="J228" i="30"/>
  <c r="J230" i="30" s="1"/>
  <c r="H193" i="30"/>
  <c r="J193" i="30" s="1"/>
  <c r="J194" i="30" s="1"/>
  <c r="H227" i="37"/>
  <c r="J227" i="37" s="1"/>
  <c r="J228" i="37" s="1"/>
  <c r="I433" i="37"/>
  <c r="J433" i="37" s="1"/>
  <c r="J434" i="37" s="1"/>
  <c r="F515" i="28"/>
  <c r="F516" i="28" s="1"/>
  <c r="F519" i="28" s="1"/>
  <c r="H412" i="33"/>
  <c r="J412" i="33" s="1"/>
  <c r="J413" i="33" s="1"/>
  <c r="J319" i="33"/>
  <c r="H318" i="33"/>
  <c r="P305" i="33"/>
  <c r="R305" i="33" s="1"/>
  <c r="R306" i="33" s="1"/>
  <c r="G88" i="34"/>
  <c r="H88" i="34" s="1"/>
  <c r="H89" i="34" s="1"/>
  <c r="H90" i="34" s="1"/>
  <c r="H103" i="34"/>
  <c r="G117" i="34"/>
  <c r="I243" i="33"/>
  <c r="J243" i="33" s="1"/>
  <c r="J232" i="33"/>
  <c r="H204" i="38"/>
  <c r="J204" i="38" s="1"/>
  <c r="J205" i="38" s="1"/>
  <c r="J236" i="38"/>
  <c r="J239" i="38" s="1"/>
  <c r="Q236" i="38"/>
  <c r="R236" i="38" s="1"/>
  <c r="R239" i="38" s="1"/>
  <c r="Q272" i="38"/>
  <c r="R272" i="38" s="1"/>
  <c r="R275" i="38" s="1"/>
  <c r="J272" i="38"/>
  <c r="J275" i="38" s="1"/>
  <c r="I430" i="38"/>
  <c r="J430" i="38" s="1"/>
  <c r="J432" i="38" s="1"/>
  <c r="J415" i="38"/>
  <c r="J418" i="38" s="1"/>
  <c r="J366" i="38"/>
  <c r="J369" i="38" s="1"/>
  <c r="Q366" i="38"/>
  <c r="R366" i="38" s="1"/>
  <c r="R369" i="38" s="1"/>
  <c r="J387" i="30"/>
  <c r="J133" i="33"/>
  <c r="P263" i="37"/>
  <c r="R263" i="37" s="1"/>
  <c r="R264" i="37" s="1"/>
  <c r="R278" i="37" s="1"/>
  <c r="H305" i="33"/>
  <c r="J305" i="33" s="1"/>
  <c r="J306" i="33" s="1"/>
  <c r="H408" i="30"/>
  <c r="J408" i="30" s="1"/>
  <c r="J409" i="30" s="1"/>
  <c r="J194" i="53"/>
  <c r="I183" i="47"/>
  <c r="J183" i="47" s="1"/>
  <c r="P269" i="33"/>
  <c r="R269" i="33" s="1"/>
  <c r="R270" i="33" s="1"/>
  <c r="G157" i="15"/>
  <c r="J25" i="13"/>
  <c r="K25" i="13" s="1"/>
  <c r="J25" i="2"/>
  <c r="K25" i="2" s="1"/>
  <c r="H174" i="15"/>
  <c r="H175" i="15" s="1"/>
  <c r="K84" i="26"/>
  <c r="M84" i="26" s="1"/>
  <c r="N84" i="26" s="1"/>
  <c r="J29" i="10"/>
  <c r="K29" i="10" s="1"/>
  <c r="J26" i="12"/>
  <c r="K26" i="12" s="1"/>
  <c r="J12" i="23"/>
  <c r="K12" i="23" s="1"/>
  <c r="F1256" i="15"/>
  <c r="G1256" i="15" s="1"/>
  <c r="J29" i="9"/>
  <c r="K29" i="9" s="1"/>
  <c r="J26" i="7"/>
  <c r="K26" i="7" s="1"/>
  <c r="H282" i="33"/>
  <c r="J282" i="33" s="1"/>
  <c r="J283" i="33" s="1"/>
  <c r="H96" i="38"/>
  <c r="J96" i="38" s="1"/>
  <c r="J97" i="38" s="1"/>
  <c r="H347" i="38"/>
  <c r="J347" i="38" s="1"/>
  <c r="J348" i="38" s="1"/>
  <c r="H335" i="38"/>
  <c r="J335" i="38" s="1"/>
  <c r="J336" i="38" s="1"/>
  <c r="H84" i="38"/>
  <c r="J84" i="38" s="1"/>
  <c r="J85" i="38" s="1"/>
  <c r="H132" i="38"/>
  <c r="J132" i="38" s="1"/>
  <c r="J133" i="38" s="1"/>
  <c r="J170" i="31"/>
  <c r="J169" i="33"/>
  <c r="J384" i="36"/>
  <c r="I419" i="37"/>
  <c r="J419" i="37" s="1"/>
  <c r="J420" i="37" s="1"/>
  <c r="J421" i="37" s="1"/>
  <c r="P278" i="30"/>
  <c r="R278" i="30" s="1"/>
  <c r="R279" i="30" s="1"/>
  <c r="P370" i="37"/>
  <c r="R370" i="37" s="1"/>
  <c r="R371" i="37" s="1"/>
  <c r="I425" i="33"/>
  <c r="J425" i="33" s="1"/>
  <c r="J426" i="33" s="1"/>
  <c r="I471" i="30"/>
  <c r="J471" i="30" s="1"/>
  <c r="J472" i="30" s="1"/>
  <c r="H263" i="37"/>
  <c r="J263" i="37" s="1"/>
  <c r="J264" i="37" s="1"/>
  <c r="J278" i="37" s="1"/>
  <c r="H269" i="33"/>
  <c r="J269" i="33" s="1"/>
  <c r="J270" i="33" s="1"/>
  <c r="P282" i="33"/>
  <c r="R282" i="33" s="1"/>
  <c r="R283" i="33" s="1"/>
  <c r="H312" i="38"/>
  <c r="J312" i="38" s="1"/>
  <c r="J313" i="38" s="1"/>
  <c r="J259" i="38"/>
  <c r="J262" i="38" s="1"/>
  <c r="Q259" i="38"/>
  <c r="R259" i="38" s="1"/>
  <c r="R262" i="38" s="1"/>
  <c r="H168" i="38"/>
  <c r="J168" i="38" s="1"/>
  <c r="J169" i="38" s="1"/>
  <c r="H299" i="38"/>
  <c r="J299" i="38" s="1"/>
  <c r="J300" i="38" s="1"/>
  <c r="Q223" i="38"/>
  <c r="R223" i="38" s="1"/>
  <c r="R226" i="38" s="1"/>
  <c r="J223" i="38"/>
  <c r="J226" i="38" s="1"/>
  <c r="H193" i="38"/>
  <c r="J193" i="38" s="1"/>
  <c r="J194" i="38" s="1"/>
  <c r="P227" i="37"/>
  <c r="R227" i="37" s="1"/>
  <c r="R228" i="37" s="1"/>
  <c r="R319" i="33"/>
  <c r="P318" i="33"/>
  <c r="P408" i="30"/>
  <c r="R408" i="30" s="1"/>
  <c r="R409" i="30" s="1"/>
  <c r="H240" i="37"/>
  <c r="J240" i="37" s="1"/>
  <c r="J241" i="37" s="1"/>
  <c r="I461" i="33"/>
  <c r="J461" i="33" s="1"/>
  <c r="J462" i="33" s="1"/>
  <c r="J463" i="33" s="1"/>
  <c r="H370" i="37"/>
  <c r="J370" i="37" s="1"/>
  <c r="J371" i="37" s="1"/>
  <c r="Q425" i="33"/>
  <c r="R425" i="33" s="1"/>
  <c r="R426" i="33" s="1"/>
  <c r="H278" i="30"/>
  <c r="J278" i="30" s="1"/>
  <c r="J279" i="30" s="1"/>
  <c r="I457" i="30"/>
  <c r="J457" i="30" s="1"/>
  <c r="J458" i="30" s="1"/>
  <c r="J459" i="30" s="1"/>
  <c r="H102" i="34"/>
  <c r="G116" i="34"/>
  <c r="H195" i="33"/>
  <c r="J195" i="33" s="1"/>
  <c r="J196" i="33" s="1"/>
  <c r="J208" i="33" s="1"/>
  <c r="I406" i="38"/>
  <c r="J406" i="38" s="1"/>
  <c r="J407" i="38" s="1"/>
  <c r="H121" i="38"/>
  <c r="J121" i="38" s="1"/>
  <c r="J122" i="38" s="1"/>
  <c r="Q379" i="38"/>
  <c r="R379" i="38" s="1"/>
  <c r="R382" i="38" s="1"/>
  <c r="J379" i="38"/>
  <c r="J382" i="38" s="1"/>
  <c r="H157" i="38"/>
  <c r="J157" i="38" s="1"/>
  <c r="J158" i="38" s="1"/>
  <c r="H59" i="38"/>
  <c r="J59" i="38" s="1"/>
  <c r="J60" i="38" s="1"/>
  <c r="H48" i="38"/>
  <c r="J48" i="38" s="1"/>
  <c r="J49" i="38" s="1"/>
  <c r="J170" i="37"/>
  <c r="J98" i="37"/>
  <c r="R241" i="36"/>
  <c r="J352" i="30"/>
  <c r="K312" i="57" l="1"/>
  <c r="N312" i="57" s="1"/>
  <c r="N364" i="57" s="1"/>
  <c r="K312" i="60"/>
  <c r="M312" i="60" s="1"/>
  <c r="N312" i="60" s="1"/>
  <c r="J426" i="31"/>
  <c r="E447" i="15"/>
  <c r="F447" i="15"/>
  <c r="F450" i="15" s="1"/>
  <c r="F451" i="15" s="1"/>
  <c r="G33" i="56"/>
  <c r="H33" i="56" s="1"/>
  <c r="G18" i="56"/>
  <c r="H18" i="56" s="1"/>
  <c r="R283" i="31"/>
  <c r="G40" i="56"/>
  <c r="H40" i="56" s="1"/>
  <c r="M316" i="57"/>
  <c r="K57" i="57"/>
  <c r="G17" i="56" s="1"/>
  <c r="K57" i="60"/>
  <c r="M57" i="60" s="1"/>
  <c r="N57" i="60" s="1"/>
  <c r="J318" i="31"/>
  <c r="J319" i="31" s="1"/>
  <c r="N17" i="60"/>
  <c r="L364" i="60"/>
  <c r="G39" i="56"/>
  <c r="H39" i="56" s="1"/>
  <c r="M312" i="57"/>
  <c r="J206" i="38"/>
  <c r="J493" i="58"/>
  <c r="J130" i="53"/>
  <c r="K130" i="53" s="1"/>
  <c r="K183" i="57"/>
  <c r="E463" i="15"/>
  <c r="E466" i="15" s="1"/>
  <c r="E467" i="15" s="1"/>
  <c r="E470" i="15" s="1"/>
  <c r="K194" i="53"/>
  <c r="J278" i="10"/>
  <c r="K278" i="10" s="1"/>
  <c r="E681" i="15"/>
  <c r="J270" i="53" s="1"/>
  <c r="K270" i="53" s="1"/>
  <c r="K639" i="26"/>
  <c r="M639" i="26" s="1"/>
  <c r="N639" i="26" s="1"/>
  <c r="E706" i="15"/>
  <c r="J288" i="53" s="1"/>
  <c r="K660" i="26"/>
  <c r="M660" i="26" s="1"/>
  <c r="N660" i="26" s="1"/>
  <c r="G706" i="15"/>
  <c r="F431" i="15"/>
  <c r="F434" i="15" s="1"/>
  <c r="F435" i="15" s="1"/>
  <c r="F438" i="15" s="1"/>
  <c r="F463" i="15"/>
  <c r="F466" i="15" s="1"/>
  <c r="F467" i="15" s="1"/>
  <c r="F470" i="15" s="1"/>
  <c r="G463" i="15"/>
  <c r="G466" i="15" s="1"/>
  <c r="G467" i="15" s="1"/>
  <c r="G470" i="15" s="1"/>
  <c r="G431" i="15"/>
  <c r="G434" i="15" s="1"/>
  <c r="G435" i="15" s="1"/>
  <c r="G438" i="15" s="1"/>
  <c r="G496" i="15"/>
  <c r="G499" i="15" s="1"/>
  <c r="G500" i="15" s="1"/>
  <c r="G503" i="15" s="1"/>
  <c r="E585" i="28"/>
  <c r="E586" i="28" s="1"/>
  <c r="E588" i="28" s="1"/>
  <c r="J40" i="20"/>
  <c r="K40" i="20" s="1"/>
  <c r="J237" i="12"/>
  <c r="K237" i="12" s="1"/>
  <c r="F496" i="15"/>
  <c r="F499" i="15" s="1"/>
  <c r="F500" i="15" s="1"/>
  <c r="K630" i="26"/>
  <c r="M630" i="26" s="1"/>
  <c r="N630" i="26" s="1"/>
  <c r="G479" i="15"/>
  <c r="G482" i="15" s="1"/>
  <c r="G483" i="15" s="1"/>
  <c r="G486" i="15" s="1"/>
  <c r="J290" i="9"/>
  <c r="K290" i="9" s="1"/>
  <c r="J238" i="13"/>
  <c r="K238" i="13" s="1"/>
  <c r="J245" i="7"/>
  <c r="K245" i="7" s="1"/>
  <c r="K598" i="26"/>
  <c r="M598" i="26" s="1"/>
  <c r="N598" i="26" s="1"/>
  <c r="E479" i="15"/>
  <c r="E482" i="15" s="1"/>
  <c r="E483" i="15" s="1"/>
  <c r="E486" i="15" s="1"/>
  <c r="J236" i="2"/>
  <c r="K236" i="2" s="1"/>
  <c r="J47" i="20"/>
  <c r="K47" i="20" s="1"/>
  <c r="J246" i="12"/>
  <c r="K246" i="12" s="1"/>
  <c r="K401" i="26"/>
  <c r="M401" i="26" s="1"/>
  <c r="N401" i="26" s="1"/>
  <c r="F635" i="15"/>
  <c r="F1301" i="15"/>
  <c r="G1301" i="15" s="1"/>
  <c r="G1304" i="15" s="1"/>
  <c r="E415" i="15"/>
  <c r="E418" i="15" s="1"/>
  <c r="E419" i="15" s="1"/>
  <c r="I160" i="47"/>
  <c r="J160" i="47" s="1"/>
  <c r="G415" i="15"/>
  <c r="G418" i="15" s="1"/>
  <c r="G419" i="15" s="1"/>
  <c r="G39" i="44"/>
  <c r="G40" i="44" s="1"/>
  <c r="G41" i="44" s="1"/>
  <c r="J286" i="13"/>
  <c r="K286" i="13" s="1"/>
  <c r="K735" i="26"/>
  <c r="M735" i="26" s="1"/>
  <c r="N735" i="26" s="1"/>
  <c r="J284" i="2"/>
  <c r="K284" i="2" s="1"/>
  <c r="K727" i="26"/>
  <c r="M727" i="26" s="1"/>
  <c r="N727" i="26" s="1"/>
  <c r="J294" i="7"/>
  <c r="K294" i="7" s="1"/>
  <c r="J327" i="10"/>
  <c r="K327" i="10" s="1"/>
  <c r="J339" i="9"/>
  <c r="K339" i="9" s="1"/>
  <c r="J285" i="12"/>
  <c r="K285" i="12" s="1"/>
  <c r="G749" i="28"/>
  <c r="F749" i="28"/>
  <c r="F751" i="28" s="1"/>
  <c r="F752" i="28" s="1"/>
  <c r="F754" i="28" s="1"/>
  <c r="E749" i="28"/>
  <c r="E751" i="28" s="1"/>
  <c r="E752" i="28" s="1"/>
  <c r="E754" i="28" s="1"/>
  <c r="F829" i="28"/>
  <c r="G829" i="28" s="1"/>
  <c r="G835" i="28" s="1"/>
  <c r="F621" i="28"/>
  <c r="G621" i="28" s="1"/>
  <c r="G630" i="28" s="1"/>
  <c r="E631" i="28" s="1"/>
  <c r="G631" i="28" s="1"/>
  <c r="G632" i="28" s="1"/>
  <c r="G634" i="28" s="1"/>
  <c r="G384" i="15"/>
  <c r="G387" i="15" s="1"/>
  <c r="G388" i="15" s="1"/>
  <c r="K166" i="26" s="1"/>
  <c r="M166" i="26" s="1"/>
  <c r="N166" i="26" s="1"/>
  <c r="F384" i="15"/>
  <c r="F387" i="15" s="1"/>
  <c r="F388" i="15" s="1"/>
  <c r="K159" i="26" s="1"/>
  <c r="M159" i="26" s="1"/>
  <c r="N159" i="26" s="1"/>
  <c r="E384" i="15"/>
  <c r="E387" i="15" s="1"/>
  <c r="E388" i="15" s="1"/>
  <c r="E391" i="15" s="1"/>
  <c r="G315" i="28"/>
  <c r="G319" i="28" s="1"/>
  <c r="G308" i="28"/>
  <c r="I280" i="47"/>
  <c r="J280" i="47" s="1"/>
  <c r="J318" i="53"/>
  <c r="G369" i="28"/>
  <c r="G372" i="28" s="1"/>
  <c r="G373" i="28" s="1"/>
  <c r="G376" i="28" s="1"/>
  <c r="F369" i="28"/>
  <c r="F372" i="28" s="1"/>
  <c r="F373" i="28" s="1"/>
  <c r="F376" i="28" s="1"/>
  <c r="E369" i="28"/>
  <c r="E372" i="28" s="1"/>
  <c r="E373" i="28" s="1"/>
  <c r="E376" i="28" s="1"/>
  <c r="E368" i="15"/>
  <c r="E371" i="15" s="1"/>
  <c r="E372" i="15" s="1"/>
  <c r="J113" i="7" s="1"/>
  <c r="K113" i="7" s="1"/>
  <c r="F368" i="15"/>
  <c r="F371" i="15" s="1"/>
  <c r="F372" i="15" s="1"/>
  <c r="K300" i="26" s="1"/>
  <c r="M300" i="26" s="1"/>
  <c r="N300" i="26" s="1"/>
  <c r="G368" i="15"/>
  <c r="G371" i="15" s="1"/>
  <c r="G372" i="15" s="1"/>
  <c r="G375" i="15" s="1"/>
  <c r="F122" i="15"/>
  <c r="G112" i="15"/>
  <c r="G117" i="15" s="1"/>
  <c r="F639" i="15" s="1"/>
  <c r="G639" i="15" s="1"/>
  <c r="G644" i="15" s="1"/>
  <c r="R385" i="37"/>
  <c r="R426" i="31"/>
  <c r="E401" i="28"/>
  <c r="E404" i="28" s="1"/>
  <c r="E405" i="28" s="1"/>
  <c r="E408" i="28" s="1"/>
  <c r="F401" i="28"/>
  <c r="F404" i="28" s="1"/>
  <c r="F405" i="28" s="1"/>
  <c r="F408" i="28" s="1"/>
  <c r="G401" i="28"/>
  <c r="G404" i="28" s="1"/>
  <c r="G405" i="28" s="1"/>
  <c r="G408" i="28" s="1"/>
  <c r="F1341" i="15"/>
  <c r="G1341" i="15" s="1"/>
  <c r="G1346" i="15" s="1"/>
  <c r="F1310" i="15"/>
  <c r="G1310" i="15" s="1"/>
  <c r="G1315" i="15" s="1"/>
  <c r="F1332" i="15"/>
  <c r="G1332" i="15" s="1"/>
  <c r="G1337" i="15" s="1"/>
  <c r="F1246" i="15"/>
  <c r="G1246" i="15" s="1"/>
  <c r="G1251" i="15" s="1"/>
  <c r="F943" i="15"/>
  <c r="G943" i="15" s="1"/>
  <c r="G949" i="15" s="1"/>
  <c r="F714" i="15"/>
  <c r="G714" i="15" s="1"/>
  <c r="G723" i="15" s="1"/>
  <c r="J34" i="20"/>
  <c r="K34" i="20" s="1"/>
  <c r="J44" i="23"/>
  <c r="K44" i="23" s="1"/>
  <c r="F862" i="15"/>
  <c r="F864" i="15" s="1"/>
  <c r="F865" i="15" s="1"/>
  <c r="F867" i="15" s="1"/>
  <c r="E862" i="15"/>
  <c r="E864" i="15" s="1"/>
  <c r="E865" i="15" s="1"/>
  <c r="G862" i="15"/>
  <c r="G864" i="15" s="1"/>
  <c r="G865" i="15" s="1"/>
  <c r="G867" i="15" s="1"/>
  <c r="K525" i="26"/>
  <c r="M525" i="26" s="1"/>
  <c r="N525" i="26" s="1"/>
  <c r="E450" i="28"/>
  <c r="E453" i="28" s="1"/>
  <c r="E454" i="28" s="1"/>
  <c r="E457" i="28" s="1"/>
  <c r="F450" i="28"/>
  <c r="G450" i="28"/>
  <c r="G453" i="28" s="1"/>
  <c r="G454" i="28" s="1"/>
  <c r="G457" i="28" s="1"/>
  <c r="G433" i="28"/>
  <c r="G436" i="28" s="1"/>
  <c r="G437" i="28" s="1"/>
  <c r="G440" i="28" s="1"/>
  <c r="F433" i="28"/>
  <c r="F436" i="28" s="1"/>
  <c r="F437" i="28" s="1"/>
  <c r="F440" i="28" s="1"/>
  <c r="E433" i="28"/>
  <c r="E436" i="28" s="1"/>
  <c r="E437" i="28" s="1"/>
  <c r="E440" i="28" s="1"/>
  <c r="F385" i="28"/>
  <c r="F388" i="28" s="1"/>
  <c r="F389" i="28" s="1"/>
  <c r="F392" i="28" s="1"/>
  <c r="G385" i="28"/>
  <c r="G388" i="28" s="1"/>
  <c r="G389" i="28" s="1"/>
  <c r="G392" i="28" s="1"/>
  <c r="E385" i="28"/>
  <c r="E388" i="28" s="1"/>
  <c r="E389" i="28" s="1"/>
  <c r="E392" i="28" s="1"/>
  <c r="E417" i="28"/>
  <c r="E420" i="28" s="1"/>
  <c r="E421" i="28" s="1"/>
  <c r="E424" i="28" s="1"/>
  <c r="F417" i="28"/>
  <c r="G417" i="28"/>
  <c r="G420" i="28" s="1"/>
  <c r="G421" i="28" s="1"/>
  <c r="G424" i="28" s="1"/>
  <c r="I21" i="14"/>
  <c r="A161" i="40"/>
  <c r="G316" i="15"/>
  <c r="E317" i="15" s="1"/>
  <c r="G317" i="15" s="1"/>
  <c r="G318" i="15" s="1"/>
  <c r="J84" i="7" s="1"/>
  <c r="K84" i="7" s="1"/>
  <c r="G323" i="15"/>
  <c r="G40" i="45"/>
  <c r="E38" i="45"/>
  <c r="E41" i="45"/>
  <c r="J316" i="30"/>
  <c r="F110" i="28"/>
  <c r="G100" i="28"/>
  <c r="G105" i="28" s="1"/>
  <c r="F546" i="28" s="1"/>
  <c r="G546" i="28" s="1"/>
  <c r="G551" i="28" s="1"/>
  <c r="J283" i="31"/>
  <c r="J170" i="38"/>
  <c r="J320" i="33"/>
  <c r="J475" i="31"/>
  <c r="P317" i="31"/>
  <c r="R318" i="31"/>
  <c r="R319" i="31" s="1"/>
  <c r="R320" i="33"/>
  <c r="R316" i="30"/>
  <c r="O384" i="9"/>
  <c r="J423" i="30"/>
  <c r="J349" i="38"/>
  <c r="J284" i="33"/>
  <c r="J98" i="38"/>
  <c r="R284" i="33"/>
  <c r="J427" i="33"/>
  <c r="J280" i="30"/>
  <c r="G129" i="34"/>
  <c r="H115" i="34"/>
  <c r="I10" i="48"/>
  <c r="J10" i="48" s="1"/>
  <c r="J14" i="21"/>
  <c r="K14" i="21" s="1"/>
  <c r="K850" i="26"/>
  <c r="M850" i="26" s="1"/>
  <c r="N850" i="26" s="1"/>
  <c r="G91" i="34"/>
  <c r="H91" i="34" s="1"/>
  <c r="H92" i="34" s="1"/>
  <c r="J61" i="38"/>
  <c r="R423" i="30"/>
  <c r="J314" i="38"/>
  <c r="H227" i="38"/>
  <c r="J227" i="38" s="1"/>
  <c r="J228" i="38" s="1"/>
  <c r="P370" i="38"/>
  <c r="R370" i="38" s="1"/>
  <c r="R371" i="38" s="1"/>
  <c r="I383" i="38"/>
  <c r="J383" i="38" s="1"/>
  <c r="J384" i="38" s="1"/>
  <c r="H263" i="38"/>
  <c r="J263" i="38" s="1"/>
  <c r="J264" i="38" s="1"/>
  <c r="F482" i="15"/>
  <c r="F483" i="15" s="1"/>
  <c r="F486" i="15" s="1"/>
  <c r="H242" i="30"/>
  <c r="J242" i="30" s="1"/>
  <c r="J243" i="30" s="1"/>
  <c r="H240" i="38"/>
  <c r="J240" i="38" s="1"/>
  <c r="J241" i="38" s="1"/>
  <c r="J316" i="13"/>
  <c r="K316" i="13" s="1"/>
  <c r="J325" i="7"/>
  <c r="K325" i="7" s="1"/>
  <c r="J206" i="30"/>
  <c r="J361" i="10"/>
  <c r="K361" i="10" s="1"/>
  <c r="J373" i="9"/>
  <c r="K373" i="9" s="1"/>
  <c r="O373" i="9" s="1"/>
  <c r="J314" i="2"/>
  <c r="K314" i="2" s="1"/>
  <c r="J315" i="12"/>
  <c r="K315" i="12" s="1"/>
  <c r="H231" i="30"/>
  <c r="J231" i="30" s="1"/>
  <c r="J232" i="30" s="1"/>
  <c r="G104" i="34"/>
  <c r="H104" i="34" s="1"/>
  <c r="H105" i="34" s="1"/>
  <c r="H106" i="34" s="1"/>
  <c r="P263" i="38"/>
  <c r="R263" i="38" s="1"/>
  <c r="R264" i="38" s="1"/>
  <c r="I419" i="38"/>
  <c r="J419" i="38" s="1"/>
  <c r="J420" i="38" s="1"/>
  <c r="J421" i="38" s="1"/>
  <c r="P240" i="38"/>
  <c r="R240" i="38" s="1"/>
  <c r="R241" i="38" s="1"/>
  <c r="P227" i="38"/>
  <c r="R227" i="38" s="1"/>
  <c r="R228" i="38" s="1"/>
  <c r="F418" i="15"/>
  <c r="F419" i="15" s="1"/>
  <c r="H370" i="38"/>
  <c r="J370" i="38" s="1"/>
  <c r="J371" i="38" s="1"/>
  <c r="R277" i="38"/>
  <c r="P276" i="38"/>
  <c r="E450" i="15"/>
  <c r="E451" i="15" s="1"/>
  <c r="N75" i="26"/>
  <c r="J277" i="38"/>
  <c r="H276" i="38"/>
  <c r="H117" i="34"/>
  <c r="G131" i="34"/>
  <c r="E499" i="15"/>
  <c r="E500" i="15" s="1"/>
  <c r="J134" i="38"/>
  <c r="R242" i="37"/>
  <c r="J242" i="37"/>
  <c r="R427" i="33"/>
  <c r="R280" i="30"/>
  <c r="H116" i="34"/>
  <c r="G130" i="34"/>
  <c r="Q383" i="38"/>
  <c r="R383" i="38" s="1"/>
  <c r="R384" i="38" s="1"/>
  <c r="F1263" i="15"/>
  <c r="G1263" i="15" s="1"/>
  <c r="F1264" i="15" s="1"/>
  <c r="G1264" i="15" s="1"/>
  <c r="J39" i="53"/>
  <c r="I275" i="47"/>
  <c r="J275" i="47" s="1"/>
  <c r="I40" i="47"/>
  <c r="J40" i="47" s="1"/>
  <c r="I433" i="38"/>
  <c r="J433" i="38" s="1"/>
  <c r="J434" i="38" s="1"/>
  <c r="E434" i="15"/>
  <c r="E435" i="15" s="1"/>
  <c r="E438" i="15" s="1"/>
  <c r="G450" i="15"/>
  <c r="G451" i="15" s="1"/>
  <c r="G454" i="15" s="1"/>
  <c r="J385" i="37"/>
  <c r="K126" i="57" l="1"/>
  <c r="K126" i="60"/>
  <c r="M126" i="60" s="1"/>
  <c r="N126" i="60" s="1"/>
  <c r="M183" i="57"/>
  <c r="G29" i="56"/>
  <c r="H29" i="56" s="1"/>
  <c r="G25" i="56"/>
  <c r="H25" i="56" s="1"/>
  <c r="K288" i="53"/>
  <c r="G42" i="56"/>
  <c r="H42" i="56" s="1"/>
  <c r="K39" i="53"/>
  <c r="H17" i="56"/>
  <c r="K318" i="53"/>
  <c r="G46" i="56"/>
  <c r="H46" i="56" s="1"/>
  <c r="E867" i="15"/>
  <c r="K253" i="60" s="1"/>
  <c r="M253" i="60" s="1"/>
  <c r="N253" i="60" s="1"/>
  <c r="F511" i="15"/>
  <c r="E511" i="15"/>
  <c r="G511" i="15"/>
  <c r="F512" i="15"/>
  <c r="G512" i="15" s="1"/>
  <c r="J285" i="10"/>
  <c r="K285" i="10" s="1"/>
  <c r="J245" i="2"/>
  <c r="K245" i="2" s="1"/>
  <c r="I260" i="47"/>
  <c r="J260" i="47" s="1"/>
  <c r="F391" i="15"/>
  <c r="J247" i="13"/>
  <c r="K247" i="13" s="1"/>
  <c r="J297" i="9"/>
  <c r="K297" i="9" s="1"/>
  <c r="J251" i="7"/>
  <c r="K251" i="7" s="1"/>
  <c r="J107" i="2"/>
  <c r="K107" i="2" s="1"/>
  <c r="J108" i="12"/>
  <c r="K108" i="12" s="1"/>
  <c r="J140" i="9"/>
  <c r="K140" i="9" s="1"/>
  <c r="J246" i="53"/>
  <c r="I244" i="47"/>
  <c r="J244" i="47" s="1"/>
  <c r="E375" i="15"/>
  <c r="K164" i="60" s="1"/>
  <c r="M164" i="60" s="1"/>
  <c r="N164" i="60" s="1"/>
  <c r="J109" i="13"/>
  <c r="K109" i="13" s="1"/>
  <c r="K146" i="26"/>
  <c r="M146" i="26" s="1"/>
  <c r="N146" i="26" s="1"/>
  <c r="J86" i="2"/>
  <c r="K86" i="2" s="1"/>
  <c r="J105" i="10"/>
  <c r="K105" i="10" s="1"/>
  <c r="J135" i="10"/>
  <c r="K135" i="10" s="1"/>
  <c r="F375" i="15"/>
  <c r="G391" i="15"/>
  <c r="J87" i="12"/>
  <c r="K87" i="12" s="1"/>
  <c r="J108" i="9"/>
  <c r="K108" i="9" s="1"/>
  <c r="J16" i="20"/>
  <c r="K16" i="20" s="1"/>
  <c r="K289" i="26"/>
  <c r="M289" i="26" s="1"/>
  <c r="N289" i="26" s="1"/>
  <c r="K152" i="26"/>
  <c r="M152" i="26" s="1"/>
  <c r="N152" i="26" s="1"/>
  <c r="J79" i="2"/>
  <c r="K79" i="2" s="1"/>
  <c r="J86" i="13"/>
  <c r="K86" i="13" s="1"/>
  <c r="J91" i="7"/>
  <c r="K91" i="7" s="1"/>
  <c r="E309" i="28"/>
  <c r="G309" i="28" s="1"/>
  <c r="G310" i="28" s="1"/>
  <c r="G313" i="28" s="1"/>
  <c r="J9" i="20"/>
  <c r="K9" i="20" s="1"/>
  <c r="G751" i="28"/>
  <c r="G752" i="28" s="1"/>
  <c r="G754" i="28" s="1"/>
  <c r="E320" i="28"/>
  <c r="G320" i="28" s="1"/>
  <c r="G321" i="28" s="1"/>
  <c r="G324" i="28" s="1"/>
  <c r="J80" i="12"/>
  <c r="K80" i="12" s="1"/>
  <c r="I22" i="14"/>
  <c r="J22" i="14" s="1"/>
  <c r="K22" i="14" s="1"/>
  <c r="R22" i="14" s="1"/>
  <c r="A162" i="40"/>
  <c r="E724" i="15"/>
  <c r="G724" i="15" s="1"/>
  <c r="G725" i="15" s="1"/>
  <c r="G727" i="15" s="1"/>
  <c r="F646" i="15"/>
  <c r="F651" i="15" s="1"/>
  <c r="F652" i="15" s="1"/>
  <c r="G646" i="15"/>
  <c r="G651" i="15" s="1"/>
  <c r="G652" i="15" s="1"/>
  <c r="E646" i="15"/>
  <c r="E651" i="15" s="1"/>
  <c r="E652" i="15" s="1"/>
  <c r="J94" i="10"/>
  <c r="K94" i="10" s="1"/>
  <c r="J21" i="14"/>
  <c r="K21" i="14" s="1"/>
  <c r="R21" i="14" s="1"/>
  <c r="F132" i="15"/>
  <c r="G132" i="15" s="1"/>
  <c r="G137" i="15" s="1"/>
  <c r="G122" i="15"/>
  <c r="G127" i="15" s="1"/>
  <c r="F1321" i="15" s="1"/>
  <c r="G1321" i="15" s="1"/>
  <c r="E1327" i="15" s="1"/>
  <c r="G1327" i="15" s="1"/>
  <c r="G1328" i="15" s="1"/>
  <c r="J311" i="53"/>
  <c r="I289" i="47"/>
  <c r="J289" i="47" s="1"/>
  <c r="G334" i="15"/>
  <c r="G338" i="15" s="1"/>
  <c r="E339" i="15" s="1"/>
  <c r="G339" i="15" s="1"/>
  <c r="G340" i="15" s="1"/>
  <c r="K190" i="26" s="1"/>
  <c r="M190" i="26" s="1"/>
  <c r="N190" i="26" s="1"/>
  <c r="G327" i="15"/>
  <c r="E328" i="15" s="1"/>
  <c r="G328" i="15" s="1"/>
  <c r="G329" i="15" s="1"/>
  <c r="G332" i="15" s="1"/>
  <c r="G321" i="15"/>
  <c r="K109" i="60" s="1"/>
  <c r="M109" i="60" s="1"/>
  <c r="N109" i="60" s="1"/>
  <c r="F951" i="15"/>
  <c r="F956" i="15" s="1"/>
  <c r="F957" i="15" s="1"/>
  <c r="E951" i="15"/>
  <c r="E956" i="15" s="1"/>
  <c r="E957" i="15" s="1"/>
  <c r="G951" i="15"/>
  <c r="G956" i="15" s="1"/>
  <c r="G957" i="15" s="1"/>
  <c r="K129" i="26"/>
  <c r="M129" i="26" s="1"/>
  <c r="N129" i="26" s="1"/>
  <c r="F553" i="28"/>
  <c r="F558" i="28" s="1"/>
  <c r="F559" i="28" s="1"/>
  <c r="F561" i="28" s="1"/>
  <c r="E553" i="28"/>
  <c r="E558" i="28" s="1"/>
  <c r="E559" i="28" s="1"/>
  <c r="E561" i="28" s="1"/>
  <c r="G553" i="28"/>
  <c r="G558" i="28" s="1"/>
  <c r="G559" i="28" s="1"/>
  <c r="G561" i="28" s="1"/>
  <c r="J232" i="7"/>
  <c r="K232" i="7" s="1"/>
  <c r="J265" i="10"/>
  <c r="K265" i="10" s="1"/>
  <c r="J277" i="9"/>
  <c r="K277" i="9" s="1"/>
  <c r="F837" i="28"/>
  <c r="F842" i="28" s="1"/>
  <c r="F843" i="28" s="1"/>
  <c r="F846" i="28" s="1"/>
  <c r="E837" i="28"/>
  <c r="E842" i="28" s="1"/>
  <c r="E843" i="28" s="1"/>
  <c r="E846" i="28" s="1"/>
  <c r="G837" i="28"/>
  <c r="G842" i="28" s="1"/>
  <c r="G843" i="28" s="1"/>
  <c r="G846" i="28" s="1"/>
  <c r="J79" i="13"/>
  <c r="K79" i="13" s="1"/>
  <c r="G110" i="28"/>
  <c r="G115" i="28" s="1"/>
  <c r="F120" i="28"/>
  <c r="G120" i="28" s="1"/>
  <c r="G125" i="28" s="1"/>
  <c r="F453" i="28"/>
  <c r="F454" i="28" s="1"/>
  <c r="F457" i="28" s="1"/>
  <c r="J92" i="9"/>
  <c r="K92" i="9" s="1"/>
  <c r="F420" i="28"/>
  <c r="F421" i="28" s="1"/>
  <c r="F424" i="28" s="1"/>
  <c r="J242" i="38"/>
  <c r="G142" i="34"/>
  <c r="H129" i="34"/>
  <c r="J385" i="38"/>
  <c r="R278" i="38"/>
  <c r="J113" i="12"/>
  <c r="K113" i="12" s="1"/>
  <c r="J114" i="13"/>
  <c r="K114" i="13" s="1"/>
  <c r="E503" i="15"/>
  <c r="J142" i="10"/>
  <c r="K142" i="10" s="1"/>
  <c r="J119" i="7"/>
  <c r="K119" i="7" s="1"/>
  <c r="J112" i="2"/>
  <c r="K112" i="2" s="1"/>
  <c r="K310" i="26"/>
  <c r="M310" i="26" s="1"/>
  <c r="N310" i="26" s="1"/>
  <c r="J147" i="9"/>
  <c r="K147" i="9" s="1"/>
  <c r="K209" i="26"/>
  <c r="M209" i="26" s="1"/>
  <c r="N209" i="26" s="1"/>
  <c r="J126" i="10"/>
  <c r="K126" i="10" s="1"/>
  <c r="J96" i="2"/>
  <c r="K96" i="2" s="1"/>
  <c r="E422" i="15"/>
  <c r="J98" i="13"/>
  <c r="K98" i="13" s="1"/>
  <c r="J129" i="9"/>
  <c r="K129" i="9" s="1"/>
  <c r="J102" i="7"/>
  <c r="K102" i="7" s="1"/>
  <c r="J97" i="12"/>
  <c r="K97" i="12" s="1"/>
  <c r="F422" i="15"/>
  <c r="K222" i="26"/>
  <c r="M222" i="26" s="1"/>
  <c r="N222" i="26" s="1"/>
  <c r="I29" i="48"/>
  <c r="J29" i="48" s="1"/>
  <c r="J418" i="7"/>
  <c r="K418" i="7" s="1"/>
  <c r="J422" i="12"/>
  <c r="K422" i="12" s="1"/>
  <c r="J465" i="9"/>
  <c r="K465" i="9" s="1"/>
  <c r="K854" i="26"/>
  <c r="M854" i="26" s="1"/>
  <c r="N854" i="26" s="1"/>
  <c r="J421" i="2"/>
  <c r="K421" i="2" s="1"/>
  <c r="J454" i="10"/>
  <c r="K454" i="10" s="1"/>
  <c r="J402" i="13"/>
  <c r="K402" i="13" s="1"/>
  <c r="J18" i="21"/>
  <c r="K18" i="21" s="1"/>
  <c r="F454" i="15"/>
  <c r="K253" i="26"/>
  <c r="M253" i="26" s="1"/>
  <c r="N253" i="26" s="1"/>
  <c r="K259" i="26"/>
  <c r="M259" i="26" s="1"/>
  <c r="N259" i="26" s="1"/>
  <c r="J100" i="2"/>
  <c r="K100" i="2" s="1"/>
  <c r="J102" i="13"/>
  <c r="K102" i="13" s="1"/>
  <c r="K267" i="26"/>
  <c r="M267" i="26" s="1"/>
  <c r="N267" i="26" s="1"/>
  <c r="J101" i="12"/>
  <c r="K101" i="12" s="1"/>
  <c r="R385" i="38"/>
  <c r="G143" i="34"/>
  <c r="H130" i="34"/>
  <c r="K275" i="26"/>
  <c r="M275" i="26" s="1"/>
  <c r="N275" i="26" s="1"/>
  <c r="K245" i="26"/>
  <c r="M245" i="26" s="1"/>
  <c r="N245" i="26" s="1"/>
  <c r="J73" i="53"/>
  <c r="I114" i="47"/>
  <c r="J114" i="47" s="1"/>
  <c r="G1265" i="15"/>
  <c r="R242" i="38"/>
  <c r="G422" i="15"/>
  <c r="K230" i="26"/>
  <c r="M230" i="26" s="1"/>
  <c r="N230" i="26" s="1"/>
  <c r="J313" i="13"/>
  <c r="K313" i="13" s="1"/>
  <c r="J322" i="7"/>
  <c r="K322" i="7" s="1"/>
  <c r="J244" i="30"/>
  <c r="J311" i="2"/>
  <c r="K311" i="2" s="1"/>
  <c r="J312" i="12"/>
  <c r="K312" i="12" s="1"/>
  <c r="F503" i="15"/>
  <c r="K319" i="26"/>
  <c r="M319" i="26" s="1"/>
  <c r="N319" i="26" s="1"/>
  <c r="G118" i="34"/>
  <c r="H118" i="34" s="1"/>
  <c r="H119" i="34" s="1"/>
  <c r="H120" i="34" s="1"/>
  <c r="G144" i="34"/>
  <c r="H131" i="34"/>
  <c r="K239" i="26"/>
  <c r="M239" i="26" s="1"/>
  <c r="N239" i="26" s="1"/>
  <c r="J35" i="23"/>
  <c r="K35" i="23" s="1"/>
  <c r="E454" i="15"/>
  <c r="G107" i="34"/>
  <c r="H107" i="34" s="1"/>
  <c r="H108" i="34" s="1"/>
  <c r="E109" i="34" s="1"/>
  <c r="H109" i="34" s="1"/>
  <c r="J278" i="38"/>
  <c r="K174" i="57" l="1"/>
  <c r="M174" i="57" s="1"/>
  <c r="K174" i="60"/>
  <c r="M174" i="60" s="1"/>
  <c r="N174" i="60" s="1"/>
  <c r="G22" i="56"/>
  <c r="H22" i="56" s="1"/>
  <c r="K147" i="57"/>
  <c r="G24" i="56" s="1"/>
  <c r="K147" i="60"/>
  <c r="M147" i="60" s="1"/>
  <c r="N147" i="60" s="1"/>
  <c r="K115" i="57"/>
  <c r="K115" i="60"/>
  <c r="M115" i="60" s="1"/>
  <c r="N115" i="60" s="1"/>
  <c r="J296" i="10"/>
  <c r="K296" i="10" s="1"/>
  <c r="K253" i="57"/>
  <c r="J61" i="53"/>
  <c r="K61" i="53" s="1"/>
  <c r="K109" i="57"/>
  <c r="J91" i="53"/>
  <c r="K91" i="53" s="1"/>
  <c r="K164" i="57"/>
  <c r="J256" i="12"/>
  <c r="K256" i="12" s="1"/>
  <c r="K311" i="53"/>
  <c r="G45" i="56"/>
  <c r="H45" i="56" s="1"/>
  <c r="J135" i="53"/>
  <c r="J257" i="13"/>
  <c r="K257" i="13" s="1"/>
  <c r="J255" i="2"/>
  <c r="K255" i="2" s="1"/>
  <c r="I347" i="47"/>
  <c r="J347" i="47" s="1"/>
  <c r="K73" i="53"/>
  <c r="J308" i="9"/>
  <c r="K308" i="9" s="1"/>
  <c r="J262" i="7"/>
  <c r="K262" i="7" s="1"/>
  <c r="G514" i="15"/>
  <c r="G515" i="15" s="1"/>
  <c r="G518" i="15" s="1"/>
  <c r="E514" i="15"/>
  <c r="E515" i="15" s="1"/>
  <c r="E518" i="15" s="1"/>
  <c r="F514" i="15"/>
  <c r="F515" i="15" s="1"/>
  <c r="F518" i="15" s="1"/>
  <c r="I149" i="47"/>
  <c r="J149" i="47" s="1"/>
  <c r="G343" i="15"/>
  <c r="J113" i="10"/>
  <c r="K113" i="10" s="1"/>
  <c r="J91" i="2"/>
  <c r="K91" i="2" s="1"/>
  <c r="I89" i="47"/>
  <c r="J89" i="47" s="1"/>
  <c r="K136" i="26"/>
  <c r="M136" i="26" s="1"/>
  <c r="N136" i="26" s="1"/>
  <c r="J91" i="13"/>
  <c r="K91" i="13" s="1"/>
  <c r="J96" i="7"/>
  <c r="K96" i="7" s="1"/>
  <c r="J116" i="9"/>
  <c r="K116" i="9" s="1"/>
  <c r="J11" i="20"/>
  <c r="K11" i="20" s="1"/>
  <c r="K133" i="20" s="1"/>
  <c r="J92" i="12"/>
  <c r="K92" i="12" s="1"/>
  <c r="I23" i="14"/>
  <c r="J23" i="14" s="1"/>
  <c r="K23" i="14" s="1"/>
  <c r="R23" i="14" s="1"/>
  <c r="A163" i="40"/>
  <c r="J181" i="10"/>
  <c r="K181" i="10" s="1"/>
  <c r="J151" i="7"/>
  <c r="K151" i="7" s="1"/>
  <c r="J186" i="9"/>
  <c r="K186" i="9" s="1"/>
  <c r="F238" i="15"/>
  <c r="G238" i="15" s="1"/>
  <c r="F168" i="28"/>
  <c r="G168" i="28" s="1"/>
  <c r="F204" i="28"/>
  <c r="G204" i="28" s="1"/>
  <c r="F182" i="15"/>
  <c r="G182" i="15" s="1"/>
  <c r="F220" i="15"/>
  <c r="G220" i="15" s="1"/>
  <c r="F201" i="15"/>
  <c r="G201" i="15" s="1"/>
  <c r="F221" i="28"/>
  <c r="G221" i="28" s="1"/>
  <c r="F186" i="28"/>
  <c r="G186" i="28" s="1"/>
  <c r="F187" i="28"/>
  <c r="G187" i="28" s="1"/>
  <c r="F183" i="15"/>
  <c r="G183" i="15" s="1"/>
  <c r="F202" i="15"/>
  <c r="G202" i="15" s="1"/>
  <c r="F169" i="28"/>
  <c r="G169" i="28" s="1"/>
  <c r="G960" i="15"/>
  <c r="G961" i="15" s="1"/>
  <c r="K472" i="26"/>
  <c r="M472" i="26" s="1"/>
  <c r="N472" i="26" s="1"/>
  <c r="K441" i="26"/>
  <c r="M441" i="26" s="1"/>
  <c r="N441" i="26" s="1"/>
  <c r="E960" i="15"/>
  <c r="E961" i="15" s="1"/>
  <c r="K462" i="26"/>
  <c r="M462" i="26" s="1"/>
  <c r="N462" i="26" s="1"/>
  <c r="F960" i="15"/>
  <c r="F961" i="15" s="1"/>
  <c r="E654" i="15"/>
  <c r="J230" i="53" s="1"/>
  <c r="K230" i="53" s="1"/>
  <c r="K551" i="26"/>
  <c r="M551" i="26" s="1"/>
  <c r="N551" i="26" s="1"/>
  <c r="K573" i="26"/>
  <c r="M573" i="26" s="1"/>
  <c r="N573" i="26" s="1"/>
  <c r="G654" i="15"/>
  <c r="F654" i="15"/>
  <c r="K567" i="26"/>
  <c r="M567" i="26" s="1"/>
  <c r="N567" i="26" s="1"/>
  <c r="G155" i="34"/>
  <c r="H142" i="34"/>
  <c r="G157" i="34"/>
  <c r="H157" i="34" s="1"/>
  <c r="H144" i="34"/>
  <c r="J65" i="53"/>
  <c r="I94" i="47"/>
  <c r="J94" i="47" s="1"/>
  <c r="J323" i="10"/>
  <c r="K323" i="10" s="1"/>
  <c r="J282" i="13"/>
  <c r="K282" i="13" s="1"/>
  <c r="J335" i="9"/>
  <c r="K335" i="9" s="1"/>
  <c r="J280" i="2"/>
  <c r="K280" i="2" s="1"/>
  <c r="J281" i="12"/>
  <c r="K281" i="12" s="1"/>
  <c r="J290" i="7"/>
  <c r="K290" i="7" s="1"/>
  <c r="J111" i="53"/>
  <c r="I140" i="47"/>
  <c r="J140" i="47" s="1"/>
  <c r="J133" i="9"/>
  <c r="K133" i="9" s="1"/>
  <c r="I133" i="47"/>
  <c r="J133" i="47" s="1"/>
  <c r="J106" i="7"/>
  <c r="K106" i="7" s="1"/>
  <c r="J130" i="10"/>
  <c r="K130" i="10" s="1"/>
  <c r="J119" i="53"/>
  <c r="I137" i="47"/>
  <c r="J137" i="47" s="1"/>
  <c r="G156" i="34"/>
  <c r="H143" i="34"/>
  <c r="J98" i="53"/>
  <c r="I153" i="47"/>
  <c r="J153" i="47" s="1"/>
  <c r="G121" i="34"/>
  <c r="H121" i="34" s="1"/>
  <c r="H122" i="34" s="1"/>
  <c r="J28" i="21" s="1"/>
  <c r="K28" i="21" s="1"/>
  <c r="G132" i="34"/>
  <c r="H132" i="34" s="1"/>
  <c r="H133" i="34" s="1"/>
  <c r="H134" i="34" s="1"/>
  <c r="J106" i="53"/>
  <c r="I127" i="47"/>
  <c r="J127" i="47" s="1"/>
  <c r="G28" i="56" l="1"/>
  <c r="H28" i="56" s="1"/>
  <c r="G21" i="56"/>
  <c r="H21" i="56" s="1"/>
  <c r="I103" i="47"/>
  <c r="J103" i="47" s="1"/>
  <c r="K138" i="60"/>
  <c r="M138" i="60" s="1"/>
  <c r="N138" i="60" s="1"/>
  <c r="K226" i="57"/>
  <c r="M226" i="57" s="1"/>
  <c r="K226" i="60"/>
  <c r="M226" i="60" s="1"/>
  <c r="M164" i="57"/>
  <c r="G27" i="56"/>
  <c r="H27" i="56" s="1"/>
  <c r="G20" i="56"/>
  <c r="H20" i="56" s="1"/>
  <c r="M253" i="57"/>
  <c r="G30" i="56"/>
  <c r="H30" i="56" s="1"/>
  <c r="J82" i="53"/>
  <c r="K82" i="53" s="1"/>
  <c r="K138" i="57"/>
  <c r="K65" i="53"/>
  <c r="K106" i="53"/>
  <c r="H24" i="56"/>
  <c r="K98" i="53"/>
  <c r="K111" i="53"/>
  <c r="K119" i="53"/>
  <c r="H26" i="56"/>
  <c r="K135" i="53"/>
  <c r="J54" i="50"/>
  <c r="K135" i="20"/>
  <c r="K134" i="20"/>
  <c r="K137" i="20"/>
  <c r="L137" i="20" s="1"/>
  <c r="I200" i="47"/>
  <c r="J200" i="47" s="1"/>
  <c r="J206" i="53"/>
  <c r="I24" i="14"/>
  <c r="J24" i="14" s="1"/>
  <c r="K24" i="14" s="1"/>
  <c r="R24" i="14" s="1"/>
  <c r="A164" i="40"/>
  <c r="A165" i="40" s="1"/>
  <c r="A166" i="40" s="1"/>
  <c r="A167" i="40" s="1"/>
  <c r="A168" i="40" s="1"/>
  <c r="A169" i="40" s="1"/>
  <c r="A170" i="40" s="1"/>
  <c r="A171" i="40" s="1"/>
  <c r="A172" i="40" s="1"/>
  <c r="A173" i="40" s="1"/>
  <c r="A174" i="40" s="1"/>
  <c r="A175" i="40" s="1"/>
  <c r="A176" i="40" s="1"/>
  <c r="A177" i="40" s="1"/>
  <c r="A178" i="40" s="1"/>
  <c r="A179" i="40" s="1"/>
  <c r="A180" i="40" s="1"/>
  <c r="A181" i="40" s="1"/>
  <c r="A182" i="40" s="1"/>
  <c r="A183" i="40" s="1"/>
  <c r="A184" i="40" s="1"/>
  <c r="A185" i="40" s="1"/>
  <c r="A186" i="40" s="1"/>
  <c r="A187" i="40" s="1"/>
  <c r="A188" i="40" s="1"/>
  <c r="A189" i="40" s="1"/>
  <c r="A190" i="40" s="1"/>
  <c r="A191" i="40" s="1"/>
  <c r="A192" i="40" s="1"/>
  <c r="A193" i="40" s="1"/>
  <c r="A194" i="40" s="1"/>
  <c r="A195" i="40" s="1"/>
  <c r="A196" i="40" s="1"/>
  <c r="A197" i="40" s="1"/>
  <c r="A198" i="40" s="1"/>
  <c r="A199" i="40" s="1"/>
  <c r="A200" i="40" s="1"/>
  <c r="A201" i="40" s="1"/>
  <c r="A202" i="40" s="1"/>
  <c r="A203" i="40" s="1"/>
  <c r="A204" i="40" s="1"/>
  <c r="A205" i="40" s="1"/>
  <c r="A206" i="40" s="1"/>
  <c r="A207" i="40" s="1"/>
  <c r="A208" i="40" s="1"/>
  <c r="A209" i="40" s="1"/>
  <c r="A210" i="40" s="1"/>
  <c r="A211" i="40" s="1"/>
  <c r="A212" i="40" s="1"/>
  <c r="A213" i="40" s="1"/>
  <c r="A214" i="40" s="1"/>
  <c r="A215" i="40" s="1"/>
  <c r="A216" i="40" s="1"/>
  <c r="A217" i="40" s="1"/>
  <c r="A218" i="40" s="1"/>
  <c r="A219" i="40" s="1"/>
  <c r="A220" i="40" s="1"/>
  <c r="A221" i="40" s="1"/>
  <c r="A222" i="40" s="1"/>
  <c r="A223" i="40" s="1"/>
  <c r="A224" i="40" s="1"/>
  <c r="A225" i="40" s="1"/>
  <c r="A226" i="40" s="1"/>
  <c r="A227" i="40" s="1"/>
  <c r="A228" i="40" s="1"/>
  <c r="A229" i="40" s="1"/>
  <c r="A230" i="40" s="1"/>
  <c r="A231" i="40" s="1"/>
  <c r="A232" i="40" s="1"/>
  <c r="A233" i="40" s="1"/>
  <c r="A234" i="40" s="1"/>
  <c r="A235" i="40" s="1"/>
  <c r="A236" i="40" s="1"/>
  <c r="A237" i="40" s="1"/>
  <c r="A238" i="40" s="1"/>
  <c r="A239" i="40" s="1"/>
  <c r="A240" i="40" s="1"/>
  <c r="A241" i="40" s="1"/>
  <c r="A242" i="40" s="1"/>
  <c r="A243" i="40" s="1"/>
  <c r="A244" i="40" s="1"/>
  <c r="A245" i="40" s="1"/>
  <c r="A246" i="40" s="1"/>
  <c r="A247" i="40" s="1"/>
  <c r="A248" i="40" s="1"/>
  <c r="A249" i="40" s="1"/>
  <c r="A250" i="40" s="1"/>
  <c r="A251" i="40" s="1"/>
  <c r="A252" i="40" s="1"/>
  <c r="A253" i="40" s="1"/>
  <c r="A254" i="40" s="1"/>
  <c r="A255" i="40" s="1"/>
  <c r="A256" i="40" s="1"/>
  <c r="A257" i="40" s="1"/>
  <c r="A258" i="40" s="1"/>
  <c r="A259" i="40" s="1"/>
  <c r="A260" i="40" s="1"/>
  <c r="A261" i="40" s="1"/>
  <c r="A262" i="40" s="1"/>
  <c r="A263" i="40" s="1"/>
  <c r="A264" i="40" s="1"/>
  <c r="A265" i="40" s="1"/>
  <c r="A266" i="40" s="1"/>
  <c r="A267" i="40" s="1"/>
  <c r="A268" i="40" s="1"/>
  <c r="A269" i="40" s="1"/>
  <c r="A270" i="40" s="1"/>
  <c r="A271" i="40" s="1"/>
  <c r="A272" i="40" s="1"/>
  <c r="A273" i="40" s="1"/>
  <c r="A274" i="40" s="1"/>
  <c r="A275" i="40" s="1"/>
  <c r="A276" i="40" s="1"/>
  <c r="A277" i="40" s="1"/>
  <c r="A278" i="40" s="1"/>
  <c r="A279" i="40" s="1"/>
  <c r="A280" i="40" s="1"/>
  <c r="A281" i="40" s="1"/>
  <c r="A282" i="40" s="1"/>
  <c r="A283" i="40" s="1"/>
  <c r="A284" i="40" s="1"/>
  <c r="A285" i="40" s="1"/>
  <c r="A286" i="40" s="1"/>
  <c r="A287" i="40" s="1"/>
  <c r="A288" i="40" s="1"/>
  <c r="A289" i="40" s="1"/>
  <c r="A290" i="40" s="1"/>
  <c r="A291" i="40" s="1"/>
  <c r="A292" i="40" s="1"/>
  <c r="A293" i="40" s="1"/>
  <c r="A294" i="40" s="1"/>
  <c r="A295" i="40" s="1"/>
  <c r="A296" i="40" s="1"/>
  <c r="A297" i="40" s="1"/>
  <c r="A298" i="40" s="1"/>
  <c r="A299" i="40" s="1"/>
  <c r="A300" i="40" s="1"/>
  <c r="A301" i="40" s="1"/>
  <c r="A302" i="40" s="1"/>
  <c r="A303" i="40" s="1"/>
  <c r="I218" i="47"/>
  <c r="J218" i="47" s="1"/>
  <c r="J258" i="7"/>
  <c r="K258" i="7" s="1"/>
  <c r="J253" i="13"/>
  <c r="K253" i="13" s="1"/>
  <c r="J251" i="2"/>
  <c r="K251" i="2" s="1"/>
  <c r="J292" i="10"/>
  <c r="K292" i="10" s="1"/>
  <c r="J304" i="9"/>
  <c r="K304" i="9" s="1"/>
  <c r="J252" i="12"/>
  <c r="K252" i="12" s="1"/>
  <c r="I373" i="53"/>
  <c r="H155" i="34"/>
  <c r="G231" i="34"/>
  <c r="H231" i="34" s="1"/>
  <c r="G135" i="34"/>
  <c r="H135" i="34" s="1"/>
  <c r="H136" i="34" s="1"/>
  <c r="H156" i="34"/>
  <c r="G232" i="34"/>
  <c r="G145" i="34"/>
  <c r="H145" i="34" s="1"/>
  <c r="H146" i="34" s="1"/>
  <c r="H147" i="34" s="1"/>
  <c r="G34" i="56" l="1"/>
  <c r="H34" i="56" s="1"/>
  <c r="N226" i="60"/>
  <c r="G23" i="56"/>
  <c r="H23" i="56" s="1"/>
  <c r="K206" i="53"/>
  <c r="F205" i="28"/>
  <c r="G205" i="28" s="1"/>
  <c r="G211" i="28" s="1"/>
  <c r="E212" i="28" s="1"/>
  <c r="G212" i="28" s="1"/>
  <c r="G213" i="28" s="1"/>
  <c r="G216" i="28" s="1"/>
  <c r="F239" i="15"/>
  <c r="G239" i="15" s="1"/>
  <c r="G246" i="15" s="1"/>
  <c r="F203" i="15"/>
  <c r="G203" i="15" s="1"/>
  <c r="G210" i="15" s="1"/>
  <c r="E211" i="15" s="1"/>
  <c r="G211" i="15" s="1"/>
  <c r="G212" i="15" s="1"/>
  <c r="F222" i="28"/>
  <c r="G222" i="28" s="1"/>
  <c r="G228" i="28" s="1"/>
  <c r="E229" i="28" s="1"/>
  <c r="G229" i="28" s="1"/>
  <c r="G230" i="28" s="1"/>
  <c r="G233" i="28" s="1"/>
  <c r="F170" i="28"/>
  <c r="G170" i="28" s="1"/>
  <c r="G176" i="28" s="1"/>
  <c r="F221" i="15"/>
  <c r="G221" i="15" s="1"/>
  <c r="G228" i="15" s="1"/>
  <c r="E229" i="15" s="1"/>
  <c r="G229" i="15" s="1"/>
  <c r="G230" i="15" s="1"/>
  <c r="G233" i="15" s="1"/>
  <c r="I81" i="47" s="1"/>
  <c r="J81" i="47" s="1"/>
  <c r="J349" i="47" s="1"/>
  <c r="F188" i="28"/>
  <c r="G188" i="28" s="1"/>
  <c r="G194" i="28" s="1"/>
  <c r="E195" i="28" s="1"/>
  <c r="G195" i="28" s="1"/>
  <c r="G196" i="28" s="1"/>
  <c r="G199" i="28" s="1"/>
  <c r="F184" i="15"/>
  <c r="G184" i="15" s="1"/>
  <c r="G191" i="15" s="1"/>
  <c r="E192" i="15" s="1"/>
  <c r="G192" i="15" s="1"/>
  <c r="G193" i="15" s="1"/>
  <c r="J405" i="13"/>
  <c r="K405" i="13" s="1"/>
  <c r="J421" i="7"/>
  <c r="K421" i="7" s="1"/>
  <c r="J425" i="12"/>
  <c r="K425" i="12" s="1"/>
  <c r="J36" i="21"/>
  <c r="K36" i="21" s="1"/>
  <c r="J424" i="2"/>
  <c r="K424" i="2" s="1"/>
  <c r="J468" i="9"/>
  <c r="K468" i="9" s="1"/>
  <c r="J457" i="10"/>
  <c r="K457" i="10" s="1"/>
  <c r="J30" i="21"/>
  <c r="K30" i="21" s="1"/>
  <c r="G148" i="34"/>
  <c r="H148" i="34" s="1"/>
  <c r="H149" i="34" s="1"/>
  <c r="G158" i="34"/>
  <c r="H158" i="34" s="1"/>
  <c r="H159" i="34" s="1"/>
  <c r="H160" i="34" s="1"/>
  <c r="H232" i="34"/>
  <c r="G246" i="34"/>
  <c r="E177" i="28" l="1"/>
  <c r="G177" i="28" s="1"/>
  <c r="G178" i="28" s="1"/>
  <c r="G181" i="28" s="1"/>
  <c r="G196" i="15"/>
  <c r="K93" i="60" s="1"/>
  <c r="M93" i="60" s="1"/>
  <c r="K120" i="26"/>
  <c r="M120" i="26" s="1"/>
  <c r="J86" i="9"/>
  <c r="K86" i="9" s="1"/>
  <c r="J76" i="12"/>
  <c r="K76" i="12" s="1"/>
  <c r="J88" i="10"/>
  <c r="K88" i="10" s="1"/>
  <c r="J75" i="2"/>
  <c r="K75" i="2" s="1"/>
  <c r="J75" i="13"/>
  <c r="K75" i="13" s="1"/>
  <c r="G215" i="15"/>
  <c r="J80" i="7"/>
  <c r="K80" i="7" s="1"/>
  <c r="E247" i="15"/>
  <c r="G247" i="15" s="1"/>
  <c r="G248" i="15" s="1"/>
  <c r="G251" i="15" s="1"/>
  <c r="G161" i="34"/>
  <c r="H161" i="34" s="1"/>
  <c r="H162" i="34" s="1"/>
  <c r="J34" i="21" s="1"/>
  <c r="K34" i="21" s="1"/>
  <c r="J423" i="7"/>
  <c r="K423" i="7" s="1"/>
  <c r="J427" i="12"/>
  <c r="K427" i="12" s="1"/>
  <c r="J407" i="13"/>
  <c r="K407" i="13" s="1"/>
  <c r="J32" i="21"/>
  <c r="K32" i="21" s="1"/>
  <c r="K867" i="26"/>
  <c r="M867" i="26" s="1"/>
  <c r="N867" i="26" s="1"/>
  <c r="I39" i="48"/>
  <c r="J39" i="48" s="1"/>
  <c r="J459" i="10"/>
  <c r="K459" i="10" s="1"/>
  <c r="J426" i="2"/>
  <c r="K426" i="2" s="1"/>
  <c r="J470" i="9"/>
  <c r="K470" i="9" s="1"/>
  <c r="J37" i="21"/>
  <c r="K37" i="21" s="1"/>
  <c r="G233" i="34"/>
  <c r="H233" i="34" s="1"/>
  <c r="H234" i="34" s="1"/>
  <c r="G259" i="34"/>
  <c r="H246" i="34"/>
  <c r="N93" i="60" l="1"/>
  <c r="N364" i="60" s="1"/>
  <c r="M364" i="60"/>
  <c r="M524" i="60" s="1"/>
  <c r="N525" i="60" s="1"/>
  <c r="J55" i="53"/>
  <c r="K55" i="53" s="1"/>
  <c r="K93" i="57"/>
  <c r="K522" i="10"/>
  <c r="K527" i="10" s="1"/>
  <c r="O527" i="10" s="1"/>
  <c r="K486" i="7"/>
  <c r="K487" i="7" s="1"/>
  <c r="K491" i="7" s="1"/>
  <c r="O491" i="7" s="1"/>
  <c r="K470" i="13"/>
  <c r="K471" i="13" s="1"/>
  <c r="K475" i="13" s="1"/>
  <c r="N120" i="26"/>
  <c r="M939" i="26"/>
  <c r="K490" i="12"/>
  <c r="K491" i="12" s="1"/>
  <c r="K496" i="12" s="1"/>
  <c r="L496" i="12" s="1"/>
  <c r="K533" i="9"/>
  <c r="K535" i="9" s="1"/>
  <c r="K538" i="9" s="1"/>
  <c r="N5" i="9" s="1"/>
  <c r="K489" i="2"/>
  <c r="K490" i="2" s="1"/>
  <c r="K494" i="2" s="1"/>
  <c r="H259" i="34"/>
  <c r="G279" i="34"/>
  <c r="G235" i="34"/>
  <c r="H235" i="34" s="1"/>
  <c r="H236" i="34" s="1"/>
  <c r="G247" i="34"/>
  <c r="H247" i="34" s="1"/>
  <c r="H248" i="34" s="1"/>
  <c r="N527" i="60" l="1"/>
  <c r="N529" i="60" s="1"/>
  <c r="N365" i="60"/>
  <c r="N368" i="60" s="1"/>
  <c r="G19" i="56"/>
  <c r="H19" i="56" s="1"/>
  <c r="L527" i="10"/>
  <c r="P447" i="10"/>
  <c r="L491" i="7"/>
  <c r="O496" i="12"/>
  <c r="I379" i="53"/>
  <c r="I380" i="53" s="1"/>
  <c r="K941" i="26"/>
  <c r="L941" i="26"/>
  <c r="N939" i="26"/>
  <c r="N842" i="26"/>
  <c r="G249" i="34"/>
  <c r="H249" i="34" s="1"/>
  <c r="H250" i="34" s="1"/>
  <c r="J22" i="21"/>
  <c r="K22" i="21" s="1"/>
  <c r="K858" i="26"/>
  <c r="M858" i="26" s="1"/>
  <c r="N858" i="26" s="1"/>
  <c r="L494" i="2"/>
  <c r="O494" i="2"/>
  <c r="O475" i="13"/>
  <c r="L475" i="13"/>
  <c r="G260" i="34"/>
  <c r="H260" i="34" s="1"/>
  <c r="H261" i="34" s="1"/>
  <c r="G289" i="34"/>
  <c r="H289" i="34" s="1"/>
  <c r="H279" i="34"/>
  <c r="G309" i="34"/>
  <c r="H309" i="34" s="1"/>
  <c r="P368" i="60" l="1"/>
  <c r="N532" i="60"/>
  <c r="P529" i="60"/>
  <c r="N533" i="60"/>
  <c r="M524" i="57"/>
  <c r="N525" i="57" s="1"/>
  <c r="E54" i="56"/>
  <c r="H54" i="56" s="1"/>
  <c r="K380" i="53"/>
  <c r="N943" i="26"/>
  <c r="N945" i="26" s="1"/>
  <c r="N944" i="26"/>
  <c r="L942" i="26"/>
  <c r="N942" i="26" s="1"/>
  <c r="N941" i="26"/>
  <c r="K942" i="26"/>
  <c r="K862" i="26"/>
  <c r="M862" i="26" s="1"/>
  <c r="N862" i="26" s="1"/>
  <c r="J26" i="21"/>
  <c r="K26" i="21" s="1"/>
  <c r="G311" i="34"/>
  <c r="H311" i="34" s="1"/>
  <c r="H312" i="34" s="1"/>
  <c r="G262" i="34"/>
  <c r="H262" i="34" s="1"/>
  <c r="H263" i="34" s="1"/>
  <c r="G290" i="34"/>
  <c r="H290" i="34" s="1"/>
  <c r="H291" i="34" s="1"/>
  <c r="G280" i="34"/>
  <c r="H280" i="34" s="1"/>
  <c r="H281" i="34" s="1"/>
  <c r="G58" i="56" l="1"/>
  <c r="N367" i="57"/>
  <c r="G59" i="56" s="1"/>
  <c r="N527" i="57"/>
  <c r="N529" i="57" s="1"/>
  <c r="N533" i="57" s="1"/>
  <c r="N534" i="60"/>
  <c r="P534" i="60" s="1"/>
  <c r="H41" i="56"/>
  <c r="K246" i="53"/>
  <c r="K415" i="53" s="1"/>
  <c r="G292" i="34"/>
  <c r="H292" i="34" s="1"/>
  <c r="H293" i="34" s="1"/>
  <c r="J65" i="21" s="1"/>
  <c r="K65" i="21" s="1"/>
  <c r="G282" i="34"/>
  <c r="H282" i="34" s="1"/>
  <c r="H283" i="34" s="1"/>
  <c r="H284" i="34" s="1"/>
  <c r="G313" i="34"/>
  <c r="H313" i="34" s="1"/>
  <c r="H314" i="34" s="1"/>
  <c r="J73" i="21" s="1"/>
  <c r="K73" i="21" s="1"/>
  <c r="N368" i="57" l="1"/>
  <c r="P368" i="57" s="1"/>
  <c r="P529" i="57"/>
  <c r="E4" i="52"/>
  <c r="E8" i="52" s="1"/>
  <c r="E9" i="52" s="1"/>
  <c r="K890" i="26"/>
  <c r="M890" i="26" s="1"/>
  <c r="N890" i="26" s="1"/>
  <c r="J61" i="21"/>
  <c r="K61" i="21" s="1"/>
  <c r="K82" i="21" s="1"/>
  <c r="M80" i="21" s="1"/>
  <c r="I72" i="48"/>
  <c r="J72" i="48" s="1"/>
  <c r="J85" i="48" s="1"/>
  <c r="N532" i="57" l="1"/>
  <c r="N534" i="57" s="1"/>
  <c r="P534" i="57" s="1"/>
  <c r="E10" i="52"/>
  <c r="H59" i="56" s="1"/>
  <c r="H58" i="56" l="1"/>
  <c r="H60" i="56" l="1"/>
  <c r="G13" i="56" s="1"/>
  <c r="H13" i="56" s="1"/>
  <c r="H14" i="56" s="1"/>
</calcChain>
</file>

<file path=xl/sharedStrings.xml><?xml version="1.0" encoding="utf-8"?>
<sst xmlns="http://schemas.openxmlformats.org/spreadsheetml/2006/main" count="22443" uniqueCount="3620">
  <si>
    <t>Providing high yield strength deformed (HYSD) steel bars (Fe 415 grade as per IS 1786-1985) of 8mm to 40mm diameters, cutting, bending, to required sizes and shapes placing in position with cover blocks of approved size and binding wire of 20SWG, forming grills for reinforcement work as per approved designs and drawings including cost and conveyance of bars from approved sources to site of work, including cost and conveyance of binding wire, cover blocks and all operational, incidental, and labour charges such as cutting, bending, placing in position, tying etc., and Countryes &amp; other taxes,on cost of all materials complete for finished item of work (APSS No.126) in all floors.</t>
  </si>
  <si>
    <t>Supplying and Fixing of 25mm dia 2.0 mm thick PVC Conduit pipe concealed in wall with all required accessories including chiselling the wall whereever necessaty including masonary work for Light,fan and separate plug point wiht T.W.Deep box including all labour charges etc &amp; complete.</t>
  </si>
  <si>
    <t xml:space="preserve">per R M </t>
  </si>
  <si>
    <t xml:space="preserve">Per Points </t>
  </si>
  <si>
    <t xml:space="preserve">Per Nos </t>
  </si>
  <si>
    <t xml:space="preserve">Per Rm </t>
  </si>
  <si>
    <t>RM</t>
  </si>
  <si>
    <t>Provision for VAT @ 5 %</t>
  </si>
  <si>
    <r>
      <t xml:space="preserve">Supply and fixing of fully panelled  Window  frame and shutters of size 1.20 x 1.20 M </t>
    </r>
    <r>
      <rPr>
        <sz val="10"/>
        <rFont val="Trebuchet MS"/>
        <family val="2"/>
      </rPr>
      <t>with country wood frame of size 75x100mm and S/F of 4 Nos. MS Hold fasts, incl. all labour charges such as making window frame and shutters and fiXing   10 Nos.of  12 mm square safety bars in to  the frame etc,including applying primory coat, cost and conveyance  of all materials .</t>
    </r>
  </si>
  <si>
    <t>Window size 1.20 x 1.20 M</t>
  </si>
  <si>
    <t>9 nos</t>
  </si>
  <si>
    <t xml:space="preserve">Window size1.20 x 1.20mts (Frame only) </t>
  </si>
  <si>
    <t>BASIC COST per Each (Frame Only) (1.20x1.20)m</t>
  </si>
  <si>
    <t>BASIC COST per Each (Shutter  Only)(1.2x1.20)m</t>
  </si>
  <si>
    <t>Window size 1.80 X 1.35 m ( Only Frame )</t>
  </si>
  <si>
    <t>Cost of Window Frame  1.80 x1.135 M only</t>
  </si>
  <si>
    <t>Cost of Window Shutter 1.80 x1.35 M only</t>
  </si>
  <si>
    <t>DATA FOR WOOD WORK WITH 20013-14 ( Country Wood - Flush Door Shutters )</t>
  </si>
  <si>
    <t>labour charges For Fixing Charges  of Flush door shutter</t>
  </si>
  <si>
    <t xml:space="preserve">labour charges for Wood Work </t>
  </si>
  <si>
    <t>Chromium Plated saddles with base 25mm dia</t>
  </si>
  <si>
    <r>
      <t xml:space="preserve">Supplying and Fixing European Water Closet of 1st quality conforming to
IS:2556-Part-2-1973 of Hindustan / Neycer or Parryware make white glazed
with </t>
    </r>
    <r>
      <rPr>
        <b/>
        <sz val="10"/>
        <rFont val="Trebuchet MS"/>
        <family val="2"/>
      </rPr>
      <t>S</t>
    </r>
    <r>
      <rPr>
        <sz val="10"/>
        <rFont val="Trebuchet MS"/>
        <family val="2"/>
      </rPr>
      <t xml:space="preserve"> trap</t>
    </r>
  </si>
  <si>
    <t>A) MATERIALS</t>
  </si>
  <si>
    <t>Plastic Emulsion paint (at 20 sqm / liter as per British Paints (I) Ltd.</t>
  </si>
  <si>
    <t>B) LABOUR</t>
  </si>
  <si>
    <t>Painter - 1st Class</t>
  </si>
  <si>
    <t>Painter - 2nd class</t>
  </si>
  <si>
    <t>Day</t>
  </si>
  <si>
    <t xml:space="preserve">Mazdoor </t>
  </si>
  <si>
    <t>BASIC COST per 10 Sqm</t>
  </si>
  <si>
    <r>
      <rPr>
        <b/>
        <sz val="10"/>
        <rFont val="Trebuchet MS"/>
        <family val="2"/>
      </rPr>
      <t>RR Masonry in CM (1:6) Cement: Sand) using hard granite stones</t>
    </r>
    <r>
      <rPr>
        <sz val="10"/>
        <rFont val="Trebuchet MS"/>
        <family val="2"/>
      </rPr>
      <t xml:space="preserve"> from approved quarry including cost and conveyance of all materials like Granite stones, cement, sand, water,  etc.,  to site including seigniorage charges, Countryes &amp; other taxes on all materials, all operational, incidental, and labor charges such as cutting stones to required size and shape, mixing of cement mortar, constructing masonry, curing etc., complete for finished item of work for foundation and basement (APSS No. 601 &amp; 615) </t>
    </r>
  </si>
  <si>
    <r>
      <rPr>
        <b/>
        <sz val="10"/>
        <rFont val="Trebuchet MS"/>
        <family val="2"/>
      </rPr>
      <t xml:space="preserve">Providing High Yield Strength Deformed (HYSD)/ Thermo Mechanically Treated (TMT) / Mild steel (MS) steel bars (Fe </t>
    </r>
    <r>
      <rPr>
        <sz val="10"/>
        <rFont val="Trebuchet MS"/>
        <family val="2"/>
      </rPr>
      <t>415/ Fe 500 grade as per IS 1786-1979) of different diameters for RCC works , including labour charges for straightening, cutting, bending to required sizes and shapes, placing in position with cover blocks of approved materials and size and tying and lap-splicing with binding wire of 18 SWG, forming grills for reinforcement work as per approved designs and drawings, including cost and conveyance of steel bars, including all wastages such as overlaps, couplings, chairs, spacer bars including cost and conveyance of binding wire, cover blocks and all incidental, operational, labour charges such as cutting, bending, placing in position, tying including sales and other taxes on all materials etc., complete for finished item of work in all floors.( APSS No.126)</t>
    </r>
  </si>
  <si>
    <r>
      <rPr>
        <b/>
        <sz val="10"/>
        <rFont val="Trebuchet MS"/>
        <family val="2"/>
      </rPr>
      <t>Plastering 12mm thick double coat in CM (1:5) 8 mm thick base coat and CM (1:3) of 4mm thick top coat</t>
    </r>
    <r>
      <rPr>
        <sz val="10"/>
        <rFont val="Trebuchet MS"/>
        <family val="2"/>
      </rPr>
      <t xml:space="preserve"> with dubara sponge finish including c/c of all materials like cement, sand,water etc., to site, other taxes on all materials, all operational, incidental such as scaffolding charges, lift charges, including cutting of Grooves,finishing, curing, etc., complete for for finished item of work. (APSS 1001,1003 &amp; 1004) (CSSR) Internal Walls</t>
    </r>
  </si>
  <si>
    <r>
      <rPr>
        <b/>
        <sz val="10"/>
        <rFont val="Trebuchet MS"/>
        <family val="2"/>
      </rPr>
      <t>RCM facia 5cm thick in CM (1:3) for drop walls,</t>
    </r>
    <r>
      <rPr>
        <sz val="10"/>
        <rFont val="Trebuchet MS"/>
        <family val="2"/>
      </rPr>
      <t xml:space="preserve"> fins  with rabbit wire mesh &amp; nominal reinforcement as directed by Engineer-in-charge with dubara sponge finishing, including cost &amp; conveyance of all materials to site, seigniorage charges, sales &amp; other taxes on all materials, operational &amp; incidental, cost and conveyance of cement, wire mesh, water to work site, centering, scaffolding and form work, lift charges etc., complete for finished items of work but excluding cost of steel &amp; its fabrication charges, for finished item of work. (APSS No.403 &amp; 1003)</t>
    </r>
  </si>
  <si>
    <r>
      <rPr>
        <b/>
        <sz val="10"/>
        <rFont val="Trebuchet MS"/>
        <family val="2"/>
      </rPr>
      <t>Flooring with 15 to 18mm thick polished shabad stones set over base coat of CM (1:8)</t>
    </r>
    <r>
      <rPr>
        <sz val="10"/>
        <rFont val="Trebuchet MS"/>
        <family val="2"/>
      </rPr>
      <t xml:space="preserve"> </t>
    </r>
    <r>
      <rPr>
        <b/>
        <sz val="10"/>
        <rFont val="Trebuchet MS"/>
        <family val="2"/>
      </rPr>
      <t xml:space="preserve">over already laid CC bed / RCC Roof Slab, </t>
    </r>
    <r>
      <rPr>
        <sz val="10"/>
        <rFont val="Trebuchet MS"/>
        <family val="2"/>
      </rPr>
      <t>including neat cement slurry of honey like consistency spread @ 3.3 kgs per sqm. &amp; Jointed with neat cement to full depth including cost of all materials like cement, sand, and water and flooring stones etc., complete, including  labour charges for dressing of flooring stones etc., complete for finished item of work, but excluding the cost of conveyance of all materials.</t>
    </r>
  </si>
  <si>
    <r>
      <rPr>
        <b/>
        <sz val="10"/>
        <rFont val="Trebuchet MS"/>
        <family val="2"/>
      </rPr>
      <t>Flooring with 40 mm thick Rough Cuddapah/Shabad stones, set over base coat of cement mortar (1 : 8) 12 mm thick</t>
    </r>
    <r>
      <rPr>
        <sz val="10"/>
        <rFont val="Trebuchet MS"/>
        <family val="2"/>
      </rPr>
      <t xml:space="preserve"> over CC bed already laid or RCC roof slab, including pointing with cement mortar 1:3 duly filling joints nearly, including cost of all materials like flooring stone, cement, sand, and water etc., complete, including labour charges for dressing of flooring stones etc., complete for finished item of work, but excluding the cost of conveyance of all materials.</t>
    </r>
  </si>
  <si>
    <r>
      <rPr>
        <b/>
        <sz val="10"/>
        <rFont val="Trebuchet MS"/>
        <family val="2"/>
      </rPr>
      <t>Providing skirting to internal walls to 15 cm height/risers of steps with  glazed tiles 5-7  mm thick</t>
    </r>
    <r>
      <rPr>
        <sz val="10"/>
        <rFont val="Trebuchet MS"/>
        <family val="2"/>
      </rPr>
      <t xml:space="preserve">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tiles, cement, sand and water etc., complete including c., complete for finished item of work, but excluding the cost of conveyance of all materials</t>
    </r>
  </si>
  <si>
    <t>Per 10 sqm</t>
  </si>
  <si>
    <t>Bed Blocks</t>
  </si>
  <si>
    <t>For Excavated Trenches</t>
  </si>
  <si>
    <t>Door sills of D1</t>
  </si>
  <si>
    <t>Door sills of D2</t>
  </si>
  <si>
    <t>Door sills of D</t>
  </si>
  <si>
    <t>For paprapet wall (A5-D4) 
(8.175+0.30-3*.38)</t>
  </si>
  <si>
    <t>For Wall Projections of Head room</t>
  </si>
  <si>
    <t xml:space="preserve">For Wall offest </t>
  </si>
  <si>
    <t xml:space="preserve">Provision for Drinking water facilities with RO plant </t>
  </si>
  <si>
    <t xml:space="preserve">Provision for Sports Club equipment </t>
  </si>
  <si>
    <t>Supply and fixing SPN Distribution board with IP-20 protection suitable for single phase Earth Leakage Circute Braker (ELCB) / Residual Current Circute Braker (RCCB) / Double Pole (DP) Isolator as incomer and 10kA SP MCBs as out going including internal connections and labour charges for surface / flush mounting etc., complete.</t>
  </si>
  <si>
    <t>40A DP Isolator / RCCB / ELCB - 1 No for incomer,   6-32A SP MCBs - 4Nos for outgoing.</t>
  </si>
  <si>
    <r>
      <t xml:space="preserve">Supply and fixing of Window size (W1) </t>
    </r>
    <r>
      <rPr>
        <sz val="10"/>
        <color indexed="12"/>
        <rFont val="Trebuchet MS"/>
        <family val="2"/>
      </rPr>
      <t xml:space="preserve">1.35 x 1.30 mt </t>
    </r>
    <r>
      <rPr>
        <sz val="10"/>
        <rFont val="Trebuchet MS"/>
        <family val="2"/>
      </rPr>
      <t>with sal wood frame of size 75x100mm along with  II class teak wood three shutters made with styles&amp; rails of 100mmx30mm thick with 12mm prelaminated particle board both side laminated interior grade and S/F of 4Nos. MS Hold fasts, 6Nos. MS tower  bolts 100mm long. 6 Nos. MS Hinges 75mm long,2Nos MS Handles 3 Nos window stays. incl. all labour charges such as making window frame &amp; shetter and fiXing 11 Nos. 16mm plain safety bars in to frame etc,</t>
    </r>
  </si>
  <si>
    <r>
      <t xml:space="preserve">Supply and fixing of Window size(W2) </t>
    </r>
    <r>
      <rPr>
        <sz val="10"/>
        <color indexed="12"/>
        <rFont val="Trebuchet MS"/>
        <family val="2"/>
      </rPr>
      <t xml:space="preserve">1.8 x 1.30 mt </t>
    </r>
    <r>
      <rPr>
        <sz val="10"/>
        <rFont val="Trebuchet MS"/>
        <family val="2"/>
      </rPr>
      <t>with sal wood frame of size 75x100mm along with  II class teak wood three shutters made with styles&amp; rails of 100mmx30mm thick with 12mm prelaminated particle board both side laminated interior grade and S/F of 4Nos. MS Hold fasts, 6Nos. MS tower  bolts 100mm long. 6 Nos. MS Hinges 75mm long,2Nos MS Handles 3 Nos window stays. incl. all labour charges such as making window frame &amp; shetter and fiXing 11 Nos. 16mm plain safety bars in to frame etc,</t>
    </r>
  </si>
  <si>
    <r>
      <t xml:space="preserve">Supply and fixing of  salwood Door single shutter   fully pannlled door of size </t>
    </r>
    <r>
      <rPr>
        <sz val="9"/>
        <color indexed="12"/>
        <rFont val="Trebuchet MS"/>
        <family val="2"/>
      </rPr>
      <t>0.</t>
    </r>
    <r>
      <rPr>
        <b/>
        <sz val="9"/>
        <color indexed="12"/>
        <rFont val="Trebuchet MS"/>
        <family val="2"/>
      </rPr>
      <t>90 x 2.1mt</t>
    </r>
    <r>
      <rPr>
        <b/>
        <sz val="9"/>
        <rFont val="Trebuchet MS"/>
        <family val="2"/>
      </rPr>
      <t xml:space="preserve"> </t>
    </r>
    <r>
      <rPr>
        <sz val="9"/>
        <rFont val="Trebuchet MS"/>
        <family val="2"/>
      </rPr>
      <t xml:space="preserve">with frame made of well seasoned sal Wood scantlings of size 100 x 75mm and bottom reeper of size 75x38mm and shutter made of side rails 125mm X38, top rail 125mmX38mm, bottom rail 175mmX38mm and intermediate rails  of 125 x 38 mm and panels -  4 no's are of 25mm thick  as per approved design with fixtures of 6 nos of 9" ' z" holdfasts, 300 mm long aluminium aldrop-1 no,125mm long aluminium   butt hinges 4 No's, Door stoppers-1 no, 150mm long  Tower bolts  - 1no's alumium,  200mm long  Tower bolts  - 1no's alumium,Aluminium fancy  handles 150mm long 1no's,   with necessary screws complete including cost and conveyance of all materials and labour charges etc. complete as per specifications  (APSS NO.1001 &amp; 1002)                                                                                                 </t>
    </r>
  </si>
  <si>
    <t xml:space="preserve">D2 Meeting Hall </t>
  </si>
  <si>
    <t>D3 (0.90x2.10)GF</t>
  </si>
  <si>
    <t>D3 (0.90x2.10)FF</t>
  </si>
  <si>
    <t>W1(1.35x1.30) GF</t>
  </si>
  <si>
    <t>Supply and fixing of 110mm dia ISI mark PVC rain water spouts of 2.5mm thick including Cost of necessary pvc bends, shoes and M.S.clamps  and all other accessories and fixing in position including cost and conveyance of all materials to site , seigniorage charges Countryes and other taxes on all materials, all operational, incidental and labour cahrges such as fixing in alignment etc., complete for finished item of work.(APSS NO1328)</t>
  </si>
  <si>
    <t xml:space="preserve">For Roof  Beams  First Floor  </t>
  </si>
  <si>
    <t xml:space="preserve">For Roof  Beams  Second Floor for head room  </t>
  </si>
  <si>
    <t>B6  (A1-B1)
(3.108+1.50+0.23)</t>
  </si>
  <si>
    <t>For Waist  Salb</t>
  </si>
  <si>
    <t xml:space="preserve">For Lintels </t>
  </si>
  <si>
    <t xml:space="preserve">For Chazza </t>
  </si>
  <si>
    <t xml:space="preserve">Second Floor  </t>
  </si>
  <si>
    <t xml:space="preserve">Wall A1-A2
</t>
  </si>
  <si>
    <t xml:space="preserve">Wall B1-B2
</t>
  </si>
  <si>
    <t>Cross Wall (A1-B1) 
(3.108+.23-.38*2)</t>
  </si>
  <si>
    <t>Cross Wall (A2-B2) 
(3.108+.23-.38*2)</t>
  </si>
  <si>
    <t>Door D3</t>
  </si>
  <si>
    <t>BLD-CSTN-2-9
Amnedment A(3)</t>
  </si>
  <si>
    <t>F2 Type</t>
  </si>
  <si>
    <t>Column C2 Type</t>
  </si>
  <si>
    <t>Teak wood large scantlings over 2 m and below 3 m in length</t>
  </si>
  <si>
    <t>Total Per Cum of Wood Work</t>
  </si>
  <si>
    <t>Bricks traditional size 23 x 11 x 7 cms 2nd class</t>
  </si>
  <si>
    <t>iii</t>
  </si>
  <si>
    <t>Brick Masonry in CM (1:6) with 2nd class Bricks traditional size 23 x 11 x 7 cms</t>
  </si>
  <si>
    <t>Supplying and fixing KITEC Polyethylene-Aluminium-Polyethylene (PE-AL-PE) composite pressure pipes conforming to IS-15450-2004 with UV stabilized, carbon black for hot &amp; cold water supply, capable to withstand pressure up to 80 C including all special composite fittings, plastic &amp; brass blend inserts for elbows, tees, reducers, couplers, connectors etc complete for external works including laying pipes, fixing in position, testing and commissioning etc : 20 mm dia OD Pipe</t>
  </si>
  <si>
    <r>
      <t>Flooring with15-18 mm thick polished Shabad stones (</t>
    </r>
    <r>
      <rPr>
        <sz val="10"/>
        <rFont val="Trebuchet MS"/>
        <family val="2"/>
      </rPr>
      <t>Tandur Blue 1st.Variety) of size 0.457 M x 0.457M set over a base coat of CM (1:8), 12mm thick (joints of stone must be flushed) over 100mm thick C.C. bed already laid only after  it  is  properly  cured, cleaned, moistered and  where necessary treated with  neat cement slurry  and jointed with neat cement paste to full depth, including cost and conveyance of all materials like cement, sand, water, flooring stones etc. to site, seigniorage charges, Countryes and other taxes on all materials, all operational, incidental and labour charges such as dressing of flooring stones to the required sizes, mixing of cement mortar, laying, jointing, curing, lift charges etc., complete for finished item of work.(APSS No.703 &amp; 701) (GROUND FLOOR)</t>
    </r>
  </si>
  <si>
    <r>
      <t>Earthwork in excavation for structures as per drawing and technical specifications Clause 305.1</t>
    </r>
    <r>
      <rPr>
        <sz val="10"/>
        <rFont val="Trebuchet MS"/>
        <family val="2"/>
      </rPr>
      <t xml:space="preserve"> including setting out, construction of shoring and bracing, removal of stumps and other deleterious material and disposal upto a lead of 50 m, dressing of sides and bottom and backfilling in trenches with excavated suitable material as per Technical Specification</t>
    </r>
    <r>
      <rPr>
        <b/>
        <sz val="10"/>
        <rFont val="Trebuchet MS"/>
        <family val="2"/>
      </rPr>
      <t xml:space="preserve"> 305 MORD / 304 MORTH</t>
    </r>
  </si>
  <si>
    <r>
      <t>Manufacture supply and fixing of ventilators  of  size</t>
    </r>
    <r>
      <rPr>
        <sz val="10"/>
        <color indexed="12"/>
        <rFont val="Trebuchet MS"/>
        <family val="2"/>
      </rPr>
      <t xml:space="preserve"> 0.60 x 0.60m</t>
    </r>
    <r>
      <rPr>
        <sz val="10"/>
        <rFont val="Trebuchet MS"/>
        <family val="2"/>
      </rPr>
      <t xml:space="preserve"> in position of RCC Cement Jali</t>
    </r>
  </si>
  <si>
    <t>For Internal walls GF</t>
  </si>
  <si>
    <t>Ventilaters</t>
  </si>
  <si>
    <t>Net quantity</t>
  </si>
  <si>
    <t xml:space="preserve">For Basement Filling </t>
  </si>
  <si>
    <t xml:space="preserve">RR Masonory, </t>
  </si>
  <si>
    <t xml:space="preserve"> Columns  below Gl</t>
  </si>
  <si>
    <t xml:space="preserve">Internal  Plinth beams </t>
  </si>
  <si>
    <t>Total Filling Qty  required</t>
  </si>
  <si>
    <t>PRIMARY COAT:</t>
  </si>
  <si>
    <t>Lts</t>
  </si>
  <si>
    <t>Painter I st class</t>
  </si>
  <si>
    <t>Pianter Iind class</t>
  </si>
  <si>
    <t>Cost of washable Oil Bound Distemper</t>
  </si>
  <si>
    <t>1st class painter</t>
  </si>
  <si>
    <t>II class painter</t>
  </si>
  <si>
    <t xml:space="preserve">Total cost </t>
  </si>
  <si>
    <t>Painting, Priming Coat on New Plastered Surface</t>
  </si>
  <si>
    <t>Sundries including brushes, soaps, putty etc.,</t>
  </si>
  <si>
    <t>Total cost for 10 sqm</t>
  </si>
  <si>
    <t>Doors D3</t>
  </si>
  <si>
    <t>Doors D4</t>
  </si>
  <si>
    <t>PCC (1:5:10)</t>
  </si>
  <si>
    <t>PCC (1:4:8)</t>
  </si>
  <si>
    <t xml:space="preserve">External Beams </t>
  </si>
  <si>
    <t>C.M.(1:4)</t>
  </si>
  <si>
    <t>MBG +32</t>
  </si>
  <si>
    <t>MBG +33</t>
  </si>
  <si>
    <t>MBG +33A</t>
  </si>
  <si>
    <t>Reception Room
(3.15+3.15+1.5*2+3.0)</t>
  </si>
  <si>
    <t>Head Room
(3.15*2+.23+1.50*2+3.0)</t>
  </si>
  <si>
    <t>Meeting Hall 
(9.78*2+7.72*2+4*(0.22+0.22+0.3))</t>
  </si>
  <si>
    <t>Reception office 
(2*3.67+2*4.0)</t>
  </si>
  <si>
    <t>Computer Room
(2*6.6+3*2)</t>
  </si>
  <si>
    <t>Corridor  Portion
(2*(3.3*4-0.23)+1.5*2)</t>
  </si>
  <si>
    <t>Door D1</t>
  </si>
  <si>
    <t xml:space="preserve">First  Floor </t>
  </si>
  <si>
    <t>APO Room
(2*3.18+2*3.0)</t>
  </si>
  <si>
    <t>PO Room
(2*3.07+2*3.0)</t>
  </si>
  <si>
    <t>Toilet ladies Room
(1.36*2+2*2)</t>
  </si>
  <si>
    <t>Toilet Gents  Room
(2.0*2+2*2)</t>
  </si>
  <si>
    <t xml:space="preserve">Ground   Floor </t>
  </si>
  <si>
    <t xml:space="preserve">Attached Toilet under Stais </t>
  </si>
  <si>
    <t>First Flight</t>
  </si>
  <si>
    <t>Landing Slab</t>
  </si>
  <si>
    <t>Slabs of 175 mm thick</t>
  </si>
  <si>
    <t>I)</t>
  </si>
  <si>
    <t xml:space="preserve">For Waist  Slab(1:1.5:3) Prop.175 mm thick  Ground Floor </t>
  </si>
  <si>
    <t>50%</t>
  </si>
  <si>
    <r>
      <t>Mason 1</t>
    </r>
    <r>
      <rPr>
        <vertAlign val="superscript"/>
        <sz val="9"/>
        <rFont val="Trebuchet MS"/>
        <family val="2"/>
      </rPr>
      <t>st</t>
    </r>
    <r>
      <rPr>
        <sz val="9"/>
        <rFont val="Trebuchet MS"/>
        <family val="2"/>
      </rPr>
      <t xml:space="preserve"> class</t>
    </r>
  </si>
  <si>
    <r>
      <t>Mason 2</t>
    </r>
    <r>
      <rPr>
        <vertAlign val="superscript"/>
        <sz val="9"/>
        <rFont val="Trebuchet MS"/>
        <family val="2"/>
      </rPr>
      <t>nd</t>
    </r>
    <r>
      <rPr>
        <sz val="9"/>
        <rFont val="Trebuchet MS"/>
        <family val="2"/>
      </rPr>
      <t xml:space="preserve"> class</t>
    </r>
  </si>
  <si>
    <t>10 kA - 6-32A range SP MCBs</t>
  </si>
  <si>
    <t>Sundries such as hardware, cement etc,</t>
  </si>
  <si>
    <t>Excavation of Hard Gravel soils  for trench 2nd Step of size 1.2 x 0.6 x 1.2 m (Civil SSR) (4'x2'x4')</t>
  </si>
  <si>
    <t xml:space="preserve">Internal Beams </t>
  </si>
  <si>
    <t>For Cons of SP tank
3.70x2.75x1.70</t>
  </si>
  <si>
    <t xml:space="preserve">Over rooms to the Extent of A1A5 x A1D1  
 </t>
  </si>
  <si>
    <t xml:space="preserve">Deduct </t>
  </si>
  <si>
    <r>
      <t>Supplying and filling gravel</t>
    </r>
    <r>
      <rPr>
        <sz val="10"/>
        <rFont val="Trebuchet MS"/>
        <family val="2"/>
      </rPr>
      <t xml:space="preserve">  in trenches ,sides of the foundations and basement with initial lead in layers not exceeding 15 cm thick consolidatiing each depposited layer by watering and rampping including cost and conveyance of water  to work site and all operational incidental ,labour charges hire charges and T &amp; O Complete for finished item </t>
    </r>
    <r>
      <rPr>
        <b/>
        <sz val="10"/>
        <rFont val="Trebuchet MS"/>
        <family val="2"/>
      </rPr>
      <t xml:space="preserve">APSS 309 &amp;310)  </t>
    </r>
  </si>
  <si>
    <t>BMT G53</t>
  </si>
  <si>
    <t>BMT M 21</t>
  </si>
  <si>
    <t>Elec8.1.12</t>
  </si>
  <si>
    <t>BMT -G15</t>
  </si>
  <si>
    <t>Providing impervious coat over RCC roof slab to required slopes with CM (1:3) prop. 20mm thick (average) mixed with water proofing compound manufactured by reputed manufacturers as approved by Engineer-in-charge at 1Kg/bag of cement, laid over roof slab when it is green, finished smooth with a floating coat of neat cement and thread lining at regular intervals of 45cmx45cm including Cost and Conveyance  of all materials like cement, sand, water proofing compound, water etc., to site,   on all materials, all operational, incidental and labour charges such as mixing mortar, laying, rounding off at junctions of wall and slab, rendering smooth with thread lining, curing, lift charges,  etc., complete for finished item of work (APSS No. 901 &amp; 903)</t>
  </si>
  <si>
    <t>Column C3 Type</t>
  </si>
  <si>
    <t>Column C2 Type Including Sill level 4" rise</t>
  </si>
  <si>
    <t>Column C3 Type Including Sill level 4" rise</t>
  </si>
  <si>
    <t>S No</t>
  </si>
  <si>
    <t>Rate Rs.</t>
  </si>
  <si>
    <t>Amount Rs.</t>
  </si>
  <si>
    <t>BLD-CSTN-1</t>
  </si>
  <si>
    <t>MORTARS</t>
  </si>
  <si>
    <t>BLD-CSTN-1-1</t>
  </si>
  <si>
    <t>Plinth beams</t>
  </si>
  <si>
    <t>Columns</t>
  </si>
  <si>
    <t>BLD-CSTN-1-5</t>
  </si>
  <si>
    <t>Cement Mortar (1 : 4)</t>
  </si>
  <si>
    <t>BLD-CSTN-1-6</t>
  </si>
  <si>
    <t>Cement Mortar (1 : 5)</t>
  </si>
  <si>
    <t>BLD-CSTN-1-7</t>
  </si>
  <si>
    <t>Cement Mortar (1 : 6)</t>
  </si>
  <si>
    <t xml:space="preserve">Superintending Engineer </t>
  </si>
  <si>
    <t>PR Circle Mahabubnagar</t>
  </si>
  <si>
    <t>Asst.Engineer</t>
  </si>
  <si>
    <t>DETAILED SUB  ESTIMATE  FOR ELECTRIFICATION</t>
  </si>
  <si>
    <t>Per Nos</t>
  </si>
  <si>
    <t xml:space="preserve">S/F 63 KV tranformer </t>
  </si>
  <si>
    <t xml:space="preserve">Add LS for Laying of Elctrical line to collage premises </t>
  </si>
  <si>
    <t>Unit = 20 sqm</t>
  </si>
  <si>
    <t>Form work</t>
  </si>
  <si>
    <t>L.S.</t>
  </si>
  <si>
    <t>D. Grand Total for 20 sqm</t>
  </si>
  <si>
    <t>Rate per Sqm = D/20</t>
  </si>
  <si>
    <t>BLD-CSTN-2-17</t>
  </si>
  <si>
    <t>BASIC COST per 1 Sqm</t>
  </si>
  <si>
    <t>881 BMM-V.15</t>
  </si>
  <si>
    <t>Unit = 1Kg</t>
  </si>
  <si>
    <t xml:space="preserve">Cost of MS Steel </t>
  </si>
  <si>
    <t>BASIC COST per 1 KG</t>
  </si>
  <si>
    <t>DETAILED SUB  ESTIMATE  FOR  SEPTIC TANK</t>
  </si>
  <si>
    <r>
      <t>Brick Masonry in superstructure with CM (1:6) Prop</t>
    </r>
    <r>
      <rPr>
        <sz val="10"/>
        <rFont val="Trebuchet MS"/>
        <family val="2"/>
      </rPr>
      <t xml:space="preserve"> of 230 mm thick wall  using 2nd class traditional Bricks of size 23x11x7cm having minimum crushing strength of 50 kg/cm2 including Cost and Conveyance of all materials scaffolding charges, etc., complete for finished item of work. (APSS No. 501 &amp; 504).</t>
    </r>
  </si>
  <si>
    <t xml:space="preserve">For Long wals </t>
  </si>
  <si>
    <t xml:space="preserve">For Short  wals </t>
  </si>
  <si>
    <t xml:space="preserve">For Baffle Walls </t>
  </si>
  <si>
    <t xml:space="preserve">For Openiong in Buffle walls </t>
  </si>
  <si>
    <t>On Septic tank</t>
  </si>
  <si>
    <t xml:space="preserve">Deductiions Man hole Cover </t>
  </si>
  <si>
    <t>Providing Plastering  with CM (1:3) prop. 20mm thick (average) mixed with water proofing compound at 1Kg/bag of cement, laid over roof slab when it is green, finished smooth with a floating coat of neat cement and thread lining at regular intervals of 45cmx45cm including Cost and Conveyance of all materials complete for finished item of work (APSS No. 901 &amp; 903).(CSSR)</t>
  </si>
  <si>
    <t>For Bottom</t>
  </si>
  <si>
    <t xml:space="preserve">For side LW </t>
  </si>
  <si>
    <t xml:space="preserve">For side CW </t>
  </si>
  <si>
    <t xml:space="preserve">For Both sides Buffela walls </t>
  </si>
  <si>
    <t>On slab of septic tank</t>
  </si>
  <si>
    <t xml:space="preserve">Plain Cement Concrete corresp.to M20 grade Nominal  mix  , Metal of  20mm size HBG  (SS5) metal from approved quarry including Cost and Conveyance  of all materials like cement, sand, coarse aggregate, water etc. to site, including all operational, incidental and labour charges such as mixing, laying, curing concrete for 21 days etc., complete for finished item of work. (APSS No. 402) but excluding cost of steel and its fabrication charges for finished item of work </t>
  </si>
  <si>
    <t>For  flooring bed</t>
  </si>
  <si>
    <t>(0.20+0.15)/2</t>
  </si>
  <si>
    <t>per Cum.</t>
  </si>
  <si>
    <t xml:space="preserve"> Cum</t>
  </si>
  <si>
    <t xml:space="preserve">1.50 Sqm </t>
  </si>
  <si>
    <t xml:space="preserve">2.50 Sqm </t>
  </si>
  <si>
    <t xml:space="preserve">Vibrated reinforced cement concrete corresponding M15 grade as per IS 456 equivalent to (1:1.5:3) prop: nominal mix (Cement: fine aggregate: coarse aggregate using 20mm size HBG (SS5) machine crushed  metal from approved quarry including cost and conveyance of all materials like cement, fine aggregate (Sand), coarse aggregate, water etc. to site Excluding seigniorage charges,Including, Countryes &amp; other taxes on all materials, all operational, incidental,  and labor charges such as centering, shuttering, scaffolding, lift charges, machine mixing, laying concrete, vibrating, curing concrete etc, complete but excluding cost of steel and its fabrication charges for finished item of work (APSS No.402 &amp; 403)                                                              </t>
  </si>
  <si>
    <r>
      <t xml:space="preserve">Plastering 12mm thick in two coats with base coat of 8mm thick in CM (1:5) and top coat of 4mm thick in CM (1:3) dubara sponge finish including cost and conveyance of all materials like cement, sand, water etc., to site, seigniorage charges, Countryes &amp; other taxes on all materials, all operational, incidental and labor charges such as mixing mortar, scaffolding charges, lift charges, including cutting of Grooves wherever necessary as directed by Engineer - in - charge, finishing,  curing, etc., complete for  Even Surfaces of  Wall for finished item of work. (APSS 901,903 &amp; 904) </t>
    </r>
    <r>
      <rPr>
        <b/>
        <sz val="10"/>
        <rFont val="Trebuchet MS"/>
        <family val="2"/>
      </rPr>
      <t xml:space="preserve">For Internal walls </t>
    </r>
  </si>
  <si>
    <t>Window W  3'-0"x4'-6"</t>
  </si>
  <si>
    <t xml:space="preserve">For External walls </t>
  </si>
  <si>
    <t>M.T</t>
  </si>
  <si>
    <t>Per MT</t>
  </si>
  <si>
    <t xml:space="preserve">Prince/ Sudhakar make or equivalent quality PVC /SWR pipes &amp; fittings ( as per ISI standards) 4kg/cm2 110mm dia. double socket </t>
  </si>
  <si>
    <r>
      <t>DETAIED CUM ABSTRACT ESTIMATE</t>
    </r>
    <r>
      <rPr>
        <b/>
        <sz val="10"/>
        <rFont val="Trebuchet MS"/>
        <family val="2"/>
      </rPr>
      <t xml:space="preserve"> </t>
    </r>
  </si>
  <si>
    <t>Providing impervious coat over RCC roof slab to required slopes with CM (1:3) prop. 20 mm thick (average) mixed with water proofing compound manufactured by reputed manufacturers as approved by Engineer-in-charge at 1Kg/bag of cement, laid over roof slab when it is green, finished smooth with a floating coat of neat cement and thread lining at regular intervals of 45cmx45cm including cost and conveyance of all materials like cement, sand, water proofing compound, water etc., to site,  seigniorage charges, sales &amp; other taxes on all materials, all operational, incidental and labour charges such as mixing mortar, laying, rounding off at junctions of wall and slab, rendering smooth with thread lining, curing, lift charges,  etc., complete for finished item of work (APSS No. 901 &amp; 903).</t>
  </si>
  <si>
    <r>
      <t>Flooring with</t>
    </r>
    <r>
      <rPr>
        <b/>
        <sz val="10"/>
        <rFont val="Trebuchet MS"/>
        <family val="2"/>
      </rPr>
      <t>15-18 mm thick polished Shabad stones (</t>
    </r>
    <r>
      <rPr>
        <sz val="10"/>
        <rFont val="Trebuchet MS"/>
        <family val="2"/>
      </rPr>
      <t>Tandur Blue 1st.Variety) of size 0.457 M x 0.457M set over a base coat of CM (1:8), 12mm thick (joints of stone must be flushed) over 100mm thick C.C. bed already laid only after  it  is  properly  cured, cleaned, moistered and  where necessary treated with  neat cement slurry  and jointed with neat cement paste to full depth, including cost and conveyance of all materials like cement, sand, water, flooring stones etc. to site, seigniorage charges, Countryes and other taxes on all materials, all operational, incidental and labour charges such as dressing of flooring stones to the required sizes, mixing of cement mortar, laying, jointing, curing, lift charges etc., complete for finished item of work.(APSS No.703 &amp; 701) (GROUND FLOOR)</t>
    </r>
  </si>
  <si>
    <t>Supplying &amp; Fixing of Indian Pattern White Glazed 1st Quality of ISI Orissa  Pan with "P" or "S" trap Hindware/Parryware/Neycer - ISI Mark 630x450 mm including cost and conveyance of all materials and labour charges etc., complete</t>
  </si>
  <si>
    <t>Supplying and fixing TV shape mirror with plastic frame size 609.6 mm x 457 .2 mm</t>
  </si>
  <si>
    <t>S&amp; F GI pipe Medium Grade properties &amp; weight as per IS 1239 ISI mark with GI fittings including the cost of pipe &amp; its fittings &amp; labour charges complete 20mm dia.</t>
  </si>
  <si>
    <t>For Septic tank InsideL/W</t>
  </si>
  <si>
    <t>For Septic tank Inside S/W</t>
  </si>
  <si>
    <t xml:space="preserve">Buffle Wall </t>
  </si>
  <si>
    <t xml:space="preserve">Bottom Surface </t>
  </si>
  <si>
    <t>Computer  Room</t>
  </si>
  <si>
    <t>PO  Room</t>
  </si>
  <si>
    <t>APO  Room</t>
  </si>
  <si>
    <t>Ladies Toilet</t>
  </si>
  <si>
    <t xml:space="preserve">Gents Toilet </t>
  </si>
  <si>
    <t>Slabs of 115 mm thick</t>
  </si>
  <si>
    <t>Top Coat in CM (1:4), 4 mm thick</t>
  </si>
  <si>
    <t xml:space="preserve">Add Seigniorage charges on Sand </t>
  </si>
  <si>
    <t>Coarse aggregate  20 mm</t>
  </si>
  <si>
    <t>Damp proof course 50mm thick with 1:2:4 cement concrete Nominal mix, using 20 mm hard broken stone aggregate including cost of all materials, seigniorage charges, excluding conveyance charges of materials including the cost of machinery, labour charges, mixing, placing in position, leveling, vibrating, curing etc. complete for finished item of work. (Using concrete mixer)</t>
  </si>
  <si>
    <t>Add LS unforseen items of work</t>
  </si>
  <si>
    <t xml:space="preserve">Sub Total Rs </t>
  </si>
  <si>
    <t xml:space="preserve">Transportation charges </t>
  </si>
  <si>
    <t xml:space="preserve">Nuts bolts </t>
  </si>
  <si>
    <t>Door size 0.90X2.10 M</t>
  </si>
  <si>
    <t>Door size 1.20X2.10 M</t>
  </si>
  <si>
    <t>2X2</t>
  </si>
  <si>
    <t>2x3</t>
  </si>
  <si>
    <t>2x2</t>
  </si>
  <si>
    <t xml:space="preserve"> Tower bolts Top 150</t>
  </si>
  <si>
    <t>Top Tower bolts Top 250MM</t>
  </si>
  <si>
    <t>Top Tower bolts Top 250 MM</t>
  </si>
  <si>
    <t>Butt  hings with screws 100  mm LONG</t>
  </si>
  <si>
    <t xml:space="preserve">Cost of 12 mm squre Rods </t>
  </si>
  <si>
    <t>Window size 1.20 X 1.35m</t>
  </si>
  <si>
    <t>2X3</t>
  </si>
  <si>
    <t>3x3</t>
  </si>
  <si>
    <t>3x2</t>
  </si>
  <si>
    <t>10  nos</t>
  </si>
  <si>
    <t>Over Doors D1</t>
  </si>
  <si>
    <t>Over Doors D3</t>
  </si>
  <si>
    <t>Over Doors D4</t>
  </si>
  <si>
    <t>Over Doors D2</t>
  </si>
  <si>
    <t>On Windows W1</t>
  </si>
  <si>
    <r>
      <t>Ornamental plastering to ceiling 12mm thick in CM (1:5)</t>
    </r>
    <r>
      <rPr>
        <sz val="10"/>
        <rFont val="Trebuchet MS"/>
        <family val="2"/>
      </rPr>
      <t xml:space="preserve"> with dubara sponge finish including Cost and Conveyance  of all materials like cement, sand, water etc., to site, including  other taxes on all materials, all operational, incidental and labour charges such as  mixing mortar, finishing, scaffolding, lift charges, including cutting of Grooves wherever necessary as directed by Engineer-in-charge,  curing, etc., complete for finished item of work.(APSS 901&amp; 903 ) </t>
    </r>
  </si>
  <si>
    <t>Ornamental Plastering with CM (1:5), 12 mm thick</t>
  </si>
  <si>
    <t>Cement Mortar (1:5)</t>
  </si>
  <si>
    <r>
      <t xml:space="preserve">Plastering 12mm thick double coat in CM (1:6) 8 mm thick base coat and CM (1:3) of 4mm thick top coat </t>
    </r>
    <r>
      <rPr>
        <sz val="10"/>
        <rFont val="Trebuchet MS"/>
        <family val="2"/>
      </rPr>
      <t xml:space="preserve">with dubara sponge finish including c/c of all materials like cement, sand,water etc., to site, other taxes on all materials, all operational, incidental such as scaffolding charges, lift charges, including cutting of Grooves,finishing, curing, etc., complete for for finished item of work. (APSS 901,903 &amp; 904) (CSSR) </t>
    </r>
    <r>
      <rPr>
        <b/>
        <sz val="10"/>
        <rFont val="Trebuchet MS"/>
        <family val="2"/>
      </rPr>
      <t>Internal Walls</t>
    </r>
  </si>
  <si>
    <t>BASIC COST per Each</t>
  </si>
  <si>
    <r>
      <t xml:space="preserve">RCC M20 Grade Design mix using 20mm size HBG(SS5) machine crushed from approved quarry including Cost &amp; Conveyance of all materials like cement,FA,CA,water etc. to site including C429 &amp; other taxes on all materials all operational,incidental &amp; labour charges such as centering,shuttering,scaffolding,lift charges,machine mix,laying CC,curing CC etc,complete but excluding cost of steel &amp; its fabrication charges for finishd item of work for Lintels (APSSNo.402&amp;403) For Lintelssteel and its fabrication charges for finished item of work  (APSS No.402 &amp; 403) for </t>
    </r>
    <r>
      <rPr>
        <b/>
        <sz val="10"/>
        <rFont val="Trebuchet MS"/>
        <family val="2"/>
      </rPr>
      <t xml:space="preserve">LINTELS </t>
    </r>
    <r>
      <rPr>
        <sz val="10"/>
        <rFont val="Trebuchet MS"/>
        <family val="2"/>
      </rPr>
      <t xml:space="preserve">(G.F.)                                                             </t>
    </r>
  </si>
  <si>
    <t>For cross  walls(A1-D1) 
(8.175-3*0.38)</t>
  </si>
  <si>
    <t>For cross walls(A10-D10) 
(8.175-3*0.38)</t>
  </si>
  <si>
    <t>For cross  walls(A1&amp;A2)</t>
  </si>
  <si>
    <t>For MLB</t>
  </si>
  <si>
    <t xml:space="preserve">Sun Shades on W1 for Both Sides </t>
  </si>
  <si>
    <t xml:space="preserve">Sun Shades on W2for Both Sides </t>
  </si>
  <si>
    <r>
      <t>Supply and fixing of Window size(W4) 0.60 x1.30</t>
    </r>
    <r>
      <rPr>
        <sz val="10"/>
        <color indexed="12"/>
        <rFont val="Trebuchet MS"/>
        <family val="2"/>
      </rPr>
      <t xml:space="preserve"> mt </t>
    </r>
    <r>
      <rPr>
        <sz val="10"/>
        <rFont val="Trebuchet MS"/>
        <family val="2"/>
      </rPr>
      <t>with sal wood frame of size 75x100mm along with  II class teak wood three shutters made with styles&amp; rails of 100mmx30mm thick with 12mm prelaminated particle board both side laminated interior grade and S/F of 4Nos. MS Hold fasts, 2Nos. MS tower  bolts 100mm long. 3 Nos. MS Hinges 75mm long ,1 Nos MS Handles 3 Nos window stays. incl. all labour charges such as making window frame &amp; shetter and fiXing 11 Nos. 16mm plain safety bars in to frame etc,</t>
    </r>
  </si>
  <si>
    <t>W3  0.60x1.30 FF</t>
  </si>
  <si>
    <t>MBG +44</t>
  </si>
  <si>
    <t>MBG +47</t>
  </si>
  <si>
    <t>MBG +49</t>
  </si>
  <si>
    <r>
      <t>Supply and fixing of  salwood Door single shutter   fully pannlled door of size</t>
    </r>
    <r>
      <rPr>
        <b/>
        <sz val="9"/>
        <color indexed="48"/>
        <rFont val="Trebuchet MS"/>
        <family val="2"/>
      </rPr>
      <t xml:space="preserve"> </t>
    </r>
    <r>
      <rPr>
        <b/>
        <sz val="9"/>
        <color indexed="12"/>
        <rFont val="Trebuchet MS"/>
        <family val="2"/>
      </rPr>
      <t>1.20 x 2.1 mt</t>
    </r>
    <r>
      <rPr>
        <sz val="9"/>
        <color indexed="12"/>
        <rFont val="Trebuchet MS"/>
        <family val="2"/>
      </rPr>
      <t xml:space="preserve"> </t>
    </r>
    <r>
      <rPr>
        <sz val="9"/>
        <rFont val="Trebuchet MS"/>
        <family val="2"/>
      </rPr>
      <t xml:space="preserve">with frame made of well seasoned sal Wood scantlings of size 100 x 75mm and bottom reeper of size 75x38mm and shutter made of side rails 125mm X38, top rail 125mmX38mm, bottom rail 175mmX38mm and intermediate rails  of 125 x 38 mm and panels -  4 no's are of 25mm thick  as per approved design with fixtures of 6 nos of 9" ' z" holdfasts, 300 mm long aluminium aldrop-1 no,125mm long aluminium   butt hinges 4 No's, Door stoppers-1 no, 150mm long  Tower bolts  - 1no's alumium,  200mm long  Tower bolts  - 1no's alumium,Aluminium fancy  handles 150mm long 1no's,   with necessary screws complete including cost and conveyance of all materials and labour charges etc. complete as per specifications  (APSS NO.1001 &amp; 1002)                                                                                                 </t>
    </r>
  </si>
  <si>
    <t>Material charges including skilled and semi-skilled labour charges</t>
  </si>
  <si>
    <t>Unskilled labour charges</t>
  </si>
  <si>
    <t xml:space="preserve">Pedastals  </t>
  </si>
  <si>
    <t>For Slab Projection</t>
  </si>
  <si>
    <t>MLB ( A1-A2)
(3.3+0.3)</t>
  </si>
  <si>
    <t>B1 ( A2-A7)
(3.3*4+3.6+0.30)</t>
  </si>
  <si>
    <t>B2 ( B1-B2)
(3.3+0.30)</t>
  </si>
  <si>
    <t>B 3( B5-B7)
(3.6+3.3+0.30)</t>
  </si>
  <si>
    <t>B5 (3.60-0.30)</t>
  </si>
  <si>
    <t xml:space="preserve">B4 (C1-C7)
(3.3*5+3.6+0.30)
</t>
  </si>
  <si>
    <t>B1 ( A2-A5)
(3.3*4+0.30)</t>
  </si>
  <si>
    <t xml:space="preserve">B4 (C1-C4)
(3.3*3+3.6+0.30)
</t>
  </si>
  <si>
    <t>Under A2-D2</t>
  </si>
  <si>
    <t>Under A3-D3</t>
  </si>
  <si>
    <t>Under A4-D4</t>
  </si>
  <si>
    <t>Under A5-D5</t>
  </si>
  <si>
    <t>Under A6-D6</t>
  </si>
  <si>
    <t>For Rain water Spouts  pipes</t>
  </si>
  <si>
    <t xml:space="preserve">For Footings </t>
  </si>
  <si>
    <t xml:space="preserve">For Plinth Beams </t>
  </si>
  <si>
    <t xml:space="preserve">For Roof Beams </t>
  </si>
  <si>
    <t>For Roof Salb</t>
  </si>
  <si>
    <t>Supply and  run of 1 of 14 /0.3mm (1.0 Sq.mm) FR P.V.C. insulated flexible copper cable in existing pipe for earth continuity including all labour charges etc., complete.and as per 3.1.2  of Sta  revised data of BLD -ELEC-3-1-2</t>
  </si>
  <si>
    <t>25mm dia 1,2,3 &amp; 4 way deep Junction Box PVC</t>
  </si>
  <si>
    <t>25mm PVC bends  1.50mmthick</t>
  </si>
  <si>
    <t>16A 3 pin / 6A 3pin Plug triangle socket with indicator lamp, fuse unit (5 in 1)</t>
  </si>
  <si>
    <t xml:space="preserve">MS power coated Door stopper </t>
  </si>
  <si>
    <t>Supply and fixing of 6A 3 pin wall plug socket with 6A switch control on a common switch board with earth continuity including wire leads, earth connections along with all labour charges etc., complete..and as per 2.1.4  of Sta  revised data of BLD -ELEC-2.1.4</t>
  </si>
  <si>
    <t>Supply and fixing of 16A 3pin / 6A 3pin  plug socket with indicator lamp and 16Amps  fuse unit and 16 Amps  switch control (5 in one) on decolam sheet covered board including earth connection and all labour charges etc., complete on wall.and as per 2.1.5  of Sta  revised data of BLD -ELEC-2.1.5</t>
  </si>
  <si>
    <t>1 RM</t>
  </si>
  <si>
    <t>Total per 1.00 Rmt</t>
  </si>
  <si>
    <t>Supply and erecting Stepped type electronic Regulator for ceiling fans 900/1200/1400mm sweep complete erected on existing board.and as per 9.7.26  of Sta  revised data of BLD -ELEC-9.7.26</t>
  </si>
  <si>
    <t>Supply of fresh air exhaust fan of light duty 250V A.C.50Hz.. 225 mm (9") / 300mm size (12") 1350 R.P.M Metallic body plastic blades, wire mesh, etc., complete.and as per 9.7.16  of Sta  revised data of BLD -ELEC-9.7.16</t>
  </si>
  <si>
    <t>Labour charges for fixing of Exhaust fan in wall with necessary connections and masonary work of making hole, finishing etc., complete 9.7.36</t>
  </si>
  <si>
    <t>Corridor Portion</t>
  </si>
  <si>
    <t xml:space="preserve">Reception Lobby </t>
  </si>
  <si>
    <t xml:space="preserve">Meeting Hall </t>
  </si>
  <si>
    <t xml:space="preserve"> Room 1</t>
  </si>
  <si>
    <t xml:space="preserve">Room 3 </t>
  </si>
  <si>
    <t xml:space="preserve">Common Toilet </t>
  </si>
  <si>
    <t>MBG +1</t>
  </si>
  <si>
    <t>MBG +4</t>
  </si>
  <si>
    <t>MBG +46</t>
  </si>
  <si>
    <t>MBG +25</t>
  </si>
  <si>
    <t xml:space="preserve">Material Component </t>
  </si>
  <si>
    <t xml:space="preserve">Un skilled labour  Component </t>
  </si>
  <si>
    <t>1cum</t>
  </si>
  <si>
    <t>For SBC 20TN/sqm only</t>
  </si>
  <si>
    <t>For Wall (A1-A7)
(20.40-4*1.8-2*2.00-0.30)</t>
  </si>
  <si>
    <t>For Wall (D1-D7)
(20.40-3.50*1.80-2*2.0-0.50*1.350-0.30)</t>
  </si>
  <si>
    <t>For cross  walls(A1-D1) 
(8.175-1*1.80-1*2.0-0.3)</t>
  </si>
  <si>
    <t>For cross  walls(A7-D7)
(8.175-1.5*1.80-1*1.35-0.3)</t>
  </si>
  <si>
    <t>Over Heads : 14.00</t>
  </si>
  <si>
    <t>VAT : 0.00</t>
  </si>
  <si>
    <t>Total rate per each</t>
  </si>
  <si>
    <t>Attached Toilet 
(1.16*2+1.20*2-0.75)</t>
  </si>
  <si>
    <t>Ladies Toilet 
(1.39*2+0.97*2-0.75)</t>
  </si>
  <si>
    <t>Gents Toilet rooms 
(0.90*2+1.20*2-0.75)</t>
  </si>
  <si>
    <t>Ventilators  GF</t>
  </si>
  <si>
    <t>Ventilators  FF</t>
  </si>
  <si>
    <t>For External walls SF</t>
  </si>
  <si>
    <t xml:space="preserve">IN GF &amp; FF </t>
  </si>
  <si>
    <t>MBG01.Unskilled labour charges Earth work excavation and depositing on bank with initial lead of 10m and initial lift of 2m in Loamy and Clayey Soils like B.C. Soils, red earth &amp; Ordinary Gravel (SS 20-B) including shoring, strutting, sheeting, planking and dewatering including cost of hire charges of T &amp; P, labour charges etc., complete for finished item of work for Foundation of Building.(APSS No. 308)</t>
  </si>
  <si>
    <t>RCC SLABS, BEAMS</t>
  </si>
  <si>
    <t>each</t>
  </si>
  <si>
    <t>BLD-CSTN-1-8</t>
  </si>
  <si>
    <t>Cement Mortar (1 : 8)</t>
  </si>
  <si>
    <t>BLD-CSTN-2-1</t>
  </si>
  <si>
    <t>Kg</t>
  </si>
  <si>
    <t>Seigniorage charges for F.A</t>
  </si>
  <si>
    <t>B. LABOUR:</t>
  </si>
  <si>
    <t>Mazdoor (unskilled)</t>
  </si>
  <si>
    <t>Water (including for curing)</t>
  </si>
  <si>
    <t>kl</t>
  </si>
  <si>
    <t>Concrete Mixer 10 / 7 cft (0.2 / 0.8 cum) capacity</t>
  </si>
  <si>
    <t>hour</t>
  </si>
  <si>
    <t>Unit = 1cum</t>
  </si>
  <si>
    <t>kg</t>
  </si>
  <si>
    <t>Mazdoor (Unskilled)</t>
  </si>
  <si>
    <t xml:space="preserve">Coarse aggregate 40 mm </t>
  </si>
  <si>
    <t>A</t>
  </si>
  <si>
    <t>Taking Output = 6 Points</t>
  </si>
  <si>
    <t>Rate per Point = C/6</t>
  </si>
  <si>
    <t>2.1.4</t>
  </si>
  <si>
    <t>Taking Output = each</t>
  </si>
  <si>
    <t>Note : Labour Charges proposed for 1point considering 15 per day</t>
  </si>
  <si>
    <t>3.1.2</t>
  </si>
  <si>
    <t xml:space="preserve">Sundries </t>
  </si>
  <si>
    <r>
      <t xml:space="preserve">Supply and fixing of  Country wood Door double shutter  fully panelled door of size 0.75 x 2.0 mt </t>
    </r>
    <r>
      <rPr>
        <sz val="10"/>
        <rFont val="Trebuchet MS"/>
        <family val="2"/>
      </rPr>
      <t xml:space="preserve">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r>
  </si>
  <si>
    <r>
      <rPr>
        <b/>
        <sz val="10"/>
        <rFont val="Trebuchet MS"/>
        <family val="2"/>
      </rPr>
      <t>Providing skirting to internal walls to 15 cm height/risers of steps with 25 mm thick</t>
    </r>
    <r>
      <rPr>
        <sz val="10"/>
        <rFont val="Trebuchet MS"/>
        <family val="2"/>
      </rPr>
      <t xml:space="preserve"> polished shabad  stone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Cuddapah stone, cement, sand and water etc., complete including seigniorage charges, etc., complete for finished item of work, but excluding the cost of conveyance of all materials</t>
    </r>
  </si>
  <si>
    <r>
      <rPr>
        <b/>
        <sz val="10"/>
        <rFont val="Trebuchet MS"/>
        <family val="2"/>
      </rPr>
      <t>Providing impervious coat to exposed RCC roof slab surface with CM(1:3), 20mm thick</t>
    </r>
    <r>
      <rPr>
        <sz val="10"/>
        <rFont val="Trebuchet MS"/>
        <family val="2"/>
      </rPr>
      <t xml:space="preserve">  with 1kg of water proof compound per bag of cement  laid over roof when it is green including cost of all materials, seigniorage charges, excluding conveyance charges of materials and including all operational, incidental and labour charges for mixing mortar, laying, rendering smooth and thread lining, curing, rounding off junctions of wall and slab etc,, complete for finished item of work</t>
    </r>
  </si>
  <si>
    <r>
      <rPr>
        <b/>
        <sz val="10"/>
        <rFont val="Trebuchet MS"/>
        <family val="2"/>
      </rPr>
      <t xml:space="preserve">White washing two coats with whiting </t>
    </r>
    <r>
      <rPr>
        <sz val="10"/>
        <rFont val="Trebuchet MS"/>
        <family val="2"/>
      </rPr>
      <t>of approved quality to give an even shade after thoroughly brushing the surface to remove all dirt and remains of loose powdered materials including cost of all materials, labour charges and incidental such as scaffolding, lift charges etc., complete for finished item of work, but excluding conveyance charges of materials</t>
    </r>
  </si>
  <si>
    <r>
      <rPr>
        <b/>
        <sz val="10"/>
        <rFont val="Trebuchet MS"/>
        <family val="2"/>
      </rPr>
      <t xml:space="preserve">Painting to new walls with 2 coats of ready mixed oil bound wahsable distemper </t>
    </r>
    <r>
      <rPr>
        <sz val="10"/>
        <rFont val="Trebuchet MS"/>
        <family val="2"/>
      </rPr>
      <t>of approved brand and shade over a base coat of appropriate primer of approved brand, making 3 coats in all to give an even shade after thourughly brushing the surface to remove all dirt and remains of loose powdered materials, including cost and conveyance of all materials to work site and all operational, incidental, labour charges etc. complete for finished item of work as per SS 911 for internal walls</t>
    </r>
  </si>
  <si>
    <r>
      <rPr>
        <b/>
        <sz val="10"/>
        <rFont val="Trebuchet MS"/>
        <family val="2"/>
      </rPr>
      <t xml:space="preserve">Painting to new walls with 2 coats of water proof cement paint </t>
    </r>
    <r>
      <rPr>
        <sz val="10"/>
        <rFont val="Trebuchet MS"/>
        <family val="2"/>
      </rPr>
      <t>of apporved brand and shade over a base coat of approved cement primer grade I making making 3 coats in all to give an even shade after thourughly brushing the surface to remove all dirt and remains of loose powdered materials, including cost and conveyance of all materials to work site and all operational, incidental, labour charges etc. complete for finished item of work as per SS 912 for internal walls</t>
    </r>
  </si>
  <si>
    <r>
      <rPr>
        <b/>
        <sz val="10"/>
        <rFont val="Trebuchet MS"/>
        <family val="2"/>
      </rPr>
      <t xml:space="preserve">Reinforced Brick Masonary walls of 11.5cm in CM(1:4) using  second class traditional size bricks </t>
    </r>
    <r>
      <rPr>
        <sz val="10"/>
        <rFont val="Trebuchet MS"/>
        <family val="2"/>
      </rPr>
      <t>and using two mild steel bars of 6m dia in every third layer of brick masory, with free joints of the main block work including cost and seignorage charges and conveyance of all materials and water from approved sources to work site and all operational, incidental, labour charges such as scaffolding mixing mortor constructing masonary lift charges, curing etc. complete but excluding the cost of steel and its fabrication charges for finished item of work as per SS 509</t>
    </r>
  </si>
  <si>
    <t>BLD-CSTN-5-4 iv</t>
  </si>
  <si>
    <t>BLD-CSTN-5-5 v</t>
  </si>
  <si>
    <t>BLD-CSTN-12-6-
145-268</t>
  </si>
  <si>
    <t>BLD-
CSTN-3-4</t>
  </si>
  <si>
    <t>BLD-CSTN-12-2
141-270</t>
  </si>
  <si>
    <t>BLD-
CSTN-12-3
142-284</t>
  </si>
  <si>
    <r>
      <t xml:space="preserve">Painting to new walls with 2 coats of </t>
    </r>
    <r>
      <rPr>
        <b/>
        <sz val="10"/>
        <rFont val="Trebuchet MS"/>
        <family val="2"/>
      </rPr>
      <t>Plastic emulsion paint</t>
    </r>
    <r>
      <rPr>
        <sz val="10"/>
        <rFont val="Trebuchet MS"/>
        <family val="2"/>
      </rPr>
      <t xml:space="preserve"> of approved brand and shade after thoroughly brushing the surface to remove all dirt and remains of loose powdered materials, including cost and conveyance of all materials to work site and all operational, incidental, labour charges etc. complete for finished item of work as per SS 911</t>
    </r>
    <r>
      <rPr>
        <b/>
        <sz val="10"/>
        <rFont val="Trebuchet MS"/>
        <family val="2"/>
      </rPr>
      <t xml:space="preserve"> for internal walls</t>
    </r>
  </si>
  <si>
    <r>
      <rPr>
        <b/>
        <sz val="10"/>
        <rFont val="Trebuchet MS"/>
        <family val="2"/>
      </rPr>
      <t xml:space="preserve">Painting to new walls with 2 coats of plastic emulsion paint </t>
    </r>
    <r>
      <rPr>
        <sz val="10"/>
        <rFont val="Trebuchet MS"/>
        <family val="2"/>
      </rPr>
      <t>of approved brand and shade after thoroughly brushing the surface to remove all dirt and remains of loose powdered materials, including cost and conveyance of all materials to work site and all operational, incidental, labour charges etc. complete for finished item of work as per SS 911</t>
    </r>
    <r>
      <rPr>
        <b/>
        <sz val="10"/>
        <rFont val="Trebuchet MS"/>
        <family val="2"/>
      </rPr>
      <t xml:space="preserve"> for external walls</t>
    </r>
  </si>
  <si>
    <r>
      <rPr>
        <b/>
        <sz val="10"/>
        <rFont val="Trebuchet MS"/>
        <family val="2"/>
      </rPr>
      <t>Flooring with ceramic tiles of 7.30 mm thick and  set over base coat of cement mortar (1:8), 12 mm thick over CC bed already laid or RCC roof slab,</t>
    </r>
    <r>
      <rPr>
        <sz val="10"/>
        <rFont val="Trebuchet MS"/>
        <family val="2"/>
      </rPr>
      <t xml:space="preserve"> including neat cement slurry of honey like consistency spread @ 3.3.kgs per sqm &amp; jointed neatly with white cement paste to full depth mixed with pigment of matching shade, including cost of all materials like cement, sand water and tiles etc., complete, including etc., complete for finished item of work, but excluding the cost of conveyance of all materials.</t>
    </r>
  </si>
  <si>
    <t>Cement Primer Exterior Grade  II</t>
  </si>
  <si>
    <t xml:space="preserve">Supply and fixing of Country wood Door Single shutter  fully panelled door of size 0.75 x 2.0 mt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</si>
  <si>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Door size 0.75X2.0 M (Frame )</t>
  </si>
  <si>
    <t xml:space="preserve">Cost of Frame .0.75m x2.0 M </t>
  </si>
  <si>
    <t xml:space="preserve">Cost of Shutters 0.75m x2.00M </t>
  </si>
  <si>
    <t xml:space="preserve">Supply and fixing of Country wood Door double shutter  fully panelled door of size 0.90 x 2.0mt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</si>
  <si>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Door size 0.90X2.00 M (Frame &amp; Shutters only)</t>
  </si>
  <si>
    <t>Door size 0.90X2.00 M (Frame only )</t>
  </si>
  <si>
    <t>BASIC COST per Each Frame Only  (0.90x2.0)m</t>
  </si>
  <si>
    <t>BASIC COST per Each Shutters  Only (0.90x2.0)m</t>
  </si>
  <si>
    <r>
      <t>Supply and fixing of  Country wood Door double shutter  fully panelled door of size 1.05 x 2.0 mt</t>
    </r>
    <r>
      <rPr>
        <sz val="10"/>
        <rFont val="Trebuchet MS"/>
        <family val="2"/>
      </rPr>
      <t xml:space="preserve">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r>
  </si>
  <si>
    <t>Door size 1.05X2.0 M</t>
  </si>
  <si>
    <t>Door size1.05 X2.00 M (Frame only)</t>
  </si>
  <si>
    <t>Door Frame only (1.05 x2.0)</t>
  </si>
  <si>
    <t>Door Shutters  only (1.05x2.0)</t>
  </si>
  <si>
    <t>Door size 1.20 X 2.0 M</t>
  </si>
  <si>
    <r>
      <t>Supply and fixing of  Country  wood Door double shutter  fully panelled door of size 1.20 x 2.0 mt</t>
    </r>
    <r>
      <rPr>
        <sz val="10"/>
        <rFont val="Trebuchet MS"/>
        <family val="2"/>
      </rPr>
      <t xml:space="preserve"> with frame made of well seasoned country  Wood scantlings of size 100 x 75mm and shutter made ofmedium teak wood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r>
  </si>
  <si>
    <t>Door size1.20 X2.0 M (Frame only)</t>
  </si>
  <si>
    <t>Door Frame only (1.20  x 2.0)</t>
  </si>
  <si>
    <t>Door Shutters  only (120 x 2.0)</t>
  </si>
  <si>
    <t>Door size 1.50X2.0 M</t>
  </si>
  <si>
    <t xml:space="preserve">Supply and fixing of  Country wood Door double shutter  fully panelled door of size 1.50 x 2.0M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</si>
  <si>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Door size 1.50X2.00 M ( Frame only)</t>
  </si>
  <si>
    <t>Cost of Frame (1.50 X 2.0 M )</t>
  </si>
  <si>
    <t>Cost of Shutters only (1.50 X2.0 M )</t>
  </si>
  <si>
    <r>
      <t xml:space="preserve">Supply and fixing of fully panelled  Window  frame and shutters of size 0.90 x 1.20 mt </t>
    </r>
    <r>
      <rPr>
        <sz val="10"/>
        <rFont val="Trebuchet MS"/>
        <family val="2"/>
      </rPr>
      <t>with country wood frame of size 75x100mm and S/F of 4 Nos. MS Hold fasts, incl. all labour charges such as making window frame and shutters and fiXing   10 Nos.of  12 mm square safety bars in to  the frame etc,including applying primory coat, cost and conveyance  of all materials .</t>
    </r>
  </si>
  <si>
    <t>Window size 0.90X1.20 mts</t>
  </si>
  <si>
    <t xml:space="preserve">Window size 0.90X1.2 M (Frame only) </t>
  </si>
  <si>
    <t>BASIC COST per Each (Frame Only) (0.90x1.20)m</t>
  </si>
  <si>
    <t>BASIC COST per Each (Shutter  Only)(0.90x1.20)m</t>
  </si>
  <si>
    <r>
      <t xml:space="preserve">Supply and fixing of fully panelled  Window  frame and shutters of size 1.20 x 1.20  mt </t>
    </r>
    <r>
      <rPr>
        <sz val="10"/>
        <rFont val="Trebuchet MS"/>
        <family val="2"/>
      </rPr>
      <t>with country wood frame of size 75x100mm and S/F of 4 Nos. MS Hold fasts, incl. all labour charges such as making window frame and shutters and fiXing   10 Nos.of  12 mm square safety bars in to  the frame etc,including applying primory coat, cost and conveyance  of all materials .</t>
    </r>
  </si>
  <si>
    <t>Window size 1.20 x 1.20M</t>
  </si>
  <si>
    <t xml:space="preserve">Window size1.20 x 1.20 M (Frame only) </t>
  </si>
  <si>
    <t>BASIC COST per Each (Frame Only) (1.20x1.20 )m</t>
  </si>
  <si>
    <r>
      <t xml:space="preserve">Supply and fixing of fully panelled  Window  frame and shutters of size 1.50 x 1.20 mt </t>
    </r>
    <r>
      <rPr>
        <sz val="10"/>
        <rFont val="Trebuchet MS"/>
        <family val="2"/>
      </rPr>
      <t>with country wood frame of size 75x100mm and S/F of 4 Nos. MS Hold fasts, incl. all labour charges such as making window frame and shutters and fiXing   10 Nos.of  12 mm square safety bars in to  the frame etc,including applying primory coat, cost and conveyance  of all materials .</t>
    </r>
  </si>
  <si>
    <t>Window size 1.50  x 1.20M</t>
  </si>
  <si>
    <t xml:space="preserve">Window size1.50 x 1.20 M (Frame only) </t>
  </si>
  <si>
    <t>BASIC COST per Each (Frame Only) (1.50x1.20)M</t>
  </si>
  <si>
    <t>BASIC COST per Each (Shutter  Only)(1.50x1.20 )M</t>
  </si>
  <si>
    <t xml:space="preserve">DATA FOR WOOD WORK - 20013-14 ( Country Wood )  For  2.0 M  Height Door &amp; 1.20 Height Window  </t>
  </si>
  <si>
    <t xml:space="preserve">         Rs</t>
  </si>
  <si>
    <t xml:space="preserve">  Rs</t>
  </si>
  <si>
    <t>RS</t>
  </si>
  <si>
    <t>MDF Board: exterior-Both Side Laminated -12 mm thick</t>
  </si>
  <si>
    <t>BMT K-81</t>
  </si>
  <si>
    <t>BMT G35</t>
  </si>
  <si>
    <t>MS power coated Handle  125 mm long</t>
  </si>
  <si>
    <t xml:space="preserve">For Main door </t>
  </si>
  <si>
    <t>X</t>
  </si>
  <si>
    <t xml:space="preserve">10kA - 6-32A range SP MCBs </t>
  </si>
  <si>
    <t>MBG +48</t>
  </si>
  <si>
    <t>MBG +50</t>
  </si>
  <si>
    <t>BLD-CSTN-4-1
Amendment dt01.08.11 item 29</t>
  </si>
  <si>
    <t>Rate per each</t>
  </si>
  <si>
    <t>20 x 15 cms (8" x6") Decolam/sunglass sheet covered board</t>
  </si>
  <si>
    <t>6A Switch</t>
  </si>
  <si>
    <t>OVER HEADS 14%</t>
  </si>
  <si>
    <t>BLD-ELEC-1-3</t>
  </si>
  <si>
    <t>1.3.1</t>
  </si>
  <si>
    <t>Rate per Point</t>
  </si>
  <si>
    <t xml:space="preserve">Skirting with 15 to 18mm thick polished shahbad stone 100mm height in CM (1:5) with </t>
  </si>
  <si>
    <t xml:space="preserve">Over rooms to the Extent of A1A7 x A1D1  
 </t>
  </si>
  <si>
    <t>Deduct Head Room</t>
  </si>
  <si>
    <t>For Roof Slab(1:1.5:3) Prop.125 mm thick  Ground Floor</t>
  </si>
  <si>
    <t>For Filling the  Pits of 
Foumdations for L/Ws 
(2.0-0.60)</t>
  </si>
  <si>
    <t>For Filling the  Pits of 
Foumdations Long Walls 
(1.80-0.45)</t>
  </si>
  <si>
    <t xml:space="preserve">Flush Pointing to CRS Masonry in CM(1:3) Prop: including cost and conveyance of all materials like cement, sand, water etc., to site, including seigniorage charges, Countryes &amp; other taxes on all materials, all operational, incidental charges and labour charges such as mixing mortar, finishing, curing, etc., complete for finished item of work. (APSS 901,906) </t>
  </si>
  <si>
    <t>harizontals</t>
  </si>
  <si>
    <t>Door size 0.75X2.10 mts</t>
  </si>
  <si>
    <r>
      <t xml:space="preserve">CRS Masonry in CM (1:6) 2nd  Sort </t>
    </r>
    <r>
      <rPr>
        <sz val="10"/>
        <rFont val="Trebuchet MS"/>
        <family val="2"/>
      </rPr>
      <t>(Cement: Sand) using hard granite stones from approved quarry including cost and conveyance of all materials like Granite stones, cement, sand, water,  etc.,  to site including seigniorage charges, Countryes &amp; other taxes on all materials, all operational, incidental, and labor charges such as cutting stones to required size and shape, mixing of cement mortar, constructing masonry, curing etc., complete for finished item of work for foundation and basement (APSS No. 601 &amp; 615)</t>
    </r>
  </si>
  <si>
    <t>F3 Type</t>
  </si>
  <si>
    <t>Pedastal  P1 Type</t>
  </si>
  <si>
    <t>Pedastal  P2 Type</t>
  </si>
  <si>
    <t xml:space="preserve">Supply,fixing of 75 mm dia - 45 Degree Bend - UPVC/SWR Pipe fittings [Prince/Sudhakar or any ISI Brand] including cost and conveyance of all materials and labour charges etc., complete for finished item of work </t>
  </si>
  <si>
    <t>Supply, and fixing of approved make Vent cowl above the Soil &amp; waste pipes for ventilation as required to avoid foul smell. 110mm</t>
  </si>
  <si>
    <t>For Roof Slab(1:1.5:3) Prop.125 mm thick  First  Floor</t>
  </si>
  <si>
    <t>S/F Fans</t>
  </si>
  <si>
    <t>S/F Tubes</t>
  </si>
  <si>
    <t>Rm</t>
  </si>
  <si>
    <t>Per Rm</t>
  </si>
  <si>
    <t xml:space="preserve">Each </t>
  </si>
  <si>
    <t>.Filling with gravel (excluding rock) in trenches, sides of foundations and basement with initial lead in layers not exceeding 15cm thick, consolidating each deposited layer by watering and ramming including cost and Cost and Conveyance  of water to site and all operational, incidental, labour charges,  sales and other taxes etc, hire charges of T &amp; P etc., complete for finished item of work. (APSS NO. 309 &amp; 310)</t>
  </si>
  <si>
    <t>Providing impervious coat over RCC roof slab to required slopes with CM (1:3) prop. 20mm thick (average) mixed with water proofing compound at 1Kg/bag of cement, laid over roof slab when it is green, finished smooth with a floating coat of neat cement and thread lining at regular intervals of 45cmx45cm including Cost and Conveyance of all materials complete for finished item of work (APSS No. 901 &amp; 903).(CSSR)</t>
  </si>
  <si>
    <t xml:space="preserve">For Internal walls  FF </t>
  </si>
  <si>
    <t xml:space="preserve">For External walls GF </t>
  </si>
  <si>
    <t xml:space="preserve">For External walls FF </t>
  </si>
  <si>
    <t>Painting Walls with Snowcem or other equal and approved Water Proof Cement Paint over Priming Coat, One Coat (All Colours)</t>
  </si>
  <si>
    <t>Sundries including brushes,  etc.,</t>
  </si>
  <si>
    <t xml:space="preserve"> Wood  work  wrought and put up over 2 metres and below 3 metres in length (Schedule Item No 287) only Labour Charges </t>
  </si>
  <si>
    <t>Total available Excavated earth using 70%
Unskilled labour charges</t>
  </si>
  <si>
    <t xml:space="preserve">Sqm </t>
  </si>
  <si>
    <t>Per 10 Sqm</t>
  </si>
  <si>
    <t xml:space="preserve">In side Area </t>
  </si>
  <si>
    <t>.</t>
  </si>
  <si>
    <t>10sqm</t>
  </si>
  <si>
    <t>Left&amp; right side</t>
  </si>
  <si>
    <t xml:space="preserve">Deduct Steps </t>
  </si>
  <si>
    <t>or say</t>
  </si>
  <si>
    <t xml:space="preserve">Nos </t>
  </si>
  <si>
    <t>Per Each</t>
  </si>
  <si>
    <t xml:space="preserve">For Ceiling Portion </t>
  </si>
  <si>
    <t>For Basement</t>
  </si>
  <si>
    <t>10 Sqm</t>
  </si>
  <si>
    <t>For Buildinng</t>
  </si>
  <si>
    <t xml:space="preserve">Toilets </t>
  </si>
  <si>
    <r>
      <t xml:space="preserve">In rooms
</t>
    </r>
    <r>
      <rPr>
        <sz val="6"/>
        <rFont val="Trebuchet MS"/>
        <family val="2"/>
      </rPr>
      <t>20.70-2*0.45x8.475-2*.45</t>
    </r>
  </si>
  <si>
    <t xml:space="preserve">Over rooms to the Extent of A5A7 x A5D7  
 </t>
  </si>
  <si>
    <t xml:space="preserve">Over rooms to the Extent of C4C5 x C4D4  
 </t>
  </si>
  <si>
    <t xml:space="preserve">On First Floor </t>
  </si>
  <si>
    <t xml:space="preserve">On Second  Floor </t>
  </si>
  <si>
    <t>Cement for slurry</t>
  </si>
  <si>
    <t>Sand for Mortar (Screened)</t>
  </si>
  <si>
    <t>Net Lead charges</t>
  </si>
  <si>
    <t>Metal</t>
  </si>
  <si>
    <t>Gravel &amp; Sand</t>
  </si>
  <si>
    <t>Shabad Stone</t>
  </si>
  <si>
    <t>lead</t>
  </si>
  <si>
    <t>Bricks</t>
  </si>
  <si>
    <t>5.1.1</t>
  </si>
  <si>
    <t>Earth Work Excavation of Hard gravel Soil with small boulder for trench 1st step of size 1.5 x 0.6 x 0.9 m (5'x2'x3')</t>
  </si>
  <si>
    <t>BLD-CSTN-7-1</t>
  </si>
  <si>
    <t>Rmt</t>
  </si>
  <si>
    <t>Mason Ist class</t>
  </si>
  <si>
    <t>Estt. Cost Rs. :</t>
  </si>
  <si>
    <t>Unit = 1 cum</t>
  </si>
  <si>
    <t>Materials   :—</t>
  </si>
  <si>
    <t>Labour :—</t>
  </si>
  <si>
    <t>Carpenter</t>
  </si>
  <si>
    <t>Man Mazdoor</t>
  </si>
  <si>
    <t>Sundries including nails, screws etc.,</t>
  </si>
  <si>
    <t>BLD-CSTN-11-2</t>
  </si>
  <si>
    <t xml:space="preserve">Supplying, laying, jointing and testing 152.4mm SWG SP1 pipes of ISI make confirming to ISI 651 and 4127 with air tight cement joints in CM1.5:1 propot. Including excavation of tremches and socket pits in any soil(except rock with wiring blasting) upto 1524mm depth and refilling with watering and tamperibg. </t>
  </si>
  <si>
    <t>For cross  walls(A4&amp;A5)</t>
  </si>
  <si>
    <t xml:space="preserve">For  entrance foyer </t>
  </si>
  <si>
    <t>For Steps at Entrance</t>
  </si>
  <si>
    <t>For steps</t>
  </si>
  <si>
    <t>Taking Output = 100 M</t>
  </si>
  <si>
    <t>100 M</t>
  </si>
  <si>
    <t>b) Labour charges :</t>
  </si>
  <si>
    <t>Skilled Electrician</t>
  </si>
  <si>
    <t>Semi skilled  Electrician</t>
  </si>
  <si>
    <t>Helpers</t>
  </si>
  <si>
    <t>Sl. No.</t>
  </si>
  <si>
    <t>Description</t>
  </si>
  <si>
    <t>S.No.</t>
  </si>
  <si>
    <t xml:space="preserve">Unit </t>
  </si>
  <si>
    <t>Lead in KM</t>
  </si>
  <si>
    <t>Convey-ance Charges</t>
  </si>
  <si>
    <t>Total</t>
  </si>
  <si>
    <t>Cement</t>
  </si>
  <si>
    <t>-</t>
  </si>
  <si>
    <t>Cum</t>
  </si>
  <si>
    <t>a) Material</t>
  </si>
  <si>
    <t>Nos.</t>
  </si>
  <si>
    <t>EPB ( A1-A7)
(20.40-7*0.3)</t>
  </si>
  <si>
    <t>EPB( D1-D7)
(20.40-7*0.3)</t>
  </si>
  <si>
    <t>EPB ( A1-D1)
(8.175-3*0.38)</t>
  </si>
  <si>
    <t>EPB (A1) &amp; A2 For Stair case</t>
  </si>
  <si>
    <t xml:space="preserve">EPB ( D1) &amp; D2 )
For Entrance Foyer </t>
  </si>
  <si>
    <t>EPB ( A7-D7)
(8.175-3*0.38)</t>
  </si>
  <si>
    <t>Base Coat in CM(1:5), 8 mm thick</t>
  </si>
  <si>
    <t>Plastering with CM 2 coats, 20 mm thick, base coat in CM (1:6), 16 mm thick and top coat in CM (1:4), 4mm thick with Dubara sponze finishing.</t>
  </si>
  <si>
    <t xml:space="preserve">Add lift Charges of Materials  @  10 % on LC </t>
  </si>
  <si>
    <t>BMT.J 01</t>
  </si>
  <si>
    <t>Door size 0.75X2.10 M (Frame )</t>
  </si>
  <si>
    <t>2.25/3</t>
  </si>
  <si>
    <t xml:space="preserve">Cost of Frame .0.75m x2.10M </t>
  </si>
  <si>
    <t xml:space="preserve">Cost of Shutters 0.75m x2.10M </t>
  </si>
  <si>
    <t>MBG29</t>
  </si>
  <si>
    <t>Window size 1.350 X 1.30 m (Frame Only)</t>
  </si>
  <si>
    <t>2.75/3</t>
  </si>
  <si>
    <t>Cost of Window Frame  1.35x1.30 M only</t>
  </si>
  <si>
    <t>Cost of Window Shutter 1.35x1.30 M only</t>
  </si>
  <si>
    <t>MBG30</t>
  </si>
  <si>
    <t>Whiting to new walls and ceiling in two coats with Surya cem or equavalent quality to give an even shade after thoroughly brushing the surface to remove all loose powdered materials  including cost and conveyance of all materials and water to site, Countryes &amp; other taxes, all operational, incidental and labour charges such as cleaning the surface, painting, curing etc., complete for finished item of work for internal walls.             (APSS No.901 &amp; 908)</t>
  </si>
  <si>
    <r>
      <t xml:space="preserve">Supply and fixing of fully panelled  Window  frame and shutters of size 1.20 x 1.35 mt </t>
    </r>
    <r>
      <rPr>
        <sz val="10"/>
        <rFont val="Trebuchet MS"/>
        <family val="2"/>
      </rPr>
      <t>with country wood frame of size 75x100mm and S/F of 4 Nos. MS Hold fasts, incl. all labour charges such as making window frame and shutters and fiXing   10 Nos.of  12 mm square safety bars in to  the frame etc,including applying primory coat, cost and conveyance  of all materials .</t>
    </r>
  </si>
  <si>
    <t>Code</t>
  </si>
  <si>
    <t>Material</t>
  </si>
  <si>
    <t>Total per 1.00 Rm</t>
  </si>
  <si>
    <t>Supply and fixing of submersible pump of suitable capacity 0.5 HP for drawing water including cost of labour for fixing transportation etc complete</t>
  </si>
  <si>
    <t>Back side  Projections of Head Room</t>
  </si>
  <si>
    <t xml:space="preserve">Front side </t>
  </si>
  <si>
    <t xml:space="preserve">Cross walls </t>
  </si>
  <si>
    <t xml:space="preserve">Out Side  Ground Floor </t>
  </si>
  <si>
    <t xml:space="preserve">Out Side  First Floor </t>
  </si>
  <si>
    <t xml:space="preserve">For Head Room L/S </t>
  </si>
  <si>
    <t>For Head Room Back Wall</t>
  </si>
  <si>
    <t>For Head Room Front Wall</t>
  </si>
  <si>
    <t>Sills of Doors D1</t>
  </si>
  <si>
    <t>Sills of Doors D2</t>
  </si>
  <si>
    <t>Sills of Doors D3</t>
  </si>
  <si>
    <t>Sills of Doors D4</t>
  </si>
  <si>
    <t>B6  (A1-D1)
(8.175+0.23)</t>
  </si>
  <si>
    <t>B7  (A2-D2)
(8.175+0.23)</t>
  </si>
  <si>
    <t>B8 ( A3-D3)
(8.175+0.23)</t>
  </si>
  <si>
    <t>B8 ( A4-D4)
(8.175+0.23)</t>
  </si>
  <si>
    <t>B9 ( A6-D6)
(8.175+0.23+1.430)</t>
  </si>
  <si>
    <t>B6  @D1
(2.03)</t>
  </si>
  <si>
    <t>B7  @D1
(2.03)</t>
  </si>
  <si>
    <t>MBG +53</t>
  </si>
  <si>
    <t>MBG +54</t>
  </si>
  <si>
    <t>MBG +55</t>
  </si>
  <si>
    <t>MBG +56</t>
  </si>
  <si>
    <t>MBG +57</t>
  </si>
  <si>
    <t>MBG +58</t>
  </si>
  <si>
    <t>MBG +59</t>
  </si>
  <si>
    <t>MBG +60</t>
  </si>
  <si>
    <t>MBG +61</t>
  </si>
  <si>
    <t>MBG +62</t>
  </si>
  <si>
    <t>MBG +63</t>
  </si>
  <si>
    <t>MBG +64</t>
  </si>
  <si>
    <t>MBG +65</t>
  </si>
  <si>
    <t>MBG +66</t>
  </si>
  <si>
    <t>MBG +67</t>
  </si>
  <si>
    <t>MBG +68</t>
  </si>
  <si>
    <t>MBG +69</t>
  </si>
  <si>
    <t>MBG +70</t>
  </si>
  <si>
    <t>MBG +71</t>
  </si>
  <si>
    <t>MBG +72</t>
  </si>
  <si>
    <t>MBG +73</t>
  </si>
  <si>
    <t>MBG +74</t>
  </si>
  <si>
    <t>MBG +75</t>
  </si>
  <si>
    <t>MBG +76</t>
  </si>
  <si>
    <t>MBG +77</t>
  </si>
  <si>
    <t>MBG +78</t>
  </si>
  <si>
    <t>MBG +79</t>
  </si>
  <si>
    <t>MBG +80</t>
  </si>
  <si>
    <t>MBG +81</t>
  </si>
  <si>
    <t>MBG +82</t>
  </si>
  <si>
    <t>MBG +83</t>
  </si>
  <si>
    <t>MBG +84</t>
  </si>
  <si>
    <t>MBG +85</t>
  </si>
  <si>
    <t>MBG +86</t>
  </si>
  <si>
    <t>MBG +87</t>
  </si>
  <si>
    <t>MBG +89</t>
  </si>
  <si>
    <t>MBG +88</t>
  </si>
  <si>
    <t>MBG +90</t>
  </si>
  <si>
    <t>B 100 Provision for VAT @ 4 %</t>
  </si>
  <si>
    <r>
      <t>Reinforced Brick Masonary walls of 115 mm in CM(1:4)</t>
    </r>
    <r>
      <rPr>
        <sz val="10"/>
        <rFont val="Trebuchet MS"/>
        <family val="2"/>
      </rPr>
      <t xml:space="preserve"> using  second class traditional size bricks and using </t>
    </r>
    <r>
      <rPr>
        <b/>
        <sz val="10"/>
        <rFont val="Trebuchet MS"/>
        <family val="2"/>
      </rPr>
      <t>2nos</t>
    </r>
    <r>
      <rPr>
        <sz val="10"/>
        <rFont val="Trebuchet MS"/>
        <family val="2"/>
      </rPr>
      <t xml:space="preserve"> mild steel bars of </t>
    </r>
    <r>
      <rPr>
        <b/>
        <sz val="10"/>
        <rFont val="Trebuchet MS"/>
        <family val="2"/>
      </rPr>
      <t xml:space="preserve">6m dia </t>
    </r>
    <r>
      <rPr>
        <sz val="10"/>
        <rFont val="Trebuchet MS"/>
        <family val="2"/>
      </rPr>
      <t>in every third layer of brick masory, with free joints of the main block work including cost and seignorage charges and conveyance of all materials and water from approved sources to work site and all operational, incidental, labour charges such as scaffolding mixing mortor constructing masonary lift charges, curing etc. complete but excluding the cost of steel and its fabrication charges for finished item of work as per SS 509</t>
    </r>
  </si>
  <si>
    <t>MBG +30</t>
  </si>
  <si>
    <t>MBG +31</t>
  </si>
  <si>
    <t>MBG +31A</t>
  </si>
  <si>
    <r>
      <t xml:space="preserve">Unskilled labour charges for Filling with useful available Excavated earth </t>
    </r>
    <r>
      <rPr>
        <sz val="10"/>
        <rFont val="Trebuchet MS"/>
        <family val="2"/>
      </rPr>
      <t>(excluding rock) in trenches, sides of foundations and basement with initial lead in layers not exceeding 15cm thick, consolidating each deposited layer by watering and ramming including cost and Cost and Conveyance  of water to site and all operational, incidental, labour charges,  sales and other taxes etc, hire charges of T &amp; P etc., complete for finished item of work. (APSS NO. 309 &amp; 310</t>
    </r>
  </si>
  <si>
    <t>21.8
or 0.26 Cum</t>
  </si>
  <si>
    <t>12 mm Plastering 2 coats in 1:4 &amp; 1:2 cm both sides (Average of motors)</t>
  </si>
  <si>
    <t>BLD-CSTN-9-1</t>
  </si>
  <si>
    <t>BLD-CSTN-9-2</t>
  </si>
  <si>
    <t>BLD-CSTN-9-6</t>
  </si>
  <si>
    <t>BLD-CSTN-9-18</t>
  </si>
  <si>
    <t>BLD-CSTN-9-23</t>
  </si>
  <si>
    <t>Sand for cm 1:3 base coat</t>
  </si>
  <si>
    <t>Cement for cm 1:3 base coat</t>
  </si>
  <si>
    <t xml:space="preserve">Note for All Items for Wiring </t>
  </si>
  <si>
    <t>Brick Layers / Painter</t>
  </si>
  <si>
    <t>Sundries including brushes, ladders, etc.,</t>
  </si>
  <si>
    <t xml:space="preserve">Water for Curing </t>
  </si>
  <si>
    <t>Bond Stones( 0.25 x 0.25 x 0.45-0.60 )</t>
  </si>
  <si>
    <t>BondStones 7Nos( 0.25 x 0.25 x 0.45-0.60 )</t>
  </si>
  <si>
    <t>Bond Stones ( 0.25 x 0.25 x 0.45-0.60 )</t>
  </si>
  <si>
    <t xml:space="preserve">Water Proof Cement Paint at 5 sqm., per kg </t>
  </si>
  <si>
    <t>Plastering 12mm thick double coat in CM (1:6) 8mm thick base coat and top coat CM(1:4) of 4mm thick with dubara sponge finish including c/c of all materials like cement, sand,water etc., to site, other taxes on all materials, all operational, incidental and labour charges such as mixing mortar, scaffolding charges, lift charges, including cutting of Grooves wherever necessary as directed by Engineer-in-charge, finishing, curing, etc., complete for finished item of work. (APSS 901,903 &amp; 904) - Internal Walls</t>
  </si>
  <si>
    <t>Columns FF Roof Level to SF Roof level for Head Room</t>
  </si>
  <si>
    <t xml:space="preserve">For Roof Slab(1:1.5:3) Prop.100 mm thick  GF </t>
  </si>
  <si>
    <t xml:space="preserve">For Waist  Slab(1:1.5:3) Prop.175 mm thick  First Floor </t>
  </si>
  <si>
    <t xml:space="preserve">Ground Floor </t>
  </si>
  <si>
    <t xml:space="preserve">Back A1-A7  (20.40-7*.30) </t>
  </si>
  <si>
    <t xml:space="preserve">Front D1-D7 (20.40-7*.30) </t>
  </si>
  <si>
    <t>Material charges including skilled and semi-skilled labour charges Amount</t>
  </si>
  <si>
    <t>Unskilled labour charges Amount</t>
  </si>
  <si>
    <t>for Septic Tank</t>
  </si>
  <si>
    <t>Unskilled labour charges As  Per  RSSR</t>
  </si>
  <si>
    <t xml:space="preserve">Rate per Each </t>
  </si>
  <si>
    <t>Unforseen item works, such as painting to down rod, screws and Cover frame etc.,</t>
  </si>
  <si>
    <t>9.7.26</t>
  </si>
  <si>
    <t>Stepped type electronic Regulator</t>
  </si>
  <si>
    <t>Semi skilled Electrician</t>
  </si>
  <si>
    <t>Note : Labour is Considered for 10 jobs / day</t>
  </si>
  <si>
    <t>9.7.16</t>
  </si>
  <si>
    <t>EXHAUST  FANS</t>
  </si>
  <si>
    <t>B. LABOUR</t>
  </si>
  <si>
    <t>Mason 2nd class</t>
  </si>
  <si>
    <t>F1 Type</t>
  </si>
  <si>
    <t>Cum.</t>
  </si>
  <si>
    <t>Below Ground level</t>
  </si>
  <si>
    <t>Per Cum</t>
  </si>
  <si>
    <t>A)</t>
  </si>
  <si>
    <t xml:space="preserve"> For Column Footings</t>
  </si>
  <si>
    <t>C)</t>
  </si>
  <si>
    <t>Columns  Below  Ground level</t>
  </si>
  <si>
    <t>Column C1 Type</t>
  </si>
  <si>
    <t>Columns up to  Basement Level</t>
  </si>
  <si>
    <t>Columns up to  Roof Level</t>
  </si>
  <si>
    <t>Column C1 Type Including Sill level 4" rise</t>
  </si>
  <si>
    <t>Or Say</t>
  </si>
  <si>
    <t>PerCum.</t>
  </si>
  <si>
    <t>D)</t>
  </si>
  <si>
    <t>Per Cum.</t>
  </si>
  <si>
    <t>E)</t>
  </si>
  <si>
    <t>10 sqm</t>
  </si>
  <si>
    <t>Ground floor</t>
  </si>
  <si>
    <t>total</t>
  </si>
  <si>
    <t>Deductiions</t>
  </si>
  <si>
    <t>Constructing 904.0 mm (3’0”) dia solid block masonry inspection chamber as
per IS - 4111: Part-1:1986 with cement mortar (1:6) prop using fly-ash blocks
of 225 mm thick from approved source having a minimum crushing strength
of 10 N/sq.mm including plastering with cement mortar 1:3 prop; ½” thick
both inside and outside fitted with 20” dia RCC manhole covers and frames
including excavating pits up to a depth of 904 mm (3'-0") in all sorts of soils
(excluding rock) and laying cement concrete (1:4:8) 150 mm thick using 40
mm HBG Metal and P.C.C. 1:2:4 benching and channel 100 mm thick as per
Standard specification and including cost and conveyance of all materials like
cement, sand, bricks, water etc., to site, cost of seigniorage charges on all
materials and all incidental and operational, labour charges like mixing
cement mortar, constructing masonry, lift charges, curing etc., complete for
finished item of work as per Standard specification.</t>
  </si>
  <si>
    <t xml:space="preserve">DETAILED SUB  ESTIMATE  FOR  FURNITURE AND LAB QUIPMENT </t>
  </si>
  <si>
    <t>Manufacture,supply, and delivery of MS angle make furniture to Comadate 4 students in the bench with table,drawer facility</t>
  </si>
  <si>
    <t xml:space="preserve">Rate </t>
  </si>
  <si>
    <t xml:space="preserve">Provision for Science lab equipment </t>
  </si>
  <si>
    <t xml:space="preserve">Provision for Physic,Chemistry and Zoology   Botony and other laboratory  furniture </t>
  </si>
  <si>
    <t xml:space="preserve">Provision for Computer Lab equipment </t>
  </si>
  <si>
    <t xml:space="preserve">DETAILED SUB  ESTIMATE  FOR  BORE WELL AND PUMP SET </t>
  </si>
  <si>
    <t xml:space="preserve">Drilling of Bore well by down the hole hammer DTH drilling of finished dia of 163 mm dia in all formation  to a depth specification and reaming the bore th the required dia to suit lowering of 175 mmdia caseibg average pressure of 7kgs / sq cm conducting yield test inclusive of all other charges in all over the dist </t>
  </si>
  <si>
    <t>Geological  survey  Charges</t>
  </si>
  <si>
    <t>Supply and Transportation of 5.00HP 17 Stage Three phase ISI submersible motor pumpset suitable for 6" Bore well.Makes: Kirloskar / Crompton / CRI / L&amp;T / Texmo / Varsha</t>
  </si>
  <si>
    <t>ELEC-5.4.20</t>
  </si>
  <si>
    <t>125x2Nos</t>
  </si>
  <si>
    <t xml:space="preserve">Provision for Ready made Pump room </t>
  </si>
  <si>
    <t xml:space="preserve">Manufacture, supply, delivery and Fixing of Hand Pump </t>
  </si>
  <si>
    <t>25x2Nos</t>
  </si>
  <si>
    <t xml:space="preserve">Provision for  GI Pipes and other accessories </t>
  </si>
  <si>
    <t>1set</t>
  </si>
  <si>
    <t>Manufacture, supply, &amp; delivery of HDPE pipes conforming to IS 4984 - 1995 including transportation to any where in A.P, excluding excise duty, sale tax and specials etc., complete. (Supply upto 90 mm dia in coil &amp; above 75 mm dia straight length in 6 M.)</t>
  </si>
  <si>
    <t>Labour charges for laying, fixing and commissioning the HDPE  pipes including
couplers/ bends/ tees etc any diameter including fixing necessary fittings like
bends, plugs, couplers, junctions, tees, etc with solvent jointing as per
standard practice</t>
  </si>
  <si>
    <t xml:space="preserve">S/F of caseing pipe  180mm dia  6  kgs/sqm </t>
  </si>
  <si>
    <t>QC charges @ 0.5%</t>
  </si>
  <si>
    <t>Providing &amp; placing on Terrace polyethylene water storage tank with Double layer approved brand &amp; manufacture with cover and suitable locking arrangement &amp; making necessary holes for inlet &amp; outlets and overflow pipes but without fittings &amp; base support for tanks.( From ssr rates sno 311) 2000lts</t>
  </si>
  <si>
    <t xml:space="preserve">Polished Shabad Stone (Blue) 15 to 18 mm thick (0.457x0.304) SSR item No. (25) </t>
  </si>
  <si>
    <t>Cement for CM (1:8) proportion for base coat</t>
  </si>
  <si>
    <t xml:space="preserve">Cement for slurry </t>
  </si>
  <si>
    <t>Cement for jointing</t>
  </si>
  <si>
    <t>Sand for CM (1:8) proportion</t>
  </si>
  <si>
    <t>Cement for CM 1:3 proportion for pointing</t>
  </si>
  <si>
    <t>Sand for CM (1:3) proportion</t>
  </si>
  <si>
    <t>Mazdoor (unskiled)</t>
  </si>
  <si>
    <t>C) Cost for 100 RM</t>
  </si>
  <si>
    <t>Rate per Metre = C/100</t>
  </si>
  <si>
    <t>BLD-ELEC-2</t>
  </si>
  <si>
    <t>Water Charges 1%</t>
  </si>
  <si>
    <t>Task code</t>
  </si>
  <si>
    <r>
      <t xml:space="preserve">Flooring with Ceramic Tiles of 7.3mm thick </t>
    </r>
    <r>
      <rPr>
        <sz val="10"/>
        <rFont val="Trebuchet MS"/>
        <family val="2"/>
      </rPr>
      <t xml:space="preserve">1st. quality of any shade as approved by Engineer - in - charge  set over a base coat of CM (1:8), 12mm thick laid over flooring bed / V.R.C.C. slab, with neat grey cement slurry of honey like consistency spread at the rate of 3.3 Kgs of cement per Sq.m and jointed with neat white cement paste mixed with pigment of matching shade including cost and conveyance of all materials like cement, sand, water, ceramic tiles etc. to site, seigniorage charges, sales and other taxes on all materials, all operational, incidental and labour charges such as mixing of cement mortar, laying, curing, lift charges etc., complete for finished item of work.(APSS No.701 &amp; 707) </t>
    </r>
  </si>
  <si>
    <r>
      <t xml:space="preserve">Plain Cement concrete (1:4:8) </t>
    </r>
    <r>
      <rPr>
        <sz val="10"/>
        <rFont val="Trebuchet MS"/>
        <family val="2"/>
      </rPr>
      <t xml:space="preserve">using 40 mm metal with concrete mixture.           All work upto plinth level. nominal mix (cement: fine aggregate: Coarse aggregate) using 40mm size HBG  (SS5) metal from approved quarry including cost and conveyance of all materials like cement, sand, coarse aggregate, water etc. to site, including seigniorage charges, Countryes &amp; other taxes on all materials, all operational, incidental,  and labor charges such as mixing, laying and ramming concrete in layers in position not exceeding 15cm, finishing top surface, curing concrete,  etc., complete for finished item of work for Foundations and Flooring Bed (APSS No. 402) </t>
    </r>
  </si>
  <si>
    <t>IPB ( B1-B2)
(3.3-0.3)</t>
  </si>
  <si>
    <t>IPB ( A5-D5)
(8.175-3*0.38)</t>
  </si>
  <si>
    <t>IPB ( A6-D6)
(8.175-3*0.38)</t>
  </si>
  <si>
    <t>IPB ( C5-C7)
(3.6+3.30-0.30/2-0.38)</t>
  </si>
  <si>
    <t>For  Attached Toilet  PB  
(3.915+0.23-2*.38)</t>
  </si>
  <si>
    <t xml:space="preserve">For Attached Toilet PB </t>
  </si>
  <si>
    <t xml:space="preserve">For Roof  Beams  in Ground Floor </t>
  </si>
  <si>
    <t>For Portico Projection at  D1</t>
  </si>
  <si>
    <t>For Portico Projection at  D51</t>
  </si>
  <si>
    <t>25mm PVC Bends</t>
  </si>
  <si>
    <r>
      <t>Supply and fixing of  Country wood Door double shutter  fully panelled door of size 1.2 x 2.1mt</t>
    </r>
    <r>
      <rPr>
        <sz val="10"/>
        <rFont val="Trebuchet MS"/>
        <family val="2"/>
      </rPr>
      <t xml:space="preserve">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r>
  </si>
  <si>
    <t>For steps at  
Entrance 2</t>
  </si>
  <si>
    <t>For Steps at
 Entrance  1</t>
  </si>
  <si>
    <t xml:space="preserve">For Filling the  Pits of 
Foumdations  Side  Row </t>
  </si>
  <si>
    <t>Supply and Fixing 31.75mm dia PVC flexible waste pipe of 914.4mm length of 1st quality.(SSR No.315)</t>
  </si>
  <si>
    <t>Note :1.  Labour is Considered for 6 jobs / day</t>
  </si>
  <si>
    <t>8.2.2</t>
  </si>
  <si>
    <t>1x40/36 box type T.L fitting</t>
  </si>
  <si>
    <t>36/40 Tube</t>
  </si>
  <si>
    <t xml:space="preserve">23/0060 twin core flexible copper cable </t>
  </si>
  <si>
    <t>T.W round blocks</t>
  </si>
  <si>
    <t>40mm dia 'B' Class G.I pipe</t>
  </si>
  <si>
    <t xml:space="preserve"> 25 x 6 mm (1"X 1/4") G.I Flat duly drilled 12mm holes (4 Nos) of 200 mm (8") length</t>
  </si>
  <si>
    <t>MBG +34</t>
  </si>
  <si>
    <t>MBG +35</t>
  </si>
  <si>
    <t xml:space="preserve">MBG +35A </t>
  </si>
  <si>
    <r>
      <t xml:space="preserve">Supply and fixing of  Country wood Door double shutter  fully panelled door of size 0.75 x 2.1mt </t>
    </r>
    <r>
      <rPr>
        <sz val="10"/>
        <rFont val="Trebuchet MS"/>
        <family val="2"/>
      </rPr>
      <t xml:space="preserve">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r>
  </si>
  <si>
    <t>IPB ( A2-D2)
(8.175-3*0.38)</t>
  </si>
  <si>
    <t>IPB ( A3-D3)
(8.175-2*0.45)</t>
  </si>
  <si>
    <t>IPB (A4-D4)
(8.175-2*0.45)</t>
  </si>
  <si>
    <t xml:space="preserve">Rate per 1 cum </t>
  </si>
  <si>
    <t xml:space="preserve">Rate per 6 cum </t>
  </si>
  <si>
    <r>
      <t>Mason 1</t>
    </r>
    <r>
      <rPr>
        <vertAlign val="superscript"/>
        <sz val="10"/>
        <rFont val="Trebuchet MS"/>
        <family val="2"/>
      </rPr>
      <t>st</t>
    </r>
    <r>
      <rPr>
        <sz val="10"/>
        <rFont val="Trebuchet MS"/>
        <family val="2"/>
      </rPr>
      <t xml:space="preserve"> class</t>
    </r>
  </si>
  <si>
    <r>
      <t>Mason 2</t>
    </r>
    <r>
      <rPr>
        <vertAlign val="superscript"/>
        <sz val="10"/>
        <rFont val="Trebuchet MS"/>
        <family val="2"/>
      </rPr>
      <t>nd</t>
    </r>
    <r>
      <rPr>
        <sz val="10"/>
        <rFont val="Trebuchet MS"/>
        <family val="2"/>
      </rPr>
      <t xml:space="preserve"> class</t>
    </r>
  </si>
  <si>
    <t>Supply and run of 2 of 56/0.3mm (4 Sq.mm) FR  P.V.C. insulated flexible copper cable in existing pipe for mains inlcuding all labour charges etc., complete..and as per 3.1.5  of Sta  revised data of BLD -ELEC-3.1.5</t>
  </si>
  <si>
    <t>Sundries such as TW Plugs, Screws Cement etc,</t>
  </si>
  <si>
    <t>C) Cost for 1 No</t>
  </si>
  <si>
    <t>7.1.1&amp; 7.9.5</t>
  </si>
  <si>
    <t>25mm dia G.I pipe</t>
  </si>
  <si>
    <t>23/0060 twin core flexible copper cable</t>
  </si>
  <si>
    <t>Supply and run of 2 of 36/0.3mm (1.5 Sq.mm)
for Earthing continiuety</t>
  </si>
  <si>
    <t>GF(10)</t>
  </si>
  <si>
    <r>
      <t xml:space="preserve">For Paraper wall 
</t>
    </r>
    <r>
      <rPr>
        <sz val="6"/>
        <rFont val="Trebuchet MS"/>
        <family val="2"/>
      </rPr>
      <t>(3.3*4+3.1+4.84)*2</t>
    </r>
  </si>
  <si>
    <r>
      <t xml:space="preserve">Providing high yield strength deformed </t>
    </r>
    <r>
      <rPr>
        <b/>
        <sz val="10"/>
        <rFont val="Trebuchet MS"/>
        <family val="2"/>
      </rPr>
      <t>(HYSD) steel bars</t>
    </r>
    <r>
      <rPr>
        <sz val="10"/>
        <rFont val="Trebuchet MS"/>
        <family val="2"/>
      </rPr>
      <t xml:space="preserve"> (Fe 415 grade as per IS 1786-1985) of 8mm to 40mm diameters, cutting, bending, to required sizes and shapes placing in position with cover blocks of approved size and binding wire of 20SWG, forming grills for reinforcement work as per approved designs and drawings including cost and conveyance of bars from approved sources to site of work, including cost and conveyance of binding wire, cover blocks and all operational, incidental, and labour charges such as cutting, bending, placing in position, tying etc., and Countryes &amp; other taxes,on cost of all materials complete for finished item of work (APSS No.126) in all floors.</t>
    </r>
  </si>
  <si>
    <t>FOUNDATIONS, PLINTH, PEDESTALS (Below Plinth)</t>
  </si>
  <si>
    <t>20mm HBG graded metal</t>
  </si>
  <si>
    <t>Cross Wall (A7-D7) 
(8.175+0.30-3*0.38)</t>
  </si>
  <si>
    <t>Cross Wall (A1-D1)
(8.175+0.30-3*0.380)</t>
  </si>
  <si>
    <t xml:space="preserve">   Coefficient</t>
  </si>
  <si>
    <t>4" (101.6 mm ) multi floor trap with Jali-UPVC/SWR Pipe fittings (Prince/Sudhakar or any ISI Brand)</t>
  </si>
  <si>
    <t>Providing &amp; fixing UPVC SWR  pipes  TYPE-B conforming to IS 13592:1992 including necessary specials,jointing with adhesives ,fixing vertical pipes over wooden battens  including  cost and conveyance of all materials at site complete for finished item of work</t>
  </si>
  <si>
    <t>a)</t>
  </si>
  <si>
    <t>110 mm  dia</t>
  </si>
  <si>
    <t>For Wall (A1-A7)
(20.40-4*2.0-2*2.60-0.30)</t>
  </si>
  <si>
    <t>For Wall (D1-D7)
(20.40-3.50*2.0-2*2.60-0.50*1.50-0.30)</t>
  </si>
  <si>
    <t>For cross  walls(A7-D7)
(8.175-1.5*2.0-1*1.5-0.3)</t>
  </si>
  <si>
    <t>For cross  walls(A1-D1) 
(8.175-1*2.0-1*2.6-0.3)</t>
  </si>
  <si>
    <t>Under B1-B2</t>
  </si>
  <si>
    <t>Under C5-C6</t>
  </si>
  <si>
    <t>Under C6-C7</t>
  </si>
  <si>
    <t>For Wall (A1-A7)
(20.40-7*0.30)</t>
  </si>
  <si>
    <t>For Wall (D1-D7)
(20.40-7*0.30)</t>
  </si>
  <si>
    <t xml:space="preserve">No </t>
  </si>
  <si>
    <t>Taking output : 6 cum</t>
  </si>
  <si>
    <t xml:space="preserve">Sand for filling </t>
  </si>
  <si>
    <t>frames</t>
  </si>
  <si>
    <t>verticals</t>
  </si>
  <si>
    <t>horizontals</t>
  </si>
  <si>
    <t>shutter verticals</t>
  </si>
  <si>
    <t>shutter rails</t>
  </si>
  <si>
    <t xml:space="preserve"> B</t>
  </si>
  <si>
    <t>D</t>
  </si>
  <si>
    <t>Qty</t>
  </si>
  <si>
    <t>BLD-CSTN-11-7</t>
  </si>
  <si>
    <t>Furniture - Iron - for External doors (Schedule Item 292)</t>
  </si>
  <si>
    <t>Bottom Tower bolts 150mm long</t>
  </si>
  <si>
    <t xml:space="preserve">Butt  hings with screws 125 mm </t>
  </si>
  <si>
    <t>2x6</t>
  </si>
  <si>
    <t>2x5</t>
  </si>
  <si>
    <t>Door size 1.05X2.10 M</t>
  </si>
  <si>
    <t>145 268</t>
  </si>
  <si>
    <t>Painting, Priming Coat on New Wood Work</t>
  </si>
  <si>
    <t>Wood Primer</t>
  </si>
  <si>
    <t xml:space="preserve"> Iron coated aldrop with bolts 300 mm long</t>
  </si>
  <si>
    <t>Iron wind cleats with hings</t>
  </si>
  <si>
    <t>Screws</t>
  </si>
  <si>
    <t xml:space="preserve"> Supplying &amp; fixing collapsible steel shutters with vertical, double channel of 20 x10x2 mm of 100 mm centre ,Bracers with flat iron 40x40x6 mm with 38 mm dia steel pulleys, the top, bottom and side vertical frames of the collapsible gate with 65x65mmx8mm
MS Angle and middle guide rail at site height with 65mmx8mmMS flat for the pulleys to guide and fixed with necessary hold fasts,bolts, nuts, rivets, locking arrangements, stoppers, handles, all accessories all fixtures and painted with one coat of approved steel primer etc., complete for finished item of work as per special spn 1105</t>
  </si>
  <si>
    <t>In Roof Slab</t>
  </si>
  <si>
    <t xml:space="preserve">In Walls </t>
  </si>
  <si>
    <r>
      <t xml:space="preserve">Supply and fixing of </t>
    </r>
    <r>
      <rPr>
        <b/>
        <sz val="10"/>
        <rFont val="Trebuchet MS"/>
        <family val="2"/>
      </rPr>
      <t>6A 5pin socket</t>
    </r>
    <r>
      <rPr>
        <sz val="10"/>
        <rFont val="Trebuchet MS"/>
        <family val="2"/>
      </rPr>
      <t xml:space="preserve"> with switch in anodised GI box and front plate complete with fixing accessories etc., including labour charges complete as required confirming to IS.(independent)</t>
    </r>
  </si>
  <si>
    <r>
      <t xml:space="preserve">Supply and fixing of </t>
    </r>
    <r>
      <rPr>
        <b/>
        <sz val="10"/>
        <rFont val="Trebuchet MS"/>
        <family val="2"/>
      </rPr>
      <t>6A 3 pin wall plug socket</t>
    </r>
    <r>
      <rPr>
        <sz val="10"/>
        <rFont val="Trebuchet MS"/>
        <family val="2"/>
      </rPr>
      <t xml:space="preserve"> with 6A switch control on a common switch board with earth continuity including wire leads, earth connections along with all labour charges etc., complete.</t>
    </r>
  </si>
  <si>
    <t>Wiring with 2 runs of 14/0.3mm (1.0 Sq.mm) Fire Retardant (FR) P.V.C. insulated flexible copper cable (ISI MARK) in existing pipe with 6A switch, Ceiling rose and 3mm thick hylam sheet covering to switch control box including all labour charges etc., complete for light, bell, fan and exhaust fan points in Non-Residential Buildings and as per 2.1.1 of Sta  revised data of BLD -ELEC-2-1.1</t>
  </si>
  <si>
    <t>For Run off Mains</t>
  </si>
  <si>
    <t>For  Fans</t>
  </si>
  <si>
    <r>
      <t xml:space="preserve">Plastering 20mm thick double coat in CM (1:6) 16 mm thick base coat and CM (1:3) of 4 mm thick top coat </t>
    </r>
    <r>
      <rPr>
        <sz val="10"/>
        <rFont val="Trebuchet MS"/>
        <family val="2"/>
      </rPr>
      <t xml:space="preserve">with dubara sponge finish including c/c of all materials like cement, sand,water etc., to site, other taxes on all materials, all operational, incidental such as scaffolding charges, lift charges, including cutting of Grooves,finishing, curing, etc., complete for for finished item of work. (APSS 901,903 &amp; 904) (CSSR) </t>
    </r>
    <r>
      <rPr>
        <b/>
        <sz val="10"/>
        <rFont val="Trebuchet MS"/>
        <family val="2"/>
      </rPr>
      <t>External Walls</t>
    </r>
  </si>
  <si>
    <t>Base Coat in CM(1:6), 16 mm thick</t>
  </si>
  <si>
    <r>
      <t xml:space="preserve">Fine aggregate </t>
    </r>
    <r>
      <rPr>
        <sz val="10"/>
        <color indexed="48"/>
        <rFont val="Trebuchet MS"/>
        <family val="2"/>
      </rPr>
      <t>(Screened sand)</t>
    </r>
    <r>
      <rPr>
        <sz val="10"/>
        <rFont val="Trebuchet MS"/>
        <family val="2"/>
      </rPr>
      <t xml:space="preserve"> </t>
    </r>
  </si>
  <si>
    <r>
      <t xml:space="preserve">Fine aggregate </t>
    </r>
    <r>
      <rPr>
        <sz val="10"/>
        <color indexed="48"/>
        <rFont val="Trebuchet MS"/>
        <family val="2"/>
      </rPr>
      <t xml:space="preserve">(Screened sand) </t>
    </r>
  </si>
  <si>
    <t xml:space="preserve">MBG +36 </t>
  </si>
  <si>
    <t>MBG +37</t>
  </si>
  <si>
    <t>MBG +37 A</t>
  </si>
  <si>
    <t>MBG +38</t>
  </si>
  <si>
    <t>MBG +39</t>
  </si>
  <si>
    <t>MBG +40</t>
  </si>
  <si>
    <t>MBG +41</t>
  </si>
  <si>
    <t>MBG +42</t>
  </si>
  <si>
    <r>
      <t xml:space="preserve">Supply and fixing of Window size(W3) </t>
    </r>
    <r>
      <rPr>
        <sz val="10"/>
        <color indexed="12"/>
        <rFont val="Trebuchet MS"/>
        <family val="2"/>
      </rPr>
      <t xml:space="preserve">0.9 x 1.30 mt </t>
    </r>
    <r>
      <rPr>
        <sz val="10"/>
        <rFont val="Trebuchet MS"/>
        <family val="2"/>
      </rPr>
      <t>with sal wood frame of size 75x100mm along with  II class teak wood three shutters made with styles&amp; rails of 100mmx30mm thick with 12mm prelaminated particle board both side laminated interior grade and S/F of 4Nos. MS Hold fasts, 6Nos. MS tower  bolts 100mm long. 6 Nos. MS Hinges 75mm long,2Nos MS Handles 3 Nos window stays. incl. all labour charges such as making window frame &amp; shetter and fiXing 11 Nos. 16mm plain safety bars in to frame etc,</t>
    </r>
  </si>
  <si>
    <t>MBG +43</t>
  </si>
  <si>
    <t xml:space="preserve">Sun Shades on Opening  for Both Sides </t>
  </si>
  <si>
    <t xml:space="preserve">For Beams both side in Corridor </t>
  </si>
  <si>
    <t>For Beams both side in Computer Room</t>
  </si>
  <si>
    <t>For Beams both side in Head  Room &amp;MLB</t>
  </si>
  <si>
    <t>SECOND   FLOOR</t>
  </si>
  <si>
    <t>Reception Room
(4.73*2+3.0)</t>
  </si>
  <si>
    <t>Head Room
(0.115+3.0+1.275+3.0+1.2750+3.0+0.115)</t>
  </si>
  <si>
    <t>Meeting Hall 
(9.78*2+7.72*2+2*(0.22+0.22+0.3))</t>
  </si>
  <si>
    <t>Reception Room
(3.67*2+4.0*2)</t>
  </si>
  <si>
    <t>Room 1
(2.4*2+3.6*2)</t>
  </si>
  <si>
    <t xml:space="preserve">Common Toilet
(3.0*2+1.16*2) </t>
  </si>
  <si>
    <t>Record Room
(2*3.18+2*3.0)</t>
  </si>
  <si>
    <t>Computer  Room
(2*6.8+2*3.0)</t>
  </si>
  <si>
    <t>PO  Room
(2*3.07+2*3.0)</t>
  </si>
  <si>
    <t>APO  Room
(2*3.18+2*3.0)</t>
  </si>
  <si>
    <t>Corridor Portion
2*(3.3*4)+2*1.50</t>
  </si>
  <si>
    <t xml:space="preserve">Second Floor </t>
  </si>
  <si>
    <t xml:space="preserve">For Parapet wall 
(3.6*2+3.30*3+8.175-0.30*2) Out Side </t>
  </si>
  <si>
    <t xml:space="preserve">Out Side  Second  Floor </t>
  </si>
  <si>
    <t xml:space="preserve">For Parapet wall 
(3.3*3+8.175+.30+3.3*3+.30+4.375+.115) Out Side </t>
  </si>
  <si>
    <t>For Parapet wall Inside (3.3*3+8.175+3.3*3+4.375)</t>
  </si>
  <si>
    <t>For Parapet wall Top
((3.3*3+8.175+3.3*3+4.375)</t>
  </si>
  <si>
    <t>For Parapet wall Inside
(3.6*2+3.30*3+8.175)</t>
  </si>
  <si>
    <t>For Parapet wall Top
(3.6*2+3.3*3+8.175+0.3)</t>
  </si>
  <si>
    <t xml:space="preserve">Ground  Floor </t>
  </si>
  <si>
    <t>GROUND FLOOR</t>
  </si>
  <si>
    <t>Frames</t>
  </si>
  <si>
    <t>110 mm dia - 45 Degree Bend - UPVC/SWR Pipe fittings (Prince/Sudhakar/Kisan/Supreme or any ISI Brand)</t>
  </si>
  <si>
    <t>75 mm dia - 45 Degree Bend - UPVC/SWR Pipe fittings (Prince/Sudhakar/Kisan/Supreme or any ISI Brand)</t>
  </si>
  <si>
    <t>110 mm dia - Vent Cowl - UPVC/SWR Pipe fittings (Prince/Sudhakar/Kisan/Supreme or any ISI Brand)</t>
  </si>
  <si>
    <t>Executive.Engineer</t>
  </si>
  <si>
    <r>
      <t xml:space="preserve">Supply and fixing of fully panelled  Window  frame and shutters of size 1.80 x 1.35 mt </t>
    </r>
    <r>
      <rPr>
        <sz val="10"/>
        <rFont val="Trebuchet MS"/>
        <family val="2"/>
      </rPr>
      <t>with country wood frame of size 75x100mm and S/F of 4 Nos. MS Hold fasts, incl. all labour charges such as making window frame and shutters and fiXing   10 Nos.of  12 mm square safety bars in to  the frame etc,including applying primory coat, cost and conveyance  of all materials .</t>
    </r>
  </si>
  <si>
    <t>2X4</t>
  </si>
  <si>
    <t>3X4</t>
  </si>
  <si>
    <t>Each</t>
  </si>
  <si>
    <t>No</t>
  </si>
  <si>
    <t>Quantity</t>
  </si>
  <si>
    <t>B</t>
  </si>
  <si>
    <t>BLD-CSTN-3-13</t>
  </si>
  <si>
    <t>Rate per Cum</t>
  </si>
  <si>
    <t xml:space="preserve">centering charges for Materials </t>
  </si>
  <si>
    <t xml:space="preserve">centering charges for labour </t>
  </si>
  <si>
    <t>Rate per 10 Sqm</t>
  </si>
  <si>
    <t>Supply and Transportation of 1x40W patty type tube light luminaire with copper choke, starter etc., including 1No 40W tube etc., complete.</t>
  </si>
  <si>
    <r>
      <t>Providing S</t>
    </r>
    <r>
      <rPr>
        <b/>
        <sz val="10"/>
        <rFont val="Trebuchet MS"/>
        <family val="2"/>
      </rPr>
      <t>kirting to internal walls to 10  Cm height with</t>
    </r>
    <r>
      <rPr>
        <sz val="10"/>
        <rFont val="Trebuchet MS"/>
        <family val="2"/>
      </rPr>
      <t xml:space="preserve"> </t>
    </r>
    <r>
      <rPr>
        <b/>
        <sz val="10"/>
        <rFont val="Trebuchet MS"/>
        <family val="2"/>
      </rPr>
      <t>15-18 mm thick</t>
    </r>
    <r>
      <rPr>
        <sz val="10"/>
        <rFont val="Trebuchet MS"/>
        <family val="2"/>
      </rPr>
      <t xml:space="preserve"> polished Shahabad stone slab ( Tandur Blue Variety 1st quality) with length equal to flooring stones set over a base coat of CM (1:5), 12mm thick and jointed with neat cement paste to full depth (joints of stone should be flushed), including cost and conveyance of all materials like cement, sand, water, flooring stones etc. to site, seigniorage charges, sales and other taxes on all materials, all operational, incidental and labour charges such as dressing of flooring stones to the required sizes, mixing of cement mortar, laying, jointing, curing, lift charges etc., complete for finished item of work.(APSS No.701 &amp; 707) </t>
    </r>
  </si>
  <si>
    <t xml:space="preserve">Cost  per Rm </t>
  </si>
  <si>
    <t>Rate per Rm</t>
  </si>
  <si>
    <t>(c) Overheads on (a+b) @ 14%</t>
  </si>
  <si>
    <t>Water lncluding curing</t>
  </si>
  <si>
    <t>Kl</t>
  </si>
  <si>
    <t>Rate per t = a+b+c</t>
  </si>
  <si>
    <t>(a+b)</t>
  </si>
  <si>
    <t xml:space="preserve">Brick Masonry in CM (1:8) with Bricks traditional size 23 x 11 x 7 cms 2nd Class </t>
  </si>
  <si>
    <t xml:space="preserve">Gorund Floor </t>
  </si>
  <si>
    <t xml:space="preserve">Add Scaffolding Charges </t>
  </si>
  <si>
    <t>CR Stone ( 30x30x60Cm)</t>
  </si>
  <si>
    <t>BLD-CSTN-6-12</t>
  </si>
  <si>
    <t>BLD-CSTN-6-13</t>
  </si>
  <si>
    <t>BLD-CSTN-7-3</t>
  </si>
  <si>
    <t>BLD-CSTN-8-9</t>
  </si>
  <si>
    <t>nos</t>
  </si>
  <si>
    <t>Per Lt</t>
  </si>
  <si>
    <t>Lt</t>
  </si>
  <si>
    <t>Supply of 900 mm (36") / 1200 mm (48") / 1400 mm (56") sweep 230V, A.C 50 Hz.Ceiling fan with 3 Blades and double ball bearings with all standard accessories.and as per 9.7.2 of Bajaj/Crompton/orient make only Sta  revised data of BLD -ELEC9.7.2</t>
  </si>
  <si>
    <t>Earth work excavation and depositing on bank with initial lead of 10m and initial lift of 2m in Loamy and Clayey Soils like B.C. Soils, red earth &amp; Ordinary Gravel (SS 20-B) including shoring, strutting, sheeting, planking and dewatering including cost of hire charges of T &amp; P, labour charges etc., complete for finished item of work for Foundation of Building.(APSS No. 308)</t>
  </si>
  <si>
    <r>
      <t>PCC (1:4:8)</t>
    </r>
    <r>
      <rPr>
        <sz val="10"/>
        <rFont val="Trebuchet MS"/>
        <family val="2"/>
      </rPr>
      <t xml:space="preserve"> prop nominal mix (cement:FA:CA) using 40mm size HBG  (SS5) metal from approved quarry (obtained by blasting) including Cost and Conveyance of all materials like cement,sand,CA,water etc. to site, including all operational, incidental,&amp; labour charges such as mixing,laying and ramming CC in layers in position not exceeding 15cm,finishing topsurface,curing concrete, etc,complete for finished item of work for Foundations and Flooring Bed (APSSNo.402)
</t>
    </r>
  </si>
  <si>
    <t xml:space="preserve">Supply and fixing of Country wood Door Single shutter  fully panelled door of size 0.75 x 2.1mt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</si>
  <si>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 xml:space="preserve">Supply and fixing of Country wood Door double shutter  fully panelled door of size 0.90 x 2.1mt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</si>
  <si>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r>
      <t>Supply and fixing of  Country  wood Door double shutter  fully panelled door of size 1.20 x 2.1mt</t>
    </r>
    <r>
      <rPr>
        <sz val="10"/>
        <rFont val="Trebuchet MS"/>
        <family val="2"/>
      </rPr>
      <t xml:space="preserve"> with frame made of well seasoned country  Wood scantlings of size 100 x 75mm and shutter made ofmedium teak wood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r>
  </si>
  <si>
    <t xml:space="preserve">Supply and fixing of  Country wood Door double shutter  fully panelled door of size 1.50 x 2.10M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</si>
  <si>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 xml:space="preserve">Plumber </t>
  </si>
  <si>
    <t xml:space="preserve">1) This to certify that the proposed leads over and above initial 1kM </t>
  </si>
  <si>
    <t>Initial Cost</t>
  </si>
  <si>
    <t xml:space="preserve">3) This to certified that the stone requires blasting  </t>
  </si>
  <si>
    <t xml:space="preserve">Add Mucipal Limits </t>
  </si>
  <si>
    <t>Rate Per 10Cum</t>
  </si>
  <si>
    <t xml:space="preserve">Add Seign Charges </t>
  </si>
  <si>
    <t xml:space="preserve">Add Seign Charges of Metal </t>
  </si>
  <si>
    <t xml:space="preserve">Add Seign Charges of Sand  </t>
  </si>
  <si>
    <t xml:space="preserve">Add Seign Charges of Bricks </t>
  </si>
  <si>
    <t xml:space="preserve">Add Seign Charges of Stone </t>
  </si>
  <si>
    <t>Add Seigniorage charges</t>
  </si>
  <si>
    <t xml:space="preserve">Add Seign Charges of Polish stone </t>
  </si>
  <si>
    <t>White cement BMS W68</t>
  </si>
  <si>
    <t>Whiting / White Cement  BMS W68</t>
  </si>
  <si>
    <r>
      <t>Cost of Primer</t>
    </r>
    <r>
      <rPr>
        <b/>
        <sz val="10"/>
        <rFont val="Trebuchet MS"/>
        <family val="2"/>
      </rPr>
      <t xml:space="preserve"> Interior  grade1</t>
    </r>
  </si>
  <si>
    <t>/20Sqm</t>
  </si>
  <si>
    <t>Supply , manufacture,  making to  specified design andLabour charges for fabricating steel works like Window Grills, Compound Wall Grills, Iron Doors, Windows including cost of welding rods, power charges, excluding cost of fixing in position</t>
  </si>
  <si>
    <t>Wood Primer  BMT J05</t>
  </si>
  <si>
    <t>MS Power CoatedTower bolts 250 MM @ Top</t>
  </si>
  <si>
    <t>MS Power CoatedTower bolts 150 MM @ Top</t>
  </si>
  <si>
    <t xml:space="preserve">MS Power coated Butt  hings with screws 125 mm </t>
  </si>
  <si>
    <t>MS Power Coated aldrop with bolts 300 mm long</t>
  </si>
  <si>
    <t>MS Power Coated Tower bolts 150 @ Top</t>
  </si>
  <si>
    <t>MS Power Coated Tower bolts 150 @ Bottam</t>
  </si>
  <si>
    <t>MS Power coated Butt  hings with screws 100  mm LONG</t>
  </si>
  <si>
    <t>Friction stay hinges for windows</t>
  </si>
  <si>
    <t>BMT G71</t>
  </si>
  <si>
    <t>Sq inch</t>
  </si>
  <si>
    <r>
      <t>Supplying and fixing 4" (101.6 mm )</t>
    </r>
    <r>
      <rPr>
        <b/>
        <sz val="10"/>
        <rFont val="Trebuchet MS"/>
        <family val="2"/>
      </rPr>
      <t xml:space="preserve"> multi floor trap with Jali</t>
    </r>
    <r>
      <rPr>
        <sz val="10"/>
        <rFont val="Trebuchet MS"/>
        <family val="2"/>
      </rPr>
      <t>- UPVC/SWR Pipe fittings of standard make of  ISI Brand ncluding fixing in CM1:3 prop. and cost and conveyance of all materials at site complete for finished item of work.</t>
    </r>
  </si>
  <si>
    <t>1000 Nos</t>
  </si>
  <si>
    <t>10Sqm</t>
  </si>
  <si>
    <t xml:space="preserve">2) This to certify that the proposed leads of the work is true and nearet to the best of my knowledge </t>
  </si>
  <si>
    <t>BLD-
CSTN-11-2</t>
  </si>
  <si>
    <t>Index
-code</t>
  </si>
  <si>
    <t>BLD
-CSTN-12-6-</t>
  </si>
  <si>
    <r>
      <t>Supply and fixing of  Country wood Door double shutter  fully panelled door of size 0.90 x 2.1mt</t>
    </r>
    <r>
      <rPr>
        <sz val="10"/>
        <rFont val="Trebuchet MS"/>
        <family val="2"/>
      </rPr>
      <t xml:space="preserve">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r>
  </si>
  <si>
    <r>
      <t>Supply and fixing of  salwood Door single shutter  fully pannlled door of size</t>
    </r>
    <r>
      <rPr>
        <b/>
        <sz val="9"/>
        <color indexed="12"/>
        <rFont val="Trebuchet MS"/>
        <family val="2"/>
      </rPr>
      <t xml:space="preserve"> 0.75 x 2.1mt </t>
    </r>
    <r>
      <rPr>
        <sz val="9"/>
        <rFont val="Trebuchet MS"/>
        <family val="2"/>
      </rPr>
      <t xml:space="preserve">with frame made of well seasoned teak Wood scantlings of size 100 x 75mm and bottom reeper of size 75x38mm and shutter made of side rails 125mm X38, top rail 125mmX38mm, bottom rail 125mmX38mm and intermediate rails  of 125 x 38 mm and panels -  4 no's are of 25mm thick  as per approved design with fixtures of 6 nos of 9" ' z" holdfasts, 300 mm long aluminium aldrop-1 no,125mm long aluminium   butt hinges 4 No's, Door stoppers-1 no, 150mm long  Tower bolts  - 1no's alumium,  200mm long  Tower bolts  - 1no's alumium,Aluminium fancy  handles 150mm long 1no's,   with necessary screws complete including cost and conveyance of all materials and labour charges etc. complete as per specifications  (APSS NO.1001 &amp; 1002)                                                                                                 </t>
    </r>
  </si>
  <si>
    <t>Door size 0.75X2.0 mts</t>
  </si>
  <si>
    <t>Deduct  Portico  Portion</t>
  </si>
  <si>
    <t>1st Class Mason</t>
  </si>
  <si>
    <t>2nd Class Mason</t>
  </si>
  <si>
    <t>Mazdoor (Both Men and Women)</t>
  </si>
  <si>
    <t xml:space="preserve">Extra </t>
  </si>
  <si>
    <t xml:space="preserve">Rate  </t>
  </si>
  <si>
    <t xml:space="preserve"> Coefficient</t>
  </si>
  <si>
    <t xml:space="preserve">25 x 20 cms (10" x8") Hylam sheet 3mm thick </t>
  </si>
  <si>
    <t>C) Cost for 6 Points</t>
  </si>
  <si>
    <t>2.1.2</t>
  </si>
  <si>
    <t>Rate per Points = C/6</t>
  </si>
  <si>
    <t>For Stair case light Point(1.5*Pt.)</t>
  </si>
  <si>
    <t>3.1.5</t>
  </si>
  <si>
    <t>Note : Labour Charges considered for 100 M / day</t>
  </si>
  <si>
    <t xml:space="preserve">6A 3 pin / 2 pin Socket </t>
  </si>
  <si>
    <t xml:space="preserve">6A switch </t>
  </si>
  <si>
    <t>Window size 1.80 X 1.35 m</t>
  </si>
  <si>
    <t>Supplying &amp; Fixing white glazed flat back Bowl urinals of size 440 mm x 265
mm x 315 mm with internal flushing rim fixed with screws complete Indian
make (HSW/Parry/Neycer) conforming to IS:2556-1995</t>
  </si>
  <si>
    <t>Supplying &amp; Fixing Indian make Flat Back Wash Hand Basin (HSW/Parryware/Neycer) 1st quality conforming to IS:2556-Part-4:1972 with waste fittings like rubber plug, chain, 32 mm nominal size C.P. Fitting with parallel pipe thread conforming to IS:2963-1979 and fitted with 15 mm nominal bore Chromium Plated Pillar Tap of 1st quality Indian make 400 grams Seiko/ Senior/ Nice/ Esso or equivalent complete with standard CI brackets including woodenblock: 450 x 300 mm - Double C.P. Pillar cock</t>
  </si>
  <si>
    <t>B)</t>
  </si>
  <si>
    <t>Rawl Plugs</t>
  </si>
  <si>
    <t xml:space="preserve">Sno </t>
  </si>
  <si>
    <t xml:space="preserve">Item of Work </t>
  </si>
  <si>
    <t xml:space="preserve">Total </t>
  </si>
  <si>
    <t>Wt</t>
  </si>
  <si>
    <t>Total Weight</t>
  </si>
  <si>
    <t>Shape of the bar</t>
  </si>
  <si>
    <t xml:space="preserve">Total  Length </t>
  </si>
  <si>
    <t>Footing F1</t>
  </si>
  <si>
    <t>Dia in  mm</t>
  </si>
  <si>
    <t>Details of Bars</t>
  </si>
  <si>
    <t>Log Bar</t>
  </si>
  <si>
    <t>VS</t>
  </si>
  <si>
    <t>Main Steel</t>
  </si>
  <si>
    <t>Lateal ties</t>
  </si>
  <si>
    <t>Eatra @ top</t>
  </si>
  <si>
    <t>Roof Salb</t>
  </si>
  <si>
    <t>Dis Steel</t>
  </si>
  <si>
    <t>For Pedastal</t>
  </si>
  <si>
    <t>Sun Shade</t>
  </si>
  <si>
    <t xml:space="preserve">Detailed Steel Requirement Calculations </t>
  </si>
  <si>
    <t>Supply and fixing TPN Distribution board with IP-20 protection suitable for 3 phase ELCB / RCCB / FP Isolator as incomer and 10kA SP MCBs as outing going including internal connection and labour charges for surface / flush mounting etc., complete.and as per 4.4.3  of Sta  revised data of BLD -ELEC-4.4.3</t>
  </si>
  <si>
    <t>Copper Wiring</t>
  </si>
  <si>
    <t>2.1.1</t>
  </si>
  <si>
    <t>LS</t>
  </si>
  <si>
    <t>F)</t>
  </si>
  <si>
    <t>Window size 1.80 X 1.35m</t>
  </si>
  <si>
    <t>For Septic  Tank</t>
  </si>
  <si>
    <t xml:space="preserve">For Buffel wall </t>
  </si>
  <si>
    <t>Doors D1</t>
  </si>
  <si>
    <t>Doors D2</t>
  </si>
  <si>
    <t>orsay</t>
  </si>
  <si>
    <t>Footings ,pedastals,</t>
  </si>
  <si>
    <t>door sills</t>
  </si>
  <si>
    <t xml:space="preserve">Under Toilet Walls of Reception hall </t>
  </si>
  <si>
    <t>SPECIFICATION REPORT</t>
  </si>
  <si>
    <t>sqm</t>
  </si>
  <si>
    <t xml:space="preserve">Man mazdoor </t>
  </si>
  <si>
    <t>Painter</t>
  </si>
  <si>
    <t xml:space="preserve">Sand for CM (1:8) </t>
  </si>
  <si>
    <t>Cement for CM (1:8) for base coat</t>
  </si>
  <si>
    <t>White cement for jointing &amp; pointing</t>
  </si>
  <si>
    <t xml:space="preserve">Gravel for filling </t>
  </si>
  <si>
    <t>BLD-CSTN-3-5</t>
  </si>
  <si>
    <t>BLD-CSTN-3-7</t>
  </si>
  <si>
    <t>Unit = t</t>
  </si>
  <si>
    <t>(a) Material</t>
  </si>
  <si>
    <t>HYSD bars including 5 per cent for overlaps and wastage</t>
  </si>
  <si>
    <t>t</t>
  </si>
  <si>
    <t xml:space="preserve">OVER HEADS </t>
  </si>
  <si>
    <t>Rate per Each</t>
  </si>
  <si>
    <t>0%</t>
  </si>
  <si>
    <t>20%</t>
  </si>
  <si>
    <t>40%</t>
  </si>
  <si>
    <t>Supply and Fixing of 25mm dia 1.5mm thick surface P.V.C. pipe (ISI MARK) with all accessories fixing on chromium plated metallic base saddles including all labour charges etc., complete for run of mains and as per 1.3.2 of Sta  revised data of BLD -ELEC-1-3.2</t>
  </si>
  <si>
    <t xml:space="preserve">For Columns </t>
  </si>
  <si>
    <r>
      <t>Supplying and filling sand in trenches ,sides of the foundations</t>
    </r>
    <r>
      <rPr>
        <sz val="10"/>
        <rFont val="Trebuchet MS"/>
        <family val="2"/>
      </rPr>
      <t xml:space="preserve"> and basement with initial lead in layers not exceeding 15 cm thick consolidatiing each depposited layer by watering and rampping including cost and conveyance of water  to work site and all operational incidental ,labour charges hire charges and T &amp; O Complete for finished item</t>
    </r>
    <r>
      <rPr>
        <b/>
        <sz val="10"/>
        <rFont val="Trebuchet MS"/>
        <family val="2"/>
      </rPr>
      <t xml:space="preserve"> APSS 309 &amp;310)  </t>
    </r>
  </si>
  <si>
    <t>BLD-ELEC-4-4</t>
  </si>
  <si>
    <t>DISTRIBUTION BOARDS</t>
  </si>
  <si>
    <t>4.4.1</t>
  </si>
  <si>
    <t>Ladies Toilet
(2*1.39+2*3.0)</t>
  </si>
  <si>
    <t>Gents Toilet 
(2*2.06+2*3.0)</t>
  </si>
  <si>
    <t>Head Room
(0.15+3.0+1.50+3.0+1.50+3.0+0.15)</t>
  </si>
  <si>
    <t>Room 2
(3.07*2+3.8*2)</t>
  </si>
  <si>
    <t>Room 3 
(3.07*2+3.8*2)</t>
  </si>
  <si>
    <t xml:space="preserve">Crosswalls of 
Toilet
 </t>
  </si>
  <si>
    <t xml:space="preserve">Cross wall Toilet 
</t>
  </si>
  <si>
    <t xml:space="preserve">Muncpal Limits </t>
  </si>
  <si>
    <t>BMT-G-17</t>
  </si>
  <si>
    <t xml:space="preserve">MS </t>
  </si>
  <si>
    <t>BMT-G-15</t>
  </si>
  <si>
    <t>BMT-G-29</t>
  </si>
  <si>
    <t>BMT-G-45</t>
  </si>
  <si>
    <t>BMT -G28</t>
  </si>
  <si>
    <t>Unit : 6 cum</t>
  </si>
  <si>
    <r>
      <t xml:space="preserve">Painting to New walls with two coats of </t>
    </r>
    <r>
      <rPr>
        <b/>
        <sz val="10"/>
        <rFont val="Trebuchet MS"/>
        <family val="2"/>
      </rPr>
      <t xml:space="preserve">snowcem paints </t>
    </r>
    <r>
      <rPr>
        <sz val="10"/>
        <rFont val="Trebuchet MS"/>
        <family val="2"/>
      </rPr>
      <t xml:space="preserve">of approved brand and shade over base coat of appropriate distemper primer of approved brand making three coats in all to give an even shade after thoroughly brushing the surface to remove all loose powdered materials, including c/c  of all materials, cost of brushes, water to site, etc., &amp; other taxes, all operational, incidental and labour charges such as scaffolding charges, lift charges, curing etc.,complete for finished item of work in all floors for external Walls.(APSS No. 911) </t>
    </r>
  </si>
  <si>
    <t>Painting to New  wood work with two coats of ready mixed synthetic enamel paint first quality all shades  to give an even shade over base coat Primar with Luppam finishing  after thouroughky brushing the surface to remove all remains  including cost and conveyance of all materials to site, Countryes &amp; other taxes, all  operational, incidental and labour charges etc., complete for finished item of work.(3 coats) (APSS No. 1201 &amp; 1212).</t>
  </si>
  <si>
    <t>4.348</t>
  </si>
  <si>
    <t>Add Labour Comp on LC</t>
  </si>
  <si>
    <t>10</t>
  </si>
  <si>
    <t xml:space="preserve">SANITARY FITTINGS:-    Supply,fixing of 110 mm dia - 45 Degree Bend - UPVC/SWR Pipe fittings [Prince/Sudhakar or any ISI Brand] including cost and conveyance of all materials and labour charges etc., complete for finished item of work </t>
  </si>
  <si>
    <t>Cement Mortal 1:3</t>
  </si>
  <si>
    <t xml:space="preserve">Woman mazdoor </t>
  </si>
  <si>
    <t>Unit</t>
  </si>
  <si>
    <t>Nos</t>
  </si>
  <si>
    <t>Deductions</t>
  </si>
  <si>
    <t>MT</t>
  </si>
  <si>
    <t>Kgs</t>
  </si>
  <si>
    <t>Cement Mortar (1 : 1)</t>
  </si>
  <si>
    <t>Unit : 1cum</t>
  </si>
  <si>
    <t>A. MATERIALS:</t>
  </si>
  <si>
    <t>kg.</t>
  </si>
  <si>
    <t>Sand (including 5% wastage)</t>
  </si>
  <si>
    <t>B. MACHINERY</t>
  </si>
  <si>
    <t>C. LABOUR:</t>
  </si>
  <si>
    <t>Man mazdoor for mixing mortar</t>
  </si>
  <si>
    <t>day</t>
  </si>
  <si>
    <t>Grand Total</t>
  </si>
  <si>
    <t>BLD-CSTN-1-3</t>
  </si>
  <si>
    <t>Cement Mortar (1 : 2)</t>
  </si>
  <si>
    <t>BLD-CSTN-1-4</t>
  </si>
  <si>
    <t xml:space="preserve">D1 Main Entrance </t>
  </si>
  <si>
    <t>a) S&amp; F 20 mm Nominal Bore GI pipe Medium Grade properties &amp; weight as per IS 1239 ISI mark with GI fittings including the cost of pipe &amp; its fittings &amp; labour charges</t>
  </si>
  <si>
    <t>LS Rounding and Price Adjestment</t>
  </si>
  <si>
    <t>cum / kg</t>
  </si>
  <si>
    <t>Ground Floor :</t>
  </si>
  <si>
    <t>II Class Bricks</t>
  </si>
  <si>
    <t>Filling with Sand (excluding rock) in trenches, sides of foundations and basement with initial lead in layers not exceeding 15cm thick, consolidating each deposited layer by watering and ramming including cost and Cost and Conveyance  of water to site and all operational, incidental, labour charges, , sales and other taxes etc, hire charges of T &amp; P etc., complete for finished item of work. (APSS NO. 309 &amp; 310)</t>
  </si>
  <si>
    <t xml:space="preserve">Vibrated reinforced Cement Concrete corresp.to M20 grade Design mix  , Metal of  20mm size HBG  (SS5) metal from approved quarry including Cost and Conveyance  of all materials like cement, sand, coarse aggregate, water etc. to site, including all operational, incidental and labour charges such as mixing, laying, curing concrete for 21 days etc., complete for finished item of work. (APSS No. 402) but excluding cost of steel and its fabrication charges for finished item of work </t>
  </si>
  <si>
    <r>
      <t>Unit = 10 sqm (</t>
    </r>
    <r>
      <rPr>
        <b/>
        <sz val="10"/>
        <rFont val="Trebuchet MS"/>
        <family val="2"/>
      </rPr>
      <t>For Dadooing)</t>
    </r>
  </si>
  <si>
    <r>
      <t xml:space="preserve">RCC M20 Grade Design mix using 20mm size HBG(SS5) machine crushedincluding Cost &amp; Conveyance of all materials  including C429 &amp; other taxes on all materials all operational, incidental &amp; labour charges such as centering,shuttering,scaffolding,lift charges,machine mix,laying CC,curing CC etc,complete but excluding cost of steel &amp; its fabrication charges (APSSNo.402&amp;403)for </t>
    </r>
    <r>
      <rPr>
        <b/>
        <sz val="11"/>
        <rFont val="Trebuchet MS"/>
        <family val="2"/>
      </rPr>
      <t xml:space="preserve">Sunshades  75 mm thick at fixed end 50 mm thick  </t>
    </r>
    <r>
      <rPr>
        <sz val="10"/>
        <rFont val="Trebuchet MS"/>
        <family val="2"/>
      </rPr>
      <t xml:space="preserve">at free end                                          </t>
    </r>
  </si>
  <si>
    <t>BASIC COST per Cum</t>
  </si>
  <si>
    <t>For Filling  Excavated   Pits &amp;  Trenches</t>
  </si>
  <si>
    <t xml:space="preserve">Supply, transportation and delivery at site of 3 Phase, 50 Hz, oil immersed and naturally cooled, outdoor / Indoor type copper wound transformer designed and manufactured as per IS 2026-1977 and 1st filling of oil as per IS 335 of 1993, connected delta on primary side and Star on secondary side with additional neutral brought out on load side, 1100V / (433V / 415V) with HV tapping + or - 2.5% contineously rated for full load and temporature rise not exceeding 50°C in oil and 55°C rise by th resistance of
the winding after contineous run on full load rating complete with the following standard mountings. Makes: Kirloskar / Vijay Electricals / PETE / Esennar </t>
  </si>
  <si>
    <t xml:space="preserve">For Boys And Girls </t>
  </si>
  <si>
    <t>Supplying and Fixing European Water Closet of 1st quality conforming to IS:2556-Part-2-1973 of Hindustan / Neycer or Parryware make white glazed with 'P' trap</t>
  </si>
  <si>
    <t>For Principal  Room</t>
  </si>
  <si>
    <t>S&amp; F GI pipe Medium Grade properties &amp; weight as per IS 1239 ISI mark with GI fittings including the cost of pipe &amp; its fittings &amp; labour charges complete</t>
  </si>
  <si>
    <t xml:space="preserve">20  MM dia </t>
  </si>
  <si>
    <t xml:space="preserve">25  MM dia </t>
  </si>
  <si>
    <t xml:space="preserve">40  MM dia </t>
  </si>
  <si>
    <t xml:space="preserve">50  MM dia </t>
  </si>
  <si>
    <t xml:space="preserve">32  MM dia </t>
  </si>
  <si>
    <t>S &amp; F Gunmetal Gate (GM peet) valve as per IS -778 Class - I, Indian make heavy type - 25 mm NB Size</t>
  </si>
  <si>
    <t xml:space="preserve">Per Each </t>
  </si>
  <si>
    <r>
      <t>MBG+6 Random Rubble stone masonry, in CM (1:6) prop:</t>
    </r>
    <r>
      <rPr>
        <sz val="10"/>
        <rFont val="Trebuchet MS"/>
        <family val="2"/>
      </rPr>
      <t xml:space="preserve"> (Cement: Sand) using hard granite stones from approved quarry including Cost and Conveyance  of all materials like Granite stones, cement, sand, water,  etc.,  to site including   all operational, incidental, and labour charges such as cutting stones to required size and shape, mixing of cement mortar, constructing masonry, curing etc., complete for finished item of work for foundation  (APSS No. 601 &amp; 615)</t>
    </r>
  </si>
  <si>
    <t xml:space="preserve">Above Ground level for Basement </t>
  </si>
  <si>
    <t>Providing independent earthling by excavating a trench to a depth of 2.1 M in all soils, as per size specified in the Data, using 40mm dia 'B' class GI pipe of 2.5 Mtrs length with necessary accessories with hume pipe ring duly providing staggered holes  including filling with equal proportion of Salt and Charcoal in layers and all labour charges etc., complete for small quarters.</t>
  </si>
  <si>
    <t>Columns GF Roof Level to FF Roof level for Head Room</t>
  </si>
  <si>
    <t>First Floor</t>
  </si>
  <si>
    <t>Ground Floor</t>
  </si>
  <si>
    <t>On Door D1</t>
  </si>
  <si>
    <t>8.69</t>
  </si>
  <si>
    <t>FIRST FLOOR</t>
  </si>
  <si>
    <t>FIRST  FLOOR</t>
  </si>
  <si>
    <t xml:space="preserve">Rate   </t>
  </si>
  <si>
    <t xml:space="preserve">Grand Total per 10Sqm </t>
  </si>
  <si>
    <t xml:space="preserve">Cement Primer Interior Grade </t>
  </si>
  <si>
    <t>Priming Coat of Exterior Grade 1</t>
  </si>
  <si>
    <t xml:space="preserve">B90.Prince/ Sudhakar make or equivalent quality PVC /SWR pipes &amp; fittings ( as per ISI standards) 4kg/cm2 110mm dia. double socket </t>
  </si>
  <si>
    <t>B89.Prince/ Sudhakar make or equivalent quality PVC /SWR pipes &amp; fittings ( as per ISI standards) 4kg/cm2 75mm dia.(double socket)</t>
  </si>
  <si>
    <t>F</t>
  </si>
  <si>
    <t xml:space="preserve">Limited to Sanctioned Amount </t>
  </si>
  <si>
    <t xml:space="preserve">For Roof Slab 150 mm thick </t>
  </si>
  <si>
    <t>BLD-CSTN-8-10</t>
  </si>
  <si>
    <t>Window size 0.90X1.35mts</t>
  </si>
  <si>
    <t xml:space="preserve">For Ground  Floor </t>
  </si>
  <si>
    <t>GF</t>
  </si>
  <si>
    <t>FF</t>
  </si>
  <si>
    <t>SF</t>
  </si>
  <si>
    <t xml:space="preserve">Basic Rate </t>
  </si>
  <si>
    <t>10%</t>
  </si>
  <si>
    <t xml:space="preserve">Add Lift Charges  @ 10% on LC </t>
  </si>
  <si>
    <t>Sand for Filling</t>
  </si>
  <si>
    <t>40mm HBG metal SS5, 
machine crushed</t>
  </si>
  <si>
    <t>20mm HBG SS5 M/c chips</t>
  </si>
  <si>
    <t>Index-code</t>
  </si>
  <si>
    <t>Labour charges for Fixing of Ceiling fan and regulator including transportation and giving connections  with twin core wire etc., complete.</t>
  </si>
  <si>
    <t>b) Labour charges.</t>
  </si>
  <si>
    <t>Semi Skilled Electrician</t>
  </si>
  <si>
    <t>Note : Labour Charges considered for 150 M / day</t>
  </si>
  <si>
    <t>Note : Labour Charges considered for 2 jobs / day</t>
  </si>
  <si>
    <t>EARTHING</t>
  </si>
  <si>
    <t>BLD-ELEC-5-1</t>
  </si>
  <si>
    <t>Total Amount</t>
  </si>
  <si>
    <t>Helper</t>
  </si>
  <si>
    <t>Sundries and rounding off</t>
  </si>
  <si>
    <t>Unit - 10 sqm</t>
  </si>
  <si>
    <t xml:space="preserve">A) MATERIALS </t>
  </si>
  <si>
    <t xml:space="preserve">Cement Mortar 1:3 for 25 mm thick </t>
  </si>
  <si>
    <t xml:space="preserve">Dry Cement for making Lumps </t>
  </si>
  <si>
    <t>Excluding HYSD Steel/ Mild steel &amp; Binding wire</t>
  </si>
  <si>
    <t>B) LABOUR CHARGES</t>
  </si>
  <si>
    <t>Miller Operator</t>
  </si>
  <si>
    <t>Wiring</t>
  </si>
  <si>
    <t>BLD-ELEC-2-1</t>
  </si>
  <si>
    <t>W1(1.35x1.30) FF</t>
  </si>
  <si>
    <t>W2  1.80x1.30 GF</t>
  </si>
  <si>
    <t>W2  1.80x1.30 FF</t>
  </si>
  <si>
    <t>BASIC COST per 1 cum</t>
  </si>
  <si>
    <t>Pedastals</t>
  </si>
  <si>
    <t>COLUMNS, LINTELS, WATER TANKS, RCC WALLS IN BUILDINGS</t>
  </si>
  <si>
    <t>Lintels</t>
  </si>
  <si>
    <t>C</t>
  </si>
  <si>
    <t>For Wall A2-B2
(3.108-.23-2*.0.38)</t>
  </si>
  <si>
    <t>For Wall A3-B3
(3.108-.23-2*.0.38)</t>
  </si>
  <si>
    <t>For Wall A4-B4
(3.108-.23-2*.0.38)</t>
  </si>
  <si>
    <t>For Wall C3-D3
(3.108-.23-2*.0.38)</t>
  </si>
  <si>
    <t>For Wall C4-D4
(3.108-.23-2*.0.38)</t>
  </si>
  <si>
    <t>SECOND  FLOOR</t>
  </si>
  <si>
    <t xml:space="preserve">For paprapet wall (A1-A5)
(3.3*4+0.30-5*.30) </t>
  </si>
  <si>
    <t>For paprapet wall(D1-D5) 
(3.3*4+0.30-5*.30)</t>
  </si>
  <si>
    <t>For paprapet wall (A1-D1) 
(8.175+0.30-3*.38)</t>
  </si>
  <si>
    <t xml:space="preserve">18" dia  hume pipe ring </t>
  </si>
  <si>
    <t>Hard Coke</t>
  </si>
  <si>
    <t>Salt</t>
  </si>
  <si>
    <t xml:space="preserve">Supply and fixing of 3-Phase Meter Board with 18" x30" size Peta Board with 3 No. of 32A, 415 V Fuse Unit and 32A Standard make including giving internal connections </t>
  </si>
  <si>
    <t>18" x 30 " Peeta Board</t>
  </si>
  <si>
    <t>M.S flat and welding charges</t>
  </si>
  <si>
    <t>b) Labour charges</t>
  </si>
  <si>
    <t>Skilled Electrician/carpenter</t>
  </si>
  <si>
    <t>Mason</t>
  </si>
  <si>
    <t>Semi skilled  Electrician / Helper</t>
  </si>
  <si>
    <t xml:space="preserve">Cement and sand etc., </t>
  </si>
  <si>
    <t>Bldngs_Elec-9-5</t>
  </si>
  <si>
    <t>Fans</t>
  </si>
  <si>
    <t>9.7.2</t>
  </si>
  <si>
    <t>Transportation Charges on Unit Cost</t>
  </si>
  <si>
    <t>9.7.35</t>
  </si>
  <si>
    <t>Labour Charges</t>
  </si>
  <si>
    <t>BLD-CSTN-7-2</t>
  </si>
  <si>
    <t>rmt</t>
  </si>
  <si>
    <t>Sanitory and water supply</t>
  </si>
  <si>
    <t>points</t>
  </si>
  <si>
    <t>Electrical Work</t>
  </si>
  <si>
    <t>Sundries including brushes, soap, putty etc.,</t>
  </si>
  <si>
    <t xml:space="preserve">Synthetic Enamel paint (at 20 sqm / litre as per British Paints (I) Ltd. </t>
  </si>
  <si>
    <t>Painting with Synthetic Enamel paints - Two Coats - for New Wood Work</t>
  </si>
  <si>
    <t>Unit : 1 cum</t>
  </si>
  <si>
    <t>Taking output : 10 cum</t>
  </si>
  <si>
    <t>a) Labour</t>
  </si>
  <si>
    <t>Mazdoor ( Unskilled)</t>
  </si>
  <si>
    <t>Add 75% for foundations</t>
  </si>
  <si>
    <t xml:space="preserve">Cost for 10 cum </t>
  </si>
  <si>
    <t>Supply and fixing of 1x40W weatherproof flourescent streetlight fitting comprising canopy of sheet Aluminium in stove enamel finish with copper / VPIT ballast, capacitor, tube and starter etc.including fixing  to the wall with 1.0 Mtr., 25mm dia GI pipe bracket and anti tilting MS flat etc., including giving connections and labour charges etc.completand as per 7.1.1  &amp; 7.9.5   of Sta  revised data of BLD -ELEC7.1.1 and 7.9.5</t>
  </si>
  <si>
    <t>Supply and fixing SPN Distribution board with IP-20 protection suitable for single phase Earth Leakage Circute Braker (ELCB) / Residual Current Circute Braker (RCCB) / Double Pole (DP) Isolator as incomer and 10kA SP MCBs as out going including internal connections and labour charges for surface / flush mounting etc., complete.4.4.1</t>
  </si>
  <si>
    <t>40A FP Isolator/ RCCB / ELCB - 1 No for incomer,                 10kA-6-32A SP MCBs - 12Nos for outgoing.</t>
  </si>
  <si>
    <t>40A, 4 Pole Isolator / ELCB / RCCB</t>
  </si>
  <si>
    <r>
      <t xml:space="preserve">Filling the Excavated soils </t>
    </r>
    <r>
      <rPr>
        <sz val="10"/>
        <rFont val="Trebuchet MS"/>
        <family val="2"/>
      </rPr>
      <t xml:space="preserve">  in trenches ,sides of the foundations and basement with initial lead in layers not exceeding 15 cm thick consolidatiing each depposited layer by watering and rampping including cost and conveyance of water  to work site and all operational incidental ,labour charges hire charges and T &amp; O Complete for finished item </t>
    </r>
    <r>
      <rPr>
        <b/>
        <sz val="10"/>
        <rFont val="Trebuchet MS"/>
        <family val="2"/>
      </rPr>
      <t xml:space="preserve">APSS 309 &amp;310)  </t>
    </r>
  </si>
  <si>
    <t>MBG +23</t>
  </si>
  <si>
    <t>MBG +24</t>
  </si>
  <si>
    <t>MBG +26</t>
  </si>
  <si>
    <t>MBG +27</t>
  </si>
  <si>
    <r>
      <t>Brick Masonry in superstructure with CM (1:8) Prop</t>
    </r>
    <r>
      <rPr>
        <sz val="10"/>
        <rFont val="Trebuchet MS"/>
        <family val="2"/>
      </rPr>
      <t xml:space="preserve"> of 230 mm thick wall  using 2nd class traditional Bricks of size 23x11x7cm having minimum crushing strength of 50 kg/cm2 including Cost and Conveyance of all materials scaffolding charges, etc., complete for finished item of work. (APSS No. 501 &amp; 504).</t>
    </r>
  </si>
  <si>
    <t>MBG +28</t>
  </si>
  <si>
    <t>MBG +29</t>
  </si>
  <si>
    <t>MBG +29 A</t>
  </si>
  <si>
    <t>Supply and Fixing of 25mm dia 2.00 mm thick surface P.V.C. pipe (ISI MARK) with all accessories fixing on chromium plated metallic base saddles and decolam board for switches for Light, Fan and separate plug point including all labour charges etc., complete as per 1.3.1 of Sta  revised data of BLD -ELEC-1-3</t>
  </si>
  <si>
    <t>25 mm 1,2,3, &amp; 4 way Junction boxes</t>
  </si>
  <si>
    <r>
      <t xml:space="preserve">BB74.Supply and Fixing of 25mm dia 2mm thick PVC pipe (ISI MARK) concealed in </t>
    </r>
    <r>
      <rPr>
        <sz val="10"/>
        <color indexed="12"/>
        <rFont val="Trebuchet MS"/>
        <family val="2"/>
      </rPr>
      <t>Roof Slabs</t>
    </r>
    <r>
      <rPr>
        <sz val="10"/>
        <rFont val="Trebuchet MS"/>
        <family val="2"/>
      </rPr>
      <t xml:space="preserve"> with all required accessories including masonary work  and labour charges etc., complete.</t>
    </r>
  </si>
  <si>
    <r>
      <t xml:space="preserve">SB73.Supplying and Fixing of 25mm dia 2.0 mm thick PVC Conduit pipe concealed in wall with all required accessories including chiselling the wall whereever necessaty including </t>
    </r>
    <r>
      <rPr>
        <sz val="10"/>
        <color indexed="12"/>
        <rFont val="Trebuchet MS"/>
        <family val="2"/>
      </rPr>
      <t>Masonary work</t>
    </r>
    <r>
      <rPr>
        <sz val="10"/>
        <rFont val="Trebuchet MS"/>
        <family val="2"/>
      </rPr>
      <t xml:space="preserve"> for Light,fan and separate plug point wiht T.W.Deep box including all labour charges etc &amp; complete</t>
    </r>
  </si>
  <si>
    <t xml:space="preserve">P.V.C. Conduit  (Surface) </t>
  </si>
  <si>
    <t>(b)</t>
  </si>
  <si>
    <t>U' Links</t>
  </si>
  <si>
    <t>25mm dia 1,2,3 &amp; 4 way deep Junction Box</t>
  </si>
  <si>
    <t>25mm PVC bends</t>
  </si>
  <si>
    <t>CCSR</t>
  </si>
  <si>
    <t>Supply and fixing of 6A 3pin / 6A 3pin  plug socket with indicator lamp and 6Amps  fuse unit and 16 Amps  switch control (5 in one) on decolam sheet/sunglass covered board including earth connection and all labour charges etc., complete on wall.and as per 2.1.5  of Sta  revised data of BLD -ELEC-2.1.5</t>
  </si>
  <si>
    <t>Top Coat in CM(1:3), 4 mm thick</t>
  </si>
  <si>
    <t>Sno</t>
  </si>
  <si>
    <t>Description of item</t>
  </si>
  <si>
    <t>Measurements</t>
  </si>
  <si>
    <t>Rate/Per</t>
  </si>
  <si>
    <t>SEIGNORAGE CHARGES/Unit</t>
  </si>
  <si>
    <t>TOTALSEIGNORAGE CHARGES</t>
  </si>
  <si>
    <t>Flush Pointing with CM (1:3) to RR Masonry</t>
  </si>
  <si>
    <t>Raised Pointing with CM (1:3) to RR Masonry</t>
  </si>
  <si>
    <t>Cement Mortar (1 : 3)</t>
  </si>
  <si>
    <t xml:space="preserve">Cement (As per CE PR MGNREGS memo) </t>
  </si>
  <si>
    <t>DATA FOR WOOD WORK WITH 2010-11</t>
  </si>
  <si>
    <t>Dy.Executive.Engineer</t>
  </si>
  <si>
    <t>Local</t>
  </si>
  <si>
    <t>M</t>
  </si>
  <si>
    <t>SSR 2010-11</t>
  </si>
  <si>
    <t>Quarry</t>
  </si>
  <si>
    <t>Hrs</t>
  </si>
  <si>
    <t>kgs</t>
  </si>
  <si>
    <t>26 11.7</t>
  </si>
  <si>
    <t>BLD-CSTN-6.6</t>
  </si>
  <si>
    <t>BLD-CSTN-8-11</t>
  </si>
  <si>
    <t>Add water charges 1%</t>
  </si>
  <si>
    <t>c) Machinery</t>
  </si>
  <si>
    <t>CR Stone</t>
  </si>
  <si>
    <t>Rough Stone</t>
  </si>
  <si>
    <t xml:space="preserve">RR Masonry in CM (1:8) </t>
  </si>
  <si>
    <t>Flush Pointing with CM (1:3) to Brick / CRS Masonry</t>
  </si>
  <si>
    <t>Unit = 10 sqm</t>
  </si>
  <si>
    <t>Add 14% overhead charges, Contractor profit</t>
  </si>
  <si>
    <t>Rate per 1cum</t>
  </si>
  <si>
    <t>Machine Mixing Mortar with Miller - Hire charges</t>
  </si>
  <si>
    <t>BASIC COST per 10 sqm</t>
  </si>
  <si>
    <t>40 mm neelde  Vibrator</t>
  </si>
  <si>
    <t>BLD-CSTN-12-1</t>
  </si>
  <si>
    <t>BLD-CSTN-12-2</t>
  </si>
  <si>
    <t>BLD-CSTN-12-5</t>
  </si>
  <si>
    <t xml:space="preserve">For Roof Slab(1:1.5:3) Prop.100 mm thick 
in Second  Floor </t>
  </si>
  <si>
    <t>On Windows W2</t>
  </si>
  <si>
    <t>On Windows W3</t>
  </si>
  <si>
    <t>On Windows W4</t>
  </si>
  <si>
    <t>On Ventilaters</t>
  </si>
  <si>
    <t>For Doors</t>
  </si>
  <si>
    <t>For  Windows</t>
  </si>
  <si>
    <t xml:space="preserve">For  Ventilators </t>
  </si>
  <si>
    <t>Supply and Fixing of 25mm dia 2mm thick PVC pipe (ISI MARK) concealed in Roof Slabs with all required accessories including masonary work  and labour charges etc., complete.</t>
  </si>
  <si>
    <t>Wiring with 2 of 14/0.3mm (1.0 Sq.mm) Finolex P.V.C. insulated F.R. flexible copper cable (ISI MARK) in existing pipe with 6A switch control and 3/2 pin sockets fixing on separate board including all labour charges etc., complete.</t>
  </si>
  <si>
    <t>Supply and fixing of 6A 3 pin wall plug socket with 6A switch control on a common switch board with earth continuity including wire leads, earth connections along with all labour charges etc., complete.</t>
  </si>
  <si>
    <t>Supply and fixing of 6A 5pin socket with switch in anodised GI box and front plate complete with fixing accessories etc., including labour charges complete as required confirming to IS.(independent)</t>
  </si>
  <si>
    <t>Run of Mains: Supply &amp; run of 2 of 1100V grade FRLS 2.5 Sq.mm &amp; 1 run of  1.5 Sq.mm PVC insulated Copper wires, in existing pipe including all accessories,  labour charges complete as required confirming to IS.</t>
  </si>
  <si>
    <t xml:space="preserve">Supply and fixing of LAN outlet with anodised GI box of with  front plate and plug in type Networking socket. </t>
  </si>
  <si>
    <t>Supply and fixing of Telephone outlet with anodised GI box with front plate and other accessories.</t>
  </si>
  <si>
    <t>Supply of  1200 mm (48")  sweep 230V, A.C 50 Hz.Ceiling fan (ISI Mark) with 3 Blades and double ball bearings with all standard accessories.</t>
  </si>
  <si>
    <t>Supply,fixing of 110 mm deep PVC floor traps of self cleansing design with outlet size of 75mm diameter of approved make, including making connection with PVC soil/waste pipes using rubber gaskets and top shall be cover with removable CP strainer, etc., complete 110mm deep PVC floor traps(101.6)</t>
  </si>
  <si>
    <t>Supply &amp; fixing  580mm x 440mm size white virerous orissa pan with attached footrests of approved make confirming to IS 2556 (part - III) with 'P' or 'S' trap, including 10 lit. low level PVC flusihing system confirming to IS 7231 with all internal fittings, CI brackets, 32mm dia CP flush pipe, 15mm dia 450mm long PVC connerctor, 15mm dia Cp brass strop cock 300 grams of ISI make, cutting and making good the walls and floors wherever required including cost &amp; conveyance of all material to work site, all labour charges for all operations for fixing etc., complete for finished item of work.</t>
  </si>
  <si>
    <t>Code Material</t>
  </si>
  <si>
    <t>Coefficient</t>
  </si>
  <si>
    <t>Amount</t>
  </si>
  <si>
    <t>Supplying &amp; Fixing Orissa Pan white glazed W.C 1st quality ISI marked conforming to IS:2556-Part-3-1981 with  "P" or "S" trap Hindware/ Parryware/Neycer - ISI Mark: 580 mm x 440 mm</t>
  </si>
  <si>
    <r>
      <t>Supply and fixing of  Country wood Door double shutter  fully panelled door of size 1.05 x 2.1mt</t>
    </r>
    <r>
      <rPr>
        <sz val="10"/>
        <rFont val="Trebuchet MS"/>
        <family val="2"/>
      </rPr>
      <t xml:space="preserve">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r>
  </si>
  <si>
    <r>
      <t xml:space="preserve">Supply and fixing of fully panelled  Window  frame and shutters of size 0.90 x 1.35 mt </t>
    </r>
    <r>
      <rPr>
        <sz val="10"/>
        <rFont val="Trebuchet MS"/>
        <family val="2"/>
      </rPr>
      <t>with country wood frame of size 75x100mm and S/F of 4 Nos. MS Hold fasts, incl. all labour charges such as making window frame and shutters and fiXing   10 Nos.of  12 mm square safety bars in to  the frame etc,including applying primory coat, cost and conveyance  of all materials .</t>
    </r>
  </si>
  <si>
    <t>D4(0.75x2.10)</t>
  </si>
  <si>
    <t>Cross Wall @ (A1-A2) 
 Head room</t>
  </si>
  <si>
    <t>Cross Wall (A1-D1) 
(8.175+0.30-3*0.38)</t>
  </si>
  <si>
    <t>Cross Wall (A5-B5) 
(3.108+0.30+0.2*.38)</t>
  </si>
  <si>
    <t>Wall A1-A5
(3.3*4+0.30-5*.30)</t>
  </si>
  <si>
    <t>Wall D1-D4
(3.3*3+0.30-4*.30)</t>
  </si>
  <si>
    <t>Cross Wall for Head room</t>
  </si>
  <si>
    <t>For Parapet Wall 
A5-A7 (3.6+3.3)</t>
  </si>
  <si>
    <t>For Parapet Wall 
A4-A7 (3.6+3.3+3.30)</t>
  </si>
  <si>
    <t>Cross Wall (A7-D7)
(8.175+0.30-3*0.380)</t>
  </si>
  <si>
    <t xml:space="preserve">Windows </t>
  </si>
  <si>
    <t xml:space="preserve">Windows W1  </t>
  </si>
  <si>
    <t xml:space="preserve">Windows W3  </t>
  </si>
  <si>
    <t xml:space="preserve">Windows W2  </t>
  </si>
  <si>
    <t xml:space="preserve">Ventilators   </t>
  </si>
  <si>
    <t xml:space="preserve">Wall  A2-D2
(8.175+0.3-3*.38) </t>
  </si>
  <si>
    <t xml:space="preserve">Wall  A5-D5
(8.175+0.3-3*.38) </t>
  </si>
  <si>
    <t xml:space="preserve">Wall  A6-D6
(8.175+0.3-3*.38) </t>
  </si>
  <si>
    <t xml:space="preserve">Wall  A7-D7
(8.175+0.3-3*.38) </t>
  </si>
  <si>
    <t xml:space="preserve">Toilet between Wall </t>
  </si>
  <si>
    <t>Toilet between Wall 
 (3.8)</t>
  </si>
  <si>
    <t>Under Stairs room for toilet 
(3.108+0.23-2*.38)+0.30</t>
  </si>
  <si>
    <t>For Wall B1-B5
(3.3*3+0.30-4*.3)</t>
  </si>
  <si>
    <t>For Wall C1-C5
(3.3*4+0.30-5*.3)</t>
  </si>
  <si>
    <t>Muncipal Limit</t>
  </si>
  <si>
    <t xml:space="preserve">Over Heads </t>
  </si>
  <si>
    <t>Add Muncipal Limits</t>
  </si>
  <si>
    <t>Elec8.1.64</t>
  </si>
  <si>
    <t>MBG28</t>
  </si>
  <si>
    <t xml:space="preserve">2.25/3 </t>
  </si>
  <si>
    <t>Door size 0.90X2.10 M (Frame &amp; Shutters only)</t>
  </si>
  <si>
    <t>Door size 0.90X2.10 M (Frame only )</t>
  </si>
  <si>
    <t>BASIC COST per Each Frame Only  (0.90x2.10)m</t>
  </si>
  <si>
    <t>BASIC COST per Each Shutters  Only (0.90x2.10)m</t>
  </si>
  <si>
    <t>Door size1.05 X2.10 M (Frame only)</t>
  </si>
  <si>
    <t>Door Frame only (1.05 x2.10)</t>
  </si>
  <si>
    <t>Door Shutters  only (1.05x2.10)</t>
  </si>
  <si>
    <t>Door size 1.20 X 2.10 M</t>
  </si>
  <si>
    <t>Door size1.20 X2.10 M (Frame only)</t>
  </si>
  <si>
    <t>Door Frame only (1.20  x 2.10)</t>
  </si>
  <si>
    <t>Door Shutters  only (120 x 2.10)</t>
  </si>
  <si>
    <t>Door size 1.50X2.10 M</t>
  </si>
  <si>
    <t>MBG26</t>
  </si>
  <si>
    <t>Door size 1.50X2.10 M ( Frame only)</t>
  </si>
  <si>
    <t>Cost of Frame (1.50 X 2.10 M )</t>
  </si>
  <si>
    <t>Cost of Shutters only (1.50 X2.10 M )</t>
  </si>
  <si>
    <t xml:space="preserve">Cost of 12 mm Square Rods </t>
  </si>
  <si>
    <t xml:space="preserve">Window size 0.90X1.35mts (Frame only) </t>
  </si>
  <si>
    <t>BASIC COST per Each (Frame Only) (0.90x1.35)m</t>
  </si>
  <si>
    <t>BASIC COST per Each (Shutter  Only)(0.90x1.35)m</t>
  </si>
  <si>
    <t>Window size 1.20 x 1.35mts</t>
  </si>
  <si>
    <t xml:space="preserve">Window size1.20 x 1.35mts (Frame only) </t>
  </si>
  <si>
    <t>BASIC COST per Each (Frame Only) (1.20x1.35)m</t>
  </si>
  <si>
    <t>BASIC COST per Each (Shutter  Only)(1.2x1.35)m</t>
  </si>
  <si>
    <t>Window size 1.50  x 1.35mts</t>
  </si>
  <si>
    <t xml:space="preserve">Window size1.50 x 1.35mts (Frame only) </t>
  </si>
  <si>
    <t>BASIC COST per Each (Frame Only)(1.50x1.35)M</t>
  </si>
  <si>
    <t>BASIC COST per Each (Shutter  Only)(1.50x1.35)M</t>
  </si>
  <si>
    <t xml:space="preserve">Sun Shades on W3 for Both Sides </t>
  </si>
  <si>
    <t xml:space="preserve">Sun Shades on W4 for Both Sides </t>
  </si>
  <si>
    <t>Supply and Fixing of 25mm dia 2.00 mm thick PVC pipe (ISI MARK) concealed in wall with all required accessories including masonary work  and labour charges etc., complete.</t>
  </si>
  <si>
    <t>BLD-ELEC
-1-4</t>
  </si>
  <si>
    <t>P.V.C. Conduit (Concealed)</t>
  </si>
  <si>
    <t>1.4.2    (a)</t>
  </si>
  <si>
    <t>3.1.3</t>
  </si>
  <si>
    <t>Supply and run of 2 of 22/0.3mm (1.5 Sq.mm) F.R P.V.C. insulated flexible copper cable in existing pipe for mains inlcuding all labour charges etc., complete.</t>
  </si>
  <si>
    <t>3.1.4</t>
  </si>
  <si>
    <t>Supply and run of 2 of 36/0.3mm (2.5 Sq.mm) F.R P.V.C. insulated flexible copper cable in existing pipe for mains inlcuding all labour charges etc., complete.</t>
  </si>
  <si>
    <t>Supply and run of 2 of 36/0.3mm (2.5 Sq.mm)</t>
  </si>
  <si>
    <t>Supply and run of 2 of 36/0.3mm (1.5 Sq.mm)</t>
  </si>
  <si>
    <t>8.2.4</t>
  </si>
  <si>
    <t>40W FTL</t>
  </si>
  <si>
    <t>Sundires and rounding off</t>
  </si>
  <si>
    <t xml:space="preserve">Labour Charges </t>
  </si>
  <si>
    <t>Initial rate
Excluding  S/C</t>
  </si>
  <si>
    <t xml:space="preserve">Lintles on Door and Windows </t>
  </si>
  <si>
    <t xml:space="preserve">Bed Blocks for Doors &amp;windows </t>
  </si>
  <si>
    <t xml:space="preserve">First  Floor  </t>
  </si>
  <si>
    <t>(b) Labour for cutting, bending, shifting to site, tying and placing in position</t>
  </si>
  <si>
    <t>Blacksmith / Bar bender</t>
  </si>
  <si>
    <t xml:space="preserve">Painting to New walls with two coats of snowcem paints of approved brand and shade over base coat of appropriate distemper primer of approved brand making three coats in all to give an even shade after thoroughly brushing the surface to remove all loose powdered materials, including c/c  of all materials, cost of brushes, water to site, etc., &amp; other taxes, all operational, incidental and labour charges such as scaffolding charges, lift charges, curing etc.,complete for finished item of work in all floors for external Walls.(APSS No. 911) </t>
  </si>
  <si>
    <t>10 Sq mm  PVC flexible insulated cable</t>
  </si>
  <si>
    <t>1</t>
  </si>
  <si>
    <t>Manpower</t>
  </si>
  <si>
    <t>Electrician ( Licensed )</t>
  </si>
  <si>
    <t>Lineman Electric / Telephone</t>
  </si>
  <si>
    <t>Miscellaneous</t>
  </si>
  <si>
    <t>4.4.3</t>
  </si>
  <si>
    <t>The R&amp;B Department Proposed Labour, for both piping &amp; wiring considering 40% Labour, for Wire draw. Keeping this, the labour is proposed for wiring 100 RM.</t>
  </si>
  <si>
    <t>14/0.3mm PVC FR flexible copper wire</t>
  </si>
  <si>
    <t>Drilling of 16 Nos through holes of 12mm dia to G.I pipe</t>
  </si>
  <si>
    <t>G.I Nuts, Bolts an Washers</t>
  </si>
  <si>
    <t>Total per Rm</t>
  </si>
  <si>
    <t>Supplying, laying, jointing and testing 101.6 mm SWG SP-1 pipes of ISI make conforming to ISI 651 &amp; 4127 with airtight cement joints in CM 1:5:1 prop.including excavation of trenches and socket pits in any soil (except rock requiring blasting) up to 914.4 mm (3'0") depth and refilling with watering and tamping</t>
  </si>
  <si>
    <t>Supplying, laying, jointing and testing 101.6 mm SWG SP-1 pipes of ISI make conforming to ISI 651 &amp; 4127 with airtight cement joints in CM 1.5:1 prop. Including excavation of trenches and socket pits in any soil (except rock requiring blasting) up to 1524 mm(5'0") depth and refilling with watering and tamping.</t>
  </si>
  <si>
    <t>Sl.
No</t>
  </si>
  <si>
    <t>Name of Component</t>
  </si>
  <si>
    <t>MBG +7</t>
  </si>
  <si>
    <t>MBG +6</t>
  </si>
  <si>
    <t>MBG +8</t>
  </si>
  <si>
    <t>MBG +9</t>
  </si>
  <si>
    <t>MBG +11</t>
  </si>
  <si>
    <t>MBG +10</t>
  </si>
  <si>
    <t>MBG +12</t>
  </si>
  <si>
    <t>MBG +12A</t>
  </si>
  <si>
    <t>MBG +13</t>
  </si>
  <si>
    <t>MBG +14</t>
  </si>
  <si>
    <t>MBG +14 A</t>
  </si>
  <si>
    <t>MBG +15</t>
  </si>
  <si>
    <t>MBG +16</t>
  </si>
  <si>
    <t>MBG +16A</t>
  </si>
  <si>
    <t>MBG +15A</t>
  </si>
  <si>
    <t>MBG +17</t>
  </si>
  <si>
    <t>MBG +18</t>
  </si>
  <si>
    <t>MBG +21</t>
  </si>
  <si>
    <t>MBG +22</t>
  </si>
  <si>
    <t>Plastering 12mm thick double coat in CM (1:5) 8 mm thick base coat and CM (1:3) of 4mm thick top coat with dubara sponge finish including c/c of all materials like cement, sand,water etc., to site, other taxes on all materials, all operational, incidental and labour charges such as mixing mortar, scaffolding charges, lift charges, including cutting of Grooves wherever necessary as directed by Engineer-in-charge, finishing, curing, etc., complete for for finished item of work. (APSS 901,903 &amp; 904) - External Walls</t>
  </si>
  <si>
    <t>B90</t>
  </si>
  <si>
    <t>B91</t>
  </si>
  <si>
    <t xml:space="preserve">Over rooms to the Extent of A1A5 x A1D1  
(3.3*4+0.3) 
</t>
  </si>
  <si>
    <t>Dedcut Steps portion</t>
  </si>
  <si>
    <t>For Slab Projection @ D1-D2</t>
  </si>
  <si>
    <t>For Beams Sides B6</t>
  </si>
  <si>
    <t>For Beams Sides B7</t>
  </si>
  <si>
    <t>For Beams Sides B8</t>
  </si>
  <si>
    <t>For Beams Sides B9</t>
  </si>
  <si>
    <t>Providing independent earthling by excavating a trench to a depth of 2.1 M in all soils, as per size specified in the Data, using 40mm dia 'B' class GI pipe of 2.5 Mtrs length with necessary accessories with hume pipe ring duly providing staggered holes  including filling with equal proportion of Salt and Charcoal in layers and all labour charges etc., complete for small quarters.5.1.1</t>
  </si>
  <si>
    <t>D E T A I L E D     E S T I M A T E</t>
  </si>
  <si>
    <t>110 mm dia 3 M Single Socket PVC/SWR pipe - 4 Kg/sq.cm - Prince/Sudhakar or any ISI Brand</t>
  </si>
  <si>
    <t>Total rate per  3 mt each</t>
  </si>
  <si>
    <t>Rate  per Rmt</t>
  </si>
  <si>
    <t>b)</t>
  </si>
  <si>
    <t>75 mm dia</t>
  </si>
  <si>
    <t>75 mm dia 3 M Single Socket PVC/SWR pipe - 4 Kg/sq.cm - Prince/Sudhakar or any ISI Brand</t>
  </si>
  <si>
    <t>Unit: 10 sqm</t>
  </si>
  <si>
    <t>A. MATERIALS :</t>
  </si>
  <si>
    <t>Gum, conjee water, or prickly pear juice including necessary fire wood</t>
  </si>
  <si>
    <t>L.S</t>
  </si>
  <si>
    <t xml:space="preserve">Total cost for 10 sqm </t>
  </si>
  <si>
    <t>BLD-CSTN-2-10</t>
  </si>
  <si>
    <t>using  20mm metal with hand mixing</t>
  </si>
  <si>
    <t xml:space="preserve">Coarse aggregate  20 mm </t>
  </si>
  <si>
    <t xml:space="preserve">Plain Cement concrete - Nominal Mix (1:3:6)  for Bed Blocks </t>
  </si>
  <si>
    <t>BLD-CSTN-6-1</t>
  </si>
  <si>
    <t>2.1.5</t>
  </si>
  <si>
    <t>20 x 15 cms (8" x6") Decolam sheet covered board</t>
  </si>
  <si>
    <t>Over  septic tank</t>
  </si>
  <si>
    <t>G)</t>
  </si>
  <si>
    <t>Over Head Room</t>
  </si>
  <si>
    <t>H)</t>
  </si>
  <si>
    <t>100 Nos</t>
  </si>
  <si>
    <t>7Nos.</t>
  </si>
  <si>
    <r>
      <t>MBG06.PCC (1:4:8)</t>
    </r>
    <r>
      <rPr>
        <sz val="10"/>
        <rFont val="Trebuchet MS"/>
        <family val="2"/>
      </rPr>
      <t xml:space="preserve"> prop nominal mix (cement:FA:CA) using 40mm size HBG  (SS5) metal from approved quarry (obtained by blasting) including Cost and Conveyance of all materials like cement,sand,CA,water etc. to site, including all operational, incidental,&amp; labour charges such as mixing,laying and ramming CC in layers in position not exceeding 15cm,finishing topsurface,curing concrete, etc,complete for finished item of work for Foundations and Flooring Bed (APSSNo.402)
</t>
    </r>
  </si>
  <si>
    <t>Ist class painter</t>
  </si>
  <si>
    <t>2nd class painter</t>
  </si>
  <si>
    <t>Cost of water proof cement Paint of approved quality</t>
  </si>
  <si>
    <t>Total cost</t>
  </si>
  <si>
    <t>L</t>
  </si>
  <si>
    <t>25% extra for narrow trench &amp; pit and back filling with Sand, Coke, Salt etc., and leveling</t>
  </si>
  <si>
    <t>Mtr</t>
  </si>
  <si>
    <t>Set</t>
  </si>
  <si>
    <t xml:space="preserve">b) labour charges for fixing pipe ring and connections </t>
  </si>
  <si>
    <t>Beams</t>
  </si>
  <si>
    <t>Sunshades 75 mm at fixed end and 50mm at free end</t>
  </si>
  <si>
    <t>DESIGN MIX CONCRETE (WEIGH BATCH at SITE)</t>
  </si>
  <si>
    <t>Supplying &amp; fixing 150 mm x 100 mm SWG gully traps of ISI make conforming to ISI 651 &amp; 4127 with C.I Grating &amp; Constg. Brick masonry in CM 1:6 prop. Intermediate chamber and fitted with  304.8 mm x 288.6mm (12"x9") C.I Frame and hinged cover.</t>
  </si>
  <si>
    <t xml:space="preserve">Lt </t>
  </si>
  <si>
    <t xml:space="preserve">RM </t>
  </si>
  <si>
    <t xml:space="preserve">Per RM </t>
  </si>
  <si>
    <t xml:space="preserve">Supply of SWG junctions (Ts&amp; Ys) confirming to IS standereds with length of barrel 60 cm for 150x150 </t>
  </si>
  <si>
    <t>Per No</t>
  </si>
  <si>
    <t>B 101 Seigniorage Charges</t>
  </si>
  <si>
    <t>B 102 QC charges @0.5%</t>
  </si>
  <si>
    <t>9.7.36</t>
  </si>
  <si>
    <t>23/0060 Twin flat wire</t>
  </si>
  <si>
    <t>35mm Screws</t>
  </si>
  <si>
    <t>8" x10" Decolam Board</t>
  </si>
  <si>
    <t>CSSR-A.05</t>
  </si>
  <si>
    <t xml:space="preserve">Back side </t>
  </si>
  <si>
    <t xml:space="preserve">First Floor </t>
  </si>
  <si>
    <t>(3+2.7)/2</t>
  </si>
  <si>
    <t xml:space="preserve">EXTERNAL SEWERAGE:         Constructing 457.2mm x 457.2mm ( 1'-6" x  1'-6") brick in CM (1:6) prop. Masonry inspection chamber upto 914.4mm (3'-0") and fitted with light weight 457.2mm x 457.2mm ( 1'-6" x  1'-6") C.I. frame and cover of 20Kg. including cost and conveyance of all materials to site, all labour charges, sales and other taxes on all materials etc., complete for finished item of work. a] Depth up to  1.50 mtr          </t>
  </si>
  <si>
    <r>
      <t xml:space="preserve">Supply and fixing of fully panelled  Window  frame and shutters of size 1.50 x 1.35 mt </t>
    </r>
    <r>
      <rPr>
        <sz val="10"/>
        <rFont val="Trebuchet MS"/>
        <family val="2"/>
      </rPr>
      <t>with country wood frame of size 75x100mm and S/F of 4 Nos. MS Hold fasts, incl. all labour charges such as making window frame and shutters and fiXing   10 Nos.of  12 mm square safety bars in to  the frame etc,including applying primory coat, cost and conveyance  of all materials .</t>
    </r>
  </si>
  <si>
    <t>ELEC-5.1.1</t>
  </si>
  <si>
    <t xml:space="preserve">Pumpset Cost </t>
  </si>
  <si>
    <t>Special M.S. clamps with bolts and nuts</t>
  </si>
  <si>
    <t>Sundries and rouding off</t>
  </si>
  <si>
    <t>a) S&amp; F Nominal Bore GI pipe Medium Grade properties &amp; weight as per IS 1239 ISI mark with GI fittings including the cost of pipe &amp; its fittings &amp; labour charges</t>
  </si>
  <si>
    <t>a) S&amp; F 25 mm Nominal Bore GI pipe Medium Grade properties &amp; weight as per IS 1239 ISI mark with GI fittings including the cost of pipe &amp; its fittings &amp; labour charges</t>
  </si>
  <si>
    <t>a) S&amp; F32  mm Nominal Bore GI pipe Medium Grade properties &amp; weight as per IS 1239 ISI mark with GI fittings including the cost of pipe &amp; its fittings &amp; labour charges</t>
  </si>
  <si>
    <t xml:space="preserve">PRI SD  Kalwakurthy </t>
  </si>
  <si>
    <t>PRI  Madgul</t>
  </si>
  <si>
    <t>PRI Div Mahabubnagar</t>
  </si>
  <si>
    <r>
      <t xml:space="preserve">Plain Cement Concrete corresponding to M10 grade as per IS 456 equivalent to (1:3:6) proportion nominal mix </t>
    </r>
    <r>
      <rPr>
        <sz val="10"/>
        <rFont val="Trebuchet MS"/>
        <family val="2"/>
      </rPr>
      <t>(cement: fine aggregate: Coarse aggregate) using 40mm size HBG  (SS5) metal from from approved quarry including cost and conveyance of all materials like cement, sand, coarse aggregate, water etc. to site, including seigniorage charges, Countryes &amp; other taxes on all materials, all operational, incidental and labour charges such as mixing, laying, curing concrete,  etc., complete for finished item of work for</t>
    </r>
    <r>
      <rPr>
        <b/>
        <sz val="10"/>
        <rFont val="Trebuchet MS"/>
        <family val="2"/>
      </rPr>
      <t xml:space="preserve"> Bed Blocks and Hold Fasts </t>
    </r>
    <r>
      <rPr>
        <sz val="10"/>
        <rFont val="Trebuchet MS"/>
        <family val="2"/>
      </rPr>
      <t xml:space="preserve">(APSS No. 402) </t>
    </r>
  </si>
  <si>
    <t>b) Labour charges for erection of pump set including pipe connection for suction &amp; delivery</t>
  </si>
  <si>
    <t>Skilled Fitter</t>
  </si>
  <si>
    <t>Plumber</t>
  </si>
  <si>
    <t>Supply of SWG SP-1 pipe conforming to ISI 651 - 4" dia (101.6mm)</t>
  </si>
  <si>
    <t>Total per 1.00 No</t>
  </si>
  <si>
    <t>Code Miscellaneous</t>
  </si>
  <si>
    <t>Rate per 1 RM</t>
  </si>
  <si>
    <t>1.3.2</t>
  </si>
  <si>
    <t>25mm 1,2,3, &amp; 4 way Junction boxes</t>
  </si>
  <si>
    <t>B9 ( A5-D5)
(8.175+0.23+1.430)</t>
  </si>
  <si>
    <t>B9 ( A5-C5)
(3.915+0.23)</t>
  </si>
  <si>
    <t>B10 ( A7-D7)
(8.175+0.23)</t>
  </si>
  <si>
    <t>MBG +19</t>
  </si>
  <si>
    <t>MBG +20</t>
  </si>
  <si>
    <t>MBG +5</t>
  </si>
  <si>
    <r>
      <t xml:space="preserve">MBG+5 </t>
    </r>
    <r>
      <rPr>
        <sz val="10"/>
        <rFont val="Trebuchet MS"/>
        <family val="2"/>
      </rPr>
      <t>PCC (1:5:10) prop nominal mix (cement: FA: CA) using 40mm size HBG  (SS5) metal from approved quarry including Cost and Conveyance   of all materials like cement, sand, CA, water etc. to site, including all operational, incidental, and labour charges such as mixing, laying and ramming CC in layers in position not exceeding 15cm, finishing top surface, curing concrete, etc., complete for finished item work for Foundations and Flooring Bed (APSSNo.402)</t>
    </r>
  </si>
  <si>
    <t>BLD-CSTN-11-5</t>
  </si>
  <si>
    <t>BLD-CSTN-10-25</t>
  </si>
  <si>
    <t>x</t>
  </si>
  <si>
    <t>cum</t>
  </si>
  <si>
    <t>Footings</t>
  </si>
  <si>
    <t>a</t>
  </si>
  <si>
    <t>b</t>
  </si>
  <si>
    <t>c</t>
  </si>
  <si>
    <t>Sqm</t>
  </si>
  <si>
    <t>Rate</t>
  </si>
  <si>
    <t xml:space="preserve"> </t>
  </si>
  <si>
    <t>Planks</t>
  </si>
  <si>
    <t>labour charges</t>
  </si>
  <si>
    <t>MS Zhold fasts</t>
  </si>
  <si>
    <t>wood primer</t>
  </si>
  <si>
    <t>Add Extra on L.C of centreing</t>
  </si>
  <si>
    <t>Rs</t>
  </si>
  <si>
    <t>CRS Masonry in CM (1:8) 2nd  Sort</t>
  </si>
  <si>
    <t>W3  0.90x1.30 FF</t>
  </si>
  <si>
    <t>Supply and fixing of NP BIP tap indian make 300 grams SSRNo 182</t>
  </si>
  <si>
    <t>Providing &amp; fixing GM gate /ball valve as per IS standards including cost &amp; conveyance of all material to work spot and all labour charges including fixing in position for finished item of work.20 mm dia</t>
  </si>
  <si>
    <t>Room 3
(2*3.07+2*3.80)</t>
  </si>
  <si>
    <t xml:space="preserve">Gents Toiltet </t>
  </si>
  <si>
    <t>Ladies Toilet Room</t>
  </si>
  <si>
    <t>Commen Toilet</t>
  </si>
  <si>
    <t>Front  side</t>
  </si>
  <si>
    <t xml:space="preserve"> Projections</t>
  </si>
  <si>
    <t>Back  side</t>
  </si>
  <si>
    <r>
      <t xml:space="preserve">Plain Cement concrete (1:5:10) using 40 mm metal </t>
    </r>
    <r>
      <rPr>
        <sz val="10"/>
        <rFont val="Trebuchet MS"/>
        <family val="2"/>
      </rPr>
      <t>with Concrete mixture. using 40mm size HBG  (SS5) metal from approved quarry including cost and conveyance of all materials like cement, sand, coarse aggregate, water etc. to site, including seigniorage charges, Countryes &amp; other taxes on all materials, all operational, incidental,  and labor charges such as mixing, laying and ramming concrete in layers in position not exceeding 15cm, finishing top surface, curing concrete,  etc., complete for finished item of work for Foundations and Flooring Bed (APSS No. 402)   All work upto plinth level.</t>
    </r>
  </si>
  <si>
    <t xml:space="preserve">Under the Flooring in the rooms </t>
  </si>
  <si>
    <t>Record Room</t>
  </si>
  <si>
    <t>Computer Room</t>
  </si>
  <si>
    <t>Corridor  Portion</t>
  </si>
  <si>
    <t xml:space="preserve">Gents toilet </t>
  </si>
  <si>
    <t xml:space="preserve">Ladie toilet </t>
  </si>
  <si>
    <t>APO Room</t>
  </si>
  <si>
    <t>PO Room</t>
  </si>
  <si>
    <t>Reception Room</t>
  </si>
  <si>
    <t>Head Room</t>
  </si>
  <si>
    <t xml:space="preserve">Meeting hall </t>
  </si>
  <si>
    <t xml:space="preserve">Reception office </t>
  </si>
  <si>
    <t>Room 1</t>
  </si>
  <si>
    <t>Room 2</t>
  </si>
  <si>
    <t>Room 3</t>
  </si>
  <si>
    <t>Attached Toilet Room</t>
  </si>
  <si>
    <t xml:space="preserve">For Entrance foyer </t>
  </si>
  <si>
    <r>
      <t xml:space="preserve">For Entrance  @ </t>
    </r>
    <r>
      <rPr>
        <b/>
        <sz val="7"/>
        <rFont val="Trebuchet MS"/>
        <family val="2"/>
      </rPr>
      <t>2</t>
    </r>
    <r>
      <rPr>
        <sz val="7"/>
        <rFont val="Trebuchet MS"/>
        <family val="2"/>
      </rPr>
      <t xml:space="preserve"> </t>
    </r>
  </si>
  <si>
    <t xml:space="preserve">Under Plinth Beams </t>
  </si>
  <si>
    <r>
      <t>Dadooing to walls with white glazed tiles 1st. quality of any size of brand as approved by Engineer - in - charge and set over a base coat of CM (1:5</t>
    </r>
    <r>
      <rPr>
        <sz val="10"/>
        <rFont val="Trebuchet MS"/>
        <family val="2"/>
      </rPr>
      <t xml:space="preserve">), 12mm thick and neat cement paste at the rate of 3.3 Kg/Sqmt. and jointed with white cement paste mixed with pigment of matching shade including cost and conveyance of all materials like cement, sand, water, tiles, etc. to site, seigniorage charges, sales and other taxes on all materials, C921 such as mixing of cement mortar, laying in position, curing, lift charges etc., complete for finished item of work  (APSS No.701 &amp; 707) </t>
    </r>
  </si>
  <si>
    <t>Polished Shabad stone (15-18)mmthick
/Cuddupah 40MM stone slab Rs 960/Sqm</t>
  </si>
  <si>
    <t xml:space="preserve">Supply , manufacture,  making to  RCC Jali 50mm thick </t>
  </si>
  <si>
    <t>ELEC-8.1.31</t>
  </si>
  <si>
    <t xml:space="preserve">Supply and fixing of  Country wood Door double shutter  fully panelled door of size 1.50 x 2.0 M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</si>
  <si>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 xml:space="preserve">Supply and fixing of Country wood Door Single shutter  fully panelled door of size 0.75 x 2.0 M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</si>
  <si>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 xml:space="preserve">Supply and fixing of Country wood Door double shutter  fully panelled door of size 0.90 x 2.0 M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</si>
  <si>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Door size 0.90X2.0 M (Frame &amp; Shutters only)</t>
  </si>
  <si>
    <r>
      <t>Supply and fixing of  Country wood Door double shutter  fully panelled door of size 1.05 x 2.0 M</t>
    </r>
    <r>
      <rPr>
        <sz val="10"/>
        <rFont val="Trebuchet MS"/>
        <family val="2"/>
      </rPr>
      <t xml:space="preserve"> with frame made of well seasoned country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r>
  </si>
  <si>
    <r>
      <t>Supply and fixing of  Country  wood Door double shutter  fully panelled door of size 1.20 x 2.0 M</t>
    </r>
    <r>
      <rPr>
        <sz val="10"/>
        <rFont val="Trebuchet MS"/>
        <family val="2"/>
      </rPr>
      <t xml:space="preserve"> with frame made of well seasoned country  Wood scantlings of size 100 x 75mm and shutter made ofmedium teak wood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r>
  </si>
  <si>
    <t>Parapet wall to varndah</t>
  </si>
  <si>
    <t>Science Room</t>
  </si>
  <si>
    <t xml:space="preserve">For ZPHS building </t>
  </si>
  <si>
    <t>Over 6th  Class</t>
  </si>
  <si>
    <t>Over 7th  Class</t>
  </si>
  <si>
    <t>Over office building</t>
  </si>
  <si>
    <r>
      <t xml:space="preserve">Supply and fixing of Window size </t>
    </r>
    <r>
      <rPr>
        <b/>
        <sz val="10"/>
        <rFont val="Trebuchet MS"/>
        <family val="2"/>
      </rPr>
      <t>1.50 x 1.35 m</t>
    </r>
    <r>
      <rPr>
        <sz val="10"/>
        <rFont val="Trebuchet MS"/>
        <family val="2"/>
      </rPr>
      <t>t with sal wood frame of size 75x100mm along with  II class teak wood three shutters made with styles&amp; rails of 100mmx30mm thick with 12mm prelaminated particle board both side laminated interior grade and S/F of 4Nos. MS Hold fasts, 6Nos. MS tower  bolts 100mm long. 6 Nos. MS Hinges 75mm long,2Nos MS Handles 3 Nos window stays. incl. all labour charges such as making window frame &amp; shetter and fiXing 11 Nos. 16mm plain safety bars in to frame etc,</t>
    </r>
  </si>
  <si>
    <t xml:space="preserve">Window W  3'-0"x4'-6"  Shutterz only </t>
  </si>
  <si>
    <t>Only shutters</t>
  </si>
  <si>
    <r>
      <t>Supply and fixing of  salwood Door single shutter   fully pannlled door of size</t>
    </r>
    <r>
      <rPr>
        <b/>
        <sz val="10"/>
        <rFont val="Trebuchet MS"/>
        <family val="2"/>
      </rPr>
      <t xml:space="preserve"> 1.05  x 2.1mt AND </t>
    </r>
    <r>
      <rPr>
        <sz val="10"/>
        <rFont val="Trebuchet MS"/>
        <family val="2"/>
      </rPr>
      <t xml:space="preserve">bottom reeper of size 75x38mm and shutter made of side rails 125mm X38, top rail 125mmX38mm, bottom rail 175mmX38mm and intermediate rails  of 125 x 38 mm and panels -  4 no's are of 25mm thick  as per approved design with fixtures of 6 nos of 9" ' z" holdfasts, 300 mm long aluminium aldrop-1 no,125mm long aluminium   butt hinges 4 No's, Door stoppers-1 no, 150mm long  Tower bolts  - 1no's alumium,  200mm long  Tower bolts  - 1no's alumium,Aluminium fancy  handles 150mm long 1no's,   with necessary screws complete including cost and conveyance of all materials and labour charges etc. complete as per specifications  (APSS NO.1001 &amp; 1002)                                                                                                 </t>
    </r>
  </si>
  <si>
    <t xml:space="preserve">Iron grills </t>
  </si>
  <si>
    <t>Per Kg</t>
  </si>
  <si>
    <t>Class Rooms</t>
  </si>
  <si>
    <t>Varandah</t>
  </si>
  <si>
    <t>Painting to new walls with 2 coats of water proof cement paint of apporved brand and shade over a base coat of approved cement primer grade I making making 3 coats in all to give an even shade after thourughly brushing the surface to remove all dirt and remains of loose powdered materials, including cost and conveyance of all materials to work site and all operational, incidental, labour charges etc. complete for finished item of work as per SS 912 for internal walls</t>
  </si>
  <si>
    <t xml:space="preserve">Inside walls </t>
  </si>
  <si>
    <t>7th Class</t>
  </si>
  <si>
    <t>8th Class</t>
  </si>
  <si>
    <t>9th Class</t>
  </si>
  <si>
    <t>10th Class</t>
  </si>
  <si>
    <t xml:space="preserve">Computer  Room  ceiling </t>
  </si>
  <si>
    <t>Varandah in front  07,08,09</t>
  </si>
  <si>
    <t>Varandah in front 10th Computer Room</t>
  </si>
  <si>
    <t xml:space="preserve">Chajja both </t>
  </si>
  <si>
    <t xml:space="preserve">Varandha side walls </t>
  </si>
  <si>
    <t>varandaface side</t>
  </si>
  <si>
    <t xml:space="preserve">venrandah entablature walls </t>
  </si>
  <si>
    <t xml:space="preserve">varandah parapet </t>
  </si>
  <si>
    <t xml:space="preserve">varandah side walls </t>
  </si>
  <si>
    <t>varadah faces</t>
  </si>
  <si>
    <t xml:space="preserve">varandah entablature walls </t>
  </si>
  <si>
    <t xml:space="preserve">Deductions </t>
  </si>
  <si>
    <t>Doors</t>
  </si>
  <si>
    <t xml:space="preserve">For Back side </t>
  </si>
  <si>
    <t>sides</t>
  </si>
  <si>
    <t>Back side of Comp Room</t>
  </si>
  <si>
    <t>For window chazza s</t>
  </si>
  <si>
    <t xml:space="preserve">for Compound wall </t>
  </si>
  <si>
    <t xml:space="preserve">Grill work </t>
  </si>
  <si>
    <t xml:space="preserve">BLD-CSTN-2-8 
Amnedment 6.2  </t>
  </si>
  <si>
    <t>Taking output : 1 cum</t>
  </si>
  <si>
    <t xml:space="preserve">Water </t>
  </si>
  <si>
    <t xml:space="preserve">Kl </t>
  </si>
  <si>
    <t>Sand of Concrete</t>
  </si>
  <si>
    <t>RCC M- 20 Nominal mix (Cement:fine aggregate: coarse aggregate) corresponding to Table 9 of IS 456 using 20mm size graded machine crushed hard granite metal (coarse aggregate) from approved quarry including cost and conveyance of all materials like cement, Sand of Concrete coarse aggregate, water etc., to site and including  sales &amp; other taxes on all materials including all operational, incidental and labour charges such as machine mixing, laying concrete, curing etc.,complete but excluding cost of steel and its fabrication charges for finished item of work, but excluding  centering, shuttering.</t>
  </si>
  <si>
    <t>Sand of Concrete (Screened )</t>
  </si>
  <si>
    <t xml:space="preserve">BLD-CSTN-2-9
Amnedment Sno 17 &amp; Page13 of CSSR </t>
  </si>
  <si>
    <t xml:space="preserve">Brick Masonry in superstructure with CM (1:8) prop: using second class bricks from approved source having minimum crushing strength of 40 Kg/Sqcm. including cost and conveyance of all materials like cement, sand, bricks, water etc., to site, Excluding seigniorage charges,Including, Countryes &amp; other taxes on all materials, all operational, incidental and labor charges such as mixing cement mortar, constructing masonry, scaffolding charges, lift charges, curing, etc., complete for finished item of work. (APSS No. 501 &amp; 504).                               </t>
  </si>
  <si>
    <t xml:space="preserve">Sand for Concrete </t>
  </si>
  <si>
    <t xml:space="preserve">Sand of Mortor </t>
  </si>
  <si>
    <t>Sand for mortor</t>
  </si>
  <si>
    <t>Sand for concrete</t>
  </si>
  <si>
    <t>Sand for Mortor</t>
  </si>
  <si>
    <t>Rough Kadapah/Shabad stones (40 mm thick) (0.457 x 0.457 m) BMT B.04</t>
  </si>
  <si>
    <t xml:space="preserve">15-18  mm thick polished Shabad stone </t>
  </si>
  <si>
    <t xml:space="preserve">Add extra for lift charges @10% of Labour Chagres </t>
  </si>
  <si>
    <t>25 mm PVC Bends 1.50 mm thick</t>
  </si>
  <si>
    <t>100M</t>
  </si>
  <si>
    <t>40A  D.P.Isolator / ECCB / RCCB</t>
  </si>
  <si>
    <t>Supply and fixing of fully panelled  Window  frame and shutters of size 1.35 x 1.35 mt with Country wood frame of size 75x100mm and S/F of 4 Nos. MS Hold fasts, incl. all labour charges such as making window frame and shutters and fiXing   10 Nos.of  12 mm square safety bars in to  the frame etc,including applying primory coat, cost and conveyance  of all materials .</t>
  </si>
  <si>
    <t>Window size 1.35 X 1.35 m</t>
  </si>
  <si>
    <t>BLD-CSTN-2-7</t>
  </si>
  <si>
    <t xml:space="preserve">Earthwork in excavation Hord Rock (blasting prohibited) up to 3.0 m depth </t>
  </si>
  <si>
    <t>Unit : 10 cum</t>
  </si>
  <si>
    <t xml:space="preserve">b) Machinory </t>
  </si>
  <si>
    <t xml:space="preserve">Air Compressor 210/250Cfm </t>
  </si>
  <si>
    <t xml:space="preserve">hr </t>
  </si>
  <si>
    <t>d</t>
  </si>
  <si>
    <t>2- Jack hammers of Pneumatic breakers @1 Cfm/hr @6hr /breaker</t>
  </si>
  <si>
    <t>As per Errata</t>
  </si>
  <si>
    <t xml:space="preserve">MS Zhold fasts 300mm long 40x40x5 Mm </t>
  </si>
  <si>
    <t xml:space="preserve">                                                                                                                                                                                                                                                                                                                               q</t>
  </si>
  <si>
    <t>Add 13.615 % overhead charges, Contractor profit</t>
  </si>
  <si>
    <t>Slabs of 100 mm thick</t>
  </si>
  <si>
    <t>k</t>
  </si>
  <si>
    <t>Slabs of 125 mm thick</t>
  </si>
  <si>
    <t>TBSC-A.I-01</t>
  </si>
  <si>
    <t>Deduct 13.615 % over head charges</t>
  </si>
  <si>
    <t xml:space="preserve">Loading charges
Excluding 13.615 % Over heads </t>
  </si>
  <si>
    <t xml:space="preserve">Un Loading charges Excluding 13.615 % Over heads </t>
  </si>
  <si>
    <t>TBSC-C.I-01</t>
  </si>
  <si>
    <t>TBSC-R.I-01</t>
  </si>
  <si>
    <t xml:space="preserve"> TBSC-C.III-01</t>
  </si>
  <si>
    <t>TBSC-G.II-04</t>
  </si>
  <si>
    <t>TBSC-G.I-01</t>
  </si>
  <si>
    <t>TBSC-G.II-03</t>
  </si>
  <si>
    <t xml:space="preserve">Cost of Cement Primer </t>
  </si>
  <si>
    <t>TBSC-G.V-01</t>
  </si>
  <si>
    <t>TBSC-G.I-07</t>
  </si>
  <si>
    <t>TBSC-P.I-17</t>
  </si>
  <si>
    <t>TBSC-P.I-15</t>
  </si>
  <si>
    <t>TBSC-P.II-11</t>
  </si>
  <si>
    <t>TBSC-P.IV-9</t>
  </si>
  <si>
    <t>TBSC-P.IX-2</t>
  </si>
  <si>
    <t>TBSC-P.III-5</t>
  </si>
  <si>
    <t xml:space="preserve">Nuts bolts  50MM </t>
  </si>
  <si>
    <t>TBSC -P-I -15</t>
  </si>
  <si>
    <t>TBSC -P-II -10</t>
  </si>
  <si>
    <t>TBSC -P-II -15</t>
  </si>
  <si>
    <t>Add Crushing Charges</t>
  </si>
  <si>
    <t xml:space="preserve">12mm HBG SS5 M/c chips </t>
  </si>
  <si>
    <t>TBSC-B.I-03</t>
  </si>
  <si>
    <t>Add Seign Charges</t>
  </si>
  <si>
    <t>Binding wire VP30</t>
  </si>
  <si>
    <t>Add Hire Charges for Centering on  Scaffolding @ 50% of Labour Charges  of Centering (4.348*96.94  = 421.50)</t>
  </si>
  <si>
    <t>Add Hire Charges for Centering on  Scaffolding @ 50% of Labour Charges  of Centering (4.348*96.94+84.30) =505.80</t>
  </si>
  <si>
    <t>Add Hire Charges for Centering on  Scaffolding @ 50% of Labour Charges  of Centering Rs 193.70</t>
  </si>
  <si>
    <t>Rabbit wire mesh (1.0 M panna for 0.6 M drop) TBSC-EI-12</t>
  </si>
  <si>
    <t>TBSC-B-I-o1</t>
  </si>
  <si>
    <t xml:space="preserve">Ceramic tiles of size 300x300mm  </t>
  </si>
  <si>
    <t>Coloured glazed tiles 200x300/245x325mm</t>
  </si>
  <si>
    <t>Water proof compound</t>
  </si>
  <si>
    <t>Add Hire Charges for Centering on  Scaffolding @ 50% of Labour Charges  of Centering (8.69*96.94+168.48) =1010.88</t>
  </si>
  <si>
    <t>TBSC-G.I-02</t>
  </si>
  <si>
    <t>TBSC-E.I-02</t>
  </si>
  <si>
    <t>TBSC-T.I-16</t>
  </si>
  <si>
    <t xml:space="preserve">Labour Charges for making  </t>
  </si>
  <si>
    <t>TBSC-T.I-17</t>
  </si>
  <si>
    <t>Wood Primer TBSC-G.I-07</t>
  </si>
  <si>
    <t>verticals TBSC-D.V-01</t>
  </si>
  <si>
    <t>shutter verticals TBSC-D.V-002</t>
  </si>
  <si>
    <t>TBSC-P.III-05</t>
  </si>
  <si>
    <t>ELEC-9.1.5</t>
  </si>
  <si>
    <t>TBSC-P.IX-08</t>
  </si>
  <si>
    <t>ELEC-1.4.22</t>
  </si>
  <si>
    <t>Sal wood large scantlings over 2 m and below 3 m in length</t>
  </si>
  <si>
    <t>Supply and fixing of fully panelled  Window  frame and shutters of size 1.80 x 1.35 mt with Country  wood frame of size 75x100mm and S/F of 4 Nos. MS Hold fasts, incl. all labour charges such as making window frame and shutters and fiXing   10 Nos.of  12 mm square safety bars in to  the frame etc,including applying primory coat, cost and conveyance  of all materials .</t>
  </si>
  <si>
    <t>ELEC-9.1.2</t>
  </si>
  <si>
    <t>ELEC-1.5.4</t>
  </si>
  <si>
    <t xml:space="preserve"> 300mm (12") L.D. Exhaust Fan</t>
  </si>
  <si>
    <t>ELEC-9.1.10</t>
  </si>
  <si>
    <t>TBSP-E.I-03</t>
  </si>
  <si>
    <t>Supply &amp; fixing of PVC low level system with internal components &amp; short bend: 10 Litres capacity Single Flush</t>
  </si>
  <si>
    <t>TBSP-H.II-07</t>
  </si>
  <si>
    <t>TBSP-E.II-02</t>
  </si>
  <si>
    <t>S&amp;F of 15 mm brass body CP finish bib tap of not less than300 grams weight screw type (full turn) with internal /external threaded conenction conforming to IS 8931</t>
  </si>
  <si>
    <t>TBSP-F.I-01</t>
  </si>
  <si>
    <t>S&amp;F of 15 mm Brass body  CP Finish bibtap indian make 300 g</t>
  </si>
  <si>
    <t>TBSP-H.II-74</t>
  </si>
  <si>
    <t>TBSP-H.I-03</t>
  </si>
  <si>
    <t>TBSP-H.I-01</t>
  </si>
  <si>
    <t>Supplying &amp; fixing 150 mm x 100 mm SWG gully traps</t>
  </si>
  <si>
    <t>Supplying &amp; fixing 150 mm x 100 mm SWG gully trapsconforming to ISI 651 &amp; 4127 with C.I Grating &amp; Cost. Brick masonry in CM 1:6 prop. Intermediate chamber and fitted with 304.8 mm x 288.6mm (12"x9") C.I Frame and hinged cover</t>
  </si>
  <si>
    <t>TBSP-A.I-09</t>
  </si>
  <si>
    <t>Constructing 904.0 mm (3’0”) dia solid block masonryinspection chamber as per IS - 4111: Part-1:1986 with
cement mortar (1:6) prop using fly-ash blocks of 225 mmthick from approved source having a minimum crushingstrength of 10 N/sq.mm including plastering with cementmortar 1:3 prop; ½” thick both inside and outside fitted with 20” dia RCC manhole covers and frames including excavating pits up to a depth of 904 mm (3'-0") in all sorts of soils (excluding rock) and laying cement concrete (1:4:8) 150 mm thick using 40 mm HBG Metal and P.C.C. 1:2:4 benching and channel 100 mm thick as per Standard specification and including cost and conveyance of all materials like cement, sand, bricks, water etc., to site, cost of seigniorage charges on all materials and all incidental and operational, labour charges like mixing cement mortar,
constructing masonry, lift charges, curing etc., complete for finished item of work as per Standard specification.</t>
  </si>
  <si>
    <t xml:space="preserve">Constructing 904.0 mm (3’0”) dia solid block masonry inspection chamber as per IS - 4111: Part-1:1986 </t>
  </si>
  <si>
    <t>TBSP-B.I-01</t>
  </si>
  <si>
    <t>S&amp;F Polyethylene-Aluminium-Polyethylene (PE-AL-PE) composite pressure pipes conforming to IS-15450-2004 with UV stabilized, carbon black for hot &amp; cold water supply,capable to withstand pressure up to 80 C including all special composite fittings, plastic &amp; brass blend inserts for elbows, tees, reducers, couplers, connectors etc complete for external works including laying pipes, fixing in position,testing and commissioning etc : 20 mm OD pipe</t>
  </si>
  <si>
    <t>TBSP-J.II-02</t>
  </si>
  <si>
    <t>S &amp; F Bronze Gate/ Globe valve as per IS - 778 Class - I,Indian make heavy type - 15 mm NB Size</t>
  </si>
  <si>
    <t>TBSP-G.III-01</t>
  </si>
  <si>
    <t>S &amp; F Bronze Gate/ Globe valve as per IS - 778 Class - I,Indian make heavy type - 20 mm NB Size</t>
  </si>
  <si>
    <t>TBSP-G.III-02</t>
  </si>
  <si>
    <t>TBSP-G.III-03</t>
  </si>
  <si>
    <t>S &amp; F Bronze Gate/ Globe valve as per IS - 778 Class - I,Indian make heavy type - 25 mm NB Size</t>
  </si>
  <si>
    <t xml:space="preserve">S/Fof 31.75  mm dia PVC flexible waste </t>
  </si>
  <si>
    <t>TBSP-H.II-04</t>
  </si>
  <si>
    <t>TBSP-A.I-01</t>
  </si>
  <si>
    <t>TBSP-A.I-02</t>
  </si>
  <si>
    <t xml:space="preserve">Constructing 457.2 mm x 457.2 mm (1'6"x1'6") brick in CM 1:6 prop. Masonry. Inspection chamber up to 914.4 mm  (3'0") and fitted with light weight 457.2 mm x 457.2 mm (1'6"x1'6") C.I frame and cover of 20 Kg.
Inspection chamber up to 914.4 mm (3'0") and fitted with light </t>
  </si>
  <si>
    <t xml:space="preserve"> TBSP-B.II-02</t>
  </si>
  <si>
    <t>ELEC-5.9.1</t>
  </si>
  <si>
    <t>Supplying, laying, jointing and testing 101.6 mm SWG SP-1 pipes of ISI make conforming to ISI 651 &amp; 4127 with airtight cement joints in CM 1:5:1 prop. including excavation of trenches and socket pits in any soil (except rock requiring blasting) up to 914.4 mm (3'0") depth and refilling with watering and tamping.</t>
  </si>
  <si>
    <t>Providing &amp; Placing on Terrace (at all floor levels) polyethylene water storage tank with Double layer
approved brand &amp; manufacture with cover and suitable locking arrangement &amp; making necessary holes for inlet &amp; outlets and over flow pipes but without fittings &amp; base support for tanks</t>
  </si>
  <si>
    <t xml:space="preserve"> polyethylene water storage tank </t>
  </si>
  <si>
    <t>TBSP-H.II-01</t>
  </si>
  <si>
    <t>TBSP-G.I-08</t>
  </si>
  <si>
    <t>TBSP-G.I-09</t>
  </si>
  <si>
    <t>TBSP-G.I-10</t>
  </si>
  <si>
    <t>TBSP-H.II-18</t>
  </si>
  <si>
    <t>TBSP-H.II-16</t>
  </si>
  <si>
    <t>TBSP-H.II-55</t>
  </si>
  <si>
    <t>BSP-E.VI-07</t>
  </si>
  <si>
    <t>Construction of GP Building [Bharat Nirman Rajiv Gandi Seva Kendra (BNRGSK)] at Thakkalapally    (V) of Yacharm (M)</t>
  </si>
  <si>
    <t>Supplying and fixing Gyp Board Suspended regular single layer false ceiling (GS-MFSC-4.1 as per India Gypsum) using 12.5 mm thick Gyp Board conforming to IS 2095 - 1982 fixing to Gyp steel GI perimeter channels of size 20 mm x 27 mm x 30 mm(web) of 0.55 mm thick along the perimeter of ceiling screw fixed to brick work/ partition at 610 mm c/c and suspending the frame work using Intermediate channels (45 mm x 15mm x 15mm x 0.9 mm) from soffit at 1220 mm c/c with ceiling angle (25 mm x 10 mm x 0.55 mm) fixed with GI Cleat and steel expansion fasteners &amp; connecting clip to the ceiling channels (with knurled web of 51.5 mm x 26 mm x 10.5 mm x 0.55 mm) fixed in direction perpendicular to the intermediate channel at 457 mm c/c and fixing the 12.5 mm tapered edge Gypboard with 25 mm drywall screws at 230 mm c/c &amp; jointing and finishing using joint compound and paper tape to have a flush look including filling the tapered &amp; square edges with jointing compound, two coats of drywall topcoat complete for finished item of work as per India Gypsum Ltd specification.</t>
  </si>
  <si>
    <t>UNIT -1 sqm</t>
  </si>
  <si>
    <t>A) Material requirement as per India Gypsum</t>
  </si>
  <si>
    <t xml:space="preserve">1st class Carpentor </t>
  </si>
  <si>
    <t xml:space="preserve">2nd class Carpentor </t>
  </si>
  <si>
    <t>2nd  class painter</t>
  </si>
  <si>
    <t xml:space="preserve">power Saw cutter Hand operated - Operator </t>
  </si>
  <si>
    <t xml:space="preserve">Power drill  Hand operated - Operator </t>
  </si>
  <si>
    <t xml:space="preserve">Unskilled Mazdoor </t>
  </si>
  <si>
    <t xml:space="preserve">power Saw cutter Hand operated - hire charges </t>
  </si>
  <si>
    <t xml:space="preserve">Power drill  Hand operated -  Hire charges </t>
  </si>
  <si>
    <t xml:space="preserve">Scaffolding charges </t>
  </si>
  <si>
    <t xml:space="preserve">B)  Labour charges </t>
  </si>
  <si>
    <t xml:space="preserve">c)  Machinory </t>
  </si>
  <si>
    <t>Gypsum Board tiles of size not less than 0.595 M x
0.595 M of 12.5 mm thick as per IS 2095 -1992</t>
  </si>
  <si>
    <t>Rate Per sqm</t>
  </si>
  <si>
    <t>Supplying and fixing Gyp Board Fine Line Grid false ceiling (GS-FLC-4.6 as per India Gypsum) in size 600 mm x 600 mm using 12.5 mm thick/ 9.5 mm thick Gyp Board sheet tiles of size 595 mm x 595 mm or 595 mm x 1195 mm conforming to IS 2095 - 1982 fixing to Gyp steel Precoated GI wall angle of size 25 mm x 25 mm x of 0.70 mm thick along the perimeter of ceiling screw fixed to brick work/ partition at 610 mm c/c and suspending the frame work using pre-coated GI Tee section (24 mm x 38 mm x 0.7 mm) from soffit at 1220 mm c/c fixed with GI Soffit Cleat, rawl plugs and steel expansion fasteners &amp; connecting clip to the GI T section with 4 mm dia GI Rod with galvanized spring steel level clip of PVC universal holding clips system at 1200 mm c/c and fixing the 12.5 mm / 9.5 mm Gypboard Sheet tiles of size 595 mm x 595 mm or 595 mm x 1195 mm and finishing two coats of drywall topcoat complete for finished item of work as per India Gypsum Ltd specification.</t>
  </si>
  <si>
    <t>GI Precoated Angle - 25 mm x 25 mm x 0.7 mm</t>
  </si>
  <si>
    <t>GI Precoated T Section: 24 mm x 38 mm x 0.7 mm</t>
  </si>
  <si>
    <t>GI Rod - 4 mm Dia Connecting Rod</t>
  </si>
  <si>
    <t xml:space="preserve">Soffit cleats </t>
  </si>
  <si>
    <t>Unservicle holding clips</t>
  </si>
  <si>
    <t>Drywall top coat</t>
  </si>
  <si>
    <t xml:space="preserve">nos </t>
  </si>
  <si>
    <t xml:space="preserve">Liters </t>
  </si>
  <si>
    <t>Providing and applying synthetic plaster putty or plaster of paris putty or lime punning of average 1 to 2 mm thickness over plastered surface to prepare the surface even and smooth after thoroughly brushing the surface to remove all dirt and remains of loose powdered materials, applying emery paper, Sand the surface, clean &amp; wipe off loose dust, applying knifing paste filler by putty knife / muslin pad, air dry for 2 - 3 hrs, sand with 180 and 320 No., emery paper for the surface preparation including cost and conveyance of all materials to work site and all operational, incidental, labour charges etc. complete for finished item of work for Internal walls</t>
  </si>
  <si>
    <t>UNIT -10 sqm</t>
  </si>
  <si>
    <t xml:space="preserve">Synthetic /Plaster of Putty </t>
  </si>
  <si>
    <t xml:space="preserve">kgs </t>
  </si>
  <si>
    <t xml:space="preserve">Rate per 10 Sqm </t>
  </si>
  <si>
    <t>Flooring with high polished granite 16 to 18 mm mm thick slabs other than black set over base coat of cement mortar (1:8), 20 mm thick over CC bed already laid or RCC roof slab, including neat cement slurry of honey like consistency spread @ 3.3.kgs per sqm &amp; jointed neatly with white cement paste mixed with pigment of matching shade to full depth, including cost of all materials like cement, sand water and tilesetc., complete, including seigniorage charges, labour charges for dressing of tilesetc., complete for finished item of work, but excluding the cost of conveyance of all materials</t>
  </si>
  <si>
    <t>High polished granite 16 to 18 mm thick slab other than black</t>
  </si>
  <si>
    <t xml:space="preserve">kg. </t>
  </si>
  <si>
    <t>Seigniorage charges of sand</t>
  </si>
  <si>
    <t>Unit = 184.518 sqm</t>
  </si>
  <si>
    <t>G.I scam bolts &amp; nuts 2 x 27 (laps) x 17 = 884</t>
  </si>
  <si>
    <t>G.I bolts &amp; nuts 20 x 6</t>
  </si>
  <si>
    <t>G.I ‘J’ bolts 8 mm dia 2 x 5 x 27 sheets x 3 nos = 810 nos. with washers or srews, if wooden battens used.</t>
  </si>
  <si>
    <t>Limpet washers (for scam &amp; ‘J’ bolts)          884 + 810 = 1694</t>
  </si>
  <si>
    <t>Bitumen washers</t>
  </si>
  <si>
    <t>Zinc cromate yellow paint</t>
  </si>
  <si>
    <t>litre</t>
  </si>
  <si>
    <t>Ready mixed paint</t>
  </si>
  <si>
    <t>For roofing</t>
  </si>
  <si>
    <t>Carpenter II class</t>
  </si>
  <si>
    <t>Man mazdoor (beldar)</t>
  </si>
  <si>
    <t>For premier painting one coat</t>
  </si>
  <si>
    <t>Mazdoor (coolie)</t>
  </si>
  <si>
    <t>For two coats of painting to over laps</t>
  </si>
  <si>
    <t>Mazdor (coolie)</t>
  </si>
  <si>
    <t>Rate per 1 sqm = Grand Total/10</t>
  </si>
  <si>
    <t>BLD
-CSTN-8-1</t>
  </si>
  <si>
    <t xml:space="preserve">Cement for CM (1:8) for base coat </t>
  </si>
  <si>
    <t>Cement for Pointing with CM (1:3)</t>
  </si>
  <si>
    <t xml:space="preserve">Sand for pointing </t>
  </si>
  <si>
    <t>BLD-CSTN-7-5</t>
  </si>
  <si>
    <t xml:space="preserve">Grand Total  Rate per 10 Sqm </t>
  </si>
  <si>
    <t>Excavation in Hard Rock (blasting prohibited)</t>
  </si>
  <si>
    <t>(A) Manual Means</t>
  </si>
  <si>
    <t>Unit = cum</t>
  </si>
  <si>
    <t>Taking output = 16 cum</t>
  </si>
  <si>
    <t xml:space="preserve"> Mate</t>
  </si>
  <si>
    <t xml:space="preserve"> Mazdoor (Unskilled)</t>
  </si>
  <si>
    <t>Chiseller (Hammer Man)</t>
  </si>
  <si>
    <t>Blacksmith</t>
  </si>
  <si>
    <t>b) Machinery</t>
  </si>
  <si>
    <t>Tipper 5.5 cum capacity, 1 trip per hour</t>
  </si>
  <si>
    <t>Credit for excavated rock found suitable for use @ 50 per cent of excavated quantity</t>
  </si>
  <si>
    <t>c&amp;d) Overheads &amp; Contractors Profit</t>
  </si>
  <si>
    <t>Cost for 16 cum = a+b+c+d</t>
  </si>
  <si>
    <t>Rate per  cum = (a+b+c+d)/16</t>
  </si>
  <si>
    <t>Add Municipal Limits</t>
  </si>
  <si>
    <t>`1</t>
  </si>
  <si>
    <t>Window size 0.90X1.20mts</t>
  </si>
  <si>
    <t>Window size 1.80 X 1.20 m</t>
  </si>
  <si>
    <r>
      <t xml:space="preserve">Supply and fixing of fully panelled  Ventilator frame  of size 0.60 x 0.30 M </t>
    </r>
    <r>
      <rPr>
        <sz val="10"/>
        <rFont val="Trebuchet MS"/>
        <family val="2"/>
      </rPr>
      <t>with country wood frame of size 65 x75 mm and incl. all labour charges such as making window frame and shutters and fiXing   2 Nos.of  10 mm square safety bars in to  the frame etc,including applying primory coat, cost and conveyance  of all materials .</t>
    </r>
  </si>
  <si>
    <t>Window size 0.60 x 0.30 M</t>
  </si>
  <si>
    <t xml:space="preserve">Cost of 10 mm Square Rods </t>
  </si>
  <si>
    <t>2 nos</t>
  </si>
  <si>
    <t>13.4.2(b)</t>
  </si>
  <si>
    <t>Erection charges for  12 Mts to 14Mts long swaged pole including excavation of pit, coil earthing, hire charges of special T&amp;P (Crane)painting  of Pole CC 1:3:6 upto ground and 1:2:4 for Couping work, including labour and transportation charges etc., complete.</t>
  </si>
  <si>
    <t>Pit excavation 2.0x1.0x1.0Mtr</t>
  </si>
  <si>
    <t>1:3:6 CC Work</t>
  </si>
  <si>
    <t>couping  1:2:4</t>
  </si>
  <si>
    <t>Painting with red oxid and alluminum paint.</t>
  </si>
  <si>
    <t>Coil earthing</t>
  </si>
  <si>
    <t>Hire charges for Spl.T&amp;P 20% on labour cost</t>
  </si>
  <si>
    <t>BLD-CSTN-10-7</t>
  </si>
  <si>
    <t>146 269</t>
  </si>
  <si>
    <t>Painting, Priming Coat on New Iron Work</t>
  </si>
  <si>
    <t>Red Oxide Primer</t>
  </si>
  <si>
    <t>v</t>
  </si>
  <si>
    <t xml:space="preserve">Plastic Emulsion paints - Two Coats for  New Iron Work : </t>
  </si>
  <si>
    <t xml:space="preserve">Plastic Emulsion paint (at 20 sqm / litre as per British Paints (I) Ltd. </t>
  </si>
  <si>
    <t xml:space="preserve">Rate per Sqm </t>
  </si>
  <si>
    <t>Rural</t>
  </si>
  <si>
    <t>urban</t>
  </si>
  <si>
    <t>Add extra for Scaffolding Material  Charges  @ Rs 10.32 Sqm</t>
  </si>
  <si>
    <t>Add extra for Scaffolding labour  Charges  @ Rs 75.68 Sqm /108.36 Sqm</t>
  </si>
  <si>
    <t>Add extra for Scaffolding Material  Charges  @ Rs 2.46 Sqm</t>
  </si>
  <si>
    <t>Add extra for Scaffolding labour  Charges  @   Rs 15.15 Sqm / Rs 21.50  Sqm</t>
  </si>
  <si>
    <t>Add extra for Scaffolding Material  Charges  @ Rs 1.03 Sqm</t>
  </si>
  <si>
    <t>Add extra for Scaffolding labour  Charges  @   Rs 7.57  Sqm/ Rs 10.84 Sqm</t>
  </si>
  <si>
    <t>Add extra for Scaffolding labour  Charges  @   Rs 7.57 Sqm /Rs 10.84 Sqm</t>
  </si>
  <si>
    <t>36.a</t>
  </si>
  <si>
    <t>36.c</t>
  </si>
  <si>
    <t>36.b</t>
  </si>
  <si>
    <t>SS
 Item NO</t>
  </si>
  <si>
    <t>33-f</t>
  </si>
  <si>
    <t>33-d</t>
  </si>
  <si>
    <t>33-c</t>
  </si>
  <si>
    <t>Add Hire Charges for Centering on  Scaffolding @10% of Labour Charges  of Centering Rs 0.60x236.00=141.60</t>
  </si>
  <si>
    <t>Add Hire Charges for Centering on  Scaffolding @10% of Labour Charges  of Centering Rs 1812.00</t>
  </si>
  <si>
    <t>Add Hire Charges for Centering on  Scaffolding @10% of Labour Charges  of Centering Rs 2050</t>
  </si>
  <si>
    <t>Add Hire Charges for Centering on  Scaffolding @10% of Labour Charges  of Centering Rs 2110</t>
  </si>
  <si>
    <t>Add Hire Charges for Centering on  Scaffolding @ 10% of Labour Charges  of Centering Rs 108.40</t>
  </si>
  <si>
    <t>Add Hire Charges for Centering on  Scaffolding  @  50% of Labour Charges  of Centering Rs 108.40</t>
  </si>
  <si>
    <t>12.5 / 9.5 mm - Gypsum board Tiles: 595 x 595 mm / 595 x 1195 mm</t>
  </si>
  <si>
    <t>G.I corrugated 0.80 mm thick sheets @ Rs 60/Kg</t>
  </si>
  <si>
    <t>a)  Labour</t>
  </si>
  <si>
    <r>
      <t>Roofing with Supply of Pre-painted Galvalume Trapezoidal Profile Roofing sheets with 0.50mm thickness, Coating: Alu-
Zinc coating AZ150 GSM Tensile Strength: 550 MPA.Paint coating: Regular Modified Polyester painting.Painting hickness (Top): 18 to 20 Microns,(Bottom): 5 to 7 Microns. Sheet Width: 1.020, Length:Maximum 12 Meters with Regular Range Coloursfixed with G.I ‘J’ bolts &amp; nuts 8 mm dia with bitumen &amp; G.I limpet washers filled with white lead &amp; including a coat of approved steel primer and two coats of approved paint on over lapping of sheets complete (up to a pitch of 60</t>
    </r>
    <r>
      <rPr>
        <vertAlign val="superscript"/>
        <sz val="9"/>
        <rFont val="Trebuchet MS"/>
        <family val="2"/>
      </rPr>
      <t>0</t>
    </r>
    <r>
      <rPr>
        <sz val="9"/>
        <rFont val="Trebuchet MS"/>
        <family val="2"/>
      </rPr>
      <t>) and eigniorage charges, etc., complete, excluding the cost of purlins, rafters, trusses &amp; cost of conveyance of all materials</t>
    </r>
  </si>
  <si>
    <r>
      <t>Flooring with vitrified tiles of 1</t>
    </r>
    <r>
      <rPr>
        <b/>
        <vertAlign val="superscript"/>
        <sz val="9"/>
        <rFont val="Trebuchet MS"/>
        <family val="2"/>
      </rPr>
      <t>st</t>
    </r>
    <r>
      <rPr>
        <b/>
        <sz val="9"/>
        <rFont val="Trebuchet MS"/>
        <family val="2"/>
      </rPr>
      <t xml:space="preserve"> quality, set over base coat of cement mortar (1:8), 12 mm thick over CC bed already laid or RCC roof slab, including neat cement slurry of honey like consistency spread @ 3.3.kgs per sqm &amp; jointed neatly with white cement paste to full depth mixed with pigment of matching shade, including cost of all materials like cement, sand water and tiles etc., complete, including seigniorage charges, etc., complete for finished item of work, but excluding the cost of conveyance of all materials.</t>
    </r>
  </si>
  <si>
    <r>
      <t>Vitrified tiles of 1</t>
    </r>
    <r>
      <rPr>
        <vertAlign val="superscript"/>
        <sz val="9"/>
        <rFont val="Trebuchet MS"/>
        <family val="2"/>
      </rPr>
      <t>st</t>
    </r>
    <r>
      <rPr>
        <sz val="9"/>
        <rFont val="Trebuchet MS"/>
        <family val="2"/>
      </rPr>
      <t xml:space="preserve"> quality of size 400x400</t>
    </r>
  </si>
  <si>
    <r>
      <t xml:space="preserve">Excavation for roadway in hard rock (blasting prohibited) with rock breakers including breaking rock, loading in tippers and disposal </t>
    </r>
    <r>
      <rPr>
        <b/>
        <sz val="8"/>
        <rFont val="Trebuchet MS"/>
        <family val="2"/>
      </rPr>
      <t xml:space="preserve">with initial lift of 3 mts </t>
    </r>
    <r>
      <rPr>
        <sz val="8"/>
        <rFont val="Trebuchet MS"/>
        <family val="2"/>
      </rPr>
      <t>and lead upto 1000 metres, trimming bottom and side slopes in accordance with requirements of lines, grades and cross- sections as per Technical Specification Clause 302.3.5 MORD / 301 MORTH</t>
    </r>
  </si>
  <si>
    <t>TBSC-K.II-18</t>
  </si>
  <si>
    <t xml:space="preserve">Supply and fixing of  Salwood Door double shutter  fully panelled door of size 1.05 x 2.1mt with frame made of well seasoned Sal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</si>
  <si>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 xml:space="preserve">Supply and fixing of  Sal wood Door double shutter  fully panelled door of size 1.20 x 2.1mt with frame made of well seasoned Sal Wood scantlings of size 100 x 75mm and shutter made ofmedium teak wood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</si>
  <si>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Supply and fixing of fully panelled  Window  frame and shutters of size 0.90 x 1.35 mt with Salwood frame of size 75x100mm and S/F of 4 Nos. MS Hold fasts, incl. all labour charges such as making window frame and shutters and fiXing   10 Nos.of  12 mm square safety bars in to  the frame etc,including applying primory coat, cost and conveyance  of all materials .</t>
  </si>
  <si>
    <t>Supply and fixing of fully panelled  Window  frame and shutters of size 1.20 x 1.35 mt with Salwood frame of size 75x100mm and S/F of 4 Nos. MS Hold fasts, incl. all labour charges such as making window frame and shutters and fiXing   10 Nos.of  12 mm square safety bars in to  the frame etc,including applying primory coat, cost and conveyance  of all materials .</t>
  </si>
  <si>
    <t>Supply and fixing of fully panelled  Window  frame and shutters of size 1.50 x 1.35 mt with Salwood frame of size 75x100mm and S/F of 4 Nos. MS Hold fasts, incl. all labour charges such as making window frame and shutters and fiXing   10 Nos.of  12 mm square safety bars in to  the frame etc,including applying primory coat, cost and conveyance  of all materials .</t>
  </si>
  <si>
    <t>Supply and fixing of fully panelled  Window  frame and shutters of size 1.35 x 1.35 mt with Salwood frame of size 75x100mm and S/F of 4 Nos. MS Hold fasts, incl. all labour charges such as making window frame and shutters and fiXing   10 Nos.of  12 mm square safety bars in to  the frame etc,including applying primory coat, cost and conveyance  of all materials .</t>
  </si>
  <si>
    <t>Supply and fixing of fully panelled  Window  frame and shutters of size 1.80 x 1.35 mt with Sal wood frame of size 75x100mm and S/F of 4 Nos. MS Hold fasts, incl. all labour charges such as making window frame and shutters and fiXing   10 Nos.of  12 mm square safety bars in to  the frame etc,including applying primory coat, cost and conveyance  of all materials .</t>
  </si>
  <si>
    <t>Supply and fixing of fully panelled  Window  frame and shutters of size 1.20 x 1.20 M with Salwood frame of size 75x100mm and S/F of 4 Nos. MS Hold fasts, incl. all labour charges such as making window frame and shutters and fiXing   10 Nos.of  12 mm square safety bars in to  the frame etc,including applying primory coat, cost and conveyance  of all materials .</t>
  </si>
  <si>
    <t>Supply and fixing of fully panelled  Ventilator frame  of size 0.60 x 0.30 M with Salwood frame of size 65 x75 mm and incl. all labour charges such as making window frame and shutters and fiXing   2 Nos.of  10 mm square safety bars in to  the frame etc,including applying primory coat, cost and conveyance  of all materials .</t>
  </si>
  <si>
    <t xml:space="preserve">Supply and fixing ofMedium Teakwood Door Single shutter  fully panelled door of size 0.75 x 2.1mt with frame made of well seasonedMedium Teak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</si>
  <si>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 xml:space="preserve">Supply and fixing of Medium Teakwood Door double shutter  fully panelled door of size 1.05 x 2.1mt with frame made of well seasonedMedium Teak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</si>
  <si>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 xml:space="preserve">Supply and fixing of Medium Teak wood Door double shutter  fully panelled door of size 1.20 x 2.1mt with frame made of well seasonedMedium Teak Wood scantlings of size 100 x 75mm and shutter made ofmediumMedium Teak wood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</si>
  <si>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Supply and fixing of fully panelled  Window  frame and shutters of size 0.90 x 1.35 mt withMedium Teakwood frame of size 75x100mm and S/F of 4 Nos. MS Hold fasts, incl. all labour charges such as making window frame and shutters and fiXing   10 Nos.of  12 mm square safety bars in to  the frame etc,including applying primory coat, cost and conveyance  of all materials .</t>
  </si>
  <si>
    <t>Supply and fixing of fully panelled  Window  frame and shutters of size 1.20 x 1.35 mt withMedium Teakwood frame of size 75x100mm and S/F of 4 Nos. MS Hold fasts, incl. all labour charges such as making window frame and shutters and fiXing   10 Nos.of  12 mm square safety bars in to  the frame etc,including applying primory coat, cost and conveyance  of all materials .</t>
  </si>
  <si>
    <t>Supply and fixing of fully panelled  Window  frame and shutters of size 1.50 x 1.35 mt withMedium Teakwood frame of size 75x100mm and S/F of 4 Nos. MS Hold fasts, incl. all labour charges such as making window frame and shutters and fiXing   10 Nos.of  12 mm square safety bars in to  the frame etc,including applying primory coat, cost and conveyance  of all materials .</t>
  </si>
  <si>
    <t>Supply and fixing of fully panelled  Window  frame and shutters of size 1.35 x 1.35 mt withMedium Teakwood frame of size 75x100mm and S/F of 4 Nos. MS Hold fasts, incl. all labour charges such as making window frame and shutters and fiXing   10 Nos.of  12 mm square safety bars in to  the frame etc,including applying primory coat, cost and conveyance  of all materials .</t>
  </si>
  <si>
    <t>Supply and fixing of fully panelled  Window  frame and shutters of size 1.80 x 1.35 mt withMedium Teak wood frame of size 75x100mm and S/F of 4 Nos. MS Hold fasts, incl. all labour charges such as making window frame and shutters and fiXing   10 Nos.of  12 mm square safety bars in to  the frame etc,including applying primory coat, cost and conveyance  of all materials .</t>
  </si>
  <si>
    <t>Supply and fixing of fully panelled  Window  frame and shutters of size 1.20 x 1.20 M withMedium Teakwood frame of size 75x100mm and S/F of 4 Nos. MS Hold fasts, incl. all labour charges such as making window frame and shutters and fiXing   10 Nos.of  12 mm square safety bars in to  the frame etc,including applying primory coat, cost and conveyance  of all materials .</t>
  </si>
  <si>
    <t>Supply and fixing of fully panelled  Ventilator frame  of size 0.60 x 0.30 M withMedium Teakwood frame of size 65 x75 mm and incl. all labour charges such as making window frame and shutters and fiXing   2 Nos.of  10 mm square safety bars in to  the frame etc,including applying primory coat, cost and conveyance  of all materials .</t>
  </si>
  <si>
    <t>Door size 0.75X2.0 M</t>
  </si>
  <si>
    <t xml:space="preserve">Cost of Shutters 0.75m x2.0 M </t>
  </si>
  <si>
    <t>6A 2 way Ceiling Rose</t>
  </si>
  <si>
    <t xml:space="preserve">6A 2 way Ceiling Rose </t>
  </si>
  <si>
    <t>Supply and run of 2 of 22/0.3mm (1.5 Sq.mm) F.R P.V.C. insulated flexible copper cable in existing pipe for mains inlcuding all labour charges etc., complete. Of (Anchor, Sudhakar, Gold stone)</t>
  </si>
  <si>
    <t xml:space="preserve">Supply and run of 2 of 36/0.3mm (2.5 Sq.mm) F.R P.V.C. insulated flexible copper cable in existing pipe for mains inlcuding all labour charges etc., complete.(Anchor, Sudhakar, Gold stone, and Poly cab, Gloster) </t>
  </si>
  <si>
    <t xml:space="preserve">Supply and run of 2 of 56/0.3mm (4 Sq.mm) FR  P.V.C. insulated flexible copper cable in existing pipe for mains inlcuding all labour charges etc., complete..and as per 3.1.5  of Sta  revised data of BLD -ELEC-3.1.5(Anchor, Sudhakar, Gold stone, and Poly cab, Gloster) </t>
  </si>
  <si>
    <t xml:space="preserve">16A Switch ( Anchor/ Gold Medal Olive /HPL) make </t>
  </si>
  <si>
    <t>Supply and Transportation of 1x36/40W box type tube light luminaire with copper / VPIT Choke, condensor, starters etc.,  and 1No 36/40W tube etc., complete.and as per 8.2.2  of Sta  revised data of BLD -ELEC-8.2.2 ( Wipro /phillips/Crompton/Bajaj)</t>
  </si>
  <si>
    <t>1x40 Patty type T.L. fitting</t>
  </si>
  <si>
    <t>SPN 4way D.B with IP-20 Protection suitable for single phase ECCB / RCCB/ DP Isolator  of Make Legrand / Schneider / Siemens / L&amp;T</t>
  </si>
  <si>
    <t>2nd  Class Mason</t>
  </si>
  <si>
    <t>Painter 2nd  class</t>
  </si>
  <si>
    <t>Window size 1.20 x 1.20mts</t>
  </si>
  <si>
    <t xml:space="preserve">Window size1.20 x 1.20 mts (Frame only) </t>
  </si>
  <si>
    <t xml:space="preserve">Side walls </t>
  </si>
  <si>
    <t>BASIC COST per 1 Sqm'</t>
  </si>
  <si>
    <t>Rate per Sqm</t>
  </si>
  <si>
    <t>13.4.7</t>
  </si>
  <si>
    <t>Fabrication, supply and fixing of luminaire carriage, made with 50mm dia M.S. 'B' class pipe, moulded to 6 feet dia ring wheel, and 40mm dia M.S support pieces on 4 sides inside the wheel and necessary size of M.S pole cap for fixing the ring wheel on the 156mm dia M.S. pole for fixing floodlight and gear box with suitable nut &amp; bolts and painted with Red Oxide and Aluminium paint including cost &amp; conveyance of all materials etc., complete.</t>
  </si>
  <si>
    <t>50mm 'B' class MS pipe of 5.7mts (1Mt=5.106Kgs)</t>
  </si>
  <si>
    <t>40mm 'B' glass pipe MS pipe of 3.6Mtr (1Mt=3.61Kgs)</t>
  </si>
  <si>
    <t>200mm MS pipe  for pole cap.C-Class (heavy) 0.3Mts (1Mt=31Kgs)</t>
  </si>
  <si>
    <t>Special bolts and nuts 6" length.</t>
  </si>
  <si>
    <t>Painting with red oxide and enamel paint etc.,</t>
  </si>
  <si>
    <t>Job</t>
  </si>
  <si>
    <t>Fitter</t>
  </si>
  <si>
    <t>Note :  Labour is Considered for 2 jobs / day</t>
  </si>
  <si>
    <t>Elec- 10.7.48</t>
  </si>
  <si>
    <t xml:space="preserve"> 200x300/245x325mm</t>
  </si>
  <si>
    <t>Coloured glazed tiles 300x450/320x400 mm</t>
  </si>
  <si>
    <t>400X400</t>
  </si>
  <si>
    <t xml:space="preserve"> Page no in soft copy </t>
  </si>
  <si>
    <t xml:space="preserve">Bar Bendar/Cl-1 Carpenter </t>
  </si>
  <si>
    <t>Skilled Mason /Concrete operater</t>
  </si>
  <si>
    <t>2nd  Class - (Painter /Plumber /Carpenter) Helper</t>
  </si>
  <si>
    <t xml:space="preserve">1st Cl ( Painter/Plumber) </t>
  </si>
  <si>
    <t xml:space="preserve"> TBSC-C.III-02</t>
  </si>
  <si>
    <t>TBSC-Q.II-02</t>
  </si>
  <si>
    <t>881 
BMM-V.15</t>
  </si>
  <si>
    <t>TBSC-K.I-01</t>
  </si>
  <si>
    <t>TBSC-K.II-05</t>
  </si>
  <si>
    <t>TBSC-K.II-07</t>
  </si>
  <si>
    <t>TBSC-G.I-03</t>
  </si>
  <si>
    <t>ELEC-1.1.11 B</t>
  </si>
  <si>
    <t>25mm dia 1.80 mm thick PVC pipe</t>
  </si>
  <si>
    <t xml:space="preserve">saddles with base 25 mm </t>
  </si>
  <si>
    <t>25mm dia heavy grade  PVC pipe</t>
  </si>
  <si>
    <t>ELEC-1.2.1b</t>
  </si>
  <si>
    <t>25mm dia Heavy  grade thick PVC pipe</t>
  </si>
  <si>
    <t>14/0.3mm PVC FR flexible copper wire
Finolex / RR kabel / Havells / APAR EBXL / KEI / L&amp;T / Vguard</t>
  </si>
  <si>
    <t>22/0.3mm FR PVC copper wireFinolex / RR kabel / Havells / APAR EBXL / KEI / L&amp;T / Vguard</t>
  </si>
  <si>
    <t>ELEC-1.5.1 C</t>
  </si>
  <si>
    <t>36/0.3mm (2.5 sqmm) FR PVC copper wire Finolex / RR kabel / Havells / APAR EBXL / KEI / L&amp;T / Vguard</t>
  </si>
  <si>
    <t>56 /0.3mm (4 sqmm)FR PVC flexible copper wire.  Finolex / RR kabel / Havells / APAR EBXL / KEI / L&amp;T / Vguard</t>
  </si>
  <si>
    <t>ELEC-1.7.1d</t>
  </si>
  <si>
    <t>ELEC-1.7.1a</t>
  </si>
  <si>
    <t xml:space="preserve">ELEC-1.4.2d </t>
  </si>
  <si>
    <t>ELEC-1.7.1J</t>
  </si>
  <si>
    <t>ELEC-1.4.2d</t>
  </si>
  <si>
    <t>6A 3 pin / 6A 3pin Plug socket with indicator lamp, fuse unit (5 in 1) (18+24 )Anchor/HPL</t>
  </si>
  <si>
    <t>ELEC-1.7.1 (d+e)</t>
  </si>
  <si>
    <t>Supply of 48" (1200mm) 5 star rated Sweep ISI mark Ceiling Fan as per IS 374 - 1979 Makes : Crompton / Havells / Orient</t>
  </si>
  <si>
    <t xml:space="preserve">ELEC-1.7.1L </t>
  </si>
  <si>
    <t>Supply of fresh air exhaust fan of light duty 250V A.C.50Hz..  300mm size (12") 1350 R.P.M Metallic body plastic blades, wire mesh, etc., complete.and as per 9.7.16  of Sta  revised data of BLD -ELEC-9.7.16 Crompten/Bajaj</t>
  </si>
  <si>
    <t>ELEC-9.1.29</t>
  </si>
  <si>
    <t>ELEC-1.4.3 e</t>
  </si>
  <si>
    <t>Supply of Supply of (8+12) 4 Way TPN DB Horizontal with IP 20, 12 Nos Protection as per IS:13032 and suitable foS.P. out goings and for 1 No 4 pole Incommer (FP Isolator / MCB) etc complete  Makes : Legrand / Schneider / Siemens / L&amp;T / Cabtree Xpro</t>
  </si>
  <si>
    <t>ELEC-9.4.17</t>
  </si>
  <si>
    <t>ELEC-9.4.20</t>
  </si>
  <si>
    <t>ELEC-9.1.11</t>
  </si>
  <si>
    <t>1.0 HP, Single Phase  15 stage submerisible pump set including all taxes of Kirloskar</t>
  </si>
  <si>
    <t>TBSC-P.IV-09</t>
  </si>
  <si>
    <t>TBSC-P.IX-02</t>
  </si>
  <si>
    <t>ELEC-9.1.6</t>
  </si>
  <si>
    <t>D E T A I L E D     D A T A S    S S R  -  2018-19</t>
  </si>
  <si>
    <t xml:space="preserve">   Supplying &amp; Fixing Indian make Flat Back Wash Hand Basin 1st quality conforming to IS:2556-Part-4:1972 with waste fittings like rubber plug, chain, 32 mm nominal size C.P. Fitting with parallel pipe thread conforming to IS:2963-1979 and fitted with 15 mm nominal  bore Chromium Plated Pillar Tap of 1st quality Indian make 400 grams Seiko/ Senior/ Nice/Esso or equivalent complete with standard CI brackets including wooden block: 450 x 300 mm - Double C.P. Pillar cock</t>
  </si>
  <si>
    <t xml:space="preserve">Flush Door Shutter </t>
  </si>
  <si>
    <t xml:space="preserve">Supply and fixing of Country wood frame with fully panelled door of size 0.90 x 2.1mt with frame made of well seasoned country  Wood scantlings of size 100 x 75mm and shutter made of Flush Door Shutter with commercial ply on one side  with fixtures of  6 nos of 9" ' z" holdfasts, 300 mm long MS Iron coted aldrop-1 no, 125mm long MS iron   butt hinges 6 No's, Door stoppers-1 no, 150mm long MS coated  Tower bolts  2- no's  MS iron coated  fancy  handles 150 mm -2 nos    with necessary screws complete including cost and conveyance of all materials and labour charges etc. complete as per specifications  (APSS NO.1001 &amp; 1002)                                                                                                 </t>
  </si>
  <si>
    <t xml:space="preserve">     </t>
  </si>
  <si>
    <t>w</t>
  </si>
  <si>
    <t>`````````````````````````````````````````````````````````````````````````````````````````````````````````````````````````````````````````````````````````````````````````````````````````````````````````````````````````````````````````````````````````````````````````````````````````````````````````````````````````````````````````````````````````````````````````````````````````````````````</t>
  </si>
  <si>
    <t>Painting with Synthetic Enamel paints - Two Coats - for old  Wood Work</t>
  </si>
  <si>
    <t xml:space="preserve">                                          </t>
  </si>
  <si>
    <t xml:space="preserve">Add 12% GST </t>
  </si>
  <si>
    <t xml:space="preserve">Plastic Emulsion paints -  Over Prime coat  Two Coats for  New Iron Work : </t>
  </si>
  <si>
    <t>Door size1.05 X2.0 M (Frame only)</t>
  </si>
  <si>
    <t xml:space="preserve">  </t>
  </si>
  <si>
    <t xml:space="preserve">                                                                                                                                                                                                                                                                                                                                                                                                                                                                                                                                                                                                                                                                                                                                                                                                                                                                                                                                                                                                                                                                                                                                                                                                                                                                                                                                                                                                                                                                                                                                                                </t>
  </si>
  <si>
    <t>Supply and fixing of fully panelled  Window  frame and shutters of size 1.20 x 1.20 mt with Salwood frame of size 75x100mm and S/F of 4 Nos. MS Hold fasts, incl. all labour charges such as making window frame and shutters and fiXing   10 Nos.of  12 mm square safety bars in to  the frame etc,including applying primory coat, cost and conveyance  of all materials .</t>
  </si>
  <si>
    <t>Window size 1.20 x 1.20 mts</t>
  </si>
  <si>
    <t>Window size 1.50  x 1.20mts</t>
  </si>
  <si>
    <t>Add Hire Charges for Centering on  Scaffolding @10% of Labour Charges  of Centering Rs 1696</t>
  </si>
  <si>
    <t>Add Hire Charges for Centering on  Scaffolding @10% of Labour Charges  of Centering Rs 2381.00</t>
  </si>
  <si>
    <t>Add Hire Charges for Centering on  Scaffolding @10% of Labour Charges  of Centering Rs 1998</t>
  </si>
  <si>
    <t>Add Hire Charges for Centering on  Scaffolding @10% of Labour Charges  of Centering Rs 2260</t>
  </si>
  <si>
    <t>Add Hire Charges for Centering on  Scaffolding @10% of Labour Charges  of Centering Rs 2330</t>
  </si>
  <si>
    <t>Add Hire Charges for Centering on  Scaffolding @10% of Labour Charges  of Centering Rs 0.60x260.00=156.00</t>
  </si>
  <si>
    <t>Add extra for Scaffolding labour  Charges  @ Rs 83.43 Sqm /119.47 Sqm</t>
  </si>
  <si>
    <t>Add extra for Scaffolding labour  Charges  @   Rs 16.71 Sqm / Rs 23.70  Sqm</t>
  </si>
  <si>
    <t>Add Hire Charges for Centering on  Scaffolding @ 10% of Labour Charges  of Centering Rs 119.50</t>
  </si>
  <si>
    <t>Add Hire Charges for Centering on  Scaffolding  @  50% of Labour Charges  of Centering Rs 119.500</t>
  </si>
  <si>
    <t>Add extra for Scaffolding labour  Charges  @ Rs 83.43 Sqm /  119.47 Sqm</t>
  </si>
  <si>
    <t>Add Hire Charges for Centering on  Scaffolding @ 50% of Labour Charges  of Centering (8.69*725.01+415.28 ) =1453.47</t>
  </si>
  <si>
    <t xml:space="preserve">Painting, Priming Coat on New Plastered Surface  for Exterior walls </t>
  </si>
  <si>
    <t>TBSC-G.III-03</t>
  </si>
  <si>
    <t xml:space="preserve">S&amp;F of pre-cast RCC Grills of any design of  50 mm thick manufactured with M-30 grade of concrete using vibro-compaction process using joint less FRP moulds to achieve shutteringfinish and adequately reinforced for long use and to prevent damage during handling, transportation &amp; erectionetc., </t>
  </si>
  <si>
    <t>TBSC-K.II-23</t>
  </si>
  <si>
    <t>TBSC-K.II-15</t>
  </si>
  <si>
    <t>TBSC-K.II-17</t>
  </si>
  <si>
    <t>TBSC-K.II-22</t>
  </si>
  <si>
    <t>TBSC-K.II-21</t>
  </si>
  <si>
    <t>Flooring with High Polished Granite 16 to 18 mm thick up to
8'-00 (2.43 M) other than black and regular coloursset over base coat of cement mortar (1:8), 20 mm thick over CC bed already laid or RCC roof slab, including neat cement slurry of honey like consistency spread @ 3.3.kgs per sqm &amp; jointed neatly with white cement paste mixed with pigment of matching shade to full depth, including cost of all materials like cement, sand water and tilesetc., complete, including seigniorage charges, labour charges for dressing of tilesetc., complete for finished item of work, but excluding the cost of conveyance of all materials</t>
  </si>
  <si>
    <t>TBSC-D.VI-04</t>
  </si>
  <si>
    <t>ELEC-1.2.2 b</t>
  </si>
  <si>
    <t>ELEC-1.4.4-d</t>
  </si>
  <si>
    <t>ELEC-1.2.1-b</t>
  </si>
  <si>
    <t>292 -m</t>
  </si>
  <si>
    <t>ELEC-9.4.14</t>
  </si>
  <si>
    <t>ELEC-1.7.1-A</t>
  </si>
  <si>
    <t>ELEC-9.2.8</t>
  </si>
  <si>
    <t>ELEC-1.5.1 A</t>
  </si>
  <si>
    <t>ELEC-1.5.1 B</t>
  </si>
  <si>
    <t>ELEC-3.8.4</t>
  </si>
  <si>
    <t>screws with rawal plugs (1.00+0.33)</t>
  </si>
  <si>
    <t>ELEC-1.5.6 i</t>
  </si>
  <si>
    <t>ELEC-1.4.2 e</t>
  </si>
  <si>
    <t>ELEC-1.7.1-h</t>
  </si>
  <si>
    <t>ELEC-3.3.5</t>
  </si>
  <si>
    <t xml:space="preserve">Supply of 75W Electronic ballast having &lt; 3W
loss, PF &gt; 0.90, THD &lt; 15% </t>
  </si>
  <si>
    <t>Supply and fixing of street Light  of 75W Electronic ballast having &lt; 3Wloss, PF &gt; 0.90, THD &lt; 15% with 3 years guaranteeMakes : Phillips / Whipro / Trinic / GE..including fixing  to the wall with 1.0 Mtr., 25mm dia GI pipe bracket and anti tilting MS flat etc., including giving connections and labour charges etc.completand with 3 years guaranteeMakes : Phillips / Whipro / Trinic / GE.</t>
  </si>
  <si>
    <t>ELEC-9.4.21</t>
  </si>
  <si>
    <t>ELEC-9.4.23</t>
  </si>
  <si>
    <t>ELEC-5.5.1-d</t>
  </si>
  <si>
    <t>S&amp;F premium make CPVC Pipes of 15.90mm OD Pipe- SDR 13.5</t>
  </si>
  <si>
    <t>S&amp;F premium make CPVC Pipes of 22.20mm OD Pipe- SDR 13.5</t>
  </si>
  <si>
    <t>S&amp;F premium make CPVC Pipes of 28.60mm OD Pipe- SDR 13.5</t>
  </si>
  <si>
    <t>S&amp;F premium make CPVC Pipes of 34.90 mm OD Pipe- SDR 13.5</t>
  </si>
  <si>
    <t>TBSC-P.II-10</t>
  </si>
  <si>
    <t>TBSC-P.II-15</t>
  </si>
  <si>
    <t xml:space="preserve">Window size 0.90X1.20mts (Frame only) </t>
  </si>
  <si>
    <t>DATA FOR WOOD WORK WITH 2019-20 ( Country Wood )</t>
  </si>
  <si>
    <t>DATA FOR WOOD WORK WITH 2019-20 ( Country  Wood )</t>
  </si>
  <si>
    <t>DATA FOR WOOD WORK WITH 2019-20 (Teak  Wood )</t>
  </si>
  <si>
    <t>Bond Stones 7Nos( 0.25 x 0.25 x 0.45-0.60 )</t>
  </si>
  <si>
    <t>TBSC-G.III-01</t>
  </si>
  <si>
    <t>Rate/Sqm</t>
  </si>
  <si>
    <t>TBSC-D.VI-14</t>
  </si>
  <si>
    <t>TBSC-D.VI-15</t>
  </si>
  <si>
    <t>TBSC-D.VI-16</t>
  </si>
  <si>
    <t>TBSC-D.VI-18</t>
  </si>
  <si>
    <t>TBSC-D.VI-19</t>
  </si>
  <si>
    <t xml:space="preserve"> TBSC-G.I-06</t>
  </si>
  <si>
    <t>TBSC-G.I-05</t>
  </si>
  <si>
    <t>sq inch</t>
  </si>
  <si>
    <t xml:space="preserve">32 A Fuses,240 V Porcelain fuse </t>
  </si>
  <si>
    <t>ELEC-9.4.15b</t>
  </si>
  <si>
    <t xml:space="preserve">                                                                                                                                                                                                                                                                                                                                                                                                                                                                                                                                                                                                                                                                                                                                                                                                                                                                                                                                                                                                                                                                                                                                                                                                                                    </t>
  </si>
  <si>
    <t xml:space="preserve">Footings </t>
  </si>
  <si>
    <t>`</t>
  </si>
  <si>
    <t xml:space="preserve">Supply of synthetic polymer luxury plastic emulsion / solvent based lustre paint of superior grade having VOC (Volatile Organic Compound ) content less than 50 grams/ Lit. </t>
  </si>
  <si>
    <t xml:space="preserve">TBSC-G.IV-02 </t>
  </si>
  <si>
    <t>BLD-CSTN-8-6</t>
  </si>
  <si>
    <t>101 197</t>
  </si>
  <si>
    <t>Pan Tiles 230 x (140 + 130)/2, 12 mm  thick</t>
  </si>
  <si>
    <t>1000 No</t>
  </si>
  <si>
    <t>Bricklayers</t>
  </si>
  <si>
    <t xml:space="preserve">Best Tiled Roofing with Pan tiles  and  incding cost of tiles and labour charges </t>
  </si>
  <si>
    <t>Cement  motor  (1:4)</t>
  </si>
  <si>
    <t xml:space="preserve">Grand Total 10 Sqm </t>
  </si>
  <si>
    <t>TBSC-B.III-01</t>
  </si>
  <si>
    <t>Above  Ground level</t>
  </si>
  <si>
    <t xml:space="preserve">For Hall </t>
  </si>
  <si>
    <t>Column C</t>
  </si>
  <si>
    <t>EPB1(A1-C1)
Bottom and Top</t>
  </si>
  <si>
    <t>EPB1(A1-A2)
B1-B2 C1-C2 Bottom and Top</t>
  </si>
  <si>
    <t>Roof Beam B1(A1-C1)&amp;( A2-C2)</t>
  </si>
  <si>
    <t xml:space="preserve">Roof Beam B2  (A1-A2)
B1-B2 C1-C2 </t>
  </si>
  <si>
    <t xml:space="preserve">Lintels  on W </t>
  </si>
  <si>
    <t>Lintels  on D</t>
  </si>
  <si>
    <t xml:space="preserve">PCC (1:5:10) </t>
  </si>
  <si>
    <t>EPB Cross 
Bottom and Top</t>
  </si>
  <si>
    <t xml:space="preserve">EPB long 
Bottom and Top </t>
  </si>
  <si>
    <t xml:space="preserve">Concealed Beam 
Long </t>
  </si>
  <si>
    <t>Concealed Beam Cross</t>
  </si>
  <si>
    <t xml:space="preserve">Burning Plot Form @ 2nos </t>
  </si>
  <si>
    <t>Roof Beam @3.05 Bottom and Top</t>
  </si>
  <si>
    <t xml:space="preserve">For  Cross  walls </t>
  </si>
  <si>
    <t>For Toilet</t>
  </si>
  <si>
    <t xml:space="preserve">Deduct Door </t>
  </si>
  <si>
    <t xml:space="preserve">Toilet Block </t>
  </si>
  <si>
    <t>S&amp;F premium make CPVC Pipes of  Pipe -SDR 13.5</t>
  </si>
  <si>
    <t>22.20 mm</t>
  </si>
  <si>
    <t xml:space="preserve"> 15.40 mm</t>
  </si>
  <si>
    <t>Providing &amp; placing on Terrace polyethylene water storage tank with Double layer approved brand &amp; manufacture with cover and suitable locking arrangement &amp; making necessary holes for inlet &amp; outlets and overflow pipes but without fittings &amp; base support for tanks.( From ssr rates sno 311)</t>
  </si>
  <si>
    <t>1 cum</t>
  </si>
  <si>
    <t>Earth work excavation and depositing on bank with initial lead of 10m and initial lift of 2m in Loamy &amp; Clayey Soils like BC Soils, Red Earth &amp; Ordinary Gravelly Soils ( SS 20-B) including shoring, strutting, sheeting, planking and dewatering including cost of hire charges of T &amp; P, labor charges etc., complete for finished item of work for Foundation of Building. (APSS No. 308)</t>
  </si>
  <si>
    <t>Burning Plot Form</t>
  </si>
  <si>
    <t xml:space="preserve">Room and Waitng Hall </t>
  </si>
  <si>
    <t>Roof Beam @ 4.0Ht Bottom and Top</t>
  </si>
  <si>
    <t xml:space="preserve">Extra  bars </t>
  </si>
  <si>
    <t>Extra bars @A1,B1,C1,A2,B2C2) for Long span</t>
  </si>
  <si>
    <t>Extra bars @A1,,C1,A2,C2) for short span</t>
  </si>
  <si>
    <t>Extra bars @B1,B2,) for short span</t>
  </si>
  <si>
    <t xml:space="preserve">Barbending shedule enclosed </t>
  </si>
  <si>
    <t>( Excavated soils is sufficent  to Basement)</t>
  </si>
  <si>
    <t>BLD-CSTN-7-14</t>
  </si>
  <si>
    <t>Stone Chippings 3.34 mm - 10 mm</t>
  </si>
  <si>
    <t>Cement Concrete 1:4:8 using concrete mixer</t>
  </si>
  <si>
    <t>Flooring with 100mm thick Cement Concrete 1:4:8,  using 40mm metal, 100mm thick and 20 mm Cement Concrete surface (Ellis Pattern, 1st Sort)</t>
  </si>
  <si>
    <t>1200  mm Dia  (local rate ) Commen</t>
  </si>
  <si>
    <t xml:space="preserve">Earth work excavation and depositing on bank with initial lead of 10m and initial lift of 2m in Loamy and Clayey Soils like B.C. Soils, red earth &amp; Ordinary Gravel (SS 20-B) including shoring, strutting, sheeting, planking and dewatering including cost of hire charges of T &amp; P, labour charges etc., complete for finished item of work for Foundation of Building.(APSS No. 308)  As per Rural SSR </t>
  </si>
  <si>
    <t>Grand Total Rate Per 10 Sqm</t>
  </si>
  <si>
    <t xml:space="preserve">Gross Total </t>
  </si>
  <si>
    <t xml:space="preserve">GP </t>
  </si>
  <si>
    <t xml:space="preserve">For SBC 20  TN/sqm only </t>
  </si>
  <si>
    <t>As per Rural SSR Rates as GO 240 dt 13.05.2019 ((Hard Gravel soils)</t>
  </si>
  <si>
    <t>As Per Rural SSR  Sno 13 GO 240 dt 13.05.2019</t>
  </si>
  <si>
    <t xml:space="preserve"> Supply and Transportation of 0.5HP Single phase, 2880 RPM 50 Hz ISI Mono block CI body motor pumpset (25x25mm). Makes: Texmo / CRI / KSB / Aryan Varsha / Lubi</t>
  </si>
  <si>
    <t>BLD-CSTN-13-7</t>
  </si>
  <si>
    <t>Supplying and fixing galvanised steel barbed wire (IS : 278-1962 Type I) weighing 9.38 Kg per 100 metres (min.), Straining and fixing to any type of standard, rails, straining bolts, including securing with and provision of galvanised mild steel wire, stapples or steel pins, etc., as directed (Posts and struts of wood, concrete, steel, etc.) and straining bolts shall be paid for separately).</t>
  </si>
  <si>
    <t>Details of Cost per 100 metres (day line of wire)</t>
  </si>
  <si>
    <t>Materials:—</t>
  </si>
  <si>
    <t>Galvanised steel barbed wire IS type I weighing 9.38 Kg/100 metre</t>
  </si>
  <si>
    <t>Carriage of barbed wire.</t>
  </si>
  <si>
    <t>G.I. staples steel pins or binding wire</t>
  </si>
  <si>
    <t>For fixing &amp; stretching wire</t>
  </si>
  <si>
    <t>Blacksmith, 1st Class</t>
  </si>
  <si>
    <t>Blacksmith, 2nd Class</t>
  </si>
  <si>
    <t xml:space="preserve">Mazdoor (male). </t>
  </si>
  <si>
    <t>Sundries.</t>
  </si>
  <si>
    <t>Add water charges @ 1 %</t>
  </si>
  <si>
    <t xml:space="preserve">Cost for 100 metres day line of wire </t>
  </si>
  <si>
    <t>Rate per m</t>
  </si>
  <si>
    <t xml:space="preserve">Cost of each stone cuddy </t>
  </si>
  <si>
    <t>Earth work 400 x 400x 400</t>
  </si>
  <si>
    <t>Cost of PCC (1:3:6)  (0.40*0.40*0.400-0.15*0.15*0.30)</t>
  </si>
  <si>
    <t xml:space="preserve"> RCC Precat  stone 150 x150x 1.80 (0.0405 Cum) </t>
  </si>
  <si>
    <t xml:space="preserve">Add LS for labour fixing Charges and steel in Post </t>
  </si>
  <si>
    <t>Add Cost os steel 4 No 6mm dia and stirrups at 150mm C?C</t>
  </si>
  <si>
    <t>Manufacture, Supply and Delivery of R.C.C. Collars   including transportation but excluding taxes &amp; duties</t>
  </si>
  <si>
    <t>Supply &amp; fixing RCC cover 1200mm dia with nminal reinforcement 3 " thick and hooks for lifting</t>
  </si>
  <si>
    <t>Roof Slab cover  As per  SSR  TBSP-B.II-05</t>
  </si>
  <si>
    <t>Tandur</t>
  </si>
  <si>
    <t>For long walls for Plot form  inclding  Room Portion</t>
  </si>
  <si>
    <t xml:space="preserve">For  Cross  walls for Plot form  inclding  Room Portion </t>
  </si>
  <si>
    <t xml:space="preserve">For  Cross  walls for Plot form  </t>
  </si>
  <si>
    <t>For toilets  Long walls</t>
  </si>
  <si>
    <t>For toilets  Short walls</t>
  </si>
  <si>
    <t xml:space="preserve">For  Plot form walls of Toilets
</t>
  </si>
  <si>
    <t xml:space="preserve">for  Entrrance steps Plot From Long wall </t>
  </si>
  <si>
    <t xml:space="preserve">for  Entrrance steps Plot From short walls </t>
  </si>
  <si>
    <t xml:space="preserve">for  Entrrance steps   Long wall </t>
  </si>
  <si>
    <t xml:space="preserve">for  Entrrance steps </t>
  </si>
  <si>
    <t xml:space="preserve">for  Entrrance steps   </t>
  </si>
  <si>
    <t>Front Step 3</t>
  </si>
  <si>
    <t xml:space="preserve">Front Step 1 </t>
  </si>
  <si>
    <t>Front Step 2</t>
  </si>
  <si>
    <t>Front Step 4</t>
  </si>
  <si>
    <t xml:space="preserve">Side Step 1 </t>
  </si>
  <si>
    <t>Side Step 2</t>
  </si>
  <si>
    <t>Side Step 3</t>
  </si>
  <si>
    <t>Side Step 4</t>
  </si>
  <si>
    <t>Long Beams</t>
  </si>
  <si>
    <t>Cross Beams</t>
  </si>
  <si>
    <t>over windows W1</t>
  </si>
  <si>
    <t>over Room Window w1</t>
  </si>
  <si>
    <t>For Door D1 &amp; D2</t>
  </si>
  <si>
    <t>For  window W1</t>
  </si>
  <si>
    <t>For long walls of Hall</t>
  </si>
  <si>
    <t>For  Cross  walls partion for Hall &amp; rooms</t>
  </si>
  <si>
    <t>windows W1</t>
  </si>
  <si>
    <t xml:space="preserve">Lintels </t>
  </si>
  <si>
    <t xml:space="preserve">For Cross walls of Dias in Hall  </t>
  </si>
  <si>
    <t xml:space="preserve">For Long  walls of Dias in Hall  </t>
  </si>
  <si>
    <t xml:space="preserve">For Tie Beams </t>
  </si>
  <si>
    <t>For  Hall Portion</t>
  </si>
  <si>
    <t>For Hall Portion</t>
  </si>
  <si>
    <t>For Toilet Block</t>
  </si>
  <si>
    <t xml:space="preserve">For Partion wall of Toilets </t>
  </si>
  <si>
    <t>Openings of Toilets</t>
  </si>
  <si>
    <t>Right side Plotfrom</t>
  </si>
  <si>
    <t>Left Side Plot Form</t>
  </si>
  <si>
    <t xml:space="preserve">for Toilet Foyer </t>
  </si>
  <si>
    <t>for Toilet Portion</t>
  </si>
  <si>
    <t xml:space="preserve">PCC (1:4:8) </t>
  </si>
  <si>
    <t>For entrance portion</t>
  </si>
  <si>
    <t>For Dias</t>
  </si>
  <si>
    <t xml:space="preserve"> Partion wall of AEO and PBS Co room</t>
  </si>
  <si>
    <t>Out Side  Hall</t>
  </si>
  <si>
    <t>Out Side  Toilet</t>
  </si>
  <si>
    <t>For AEO Room</t>
  </si>
  <si>
    <t>For PBS Co ordinator  Room</t>
  </si>
  <si>
    <t xml:space="preserve">Toilet Foyers </t>
  </si>
  <si>
    <t>Toilet Door sills of D</t>
  </si>
  <si>
    <t>For Hall  Long walls</t>
  </si>
  <si>
    <t>For Hall  Short  walls</t>
  </si>
  <si>
    <t>For Hall</t>
  </si>
  <si>
    <t>For Toilets</t>
  </si>
  <si>
    <t>Structural Steel Sections inclduing 3 % wasteage Jan 2017</t>
  </si>
  <si>
    <t>TBSC-T.I-18</t>
  </si>
  <si>
    <t>Labour charges for fabricating all heavy steel works like Trusses, Stanchions, Heavy Beams and Girders including cost of welding rods, power charges, etc excluding cost of fixing in position</t>
  </si>
  <si>
    <t>TBSC-T.I-19</t>
  </si>
  <si>
    <t>Labour charges for fixing heavy iron grills, Trusses, Stanchions, Heavy Beams and Girders erecting in position and fixing by using chain pulley blocks, Derek pole arrangements and cranes etc., complete in position</t>
  </si>
  <si>
    <t>Area (Corporation) Allowance</t>
  </si>
  <si>
    <t>Overhead &amp; Contractor Profit</t>
  </si>
  <si>
    <t>For Stilt / Ground Floor to First Floor</t>
  </si>
  <si>
    <t>for 1 kg</t>
  </si>
  <si>
    <t>TBSC-E.I-15</t>
  </si>
  <si>
    <t>Mild Steel Tubes &amp; pipes of all diameters as per IS-1161 inclduing 3 % wasteage</t>
  </si>
  <si>
    <t>BLD-CSTN-10-1</t>
  </si>
  <si>
    <t>TBSC-D.VI-05</t>
  </si>
  <si>
    <t>Prepainted Galvalume Trepezoidal Profile Roofing Sheet</t>
  </si>
  <si>
    <t>Limpet washers (for scam &amp; ‘J’ bolts) 884 + 810 = 1694</t>
  </si>
  <si>
    <t>TBSC-G.I-06</t>
  </si>
  <si>
    <t>TBSE-8.1.83</t>
  </si>
  <si>
    <t>TBSE-8.1.84</t>
  </si>
  <si>
    <t>TBSE-8.1.88</t>
  </si>
  <si>
    <t>for</t>
  </si>
  <si>
    <t>sqmt</t>
  </si>
  <si>
    <t>i.e.</t>
  </si>
  <si>
    <t>1 sqm</t>
  </si>
  <si>
    <t xml:space="preserve">Base plate inclduing 3 % wasteage </t>
  </si>
  <si>
    <t>Per Sqm</t>
  </si>
  <si>
    <t>Long Beams @2.10 M hirht (60.75-6*1.'0")</t>
  </si>
  <si>
    <t xml:space="preserve">Long Beams @3.6 M hirht </t>
  </si>
  <si>
    <t>For Tie  Beams @ 7'0 and 12'0"</t>
  </si>
  <si>
    <t>Self Supported  Arch shaped Galvalume Sheeting , Colour complying to ASTM A792 , base metal 1.00mm thick (tolerance as +/- 0.03mm) with alloy coating AZ 150(Alluminium 55%, zinc 43.50%, Silicon 1.50%) Yeild strength:350 MPA , Paint coating regular modified polyster top  coat 25 micron and bottom coat 12 micron Epoxy Painting. Top colour consisting of blue and off white and Bottom colour is with grey.The Make of metal off THYSSEN KRUPPS,Germany/Dongbu steel company limited Korea/corus steel ,UK/ Union steel,Korea Yieh    Enterprises ltd , Taiwon steel sheet          be 3.0 ( 914mm ) with which       be curved  and moulded at site using mechanical press and dies to desired curve and shape to form 2-0 ( 616mm) with interlocking panels. These panels shall  be erected in position and joints are seamed .The instaltion should be done by mechanized method .The contractor has to  mobilise required number of Hydra ,transportion of sheets and cranes for the erection of seamed sheets and complete the entire work satifactorily by using the fixtures like anchor,fasteners,standard light hanger, turbo ventilators and sky light each compartment to have combination of Turbo ventilators (Al) of size 24 inches capacity 2200 CFM at 30' interval with sky light of panel of 2.0mm thick polycharbonvate sheet to be installed for each compartment including cost and conveyance of materials and labour charges and all taxes,GST and also incidental and operational charges etc</t>
  </si>
  <si>
    <t>Roof External including 1'0" projection over all</t>
  </si>
  <si>
    <t>62'9"</t>
  </si>
  <si>
    <t>33'6"</t>
  </si>
  <si>
    <t>Add Extra  for Parabolic curved shape @16%</t>
  </si>
  <si>
    <t xml:space="preserve">Or Say </t>
  </si>
  <si>
    <t>Supply and Erection of 2x21 ft skyligh with Turbovent including cost and conveyance charges and fixing charges</t>
  </si>
  <si>
    <t>Painting with Synthetic Enamel paints - Two Coats - for New Wood Works  including cost and conveyance of all materials to site, Countryes &amp; other taxes, all  operational, incidental and labour charges etc., complete for finished item of work.</t>
  </si>
  <si>
    <t>Doors D1 for Hall</t>
  </si>
  <si>
    <t xml:space="preserve">Doors D3 for Toilet </t>
  </si>
  <si>
    <t>Supply of 16" (400mm) Wall mounted Fan.Makes : Crompton WM High Flo / Havells Sameer /Orient Wall 45.</t>
  </si>
  <si>
    <t xml:space="preserve">For Toilet  all round   (2*1.50+2*1.45) </t>
  </si>
  <si>
    <t>Front Step 1 (Rise and Treads)</t>
  </si>
  <si>
    <t>Front Step 2(Rise and Treads)</t>
  </si>
  <si>
    <t>Front Step 3(Rise and Treads)</t>
  </si>
  <si>
    <t>Front Step 4(Rise and Treads)</t>
  </si>
  <si>
    <t>Side Step 1 (Rise and Treads)</t>
  </si>
  <si>
    <t>Side Step 2(Rise and Treads)</t>
  </si>
  <si>
    <t>Side Step 3(Rise and Treads)</t>
  </si>
  <si>
    <t>Side Step 4(Rise and Treads)</t>
  </si>
  <si>
    <t>For Hall Right side and left side</t>
  </si>
  <si>
    <t>For Toilet Block Portion</t>
  </si>
  <si>
    <t>Add LS Water supply arrangements from Mission Bhagiratha scheme</t>
  </si>
  <si>
    <t xml:space="preserve">Add LS Electrical connection charges </t>
  </si>
  <si>
    <t xml:space="preserve">Flush Pointing to RRS Masonry in CM(1:3) Prop: including cost and conveyance of all materials like cement, sand, water etc., to site, Excluding seigniorage charges,Including, Countryes &amp; other taxes on all materials, all operational, incidental,GST charges of Cement and steel charges and labour charges such as mixing mortar, finishing, curing, etc., complete for finished item of work. (APSS 901,906) </t>
  </si>
  <si>
    <t>Painting to new walls with 2 coats of ready mixed oil bound wahsable distemper of approved brand and shade over a base coat of appropriate primer of approved brand, making 3 coats in all to give an even shade after thourughly brushing the surface to remove all dirt and remains of loose powdered materials, including,GST charges of Cement and steel cost and conveyance of all materials to work site and all operational, incidental, labour charges etc. complete for finished item of work as per SS 911 for internal walls</t>
  </si>
  <si>
    <t xml:space="preserve">     The estimate is prepared with SSR 2019-20 ,RSSR  and  submitted for kind consideration for according adminidtrative  sanction</t>
  </si>
  <si>
    <t>Multipurpose hall</t>
  </si>
  <si>
    <t>30'.00'x46'6</t>
  </si>
  <si>
    <t>AEO Room</t>
  </si>
  <si>
    <t>12'0"x12'0"</t>
  </si>
  <si>
    <t>17''7.5"x12'</t>
  </si>
  <si>
    <t>10'6"x4'9"</t>
  </si>
  <si>
    <t>Mens Toilets</t>
  </si>
  <si>
    <t>PBS Coordinators room</t>
  </si>
  <si>
    <t xml:space="preserve">The following provisions are made in this   each of the above estimate with specifications </t>
  </si>
  <si>
    <t>over Hall Doors D2</t>
  </si>
  <si>
    <t>over Room Doors D3</t>
  </si>
  <si>
    <t xml:space="preserve">Right side an left side </t>
  </si>
  <si>
    <t>For Toilet  D3</t>
  </si>
  <si>
    <t>For Door D1 &amp; D2 &amp; MD</t>
  </si>
  <si>
    <t>Doors MD</t>
  </si>
  <si>
    <t>Opening in Halls Grills G1</t>
  </si>
  <si>
    <t>Opening in Halls Grills G2</t>
  </si>
  <si>
    <t>over  Doors D2</t>
  </si>
  <si>
    <t>For under Flooring in Hall</t>
  </si>
  <si>
    <t>For under Flooring in AEO Room</t>
  </si>
  <si>
    <t>For under Flooring in PBS Coordinator  Room</t>
  </si>
  <si>
    <t>For under Flooring in Gents Toilet</t>
  </si>
  <si>
    <t>For under Flooring in  ladies  Toilet</t>
  </si>
  <si>
    <t xml:space="preserve">Doors MD </t>
  </si>
  <si>
    <t>Ventilators</t>
  </si>
  <si>
    <t>Flush door shutters, solid bond wood block
board type with teak veneer on one face and commercial ply on another face (lipping): 25 mm thick conforming to IS:2202</t>
  </si>
  <si>
    <t>840 TBSC-T.I-25</t>
  </si>
  <si>
    <t>For 1.80x2.40 M size</t>
  </si>
  <si>
    <t>Door size 1.50X2.40 M</t>
  </si>
  <si>
    <t>"Door MD (1.80 x 2.40) of section 5"x 7'</t>
  </si>
  <si>
    <t>Door D1 (1.50 x 2.40) of section 4"x 6"</t>
  </si>
  <si>
    <t>Door size 0.90X2.10 M 
(Frame &amp; Shutters only)</t>
  </si>
  <si>
    <t xml:space="preserve">Supply and fixing ofMedium Teakwood Door double shutter  fully panelled door of size 0.90 x 2.1mt with frame made of well seasonedMedium Teak Wood scantlings of size 125 x 75mm and Flush door shutters, solid bond wood block
board type with teak veneer on one face and commercial ply on another face (lipping): 25 mm thick conforming to IS:2202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</si>
  <si>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 xml:space="preserve">Supply and fixing of Medium Teakwood Door double shutter  fully panelled door of size 1.50 x 2.10M with frame made of well seasonedMedium Teak Wood scantlings of size 100 x 75mm and shutter madeFlush door shutters, solid bond wood block
board type with teak veneer on one face and commercial ply on another face (lipping): 25 mm thick conforming to IS:2202with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</si>
  <si>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 xml:space="preserve">Supply and fixing of  teak  wood Door double shutter  fully panelled door of size  with frame made of well seasoned Sal Wood scantlings of size respective  size shown below and shutter made of Flush Door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</si>
  <si>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Supplying and fixing of Unplasticised Poly Vinyl Chloride (UPVC) sliding doors three track - three
glass shutters sliding - 112 -Series duly manufactured using UPVC reinforced profiles of 112.0 mm x 60 mm x 2.25 mm for outer frames, 66 mm x 42 mm x 2.25 mm for sliding door shutter frames capable of mounting single glazing system, structurally reinforced with hot dip galvanized up to 50 microns of minimum thickness of 1.2 mm prefabricated &amp; welded through fusion welding the window sash shall be fitted with 5 mm thick clear float glass ofreputed make and fixed with EPDM weathering seal resistant accessories likeclippinglocking system made of aluminium 1 No., per set of sashes and the system is to be installed at the site using anchor fasteners, silicon rubber sealant, easy glazing/ deglazing at site etc., including cost and conveyance of all materials, accessories, labour charges for transportation, erection at site with templates for casement sizingcompleteforfinisheditemofwork</t>
  </si>
  <si>
    <t>Flush door shutters, solid bond wood block
board type with teak ply on both faces.: 25 mm thick conforming to IS:2202</t>
  </si>
  <si>
    <t>TBSC-L.II-01</t>
  </si>
  <si>
    <t>Providing and fixing PVC door cladding to the flush doors shutters, for the new doors it shall be pasted with synthetic glue or nailed to the old doors. complete as per direction of Engineer–in– charge, manu</t>
  </si>
  <si>
    <t>TBSC-R.I-14</t>
  </si>
  <si>
    <t xml:space="preserve">Kgs </t>
  </si>
  <si>
    <t xml:space="preserve">Per Kgs </t>
  </si>
  <si>
    <t>Doors MD for Hall</t>
  </si>
  <si>
    <r>
      <t>DETAIED AND ABSTRACT ESTIMATE</t>
    </r>
    <r>
      <rPr>
        <b/>
        <sz val="11"/>
        <rFont val="Arial"/>
        <family val="2"/>
      </rPr>
      <t xml:space="preserve"> </t>
    </r>
  </si>
  <si>
    <r>
      <t xml:space="preserve">Painting to New walls with two coats of </t>
    </r>
    <r>
      <rPr>
        <b/>
        <sz val="11"/>
        <rFont val="Arial"/>
        <family val="2"/>
      </rPr>
      <t xml:space="preserve">snowcem paints </t>
    </r>
    <r>
      <rPr>
        <sz val="11"/>
        <rFont val="Arial"/>
        <family val="2"/>
      </rPr>
      <t xml:space="preserve">of approved brand and shade over base coat of appropriate distemper primer of approved brand making three coats in all to give an even shade after thoroughly brushing the surface to remove all loose powdered materials, including c/c  of all materials, cost of brushes, water to site, etc., &amp; other taxes, all operational, incidental and labour charges such as scaffolding charges, lift charges, curing etc.,complete for finished item of work in all floors for external Walls.(APSS No. 911) </t>
    </r>
  </si>
  <si>
    <t>Prince/ Sudhakar make or equivalent quality PVC /SWR pipes &amp; fittings ( as per ISI standards)  4kg/cm2 75mm dia.(double socket)</t>
  </si>
  <si>
    <t>Supplying and fixing of Unplasticised Poly Vinyl Chloride (UPVC) sliding doors three track - three glass shutters sliding - 112 -Series duly manufactured using UPVC reinforced profiles of 112.0 mm x 60 mm x 2.25 mm for outer frames, 66 mm x 42 mm x 2.25 mm for sliding door shutter frames capable of mounting single glazing system, structurally reinforced with hot dip galvanized up to 50 microns of minimum thickness of 1.2 mm prefabricated &amp; welded through fusion welding the window sash shall be fitted with 5 mm thick clear float glass ofreputed make and fixed with EPDM weathering seal resistant accessories likeclippinglocking system made of aluminium 1 No., per set of sashes and the system is to be installed at the site using anchor fasteners, silicon rubber sealant, easy glazing/ deglazing at site etc., including cost and conveyance of all materials, accessories, labour charges for transportation, erection at site with templates for casement sizingcompleteforfinisheditemofwork</t>
  </si>
  <si>
    <t xml:space="preserve">Flooring with 15 to 18mm thick polished shabad stones set over base coat of CM (1:8) over already laid CC bed / RCC Roof Slab, including neat cement slurry of honey like consistency spread @ 3.3 kgs per sqm. &amp; Jointed with neat cement to full depth including cost of all materials </t>
  </si>
  <si>
    <t>Door D2 (0.90 x2.10) of
 section 3"x5"</t>
  </si>
  <si>
    <t>Door MD (1.80 x 2.40) of
section 5"x 7'</t>
  </si>
  <si>
    <t xml:space="preserve">Window  (1.50 x 1.20) </t>
  </si>
  <si>
    <t>Flooring with 100mm thick Cement Concrete 1:4:8,  using 40mm metal, 100mm thick and 20 mm Cement Concrete surface (Ellis Pattern, 1st Sort) on passage portion</t>
  </si>
  <si>
    <t>Flooring with Ceramic Tiles of 7.3mm thick 1st. quality of any shade as approved by Engineer - in - charge  set over a base coat of CM (1:8), 12mm thick laid over flooring bed / V.R.C.C. slab, with neat grey cement slurry of honey like consistency spread at the rate of 3.3 Kgs of cement per Sq.m and jointed with neat white cement paste mixed with pigment of matching shade including cost and conveyance of all materials for Bath Rooms</t>
  </si>
  <si>
    <t>Dadooing to walls with white glazed tiles 1st. quality of any size of brand as approved by Engineer - in - charge and set over a base coat of CM (1:5), 12mm thick and neat cement paste at the rate of 3.3 Kg/Sqmt. and jointed with white cement paste mixed with pigment of matching shade including cost and conveyance of all materials for Toilets</t>
  </si>
  <si>
    <t xml:space="preserve">Provision for Electrical work </t>
  </si>
  <si>
    <t>Provision for Sanitory and Water supply</t>
  </si>
  <si>
    <t>Limited to Rs</t>
  </si>
  <si>
    <r>
      <t xml:space="preserve">Long Beams </t>
    </r>
    <r>
      <rPr>
        <b/>
        <sz val="11"/>
        <rFont val="Arial"/>
        <family val="2"/>
      </rPr>
      <t xml:space="preserve">@3.6 M ht </t>
    </r>
  </si>
  <si>
    <t xml:space="preserve">Long Beams @3.6 M ht </t>
  </si>
  <si>
    <t xml:space="preserve">For Roof Slab on Toilet Block 125MM </t>
  </si>
  <si>
    <t>SqM</t>
  </si>
  <si>
    <t>(3.60+5.48+3.60)/3</t>
  </si>
  <si>
    <t>For Entrance  of Hall for Plot form</t>
  </si>
  <si>
    <t>S/F of Plain Float Glass 5 mm thick</t>
  </si>
  <si>
    <t xml:space="preserve">Supply and fixing of  Salwood Door double shutter  fully panelled door of size 1.80 x 2.40 M with frame made of well seasoned Sal Wood scantlings of size 125 x 175 mm and shutter made of side rails 100mm X 32mm, top rail 100 mm 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</si>
  <si>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 xml:space="preserve">Door D1 (1.50 x 2.40) </t>
  </si>
  <si>
    <t>Door size 1.50X2.40 M ( Frame only)</t>
  </si>
  <si>
    <t>Cost of Frame (1.50 X 2.40 M )</t>
  </si>
  <si>
    <t>Cost of Shutters only (1.50 X2.40 M )</t>
  </si>
  <si>
    <t xml:space="preserve">Supply and fixing of  Salwood Door double shutter  fully panelled door of size 1.50 x 2.40 M with frame made of well seasoned Sal Wood scantlings of size 100 x 150 mm and shutter made of side rails 100mm X 32mm, top rail 100 mm 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</si>
  <si>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Door size 1.80 X 2.40 M</t>
  </si>
  <si>
    <t>Door size 1.80 X2.40 M ( Frame only)</t>
  </si>
  <si>
    <t>Cost of Frame (1.80 X 2.40 M )</t>
  </si>
  <si>
    <t>Cost of Shutters only (1.80 X2.40 M )</t>
  </si>
  <si>
    <t xml:space="preserve">Supply and fixing of Salwood Door Single shutter  fully panelled door of size 0.75 x 2.1mt with frame made of well seasoned Sal Wood scantlings of size 75 x 125 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</si>
  <si>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 xml:space="preserve">Supply and fixing of Salwood Door double shutter  fully panelled door of size 0.90 x 2.1mt with frame made of well seasoned Sal Wood scantlings of size 75 x 125 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</si>
  <si>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 xml:space="preserve">Supply and fixing of Salwood Door double shutter  fully panelled door of size 0.90 x 2.1mt with frame made of well seasoned Sal Wood scantlings of size 75 x 125 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</si>
  <si>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Door D2 (0.90 x2.10)  for Hall</t>
  </si>
  <si>
    <t>Window W (1.50 x 1.20) for Hall</t>
  </si>
  <si>
    <t xml:space="preserve">Door D3 (0.75 x 2.10) for Toilet </t>
  </si>
  <si>
    <t>8'0"</t>
  </si>
  <si>
    <t>For Entrance foyer for MD</t>
  </si>
  <si>
    <t>For Entrance foyer for  D1</t>
  </si>
  <si>
    <t>7'0"</t>
  </si>
  <si>
    <t>5'0"</t>
  </si>
  <si>
    <t>For Entrance foyer for  D2</t>
  </si>
  <si>
    <t>(3.60+5.50+3.6)/3</t>
  </si>
  <si>
    <t>(3.60+5.40+3.6)/3</t>
  </si>
  <si>
    <t>Add QC Charges 0.50%</t>
  </si>
  <si>
    <t>For Soak Pit of Toilet Block</t>
  </si>
  <si>
    <t>PI/4</t>
  </si>
  <si>
    <t xml:space="preserve">Plain Cement Concrete corresponding to M5 grade as per IS 456 equivalent to (1:4;8) proportion nominal mix (cement: fine aggregate: Coarse aggregate) using 40mm size HBG  (SS5) metal from approved quarry including cost and conveyance of all materials like cement, sand, coarse aggregate, water etc. to site, excluding seigniorage charges,Including, Countryes &amp; other taxes on all materials, all operational, incidental,GST charges of Cement and steel  and labor charges, such as mixing, laying and ramming concrete in layers in position not exceeding 15cm, finishing top surface, curing concrete,  etc., complete for finished item of work for Foundations and Flooring Bed (APSS No. 402) </t>
  </si>
  <si>
    <t xml:space="preserve">Plain Cement Concrete corresponding to M5 grade as per IS 456 equivalent to (1:5;10) proportion nominal mix (cement: fine aggregate: Coarse aggregate) using 40mm size HBG  (SS5) metal from approved quarry including cost and conveyance of all materials like cement, sand, coarse aggregate, water etc. to site, excluding seigniorage charges,Including, Countryes &amp; other taxes on all materials, all operational, incidental,GST charges of Cement and steel  and labor charges such as mixing, laying and ramming concrete in layers in position not exceeding 15cm, finishing top surface, curing concrete,  etc., complete for finished item of work for Foundations and Flooring Bed (APSS No. 402) </t>
  </si>
  <si>
    <t xml:space="preserve">Random Rubble stone masonry, in CM (1:8) prop: (Cement: Sand) using hard granite stones from approved quarry including cost and conveyance of all materials like Granite stones, cement, sand, water,  etc.,  to site excluding seigniorage charges,Including, Countryes &amp; other taxes on all materials, all operational, incidental,GST charges of Cement and steel and labor charges such as cutting stones to required size and shape, mixing of cement mortar, constructing masonry, curing etc., complete for finished item of work for foundation and basement (APSS No. 601 &amp; 615) </t>
  </si>
  <si>
    <t xml:space="preserve">Vibrated reinforced cement concrete corresponding M20 grade as per IS 456 equivalent to (1:1.5:3) prop: nominal mix (Cement: fine aggregate: coarse aggregate using 20mm size HBG (SS5) machine crushed  metal from approved quarry including cost and conveyance of all materials like cement, fine aggregate (Sand), coarse aggregate, water etc. to site excluding seigniorage charges,including, Countryes &amp; other taxes on all materials, GST charges of Cement and steel , all operational, incidental,  and labor charges such as centering, shuttering, scaffolding, lift charges, machine mixing, laying concrete, vibrating, curing concrete etc, complete but excluding cost of steel and its fabrication charges for finished item of work (APSS No.402 &amp; 403)                                                              </t>
  </si>
  <si>
    <r>
      <t xml:space="preserve">Plain reinforced cement concrete corresponding M15 grade as per IS 456 equivalent to (1:1.5:3) prop: nominal mix (Cement: fine aggregate: coarse aggregate using 20mm size HBG (SS5) machine crushed  metal from approved quarry including cost and conveyance of all materials like cement, fine aggregate (Sand), coarse aggregate, water etc. to site Excluding seigniorage charges,Including, Countryes &amp; other taxes on all materials, GST charges of Cement and steel  all operational, incidental,  and labor charges such as centering, shuttering, scaffolding, lift charges, machine mixing, laying concrete, vibrating, curing concrete etc, complete but excluding cost of steel and its fabrication charges for finished item of work  (APSS No.402 &amp; 403) for </t>
    </r>
    <r>
      <rPr>
        <b/>
        <sz val="11"/>
        <rFont val="Arial"/>
        <family val="2"/>
      </rPr>
      <t>LINTELS</t>
    </r>
  </si>
  <si>
    <r>
      <t xml:space="preserve">Vibrated reinforced cement concrete corresponding M15 grade as per IS 456 equivalent to (1:1.5:3) prop: nominal mix (Cement: fine aggregate: coarse aggregate using 20mm size HBG (SS5) machine crushed  metal from approved quarry including cost and conveyance of all materials like cement, fine aggregate (Sand), coarse aggregate, water etc. to site Excluding seigniorage charges,Including, Countryes, GST charges of Cement and steel &amp; other taxes on all materials, GST charges of Cement and steel  all operational, incidental,  and labor charges such as centering, shuttering, scaffolding, lift charges, machine mixing, laying concrete, vibrating, curing concrete etc, complete but excluding cost of steel and its fabrication charges for finished item of work  (APSS No.402 </t>
    </r>
    <r>
      <rPr>
        <b/>
        <sz val="11"/>
        <rFont val="Arial"/>
        <family val="2"/>
      </rPr>
      <t xml:space="preserve">&amp; 403) FOR SUNSHADE 0.60 M WIDE.                                                            </t>
    </r>
  </si>
  <si>
    <r>
      <t xml:space="preserve">Plain Cement Concrete corresponding to M10 grade as per IS 456 equivalent to (1:3:6) proportion nominal mix (cement: fine aggregate: Coarse aggregate) using 40mm size HBG  (SS5) metal from from approved quarry including cost and conveyance of all materials like cement, sand, coarse aggregate, water etc. to site, Excluding seigniorage charges,Including, Countryes, &amp; other taxes on all materials,GST charges of Cement and steel all operational, incidental and labour charges such as mixing, laying, curing concrete,  etc., complete for finished item of work for </t>
    </r>
    <r>
      <rPr>
        <b/>
        <sz val="11"/>
        <rFont val="Arial"/>
        <family val="2"/>
      </rPr>
      <t xml:space="preserve">Bed Blocks and Hold Fasts (APSS No. 402) </t>
    </r>
  </si>
  <si>
    <t xml:space="preserve">Dadooing to walls with white glazed tiles 1st. quality of any size of brand as approved by Engineer - in - charge and set over a base coat of CM (1:5), 12mm thick and neat cement paste at the rate of 3.3 Kg/Sqmt. and jointed with white cement paste mixed with pigment of matching shade including cost and conveyance of all materials like cement, sand, water, tiles, etc. to site,GST charges of Cement and steel  sales and other taxes on all materials,excluding seigniorage charges,  such as mixing of cement mortar, laying in position, curing, lift charges etc., complete for finished item of work  (APSS No.701 &amp; 707) </t>
  </si>
  <si>
    <t xml:space="preserve">Flooring with Ceramic Tiles of 7.3mm thick 1st. quality of any shade as approved by Engineer - in - charge  set over a base coat of CM (1:8), 12mm thick laid over flooring bed / V.R.C.C. slab, with neat grey cement slurry of honey like consistency spread at the rate of 3.3 Kgs of cement per Sq.m and jointed with neat white cement paste mixed with pigment of matching shade including cost and conveyance of all materials like cement, sand, water, ceramic tiles etc. to site,  sales and other taxes on all materials, all operational, incidental, GST charges of Cement and steel and labour charges,excluding seigniorage charges,  such as mixing of cement mortar, laying, curing, lift charges etc., complete for finished item of work.(APSS No.701 &amp; 707) </t>
  </si>
  <si>
    <t xml:space="preserve">Flooring with 100mm thick Cement Concrete 1:4:8,  using 40mm metal, 100mm thick and 20 mm Cement Concrete surface (Ellis Pattern, 1st Sort) excluding seigniorage charges, </t>
  </si>
  <si>
    <r>
      <t>Plastering  20</t>
    </r>
    <r>
      <rPr>
        <b/>
        <sz val="11"/>
        <rFont val="Arial"/>
        <family val="2"/>
      </rPr>
      <t xml:space="preserve"> mm thick </t>
    </r>
    <r>
      <rPr>
        <sz val="11"/>
        <rFont val="Arial"/>
        <family val="2"/>
      </rPr>
      <t>in two coats with base coat of 16</t>
    </r>
    <r>
      <rPr>
        <b/>
        <sz val="11"/>
        <rFont val="Arial"/>
        <family val="2"/>
      </rPr>
      <t xml:space="preserve"> mm thick in CM (1:6)</t>
    </r>
    <r>
      <rPr>
        <sz val="11"/>
        <rFont val="Arial"/>
        <family val="2"/>
      </rPr>
      <t xml:space="preserve"> and top coat of</t>
    </r>
    <r>
      <rPr>
        <b/>
        <sz val="11"/>
        <rFont val="Arial"/>
        <family val="2"/>
      </rPr>
      <t xml:space="preserve"> 4mm thick in CM (1:4)</t>
    </r>
    <r>
      <rPr>
        <sz val="11"/>
        <rFont val="Arial"/>
        <family val="2"/>
      </rPr>
      <t xml:space="preserve"> dubara sponge finish including cost and conveyance of all materials like cement, sand, water etc., to site, Countryes &amp; other taxes on all materials, all operational, incidental,GST charges of Cement and steel\ and labor charges such as mixing mortar, scaffolding charges, lift charges, including cutting of Grooves wherever necessary as directed by Engineer - in - charge, finishing,  curing, etc.excluding seigniorage charges, , complete for  Even Surfaces of  Wall for finished item of work. (APSS 901,903 &amp; 904) </t>
    </r>
    <r>
      <rPr>
        <b/>
        <sz val="11"/>
        <rFont val="Arial"/>
        <family val="2"/>
      </rPr>
      <t xml:space="preserve"> For External walls </t>
    </r>
  </si>
  <si>
    <r>
      <t xml:space="preserve">Plastering 12mm thick in two coats with base coat of 8mm thick in CM (1:5) and top coat of 4mm thick in CM (1:3) dubara sponge finish including cost and conveyance of all materials like cement, sand, water etc., to site, seigniorage charges, Countryes &amp; other taxes on all materials, all operational, incidental,GST charges of Cement and steel and labor charges such as mixing mortar, scaffolding charges, lift charges, including cutting of Grooves wherever necessary as directed by Engineer - in - charge, finishing,  curing, etc., complete,excluding seigniorage charges,  for  Even Surfaces of  Wall for finished item of work. (APSS 901,903 &amp; 904) </t>
    </r>
    <r>
      <rPr>
        <b/>
        <sz val="11"/>
        <rFont val="Arial"/>
        <family val="2"/>
      </rPr>
      <t xml:space="preserve">For Internal walls </t>
    </r>
  </si>
  <si>
    <t>Filling with  carted gravel  (excluding rock) in trenches, sides of foundations and basement with initial lead in layers not exceeding 15cm thick, consolidating each deposited layer by watering and ramming including all operational, incidental, labor charges, hire charges of T &amp; P etc., complete,excluding seigniorage charges,  for finished item of work. (APSS NO. 309 &amp; 310)</t>
  </si>
  <si>
    <t>Filling with useful available excavated earth (excluding rock) in trenches, sides of foundations and basement with initial lead in layers not exceeding 15cm thick, consolidating each deposited layer by watering and ramming including all operational, incidental, labor charges, hire charges of T &amp; P etc., complete,excluding seigniorage charges,  for finished item of work. (APSS NO. 309 &amp; 310)</t>
  </si>
  <si>
    <t xml:space="preserve">Brick Masonry in superstructure with CM (1:8) prop: using second class bricks from approved source having minimum crushing strength of 40 Kg/Sqcm. including cost and conveyance of all materials like cement, sand, bricks, water etc., to site, Including, Countryes &amp; other taxes on all materials, all operational, incidental,GST charges of Cement and steel and labor charges such as mixing cement mortar, constructing masonry, scaffolding charges, lift charges, curing, excluding seigniorage charges,etc., complete for finished item of work. (APSS No. 501 &amp; 504).                               </t>
  </si>
  <si>
    <t>Flooring with 15 to 18mm thick polished shabad stones set over base coat of CM (1:8) over already laid CC bed / RCC Roof Slab, including neat cement slurry of honey like consistency spread @ 3.3 kgs per sqm. &amp; Jointed with neat cement to full depth including cost of all materials like cement, sand, and water and flooring stones etc., complete, including,GST charges of Cement and steel  labour charges for dressing of flooring stones etc,excluding seigniorage charges, ., complete for finished item of work, but excluding the cost of conveyance of all materials.</t>
  </si>
  <si>
    <r>
      <t>Providing S</t>
    </r>
    <r>
      <rPr>
        <b/>
        <sz val="11"/>
        <rFont val="Arial"/>
        <family val="2"/>
      </rPr>
      <t>kirting to internal walls to 10  Cm height with</t>
    </r>
    <r>
      <rPr>
        <sz val="11"/>
        <rFont val="Arial"/>
        <family val="2"/>
      </rPr>
      <t xml:space="preserve"> </t>
    </r>
    <r>
      <rPr>
        <b/>
        <sz val="11"/>
        <rFont val="Arial"/>
        <family val="2"/>
      </rPr>
      <t>15-18 mm thick</t>
    </r>
    <r>
      <rPr>
        <sz val="11"/>
        <rFont val="Arial"/>
        <family val="2"/>
      </rPr>
      <t xml:space="preserve"> polished Shahabad stone slab ( Tandur Blue Variety 1st quality) with length equal to flooring stones set over a base coat of CM (1:5), 12mm thick and jointed with neat cement paste to full depth (joints of stone should be flushed), including cost and conveyance of all materials like cement, sand, water, flooring stones etc. to site,  sales and other taxes on all materials, all operational, incidental , GST charges of Cement and steeland labour charges such as dressing of flooring stones to the required sizes, mixing of cement mortar, laying, jointing, curing, lift charges,excluding seignarage charges etc., complete for finished item of work.(APSS No.701 &amp; 707) </t>
    </r>
  </si>
  <si>
    <t xml:space="preserve">Flush Pointing to RRS Masonry in CM(1:3) Prop: including cost and conveyance of all materials like cement, sand, water etc., to site, Excluding seigniorage charges,Including, Countryes &amp; other taxes on all materials, all operational, incidental,GST charges of Cement and steel charges and labour charges such as mixing mortar, finishing, curing, excluding seignarage chargesetc., complete for finished item of work. (APSS 901,906) </t>
  </si>
  <si>
    <t xml:space="preserve">Total Plinth Area </t>
  </si>
  <si>
    <t>2046 Sq ft</t>
  </si>
  <si>
    <t xml:space="preserve">Plain Cement Concrete (1:5:10) prop nominal mix (cement: fine aggregate: coarse aggregate) using 40mm size HBG  (SS5) metal from approved quarry including Cost and Conveyance   of all materials like cement, sand, coarse aggregate, water etc. to site, including   all operational, incidental,  and labour charges such as mixing, laying and ramming concrete in layers in position not exceeding 15cm, finishing top surface, curing concrete, excluding seign etc., complete for finished item of work for Foundations and Flooring Bed (APSS No. 402) </t>
  </si>
  <si>
    <t xml:space="preserve">Plain Cement Concrete (1:4:8) prop nominal mix (cement: fine aggregate: coarse aggregate) using 40mm size HBG  (SS5) metal from approved quarry (obtained by blasting) including Cost and Conveyance   of all materials like cement, sand, coarse aggregate, water etc. to site, including   all operational, incidental,  and labour charges such as mixing, laying and ramming concrete in layers in position not exceeding 15cm, finishing top surface, curing concrete,excluding seign  etc., complete for finished item of work for Foundations and Flooring Bed (APSS No. 402) </t>
  </si>
  <si>
    <t>Random Rubble stone masonry, in CM (1:8) prop: (Cement: Sand) using hard granite stones from approved quarry including Cost and Conveyance  of all materials like Granite stones, cement, sand, water,  etc.,  to site including   all operational, incidental, and labour charges such as cutting stones to required size and shape, mixing of cement mortar, constructing masonry, curing,excluding seign etc., complete for finished item of work for foundation  (APSS No. 601 &amp; 615)</t>
  </si>
  <si>
    <t xml:space="preserve">Filling with useful available excavated earth (excluding rock) in trenches, sides of foundations and basement with initial lead in layers not exceeding 15cm thick, consolidating each deposited layer by watering and ramming including cost and Cost and Conveyance  of water to site and all operational, incidental, labour charges,  sales and other taxes etc, hire charges of T &amp; P excluding seignetc., complete for finished item of work. (APSS NO. 309 &amp; 310) </t>
  </si>
  <si>
    <t>Providing high yield strength deformed (HYSD) steel TMT bars (Fe 500 grade as per IS 1786-1985) of 8mm to 40mm diameters, cutting, bending, to required sizes and shapes placing in position with cover blocks of approved size and binding wire of 20SWG, forming grills for reinforcement work as per approved designs and drawings including Cost and Conveyance  of bars from approved sources to site of work with all taxes including Cost and Conveyance  of binding wire, cover blocks chains, overlaps, spaces, dowels, wastage etc, and all operational, incidental, and labour charges such as cutting, bending, placing in position, tying etc.excluding seign, and  other taxes,on cost of all materials complete for finished item of work (APSS No.126) in all floors</t>
  </si>
  <si>
    <t>Brick masonry in superstructure with CM (1:8) prop: using traditional bricks from approved quarry  including Cost and Conveyance  of all materials like cement, sand, bricks, water etc., to site, including  materials, all operational, incidental and labour charges such as mixing cement mortar, constructing masonry, scaffolding charges, lift charges, curing, etc.,excluding seign complete for finished item of work. (APSS No. 501 &amp; 504).</t>
  </si>
  <si>
    <t xml:space="preserve">Ornamental plastering to ceiling 12mm thick in CM (1:3) with dubara sponge finish including Cost and Conveyance  of all materials like cement, sand, water etc., to site, including  other taxes on all materials, all operational, incidental and labour charges such as  mixing mortar, finishing, scaffolding, lift charges, including cutting of Grooves wherever necessary as directed by Engineer-in-charge,  curing, etc.,excluding seign complete for finished item of work.(APSS 901&amp; 903 ) </t>
  </si>
  <si>
    <t>Providing impervious coat to exposed RCC roof slab surface with CM(1:3), 20mm thick  with 1kg of water proof compound per bag of cement  laid over roof when it is green including cost of all materials, , including conveyance charges of materials and including all operational, incidental and labour charges for mixing mortar, laying, rendering smooth and thread lining, curing, rounding off junctions of wall and slab etc,,excluding seigniorage charges complete for finished item of work</t>
  </si>
  <si>
    <t>Over  toilets  room</t>
  </si>
  <si>
    <t>Ornamental Plastering with CM (1:5), 12 mm thick  finish including cost and conveyance of all materials like cement, sand, water etc., to site, Countryes &amp; other taxes on all materials, all operational, incidental,GST charges of Cement and steel\ and labor charges such as mixing mortar, scaffolding charges, lift charges, including cutting of Grooves wherever necessary as directed by Engineer - in - charge, finishing,  curing, etc.excluding seigniorage charges, , complete for  Even Surfaces of  Wall for finished item of work (APSS 901&amp; 903 )  of AP Revised data  BLD -CSTN- 6-1</t>
  </si>
  <si>
    <t xml:space="preserve">Sunshade Right side an left side </t>
  </si>
  <si>
    <t>For Sunshade of windows W1</t>
  </si>
  <si>
    <t>Add LS unforseen items of work for Clearing Premises, Land scapping,etc.</t>
  </si>
  <si>
    <t>For Tie  Beams @ 8'0</t>
  </si>
  <si>
    <t xml:space="preserve">Long Beams </t>
  </si>
  <si>
    <t xml:space="preserve">Over Columns </t>
  </si>
  <si>
    <t>(12 x 0.2x0.3x0.006x7850=33.92kg)</t>
  </si>
  <si>
    <t>Per Kgs</t>
  </si>
  <si>
    <t>Supplying,Fabrication &amp; Fixing of Base plates   6mm thick MS Plate with 16mm dia Nut and Bolts system and tieing  over RCC Columns  including the cost of  conveyance of all materials &amp; Labour charges</t>
  </si>
  <si>
    <t>Long Beams @ 2.40 M level</t>
  </si>
  <si>
    <r>
      <t xml:space="preserve">Long Beams </t>
    </r>
    <r>
      <rPr>
        <b/>
        <sz val="11"/>
        <rFont val="Arial"/>
        <family val="2"/>
      </rPr>
      <t>@ 4.25 M level</t>
    </r>
  </si>
  <si>
    <t xml:space="preserve">Cross Beams @ 2.40 M level </t>
  </si>
  <si>
    <t>Long Beams @ 4.25 M level</t>
  </si>
  <si>
    <t>(4.26+6.00+4.26)/3</t>
  </si>
  <si>
    <t>(4.26+6.0+4.26)/3</t>
  </si>
  <si>
    <t>Supply and fixing of 16 mm dia  bolts 150 mm long with nuts for jointing truss and vertical pipe.</t>
  </si>
  <si>
    <t xml:space="preserve">(12 x8 x0.150x7850=113.04kg) </t>
  </si>
  <si>
    <t xml:space="preserve">at Centre </t>
  </si>
  <si>
    <t>Rafters Pipe 80mm dia Heavy@10.4Kg/Rm</t>
  </si>
  <si>
    <t>Tie Bars @ 50mm dia  Heavy@6.26Kg/RM</t>
  </si>
  <si>
    <t xml:space="preserve">Roof truss </t>
  </si>
  <si>
    <t>Bottom MS pipe 80mm dia Heavy 
.@10.4Kg/Rm</t>
  </si>
  <si>
    <t>No of Trusses</t>
  </si>
  <si>
    <t>Supply and fixing of Mild Steel Tubes &amp; Piped Truss  of required  diameters as per IS-1161 inclduing Labour charges for fabricating all heavy steel works like Trusses, Stanchions, Heavy Beams and Girders including cost of welding rods, power charges, etc excluding cost of fixing in position and including Labour charges for fixing heavy iron grills, Trusses, Stanchions, Heavy Beams and Girders erecting in position and fixing by using chain pulley blocks, Derek pole arrangements and cranes etc., complete in position</t>
  </si>
  <si>
    <t>Supply and fixing of Mild Steel Tubes for Purlins including the cost of  conveyance of all materials &amp; Labour charges</t>
  </si>
  <si>
    <t>Roofing with Supply of Pre-painted Galvalume Trapezoidal Profile Roofing sheets with 0.50mm thickness, Coating: Alu-Zinc coating AZ150 GSM Tensile Strength: 550 MPA.Paint coating: Regular Modified Polyester painting.Painting hickness (Top): 18 to 20 Microns,(Bottom): 5 to 7 Microns. Sheet Width: 1.020, Length:Maximum 12 Meters with Regular Range Coloursfixed with G.I ‘J’ bolts &amp; nuts 8 mm dia with bitumen &amp; G.I limpet washers filled with white lead &amp; including a coat of approved steel primer and two coats of approved paint on over lapping of sheets complete (up to a pitch of 600) and eigniorage charges, etc., complete, excluding the cost of purlins, rafters, trusses &amp; cost of conveyance of all materials</t>
  </si>
  <si>
    <t xml:space="preserve"> Roofing </t>
  </si>
  <si>
    <t>Per sqm</t>
  </si>
  <si>
    <t>For top sheet to cover Ridge Portion</t>
  </si>
  <si>
    <t>at 0.96 from Suport</t>
  </si>
  <si>
    <t>at 1.92 from Suport</t>
  </si>
  <si>
    <t>at 2.88 from Suport</t>
  </si>
  <si>
    <t>at 3.84 from Suport</t>
  </si>
  <si>
    <t xml:space="preserve">Diagonal ties </t>
  </si>
  <si>
    <t>Purlins @ 40 mm dia  Heavy @ 4.41 Kg/RM</t>
  </si>
  <si>
    <t>Door MD (1.80 x 2.40)</t>
  </si>
  <si>
    <t>Window W (1.50 x 1.20) Rooms</t>
  </si>
  <si>
    <t xml:space="preserve">Window W (1.50 x 1.20) </t>
  </si>
  <si>
    <t>Bottom MS pipe 80mm dia Medium 
.@8.53 Kg/Rm</t>
  </si>
  <si>
    <t>Rafters Pipe 80mm dia Medium 
.@8.53 Kg/Rm</t>
  </si>
  <si>
    <t>Tie Bars @ 50mm dia  Medium@5.10Kg/RM</t>
  </si>
  <si>
    <t>Purlins @ 40 mm dia  Medium @ 3.60 Kg/RM</t>
  </si>
  <si>
    <t>Cement Mortar (1:4)</t>
  </si>
  <si>
    <t>Plastering with CM (1:4), 20 mm thickincluding c/c of all materials like cement, sand,water etc., to site, other taxes on all materials, all operational, incidental such as scaffolding charges, lift charges, including cutting of Grooves,finishing, curing, etc., complete for for finished item of work. (APSS 1001,1003 &amp; 1004) (CSSR) Internal Walls</t>
  </si>
  <si>
    <t xml:space="preserve">Add  Seign Charges </t>
  </si>
  <si>
    <t>Note :Shed hight 12'0", Flooring in hall and rooms CC (1:5:10) only , Trusses with medium grade trusses, including GST on Cement and Steel tax amount  Rs 58997/- Approximatly, Seign Charges Rs22250/-</t>
  </si>
  <si>
    <t xml:space="preserve">                 As per the Instructions of the Hon'ble Chief Minister Govt of Telangana the  proposals for Construction of  Rythu Vedhika  works shed ,   is prepared with the following provisions  for effective implementation of new agricultural polices and it is proposed to equip with advance technology including video conference facilities to disseminate information to the formers about the crops , and experts suggestions and Government assistances in providing marketing facilities to formers from time to time. </t>
  </si>
  <si>
    <t xml:space="preserve">Roof height </t>
  </si>
  <si>
    <t>12'0"</t>
  </si>
  <si>
    <t>Roofing</t>
  </si>
  <si>
    <r>
      <t>Plain Cement Concrete (1:5:10) prop nominal mix (cement: fine aggregate: coarse aggregate) using 40mm size HBG  (SS5) metal from approved quarry including Cost and Conveyance   of all materials like cement, sand, coarse aggregate, water etc. to site, including   all operational, incidental,  and labour charges such as mixing, laying and ramming concrete in layers in position not exceeding 15cm, finishing top surface, curing concrete, excluding seign etc., complete for finished item of work for Foundations and Flooring Bed (APSS No. 402)  fo</t>
    </r>
    <r>
      <rPr>
        <b/>
        <sz val="11"/>
        <rFont val="Arial"/>
        <family val="2"/>
      </rPr>
      <t>r Levelling Course, Flooring bed in Hall and Rooms</t>
    </r>
  </si>
  <si>
    <t>Proflex Roofing material</t>
  </si>
  <si>
    <t>For long walls for Plat form  inclding  Room Portion</t>
  </si>
  <si>
    <t xml:space="preserve">for  Entrance steps Plot From short walls </t>
  </si>
  <si>
    <t xml:space="preserve">for  Entrance steps Platform Long wall </t>
  </si>
  <si>
    <t xml:space="preserve">for  Entrance steps Platform short walls </t>
  </si>
  <si>
    <t xml:space="preserve">For  Cross  walls for Platform  inclding  Room Portion </t>
  </si>
  <si>
    <t>For  Cross  walls in rooms</t>
  </si>
  <si>
    <t xml:space="preserve">For  Inner walls of  Toilets
</t>
  </si>
  <si>
    <t xml:space="preserve">For  Short Inner walls of  Toilets
</t>
  </si>
  <si>
    <t>As per Rural SSR Rates as GO 168 dt 27.04.2020 ((Hard Gravel soils)</t>
  </si>
  <si>
    <t>For long walls for Platform  inclding  Room Portion</t>
  </si>
  <si>
    <t>For  Cross  walls for room</t>
  </si>
  <si>
    <t xml:space="preserve">For  Inner Short walls of Toilets
</t>
  </si>
  <si>
    <t xml:space="preserve">For  Inner Long walls of Toilets
</t>
  </si>
  <si>
    <t xml:space="preserve">for  Entrance steps   Long wall </t>
  </si>
  <si>
    <t xml:space="preserve">for  Entrance steps Platfrom Long wall </t>
  </si>
  <si>
    <t>For  inner  walls in rooms</t>
  </si>
  <si>
    <t xml:space="preserve">For  short walls of Toilets
</t>
  </si>
  <si>
    <t xml:space="preserve">For  long walls of Toilets
</t>
  </si>
  <si>
    <t>12'00" Side Wall</t>
  </si>
  <si>
    <t>Pre-painted Galvalume Trapezoidal Profile Roofing sheets with truss</t>
  </si>
  <si>
    <t>Add LS Water supply arrangements from Mission Bhagiratha scheme /Bore Well &amp; Pumpset</t>
  </si>
  <si>
    <t>14'00" Side Wall</t>
  </si>
  <si>
    <t>Note :-1) Shed height 14'0",Roofing Sheets with Pre-painted Galvalume Trapezoidal Profile Roofing sheets.Cost included  GST on Cement and Steel tax amount  Rs 58890/-, Seign Charges Rs 21239/-Heavy Steel   tube truss</t>
  </si>
  <si>
    <t>3) Seign Charges Rs 21239/-Heavy Steel   tube truss</t>
  </si>
  <si>
    <t>2) Cost included  GST on Cement and Steel tax amount  Rs 58890/-,</t>
  </si>
  <si>
    <t>Add LS Water supply arrangements from Mission Bhagiratha scheme / Bore well and Pumpset</t>
  </si>
  <si>
    <t>Note :1) Sr.No (28) in the estimate the rate adpoted for Roofing with Proflex Roof is based on quatation rate i.e (Rs1700/Sqm +GST 18%=Rs 2006/Sqm ) obtained  from N&amp;B Engineering Hyd , it is negotiable at Govt level  ,Shed hight 12'0", including GST on Cement and Steel tax amount  Rs 58997/- Approximatly, Seign Charges Rs22250/-</t>
  </si>
  <si>
    <t xml:space="preserve">2)including GST on Cement and Steel tax amount  Rs 58997/- Approximatly, </t>
  </si>
  <si>
    <t>3)Seign Charges Rs22250/-</t>
  </si>
  <si>
    <t>12'0" Side Wall</t>
  </si>
  <si>
    <t>12'00" side wall</t>
  </si>
  <si>
    <t>BLD-CSTN-6-18</t>
  </si>
  <si>
    <t>g</t>
  </si>
  <si>
    <t>BMT-A.07</t>
  </si>
  <si>
    <t>Fly ash cement/ lime solid blocks with
compressive strength of 50 kg/sq.cm - IS:12894-
1990 - CLASS - 5 290 x 150 x 140 mm TBSC-A.II-10</t>
  </si>
  <si>
    <t>Cost of Cement Mortar (1:6)</t>
  </si>
  <si>
    <t>Mason 1st class</t>
  </si>
  <si>
    <t>Woman Mazdoor</t>
  </si>
  <si>
    <t xml:space="preserve">For Roof Slab on Toilet Block 125 MM </t>
  </si>
  <si>
    <t>Masonry work in CM (1:6) prop with Fly ash cement/ lime solid blocks withcompressive strength of 50 kg/sq.cm - IS:12894-1990 - CLASS - 5 290 x 150 x 140 mm TBSC-A.II-10 including cost and conveyance of all materials, labour charges, seiniorage charges, scaffolding and curing etc., cpomplete with a compresive streangth not lessthan 50 kg/sqm for walls for Superstructure Walls.</t>
  </si>
  <si>
    <t>As per SP 38- S&amp;T 1987</t>
  </si>
  <si>
    <t>For Toilet Foyers</t>
  </si>
  <si>
    <t xml:space="preserve">Betweenrooms </t>
  </si>
  <si>
    <t>BLD-CSTN-6-2</t>
  </si>
  <si>
    <t>Plastering with CM (1:4), 12 mm thick</t>
  </si>
  <si>
    <t>BLD-CSTN-6-7</t>
  </si>
  <si>
    <t>Plastering with CM (1:4), 20 mm thick</t>
  </si>
  <si>
    <t>Per10 Sqm</t>
  </si>
  <si>
    <t>For Ramp Portion</t>
  </si>
  <si>
    <t xml:space="preserve">for  Ramps </t>
  </si>
  <si>
    <t>For toilet foyers</t>
  </si>
  <si>
    <t>Add LS Water supply arrangements from Mission Bhagiratha scheme / Bore with Pumpset</t>
  </si>
  <si>
    <t>As Per Rural SSR  GO 168  dt27.04.2020</t>
  </si>
  <si>
    <r>
      <t>Masonry work in CM (1:6) prop with Fly ash cement/ lime solid blocks withcompressive strength of 50 kg/sq.cm - IS:12894-1990 - CLASS - 5 290 x 150 x 140 mm TBSC-A.II-10 including cost and conveyance of all materials, labour charges, seiniorage charges, scaffolding and curing etc., cpomplete with a compresive streangth not lessthan 50 kg/sqm for walls for Superstructure Walls.</t>
    </r>
    <r>
      <rPr>
        <b/>
        <sz val="11"/>
        <rFont val="Arial"/>
        <family val="2"/>
      </rPr>
      <t xml:space="preserve"> For Workshed  with 150mm thick</t>
    </r>
  </si>
  <si>
    <r>
      <t xml:space="preserve">Plastering with CM (1:4), 12 mm thick including cost and conveyance of all materials like cement, sand, water etc., to site, seigniorage charges, Countryes &amp; other taxes on all materials, all operational, incidental,GST charges of Cement and steel and labor charges such as mixing mortar, scaffolding charges, lift charges, including cutting of Grooves wherever necessary as directed by Engineer - in - charge, finishing,  curing, etc., complete,excluding seigniorage charges,  for  Even Surfaces of  Wall for finished item of work. (APSS 901,903 &amp; 904) </t>
    </r>
    <r>
      <rPr>
        <b/>
        <sz val="11"/>
        <rFont val="Arial"/>
        <family val="2"/>
      </rPr>
      <t>For Internal walls and external walls of Shed</t>
    </r>
  </si>
  <si>
    <r>
      <t>Plastering 12mm thick double coat in CM (1:6) 8mm thick base coat and top coat CM(1:4) of 4mm thick with dubara sponge finish including c/c of all materials like cement, sand,water etc., to site, other taxes on all materials, all operational, incidental and labour charges such as mixing mortar, scaffolding charges, lift charges, including cutting of Grooves wherever necessary as directed by Engineer-in-charge, finishing, curing, etc., complete for finished item of work. (APSS 901,903 &amp; 904) -</t>
    </r>
    <r>
      <rPr>
        <b/>
        <sz val="11"/>
        <rFont val="Arial"/>
        <family val="2"/>
      </rPr>
      <t xml:space="preserve"> Internal Walls of Toiet Block</t>
    </r>
  </si>
  <si>
    <r>
      <t xml:space="preserve">Plastering 12mm thick double coat in CM (1:5) 8 mm thick base coat and CM (1:3) of 4mm thick top coat with dubara sponge finish including c/c of all materials like cement, sand,water etc., to site, other taxes on all materials, all operational, incidental and labour charges such as mixing mortar, scaffolding charges, lift charges, including cutting of Grooves wherever necessary as directed by Engineer-in-charge, finishing, curing, etc., complete for for finished item of work. (APSS 901,903 &amp; 904) - </t>
    </r>
    <r>
      <rPr>
        <b/>
        <sz val="11"/>
        <rFont val="Arial"/>
        <family val="2"/>
      </rPr>
      <t>External Walls of Toilet Block</t>
    </r>
  </si>
  <si>
    <r>
      <t>Flooring with 100mm thick Cement Concrete 1:4:8,  using 40mm metal, 100mm thick and 20 mm Cement Concrete surface (Ellis Pattern, 1st Sort) on</t>
    </r>
    <r>
      <rPr>
        <b/>
        <sz val="11"/>
        <rFont val="Arial"/>
        <family val="2"/>
      </rPr>
      <t xml:space="preserve"> Passage portion and Ramps</t>
    </r>
  </si>
  <si>
    <r>
      <t>Flooring with Ceramic Tiles of 7.3mm thick 1st. quality of any shade as approved by Engineer - in - charge  set over a base coat of CM (1:8), 12mm thick laid over flooring bed / V.R.C.C. slab, with neat grey cement slurry of honey like consistency spread at the rate of 3.3 Kgs of cement per Sq.m and jointed with neat white cement paste mixed with pigment of matching shade including cost and conveyance of all materials</t>
    </r>
    <r>
      <rPr>
        <b/>
        <sz val="11"/>
        <rFont val="Arial"/>
        <family val="2"/>
      </rPr>
      <t xml:space="preserve"> for Bath Rooms</t>
    </r>
  </si>
  <si>
    <r>
      <t xml:space="preserve">Dadooing to walls with white glazed tiles 1st. quality of any size of brand as approved by Engineer - in - charge and set over a base coat of CM (1:5), 12mm thick and neat cement paste at the rate of 3.3 Kg/Sqmt. and jointed with white cement paste mixed with pigment of matching shade including cost and conveyance of all materials for </t>
    </r>
    <r>
      <rPr>
        <b/>
        <sz val="11"/>
        <rFont val="Arial"/>
        <family val="2"/>
      </rPr>
      <t xml:space="preserve">Toilets </t>
    </r>
  </si>
  <si>
    <t xml:space="preserve">Supply and fixing of  Sal wood Door  frame and shutter for  Double shutter/Single Door Shutterwith  fully panelled door of size  with frame made of well seasoned Sal Wood scantlings of size respective  size shown below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</si>
  <si>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Fornt side</t>
  </si>
  <si>
    <r>
      <t>Supplying the</t>
    </r>
    <r>
      <rPr>
        <b/>
        <sz val="11"/>
        <rFont val="Arial"/>
        <family val="2"/>
      </rPr>
      <t xml:space="preserve"> Strucutral Steel </t>
    </r>
    <r>
      <rPr>
        <sz val="11"/>
        <rFont val="Arial"/>
        <family val="2"/>
      </rPr>
      <t>Members and Fabrication &amp; Fixing of Trusses including the cost of purlins, rafters, trusses , cost of conveyance of all materials &amp; Labour charges – upto 60</t>
    </r>
    <r>
      <rPr>
        <vertAlign val="superscript"/>
        <sz val="11"/>
        <rFont val="Arial"/>
        <family val="2"/>
      </rPr>
      <t>0</t>
    </r>
    <r>
      <rPr>
        <sz val="11"/>
        <rFont val="Arial"/>
        <family val="2"/>
      </rPr>
      <t xml:space="preserve"> pitch</t>
    </r>
  </si>
  <si>
    <r>
      <t xml:space="preserve">Supplying and erection of Centurywells or equivalent Prepainted Galvalume Trepezoidal Profile </t>
    </r>
    <r>
      <rPr>
        <b/>
        <sz val="11"/>
        <rFont val="Arial"/>
        <family val="2"/>
      </rPr>
      <t>Roof Sheets</t>
    </r>
    <r>
      <rPr>
        <sz val="11"/>
        <rFont val="Arial"/>
        <family val="2"/>
      </rPr>
      <t xml:space="preserve"> with 0.50 mm thickness, coating : Alu-Zinc Coating AZ150 GSM. Tensile strength 550 MPA. Paint coating : Regular Modified Polyester painting. Painting thickness (top) 15 to 20 microns (Bottom) : 5 to 7 microns. Sheet width 1.020 mt and length 12 mts with regular range colours with G.I ‘J’ bolts &amp; nuts 8 mm dia with bitumen &amp; G.I limpet washers filled with white lead &amp; including a coat of approved steel primer and two coats of approved paint on over lapping of sheets complete (up to a pitch of 60) and seigniorage charges, etc., complete, excluding the cost of purlins, rafters, trusses &amp; cost of conveyance of all materials</t>
    </r>
  </si>
  <si>
    <r>
      <t>Supplying the</t>
    </r>
    <r>
      <rPr>
        <b/>
        <sz val="11"/>
        <rFont val="Arial"/>
        <family val="2"/>
      </rPr>
      <t xml:space="preserve"> Base plate</t>
    </r>
    <r>
      <rPr>
        <sz val="11"/>
        <rFont val="Arial"/>
        <family val="2"/>
      </rPr>
      <t xml:space="preserve"> and Fabrication &amp; Fixing of Base plates including the cost of  conveyance of all materials &amp; Labour charges</t>
    </r>
  </si>
  <si>
    <t>Columns and Footings may be designed as per Site Conditions</t>
  </si>
  <si>
    <t xml:space="preserve">Supply and fixing of Medium Teak Wood Door frame double shutter  fully panelled door of size 1.80 x 2.40 M with frame made of well seasoned MediumTeak  Wood scantlings of size 125 x 175 mm and shutter made of side rails 100mm X 32mm, top rail 100 mm 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</si>
  <si>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Main Door MD (1.80 x 2.40)</t>
  </si>
  <si>
    <r>
      <t>Note :-</t>
    </r>
    <r>
      <rPr>
        <b/>
        <sz val="11"/>
        <rFont val="Arial"/>
        <family val="2"/>
      </rPr>
      <t xml:space="preserve"> Columns and Footings may be designed as per Site Conditions</t>
    </r>
  </si>
  <si>
    <t>Painting to new walls with 2 coats of ready mixed oil bound wahsable distemper of approved brand and shade over a base coat of appropriate primer of approved brand, making 3 coats in all to give an even shade after thourughly brushing the surface to remove all dirt and remains of loose powdered materials, including,Including GST on steel,and all taxes  Cement as per GO MS 5 dt16.06.20cost and conveyance of all materials to work site and all operational, incidental, labour charges etc. complete for finished item of work as per SS 911 for internal walls</t>
  </si>
  <si>
    <t xml:space="preserve">Plain Cement Concrete corresponding to M5 grade as per IS 456 equivalent to (1:4;8) proportion nominal mix (cement: fine aggregate: Coarse aggregate) using 40mm size HBG  (SS5) metal from approved quarry including cost and conveyance of all materials like cement, sand, coarse aggregate, water etc. to site,excluding seignarage charges as per the message no 03/RD/TA/2020dt 13.02.20 of Technical adviser RD TS ,Including Countryes &amp; other taxes on all materials, all operational, incidental,including GST on steel,and all taxes  Cement as per GO MS 5 dt16.06.20 and labor charges, such as mixing, laying and ramming concrete in layers in position not exceeding 15cm, finishing top surface, curing concrete,  etc., complete for finished item of work for Foundations and Flooring Bed (APSS No. 402) </t>
  </si>
  <si>
    <t xml:space="preserve">Plain Cement Concrete corresponding to M5 grade as per IS 456 equivalent to (1:5;10) proportion nominal mix (cement: fine aggregate: Coarse aggregate) using 40mm size HBG  (SS5) metal from approved quarry including cost and conveyance of all materials like cement, sand, coarse aggregate, water etc. to site,excluding seignarage charges as per the message no 03/RD/TA/2020dt 13.02.20 of Technical adviser RD TS ,Including, Countryes &amp; other taxes on all materials, all operational, incidental,Including GST on steel,and all taxes  Cement as per GO MS 5 dt16.06.20 and labor charges such as mixing, laying and ramming concrete in layers in position not exceeding 15cm, finishing top surface, curing concrete,  etc., complete for finished item of work for Foundations and Flooring Bed (APSS No. 402) </t>
  </si>
  <si>
    <t xml:space="preserve">Random Rubble stone masonry, in CM (1:8) prop: (Cement: Sand) using hard granite stones from approved quarry including cost and conveyance of all materials like Granite stones, cement, sand, water,  etc.,  to site, excluding seignarage charges as per the message no 03/RD/TA/2020dt 13.02.20 of Technical adviser RD TS ,Including, Countryes &amp; other taxes on all materials, all operational, incidental,Including GST on steel,and all taxes  Cement as per GO MS 5 dt16.06.20and labor charges such as cutting stones to required size and shape, mixing of cement mortar, constructing masonry, curing etc., complete for finished item of work for foundation and basement (APSS No. 601 &amp; 615) </t>
  </si>
  <si>
    <t xml:space="preserve">Vibrated reinforced cement concrete corresponding M20 grade as per IS 456 equivalent to (1:1.5:3) prop: nominal mix (Cement: fine aggregate: coarse aggregate using 20mm size HBG (SS5) machine crushed  metal from approved quarry including cost and conveyance of all materials like cement, fine aggregate (Sand), coarse aggregate, water etc. to site, excluding seignarage charges as per the message no 03/RD/TA/2020dt 13.02.20 of Technical adviser RD TS ,including, Countryes &amp; other taxes on all materials, Including GST on steel,and all taxes  Cement as per GO MS 5 dt16.06.20, all operational, incidental,  and labor charges such as centering, shuttering, scaffolding, lift charges, machine mixing, laying concrete, vibrating, curing concrete etc, complete but excluding cost of steel and its fabrication charges for finished item of work (APSS No.402 &amp; 403)                                                              </t>
  </si>
  <si>
    <t xml:space="preserve">Brick Masonry in superstructure with CM (1:8) prop: using second class bricks from approved source having minimum crushing strength of 40 Kg/Sqcm. including cost and conveyance of all materials like cement, sand, bricks, water etc., to site, Including, Countryes &amp; other taxes on all materials, all operational, incidental,Including GST on steel,and all taxes  Cement as per GO MS 5 dt16.06.20and labor charges such as mixing cement mortar, constructing masonry, scaffolding charges, lift charges, curing,excluding seignarage charges as per the message no 03/RD/TA/2020dt 13.02.20 of Technical adviser RD TS ,etc., complete for finished item of work. (APSS No. 501 &amp; 504).                               </t>
  </si>
  <si>
    <r>
      <t xml:space="preserve">Masonry work in CM (1:6) prop with </t>
    </r>
    <r>
      <rPr>
        <b/>
        <sz val="11"/>
        <rFont val="Arial"/>
        <family val="2"/>
      </rPr>
      <t>Fly ash cement/ lime solid blocks</t>
    </r>
    <r>
      <rPr>
        <sz val="11"/>
        <rFont val="Arial"/>
        <family val="2"/>
      </rPr>
      <t xml:space="preserve"> withcompressive strength of 50 kg/sq.cm - IS:12894-1990 - CLASS - 5 290 x 150 x 140 mm TBSC-A.II-10 including cost and conveyance of all materials, labour charges, excluding seignarage charges as per the message no 03/RD/TA/2020dt 13.02.20 of Technical adviser RD TS ,and all taxes  Cement as per GO MS 5 dt16.06.20 &amp; other taxes on all materials,  scaffolding and curing etc., complete with a compresive streangth not lessthan 50 kg/sqm for walls for Superstructure Walls.</t>
    </r>
  </si>
  <si>
    <t>Filling with  carted gravel  (excluding rock) in trenches, sides of foundations and basement with initial lead in layers not exceeding 15cm thick, consolidating each deposited layer by watering and ramming including all operational, incidental, labor charges, hire charges of T &amp; P etc., complete,excluding seignarage charges as per the message no 03/RD/TA/2020dt 13.02.20 of Technical adviser RD TS all operational, incidental,  and labor charges ,  for finished item of work. (APSS NO. 309 &amp; 310)</t>
  </si>
  <si>
    <t>Plastering with CM (1:4), 12 mm thick including cost and conveyance of all materials like cement, sand, water etc., to site, seigniorage charges, Countryes &amp; other taxes on all materials, all operational, incidental excluding seignarage charges as per the message no 03/RD/TA/2020dt 13.02.20 of Technical adviser RD TS ,Including, Countryes, Including GST on steel,and all taxes  Cement as per GO MS 5 dt16.06.20&amp; other taxes on all materials, Including GST on steel,and all taxes  Cement as per GO MS 5 dt16.06.20 all operational, incidental,  and labor charges , including cutting of Grooves wherever necessary as directed by Engineer - in - charge, finishing,  curing, etc., complete,excluding seigniorage charges,  for  Even Surfaces of  Wall for finished item of work. (APSS 901,903 &amp; 904) For Internal walls and external walls of Shed</t>
  </si>
  <si>
    <r>
      <t xml:space="preserve">Plastering 12mm thick in two coats with base coat of 8mm thick in CM (1:5) and top coat of 4mm thick in CM (1:3) dubara sponge finish including cost and conveyance of all materials like cement, sand, water etc., to site, excluding seignarage charges as per the message no 03/RD/TA/2020dt 13.02.20 of Technical adviser RD TS ,Including, Countryes, Including GST on steel,and all taxes  Cement as per GO MS 5 dt16.06.20&amp; other taxes on all materials, Countryes &amp; other taxes on all materials, all operational, incidental,including labor charges such as mixing mortar, scaffolding charges, lift charges, including cutting of Grooves wherever necessary as directed by Engineer - in - charge, finishing,  curing, etc., complete,excluding seigniorage charges,  for  Even Surfaces of  Wall for finished item of work. (APSS 901,903 &amp; 904) For </t>
    </r>
    <r>
      <rPr>
        <b/>
        <sz val="11"/>
        <rFont val="Arial"/>
        <family val="2"/>
      </rPr>
      <t xml:space="preserve">Internal walls </t>
    </r>
  </si>
  <si>
    <r>
      <t>Plastering  20</t>
    </r>
    <r>
      <rPr>
        <b/>
        <sz val="11"/>
        <rFont val="Arial"/>
        <family val="2"/>
      </rPr>
      <t xml:space="preserve"> mm thick </t>
    </r>
    <r>
      <rPr>
        <sz val="11"/>
        <rFont val="Arial"/>
        <family val="2"/>
      </rPr>
      <t>in two coats with base coat of 16</t>
    </r>
    <r>
      <rPr>
        <b/>
        <sz val="11"/>
        <rFont val="Arial"/>
        <family val="2"/>
      </rPr>
      <t xml:space="preserve"> mm thick in CM (1:6)</t>
    </r>
    <r>
      <rPr>
        <sz val="11"/>
        <rFont val="Arial"/>
        <family val="2"/>
      </rPr>
      <t xml:space="preserve"> and top coat of</t>
    </r>
    <r>
      <rPr>
        <b/>
        <sz val="11"/>
        <rFont val="Arial"/>
        <family val="2"/>
      </rPr>
      <t xml:space="preserve"> 4mm thick in CM (1:4)</t>
    </r>
    <r>
      <rPr>
        <sz val="11"/>
        <rFont val="Arial"/>
        <family val="2"/>
      </rPr>
      <t xml:space="preserve"> dubara sponge finish including cost and conveyance of all materials like cement, sand, water etc., to site, Countryes &amp; other taxes on all materials, all operational, incidental,excluding seignarage charges as per the message no 03/RD/TA/2020dt 13.02.20 of Technical adviser RD TS ,Including, Countryes, Including GST on steel,and all taxes  Cement as per GO MS 5 dt16.06.20&amp; other taxes on all materials,  and labor charges such as mixing mortar, scaffolding charges, lift charges, including cutting of Grooves wherever necessary as directed by Engineer - in - charge, finishing,  curing, etc.excluding seigniorage charges, , complete for  Even Surfaces of  Wall for finished item of work. (APSS 901,903 &amp; 904) </t>
    </r>
    <r>
      <rPr>
        <b/>
        <sz val="11"/>
        <rFont val="Arial"/>
        <family val="2"/>
      </rPr>
      <t xml:space="preserve"> For External walls </t>
    </r>
  </si>
  <si>
    <t>Ornamental Plastering with CM (1:5), 12 mm thick  finish including cost and conveyance of all materials like cement, sand, water etc., to site, Countryes &amp; other taxes on all materials, all operational, incidental,excluding seignarage charges as per the message no 03/RD/TA/2020dt 13.02.20 of Technical adviser RD TS ,,and all taxes  Cement as per GO MS 5 dt16.06.20&amp; other taxes on all materials,  all operational, incidental,  and labor charges  and labor charges such as mixing mortar, scaffolding charges, lift charges, including cutting of Grooves wherever necessary as directed by Engineer - in - charge, finishing,  curing, etc.excluding seigniorage charges, , complete for  Even Surfaces of  Wall for finished item of work (APSS 901&amp; 903 )  of AP Revised data  BLD -CSTN- 6-1</t>
  </si>
  <si>
    <t>Providing impervious coat to exposed RCC roof slab surface with CM(1:3), 20mm thick  with 1kg of water proof compound per bag of cement  laid over roof when it is green including cost of all materials, , including conveyance charges of materials and including all operational, incidental and labour charges for mixing mortar, laying, rendering smooth and thread lining, curing, rounding off junctions of wall and slab etc,,excluding seignarage charges as per the message no 03/RD/TA/2020dt 13.02.20 of Technical adviser RD TS ,Including,and all taxes  Cement as per GO MS 5 dt16.06.20&amp; other taxes on all materials, other taxes on all materials, complete for finished item of work</t>
  </si>
  <si>
    <t>Flooring with 15 to 18mm thick polished shabad stones set over base coat of CM (1:8) over already laid CC bed / RCC Roof Slab, including neat cement slurry of honey like consistency spread @ 3.3 kgs per sqm. &amp; Jointed with neat cement to full depth including cost of all materials like cement, sand, and water and flooring stones etc., complete, including,excluding seignarage charges as per the message no 03/RD/TA/2020dt 13.02.20 of Technical adviser RD TS ,Including,and all taxes  Cement as per GO MS 5 dt16.06.20&amp; other taxes on all materials,for dressing of flooring stones etc,excluding seigniorage charges, ., complete for finished item of work, but excluding the cost of conveyance of all materials.</t>
  </si>
  <si>
    <t>Flooring with 100mm thick Cement Concrete 1:4:8,  using 40mm metal, 100mm thick and 20 mm Cement Concrete surface (Ellis Pattern, 1st Sort) excluding seignarage charges as per the message no 03/RD/TA/2020dt 13.02.20 of Technical adviser RD TS ,Including,and all taxes  Cement as per GO MS 5 dt16.06.20&amp; other taxes on all materials,complete for finished item of work</t>
  </si>
  <si>
    <t xml:space="preserve">Flooring with Ceramic Tiles of 7.3mm thick 1st. quality of any shade as approved by Engineer - in - charge  set over a base coat of CM (1:8), 12mm thick laid over flooring bed / V.R.C.C. slab, with neat grey cement slurry of honey like consistency spread at the rate of 3.3 Kgs of cement per Sq.m and jointed with neat white cement paste mixed with pigment of matching shade including cost and conveyance of all materials like cement, sand, water, ceramic tiles etc. to site,  sales and other taxes on all materials, all operational, incidental, complete for finished item of work such as mixing of cement mortar, laying, curing, lift charges,excluding seignarage charges as per the message no 03/RD/TA/2020dt 13.02.20 of Technical adviser RD TS ,Including,and all taxes  Cement as per GO MS 5 dt16.06.20 etc., complete for finished item of work.(APSS No.701 &amp; 707) </t>
  </si>
  <si>
    <t xml:space="preserve">Dadooing to walls with white glazed tiles 1st. quality of any size of brand as approved by Engineer - in - charge and set over a base coat of CM (1:5), 12mm thick and neat cement paste at the rate of 3.3 Kg/Sqmt. and jointed with white cement paste mixed with pigment of matching shade including cost and conveyance of all materials like cement, sand, water, tiles, etc. to site,excluding seignarage charges as per the message no 03/RD/TA/2020dt 13.02.20 of Technical adviser RD TS ,Including,and all taxes  Cement as per GO MS 5 dt16.06.20  such as mixing of cement mortar, laying in position, curing, lift charges etc., complete for finished item of work  (APSS No.701 &amp; 707) </t>
  </si>
  <si>
    <r>
      <t>Providing S</t>
    </r>
    <r>
      <rPr>
        <b/>
        <sz val="11"/>
        <rFont val="Arial"/>
        <family val="2"/>
      </rPr>
      <t>kirting to internal walls to 10  Cm height with</t>
    </r>
    <r>
      <rPr>
        <sz val="11"/>
        <rFont val="Arial"/>
        <family val="2"/>
      </rPr>
      <t xml:space="preserve"> </t>
    </r>
    <r>
      <rPr>
        <b/>
        <sz val="11"/>
        <rFont val="Arial"/>
        <family val="2"/>
      </rPr>
      <t>15-18 mm thick</t>
    </r>
    <r>
      <rPr>
        <sz val="11"/>
        <rFont val="Arial"/>
        <family val="2"/>
      </rPr>
      <t xml:space="preserve"> polished Shahabad stone slab ( Tandur Blue Variety 1st quality) with length equal to flooring stones set over a base coat of CM (1:5), 12mm thick and jointed with neat cement paste to full depth (joints of stone should be flushed), including cost and conveyance of all materials like cement, sand, water, flooring stones etc. to site,  sales and other taxes on all materials, all operational, incidental , excluding seignarage charges as per the message no 03/RD/TA/2020dt 13.02.20 of Technical adviser RD TS ,Including,and all taxes  Cement as per GO MS 5 dt16.06.20and labour charges such as dressing of flooring stones to the required sizes, mixing of cement mortar, laying, jointing, curing, lift charges,excluding seignarage charges etc., complete for finished item of work.(APSS No.701 &amp; 707) </t>
    </r>
  </si>
  <si>
    <t xml:space="preserve">Flush Pointing to RRS Masonry in CM(1:3) Prop: including cost and conveyance of all materials like cement, sand, water etc., to site,excluding seignarage charges as per the message no 03/RD/TA/2020dt 13.02.20 of Technical adviser RD TS ,Including, Countryes &amp; other taxes on all materials, all operational, incidental,excluding seignarage charges as per the message no 03/RD/TA/2020dt 13.02.20 of Technical adviser RD TS ,Including,and all taxes  Cement as per GO MS 5 dt16.06.20 and labour charges such as mixing mortar, finishing, curing, excluding seignarage chargesetc., complete for finished item of work. (APSS 901,906) </t>
  </si>
  <si>
    <t xml:space="preserve">(12* 6 *0.5*2.47=88.92) </t>
  </si>
  <si>
    <t>Providing high yield strength deformed (HYSD) steel bars (Fe 415 grade as per IS 1786-1985) of 8mm to 40mm diameters, cutting, bending, to required sizes and shapes placing in position with cover blocks of approved size and binding wire of 20SWG, forming grills for reinforcement work as per approved designs and drawings including cost and conveyance of bars from approved sources to site of work, including cost and conveyance of binding wire, cover blocks and all operational, incidental,  all taxes,and labour charges such as cutting, bending, placing in position, tying etc., and Countryes &amp; other taxes,on cost of all materials complete for finished item of work (APSS No.126) in all floors.</t>
  </si>
  <si>
    <t xml:space="preserve">For  Ramps </t>
  </si>
  <si>
    <t>(0.60+0)/2</t>
  </si>
  <si>
    <t>For Sunshade of windows W</t>
  </si>
  <si>
    <t>windows W</t>
  </si>
  <si>
    <t>over Room Window W</t>
  </si>
  <si>
    <t>over windows W</t>
  </si>
  <si>
    <t>For  window W</t>
  </si>
  <si>
    <r>
      <t>Vibrated reinforced cement concrete corresponding M15 grade as per IS 456 equivalent to (1:1.5:3) prop: nominal mix (Cement: fine aggregate: coarse aggregate using 20mm size HBG (SS5) machine crushed  metal from approved quarry including cost and conveyance of all materials like cement, fine aggregate (Sand), coarse aggregate, water etc. to site excluding seignarage charges as per the message no 03/RD/TA/2020dt 13.02.20 of Technical adviser RD TS ,Including, Countryes, Including GST on steel,and all taxes  Cement as per GO MS 5 dt16.06.20&amp; other taxes on all materials, Including GST on steel,and all taxes  Cement as per GO MS 5 dt16.06.20 all operational, incidental,  and labor charges such as centering, shuttering, scaffolding, lift charges, machine mixing, laying concrete, vibrating, curing concrete etc, complete but excluding cost of steel and its fabrication charges for finished item of work  (APSS No.402 &amp; 403)</t>
    </r>
    <r>
      <rPr>
        <b/>
        <sz val="11"/>
        <rFont val="Arial"/>
        <family val="2"/>
      </rPr>
      <t xml:space="preserve"> FOR SUNSHADE 0.60 M WIDE.                                                            </t>
    </r>
  </si>
  <si>
    <t>Right side an left side @ 8'0"</t>
  </si>
  <si>
    <t>Right side an left side @ 7'0"</t>
  </si>
  <si>
    <t>For AEO Room walls allround</t>
  </si>
  <si>
    <t>For RBS Room walls allround</t>
  </si>
  <si>
    <t>For  Embedding Purlins</t>
  </si>
  <si>
    <t>s</t>
  </si>
  <si>
    <t>Approximatly</t>
  </si>
  <si>
    <t>Supplying,Fabrication &amp; Fixing of Base plates   10 mm thick MS Plate with 16mm dia Nut and Bolts system and tieing  over RCC Columns  including the cost of  conveyance of all materials &amp; Labour charges</t>
  </si>
  <si>
    <t>(12* 0.225*0.375*0.010 *7850=80 kgs</t>
  </si>
  <si>
    <t>Supply and fixing of 6 nos of 20 mm dia  bolts 500 mm long with nuts for jointing truss and vertical pipe.</t>
  </si>
  <si>
    <t xml:space="preserve">Add LS Water supply arrangements from Mission Bhagiratha scheme </t>
  </si>
  <si>
    <t>Flooring with 15 to 18mm thick polished shabad stones set over base coat of CM (1:8) over already laid CC bed / RCC Roof Slab, including neat cement slurry of honey like consistency spread @ 3.3 kgs per sqm. &amp; Jointed with neat cement to full depth including cost of all materials like cement, sand, and water and flooring stones etc., complete, including other taxes on all materials,for dressing of flooring stones etc,excluding seigniorage charges, ., complete for finished item of work, but excluding the cost of conveyance of all materials.</t>
  </si>
  <si>
    <t xml:space="preserve">                  The following provisions are made in the above estimate with specifications duly adopting cement rate at Rs 230.00 per Bag as per  GO MS No 5 dt 16.06.2020 of  Industries and Commerce (IP&amp; INF) Dept of Govt TS, and Seignarages are excluded  in this estimate  as per the Message No 03/RD/TA/2020dt 13.02.20 of Technical adviser RD TS Govt of Telangana and For Steel  GST is added @ 18% in the data </t>
  </si>
  <si>
    <r>
      <t>Providing high yield strength deformed (HYSD) steel TMT bars (Fe 500 grade as per IS 1786-1985) of 8mm to 40mm diameters, cutting, bending, to required sizes and shapes placing in position with cover blocks of approved size and binding wire of 20SWG, forming grills for reinforcement work as per approved designs and drawings including Cost and Conveyance  of bars from approved sources to site of work wit</t>
    </r>
    <r>
      <rPr>
        <b/>
        <sz val="11"/>
        <rFont val="Arial"/>
        <family val="2"/>
      </rPr>
      <t xml:space="preserve">h GST added @ 18% </t>
    </r>
    <r>
      <rPr>
        <sz val="11"/>
        <rFont val="Arial"/>
        <family val="2"/>
      </rPr>
      <t xml:space="preserve">,  including Cost and Conveyance  of binding wire, cover blocks chains, overlaps, spaces, dowels, wastage etc, and all operational, incidental, and labour charges such as cutting, bending, placing in position, tying etc.excluding seign, and  other taxes,on cost of all materials complete for finished item of work (APSS No.126) in </t>
    </r>
  </si>
  <si>
    <t xml:space="preserve"> Accompanying the Detailed Estimate for the work Modal Estimate for Construction of Rythu Vedhika  Work shed  </t>
  </si>
  <si>
    <t xml:space="preserve">Footings (F1)  </t>
  </si>
  <si>
    <t xml:space="preserve">Footings (F2)  </t>
  </si>
  <si>
    <t>For Cross walls A1-A4, F1-F4 with Projection</t>
  </si>
  <si>
    <t xml:space="preserve">For Exterior walls to A1-F6 ,A4-F4 </t>
  </si>
  <si>
    <t>For Pedstals for internal Plinth beam '</t>
  </si>
  <si>
    <t>F1,F2,F3,F4,F5,F6,F13,F14,F15, F16</t>
  </si>
  <si>
    <t>F7,F8,F9,F10,F11,F12</t>
  </si>
  <si>
    <t xml:space="preserve">C1 Type </t>
  </si>
  <si>
    <t xml:space="preserve">C2 Type </t>
  </si>
  <si>
    <t xml:space="preserve">C3 Type </t>
  </si>
  <si>
    <t>EPB1 For F1-F4</t>
  </si>
  <si>
    <t>EPB1 For A1-A4,B1-B4</t>
  </si>
  <si>
    <t>IPB1For C1-C4,D1-D4,E1-E4 
(Over Pedastal-2 Nos)</t>
  </si>
  <si>
    <t>IPB1 For A2-B2</t>
  </si>
  <si>
    <t>For Tie  Beams @ 12'0"</t>
  </si>
  <si>
    <t>B101 For A1-A4</t>
  </si>
  <si>
    <t>B103 For F1-F4</t>
  </si>
  <si>
    <t>B104 For A1-F1,A4-F4 Excluding Columns portion (18.70-6*0.225)</t>
  </si>
  <si>
    <t>B102 For B1-B4</t>
  </si>
  <si>
    <t>B105 For A2-B2</t>
  </si>
  <si>
    <t>B1 For A1-A4  @ 7'0</t>
  </si>
  <si>
    <t>B2 For F1-F4   @8'0</t>
  </si>
  <si>
    <t>B3 For A1-B1,A4-B4@7''0</t>
  </si>
  <si>
    <t>B3 For A1-F1,A4-F4 @8''0</t>
  </si>
  <si>
    <t>For Tie  Beams @ 7'0"/8'0"'</t>
  </si>
  <si>
    <r>
      <t xml:space="preserve">Plain reinforced cement concrete corresponding M15 grade as per IS 456 equivalent to (1:1.5:3) prop: nominal mix (Cement: fine aggregate: coarse aggregate using 20mm size HBG (SS5) machine crushed  metal from approved quarry including cost and conveyance of all materials like cement, fine aggregate (Sand), coarse aggregate, water etc. to site excluding seignarage charges as per message no 03/RD/TA/2020dt 13.02.20 of Technical adviser RD TS ,Including, Countryes &amp; other taxes on all materials, Including GST on steel,and all taxes  Cement as per GO MS 5 dt16.06.20 all operational, incidental,  and labor charges such as centering, shuttering, scaffolding, lift charges, machine mixing, laying concrete, vibrating, curing concrete etc, complete but excluding cost of steel and its fabrication charges for finished item of work  (APSS No.402 &amp; 403) for </t>
    </r>
    <r>
      <rPr>
        <b/>
        <sz val="11"/>
        <rFont val="Arial"/>
        <family val="2"/>
      </rPr>
      <t>LINTELS</t>
    </r>
  </si>
  <si>
    <t>Over Hall Doors D2 in Hall</t>
  </si>
  <si>
    <t>over Room Doors D3 in Toilets</t>
  </si>
  <si>
    <r>
      <t>Plain Cement Concrete corresponding to M10 grade as per IS 456 equivalent to (1:3:6) proportion nominal mix (cement: fine aggregate: Coarse aggregate) using 40mm size HBG  (SS5) metal from from approved quarry including cost and conveyance of all materials like cement, sand, coarse aggregate, water etc. to site,excluding seignarage charges as per the message no 03/RD/TA/2020dt 13.02.20 of Technical adviser RD TS ,Including, Countryes, &amp; other taxes on all materials,Including GST on steel,and all taxes  Cement as per GO MS 5 dt16.06.20all operational, incidental and labour charges such as mixing, laying, curing concrete,  etc, complete for finished item of work for</t>
    </r>
    <r>
      <rPr>
        <b/>
        <sz val="11"/>
        <rFont val="Arial"/>
        <family val="2"/>
      </rPr>
      <t xml:space="preserve"> Bed Blocks and Hold Fasts </t>
    </r>
    <r>
      <rPr>
        <sz val="11"/>
        <rFont val="Arial"/>
        <family val="2"/>
      </rPr>
      <t xml:space="preserve">(APSS No. 402) </t>
    </r>
  </si>
  <si>
    <t>For Hall Portion  up to 12'0"</t>
  </si>
  <si>
    <t>For Wall A1-F1&amp; A4--F4</t>
  </si>
  <si>
    <t>For Walls A1-A4,B1-B4</t>
  </si>
  <si>
    <t>For Walls F1-F4</t>
  </si>
  <si>
    <t>For Wall A2-B2</t>
  </si>
  <si>
    <t>For Gable wall above 8'0")</t>
  </si>
  <si>
    <t>For Walls A1-A4</t>
  </si>
  <si>
    <t>(0.10+1.30+0.10)/3</t>
  </si>
  <si>
    <t>For Hall allround Long walls</t>
  </si>
  <si>
    <t>For Hall allround Cross walls</t>
  </si>
  <si>
    <t>For AEO Room Allround</t>
  </si>
  <si>
    <t>For PBS Room Allround</t>
  </si>
  <si>
    <t xml:space="preserve">Ventilators openings </t>
  </si>
  <si>
    <t>For Gable front and Back wallls inside</t>
  </si>
  <si>
    <t>Door sills of MD</t>
  </si>
  <si>
    <t xml:space="preserve">Toilet Door sills </t>
  </si>
  <si>
    <t>Over Front Door</t>
  </si>
  <si>
    <t>B3 For B1-F1,B4-F4 @8''0</t>
  </si>
  <si>
    <t>Under IPB1 for A1-F1,A4-F4</t>
  </si>
  <si>
    <t>under EPB1for  B1-B4, C1-C4,
D1-D4,E1-E4</t>
  </si>
  <si>
    <t xml:space="preserve">under IPB1 for  A2-B2, </t>
  </si>
  <si>
    <t xml:space="preserve">For SBC 15  TN/sqm only </t>
  </si>
  <si>
    <t>C1 Type (0.60+2.40+0.60)</t>
  </si>
  <si>
    <t>B104 For A1-F1,A4-F4</t>
  </si>
  <si>
    <t xml:space="preserve">IPB1For A1-F1,A4-F4 </t>
  </si>
  <si>
    <t>C Sections 72 x 72 x 4 @8.72 Kgs/Rm</t>
  </si>
  <si>
    <t>Add Provision for Cleats and fixing materials@5%</t>
  </si>
  <si>
    <t>B2 For F1-F2 , F3-F4  @8'0</t>
  </si>
  <si>
    <t>B2 For F2- F3  @ 8'0</t>
  </si>
  <si>
    <t>Filling with  Selected Earth in trenches, sides of foundations and basement with initial lead in layers not exceeding 15cm thick, consolidating each deposited layer by watering and ramming including all operational, incidental, labor charges, hire charges of T &amp; P etc., complete,excluding seignarage charges as per the message no 03/RD/TA/2020dt 13.02.20 of Technical adviser RD TS all operational, incidental,  and labor charges ,  for finished item of work. (APSS NO. 309 &amp; 310)</t>
  </si>
  <si>
    <t xml:space="preserve">LS </t>
  </si>
  <si>
    <t>Supply , manufacture,  making to  specified design andLabour charges for fabricating steel works like Window Grills, Compound Wall Grills, Iron Doors, Windows including cost of welding rods, power charges, excluding cost of fixing in position.</t>
  </si>
  <si>
    <r>
      <t>Note :-</t>
    </r>
    <r>
      <rPr>
        <b/>
        <sz val="11"/>
        <rFont val="Arial"/>
        <family val="2"/>
      </rPr>
      <t xml:space="preserve"> Footings  Designed for  SBC 15 T/ Sqm and  Above </t>
    </r>
  </si>
  <si>
    <t>wood primer for Frame</t>
  </si>
  <si>
    <r>
      <t xml:space="preserve">Supply and fixing of Country wood Door Single shutter  fully panelled door of size 0.75 x 2.1mt with frame made of well seasoned country  Wood scantlings of size 100 x 75mm and  using </t>
    </r>
    <r>
      <rPr>
        <b/>
        <sz val="10"/>
        <rFont val="Cambria"/>
        <family val="1"/>
      </rPr>
      <t xml:space="preserve"> Flush door shutters, Moulded panel solid core flush doors using water-resistant hardwood fibre HDF / MDF fibre boards skins of 2.5 mm thick Masonite orequivalent doors - 35 mm thickas per approved design </t>
    </r>
    <r>
      <rPr>
        <sz val="10"/>
        <rFont val="Cambria"/>
        <family val="1"/>
      </rPr>
      <t xml:space="preserve">with fixtures of  6 nos of 9" ' z" holdfasts, 300 mm long MS Iron coted aldrop-1 no, 125mm long MS iron    butt hinges 3 No's, Door stoppers-1 no, 150mm long MS coated  Tower bolts  1- no's  MS iron coated  fancy  handles 150 mm -2 nos    with necessary screws complete including cost and conveyance of all materials and labour charges etc. complete as per specifications  (APSS NO.1001 &amp; 1002)                                                                                                 </t>
    </r>
  </si>
  <si>
    <t>wood primer frame only</t>
  </si>
  <si>
    <t>Moulded panel solid core flush doors using  water-resistant hardwood fibre HDF / MDF fibreboards skins of 2.5 mm thick Masonite orequivalent doors - 35 mm thick</t>
  </si>
  <si>
    <r>
      <t xml:space="preserve">Supply and fixing of Country wood Door double shutter  fully panelled door of size 0.90 x 2.1mt with frame made of well seasoned country  Wood scantlings of size 100 x 75mm and </t>
    </r>
    <r>
      <rPr>
        <b/>
        <sz val="10"/>
        <rFont val="Cambria"/>
        <family val="1"/>
      </rPr>
      <t xml:space="preserve"> using Flush door shutters, Moulded panel solid core flush doors using  water-resistant hardwood fibre HDF / MDF fibreboards skins of 2.5 mm thick Masonite orequivalent doors - 35 mm thick  </t>
    </r>
    <r>
      <rPr>
        <sz val="10"/>
        <rFont val="Cambria"/>
        <family val="1"/>
      </rPr>
      <t xml:space="preserve">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r>
  </si>
  <si>
    <r>
      <t>Supply and fixing of  Country wood Door double shutter  fully panelled door of size 1.05 x 2.1mt</t>
    </r>
    <r>
      <rPr>
        <sz val="10"/>
        <rFont val="Cambria"/>
        <family val="1"/>
      </rPr>
      <t xml:space="preserve"> with frame made of well seasoned country  Wood scantlings of size 100 x 75mm and  </t>
    </r>
    <r>
      <rPr>
        <b/>
        <sz val="10"/>
        <rFont val="Cambria"/>
        <family val="1"/>
      </rPr>
      <t xml:space="preserve">using Flush door shutters, Moulded panel solid core flush doors using  water-resistant hardwood fibre HDF / MDF fibreboards skins of 2.5 mm thick Masonite orequivalent doors - 35 mm thick </t>
    </r>
    <r>
      <rPr>
        <sz val="10"/>
        <rFont val="Cambria"/>
        <family val="1"/>
      </rPr>
      <t xml:space="preserve">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r>
  </si>
  <si>
    <t>TBSC-L.II-20</t>
  </si>
  <si>
    <r>
      <t xml:space="preserve">Supply and fixing of Salwood Door Single shutter  fully panelled door of size 0.75 x 2.1mt with frame made of well seasoned Sal Wood scantlings of size 75 x 125 mm and  </t>
    </r>
    <r>
      <rPr>
        <b/>
        <sz val="10"/>
        <rFont val="Trebuchet MS"/>
        <family val="2"/>
      </rPr>
      <t>Flush Door  shutter made of Moulded panel solid core flush doors using  water-resistant hardwood fibre HDF / MDF fibreboards skins of 2.5 mm thick Masonite orequivalent doors - 35 mm thick</t>
    </r>
    <r>
      <rPr>
        <sz val="10"/>
        <rFont val="Trebuchet MS"/>
        <family val="2"/>
      </rPr>
      <t xml:space="preserve">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r>
  </si>
  <si>
    <t>Flush Door  shutter made of Moulded panel solid core flush doors using  water-resistant hardwood fibre HDF / MDF fibreboards skins of 2.5 mm thick Masonite orequivalent doors - 35 mm thick</t>
  </si>
  <si>
    <t xml:space="preserve">S/F of 16 MM dia Bars of over Door </t>
  </si>
  <si>
    <t>TBSC-T.I-25</t>
  </si>
  <si>
    <t>TBSC-T.I-26</t>
  </si>
  <si>
    <t>For toilets  Plotforms both sides</t>
  </si>
  <si>
    <t>Columns up to Plinth level</t>
  </si>
  <si>
    <t xml:space="preserve">Columns up to Plinth to Roof </t>
  </si>
  <si>
    <t>IPB1For C1-C4,D1-D4,E1-E4 
(Over Pedastal-1 Nos)</t>
  </si>
  <si>
    <t>Over Hall   Window  W</t>
  </si>
  <si>
    <t>B102 For F1-F4</t>
  </si>
  <si>
    <t>B102 For A2-B2</t>
  </si>
  <si>
    <t>420.6/550.7</t>
  </si>
  <si>
    <t>BLD-CSTN-2-5</t>
  </si>
  <si>
    <t>Binding wire VP27 IB SSR No. 3</t>
  </si>
  <si>
    <t>DATA FOR WOOD WORK WITH 2020-21 (Sal  Wood )</t>
  </si>
  <si>
    <t>2.17.4a</t>
  </si>
  <si>
    <t>ELEC-2.15.1B</t>
  </si>
  <si>
    <t>2.16.1A</t>
  </si>
  <si>
    <t>ELEC-2.14.1A</t>
  </si>
  <si>
    <t>ELEC-10.7.16h</t>
  </si>
  <si>
    <r>
      <t>DETAIED AND ABSTRACT ESTIMATE</t>
    </r>
    <r>
      <rPr>
        <b/>
        <sz val="11"/>
        <rFont val="Arial"/>
        <family val="2"/>
      </rPr>
      <t xml:space="preserve">  2020-21</t>
    </r>
  </si>
  <si>
    <t>Units</t>
  </si>
  <si>
    <t>CUM</t>
  </si>
  <si>
    <t>SQM</t>
  </si>
  <si>
    <t>CEMENT</t>
  </si>
  <si>
    <t>Add LS Water supply arrangements from Mission Bhagiratha scheme ,Electrical connection charges ,Clearing Premises, Land scapping,etc.</t>
  </si>
  <si>
    <t>Name board</t>
  </si>
  <si>
    <t>Note: the LS amount does not exceed Rs.1300, the excess LS amount maybe kept in steel and cement</t>
  </si>
  <si>
    <t>Steel</t>
  </si>
  <si>
    <t>2nd Class Bricks size 23x11x7  CM</t>
  </si>
  <si>
    <t>Concrete Mixer 10 / 7 cft (0.2 / 0.8 cum) capacity ( 600/400) Diesel</t>
  </si>
  <si>
    <t>TBSC-G.V-01                238</t>
  </si>
  <si>
    <t>Labour Charges for making   918</t>
  </si>
  <si>
    <t>Labour Charges for making   919</t>
  </si>
  <si>
    <t xml:space="preserve"> SL No .836</t>
  </si>
  <si>
    <t xml:space="preserve">TBSC-R.I-22   </t>
  </si>
  <si>
    <t>891 TBSC-S.I-02</t>
  </si>
  <si>
    <t>892 TBSC-S.I-03</t>
  </si>
  <si>
    <t>TBSC-E.II-01</t>
  </si>
  <si>
    <t>TBSC-F.I-02</t>
  </si>
  <si>
    <t>TBSC-D.I-02</t>
  </si>
  <si>
    <t>117 TBSC-D.I-04</t>
  </si>
  <si>
    <t>ELEC-9.2.8-a</t>
  </si>
  <si>
    <t xml:space="preserve">23/0060 3 Core wire /havells/Finolex </t>
  </si>
  <si>
    <t>ELEC-1.5.5</t>
  </si>
  <si>
    <t>ELEC-5.1.9 -b</t>
  </si>
  <si>
    <t xml:space="preserve">
ELEC-1.4.4</t>
  </si>
  <si>
    <t>ELEC-2.6.1 -a</t>
  </si>
  <si>
    <t>TW /ELEC-8.1.31</t>
  </si>
  <si>
    <t>ELEC-2.14.1.a</t>
  </si>
  <si>
    <t>ELEC-3.9.24</t>
  </si>
  <si>
    <t>Supply and fixing of fully panelled  Window  frame and shutters of size 1.50 x 1.20 mt with Salwood frame of size 75x100mm and S/F of 4 Nos. MS Hold fasts, incl. all labour charges such as making window frame and shutters and fiXing   10 Nos.of  12 mm square safety bars in to  the frame etc,including applying primory coat, cost and conveyance  of all materials ..</t>
  </si>
  <si>
    <t>Asst. Exe. Engineer</t>
  </si>
  <si>
    <t>PRI Yacharam</t>
  </si>
  <si>
    <t>power Saw cutter Hand operated - Operator @146/Hr</t>
  </si>
  <si>
    <t>Power drill  Hand operated - Operator @137/HR</t>
  </si>
  <si>
    <t>G.I corrugated 0.80 mm thick sheets @ Rs 68/Kg</t>
  </si>
  <si>
    <t xml:space="preserve"> HBG SS5 M/c chips (2.36-5mm )</t>
  </si>
  <si>
    <t>Data SSR 2022-23</t>
  </si>
  <si>
    <t xml:space="preserve">Man/Woman mazdoor </t>
  </si>
  <si>
    <t xml:space="preserve">CR stone </t>
  </si>
  <si>
    <t xml:space="preserve">Add Muncipal Limits </t>
  </si>
  <si>
    <t>Flooring with 15 to 18mm thick polished Shahabad stones set over base coat of CM (1:8) over already laid CC bed / RCC Roof Slab, including neat cement slurry of honey like consistency spread @ 3.3 kgs per sqm. &amp; Jointed with neat cement to full depth including cost of all materials like cement, sand, and water and flooring stones etc., complete, including  labour charges for dressing of flooring stones etc., complete for finished item of work, but excluding the cost of conveyance of all materials.</t>
  </si>
  <si>
    <t xml:space="preserve">Polished Shahabad Stone (Blue) 15 to 18 mm thick (0.457x0.304) SSR item No. (25) </t>
  </si>
  <si>
    <t>Flooring with 40 mm thick Rough Cuddapah/Shahabad stones, set over base coat of cement mortar (1 : 8) 12 mm thick over CC bed already laid or RCC roof slab, including pointing with cement mortar 1:3 duly filling joints nearly, including cost of all materials like flooring stone, cement, sand, and water etc., complete, including labour charges for dressing of flooring stones etc., complete for finished item of work, but excluding the cost of conveyance of all materials.</t>
  </si>
  <si>
    <t>Rough Tandur /Shahabad stones (40 mm thick) (0.457 x 0.457 m) BMT B.04</t>
  </si>
  <si>
    <t>Providing skirting to internal walls to 15 cm height/risers of steps with 25 mm thick polished Shahabad  stone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Cuddapah stone, cement, sand and water etc., complete including seigniorage charges, etc., complete for finished item of work, but excluding the cost of conveyance of all materials</t>
  </si>
  <si>
    <t xml:space="preserve">15-18  mm thick polished Shahabad stone </t>
  </si>
  <si>
    <t>Shahabad / Tandur Rough Stone slabs of all sizes between 25 mm - 40 mm thickness</t>
  </si>
  <si>
    <t>TBSC-B.I-02</t>
  </si>
  <si>
    <t>Selected Earth</t>
  </si>
  <si>
    <t xml:space="preserve">earthl for filling </t>
  </si>
  <si>
    <t>Door size 1.05X2.10 mts</t>
  </si>
  <si>
    <t>Door size 1.05X2.10 M (Frame )</t>
  </si>
  <si>
    <t xml:space="preserve">Cost of Frame 1.05m x2.10M </t>
  </si>
  <si>
    <t xml:space="preserve">Cost of Shutters 1.05m x2.10M </t>
  </si>
  <si>
    <t>Window size 1.20X1.2mts</t>
  </si>
  <si>
    <t xml:space="preserve">Window size 1.2X1.2mts (Frame only) </t>
  </si>
  <si>
    <t>qc</t>
  </si>
  <si>
    <t>nac</t>
  </si>
  <si>
    <t>s/c</t>
  </si>
  <si>
    <t>dmft</t>
  </si>
  <si>
    <t>smet</t>
  </si>
  <si>
    <t xml:space="preserve">Supply and fixing of Salwood Door Single shutter  fully panelled door of size 0.75 x 2.1mt with frame made of well seasoned Sal Wood scantlings of size 75 x 100 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</si>
  <si>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 xml:space="preserve">                    </t>
  </si>
  <si>
    <t>t.p</t>
  </si>
  <si>
    <t>metal</t>
  </si>
  <si>
    <t>sand</t>
  </si>
  <si>
    <t xml:space="preserve">Rock Sand </t>
  </si>
  <si>
    <t>2.36-5</t>
  </si>
  <si>
    <t>PERMIT FEE</t>
  </si>
  <si>
    <t>Sand for cm 1:5 base coat</t>
  </si>
  <si>
    <t>Vitrified tiles polished 1st quality</t>
  </si>
  <si>
    <t>ELEC-1.2.6-B</t>
  </si>
  <si>
    <t>ELEC-1.2.8-B</t>
  </si>
  <si>
    <t>ELEC-3.4.4</t>
  </si>
  <si>
    <t>h</t>
  </si>
  <si>
    <t>gst @ 18%</t>
  </si>
  <si>
    <t>67*2.5</t>
  </si>
  <si>
    <t xml:space="preserve">                         </t>
  </si>
  <si>
    <t>ITEM</t>
  </si>
  <si>
    <t>permit fee</t>
  </si>
  <si>
    <t>earth</t>
  </si>
  <si>
    <t>cc</t>
  </si>
  <si>
    <t>brick</t>
  </si>
  <si>
    <t>sewer man hole</t>
  </si>
  <si>
    <t>RR</t>
  </si>
  <si>
    <t>plastering 12MM</t>
  </si>
  <si>
    <t>SKIRTING</t>
  </si>
  <si>
    <t>Seigniorage charges</t>
  </si>
  <si>
    <t>shahabad flooring</t>
  </si>
  <si>
    <t>shahabad skirting</t>
  </si>
  <si>
    <t>dadooing</t>
  </si>
  <si>
    <t>seign</t>
  </si>
  <si>
    <t>Sno.</t>
  </si>
  <si>
    <t>DESCRIPTION</t>
  </si>
  <si>
    <t>Q</t>
  </si>
  <si>
    <t>RATE/PER</t>
  </si>
  <si>
    <t>AMOUNT</t>
  </si>
  <si>
    <t>Earth work excavation for foundations and depositing on bank for all lifts and with an initial lead of 10m including all operational, incidental, labour charges such as shoring ,sheeting, planking, strutting, etc. complete for finished item of work excluding dewatering charges etc as per SS - 20 B (APSS 308) including cost and conveyance of all material and labour charges, etc complete.</t>
  </si>
  <si>
    <t>Footings F1</t>
  </si>
  <si>
    <t>F2</t>
  </si>
  <si>
    <t>F3</t>
  </si>
  <si>
    <t>Basement long walls</t>
  </si>
  <si>
    <t xml:space="preserve">cross walls </t>
  </si>
  <si>
    <t>deductions</t>
  </si>
  <si>
    <t>Basement for portico LW1</t>
  </si>
  <si>
    <t>Basement for portico CW</t>
  </si>
  <si>
    <t>TOTAL</t>
  </si>
  <si>
    <t>per 1cum</t>
  </si>
  <si>
    <t>Plain Cement Concrete   of (1:4:8:) proportion nominal mix (cement: fine aggregate: Coarse aggregate) using 40mm size HBG M/c (SS5) metal  with concrete mixture including cost and conveyance of all materials like cement, sand (unscreened), coarse aggregate, water etc. to site,  all operational, incidental,  and labour charges such as mixing, laying and ramming concrete in layers in position not exceeding 15cm, finishing top surface, curing concrete etc., complete  for finished item of work for Foundations (APSS No. 402).</t>
  </si>
  <si>
    <t>PCC bed for Foundations(Below Footings and Basement)</t>
  </si>
  <si>
    <t>FLOORING</t>
  </si>
  <si>
    <t>Conference Room</t>
  </si>
  <si>
    <t>Sarpanch room</t>
  </si>
  <si>
    <t>Panchayat Secretary room</t>
  </si>
  <si>
    <t>Store</t>
  </si>
  <si>
    <t>entrance lobby</t>
  </si>
  <si>
    <t>Toilet Sarpanch room</t>
  </si>
  <si>
    <t>Toilet corridor</t>
  </si>
  <si>
    <t>Below Staircase</t>
  </si>
  <si>
    <t>Portico Basement LW</t>
  </si>
  <si>
    <t>Portico Basement CW</t>
  </si>
  <si>
    <t>Under PB LW</t>
  </si>
  <si>
    <t>Under PB CW</t>
  </si>
  <si>
    <t>Portico</t>
  </si>
  <si>
    <t>BLD-CSTN-2-9 (17) : Filling with useful available excavated earth (excluding rock) in trenches, sides of foundations and basement with initial lead in layers not exceeding 15 cm thick, consolidating each deposited layer by watering and ramming including cost and conveyance of water to work site and all operational, incidental, labour charges, hire charges of T &amp; P etc., complete for finished item of work. (APSS NO. 309 &amp; 310) (Rate as per RSSR 2021-22 S.No. 18)</t>
  </si>
  <si>
    <t>Excavated earthwork qty</t>
  </si>
  <si>
    <t>Deductions for footing PCC qty</t>
  </si>
  <si>
    <t>Deductions for footing VRCC</t>
  </si>
  <si>
    <t>Deductions for pedestal VRCC</t>
  </si>
  <si>
    <t>Deductions for columns VRCC</t>
  </si>
  <si>
    <t>Filling with Gravel</t>
  </si>
  <si>
    <t>Meeting Room</t>
  </si>
  <si>
    <t>Panchayat Secretary</t>
  </si>
  <si>
    <t>Toilet Corrieder</t>
  </si>
  <si>
    <t>Under Staircase</t>
  </si>
  <si>
    <t>Basement below GL</t>
  </si>
  <si>
    <t>Basement above GL</t>
  </si>
  <si>
    <t>Supply and placing of the design Mix Concrete M20 grade corresponding to IS 456 with minimum cement content of 350Kgs per 1cum of concrete using Weigh Batcher/Mixer with 20mm size graded machine crushed hard granite matel(course aggregate) (consisting of nominal size metal 60% of 20mm ,15% of 13.20/12.50mm,15% of 10mm and coarse agg,water etc., to site etc..,including all operational,incidental and labour chares such as weigh batching,machine mixing,laying concrete,curing.</t>
  </si>
  <si>
    <t>FOOTINGS</t>
  </si>
  <si>
    <t>PEDESTALS</t>
  </si>
  <si>
    <t>for all footings</t>
  </si>
  <si>
    <t>PLINTH BEAMS above Basement</t>
  </si>
  <si>
    <t>long walls</t>
  </si>
  <si>
    <t>shortwalls</t>
  </si>
  <si>
    <t>ded : junctions</t>
  </si>
  <si>
    <t>Columns upto Plinth Level</t>
  </si>
  <si>
    <t>columns:C1</t>
  </si>
  <si>
    <t>columns:C2</t>
  </si>
  <si>
    <t>columns:C3</t>
  </si>
  <si>
    <t>columns:C4</t>
  </si>
  <si>
    <t>e</t>
  </si>
  <si>
    <t>COLUMNS UPTO ROOF  LEVEL</t>
  </si>
  <si>
    <t>ROOF BEAMS-GROUND FLOOR</t>
  </si>
  <si>
    <t>longwalls</t>
  </si>
  <si>
    <t>Lintel level beam</t>
  </si>
  <si>
    <t>Mid landing beam for staircase</t>
  </si>
  <si>
    <t>Staircase steps</t>
  </si>
  <si>
    <t>Ded : Columns</t>
  </si>
  <si>
    <t>RCC ROOF SLAB-125MM TH-FOR GROUND FLOOR</t>
  </si>
  <si>
    <t>slab  (1.5 ft projection on sides)</t>
  </si>
  <si>
    <t>Deduct staircase portion</t>
  </si>
  <si>
    <t>Staircase waist slab(175mm thick)</t>
  </si>
  <si>
    <t>Mid landing slab(175mm thick)</t>
  </si>
  <si>
    <t>Portico slab (125 mm thick)</t>
  </si>
  <si>
    <t>n</t>
  </si>
  <si>
    <t>LINTELS(GF)</t>
  </si>
  <si>
    <t>windows top</t>
  </si>
  <si>
    <t>door top  D1</t>
  </si>
  <si>
    <t>door top  D2</t>
  </si>
  <si>
    <t>door top  D3</t>
  </si>
  <si>
    <t>PER CUM</t>
  </si>
  <si>
    <t>p</t>
  </si>
  <si>
    <t>SUNSHADES  of 75mm thick at fixed and 50mm at free end(GF)</t>
  </si>
  <si>
    <t>for all windows</t>
  </si>
  <si>
    <t>PER SQM</t>
  </si>
  <si>
    <t>BED BLOCKS FOR DOOR HOLDFASTS</t>
  </si>
  <si>
    <t>door MD</t>
  </si>
  <si>
    <t>door D1</t>
  </si>
  <si>
    <t>door D3</t>
  </si>
  <si>
    <t>per cum</t>
  </si>
  <si>
    <t>Providing thermo mechanically treated (TMT) reinforcement (Fe-500/550D grade as per IS 1786-2008 procured invariably from the primary/integrated steel producers) of different diameters RCC works,including labour charges for straightening,cutting,bending to required sizes and shapes,placing in position with cover blocks of approved materials and size and trying and lap-splicing with binding wire,forming grills for reinforcement work as per approved designs and drawings,including cost and conveyance of binding wire, cover blocks and all overlaps, operational, labour charges such as cutting,bending,placing in position, tying etc. complete for finished item of work.</t>
  </si>
  <si>
    <t>Providing brick work of 230mm thick in CM (1:6) prop., using  common burnt clay bricks of class as per Table-1 of IS:1077-1992 Non-Modular or traditional size , including cost &amp; conveyance of all material and labour charges, centering &amp; scafolding charges  etc.,  complete as per APSS No.501 for Super structure and others.</t>
  </si>
  <si>
    <t>BRICK MASONARY(Ground floor)</t>
  </si>
  <si>
    <t>Cross walls</t>
  </si>
  <si>
    <t>Steps</t>
  </si>
  <si>
    <t>"</t>
  </si>
  <si>
    <t>Wall elevation</t>
  </si>
  <si>
    <t>GP name wall</t>
  </si>
  <si>
    <t>Main elevation</t>
  </si>
  <si>
    <t>(0.90+1.80+0.90)/3</t>
  </si>
  <si>
    <t>Deductions:</t>
  </si>
  <si>
    <t>Windows</t>
  </si>
  <si>
    <t xml:space="preserve">lintels </t>
  </si>
  <si>
    <t>Reinforced Brick Masonary walls of 11.5cm in CM(1:4) using  second class traditional size bricks and using two mild steel bars of 6m dia in every third layer of brick masory, with free joints of the main block work including cost and conveyance of all materials and water from approved sources to work site and all operational, incidental, labour charges such as scaffolding mixing mortor constructing masonary lift charges, curing etc. complete but excluding the cost of steel and its fabrication charges for finished item of work as per SS 509</t>
  </si>
  <si>
    <t>Ground floor(internal walls)</t>
  </si>
  <si>
    <t>longwalls including store</t>
  </si>
  <si>
    <t>C/w Meeting  room &amp; Lobby</t>
  </si>
  <si>
    <t xml:space="preserve">Cross wall betweenSarpanch and  Panchayat Secretary room </t>
  </si>
  <si>
    <t>Cross wall between  Panchayat Secretary room &amp; store</t>
  </si>
  <si>
    <t>C/w between lobby &amp; toilets</t>
  </si>
  <si>
    <t>Staircase &amp; Toilets</t>
  </si>
  <si>
    <t>Parapet walls:     long walls</t>
  </si>
  <si>
    <t>ded : Door D2</t>
  </si>
  <si>
    <t>Toilet doors-D3</t>
  </si>
  <si>
    <t>D2 door lintel</t>
  </si>
  <si>
    <t>D3 door lintel</t>
  </si>
  <si>
    <t>Ceiling plastering of 12mm thick with CM (1:3) including cost and conveyance of all material and labour charges, all operational, incidental such as scaffolding charges, lift charges, including cutting of Grooves,finishing, curing,  etc., complete for for finished item of work. (APSS 901,903 &amp; 904) (CSSR) for CEILING PLASTERING.</t>
  </si>
  <si>
    <t>ORNAMENTAL</t>
  </si>
  <si>
    <t>Store room</t>
  </si>
  <si>
    <t>Entrance lobby</t>
  </si>
  <si>
    <t>slab projection ceiling  longwalls</t>
  </si>
  <si>
    <t>Verandah</t>
  </si>
  <si>
    <t>Staircase slab bottom</t>
  </si>
  <si>
    <t>Mid landing slab bottom</t>
  </si>
  <si>
    <t>Toilet corider</t>
  </si>
  <si>
    <t>INTERNAL PLASTERING(Ground floor)</t>
  </si>
  <si>
    <t>Entrance lobby room</t>
  </si>
  <si>
    <t>Sarpanch room longwalls</t>
  </si>
  <si>
    <t>Panchayat Secretary longwalls</t>
  </si>
  <si>
    <t>Store longwalls</t>
  </si>
  <si>
    <t>Toilet Sarpanch room longwalls</t>
  </si>
  <si>
    <t>Toilet &amp; Stair</t>
  </si>
  <si>
    <t xml:space="preserve"> Deductions: </t>
  </si>
  <si>
    <t>Door D2</t>
  </si>
  <si>
    <t>Toilet corrider</t>
  </si>
  <si>
    <t>Plastering to brick masonary wall with  20mm thick double coat in CM (1:6) 16 mm thick base coat and CM (1:4) of 4mm thick top coat with dubara sponge finish including cost and conveyance of all material and labour charges, over heads &amp; contractor profit, all operational, incidental such as scaffolding charges, lift charges, including cutting of Grooves,finishing, curing,  etc., complete for for finished item of work. (APSS 901,903 &amp; 904) (CSSR) for outer Walls.</t>
  </si>
  <si>
    <t>EXTERNAL PLASTERING (Ground floor)</t>
  </si>
  <si>
    <t>(basement bottom to roof slab top)longwalls</t>
  </si>
  <si>
    <t>sunshades top and bottom</t>
  </si>
  <si>
    <t>windows</t>
  </si>
  <si>
    <t>V1 ventilator</t>
  </si>
  <si>
    <t>Entrance walls</t>
  </si>
  <si>
    <t>Name board wall</t>
  </si>
  <si>
    <t>EXTERNAL WALLS</t>
  </si>
  <si>
    <t>External walls plastering quantity(Ground floor)</t>
  </si>
  <si>
    <t>INTERNAL WALLS</t>
  </si>
  <si>
    <t>Internal walls+Ornamental plastering quantity(Ground floor)</t>
  </si>
  <si>
    <t>per sqm</t>
  </si>
  <si>
    <t>DUMMY COLUMNS</t>
  </si>
  <si>
    <t>all terrace floor columns</t>
  </si>
  <si>
    <t>Dadooing with ceramic</t>
  </si>
  <si>
    <t xml:space="preserve">FLOORING WITH CERAMIC </t>
  </si>
  <si>
    <t>DOOR patties D3</t>
  </si>
  <si>
    <t>Corrider</t>
  </si>
  <si>
    <t>Main door D1</t>
  </si>
  <si>
    <t>no's</t>
  </si>
  <si>
    <t>per each</t>
  </si>
  <si>
    <t>D2 door</t>
  </si>
  <si>
    <t>Providing and fixing 30mm thick Solid panel PVC door shutter consisting of frame made out of M.S. tubes of 19 gauge thickness and size of 19mm x 19mm for stiles, &amp; 15mm x 15mm for top &amp; bottom rails. M.S. frame shall have a coat of steel primers of approved make and manufacture. M.S. frame shall be covered with 5mm thick heat moulded PVC ‘C’ channel of size 30 x 50mm forming stiles, and 5mm thick, 75mm wide PVC sheets for top rail, lock rail &amp; bottom rail on either side, and 10mm (5mm x 2) thick, 20mm wide cross PVC sheet as gap insert for top rail &amp; bottom rail. Paneling of 5mm thick PVC sheet to be fitted in the M.S. frame welded / sealed to  the stiles &amp; rails with 30mm wide x 5mm thick PVC sheet beading on either side, and  joined together with solvent cement adhesive etc. An additional 5mm thick PVC strip of  20mm width is to be stuck on the interior side of the ‘C’ Channel using PVC solvent  adhesive. Complete as per direction of Engineer-in-charge, manufacturer’s specification &amp; drawing for finished item of work .</t>
  </si>
  <si>
    <t>D3 door</t>
  </si>
  <si>
    <t>TBSC-L.III-01</t>
  </si>
  <si>
    <t>Supplying and fixing of Unplasticized Poly Vinyl Chloride (UPVC) 3 track sliding windows  with mesh shutter provision – (only 2-glass shutters) duly manufactured using UPVC  reinforced profiles (Composition of profile shall consists a minimum of 5.5 PHR of TiO2  and not more than 12 PHR of CaCo3 for every 100 parts of PVC resin) of (80 mm x 52 mm)/  (94 mm x 45 mm) x 2.20 mm for outer frames, (54 mm x 38 mm)/(39 mm x 58 mm) x  2.20 mm for sliding shutter frames capable of mounting single glazing system, structurally  reinforced with hot dip galvanized up to 50 microns of minimum thickness of 1.0/1.2 mm  prefabricated &amp; welded through fusion welding. The window sash shall be fitted with  5 mm thick clear float glass of reputed make duly fixed with Grey colour TPV Gasket for  sash &amp; Glazing bead shall be co-extruded with Grey colour soft PVC. System shall have single  point locking with Touch Lock and the system is to be installed at the site using anchor asteners, silicon rubber sealant, easy glazing/ deglazing at site etc., including cost  and conveyance of all materials, accessories, labour charges for transportation, erection at  site complete for finished item of work</t>
  </si>
  <si>
    <t>TBSC-M.II-10</t>
  </si>
  <si>
    <t>ventilators</t>
  </si>
  <si>
    <t>door patties D1 door</t>
  </si>
  <si>
    <t>door D3 store room</t>
  </si>
  <si>
    <t>opening patti of corridor</t>
  </si>
  <si>
    <t>Below staircase</t>
  </si>
  <si>
    <t>store room</t>
  </si>
  <si>
    <t>Painting to Wood work with two coats of ready mixed synthetic enamel paint first quality all shades over a base coat of wood primer making three coats in all to give an even shade after thoroughly brushing the surface to remove all remains of loose powdered materials, including c/c of all materials, site and other taxes, all operational, incidental and labour charges etc., complete for finished item of work in all flooring for external walls. (APSS No.1201,1207 &amp;1212).</t>
  </si>
  <si>
    <t>Manufactrucing supply and fixing of Iron grills including cost of fabrication etc complete</t>
  </si>
  <si>
    <t>per kg</t>
  </si>
  <si>
    <t xml:space="preserve">BLD-CSTN-10-25-(148) : Providing impervious coat to exposed RCC roof slab surface with CM(1:3), 20mm thick  with 1kg of water proof compound per bag of cement  laid over roof when it is green including cost of all materials,, excluding conveyance charges </t>
  </si>
  <si>
    <t>Supply and filling of selelcted earth (ordinary soil) in trenches, sides of foundations and basement with initial lead in layers not exceeding 15 cm thick, consolidating each deposited layer by watering and ramming including cost and conveyance of water to work site and all operational, incidental, labour charges, hire charges of T &amp; P etc., complete for finished item of work. (APSS NO. 309 &amp; 310) including cost and conveyance of all material and labour charges,  etc., complete.</t>
  </si>
  <si>
    <t>Plain Cement Concrete   of (1:2:4) proportion nominal mix (cement: fine aggregate: Coarse aggregate) using 20mm size HBG M/c (SS5) metal  with concrete mixture including cost and conveyance of all materials like cement, sand(unscreened), coarse aggregate, water etc. to site,  all operational, incidental,  and labour charges such as mixing, laying and ramming concrete in layers in position not exceeding 15cm, finishing top surface, curing concrete,  for finished item of work (APSS No. 402).</t>
  </si>
  <si>
    <t>Unit = Cum</t>
  </si>
  <si>
    <t>Coarse Aggregate 20mm</t>
  </si>
  <si>
    <t>Sand</t>
  </si>
  <si>
    <t>Seignorage Charges for CA</t>
  </si>
  <si>
    <t>Seignorage Charges for FA</t>
  </si>
  <si>
    <t>Water (Including for curing) Item No.M-189(b)</t>
  </si>
  <si>
    <t>Machinery</t>
  </si>
  <si>
    <t>Hour</t>
  </si>
  <si>
    <t>Centering Charges(bed blocks)</t>
  </si>
  <si>
    <t>Labour</t>
  </si>
  <si>
    <t>Mason 1st Class</t>
  </si>
  <si>
    <t>~</t>
  </si>
  <si>
    <t>SUB-ESTIMATE FOR ELECRTICAL ITEMS GF</t>
  </si>
  <si>
    <t>Sl 
No.</t>
  </si>
  <si>
    <t>NO'S</t>
  </si>
  <si>
    <t>Per Rmt</t>
  </si>
  <si>
    <t>MEETING ROOM</t>
  </si>
  <si>
    <t>lightpoints</t>
  </si>
  <si>
    <t>fan points</t>
  </si>
  <si>
    <t>SERPANCH ROOM</t>
  </si>
  <si>
    <t>PANCHAYATH SECRETARY</t>
  </si>
  <si>
    <t>panchayath secretary room front corridor light point</t>
  </si>
  <si>
    <t>store room front corridor light point</t>
  </si>
  <si>
    <t>STORE ROOM</t>
  </si>
  <si>
    <t>sarpanch room toilet light point</t>
  </si>
  <si>
    <t>outside at main door or main entry steps light point</t>
  </si>
  <si>
    <t xml:space="preserve">FROM OFFICE ROOM DB </t>
  </si>
  <si>
    <t>meeting room  DB TO SB1</t>
  </si>
  <si>
    <t>DB TO SB2 sarpanch room</t>
  </si>
  <si>
    <t>LOOP SB2 TO TOILET SB</t>
  </si>
  <si>
    <t>DB TO SB3 p.secretary room</t>
  </si>
  <si>
    <t xml:space="preserve"> DB-SB4 STORE ROOM</t>
  </si>
  <si>
    <t xml:space="preserve"> DB TO SB5 office room</t>
  </si>
  <si>
    <t>per rmt</t>
  </si>
  <si>
    <t>meeting room</t>
  </si>
  <si>
    <t>sarpanch room</t>
  </si>
  <si>
    <t>secretary room</t>
  </si>
  <si>
    <t>at main entry door</t>
  </si>
  <si>
    <t xml:space="preserve">at corridors </t>
  </si>
  <si>
    <t>staircase side out side</t>
  </si>
  <si>
    <t>at office room</t>
  </si>
  <si>
    <t>SANITARY &amp; WATER SUPPLY ITEMS</t>
  </si>
  <si>
    <t>WS&amp;S SSR</t>
  </si>
  <si>
    <t>Supplying &amp; Fixing of Indian Pattern White Glazed 1st Quality of ISI Orissa  Pan with "P" or "S" trap Hindware / Parryware / Neycer - ISI Mark 630x450 mm including cost and conveyance of all materials and labour charges etc., complete</t>
  </si>
  <si>
    <t>Indian Pattern WC</t>
  </si>
  <si>
    <t>TBSP-E.VIII-02</t>
  </si>
  <si>
    <t>Labour Charges for EWC Fitting</t>
  </si>
  <si>
    <t>Supply, Installation and commissioning approved make wash down wall mounted EWC conforming to IS:2556 (Part 16)-2002 with 'P' or 'S' trap with concealed flush cistern fixed in wall with all internal parts of dual flush cistern, ultra solid seat cover of approved make with rubber buffer and cap all of approved makeetc. complete for finished item of work in all respects: White colour</t>
  </si>
  <si>
    <t>TBSP-E.III-01</t>
  </si>
  <si>
    <t>European Water Closet</t>
  </si>
  <si>
    <t>TBSP-E.VIII-
06</t>
  </si>
  <si>
    <t>Supplying &amp; Fixing Indian make Flat Back Wash Hand Basin 1st quality conforming to IS:2556-Part-4:1972 with waste fittings like rubber plug, chain, 32 mm nominal size C.P. Fitting with parallel pipe thread conforming to IS:2963-1979 and fitted with 15 mm nominal bore Chromium Plated Pillar Tap of 1st quality Indian make 400 grams Seiko/ Senior/ Nice/ Esso or equivalent complete with standard CI brackets including wooden block: 450 x 300 mm - Single C.P. Pillar cock</t>
  </si>
  <si>
    <t>TBSP-E.VI-06</t>
  </si>
  <si>
    <t>Wash Basin</t>
  </si>
  <si>
    <t>TBSP-E.VIII-
08</t>
  </si>
  <si>
    <t>Supplying and Fixing Pedestal for Wash Hand Basin including labour charges only for fixing pedestal for wash hand basin etc., complete.</t>
  </si>
  <si>
    <t>TBSP-E.VI-12</t>
  </si>
  <si>
    <t>Pedastal for Wash Hand Basin</t>
  </si>
  <si>
    <t>TBSP-E.VIII-
09</t>
  </si>
  <si>
    <t>Supplying &amp; Fixing white glazed flat back half stall urinals 1st quality conforming to IS:2556-1995 with standard C.P. Spreader fixed with screws complete Indian make : 410 x 265 x 305 mm including labour charges only for fixing flat back bowl / half stall urinals with fixing C.P. spreader and screws complete.</t>
  </si>
  <si>
    <t>TBSP-E.VII-02</t>
  </si>
  <si>
    <t>Flat Back Half Stall Urinal</t>
  </si>
  <si>
    <t>TBSP-E.VIII-
11</t>
  </si>
  <si>
    <t>Supply and fixing of Ashirvad / Ajay / Astral Flowguard or equivalent CPVC pipes and fittings to meet the requirement of ASTM-D 2846 and are produced in CTS (Copper tubes of size 1/2" ton 2" Ashirvad Flowguard) and SDR 11 pipes are made from idential CPVC compounds having the same physical properties for Hot and cold water (IS 15778:2007) including labour charges for fixing of CPVC / PPR Pipes etc., complete for (28.60mm OD Pipes - SDR 11)</t>
  </si>
  <si>
    <t>TBSP-J.III-09</t>
  </si>
  <si>
    <t>28.60mm OD Pipe - SDR 11</t>
  </si>
  <si>
    <t>TBSP-H.IV-01</t>
  </si>
  <si>
    <t>Labour Charges for Fixing of PPR Pipes</t>
  </si>
  <si>
    <t>Rate per Rmt</t>
  </si>
  <si>
    <t>Supply and fixing of Ashirvad / Ajay / Astral Flowguard or equivalent CPVC pipes and fittings to meet the requirement of ASTM-D 2846 and are produced in CTS (Copper tubes of size 1/2" ton 2" Ashirvad Flowguard) and SDR 11 pipes are made from idential CPVC compounds having the same physical properties for Hot and cold water (IS 15778:2007) including labour charges for fixing of CPVC / PPR Pipes etc., complete for (22.20mm OD Pipes - SDR 11)</t>
  </si>
  <si>
    <t>TBSP-J.III-08</t>
  </si>
  <si>
    <t>22.20mm OD Pipe - SDR 11</t>
  </si>
  <si>
    <t>Prince/ Sudhakar make or equivalent quality PVC /SWR pipes &amp; fittings ( as per ISI standards) 4kg/cm2 75mm dia.(double socket)</t>
  </si>
  <si>
    <t>Unit = 3 Rmt</t>
  </si>
  <si>
    <t>TBSP-H.I-04</t>
  </si>
  <si>
    <t xml:space="preserve">75mm dia 4Kgf/cm2 PVC / SWR Pipes </t>
  </si>
  <si>
    <t xml:space="preserve">Rate per 3 Rmt </t>
  </si>
  <si>
    <t xml:space="preserve">Rate per 1 Rmt </t>
  </si>
  <si>
    <t>Prince/ Sudhakar make or equivalent quality PVC /SWR pipes &amp; fittings ( as per ISI standards) 4kg/cm2 110mm dia. double socket</t>
  </si>
  <si>
    <t>TBSP-H.I-06</t>
  </si>
  <si>
    <t xml:space="preserve">110mm dia 4Kgf/cm2 PVC / SWR Pipes </t>
  </si>
  <si>
    <t>110mm dia Deep PVC Floor Traps (101.6)</t>
  </si>
  <si>
    <t xml:space="preserve">Supply, fixing of 110 mm dia - 45 Degree Bend - UPVC/SWR Pipe fittings [Prince / Sudhakar or any ISI Brand] including cost and conveyance of all materials and labour charges etc., complete for finished item of work </t>
  </si>
  <si>
    <t>110mm dia - 45 Degree Bend UPVC/SWR</t>
  </si>
  <si>
    <t xml:space="preserve">Supply,fixing of 75 mm dia - 45 Degree Bend - UPVC/SWR Pipe fittings [Prince / Sudhakar or any ISI Brand] including cost and conveyance of all materials and labour charges etc., complete for finished item of work </t>
  </si>
  <si>
    <t xml:space="preserve"> TBSP-H.II-16</t>
  </si>
  <si>
    <t>75mm dia - 45 Degree Bend UPVC/SWR</t>
  </si>
  <si>
    <t xml:space="preserve"> TBSP-H.II-53</t>
  </si>
  <si>
    <t xml:space="preserve">Constructing 457.2mm x 457.2mm ( 1ft-6" x  1ft-6") brick in CM (1:6) prop. Masonry inspection chamber upto 914.4mm (3ft-0") and fitted with light weight 457.2mm x 457.2mm ( 1ft-6" x  1ft-6") C.I. frame and cover of 20Kg. including cost and conveyance of all materials to site, all labour charges, sales and other taxes on all materials etc., complete for finished item of work. a] Depth up to  1.50 mtr        </t>
  </si>
  <si>
    <t>TBSP-B.II-02</t>
  </si>
  <si>
    <t>457.2mmx457.2mm Brick Inspection Chamber</t>
  </si>
  <si>
    <t>Supplying &amp; fixing 150 mm x 100 mm SWG gully traps of ISI make conforming to ISI 651 &amp; 4127 with C.I Grating &amp; Constructing Brick masonry in CM 1:6 prop. Intermediate chamber and fitted with 304.8 mm x 288.6mm (12"x9") C.I Frame and hinged cover.</t>
  </si>
  <si>
    <t>150mmx100mm SWG Gully Traps</t>
  </si>
  <si>
    <t>BLDG SSR</t>
  </si>
  <si>
    <t>Providing &amp; placing on Terrace polyethylene water storage tank with Double layer approved brand &amp; manufacture with cover and suitable locking arrangement &amp; making necessary holes for inlet &amp; outlets and overflow pipes but without fittings &amp; base support for tanks.( From SSR rates sno 311) 2000lts</t>
  </si>
  <si>
    <t>Terrace Polyethylene Water Storage Tank</t>
  </si>
  <si>
    <t>Ltr</t>
  </si>
  <si>
    <t>Rate per Ltr</t>
  </si>
  <si>
    <t xml:space="preserve">Supplying, laying, jointing and testing 152.4mm SWG SP1 pipes of ISI make confirming to ISI 651 and 4127 with air tight cement joints in CM1.5:1 propot. Including excaGSTion of trenches and socket pits in any soil(except rock with wiring blasting) upto 1524mm depth and refilling with watering and tampering. </t>
  </si>
  <si>
    <t>TBSP-A.I-04</t>
  </si>
  <si>
    <t>152.4mm SWG SP1 Pipes</t>
  </si>
  <si>
    <t>TBSP-A.III-01</t>
  </si>
  <si>
    <t>Supplying, laying, jointing and testing 101.6 mm SWG SP-1 pipes of ISI make conforming to ISI 651 &amp; 4127 with airtight cement joints in CM 1.5:1 prop. Including excaGSTion of trenches and socket pits in any soil (except rock requiring blasting) up to 1524 mm(5'0") depth and refilling with watering and tamping.</t>
  </si>
  <si>
    <t>101.6mm SWG SP1 Pipes</t>
  </si>
  <si>
    <t xml:space="preserve">Supply of SWG junctions (Ts&amp; Ys) confirming to IS standards with length of barrel 60 cm for 150x150 </t>
  </si>
  <si>
    <t>TBSP-A.II-31</t>
  </si>
  <si>
    <t>S&amp;F of 15 mm brass body CP finish bib tap of not less than 300 grams weight screw type (full turn) with internal / external threaded connection conforming to IS 8931</t>
  </si>
  <si>
    <t>15mm Brass Body CP Finish Bib Tap</t>
  </si>
  <si>
    <t>SUB-ESTIMATE FOR SANITARY  ITEMS GF</t>
  </si>
  <si>
    <t>per Rmt</t>
  </si>
  <si>
    <t>TBSP-E.I-04</t>
  </si>
  <si>
    <t>GENERAL ABSTRACT</t>
  </si>
  <si>
    <t>Description  of Item</t>
  </si>
  <si>
    <t>Amount in.Rs</t>
  </si>
  <si>
    <t>Civil Items(Ground floor)</t>
  </si>
  <si>
    <t>Electrical items (Ground Floor)</t>
  </si>
  <si>
    <t>Sanitaion (Ground floor)</t>
  </si>
  <si>
    <t>Provision towards QC @ 0.5%.</t>
  </si>
  <si>
    <t>Unforseen items</t>
  </si>
  <si>
    <t>Total Cost Estimation in lakhs</t>
  </si>
  <si>
    <t>//Authenticated//</t>
  </si>
  <si>
    <t>Supplying and fixing approved make wash down European Water Closet of 1st quality conforming to IS:2556-Part-2-2004 of white glazed with 'S' trap,supplying and fixing  best Indian make plastic seat and lid for European water closets with rubber or plastic Buffers as per IS 2548-1996  and 10 litres capacity single flush PVC  low level cistern with internal components and fixed using required size of nails and screws, 15 mm brass angle stop valve of quarter turn spindle type of not less than 400 grams weight with internal threaded conforming to IS 8931, 15mm PVC connections with brass union nuts CP coated including cost and conveyance of all materials to site, overheads &amp; contractors profit etc., complete  for finished item of work for all floors.</t>
  </si>
  <si>
    <t xml:space="preserve">Basic rate as per ssr item </t>
  </si>
  <si>
    <t>TBSP-E.II-01</t>
  </si>
  <si>
    <t>TBSP-E.VIII-06</t>
  </si>
  <si>
    <t>Plastic seat &amp; lid as per IS 2548-1996</t>
  </si>
  <si>
    <t>TBSP-E.V-01</t>
  </si>
  <si>
    <t>TBSP-E.VIII-07</t>
  </si>
  <si>
    <t>ADD 13.615% OVERHEADS</t>
  </si>
  <si>
    <t>Total cost (A +B)</t>
  </si>
  <si>
    <t>Supplying and Fixing European Water Closet of 1st quality conforming to IS:2556-Part-2-1973 of Hindustan / Neycer or Parryware make white glazed with 'P' trap with  PVC low level system with internal components &amp; short bend: 10 Litres capacity Single Flush</t>
  </si>
  <si>
    <r>
      <t xml:space="preserve">Plastering to brick masonary wall with  12mm thick double coat in CM (1:5) 8 mm thick base coat and CM (1:3) of 4mm thick top coat with dubara sponge finish including cost and conveyance of all material and labour charges, all operational, incidental such as scaffolding charges, lift charges, including cutting of Grooves,finishing, curing,  etc., complete for  finished item of work. (APSS 901,903 &amp; 904) (CSSR) for </t>
    </r>
    <r>
      <rPr>
        <b/>
        <sz val="12"/>
        <color indexed="8"/>
        <rFont val="Tahoma"/>
        <family val="2"/>
      </rPr>
      <t>Internal Walls</t>
    </r>
    <r>
      <rPr>
        <sz val="12"/>
        <color indexed="8"/>
        <rFont val="Tahoma"/>
        <family val="2"/>
      </rPr>
      <t>.</t>
    </r>
  </si>
  <si>
    <t>As per amendment to revised std data vide procs No : ENCB / TA8 / AEE3 / DATA - 2010-11 dt 01.08.2011 of ENC, R&amp;B, Buildings convenor, COCE-Bldg - SOR, Item No : 17</t>
  </si>
  <si>
    <t>Unit = 10 Sqm</t>
  </si>
  <si>
    <t>Painting, Priming Coat with Cement Primer Waterbase Interior Gr- 1 Asian/ Berger/ Nerolac/ Saicoat/Indocem or Equivalenton New Plastered Surface</t>
  </si>
  <si>
    <t>Door size 1.20 X2.10 M ( Frame only)</t>
  </si>
  <si>
    <t>Cost of Frame (1.20 X 2.10 M )</t>
  </si>
  <si>
    <t>Cost of Shutters only (1.20 X2.10 M )</t>
  </si>
  <si>
    <t xml:space="preserve">Supply and fixing of Salwood Door double shutter  fully panelled door of size 0.90 x 2.1mt with frame made of well seasoned Sal Wood scantlings of size 75 x 100 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</si>
  <si>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abour charges for wrought and put up including fixing in 
position for Teak wood Fully paneled doors external or
internal including frame</t>
  </si>
  <si>
    <t>Labour charges for wrought and put up including fixing in
position for Other than teakwood Fully paneled doors
external or internal including frame</t>
  </si>
  <si>
    <t>Unit=10sqm</t>
  </si>
  <si>
    <t>Cost per 1Sqm</t>
  </si>
  <si>
    <t>per 1 sqm</t>
  </si>
  <si>
    <t>For SBC 200 KN/sqm @1.50m below NGL</t>
  </si>
  <si>
    <t>Window size 0.60 x 0.60 M</t>
  </si>
  <si>
    <t>Ground floor Cost</t>
  </si>
  <si>
    <t>The Sub Estimate is technically approved for Rs.</t>
  </si>
  <si>
    <t>22</t>
  </si>
  <si>
    <t>DETAILED-CUM-ABSTRACT ESTIMATE</t>
  </si>
  <si>
    <t>As per SBC 200 Kn/Sqm</t>
  </si>
  <si>
    <t>Sl. No</t>
  </si>
  <si>
    <t>Description of Item</t>
  </si>
  <si>
    <t>Qty.</t>
  </si>
  <si>
    <t>Columns:</t>
  </si>
  <si>
    <t>For RR Masonry :</t>
  </si>
  <si>
    <t>L/Walls</t>
  </si>
  <si>
    <t>C/Walls</t>
  </si>
  <si>
    <t>For Columns :</t>
  </si>
  <si>
    <t>Toilet</t>
  </si>
  <si>
    <t>RR stone Masonry</t>
  </si>
  <si>
    <t>For Column, Footings :</t>
  </si>
  <si>
    <t>For Pedastals :</t>
  </si>
  <si>
    <t>Columns Above Plinth Beam :</t>
  </si>
  <si>
    <t>c)</t>
  </si>
  <si>
    <t>For Plinth Beam :</t>
  </si>
  <si>
    <t>d)</t>
  </si>
  <si>
    <t>Lintels :</t>
  </si>
  <si>
    <t>f)</t>
  </si>
  <si>
    <t>For 0.60x0.0375 Mts wide Sunshade</t>
  </si>
  <si>
    <t>--</t>
  </si>
  <si>
    <t>Beams :</t>
  </si>
  <si>
    <t>Roof Slab  125mm thick</t>
  </si>
  <si>
    <t>Stair Case Slab175mm thick</t>
  </si>
  <si>
    <t>First flight</t>
  </si>
  <si>
    <t>Mid Landing Slab</t>
  </si>
  <si>
    <t>2nd Flight</t>
  </si>
  <si>
    <t>Stair Case steps</t>
  </si>
  <si>
    <t>1st flight</t>
  </si>
  <si>
    <t>2nd flight</t>
  </si>
  <si>
    <t>Plinth Level to Lintel Level:</t>
  </si>
  <si>
    <t>1000 Kg</t>
  </si>
  <si>
    <t>1 Kg</t>
  </si>
  <si>
    <t>Ornamental Plastering 12mm thick in two coats with base coat of 8mm thick in CM (1:5) and top coat of 4mm thick in CM (1:3) dubara sponge finish including cost and conveyance of all materials like cement, sand, water etc., to site, seigniorage charges, sales &amp; other taxes on all materials,all operational, incidental and labour charges such as mixing mortar, scaffolding charges, lift charges, including cutting of Grooves wherever necessary as directed by Engineer - in - charge, finishing,  curing, etc., complete for  Even Surfaces of  Wall for finished item of work. (APSS 901,903 &amp; 904)</t>
  </si>
  <si>
    <t>Ceiling Plastering:</t>
  </si>
  <si>
    <t>Plastering 20mm thick in two coats with base coat of 16mm thick in CM (1:6) and top coat of 4mm thick in CM (1:4) dubara sponge finish including cost and conveyance of all materials like cement, sand, water etc., to site,  seigniorage charges, sales &amp; other taxes on all materials, all operational, incidental and  labour charges such as mixing mortar,scaffolding charges, lift charges, finishing,including cutting of Grooves wherever necessary as directed by Engineer - in - charge,  curing,  etc., complete for  Uneven Surfaces of Brick Wall for finished item of work. (APSS 901,903 &amp; 904)</t>
  </si>
  <si>
    <t>Vitrified Tiles:</t>
  </si>
  <si>
    <t>Skirting to Vitrified Tiles</t>
  </si>
  <si>
    <t>Ceramic Tiles</t>
  </si>
  <si>
    <t>Wall Tiles:</t>
  </si>
  <si>
    <t>Toilt L/Walls</t>
  </si>
  <si>
    <t>Deduct WC Door</t>
  </si>
  <si>
    <t xml:space="preserve">Main Door ( 1.20 x 2.10) </t>
  </si>
  <si>
    <t>No's</t>
  </si>
  <si>
    <t xml:space="preserve">Door D-2( 0.75 x 2.10) </t>
  </si>
  <si>
    <t>1 Sqm</t>
  </si>
  <si>
    <t>Inside:</t>
  </si>
  <si>
    <t xml:space="preserve">Ceiling </t>
  </si>
  <si>
    <t>Out side:</t>
  </si>
  <si>
    <t>Painting to New  wood work with two coats of ready mixed synthetic enamel paint first quality all shades  to give an even shade over base coat Primer with Luppam finishing  after thoroughly brushing the surface to remove all remains  including cost and conveyance of all materials to site, sales &amp; other taxes, all  operational, incidental and labour charges etc., complete for finished item of work.(3 coats) (APSS No. 1201 &amp; 1212).in All Floors</t>
  </si>
  <si>
    <t xml:space="preserve">D  -1.20m x 2.10m  </t>
  </si>
  <si>
    <t>S/F of pre Case RCC jali of Any Design of 25mm thick using Vibro-Compaction process using Joint less FRP moulds to achieve huttering finish and adequately reinfroced for long use and to prevent damage during handling, transportation &amp; Erection etc.,</t>
  </si>
  <si>
    <t>V 0.60 x0.60</t>
  </si>
  <si>
    <t xml:space="preserve"> 1.20 x 2.10</t>
  </si>
  <si>
    <t>D  0.90 x 2.10</t>
  </si>
  <si>
    <t xml:space="preserve">D  -0.90m x 2.10m  </t>
  </si>
  <si>
    <t>Windows W1</t>
  </si>
  <si>
    <t>Windows W2</t>
  </si>
  <si>
    <t>Deductions for RR Masonory Below GL</t>
  </si>
  <si>
    <t>V1 1.20 m x 0.30 m</t>
  </si>
  <si>
    <t>V2 0.90 m x 0.30 m</t>
  </si>
  <si>
    <t>W1 1.20*1.35 m</t>
  </si>
  <si>
    <t>W1 0.90*1.35 m</t>
  </si>
  <si>
    <t>Window grills</t>
  </si>
  <si>
    <t>windows Horizontal</t>
  </si>
  <si>
    <t>1x2</t>
  </si>
  <si>
    <t>Providing and fixing factory made solid Wood Polymer Composite (WPC) single extruded Door Frame section of 100*65 MM with encapsulation of 6 MM rigid layer on all external surfaces. The door frame will have a rebate of 32MM/ 37 MM. The two Vertical members are to be joined together with the horizontal member using 8x75 MM long MS Star full thread screws to be used with reverse forward speed control hand drilling machine.</t>
  </si>
  <si>
    <t>1 Rmt</t>
  </si>
  <si>
    <t>TBSC-L.I-17</t>
  </si>
  <si>
    <t>Add overheads @</t>
  </si>
  <si>
    <t>Rate per SQM</t>
  </si>
  <si>
    <t>Supplying and fixing of 28/30 mm thick Wood Plastic Composite (WPC) Door shutter, comprising of 70% virgin polymer, 15% wood powder (fiber), and the remaining 15% additives, comprising of virgin PVC polymer of K value 58-60 (Suspension grade), Calcium carbonate and natural fibers (wood powder) and non toxic additives (maximum toxicity index of 12 for 100 gms) having minimum door density of 650 kg/cum, screw withdrawal strength 1800N (Face) &amp; 900N (Edge), Modulus of Elasticity 900N/mm2 and resistance to spread of flame of Class A category with property of being termite/borer proof, water/moisture proof and fire retardant and fixed in position with stainless steel butt hinges of required size with necessary full body threaded star headed counter sunk SS screws all as per direction of Engineer -in- Charge (SS butt hinges and SS screws shall be paid separately)</t>
  </si>
  <si>
    <t>TBSC-L.I-18</t>
  </si>
  <si>
    <t>WPC Door shutter</t>
  </si>
  <si>
    <t>0.60x1.95 (Sl No 537 TBSC-L.I-18</t>
  </si>
  <si>
    <t>0.75x2.10*2/3                                           
 Sl No: 928 TBSC-T.I-25</t>
  </si>
  <si>
    <t xml:space="preserve">MS But hinges 125 mm </t>
  </si>
  <si>
    <t>Sl No: 652 TBSC-P.II-11</t>
  </si>
  <si>
    <t xml:space="preserve">MS tower bolts 150 mm </t>
  </si>
  <si>
    <t>Sl No: 632 TBSC-P.I-15</t>
  </si>
  <si>
    <t xml:space="preserve">Aldrop 200 mm </t>
  </si>
  <si>
    <t xml:space="preserve">MS Handles150  mm </t>
  </si>
  <si>
    <t>Sl No:669 TBSC-P.III-06</t>
  </si>
  <si>
    <t>Rate per  each</t>
  </si>
  <si>
    <t>BLD-CSTN-2-13</t>
  </si>
  <si>
    <t>PCC M- 20 Nominal mix (Cement:fine aggregate: coarse aggregate) corresponding to Table 9 of IS 456 using 20mm size graded machine crushed hard granite metal (coarse aggregate) from approved quarry including cost and conveyance of all materials like cement, fine aggregate (sand) coarse aggregate, water etc., to site and including Seigniorage charges, sales &amp; other taxes on all materials including all operational, incidental and labour charges such as machine mixing, laying concrete, curing etc.,complete but excluding cost of steel and its fabrication charges for finished item of work, but excluding  centering, shuttering.</t>
  </si>
  <si>
    <t>A) Materials</t>
  </si>
  <si>
    <t>Sand for Concrete</t>
  </si>
  <si>
    <t>B) Labour</t>
  </si>
  <si>
    <t xml:space="preserve">Area Allowance @ </t>
  </si>
  <si>
    <t>C) Machinery</t>
  </si>
  <si>
    <t>Concrete Mixer ( 0.40 / 0.28 cum) capacity</t>
  </si>
  <si>
    <t>Centring charges for Foundations</t>
  </si>
  <si>
    <t>Add 20% for M/A on  labour charges in centring</t>
  </si>
  <si>
    <t>GST</t>
  </si>
  <si>
    <t>The  Estimate has been made with the Following Provisions</t>
  </si>
  <si>
    <t>Provision for Sanitary and water Supply Items</t>
  </si>
  <si>
    <t>Provision for Sanitary Electrical Items Items</t>
  </si>
  <si>
    <t>Provision for QC @ 0.50%</t>
  </si>
  <si>
    <t>Provision for Unforseen items</t>
  </si>
  <si>
    <t>Supply and transportation of 20W +/- 10%, &gt;/ 2000 lumens, 1200mm length LEDretro tube light, housing made with glass body, wide operating voltage with Single / double side connection, PF≥0.9, Surge protection: 2KV,THD&lt;15%, with inbuilt driver and frostedcover CCT: 3000K - 6500K as desired by thedepartment and as per IS specifications,minimum CRI≥80,.etc complete with 5 yearswarranty with BIS Certification.</t>
  </si>
  <si>
    <t>ELEC-3.9.13</t>
  </si>
  <si>
    <t>1200mm length LED retro tube light</t>
  </si>
  <si>
    <t xml:space="preserve">Over head charges &amp; Contractors profit @ 13.615%  excluding VAT </t>
  </si>
  <si>
    <t>/Each</t>
  </si>
  <si>
    <t>Note : Labour Charges considered for 10 fixtures / day .</t>
  </si>
  <si>
    <t>Switch Points</t>
  </si>
  <si>
    <t>2.1.7</t>
  </si>
  <si>
    <t>Supply and fixing of batten holder / slanting holder in lieu of ceiling rose of light point complete with all connections and all labour charges with 40W bulb (for new installation).</t>
  </si>
  <si>
    <t>ELEC-1.7.1</t>
  </si>
  <si>
    <t>Pendent Holder / Adopter.</t>
  </si>
  <si>
    <t>Note : 1. The Cost of Ceiling Rose may be deducted in view of holder.</t>
  </si>
  <si>
    <t>m</t>
  </si>
  <si>
    <t>3 Plate Jumbo Ceiling Rose.</t>
  </si>
  <si>
    <t>BLD-ELEC-3-1</t>
  </si>
  <si>
    <r>
      <t>Supply and run of 2 of 36/0.3mm (2.50 Sq.mm) F.R P.V.C. insulated flexible copper cable in existing pipe for</t>
    </r>
    <r>
      <rPr>
        <b/>
        <sz val="10"/>
        <rFont val="Century Gothic"/>
        <family val="2"/>
      </rPr>
      <t xml:space="preserve"> Mains</t>
    </r>
    <r>
      <rPr>
        <sz val="10"/>
        <rFont val="Century Gothic"/>
        <family val="2"/>
      </rPr>
      <t xml:space="preserve"> inlcuding all labour charges etc., complete.</t>
    </r>
  </si>
  <si>
    <t>ELEC-1.5.1</t>
  </si>
  <si>
    <t>36 /0.3mm (2.50 sqmm)FR PVC flexible copper wire (HAVELLS/GOLD MEDAL) 153</t>
  </si>
  <si>
    <t xml:space="preserve">Over head charges &amp; Contractors profit @ 14%  excluding VAT </t>
  </si>
  <si>
    <t>/Rmt</t>
  </si>
  <si>
    <t>Main Wiring</t>
  </si>
  <si>
    <t>RMT</t>
  </si>
  <si>
    <t>SERVICE MAINS &amp; LTOH Lines</t>
  </si>
  <si>
    <t>WPSC (Weather Prrof Single Core) (PVC Cleats)</t>
  </si>
  <si>
    <t>6.1.2</t>
  </si>
  <si>
    <t>Supply and Run of 2 of 10 Sq.mm WPSC Aluminium cable along with No.10 SWG G.I bearer wire through PVC cleats with all accessories including labour charges etc., complete for service mains.</t>
  </si>
  <si>
    <t>ELEC-1.6.2</t>
  </si>
  <si>
    <t>Supply of 10 Sqmm WPTC (Weatherproof Twin
Core) ISI mark Aluminum Wire.</t>
  </si>
  <si>
    <t>Clamps</t>
  </si>
  <si>
    <t xml:space="preserve">b) labour charges </t>
  </si>
  <si>
    <t>Semi skilled</t>
  </si>
  <si>
    <t>Sundries such as insulation tapes and rounding off</t>
  </si>
  <si>
    <t>C) Cost for 100 M</t>
  </si>
  <si>
    <t>Rate per mtr c/100</t>
  </si>
  <si>
    <t>ELEC-1.2.2</t>
  </si>
  <si>
    <t xml:space="preserve">20mm dia 1.5mm thick PVC pipe </t>
  </si>
  <si>
    <t xml:space="preserve">Supply and fixing of concealed box PVC/MS with hook for fan Supply and fixing PVC / MS galvanished Fan hook box with hook including all Labour charges etc., complete. </t>
  </si>
  <si>
    <t>ELEC-9.1.22</t>
  </si>
  <si>
    <t>Fann Hook</t>
  </si>
  <si>
    <t>MS Gate 3.05 x1.50 m</t>
  </si>
  <si>
    <t>on Head Room</t>
  </si>
  <si>
    <t>1Sqm</t>
  </si>
  <si>
    <t>ELEC-3.4.1</t>
  </si>
  <si>
    <t>Filling selected earth:</t>
  </si>
  <si>
    <t xml:space="preserve">Supply and fixing of Medium Teak Wood Door frame double shutter  fully panelled door of size 1.20 x 2.10 M with frame made of well seasoned MediumTeak  Wood scantlings of size 100 x 75 mm and shutter made of side rails 100mm X 32mm, top rail 100 mm 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including side windows of 0.45m wide with full height on both sides                                                                                                </t>
  </si>
  <si>
    <t xml:space="preserve">   </t>
  </si>
  <si>
    <t>side windows verticals</t>
  </si>
  <si>
    <t xml:space="preserve">shutter horizontals </t>
  </si>
  <si>
    <t>Manufacture sand</t>
  </si>
  <si>
    <t>ITEMTBSC-C.II-03</t>
  </si>
  <si>
    <t>Supplying and fixing of Unplasticised Poly Vinyl Chloride (UPVC) sliding doors three track - three glass shutters sliding - 112 -Series duly manufactured using UPVC reinforced profiles of 112.0 mm x 60 mm x 2.25 mm for outer frames, 66 mm x 42 mm x 2.25 mm for sliding door shutter frames capable of mounting single glazing system, structurally reinforced with hot dip galvanized up to 50 microns of minimum thickness of 1.2 mm prefabricated &amp; welded through fusion welding the window sash shall be fitted with 5 mm thick clear float glass ofreputed make and fixed with EPDM weathering seal resistant accessories likeclippinglocking system made of aluminium 1 No., per set of sashes and the system is to be installed at the site using anchor fasteners, silicon rubber sealant, easy glazing/ deglazing at site etc., including cost and conveyance of all materials, accessories, labour charges for transportation, erection at site with templates for casement sizingcompleteforfinisheditemofwork TBSC-L.III-11</t>
  </si>
  <si>
    <t>TBSC-L.III-11 Windows</t>
  </si>
  <si>
    <t>1sqm</t>
  </si>
  <si>
    <t>Supplying and fixing of 30mm thick Wood Plastic Composite (WPC) Door shutter, comprising of 70% virgin polymer, 15% wood powder (fiber), and the remaining 15% additives, the door shutter shall be water resistant, fire resistant and termite resistant, with Tensile Strength not less than 170 Kgf/cm2 and the door shutters surface finished deco paint etc., complete excluding cost of hinges, latches, aldrops etc.,</t>
  </si>
  <si>
    <t>TBSC-L.I-18 page No 89</t>
  </si>
  <si>
    <t>Columns UP to plinth level</t>
  </si>
  <si>
    <t>Main Door</t>
  </si>
  <si>
    <t>Door 1</t>
  </si>
  <si>
    <r>
      <t xml:space="preserve">Filling with </t>
    </r>
    <r>
      <rPr>
        <b/>
        <sz val="12"/>
        <rFont val="Calibri"/>
        <family val="2"/>
        <scheme val="minor"/>
      </rPr>
      <t>selected earth</t>
    </r>
    <r>
      <rPr>
        <sz val="12"/>
        <rFont val="Calibri"/>
        <family val="2"/>
        <scheme val="minor"/>
      </rPr>
      <t xml:space="preserve">(excluding rock) in trenches, sides of foundations and basement with initial lead in layers not exceeding 15 cm thick, consolidating each deposited layer by watering and ramming including cost and conveyance of water to work site and all operational, incidental, labour charges, hire charges of T &amp; P etc., complete for finished item of work. (APSS NO. 309 &amp; 310) </t>
    </r>
  </si>
  <si>
    <t>Sl No  689 TBSC-P.IV-04</t>
  </si>
  <si>
    <t>TBSC-D.VI-06</t>
  </si>
  <si>
    <t>Asst.Executive Engineer (PR)</t>
  </si>
  <si>
    <t xml:space="preserve">Dy.Executive Engineer,(PR) </t>
  </si>
  <si>
    <t>Administrative sanction Accorded by the Dist Collector,Mahabubnagar vide Procg No.</t>
  </si>
  <si>
    <t xml:space="preserve">Technically Sanctioned for Rs.20.00 Lakhs (Rupees Twenty Lakhs only) vide DR No.  </t>
  </si>
  <si>
    <t xml:space="preserve">Fine aggregate (Screened sand) </t>
  </si>
  <si>
    <r>
      <t>Total Cost
(</t>
    </r>
    <r>
      <rPr>
        <b/>
        <sz val="8"/>
        <rFont val="Calibri"/>
        <family val="2"/>
        <scheme val="minor"/>
      </rPr>
      <t>Excluding Seineorage Charges )</t>
    </r>
  </si>
  <si>
    <t>DATA FOR WOOD WORK (Teak Wood )</t>
  </si>
  <si>
    <t>DATA FOR WOOD WORK(Sal  Wood )</t>
  </si>
  <si>
    <r>
      <t xml:space="preserve">Supply and fixing of fully panelled  Ventilator frame  of size 0.60 x 0.60 M </t>
    </r>
    <r>
      <rPr>
        <sz val="11"/>
        <rFont val="Calibri"/>
        <family val="2"/>
        <scheme val="minor"/>
      </rPr>
      <t>with country wood frame of size 65 x75 mm and incl. all labour charges such as making window frame and shutters and fiXing of 10 mm square safety bars in to  the frame etc,including applying primory coat, cost and conveyance  of all materials .</t>
    </r>
  </si>
  <si>
    <r>
      <t>Wiring with 2 runs of 14/0.3mm (1.0 Sq.mm)  P.V.C. insulated F.R flexible copper cable</t>
    </r>
    <r>
      <rPr>
        <b/>
        <sz val="10"/>
        <rFont val="Trebuchet MS"/>
        <family val="2"/>
      </rPr>
      <t xml:space="preserve"> (ISI MARK) </t>
    </r>
    <r>
      <rPr>
        <sz val="10"/>
        <rFont val="Trebuchet MS"/>
        <family val="2"/>
      </rPr>
      <t>in existing pipe with 6A switch, Ceiling rose and 3mm thick hylam sheet covering to switch control box including all labour charges etc., complete for light, bell, fan and exhaust fan points in Non Residential Buildings.and as per 2.1.2 of Sta  revised data of BLD -ELEC-2-1.2</t>
    </r>
  </si>
  <si>
    <r>
      <t xml:space="preserve">Fixing of 40W tube light luminaire on wall / </t>
    </r>
    <r>
      <rPr>
        <b/>
        <sz val="10"/>
        <rFont val="Trebuchet MS"/>
        <family val="2"/>
      </rPr>
      <t xml:space="preserve">Ceiling with </t>
    </r>
    <r>
      <rPr>
        <sz val="10"/>
        <rFont val="Trebuchet MS"/>
        <family val="2"/>
      </rPr>
      <t xml:space="preserve"> / TW round blocks with all accessories including giving connections and all labour charges etc., complete.7.9.3</t>
    </r>
  </si>
  <si>
    <t xml:space="preserve">ELECTICAL DATA </t>
  </si>
  <si>
    <t xml:space="preserve">SANITARY &amp;WATER SUPPLY  DATA </t>
  </si>
  <si>
    <t>Sump side walls</t>
  </si>
  <si>
    <t>Flooring with Polished Shabad Stone 15-18mm thick stones, set over base coat of cement mortar (1:8) 12mm thick over CC bed laid or RC Roof slab, including pointing with cement mortar (1:3) duly filling joints nearly, including cost fo all materials like flooring stone, cement, sand, and water etc., complete, labour charges for dressing of flooring stones etc., complete for finished item of works.</t>
  </si>
  <si>
    <t>Providing skirting to internal walls to 15 cm height/risers of steps with 25 mm thick polished Shahabad stone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Shahabad stone, cement, sand and water etc., complete for finished item of work.</t>
  </si>
  <si>
    <t>Add Municipal Allowance on Labour</t>
  </si>
  <si>
    <t>Add Contractor's Profit on overheads</t>
  </si>
  <si>
    <t xml:space="preserve">Brick masonry  230 mm thick for panel walls in superstructure with CM (1:6) proportion using II nd class country bricks of size 23x11x7 cm  from approved source having crushing strength not less than 35kg/sqcm including cost and conveyance of all  materials like cement ,sand ,bricks, water etc., to site , including seignorage charges ,sales and other taxes on all materials and all operational ,incidental and  labour charges such as mixing cement mortar, curing scafolding charges, constructing masonary,lift charges,curing etc., complete for finished item of work  </t>
  </si>
  <si>
    <t>Providing Mild steel flats cutting, bending, to required sizes and shapes placing in position with cover blocks of approved size and binding wire of 20SWG, forming grills for reinforcement work as per approved designs and drawings including cost and conveyance of bars from approved sources to site of work, including cost and conveyance of binding wire, cover blocks and all operational, incidental, and labour charges such as cutting, bending, placing in position, tying etc., and sales &amp; other taxes,on cost of all materials complete for finished item of work (APSS No.126) in All Floors. For Staircase Railing &amp; Compound Wall etc</t>
  </si>
  <si>
    <t>Flooring with ceramic tiles, set over base coat of cement mortar (1:8), 12 mm thick over CC bed already laid or RCC roof slab, including neat cement slurry of honey like consistency spread @ 3.3.kgs per sqm &amp; jointed neatly with white cement paste to full depth mixed with pigment of matching shade, including cost of all materials like cement, sand water and tiles etc., complete, including seigniorage charges, etc., complete for finished item of work, but excluding the cost of conveyance of all materials.</t>
  </si>
  <si>
    <t xml:space="preserve">Over head  &amp; Contractors profit @ 13.615%  excluding VAT </t>
  </si>
  <si>
    <t>Providing skirting to internal walls to 15 cmheight/risers of steps with vitrified tiles length equal to flooring stones, set over base coat of CM (1:5)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 like Kajaria,RAK,Jhanran</t>
  </si>
  <si>
    <t>Supply, Transportation and Installation of---------------Single phase open well ISI submersible motor pumpset. Makes: Texmo / CRI / KSB / Aryenvarsha / Lubi</t>
  </si>
  <si>
    <t>ELEC-5.7.1</t>
  </si>
  <si>
    <t>Name of the Village</t>
  </si>
  <si>
    <t>Name of the Mandal</t>
  </si>
  <si>
    <t>name of the sub division</t>
  </si>
  <si>
    <t>Name of the district</t>
  </si>
  <si>
    <t>Lead</t>
  </si>
  <si>
    <t>Sand for filling</t>
  </si>
  <si>
    <t>Robosand</t>
  </si>
  <si>
    <t>location</t>
  </si>
  <si>
    <t>RR Masonary</t>
  </si>
  <si>
    <t>local</t>
  </si>
  <si>
    <t>jadcherla</t>
  </si>
  <si>
    <t>Red Brick</t>
  </si>
  <si>
    <t>Flyash Brick</t>
  </si>
  <si>
    <t>selected earth</t>
  </si>
  <si>
    <t>Nagarkurnool</t>
  </si>
  <si>
    <t xml:space="preserve">  Assistant Exc.Engineer  </t>
  </si>
  <si>
    <t>Deputy Executive Engineer</t>
  </si>
  <si>
    <t>20mm HBG graded metal (66% 20mm + 34% 12mm)</t>
  </si>
  <si>
    <t>Rate per 1 Sqm</t>
  </si>
  <si>
    <t>BASIC COST per 1 sqm</t>
  </si>
  <si>
    <t xml:space="preserve">Grand Total  Rate per 1 Sqm </t>
  </si>
  <si>
    <t>labour charges for wrought and put up including fixing in 
position for Teak wood Fully paneled doors external or
internal including frame</t>
  </si>
  <si>
    <t>(0.75+0.15+2*2.1)*2</t>
  </si>
  <si>
    <t>22/0.3mm PVC FR flexible copper wire</t>
  </si>
  <si>
    <r>
      <t xml:space="preserve">Wiring with 2 runs of 14/0.3mm (1.5 Sq.mm) Fire Retardant (FR) P.V.C. insulated flexible copper cable </t>
    </r>
    <r>
      <rPr>
        <b/>
        <sz val="10"/>
        <rFont val="Trebuchet MS"/>
        <family val="2"/>
      </rPr>
      <t xml:space="preserve">(ISI MARK) </t>
    </r>
    <r>
      <rPr>
        <sz val="10"/>
        <rFont val="Trebuchet MS"/>
        <family val="2"/>
      </rPr>
      <t>in existing pipe with 6A switch, Ceiling rose and 3mm thick hylam sheet covering to switch control box including all labour charges etc., complete for light, bell, fan and exhaust fan points in Non-Residential Buildings and as per 2.1.1 of Sta  revised data of BLD -ELEC-2-1.1 Finolex / RR kabel / Havells / APAR EBXL / KEI(HFFR) / Polycab ((HR_FR-LF) / L&amp;T / V-Guard (HFFR).</t>
    </r>
  </si>
  <si>
    <t>Supply of 40W Lamp.</t>
  </si>
  <si>
    <t xml:space="preserve">Skilled Electrician </t>
  </si>
  <si>
    <t>Semi Skilled Electrician mason</t>
  </si>
  <si>
    <t>Labour charges for laying, fixing and commissioning the PVC pipes including couplers/ bends/ tees etc. any diameter including fixing necessary fittings l</t>
  </si>
  <si>
    <t>proceeding</t>
  </si>
  <si>
    <t>Proposal Date:</t>
  </si>
  <si>
    <t>work start date</t>
  </si>
  <si>
    <t>present status</t>
  </si>
  <si>
    <t>new</t>
  </si>
  <si>
    <t>tech sanction details</t>
  </si>
  <si>
    <t>Technical sanction date</t>
  </si>
  <si>
    <t xml:space="preserve">estimated cost </t>
  </si>
  <si>
    <t>unskilled</t>
  </si>
  <si>
    <t>semi skilled</t>
  </si>
  <si>
    <t>si.no</t>
  </si>
  <si>
    <t>Activity</t>
  </si>
  <si>
    <t>quantity</t>
  </si>
  <si>
    <t>unit price</t>
  </si>
  <si>
    <t>SI.no</t>
  </si>
  <si>
    <t>qty</t>
  </si>
  <si>
    <t>bal qty</t>
  </si>
  <si>
    <t>RCC M20 footings</t>
  </si>
  <si>
    <t>RCC M20 Pedestals</t>
  </si>
  <si>
    <t>RCC M20 columns</t>
  </si>
  <si>
    <t>RCC M20 plinth beams</t>
  </si>
  <si>
    <t>RCC M20 roof beams</t>
  </si>
  <si>
    <t>RCC M20 slab 175mm</t>
  </si>
  <si>
    <t>RCC M20 lintels</t>
  </si>
  <si>
    <t>RCC M20 sunshades</t>
  </si>
  <si>
    <t>PCC (1:3:6) Bed blocks</t>
  </si>
  <si>
    <t>Providing impervious coat</t>
  </si>
  <si>
    <t>Filling useful excavated earth</t>
  </si>
  <si>
    <t>Brick Masonary</t>
  </si>
  <si>
    <t>Reinforced Brick masonary</t>
  </si>
  <si>
    <t>HYSD</t>
  </si>
  <si>
    <t>plastering 12mm thick</t>
  </si>
  <si>
    <t>plastering 20mm thick</t>
  </si>
  <si>
    <t>Flooring vitrified</t>
  </si>
  <si>
    <t xml:space="preserve">Skirting with vitrified </t>
  </si>
  <si>
    <t>Flooring with ceramic</t>
  </si>
  <si>
    <t xml:space="preserve">Providing dadooing to walls with glazed full body ceramic tiles of any size and thickness between 5 to 7mm 1st quality conforming to IS: 13711, IS: 13712, IS: 13630(Parts 1 to 15) of any colour and finish in all shades and designs with borders as approved by Engineer-in-Charge  set over base coat of CM(1:5) 12 mm thick using screened sand with cement slurry of honey like consistency spread at the rate of 3.30 kgs per sqm and jointing with white cement paste mixed with pigment of matching shade to full depth, including cost of all materials like tiles, cement, sand and water etc., and overheads &amp; contractors profit complete for finished item of work.                  </t>
  </si>
  <si>
    <t>Dadooing with wall tiles</t>
  </si>
  <si>
    <t>Medium teak main door 1.2 x2.1</t>
  </si>
  <si>
    <t>Sal door double shutter 1.2 x 2.1</t>
  </si>
  <si>
    <t>Sal door double shutter 0.9 x 2.1</t>
  </si>
  <si>
    <t>WPC door</t>
  </si>
  <si>
    <t>UPVC 3 track windows</t>
  </si>
  <si>
    <t>Mild steel for ventilator grills</t>
  </si>
  <si>
    <t>Trapezoidal roof sheeting</t>
  </si>
  <si>
    <t>painting to internal wall</t>
  </si>
  <si>
    <t>painting to external walls</t>
  </si>
  <si>
    <t>Name Board</t>
  </si>
  <si>
    <t>Painting to iron/wood  work</t>
  </si>
  <si>
    <t>Total Material</t>
  </si>
  <si>
    <t>Ventilator and window grills</t>
  </si>
  <si>
    <t>Contingencies</t>
  </si>
  <si>
    <t>QC @0.5%</t>
  </si>
  <si>
    <t>distance</t>
  </si>
  <si>
    <t xml:space="preserve">proposed status : </t>
  </si>
  <si>
    <t xml:space="preserve">Name of the Anganwadi </t>
  </si>
  <si>
    <t>Foorings</t>
  </si>
  <si>
    <t>Deduct footings portion</t>
  </si>
  <si>
    <t>Toilet long walls</t>
  </si>
  <si>
    <t>cross walls</t>
  </si>
  <si>
    <t>Septic Tank</t>
  </si>
  <si>
    <t>long wall</t>
  </si>
  <si>
    <t>deduct pedestal portion</t>
  </si>
  <si>
    <t>below inner plinth beams</t>
  </si>
  <si>
    <t>flooring bed</t>
  </si>
  <si>
    <t>Above Ground level</t>
  </si>
  <si>
    <t>Basement</t>
  </si>
  <si>
    <t>inside plinth beams</t>
  </si>
  <si>
    <t>outer long beams</t>
  </si>
  <si>
    <t>outer cross beams</t>
  </si>
  <si>
    <t>inner long beams</t>
  </si>
  <si>
    <t>inner cross beams</t>
  </si>
  <si>
    <t>over D1+ W1</t>
  </si>
  <si>
    <t>over D1</t>
  </si>
  <si>
    <t>over D2</t>
  </si>
  <si>
    <t>over opening</t>
  </si>
  <si>
    <t>Over D2+w2</t>
  </si>
  <si>
    <t>over w1</t>
  </si>
  <si>
    <t>verandah front</t>
  </si>
  <si>
    <t>Bressumer verandah front</t>
  </si>
  <si>
    <t>side</t>
  </si>
  <si>
    <t>roof beam long walls</t>
  </si>
  <si>
    <t>Deduct for middle juntion</t>
  </si>
  <si>
    <t>for toilet</t>
  </si>
  <si>
    <t>Bed blocks D1,D2</t>
  </si>
  <si>
    <t>Bed blocks W1,W2</t>
  </si>
  <si>
    <t xml:space="preserve">               Entablature wall    front</t>
  </si>
  <si>
    <t xml:space="preserve">                                               side</t>
  </si>
  <si>
    <t>upto lintel level</t>
  </si>
  <si>
    <t>Long walls</t>
  </si>
  <si>
    <t xml:space="preserve">    Deduct   Columns portion</t>
  </si>
  <si>
    <t xml:space="preserve">    Deduct   Doors D1</t>
  </si>
  <si>
    <t xml:space="preserve">    Deduct   Doors D2</t>
  </si>
  <si>
    <t xml:space="preserve">    Deduct   Windows W1</t>
  </si>
  <si>
    <t xml:space="preserve">                                       W2</t>
  </si>
  <si>
    <t xml:space="preserve">    Deduct   Bed Blocks D1, D2</t>
  </si>
  <si>
    <t xml:space="preserve">    Deduct   Bed Blocks W1, W2</t>
  </si>
  <si>
    <t>above lintel level</t>
  </si>
  <si>
    <t xml:space="preserve">   Deduct Lintels    Over D1+W1</t>
  </si>
  <si>
    <t xml:space="preserve">                 Over D1</t>
  </si>
  <si>
    <t xml:space="preserve">                 Over D2+W2</t>
  </si>
  <si>
    <t xml:space="preserve">                 Over W1</t>
  </si>
  <si>
    <t xml:space="preserve">    Deduct Ventilators V1</t>
  </si>
  <si>
    <t xml:space="preserve">                                V2</t>
  </si>
  <si>
    <t>Steps at Verandah             front</t>
  </si>
  <si>
    <t xml:space="preserve">                                        side</t>
  </si>
  <si>
    <t>Toilet      long walls</t>
  </si>
  <si>
    <t xml:space="preserve">             cross walls</t>
  </si>
  <si>
    <t xml:space="preserve">    Deduct   Doors </t>
  </si>
  <si>
    <t>Long wall</t>
  </si>
  <si>
    <t>Cross wall</t>
  </si>
  <si>
    <t xml:space="preserve">    Deduct   Opening O</t>
  </si>
  <si>
    <t xml:space="preserve">     Deduct Bed blocks                            D2</t>
  </si>
  <si>
    <t xml:space="preserve">                 Over D2</t>
  </si>
  <si>
    <t xml:space="preserve">                 Over Opening</t>
  </si>
  <si>
    <t>Hall                      ceiling</t>
  </si>
  <si>
    <t xml:space="preserve">                           beam sides</t>
  </si>
  <si>
    <t>Verandah              ceiling</t>
  </si>
  <si>
    <t>Nutrition              ceiling</t>
  </si>
  <si>
    <t>Kitchen &amp; Store     ceiling</t>
  </si>
  <si>
    <t>Slab projection            ceiling    front</t>
  </si>
  <si>
    <t>Slab projection ceiling    rear</t>
  </si>
  <si>
    <t>Slab projection ceiling    sides</t>
  </si>
  <si>
    <t>Sun shades ceiling    Verandah   front</t>
  </si>
  <si>
    <t xml:space="preserve">                                            side</t>
  </si>
  <si>
    <t xml:space="preserve">                                 Windows W1</t>
  </si>
  <si>
    <t>Toilet  ceiling</t>
  </si>
  <si>
    <t>Hall                long walls</t>
  </si>
  <si>
    <t xml:space="preserve">                       cross walls</t>
  </si>
  <si>
    <t>Nutrition        long walls</t>
  </si>
  <si>
    <t>Store                long walls</t>
  </si>
  <si>
    <t>Kitchen          long walls</t>
  </si>
  <si>
    <t>Deduct          Doors  D1</t>
  </si>
  <si>
    <t xml:space="preserve">                                    D2</t>
  </si>
  <si>
    <t xml:space="preserve">                    Opening O</t>
  </si>
  <si>
    <t xml:space="preserve">                    Windows W1</t>
  </si>
  <si>
    <t xml:space="preserve">                   Ventilators V1</t>
  </si>
  <si>
    <t xml:space="preserve">                                        V2</t>
  </si>
  <si>
    <t>Toilet         long walls</t>
  </si>
  <si>
    <t xml:space="preserve">                   cross walls</t>
  </si>
  <si>
    <t xml:space="preserve">                   Deduct door</t>
  </si>
  <si>
    <t>Nutrition &amp; Kitchen side  C/W</t>
  </si>
  <si>
    <t>Bressumer &amp; Entablature wall    side C/W</t>
  </si>
  <si>
    <t>Verandah    columns alround</t>
  </si>
  <si>
    <t>Verandah    L/W</t>
  </si>
  <si>
    <t>Verandah    C/W</t>
  </si>
  <si>
    <t>Bressumer &amp; Entablature wall inside front</t>
  </si>
  <si>
    <t>Bressumer &amp; Entablature wall inside side</t>
  </si>
  <si>
    <t>Hall, Store &amp; Kitchen rear</t>
  </si>
  <si>
    <t>Hall  side</t>
  </si>
  <si>
    <t>Hall  front</t>
  </si>
  <si>
    <t>Basement out side  long walls</t>
  </si>
  <si>
    <t xml:space="preserve">                                  cross walls</t>
  </si>
  <si>
    <t>Toilet        long walls</t>
  </si>
  <si>
    <t xml:space="preserve">                  cross walls</t>
  </si>
  <si>
    <t xml:space="preserve">As per plastering </t>
  </si>
  <si>
    <t>CW01 amount for wage</t>
  </si>
  <si>
    <t>DETAILED CUM ABSTRACT  ESTIMATE</t>
  </si>
  <si>
    <t>Part-A (MGNREGS Funds)</t>
  </si>
  <si>
    <r>
      <t>Earth work excavation and depositing on bank</t>
    </r>
    <r>
      <rPr>
        <sz val="11"/>
        <rFont val="Maiandra GD"/>
        <family val="2"/>
      </rPr>
      <t xml:space="preserve"> with initial lead of 10m and initial lift of 2m in Loamy &amp; Clayey Soils like BC Soils, Red Earth &amp; Ordinary Gravelly Soils ( SS 20-B) including shoring, strutting, sheeting, planking and dewatering including cost of hire charges of T &amp; P, labor charges etc., complete for finished item of work for Foundation of Building. (APSS No. 308)  as per RSSR</t>
    </r>
  </si>
  <si>
    <t>For SBC 20  TN/sqm only</t>
  </si>
  <si>
    <t>For Footings Pits</t>
  </si>
  <si>
    <t xml:space="preserve">Cross walls
</t>
  </si>
  <si>
    <t>For Wash Area near Kitchen</t>
  </si>
  <si>
    <t>For Ramp</t>
  </si>
  <si>
    <t>Deductions at Columns</t>
  </si>
  <si>
    <r>
      <t xml:space="preserve">Filling with Sand  </t>
    </r>
    <r>
      <rPr>
        <sz val="11"/>
        <rFont val="Maiandra GD"/>
        <family val="2"/>
      </rPr>
      <t>(excluding rock)</t>
    </r>
    <r>
      <rPr>
        <b/>
        <sz val="11"/>
        <rFont val="Maiandra GD"/>
        <family val="2"/>
      </rPr>
      <t xml:space="preserve"> </t>
    </r>
    <r>
      <rPr>
        <sz val="11"/>
        <rFont val="Maiandra GD"/>
        <family val="2"/>
      </rPr>
      <t>in trenches, sides of foundations and basement with initial lead in layers not exceeding 15cm thick, consolidating each deposited layer by watering and ramming including all operational, incidental, labor charges, hire charges of T &amp; P etc., complete for finished item of work. (APSS NO. 309 &amp; 310)</t>
    </r>
  </si>
  <si>
    <t>Material charges including skilled and semi-skilled labour charges As per CSSR</t>
  </si>
  <si>
    <t>Unskilled labour charges As per RSSR</t>
  </si>
  <si>
    <r>
      <t>Plain Cement Concrete corresponding to M5 grade as per IS 456 equivalent to (1:5:10) proportion nominal mix</t>
    </r>
    <r>
      <rPr>
        <sz val="11"/>
        <rFont val="Maiandra GD"/>
        <family val="2"/>
      </rPr>
      <t xml:space="preserve"> (cement: fine aggregate: Coarse aggregate) using 40mm size HBG  (SS5) metal from approved quarry including cost and conveyance of all materials like cement, sand, coarse aggregate, water etc. to site, including seigniorage charges, Countryes &amp; other taxes on all materials, all operational, incidental,  and labor charges such as mixing, laying and ramming concrete in layers in position not exceeding 15cm, finishing top surface, curing concrete,  etc., complete for finished item of work for Foundations and Flooring Bed (APSS No. 402) </t>
    </r>
  </si>
  <si>
    <t xml:space="preserve">Flooring in the rooms </t>
  </si>
  <si>
    <t>In Class Room</t>
  </si>
  <si>
    <t>In Nutriation ROOm</t>
  </si>
  <si>
    <t>In kitchen</t>
  </si>
  <si>
    <t>In Store  Room</t>
  </si>
  <si>
    <t xml:space="preserve">In  Varandah </t>
  </si>
  <si>
    <t xml:space="preserve">Under Inter Plinth Beams </t>
  </si>
  <si>
    <t>For Middle Beam LB</t>
  </si>
  <si>
    <t>Midle C/Beam</t>
  </si>
  <si>
    <t>Varanadah</t>
  </si>
  <si>
    <t>Kitchen</t>
  </si>
  <si>
    <t>Material charges including unskilled, skilled and semi-skilled labour charges As per CSSR</t>
  </si>
  <si>
    <r>
      <t>Plain Cement Concrete corresponding to M5 grade as per IS 456 equivalent to (1:4:8) proportion nominal mix</t>
    </r>
    <r>
      <rPr>
        <sz val="11"/>
        <rFont val="Maiandra GD"/>
        <family val="2"/>
      </rPr>
      <t xml:space="preserve"> (cement: fine aggregate: Coarse aggregate) using 40mm size HBG  (SS5) metal from approved quarry including cost and conveyance of all materials like cement, sand, coarse aggregate, water etc. to site, including seigniorage charges, Countryes &amp; other taxes on all materials, all operational, incidental,  and labor charges such as mixing, laying and ramming concrete in layers in position not exceeding 15cm, finishing top surface, curing concrete,  etc., complete for finished item of work for Foundations and Flooring Bed (APSS No. 402) </t>
    </r>
  </si>
  <si>
    <t>B13</t>
  </si>
  <si>
    <t xml:space="preserve">Random Rubble stone masonry, in CM (1:6) prop: (Cement: Sand) using hard granite stones from approved quarry including cost and conveyance of all materials like Granite stones, cement, sand, water,  etc.,  to site including seigniorage charges, Countryes &amp; other taxes on all materials, all operational, incidental, and labor charges such as cutting stones to required size and shape, mixing of cement mortar, constructing masonry, curing etc., complete for finished item of work for foundation and basement (APSS No. 601 &amp; 615) in GROUND FLOOR </t>
  </si>
  <si>
    <t>Step1</t>
  </si>
  <si>
    <t>Step 2</t>
  </si>
  <si>
    <t>Step3</t>
  </si>
  <si>
    <t>Step4</t>
  </si>
  <si>
    <t>Step5</t>
  </si>
  <si>
    <t>Deductions: at Columns</t>
  </si>
  <si>
    <t xml:space="preserve">Coursed Rubble stone masonry  in CM (1:6) prop: (Cement: Sand) using hard granite stones from approved quarry including cost and conveyance of all materials like Granite stones, cement, sand, water,  etc.,  to site including seigniorage charges, Countryes &amp; other taxes on all materials, all operational, incidental, and labor charges such as cutting stones to required size and shape, mixing of cement mortar, constructing masonry, curing etc., complete for finished item of work for foundation and basement (APSS No. 601 &amp; 615) in GROUND FLOOR </t>
  </si>
  <si>
    <t>B17</t>
  </si>
  <si>
    <t xml:space="preserve">Vibrated reinforced cement concrete corresponding M15 grade as per IS 456 equivalent to (1:1.5:3) prop: nominal mix (Cement: fine aggregate: coarse aggregate using 20mm size HBG (SS5) machine crushed  metal from approved quarry including cost and conveyance of all materials like cement, fine aggregate (Sand), coarse aggregate, water etc. to site including seigniorage charges, Countryes &amp; other taxes on all materials, all operational, incidental,  and labor charges such as centering, shuttering, scaffolding, lift charges, machine mixing, laying concrete, vibrating, curing concrete etc, complete but excluding cost of steel and its fabrication charges for finished item of work (APSS No.402 &amp; 403)                                                              </t>
  </si>
  <si>
    <t>For Coulmns</t>
  </si>
  <si>
    <t xml:space="preserve">long  walls </t>
  </si>
  <si>
    <t xml:space="preserve">Short  walls </t>
  </si>
  <si>
    <t xml:space="preserve">For Internal  Nuetrition wall </t>
  </si>
  <si>
    <t xml:space="preserve">For Internal kitchen wall </t>
  </si>
  <si>
    <t xml:space="preserve">For Store Room partion </t>
  </si>
  <si>
    <t>Columns  Joints Deductions</t>
  </si>
  <si>
    <t xml:space="preserve">For Roof  Beams </t>
  </si>
  <si>
    <t xml:space="preserve">On  long  Beams </t>
  </si>
  <si>
    <t xml:space="preserve">On Cross Beams </t>
  </si>
  <si>
    <t xml:space="preserve">For Roof Slab(1:1.5:3) prop 125 mm thick </t>
  </si>
  <si>
    <r>
      <t xml:space="preserve">Plain reinforced cement concrete corresponding M15 grade as per IS 456 equivalent to (1:1.5:3) prop: nominal mix (Cement: fine aggregate: coarse aggregate using 20mm size HBG (SS5) machine crushed  metal from approved quarry including cost and conveyance of all materials like cement, fine aggregate (Sand), coarse aggregate, water etc. to site including seigniorage charges, Countryes &amp; other taxes on all materials, all operational, incidental,  and labor charges such as centering, shuttering, scaffolding, lift charges, machine mixing, laying concrete, vibrating, curing concrete etc, complete but excluding cost of steel and its fabrication charges for finished item of work  (APSS No.402 &amp; 403) for </t>
    </r>
    <r>
      <rPr>
        <b/>
        <sz val="11"/>
        <rFont val="Maiandra GD"/>
        <family val="2"/>
      </rPr>
      <t xml:space="preserve">LINTELS </t>
    </r>
    <r>
      <rPr>
        <sz val="11"/>
        <rFont val="Maiandra GD"/>
        <family val="2"/>
      </rPr>
      <t xml:space="preserve">(G.F.)                                                             </t>
    </r>
  </si>
  <si>
    <t>over doors D1</t>
  </si>
  <si>
    <t>over doors D2</t>
  </si>
  <si>
    <t>over windows W2</t>
  </si>
  <si>
    <r>
      <t>Vibrated reinforced cement concrete corresponding M15 grade as per IS 456 equivalent to (1:1.5:3) prop: nominal mix (Cement: fine aggregate: coarse aggregate using 20mm size HBG (SS5) machine crushed  metal from approved quarry including cost and conveyance of all materials like cement, fine aggregate (Sand), coarse aggregate, water etc. to site including seigniorage charges, Countryes &amp; other taxes on all materials, all operational, incidental,  and labor charges such as centering, shuttering, scaffolding, lift charges, machine mixing, laying concrete, vibrating, curing concrete etc, complete but excluding cost of steel and its fabrication charges for finished item of work  (APSS No.402 &amp; 403)</t>
    </r>
    <r>
      <rPr>
        <b/>
        <sz val="11"/>
        <rFont val="Maiandra GD"/>
        <family val="2"/>
      </rPr>
      <t xml:space="preserve"> FOR SUNSHADE      0.60 M WIDE</t>
    </r>
    <r>
      <rPr>
        <sz val="11"/>
        <rFont val="Maiandra GD"/>
        <family val="2"/>
      </rPr>
      <t xml:space="preserve">.                                                            </t>
    </r>
  </si>
  <si>
    <t>For Kitchen  top and bottom</t>
  </si>
  <si>
    <r>
      <t>Plain Cement Concrete corresponding to M10 grade as per IS 456 equivalent to (1:3:6) proportion nominal mix (cement: fine aggregate: Coarse aggregate) using 40mm size HBG  (SS5) metal from from approved quarry including cost and conveyance of all materials like cement, sand, coarse aggregate, water etc. to site, including seigniorage charges, Countryes &amp; other taxes on all materials, all operational, incidental and labour charges such as mixing, laying, curing concrete,  etc., complete for finished item of work for</t>
    </r>
    <r>
      <rPr>
        <b/>
        <sz val="11"/>
        <rFont val="Maiandra GD"/>
        <family val="2"/>
      </rPr>
      <t xml:space="preserve"> Bed Blocks and Hold Fasts </t>
    </r>
    <r>
      <rPr>
        <sz val="11"/>
        <rFont val="Maiandra GD"/>
        <family val="2"/>
      </rPr>
      <t xml:space="preserve">(APSS No. 402) </t>
    </r>
  </si>
  <si>
    <t>For doors</t>
  </si>
  <si>
    <t>For  windows</t>
  </si>
  <si>
    <t xml:space="preserve">For Coping allround wash area </t>
  </si>
  <si>
    <t xml:space="preserve">Back &amp; fornt </t>
  </si>
  <si>
    <t>Betwn Nutritiona and varandah</t>
  </si>
  <si>
    <t>For Ramp portion</t>
  </si>
  <si>
    <t>(0.90+0.00)/2</t>
  </si>
  <si>
    <t>Lintels On Door &amp; Windows</t>
  </si>
  <si>
    <t xml:space="preserve">Bed Blocks </t>
  </si>
  <si>
    <t>Reinforced Brick Masonary walls of 11.5cm in CM(1:4) using  second class traditional size bricks and using two mild steel bars of 6m dia in every third layer of brick masory, with free joints of the main block work including cost and seignorage charges and conveyance of all materials and water from approved sources to work site and all operational, incidental, labour charges such as scaffolding mixing mortor constructing masonary lift charges, curing etc. complete but excluding the cost of steel and its fabrication charges for finished item of work as per SS 509</t>
  </si>
  <si>
    <t>For Kitchen Partion Wall</t>
  </si>
  <si>
    <t>For Store Partion Wall</t>
  </si>
  <si>
    <t xml:space="preserve">For Plot form cons in  Kitchen </t>
  </si>
  <si>
    <t>For Door D2</t>
  </si>
  <si>
    <t>Filling with useful available excavated earth (excluding rock) in trenches, sides of foundations and basement with initial lead in layers not exceeding 15cm thick, consolidating each deposited layer by watering and ramming including all operational, incidental, labor charges, hire charges of T &amp; P etc., complete for finished item of work. (APSS NO. 309 &amp; 310)</t>
  </si>
  <si>
    <t>For Long walls (28.25*.3048-3*1.35-.23)</t>
  </si>
  <si>
    <t xml:space="preserve">For cross  walls (21.38*.3048-3*1.35-.23)
</t>
  </si>
  <si>
    <t xml:space="preserve">70 % Excavated Earth </t>
  </si>
  <si>
    <t>Filling with gravel  (excluding rock) in trenches, sides of foundations and basement with initial lead in layers not exceeding 15cm thick, consolidating each deposited layer by watering and ramming including all operational, incidental, labor charges, hire charges of T &amp; P etc., complete for finished item of work. (APSS NO. 309 &amp; 310)</t>
  </si>
  <si>
    <t>In rooms</t>
  </si>
  <si>
    <t xml:space="preserve">Over all slab with 0.30m Projection </t>
  </si>
  <si>
    <t>per MT</t>
  </si>
  <si>
    <t xml:space="preserve">Ornamental plastering to ceiling 12mm thick in CM (1:3) with dubara sponge finish including cost and conveyance of all materials like cement, sand, water etc., to site, including seigniorage charges, sales &amp; other taxes on all materials, all operational, incidental and labour charges such as  mixing mortar, finishing, scaffolding, lift charges, including cutting of Grooves wherever necessary as directed by Engineer - in - charge,  curing, etc., complete for finished item of work.(APSS 901&amp; 903 ) </t>
  </si>
  <si>
    <t>For Class Room</t>
  </si>
  <si>
    <t>For Nutrition Rom</t>
  </si>
  <si>
    <t>For kitchen</t>
  </si>
  <si>
    <t xml:space="preserve">For Store Room </t>
  </si>
  <si>
    <t xml:space="preserve">For Slab Projections  Long side </t>
  </si>
  <si>
    <t xml:space="preserve">For Slab Projections  Short  side </t>
  </si>
  <si>
    <r>
      <t xml:space="preserve">Plastering 12mm thick in two coats with base coat of 8mm thick in CM (1:5) and top coat of 4mm thick in CM (1:3) dubara sponge finish including cost and conveyance of all materials like cement, sand, water etc., to site, seigniorage charges, Countryes &amp; other taxes on all materials, all operational, incidental and labor charges such as mixing mortar, scaffolding charges, lift charges, including cutting of Grooves wherever necessary as directed by Engineer - in - charge, finishing,  curing, etc., complete for  Even Surfaces of  Wall for finished item of work. (APSS 901,903 &amp; 904) </t>
    </r>
    <r>
      <rPr>
        <b/>
        <sz val="11"/>
        <rFont val="Maiandra GD"/>
        <family val="2"/>
      </rPr>
      <t xml:space="preserve">For Internal walls </t>
    </r>
  </si>
  <si>
    <t xml:space="preserve">In Side Area </t>
  </si>
  <si>
    <t xml:space="preserve">For Class Room </t>
  </si>
  <si>
    <t>For Nutriion Room</t>
  </si>
  <si>
    <t xml:space="preserve">For Kitchen Room </t>
  </si>
  <si>
    <t xml:space="preserve">For Varandah </t>
  </si>
  <si>
    <t xml:space="preserve">Window W </t>
  </si>
  <si>
    <r>
      <t xml:space="preserve">Supply and fixing of  salwood Door single shutter   fully pannlled door of size </t>
    </r>
    <r>
      <rPr>
        <b/>
        <sz val="11"/>
        <rFont val="Maiandra GD"/>
        <family val="2"/>
      </rPr>
      <t xml:space="preserve">1.05 x 2.1mt </t>
    </r>
    <r>
      <rPr>
        <sz val="11"/>
        <rFont val="Maiandra GD"/>
        <family val="2"/>
      </rPr>
      <t xml:space="preserve">with frame made of well seasoned sal Wood scantlings of size 100 x 75mm and bottom reeper of size 75x38mm and shutter made of side rails 125mm X38, top rail 125mmX38mm, bottom rail 175mmX38mm and intermediate rails  of 125 x 38 mm and panels -  4 no's are of 25mm thick  as per approved design with fixtures of 6 nos of 9" ' z" holdfasts, 300 mm long aluminium aldrop-1 no,125mm long aluminium   butt hinges 4 No's, Door stoppers-1 no, 150mm long  Tower bolts  - 1no's alumium,  200mm long  Tower bolts  - 1no's alumium,Aluminium fancy  handles 150mm long 1no's,   with necessary screws complete including cost and conveyance of all materials and labour charges etc. complete as per specifications  (APSS NO.1001 &amp; 1002)                                                                                                 </t>
    </r>
  </si>
  <si>
    <t>D1- Only Frames</t>
  </si>
  <si>
    <r>
      <t>Supply and fixing of  salwood Door single shutter   fully pannlled door of size .</t>
    </r>
    <r>
      <rPr>
        <b/>
        <sz val="11"/>
        <rFont val="Maiandra GD"/>
        <family val="2"/>
      </rPr>
      <t xml:space="preserve">90 x 2.1mt </t>
    </r>
    <r>
      <rPr>
        <sz val="11"/>
        <rFont val="Maiandra GD"/>
        <family val="2"/>
      </rPr>
      <t xml:space="preserve">with frame made of well seasoned sal Wood scantlings of size 100 x 75mm and bottom reeper of size 75x38mm and shutter made of side rails 125mm X38, top rail 125mmX38mm, bottom rail 175mmX38mm and intermediate rails  of 125 x 38 mm and panels -  4 no's are of 25mm thick  as per approved design with fixtures of 6 nos of 9" ' z" holdfasts, 300 mm long aluminium aldrop-1 no,125mm long aluminium   butt hinges 4 No's, Door stoppers-1 no, 150mm long  Tower bolts  - 1no's alumium,  200mm long  Tower bolts  - 1no's alumium,Aluminium fancy  handles 150mm long 1no's,   with necessary screws complete including cost and conveyance of all materials and labour charges etc. complete as per specifications  (APSS NO.1001 &amp; 1002)                                                                                                 </t>
    </r>
  </si>
  <si>
    <t>DOOR-D2   0.9x2.1 mt
(Frame )</t>
  </si>
  <si>
    <t>Supply and fixing of Window size 1.20 x 1.20 M  with sal wood frame of size 75x100mm along with  II class teak wood three shutters made with styles&amp; rails of 100mmx30mm thick with 12mm prelaminated particle board both side laminated interior grade and S/F of 4Nos. MS Hold fasts, 6Nos. MS tower  bolts 100mm long. 6 Nos. MS Hinges 75mm long,2Nos MS Handles 3 Nos window stays. incl. all labour charges such as making window frame &amp; shetter and fiXing 11 Nos. 16mm plain safety bars in to frame etc,</t>
  </si>
  <si>
    <t>Supply and fixing of Window size 1.20 x 0.75 M  with sal wood frame of size 75x100mm along with  II class teak wood three shutters made with styles&amp; rails of 100mmx30mm thick with 12mm prelaminated particle board both side laminated interior grade and S/F of 4Nos. MS Hold fasts, 6Nos. MS tower  bolts 100mm long. 6 Nos. MS Hinges 75mm long,2Nos MS Handles 3 Nos window stays. incl. all labour charges such as making window frame &amp; shetter and fiXing 11 Nos. 16mm plain safety bars in to frame etc,</t>
  </si>
  <si>
    <r>
      <t>Flooring with</t>
    </r>
    <r>
      <rPr>
        <b/>
        <sz val="11"/>
        <rFont val="Maiandra GD"/>
        <family val="2"/>
      </rPr>
      <t>15-18 mm thick polished Shabad stones (</t>
    </r>
    <r>
      <rPr>
        <sz val="11"/>
        <rFont val="Maiandra GD"/>
        <family val="2"/>
      </rPr>
      <t>Tandur Blue 1st.Variety) of size 0.457 M x 0.457M set over a base coat of CM (1:8), 12mm thick (joints of stone must be flushed) over 100mm thick C.C. bed already laid only after  it  is  properly  cured, cleaned, moistered and  where necessary treated with  neat cement slurry  and jointed with neat cement paste to full depth, including cost and conveyance of all materials like cement, sand, water, flooring stones etc. to site, seigniorage charges, Countryes and other taxes on all materials, all operational, incidental and labour charges such as dressing of flooring stones to the required sizes, mixing of cement mortar, laying, jointing, curing, lift charges etc., complete for finished item of work.(APSS No.703 &amp; 701) (GROUND FLOOR)</t>
    </r>
  </si>
  <si>
    <t>For Flooring in Class Room</t>
  </si>
  <si>
    <t xml:space="preserve">For Nutrition Room </t>
  </si>
  <si>
    <t>For Store Room</t>
  </si>
  <si>
    <t xml:space="preserve">For Door Sill D1 </t>
  </si>
  <si>
    <t>For Door Sill D2</t>
  </si>
  <si>
    <t>Toilet Block</t>
  </si>
  <si>
    <t xml:space="preserve">For  Long walls </t>
  </si>
  <si>
    <t>For Cross walls</t>
  </si>
  <si>
    <t xml:space="preserve">For Leach Pits </t>
  </si>
  <si>
    <t>PI()/4</t>
  </si>
  <si>
    <t>B 102 QC charges @0.5% (Excluding Seignorage &amp; GST)</t>
  </si>
  <si>
    <t>LS for unfore seen items</t>
  </si>
  <si>
    <t>Total  Part</t>
  </si>
  <si>
    <t>Part-B (DMFT)</t>
  </si>
  <si>
    <r>
      <t>Plastering  20</t>
    </r>
    <r>
      <rPr>
        <b/>
        <sz val="11"/>
        <rFont val="Maiandra GD"/>
        <family val="2"/>
      </rPr>
      <t xml:space="preserve"> mm thick </t>
    </r>
    <r>
      <rPr>
        <sz val="11"/>
        <rFont val="Maiandra GD"/>
        <family val="2"/>
      </rPr>
      <t>in two coats with base coat of 16</t>
    </r>
    <r>
      <rPr>
        <b/>
        <sz val="11"/>
        <rFont val="Maiandra GD"/>
        <family val="2"/>
      </rPr>
      <t xml:space="preserve"> mm thick in CM (1:6)</t>
    </r>
    <r>
      <rPr>
        <sz val="11"/>
        <rFont val="Maiandra GD"/>
        <family val="2"/>
      </rPr>
      <t xml:space="preserve"> and top coat of</t>
    </r>
    <r>
      <rPr>
        <b/>
        <sz val="11"/>
        <rFont val="Maiandra GD"/>
        <family val="2"/>
      </rPr>
      <t xml:space="preserve"> 4mm thick in CM (1:4)</t>
    </r>
    <r>
      <rPr>
        <sz val="11"/>
        <rFont val="Maiandra GD"/>
        <family val="2"/>
      </rPr>
      <t xml:space="preserve"> dubara sponge finish including cost and conveyance of all materials like cement, sand, water etc., to site, seigniorage charges, Countryes &amp; other taxes on all materials, all operational, incidental and labor charges such as mixing mortar, scaffolding charges, lift charges, including cutting of Grooves wherever necessary as directed by Engineer - in - charge, finishing,  curing, etc., complete for  Even Surfaces of  Wall for finished item of work. (APSS 901,903 &amp; 904) </t>
    </r>
    <r>
      <rPr>
        <b/>
        <sz val="11"/>
        <rFont val="Maiandra GD"/>
        <family val="2"/>
      </rPr>
      <t xml:space="preserve"> For External walls </t>
    </r>
  </si>
  <si>
    <t xml:space="preserve">Out Side </t>
  </si>
  <si>
    <t xml:space="preserve">Frontside </t>
  </si>
  <si>
    <t>Left side</t>
  </si>
  <si>
    <t>Right  side</t>
  </si>
  <si>
    <t>Step2</t>
  </si>
  <si>
    <t xml:space="preserve">For Treads </t>
  </si>
  <si>
    <t xml:space="preserve">For Rises </t>
  </si>
  <si>
    <t xml:space="preserve">For  Ramp   Sides </t>
  </si>
  <si>
    <t>For  Ramp   Side</t>
  </si>
  <si>
    <t xml:space="preserve">For  Ramp  Top </t>
  </si>
  <si>
    <t>For varandah</t>
  </si>
  <si>
    <t xml:space="preserve">Door D1 </t>
  </si>
  <si>
    <t xml:space="preserve">Flush Pointing to RRS Masonry in CM(1:3) Prop: including cost and conveyance of all materials like cement, sand, water etc., to site, Excluding seigniorage charges,Including, Countryes &amp; other taxes on all materials, all operational, incidental charges and labour charges such as mixing mortar, finishing, curing, etc., complete for finished item of work. (APSS 901,906) </t>
  </si>
  <si>
    <t>Front &amp; back side</t>
  </si>
  <si>
    <t xml:space="preserve">In Side Portion </t>
  </si>
  <si>
    <t>Window W 1</t>
  </si>
  <si>
    <t>Window W 2</t>
  </si>
  <si>
    <r>
      <t xml:space="preserve">Painting to New walls with two coats of </t>
    </r>
    <r>
      <rPr>
        <b/>
        <sz val="11"/>
        <rFont val="Maiandra GD"/>
        <family val="2"/>
      </rPr>
      <t xml:space="preserve">snowcem paints </t>
    </r>
    <r>
      <rPr>
        <sz val="11"/>
        <rFont val="Maiandra GD"/>
        <family val="2"/>
      </rPr>
      <t xml:space="preserve">of approved brand and shade over base coat of appropriate distemper primer of approved brand making three coats in all to give an even shade after thoroughly brushing the surface to remove all loose powdered materials, including c/c  of all materials, cost of brushes, water to site, etc., &amp; other taxes, all operational, incidental and labour charges such as scaffolding charges, lift charges, curing etc.,complete for finished item of work in all floors for external Walls.(APSS No. 911) </t>
    </r>
  </si>
  <si>
    <t xml:space="preserve">Out Side Portion </t>
  </si>
  <si>
    <t>Door</t>
  </si>
  <si>
    <t>For Building Block</t>
  </si>
  <si>
    <t>1MT</t>
  </si>
  <si>
    <t xml:space="preserve">Electrical Items as per Sub Estimate for Part- </t>
  </si>
  <si>
    <t>Construction of Toilets as per Sub Estimate</t>
  </si>
  <si>
    <t>B 100 Provision for GST @ 18 % (Excluding Seigniorage &amp; Labour)</t>
  </si>
  <si>
    <t>NAC up to 0.1% of (Part-A total cost + Part-B total cost)</t>
  </si>
  <si>
    <t xml:space="preserve">Total Part-B </t>
  </si>
  <si>
    <t>Total Part-A (MGNREGS Funds) Amount</t>
  </si>
  <si>
    <t>Total Part-B (DMFT) Amount</t>
  </si>
  <si>
    <t>Total (Part-A &amp; Part-B)</t>
  </si>
  <si>
    <t>Anganwadi</t>
  </si>
  <si>
    <t>Kalwakurthy</t>
  </si>
  <si>
    <t>Dindi Vagu</t>
  </si>
  <si>
    <t>Veldanda</t>
  </si>
  <si>
    <t>Jp Nagar</t>
  </si>
  <si>
    <t xml:space="preserve">Urkonda </t>
  </si>
  <si>
    <t>BLD-CSTN-2-8 
Amnedment 6.2  Errata VP 80
SSR 2021-22</t>
  </si>
  <si>
    <t xml:space="preserve">gravel for filling </t>
  </si>
  <si>
    <t>Per 1 Sqm</t>
  </si>
  <si>
    <t>DATA FOR WOOD WORK WITH 2024-25 (Country  Wood )</t>
  </si>
  <si>
    <t>145 272</t>
  </si>
  <si>
    <t xml:space="preserve">Supply and fixing of Salwood Door Single shutter  fully panelled door of size 0.75 x 2.1mt with frame made of well seasoned Sal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</si>
  <si>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shutter verticals TBSC-D.V-02</t>
  </si>
  <si>
    <t xml:space="preserve">Supply and fixing of Salwood Door double shutter  fully panelled door of size 0.90 x 2.1mt with frame made of well seasoned Sal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</si>
  <si>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ELEC-10.1.6</t>
  </si>
  <si>
    <t xml:space="preserve">Supply and fixing of  Salwood Door double shutter  fully panelled door of size 1.50 x 2.10M with frame made of well seasoned Sal Wood scantlings of size 100 x 75mm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t>
  </si>
  <si>
    <t>TBSC-H.III-48</t>
  </si>
  <si>
    <t>Supply and fixing of fully panelled  Window  frame and shutters of size 1.20 x .75 M with Salwood frame of size 75x100mm and S/F of 4 Nos. MS Hold fasts, incl. all labour charges such as making window frame and shutters and fiXing   10 Nos.of  12 mm square safety bars in to  the frame etc,including applying primory coat, cost and conveyance  of all materials .</t>
  </si>
  <si>
    <t>Window size 1.20 x 0.7 M</t>
  </si>
  <si>
    <t>5 nos</t>
  </si>
  <si>
    <t xml:space="preserve">Window size 1.20 x 0.75mts (Frame only) </t>
  </si>
  <si>
    <t>5nos</t>
  </si>
  <si>
    <t>BASIC COST per Each (Frame Only) (1.20 x 0.75)m</t>
  </si>
  <si>
    <t>BASIC COST per Each (Shutter  Only)(1.20 x 0.75)m</t>
  </si>
  <si>
    <r>
      <t xml:space="preserve">Window W2  0.90 x 0.75 mt
</t>
    </r>
    <r>
      <rPr>
        <b/>
        <sz val="9"/>
        <rFont val="Maiandra GD"/>
        <family val="2"/>
      </rPr>
      <t>(Frames)</t>
    </r>
  </si>
  <si>
    <t>For wash area</t>
  </si>
  <si>
    <t>Name Board provision</t>
  </si>
  <si>
    <t>RCC M20 slab 125mm(per 10 sqm)</t>
  </si>
  <si>
    <t>Filling with gravel</t>
  </si>
  <si>
    <t>Door frames 1.05 X2.1</t>
  </si>
  <si>
    <t>Door frames 0.9 X2.1</t>
  </si>
  <si>
    <t>Window frames 1.2 X1.2(w1)</t>
  </si>
  <si>
    <t>Window frames 1.2 X.75(w2)</t>
  </si>
  <si>
    <r>
      <t xml:space="preserve">Window W1  1.20 x 1.2
</t>
    </r>
    <r>
      <rPr>
        <b/>
        <sz val="11"/>
        <rFont val="Maiandra GD"/>
        <family val="2"/>
      </rPr>
      <t>(Frames)</t>
    </r>
  </si>
  <si>
    <t>PVC pipe consealed in slab</t>
  </si>
  <si>
    <t>Activity to match total esimated cost</t>
  </si>
  <si>
    <t>Estimate Cost Rs(Lakhs).:</t>
  </si>
  <si>
    <t xml:space="preserve">                            The proposed work is covering Anganwadi Building  Centre  with Class room(4.27 mx6.06m) ,Nutrition room(3.66mx2.13m), Kitchen room(2.33mx2.13m), store room (1.22mx2.13m)and varandah(3.66x1.52m).   The sanctioned amount of 8.00 lakhs (MGNREGS) is covering up to roof slab  and brick work and door frames. The balance work of items like wood work, plastering, painting,flooring,electricty, and sanitory items will be completed in further available grants.</t>
  </si>
  <si>
    <t>MPP:</t>
  </si>
  <si>
    <t xml:space="preserve">PRSD </t>
  </si>
  <si>
    <t>G.P</t>
  </si>
  <si>
    <t>Government of Telangana</t>
  </si>
  <si>
    <t>Panchayat Raj Engineering  Department</t>
  </si>
  <si>
    <t>DETAILED  ESTIMATE</t>
  </si>
  <si>
    <t>Name of Grant</t>
  </si>
  <si>
    <t>Estimate Cost</t>
  </si>
  <si>
    <t>::</t>
  </si>
  <si>
    <t xml:space="preserve">Mandal </t>
  </si>
  <si>
    <t xml:space="preserve">Sub-Division </t>
  </si>
  <si>
    <t>PRSD Kalwakurthy</t>
  </si>
  <si>
    <t xml:space="preserve">Division </t>
  </si>
  <si>
    <t>Nagar kurnool</t>
  </si>
  <si>
    <t>MGNREGS/2024-25</t>
  </si>
  <si>
    <t>Lakhs</t>
  </si>
  <si>
    <t>MPP Kalwakurthy</t>
  </si>
  <si>
    <t>Flooring Tiles/slabs</t>
  </si>
  <si>
    <t>columns</t>
  </si>
  <si>
    <t>Cement  30.06.2025</t>
  </si>
  <si>
    <t>Steel Fe 500 as on 30.06.2025</t>
  </si>
  <si>
    <t>MS  Steel  as on 30.06.2025</t>
  </si>
  <si>
    <r>
      <t xml:space="preserve">Bond stones ( 20x20x </t>
    </r>
    <r>
      <rPr>
        <sz val="12"/>
        <color indexed="10"/>
        <rFont val="Calibri"/>
        <family val="2"/>
        <scheme val="minor"/>
      </rPr>
      <t>60cm</t>
    </r>
    <r>
      <rPr>
        <sz val="12"/>
        <rFont val="Calibri"/>
        <family val="2"/>
        <scheme val="minor"/>
      </rPr>
      <t xml:space="preserve">   @ Rs 32.00 /Each)</t>
    </r>
  </si>
  <si>
    <t>Through stone(25x25x45cm to  60cm @ Rs 59.00/Each)</t>
  </si>
  <si>
    <t>Fly ash Cement Brick 290x150x140 SSR No. 5</t>
  </si>
  <si>
    <t>L E A D      C H A R G  E S -   2025-26</t>
  </si>
  <si>
    <t>Lead charges
(Excluding initial 1km lead)</t>
  </si>
  <si>
    <t>LEAD CHART 2025-26</t>
  </si>
  <si>
    <t>ELEC-1.2.7-B</t>
  </si>
  <si>
    <t>Add extra for Scaffolding Material  Charges  @ Rs 12.56 Sqm</t>
  </si>
  <si>
    <t>Add extra for Scaffolding labour  Charges  @ Rs 109.70 Sqm /157.32 Sqm</t>
  </si>
  <si>
    <t>Add extra for Scaffolding Material  Charges  @ Rs 1.26 Sqm</t>
  </si>
  <si>
    <t>Add extra for Scaffolding labour  Charges  @   Rs 10.91Sqm/ Rs 15.73 Sqm</t>
  </si>
  <si>
    <t>Add extra for Scaffolding labour  Charges  @   Rs 10.91 Sqm /Rs 11.95 Sqm</t>
  </si>
  <si>
    <t>Construction of Anganwadi Building Centre at Jeedipally Thanda village of Kalwakurthy Mandal in Nagarkurnool District</t>
  </si>
  <si>
    <t xml:space="preserve">                             The above said work has been Administratively sanctioned by the Collector and District Magistrate , Nagarkurnool District vide proc No. D15/IT/MGNREGS/Gp and Anganwadi buildings/2025-26, Dated:28.05.2025</t>
  </si>
  <si>
    <t>Jeediapally Thanda</t>
  </si>
  <si>
    <t>Jeedipally Thanda</t>
  </si>
  <si>
    <r>
      <t>Earthwork in excavation for structures as per drawing and technical specifications Clause 305.1</t>
    </r>
    <r>
      <rPr>
        <sz val="10"/>
        <color theme="1"/>
        <rFont val="Maiandra GD"/>
        <family val="2"/>
      </rPr>
      <t xml:space="preserve"> including setting out, construction of shoring and bracing, removal of stumps and other deleterious material and disposal upto a lead of 50 m, dressing of sides and bottom and backfilling in trenches with excavated suitable material as per Technical Specification</t>
    </r>
    <r>
      <rPr>
        <b/>
        <sz val="10"/>
        <color theme="1"/>
        <rFont val="Maiandra GD"/>
        <family val="2"/>
      </rPr>
      <t xml:space="preserve"> 305 MORD / 304 MORTH</t>
    </r>
  </si>
  <si>
    <r>
      <t>Supplying and filling sand in trenches ,sides of the foundations</t>
    </r>
    <r>
      <rPr>
        <sz val="10"/>
        <color theme="1"/>
        <rFont val="Maiandra GD"/>
        <family val="2"/>
      </rPr>
      <t xml:space="preserve"> and basement with initial lead in layers not exceeding 15 cm thick consolidatiing each depposited layer by watering and rampping including cost and conveyance of water  to work site and all operational incidental ,labour charges hire charges and T &amp; O Complete for finished item</t>
    </r>
    <r>
      <rPr>
        <b/>
        <sz val="10"/>
        <color theme="1"/>
        <rFont val="Maiandra GD"/>
        <family val="2"/>
      </rPr>
      <t xml:space="preserve"> APSS 309 &amp;310)  </t>
    </r>
  </si>
  <si>
    <r>
      <t>Supplying and filling earth</t>
    </r>
    <r>
      <rPr>
        <sz val="10"/>
        <color theme="1"/>
        <rFont val="Maiandra GD"/>
        <family val="2"/>
      </rPr>
      <t xml:space="preserve"> in trenches ,sides of the foundations and basement with initial lead in layers not exceeding 15 cm thick consolidatiing each depposited layer by watering and rampping including cost and conveyance of water  to work site and all operational incidental ,labour charges hire charges and T &amp; O Complete for finished item </t>
    </r>
    <r>
      <rPr>
        <b/>
        <sz val="10"/>
        <color theme="1"/>
        <rFont val="Maiandra GD"/>
        <family val="2"/>
      </rPr>
      <t xml:space="preserve">APSS 309 &amp;310)  </t>
    </r>
  </si>
  <si>
    <r>
      <t>Supplying and filling EXCAVATED earth</t>
    </r>
    <r>
      <rPr>
        <sz val="10"/>
        <color theme="1"/>
        <rFont val="Maiandra GD"/>
        <family val="2"/>
      </rPr>
      <t xml:space="preserve"> in trenches ,sides of the foundations and basement with initial lead in layers not exceeding 15 cm thick consolidatiing each depposited layer by watering and rampping including cost and conveyance of water  to work site and all operational incidental ,labour charges hire charges and T &amp; O Complete for finished item </t>
    </r>
    <r>
      <rPr>
        <b/>
        <sz val="10"/>
        <color theme="1"/>
        <rFont val="Maiandra GD"/>
        <family val="2"/>
      </rPr>
      <t xml:space="preserve">APSS 309 &amp;310)  </t>
    </r>
  </si>
  <si>
    <r>
      <t xml:space="preserve">Plain Cement concrete (1:4:8) </t>
    </r>
    <r>
      <rPr>
        <sz val="10"/>
        <color theme="1"/>
        <rFont val="Maiandra GD"/>
        <family val="2"/>
      </rPr>
      <t xml:space="preserve">using 40 mm metal with concrete mixture.All work upto plinth level. nominal mix (cement: fine aggregate: Coarse aggregate) using 40mm size HBG  (SS5) metal from approved quarry including cost and conveyance of all materials like cement, sand, coarse aggregate, water etc. to site, including seigniorage charges, Countryes &amp; other taxes on all materials, all operational, incidental,  and labor charges such as mixing, laying and ramming concrete in layers in position not exceeding 15cm, finishing top surface, curing concrete,  etc., complete for finished item of work for Foundations and Flooring Bed (APSS No. 402) </t>
    </r>
  </si>
  <si>
    <r>
      <t>Mason 1</t>
    </r>
    <r>
      <rPr>
        <vertAlign val="superscript"/>
        <sz val="10"/>
        <color theme="1"/>
        <rFont val="Maiandra GD"/>
        <family val="2"/>
      </rPr>
      <t>st</t>
    </r>
    <r>
      <rPr>
        <sz val="10"/>
        <color theme="1"/>
        <rFont val="Maiandra GD"/>
        <family val="2"/>
      </rPr>
      <t xml:space="preserve"> class</t>
    </r>
  </si>
  <si>
    <r>
      <t xml:space="preserve">Plain Cement concrete (1:5:10) using 40 mm metal </t>
    </r>
    <r>
      <rPr>
        <sz val="10"/>
        <color theme="1"/>
        <rFont val="Maiandra GD"/>
        <family val="2"/>
      </rPr>
      <t>with Concrete mixture. using 40mm size HBG  (SS5) metal from approved quarry including cost and conveyance of all materials like cement, sand, coarse aggregate, water etc. to site, including seigniorage charges, Countryes &amp; other taxes on all materials, all operational, incidental,  and labor charges such as mixing, laying and ramming concrete in layers in position not exceeding 15cm, finishing top surface, curing concrete,  etc., complete for finished item of work for Foundations and Flooring Bed (APSS No. 402)   All work upto plinth level.</t>
    </r>
  </si>
  <si>
    <r>
      <rPr>
        <b/>
        <sz val="10"/>
        <color theme="1"/>
        <rFont val="Maiandra GD"/>
        <family val="2"/>
      </rPr>
      <t>RR Masonry in CM (1:6) Cement: Sand) using hard granite stones</t>
    </r>
    <r>
      <rPr>
        <sz val="10"/>
        <color theme="1"/>
        <rFont val="Maiandra GD"/>
        <family val="2"/>
      </rPr>
      <t xml:space="preserve"> from approved quarry including cost and conveyance of all materials like Granite stones, cement, sand, water,  etc.,  to site including seigniorage charges, Countryes &amp; other taxes on all materials, all operational, incidental, and labor charges such as cutting stones to required size and shape, mixing of cement mortar, constructing masonry, curing etc., complete for finished item of work for foundation and basement (APSS No. 601 &amp; 615) </t>
    </r>
  </si>
  <si>
    <r>
      <t xml:space="preserve">CRS Masonry in CM (1:6) 2nd  Sort </t>
    </r>
    <r>
      <rPr>
        <sz val="10"/>
        <color theme="1"/>
        <rFont val="Maiandra GD"/>
        <family val="2"/>
      </rPr>
      <t>(Cement: Sand) using hard granite stones from approved quarry including cost and conveyance of all materials like Granite stones, cement, sand, water,  etc.,  to site including seigniorage charges, Countryes &amp; other taxes on all materials, all operational, incidental, and labor charges such as cutting stones to required size and shape, mixing of cement mortar, constructing masonry, curing etc., complete for finished item of work for foundation and basement (APSS No. 601 &amp; 615)</t>
    </r>
  </si>
  <si>
    <r>
      <t>Mason 2</t>
    </r>
    <r>
      <rPr>
        <vertAlign val="superscript"/>
        <sz val="10"/>
        <color theme="1"/>
        <rFont val="Maiandra GD"/>
        <family val="2"/>
      </rPr>
      <t>nd</t>
    </r>
    <r>
      <rPr>
        <sz val="10"/>
        <color theme="1"/>
        <rFont val="Maiandra GD"/>
        <family val="2"/>
      </rPr>
      <t xml:space="preserve"> class</t>
    </r>
  </si>
  <si>
    <r>
      <rPr>
        <b/>
        <sz val="10"/>
        <color theme="1"/>
        <rFont val="Maiandra GD"/>
        <family val="2"/>
      </rPr>
      <t xml:space="preserve">Providing High Yield Strength Deformed (HYSD)/ Thermo Mechanically Treated (TMT) / Mild steel (MS) steel bars (Fe </t>
    </r>
    <r>
      <rPr>
        <sz val="10"/>
        <color theme="1"/>
        <rFont val="Maiandra GD"/>
        <family val="2"/>
      </rPr>
      <t>415/ Fe 500 grade as per IS 1786-1979) of different diameters for RCC works , including labour charges for straightening, cutting, bending to required sizes and shapes, placing in position with cover blocks of approved materials and size and tying and lap-splicing with binding wire of 18 SWG, forming grills for reinforcement work as per approved designs and drawings, including cost and conveyance of steel bars, including all wastages such as overlaps, couplings, chairs, spacer bars including cost and conveyance of binding wire, cover blocks and all incidental, operational, labour charges such as cutting, bending, placing in position, tying including sales and other taxes on all materials etc., complete for finished item of work in all floors.( APSS No.126)</t>
    </r>
  </si>
  <si>
    <r>
      <rPr>
        <b/>
        <sz val="10"/>
        <color theme="1"/>
        <rFont val="Maiandra GD"/>
        <family val="2"/>
      </rPr>
      <t>Plastering 12mm thick double coat in CM (1:5) 8 mm thick base coat and CM (1:3) of 4mm thick top coat</t>
    </r>
    <r>
      <rPr>
        <sz val="10"/>
        <color theme="1"/>
        <rFont val="Maiandra GD"/>
        <family val="2"/>
      </rPr>
      <t xml:space="preserve"> with dubara sponge finish including c/c of all materials like cement, sand,water etc., to site, other taxes on all materials, all operational, incidental such as scaffolding charges, lift charges, including cutting of Grooves,finishing, curing, etc., complete for for finished item of work. (APSS 1001,1003 &amp; 1004) (CSSR) Internal Walls</t>
    </r>
  </si>
  <si>
    <r>
      <rPr>
        <b/>
        <sz val="10"/>
        <color theme="1"/>
        <rFont val="Maiandra GD"/>
        <family val="2"/>
      </rPr>
      <t>RCM facia 5cm thick in CM (1:3) for drop walls,</t>
    </r>
    <r>
      <rPr>
        <sz val="10"/>
        <color theme="1"/>
        <rFont val="Maiandra GD"/>
        <family val="2"/>
      </rPr>
      <t xml:space="preserve"> fins  with rabbit wire mesh &amp; nominal reinforcement as directed by Engineer-in-charge with dubara sponge finishing, including cost &amp; conveyance of all materials to site, seigniorage charges, sales &amp; other taxes on all materials, operational &amp; incidental, cost and conveyance of cement, wire mesh, water to work site, centering, scaffolding and form work, lift charges etc., complete for finished items of work but excluding cost of steel &amp; its fabrication charges, for finished item of work. (APSS No.403 &amp; 1003)</t>
    </r>
  </si>
  <si>
    <r>
      <rPr>
        <b/>
        <sz val="10"/>
        <color theme="1"/>
        <rFont val="Maiandra GD"/>
        <family val="2"/>
      </rPr>
      <t>Flooring with ceramic tiles of 7.30 mm thick and  set over base coat of cement mortar (1:8), 12 mm thick over CC bed already laid or RCC roof slab,</t>
    </r>
    <r>
      <rPr>
        <sz val="10"/>
        <color theme="1"/>
        <rFont val="Maiandra GD"/>
        <family val="2"/>
      </rPr>
      <t xml:space="preserve"> including neat cement slurry of honey like consistency spread @ 3.3.kgs per sqm &amp; jointed neatly with white cement paste to full depth mixed with pigment of matching shade, including cost of all materials like cement, sand water and tiles etc., complete, including etc., complete for finished item of work, but excluding the cost of conveyance of all materials.</t>
    </r>
  </si>
  <si>
    <r>
      <t>Unit = 10 sqm (</t>
    </r>
    <r>
      <rPr>
        <b/>
        <sz val="10"/>
        <color theme="1"/>
        <rFont val="Maiandra GD"/>
        <family val="2"/>
      </rPr>
      <t>For Dadooing)</t>
    </r>
  </si>
  <si>
    <r>
      <rPr>
        <b/>
        <sz val="10"/>
        <color theme="1"/>
        <rFont val="Maiandra GD"/>
        <family val="2"/>
      </rPr>
      <t>Providing impervious coat to exposed RCC roof slab surface with CM(1:3), 20mm thick</t>
    </r>
    <r>
      <rPr>
        <sz val="10"/>
        <color theme="1"/>
        <rFont val="Maiandra GD"/>
        <family val="2"/>
      </rPr>
      <t xml:space="preserve">  with 1kg of water proof compound per bag of cement  laid over roof when it is green including cost of all materials, seigniorage charges, excluding conveyance charges of materials and including all operational, incidental and labour charges for mixing mortar, laying, rendering smooth and thread lining, curing, rounding off junctions of wall and slab etc,, complete for finished item of work</t>
    </r>
  </si>
  <si>
    <r>
      <rPr>
        <b/>
        <sz val="10"/>
        <color theme="1"/>
        <rFont val="Maiandra GD"/>
        <family val="2"/>
      </rPr>
      <t xml:space="preserve">White washing two coats with whiting </t>
    </r>
    <r>
      <rPr>
        <sz val="10"/>
        <color theme="1"/>
        <rFont val="Maiandra GD"/>
        <family val="2"/>
      </rPr>
      <t>of approved quality to give an even shade after thoroughly brushing the surface to remove all dirt and remains of loose powdered materials including cost of all materials, labour charges and incidental such as scaffolding, lift charges etc., complete for finished item of work, but excluding conveyance charges of materials</t>
    </r>
  </si>
  <si>
    <r>
      <rPr>
        <b/>
        <sz val="10"/>
        <color theme="1"/>
        <rFont val="Maiandra GD"/>
        <family val="2"/>
      </rPr>
      <t xml:space="preserve">Painting to new walls with 2 coats of ready mixed oil bound wahsable distemper </t>
    </r>
    <r>
      <rPr>
        <sz val="10"/>
        <color theme="1"/>
        <rFont val="Maiandra GD"/>
        <family val="2"/>
      </rPr>
      <t>of approved brand and shade over a base coat of appropriate primer of approved brand, making 3 coats in all to give an even shade after thourughly brushing the surface to remove all dirt and remains of loose powdered materials, including cost and conveyance of all materials to work site and all operational, incidental, labour charges etc. complete for finished item of work as per SS 911 for internal walls</t>
    </r>
  </si>
  <si>
    <r>
      <t>Cost of Primer</t>
    </r>
    <r>
      <rPr>
        <b/>
        <sz val="10"/>
        <color theme="1"/>
        <rFont val="Maiandra GD"/>
        <family val="2"/>
      </rPr>
      <t xml:space="preserve"> Interior  grade1</t>
    </r>
  </si>
  <si>
    <r>
      <rPr>
        <b/>
        <sz val="10"/>
        <color theme="1"/>
        <rFont val="Maiandra GD"/>
        <family val="2"/>
      </rPr>
      <t xml:space="preserve">Painting to new walls with 2 coats of water proof cement paint </t>
    </r>
    <r>
      <rPr>
        <sz val="10"/>
        <color theme="1"/>
        <rFont val="Maiandra GD"/>
        <family val="2"/>
      </rPr>
      <t>of apporved brand and shade over a base coat of approved cement primer grade I making making 3 coats in all to give an even shade after thourughly brushing the surface to remove all dirt and remains of loose powdered materials, including cost and conveyance of all materials to work site and all operational, incidental, labour charges etc. complete for finished item of work as per SS 912 for internal walls</t>
    </r>
  </si>
  <si>
    <r>
      <rPr>
        <b/>
        <sz val="10"/>
        <color theme="1"/>
        <rFont val="Maiandra GD"/>
        <family val="2"/>
      </rPr>
      <t xml:space="preserve">Reinforced Brick Masonary walls of 11.5cm in CM(1:4) using  second class traditional size bricks </t>
    </r>
    <r>
      <rPr>
        <sz val="10"/>
        <color theme="1"/>
        <rFont val="Maiandra GD"/>
        <family val="2"/>
      </rPr>
      <t>and using two mild steel bars of 6m dia in every third layer of brick masory, with free joints of the main block work including cost and seignorage charges and conveyance of all materials and water from approved sources to work site and all operational, incidental, labour charges such as scaffolding mixing mortor constructing masonary lift charges, curing etc. complete but excluding the cost of steel and its fabrication charges for finished item of work as per SS 509</t>
    </r>
  </si>
  <si>
    <r>
      <t xml:space="preserve">Painting to new walls with 2 coats of </t>
    </r>
    <r>
      <rPr>
        <b/>
        <sz val="10"/>
        <color theme="1"/>
        <rFont val="Maiandra GD"/>
        <family val="2"/>
      </rPr>
      <t>acrylic emulsion paint</t>
    </r>
    <r>
      <rPr>
        <sz val="10"/>
        <color theme="1"/>
        <rFont val="Maiandra GD"/>
        <family val="2"/>
      </rPr>
      <t xml:space="preserve"> of approved brand and shade after thoroughly brushing the surface to remove all dirt and remains of loose powdered materials, including cost and conveyance of all materials to work site and all operational, incidental, labour charges etc. complete for finished item of work as per SS 911</t>
    </r>
    <r>
      <rPr>
        <b/>
        <sz val="10"/>
        <color theme="1"/>
        <rFont val="Maiandra GD"/>
        <family val="2"/>
      </rPr>
      <t xml:space="preserve"> for internal walls  including one Prime coat</t>
    </r>
  </si>
  <si>
    <r>
      <rPr>
        <b/>
        <sz val="10"/>
        <color theme="1"/>
        <rFont val="Maiandra GD"/>
        <family val="2"/>
      </rPr>
      <t xml:space="preserve">Painting to new walls with 2 coats of acrylic emulsion paint </t>
    </r>
    <r>
      <rPr>
        <sz val="10"/>
        <color theme="1"/>
        <rFont val="Maiandra GD"/>
        <family val="2"/>
      </rPr>
      <t>of approved brand and shade after thoroughly brushing the surface to remove all dirt and remains of loose powdered materials, including cost and conveyance of all materials to work site and all operational, incidental, labour charges etc. complete for finished item of work as per SS 911</t>
    </r>
    <r>
      <rPr>
        <b/>
        <sz val="10"/>
        <color theme="1"/>
        <rFont val="Maiandra GD"/>
        <family val="2"/>
      </rPr>
      <t xml:space="preserve"> for external walls including one Prime coat</t>
    </r>
  </si>
  <si>
    <r>
      <t xml:space="preserve">Filling the Excavated soils </t>
    </r>
    <r>
      <rPr>
        <sz val="10"/>
        <color theme="1"/>
        <rFont val="Maiandra GD"/>
        <family val="2"/>
      </rPr>
      <t xml:space="preserve">  in trenches ,sides of the foundations and basement with initial lead in layers not exceeding 15 cm thick consolidatiing each depposited layer by watering and rampping including cost and conveyance of water  to work site and all operational incidental ,labour charges hire charges and T &amp; O Complete for finished item </t>
    </r>
    <r>
      <rPr>
        <b/>
        <sz val="10"/>
        <color theme="1"/>
        <rFont val="Maiandra GD"/>
        <family val="2"/>
      </rPr>
      <t xml:space="preserve">APSS 309 &amp;310)  </t>
    </r>
  </si>
  <si>
    <r>
      <t>Roofing with Supply of Pre-painted Galvalume Trapezoidal Profile Roofing sheets with 0.50mm thickness, Coating: Alu-
Zinc coating AZ150 GSM Tensile Strength: 550 MPA.Paint coating: Regular Modified Polyester painting.Painting hickness (Top): 18 to 20 Microns,(Bottom): 5 to 7 Microns. Sheet Width: 1.020, Length:Maximum 12 Meters with Regular Range Coloursfixed with G.I ‘J’ bolts &amp; nuts 8 mm dia with bitumen &amp; G.I limpet washers filled with white lead &amp; including a coat of approved steel primer and two coats of approved paint on over lapping of sheets complete (up to a pitch of 60</t>
    </r>
    <r>
      <rPr>
        <vertAlign val="superscript"/>
        <sz val="10"/>
        <color theme="1"/>
        <rFont val="Maiandra GD"/>
        <family val="2"/>
      </rPr>
      <t>0</t>
    </r>
    <r>
      <rPr>
        <sz val="10"/>
        <color theme="1"/>
        <rFont val="Maiandra GD"/>
        <family val="2"/>
      </rPr>
      <t>) and eigniorage charges, etc., complete, excluding the cost of purlins, rafters, trusses &amp; cost of conveyance of all materials</t>
    </r>
  </si>
  <si>
    <r>
      <t>Flooring with vitrified tiles of 1</t>
    </r>
    <r>
      <rPr>
        <b/>
        <vertAlign val="superscript"/>
        <sz val="10"/>
        <color theme="1"/>
        <rFont val="Maiandra GD"/>
        <family val="2"/>
      </rPr>
      <t>st</t>
    </r>
    <r>
      <rPr>
        <b/>
        <sz val="10"/>
        <color theme="1"/>
        <rFont val="Maiandra GD"/>
        <family val="2"/>
      </rPr>
      <t xml:space="preserve"> quality, set over base coat of cement mortar (1:8), 12 mm thick over CC bed already laid or RCC roof slab, including neat cement slurry of honey like consistency spread @ 3.3.kgs per sqm &amp; jointed neatly with white cement paste to full depth mixed with pigment of matching shade, including cost of all materials like cement, sand water and tiles etc., complete, including seigniorage charges, etc., complete for finished item of work, but excluding the cost of conveyance of all materials.Makes:Kajaria,RAK,Jhanaran,Bell</t>
    </r>
  </si>
  <si>
    <r>
      <t>Vitrified tiles of 1</t>
    </r>
    <r>
      <rPr>
        <vertAlign val="superscript"/>
        <sz val="10"/>
        <color theme="1"/>
        <rFont val="Maiandra GD"/>
        <family val="2"/>
      </rPr>
      <t>st</t>
    </r>
    <r>
      <rPr>
        <sz val="10"/>
        <color theme="1"/>
        <rFont val="Maiandra GD"/>
        <family val="2"/>
      </rPr>
      <t xml:space="preserve"> quality of size 600X600 (DOUBLE CHARGED)</t>
    </r>
  </si>
  <si>
    <r>
      <t xml:space="preserve">Excavation for roadway in hard rock (blasting prohibited) with rock breakers including breaking rock, loading in tippers and disposal </t>
    </r>
    <r>
      <rPr>
        <b/>
        <sz val="10"/>
        <color theme="1"/>
        <rFont val="Maiandra GD"/>
        <family val="2"/>
      </rPr>
      <t xml:space="preserve">with initial lift of 3 mts </t>
    </r>
    <r>
      <rPr>
        <sz val="10"/>
        <color theme="1"/>
        <rFont val="Maiandra GD"/>
        <family val="2"/>
      </rPr>
      <t>and lead upto 1000 metres, trimming bottom and side slopes in accordance with requirements of lines, grades and cross- sections as per Technical Specification Clause 302.3.5 MORD / 301 MORTH</t>
    </r>
  </si>
  <si>
    <r>
      <t xml:space="preserve">Painting to new walls with 2 coats of </t>
    </r>
    <r>
      <rPr>
        <b/>
        <sz val="10"/>
        <color theme="1"/>
        <rFont val="Maiandra GD"/>
        <family val="2"/>
      </rPr>
      <t xml:space="preserve"> synthetic polymer luxury plastic emulsion / solvent based lustre paint of superior grade having VOC (Volatile Organic Compound ) content less than 50 grams/ Lit. </t>
    </r>
    <r>
      <rPr>
        <sz val="10"/>
        <color theme="1"/>
        <rFont val="Maiandra GD"/>
        <family val="2"/>
      </rPr>
      <t xml:space="preserve"> of approved brand and shade after thoroughly brushing the surface to remove all dirt and remains of loose powdered materials, including cost and conveyance of all materials to work site and all operational, incidental, labour charges etc. complete for finished item of work as per SS 911</t>
    </r>
    <r>
      <rPr>
        <b/>
        <sz val="10"/>
        <color theme="1"/>
        <rFont val="Maiandra GD"/>
        <family val="2"/>
      </rPr>
      <t xml:space="preserve"> for internal walls</t>
    </r>
  </si>
  <si>
    <r>
      <t>Supplying and filling gravel in trenches ,sides of the foundations</t>
    </r>
    <r>
      <rPr>
        <sz val="10"/>
        <color theme="1"/>
        <rFont val="Maiandra GD"/>
        <family val="2"/>
      </rPr>
      <t xml:space="preserve"> and basement with initial lead in layers not exceeding 15 cm thick consolidatiing each depposited layer by watering and rampping including cost and conveyance of water  to work site and all operational incidental ,labour charges hire charges and T &amp; O Complete for finished item</t>
    </r>
    <r>
      <rPr>
        <b/>
        <sz val="10"/>
        <color theme="1"/>
        <rFont val="Maiandra GD"/>
        <family val="2"/>
      </rPr>
      <t xml:space="preserve"> APSS 309 &amp;310)  </t>
    </r>
  </si>
  <si>
    <r>
      <t xml:space="preserve">Labour </t>
    </r>
    <r>
      <rPr>
        <b/>
        <sz val="10"/>
        <color theme="1"/>
        <rFont val="Maiandra GD"/>
        <family val="2"/>
      </rPr>
      <t>:-</t>
    </r>
  </si>
  <si>
    <r>
      <t xml:space="preserve">Supply and errection of ready made   Pre cast  Cuddy  Post 150  x150 x 2100 mm size including cost of post earth work and errection in CC (1:3:6) incuding cost and converyance of all materials etc Complete </t>
    </r>
    <r>
      <rPr>
        <b/>
        <sz val="10"/>
        <color theme="1"/>
        <rFont val="Maiandra GD"/>
        <family val="2"/>
      </rPr>
      <t xml:space="preserve"> (observed data )</t>
    </r>
  </si>
  <si>
    <r>
      <t>Masonry work i</t>
    </r>
    <r>
      <rPr>
        <sz val="10"/>
        <color theme="1"/>
        <rFont val="Maiandra GD"/>
        <family val="2"/>
      </rPr>
      <t xml:space="preserve">n CM (1:6) prop with </t>
    </r>
    <r>
      <rPr>
        <b/>
        <sz val="10"/>
        <color theme="1"/>
        <rFont val="Maiandra GD"/>
        <family val="2"/>
      </rPr>
      <t xml:space="preserve">Fly ash cement/ lime solid blocks withcompressive strength of 50 kg/sq.cm - IS:12894-1990 - CLASS - 5 290 x 150 x 140 mm TBSC-A.II-10 </t>
    </r>
    <r>
      <rPr>
        <sz val="10"/>
        <color theme="1"/>
        <rFont val="Maiandra GD"/>
        <family val="2"/>
      </rPr>
      <t>including cost and conveyance of all materials, labour charges, seiniorage charges, scaffolding and curing etc., cpomplete with a compresive streangth not lessthan 50 kg/sqm for walls for Superstructure Walls.</t>
    </r>
  </si>
  <si>
    <r>
      <t xml:space="preserve">Supplying and erection of Centurywells or equivalent Prepainted Galvalume Trepezoidal Profile </t>
    </r>
    <r>
      <rPr>
        <b/>
        <sz val="10"/>
        <color theme="1"/>
        <rFont val="Maiandra GD"/>
        <family val="2"/>
      </rPr>
      <t>Roof Sheets</t>
    </r>
    <r>
      <rPr>
        <sz val="10"/>
        <color theme="1"/>
        <rFont val="Maiandra GD"/>
        <family val="2"/>
      </rPr>
      <t xml:space="preserve"> with 0.50 mm thickness, coating : Alu-Zinc Coating AZ150 GSM. Tensile strength 550 MPA. Paint coating : Regular Modified Polyester painting. Painting thickness (top) 15 to 20 microns (Bottom) : 5 to 7 microns. Sheet width 1.020 mt and length 12 mts with regular range colours with G.I ‘J’ bolts &amp; nuts 8 mm dia with bitumen &amp; G.I limpet washers filled with white lead &amp; including a coat of approved steel primer and two coats of approved paint on over lapping of sheets complete (up to a pitch of 60) and seigniorage charges, etc., complete, excluding the cost of purlins, rafters, trusses &amp; cost of conveyance of all materials</t>
    </r>
  </si>
  <si>
    <t>D E T A I L E D     D A T A S    S S R  -  2025-26</t>
  </si>
  <si>
    <t xml:space="preserve">The above Detailed Estimate is prepared with  &amp; RSSR 2025-26 and submitted for according technical  Sanction.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</si>
</sst>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6">
    <numFmt numFmtId="41" formatCode="_ * #,##0_ ;_ * \-#,##0_ ;_ * &quot;-&quot;_ ;_ @_ "/>
    <numFmt numFmtId="43" formatCode="_ * #,##0.00_ ;_ * \-#,##0.00_ ;_ * &quot;-&quot;??_ ;_ @_ "/>
    <numFmt numFmtId="164" formatCode="&quot;Rs.&quot;\ #,##0;&quot;Rs.&quot;\ \-#,##0"/>
    <numFmt numFmtId="165" formatCode="&quot;Rs.&quot;\ #,##0.00;[Red]&quot;Rs.&quot;\ \-#,##0.00"/>
    <numFmt numFmtId="166" formatCode="_ &quot;Rs.&quot;\ * #,##0.00_ ;_ &quot;Rs.&quot;\ * \-#,##0.00_ ;_ &quot;Rs.&quot;\ * &quot;-&quot;??_ ;_ @_ "/>
    <numFmt numFmtId="167" formatCode="_(* #,##0.00_);_(* \(#,##0.00\);_(* &quot;-&quot;??_);_(@_)"/>
    <numFmt numFmtId="168" formatCode="_-* #,##0_-;\-* #,##0_-;_-* &quot;-&quot;_-;_-@_-"/>
    <numFmt numFmtId="169" formatCode="0.0"/>
    <numFmt numFmtId="170" formatCode="0.000"/>
    <numFmt numFmtId="171" formatCode="\(0\)"/>
    <numFmt numFmtId="172" formatCode="0.00;[Red]0.00"/>
    <numFmt numFmtId="173" formatCode="0;[Red]0"/>
    <numFmt numFmtId="174" formatCode="0.000;[Red]0.000"/>
    <numFmt numFmtId="175" formatCode="mm/dd/yy"/>
    <numFmt numFmtId="176" formatCode="0.0000"/>
    <numFmt numFmtId="177" formatCode="0.00000"/>
    <numFmt numFmtId="178" formatCode="0.000%"/>
    <numFmt numFmtId="179" formatCode="0.0000;[Red]0.0000"/>
    <numFmt numFmtId="180" formatCode="0.00000;[Red]0.00000"/>
    <numFmt numFmtId="181" formatCode="0.0000000;[Red]0.0000000"/>
    <numFmt numFmtId="182" formatCode="_ [$Rs.-4009]\ * #,##0.00_ ;_ [$Rs.-4009]\ * \-#,##0.00_ ;_ [$Rs.-4009]\ * &quot;-&quot;??_ ;_ @_ "/>
    <numFmt numFmtId="183" formatCode="#,##0.0&quot;%&quot;_);\(#,##0.0&quot;%&quot;\)"/>
    <numFmt numFmtId="184" formatCode=";;;"/>
    <numFmt numFmtId="185" formatCode="&quot;\&quot;#,##0;[Red]&quot;\&quot;\-#,##0"/>
    <numFmt numFmtId="186" formatCode="&quot;\&quot;#,##0.00;[Red]&quot;\&quot;\-#,##0.00"/>
    <numFmt numFmtId="187" formatCode="0.0_)\%;\(0.0\)\%;0.0_)\%;@_)_%"/>
    <numFmt numFmtId="188" formatCode="#,##0.0_)_%;\(#,##0.0\)_%;0.0_)_%;@_)_%"/>
    <numFmt numFmtId="189" formatCode="[$￥-804]#,##0.000_);\([$￥-804]#,##0.000\)"/>
    <numFmt numFmtId="190" formatCode="#,##0.0_);\(#,##0.0\)"/>
    <numFmt numFmtId="191" formatCode="&quot;$&quot;_(#,##0.00_);&quot;$&quot;\(#,##0.00\)"/>
    <numFmt numFmtId="192" formatCode="\€_(#,##0.00_);\€\(#,##0.00\);\€_(0.00_);@_)"/>
    <numFmt numFmtId="193" formatCode="0.00000%"/>
    <numFmt numFmtId="194" formatCode="#,##0.0_)_x;\(#,##0.0\)_x"/>
    <numFmt numFmtId="195" formatCode="0.0_)\%;\(0.0\)\%"/>
    <numFmt numFmtId="196" formatCode="#,##0.0_)_%;\(#,##0.0\)_%"/>
    <numFmt numFmtId="197" formatCode="[$-409]mmm\-yy;@"/>
    <numFmt numFmtId="198" formatCode="_-* #,##0.00_-;\-* #,##0.00_-;_-* &quot;-&quot;??_-;_-@_-"/>
    <numFmt numFmtId="199" formatCode="\¥\ #,##0_);[Red]\(\¥\ #,##0\)"/>
    <numFmt numFmtId="200" formatCode="&quot;\&quot;#,##0.00"/>
    <numFmt numFmtId="201" formatCode="&quot;\&quot;#,##0"/>
    <numFmt numFmtId="202" formatCode="0%;\(0%\)"/>
    <numFmt numFmtId="203" formatCode="0.0%"/>
    <numFmt numFmtId="204" formatCode="0.000000"/>
    <numFmt numFmtId="205" formatCode="_(* #,##0_);_(* \(#,##0\);_(* &quot;-&quot;?????_);_(@_)"/>
    <numFmt numFmtId="206" formatCode="[$-F800]dddd\,\ mmmm\ dd\,\ yyyy"/>
    <numFmt numFmtId="207" formatCode="_-&quot;$&quot;* #,##0_-;\-&quot;$&quot;* #,##0_-;_-&quot;$&quot;* &quot;-&quot;_-;_-@_-"/>
    <numFmt numFmtId="208" formatCode="_-&quot;$&quot;* #,##0.00_-;\-&quot;$&quot;* #,##0.00_-;_-&quot;$&quot;* &quot;-&quot;??_-;_-@_-"/>
    <numFmt numFmtId="209" formatCode="_(* #,##0.00_);_(* #,##0.00;_(* &quot;-&quot;??_);_(@_)"/>
    <numFmt numFmtId="210" formatCode="_(* #,##0_);_(* #,##0_);_(* &quot;-&quot;??_);_(@_)"/>
    <numFmt numFmtId="211" formatCode="#,##0.0000_);\(#,##0.0000\)"/>
    <numFmt numFmtId="212" formatCode="General_)"/>
    <numFmt numFmtId="213" formatCode="_(* #,##0_);_(* \(#,##0\);_(* &quot;-&quot;??_);_(@_)"/>
    <numFmt numFmtId="214" formatCode="#,##0.0;\(#,##0.0\)"/>
    <numFmt numFmtId="215" formatCode="_(* #,##0_);_(* \(#,##0\);_(* &quot;&quot;_);_(@_)"/>
    <numFmt numFmtId="216" formatCode="&quot;$&quot;&quot; &quot;#,##0_);\(&quot;$&quot;&quot; &quot;#,##0\);\-_)"/>
    <numFmt numFmtId="217" formatCode="0%_);\(0%\);\-_)"/>
    <numFmt numFmtId="218" formatCode="#,##0_);\(#,##0\);\-_)"/>
    <numFmt numFmtId="219" formatCode="&quot;$&quot;&quot; &quot;#,##0.0_);\(&quot;$&quot;&quot; &quot;#,##0.0\);\-_)"/>
    <numFmt numFmtId="220" formatCode="0.0%_);\(0.0%\);\-_)"/>
    <numFmt numFmtId="221" formatCode="#,##0.0_);\(#,##0.0\);\-_)"/>
    <numFmt numFmtId="222" formatCode="&quot;$&quot;&quot; &quot;#,##0.00_);\(&quot;$&quot;&quot; &quot;#,##0.00\);\-_)"/>
    <numFmt numFmtId="223" formatCode="0.00%_);\(0.00%\);\-_)"/>
    <numFmt numFmtId="224" formatCode="#,##0.00_);\(#,##0.00\);\-_)"/>
    <numFmt numFmtId="225" formatCode="0.0000000%"/>
    <numFmt numFmtId="226" formatCode="0.000000%"/>
    <numFmt numFmtId="227" formatCode="0.00&quot;x&quot;"/>
    <numFmt numFmtId="228" formatCode="_(&quot;$&quot;* #,##0.0_);_(&quot;$&quot;* \(#,##0.0\);_(&quot;$&quot;* &quot;-&quot;??_);_(@_)"/>
    <numFmt numFmtId="229" formatCode="&quot;$&quot;#,##0.000_%_);\(&quot;$&quot;#,##0.000\)_%;&quot;$&quot;#,##0.000_%_);@_%_)"/>
    <numFmt numFmtId="230" formatCode="#,##0.0%_);\(#,##0.0%\);#,##0.0%_);@_%_)"/>
    <numFmt numFmtId="231" formatCode="0&quot; bp&quot;"/>
    <numFmt numFmtId="232" formatCode="&quot;$&quot;#,##0.0_)_);\(&quot;$&quot;#,##0.0\)_);&quot;$&quot;#,##0.0_)_);@_%_)"/>
    <numFmt numFmtId="233" formatCode="\•\ \ @"/>
    <numFmt numFmtId="234" formatCode="&quot;• &quot;\ @"/>
    <numFmt numFmtId="235" formatCode="#,##0;\-#,##0;&quot;-&quot;"/>
    <numFmt numFmtId="236" formatCode="yyyy"/>
    <numFmt numFmtId="237" formatCode="_(&quot;Rs.&quot;* #,##0.00_);_(&quot;Rs.&quot;* \(#,##0.00\);_(&quot;Rs.&quot;* &quot;-&quot;??_);_(@_)"/>
    <numFmt numFmtId="238" formatCode="#,##0.000_);\(#,##0.000\)"/>
    <numFmt numFmtId="239" formatCode="\(0.00%"/>
    <numFmt numFmtId="240" formatCode="#,##0_);\(#,##0\);\-"/>
    <numFmt numFmtId="241" formatCode="#,##0.00_);\(#,##0.00\);\-"/>
    <numFmt numFmtId="242" formatCode="#,##0_%_);\(#,##0\)_%;#,##0_%_);@_%_)"/>
    <numFmt numFmtId="243" formatCode="#,##0.00000;\(#,##0.00000\)"/>
    <numFmt numFmtId="244" formatCode="_(* #,##0_);_(* \(#,##0\);_(* &quot;-&quot;_);_(@_)"/>
    <numFmt numFmtId="245" formatCode="#,##0_%_);\(#,##0\)_%;**;@_%_)"/>
    <numFmt numFmtId="246" formatCode="&quot;+ &quot;#,##0.000"/>
    <numFmt numFmtId="247" formatCode="0\ &quot;Nos.&quot;"/>
    <numFmt numFmtId="248" formatCode="0.00_)"/>
    <numFmt numFmtId="249" formatCode="0.00\ &quot; Lakhs&quot;"/>
    <numFmt numFmtId="250" formatCode="&quot;$&quot;#,##0_);[Red]\(&quot;$&quot;#,##0\)"/>
    <numFmt numFmtId="251" formatCode="0.000_);\(0.000\)"/>
    <numFmt numFmtId="252" formatCode="#,##0.00;[Red]#,##0.00"/>
    <numFmt numFmtId="253" formatCode="#,##0.00_%_);\(#,##0.00\)_%;**;@_%_)"/>
    <numFmt numFmtId="254" formatCode="_-&quot;Rs.&quot;* #,##0.00_-;\-&quot;Rs.&quot;* #,##0.00_-;_-&quot;Rs.&quot;* &quot;-&quot;??_-;_-@_-"/>
    <numFmt numFmtId="255" formatCode="#,##0.000_%_);\(#,##0.000\)_%;**;@_%_)"/>
    <numFmt numFmtId="256" formatCode="&quot;$&quot;#,##0.00_);[Red]\(&quot;$&quot;#,##0.00\)"/>
    <numFmt numFmtId="257" formatCode="\ 0.00\ &quot;X&quot;"/>
    <numFmt numFmtId="258" formatCode="_(&quot;$&quot;* #,##0_);_(&quot;$&quot;* \(#,##0\);_(&quot;$&quot;* &quot;-&quot;_);_(@_)"/>
    <numFmt numFmtId="259" formatCode="_-* #,##0.00\ _D_M_-;\-* #,##0.00\ _D_M_-;_-* &quot;-&quot;??\ _D_M_-;_-@_-"/>
    <numFmt numFmtId="260" formatCode="0.00000000000"/>
    <numFmt numFmtId="261" formatCode="#,##0.0_%_);\(#,##0.0\)_%;**;@_%_)"/>
    <numFmt numFmtId="262" formatCode="#,##0."/>
    <numFmt numFmtId="263" formatCode="#,##0.0"/>
    <numFmt numFmtId="264" formatCode="#,##0.000"/>
    <numFmt numFmtId="265" formatCode="#,##0.0\x_);\(#,##0.0\x\);#,##0.0\x_);@_)"/>
    <numFmt numFmtId="266" formatCode="#,##0.0_%_);\(#,##0.0\)_%;#,##0.0_%_);@_%_)"/>
    <numFmt numFmtId="267" formatCode="[$$]#,##0.0_);\([$$]#,##0.0\);[$$]#,##0.0_);@_)"/>
    <numFmt numFmtId="268" formatCode="#,##0.0\p"/>
    <numFmt numFmtId="269" formatCode="0###0"/>
    <numFmt numFmtId="270" formatCode="&quot;\&quot;#,##0.00_);[Red]\(&quot;\&quot;#,##0.00\);&quot;--  &quot;;_(@_)"/>
    <numFmt numFmtId="271" formatCode="\$#,##0.00;[Red]\-\$#,##0.00"/>
    <numFmt numFmtId="272" formatCode="0.0000000000000"/>
    <numFmt numFmtId="273" formatCode="&quot;$&quot;&quot; &quot;#,##0.0_);\(&quot;$&quot;&quot; &quot;#,##0.0\)"/>
    <numFmt numFmtId="274" formatCode="&quot;$&quot;&quot; &quot;#,##0.00_);\(&quot;$&quot;&quot; &quot;#,##0.00\)"/>
    <numFmt numFmtId="275" formatCode="&quot;$&quot;&quot; &quot;#,##0.000_);\(&quot;$&quot;&quot; &quot;#,##0.000\)"/>
    <numFmt numFmtId="276" formatCode="&quot;$&quot;#,##0_%_);\(&quot;$&quot;#,##0\)_%;&quot;$&quot;#,##0_%_);@_%_)"/>
    <numFmt numFmtId="277" formatCode="_(&quot;$&quot;* #,##0.00_);_(&quot;$&quot;* \(#,##0.00\);_(&quot;$&quot;* &quot;-&quot;??_);_(@_)"/>
    <numFmt numFmtId="278" formatCode="&quot;$&quot;#,##0.00_%_);\(&quot;$&quot;#,##0.00\)_%;**;@_%_)"/>
    <numFmt numFmtId="279" formatCode="&quot;$&quot;#,##0.00_%_);\(&quot;$&quot;#,##0.00\)_%;&quot;$&quot;#,##0.00_%_);@_%_)"/>
    <numFmt numFmtId="280" formatCode="&quot;$&quot;#,##0.000_%_);\(&quot;$&quot;#,##0.000\)_%;**;@_%_)"/>
    <numFmt numFmtId="281" formatCode="&quot;$&quot;#,##0.0_%_);\(&quot;$&quot;#,##0.0\)_%;**;@_%_)"/>
    <numFmt numFmtId="282" formatCode="&quot;$&quot;#,##0_);\(&quot;$&quot;#,##0\)"/>
    <numFmt numFmtId="283" formatCode="&quot;$&quot;#,##0.00_);\(&quot;$&quot;#,##0.00\)"/>
    <numFmt numFmtId="284" formatCode="&quot;$&quot;#,##0.00_);[Red]\(&quot;$&quot;#,##0.00\);&quot;--  &quot;;_(@_)"/>
    <numFmt numFmtId="285" formatCode="&quot;Rs.&quot;#,##0.00;[Red]\-&quot;Rs.&quot;#,##0.00"/>
    <numFmt numFmtId="286" formatCode="&quot;£&quot;#."/>
    <numFmt numFmtId="287" formatCode="&quot;R&quot;\ #,##0;&quot;R&quot;\ \-#,##0"/>
    <numFmt numFmtId="288" formatCode="&quot;$&quot;#."/>
    <numFmt numFmtId="289" formatCode="0.000000000"/>
    <numFmt numFmtId="290" formatCode="&quot;$&quot;#,##0.0_%_);\(&quot;$&quot;#,##0.0\)_%;&quot;$&quot;#,##0.0_%_);@_%_)"/>
    <numFmt numFmtId="291" formatCode="_(* #,##0.0_);_(* \(#,##0.0\);_(* &quot;-&quot;??_);_(@_)"/>
    <numFmt numFmtId="292" formatCode="\ \ _•\–\ \ \ \ @"/>
    <numFmt numFmtId="293" formatCode="#,##0;\(#,##0\)"/>
    <numFmt numFmtId="294" formatCode="dd\-mm\-yy"/>
    <numFmt numFmtId="295" formatCode="d\-mmm\-yy_)"/>
    <numFmt numFmtId="296" formatCode="m/d/yy_)"/>
    <numFmt numFmtId="297" formatCode="m/yy_)"/>
    <numFmt numFmtId="298" formatCode="#,##0.0_);[Red]\(#,##0.0\)"/>
    <numFmt numFmtId="299" formatCode="mmm\-d\-yyyy"/>
    <numFmt numFmtId="300" formatCode="mmm\-yyyy"/>
    <numFmt numFmtId="301" formatCode="mmm\-yy&quot; &quot;"/>
    <numFmt numFmtId="302" formatCode="m\o\n\th\ d\,\ yyyy"/>
    <numFmt numFmtId="303" formatCode="_-* #,##0.00\ _F_-;\-* #,##0.00\ _F_-;_-* &quot;-&quot;??\ _F_-;_-@_-"/>
    <numFmt numFmtId="304" formatCode="m/d/yy_%_)"/>
    <numFmt numFmtId="305" formatCode="m/d/yy_%_);;**"/>
    <numFmt numFmtId="306" formatCode="dd\-mmm\-yyyy"/>
    <numFmt numFmtId="307" formatCode="d\-mmm\-yyyy\ \ h:mm"/>
    <numFmt numFmtId="308" formatCode="_(* #,##0.000_);_(* \(#,##0.000\);_(* &quot;-&quot;??_);_(@_)"/>
    <numFmt numFmtId="309" formatCode="&quot;US$&quot;#,##0.00;&quot;(US$&quot;#,##0.00\)"/>
    <numFmt numFmtId="310" formatCode="\U\S\$#,##0.00;\(\U\S\$#,##0.00\)"/>
    <numFmt numFmtId="311" formatCode="#,##0_);[Red]\(#,##0\);;@"/>
    <numFmt numFmtId="312" formatCode="0.0000000000"/>
    <numFmt numFmtId="313" formatCode="\$##,##0.00_);\(\$##,##0.00\)"/>
    <numFmt numFmtId="314" formatCode="0_%_);\(0\)_%;0_%_);@_%_)"/>
    <numFmt numFmtId="315" formatCode="00"/>
    <numFmt numFmtId="316" formatCode="_([$€-2]* #,##0.00_);_([$€-2]* \(#,##0.00\);_([$€-2]* &quot;-&quot;??_)"/>
    <numFmt numFmtId="317" formatCode="_-* #,##0.00\ &quot;€&quot;_-;\-* #,##0.00\ &quot;€&quot;_-;_-* &quot;-&quot;??\ &quot;€&quot;_-;_-@_-"/>
    <numFmt numFmtId="318" formatCode="#,##0.00\ ;&quot; (&quot;#,##0.00\);&quot; -&quot;#\ ;@\ "/>
    <numFmt numFmtId="319" formatCode="_(* #,##0_);_(* \(#,##0\);_(* &quot; - &quot;_);_(@_)"/>
    <numFmt numFmtId="320" formatCode="0.0_)"/>
    <numFmt numFmtId="321" formatCode="###0_);\(###0\)"/>
    <numFmt numFmtId="322" formatCode="#.00"/>
    <numFmt numFmtId="323" formatCode="General\ ;[Red]\(General\)"/>
    <numFmt numFmtId="324" formatCode="#\ 0/0_)"/>
    <numFmt numFmtId="325" formatCode="#\ 0/8_)"/>
    <numFmt numFmtId="326" formatCode="#\ ?/?_)"/>
    <numFmt numFmtId="327" formatCode="0.0\%_);\(0.0\%\);0.0\%_);@_%_)"/>
    <numFmt numFmtId="328" formatCode="#."/>
    <numFmt numFmtId="329" formatCode="&quot;Rs.&quot;#,##0.00_);\(&quot;Rs.&quot;#,##0.00\)"/>
    <numFmt numFmtId="330" formatCode="#,##0.0000000_);\(#,##0.0000000\)"/>
    <numFmt numFmtId="331" formatCode="&quot;ج.م.&quot;#,##0_-;&quot;ج.م.&quot;#,##0\-"/>
    <numFmt numFmtId="332" formatCode="#,##0;[Red]\(#,##0\)"/>
    <numFmt numFmtId="333" formatCode="&quot;$&quot;#,##0.0"/>
    <numFmt numFmtId="334" formatCode="&quot;$&quot;#,##0"/>
    <numFmt numFmtId="335" formatCode="&quot; &quot;#,##0.0000_);\(&quot; &quot;#,##0.0000\)"/>
    <numFmt numFmtId="336" formatCode="000"/>
    <numFmt numFmtId="337" formatCode="?0"/>
    <numFmt numFmtId="338" formatCode="\C\f\ #,##0.000_%_);\(\C\f\ #,##0.000\)_%;\C\f\ #,##0.000_%_);@_%_)"/>
    <numFmt numFmtId="339" formatCode="&quot;$&quot;#,##0_);\(&quot;$&quot;#,##0.0\)"/>
    <numFmt numFmtId="340" formatCode="#,##0.000000000000"/>
    <numFmt numFmtId="341" formatCode="#,##0.00000000000"/>
    <numFmt numFmtId="342" formatCode="#,##0&quot; F&quot;;\-#,##0&quot; F&quot;"/>
    <numFmt numFmtId="343" formatCode="0.0\x"/>
    <numFmt numFmtId="344" formatCode="#,##0.0\x_);\(#,##0.0\x\);\-"/>
    <numFmt numFmtId="345" formatCode="0.0&quot;%   &quot;"/>
    <numFmt numFmtId="346" formatCode="#,##0.0\x_)_);\(#,##0.0\x\)_);#,##0.0\x_)_);@_%_)"/>
    <numFmt numFmtId="347" formatCode="#,##0.0_x_)_);&quot;NM&quot;_x_)_);#,##0.0_x_)_);@_x_)_)"/>
    <numFmt numFmtId="348" formatCode="#,##0.0_);[Red]\(#,##0.0\);&quot;N/A &quot;"/>
    <numFmt numFmtId="349" formatCode="#,##0.000;\(#,##0.000\)"/>
    <numFmt numFmtId="350" formatCode="0.00000000"/>
    <numFmt numFmtId="351" formatCode="#,##0.0_);[Red]\(#,##0.0\);&quot;--  &quot;"/>
    <numFmt numFmtId="352" formatCode="#,##0.000_);[Red]\(#,##0.000\)"/>
    <numFmt numFmtId="353" formatCode="[$INR]\ #,##0.00"/>
    <numFmt numFmtId="354" formatCode="0_)"/>
    <numFmt numFmtId="355" formatCode="#,##0.0_)\ \ ;[Red]\(#,##0.0\)\ \ "/>
    <numFmt numFmtId="356" formatCode="&quot;$&quot;#,##0.000_);\(&quot;$&quot;#,##0.000\)"/>
    <numFmt numFmtId="357" formatCode="#,##0.00&quot;x&quot;_);[Red]\(#,##0.00&quot;x&quot;\)"/>
    <numFmt numFmtId="358" formatCode="#,##0.00_)&quot; &quot;;[Red]\(#,##0.00\)&quot; &quot;"/>
    <numFmt numFmtId="359" formatCode="&quot;Rs.&quot;#,##0_);\(&quot;Rs.&quot;#,##0\)"/>
    <numFmt numFmtId="360" formatCode="."/>
    <numFmt numFmtId="361" formatCode="#,##0\ ;\-#,##0\ ;&quot; - &quot;;@\ "/>
    <numFmt numFmtId="362" formatCode="_-&quot;Rs.&quot;* #,##0_-;\-&quot;Rs.&quot;* #,##0_-;_-&quot;Rs.&quot;* &quot;-&quot;_-;_-@_-"/>
    <numFmt numFmtId="363" formatCode="_ &quot;Fr.&quot;\ * #,##0_ ;_ &quot;Fr.&quot;\ * \-#,##0_ ;_ &quot;Fr.&quot;\ * &quot;-&quot;_ ;_ @_ "/>
    <numFmt numFmtId="364" formatCode="_ &quot;Fr.&quot;\ * #,##0.00_ ;_ &quot;Fr.&quot;\ * \-#,##0.00_ ;_ &quot;Fr.&quot;\ * &quot;-&quot;??_ ;_ @_ "/>
    <numFmt numFmtId="365" formatCode="_ &quot;\&quot;* #,##0_ ;_ &quot;\&quot;* \-#,##0_ ;_ &quot;\&quot;* &quot;-&quot;_ ;_ @_ "/>
    <numFmt numFmtId="366" formatCode="_ &quot;\&quot;* #,##0.00_ ;_ &quot;\&quot;* \-#,##0.00_ ;_ &quot;\&quot;* &quot;-&quot;??_ ;_ @_ "/>
    <numFmt numFmtId="367" formatCode="&quot;₹&quot;\ #,##0.00"/>
  </numFmts>
  <fonts count="496">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6"/>
      <name val="Arial"/>
      <family val="2"/>
    </font>
    <font>
      <sz val="8"/>
      <name val="Arial"/>
      <family val="2"/>
    </font>
    <font>
      <b/>
      <sz val="10"/>
      <name val="Arial"/>
      <family val="2"/>
    </font>
    <font>
      <sz val="10"/>
      <color indexed="8"/>
      <name val="Arial"/>
      <family val="2"/>
    </font>
    <font>
      <sz val="8"/>
      <name val="Arial"/>
      <family val="2"/>
    </font>
    <font>
      <b/>
      <sz val="11"/>
      <color indexed="8"/>
      <name val="Calibri"/>
      <family val="2"/>
    </font>
    <font>
      <sz val="11"/>
      <color indexed="8"/>
      <name val="Calibri"/>
      <family val="2"/>
    </font>
    <font>
      <sz val="10"/>
      <name val="Times New Roman"/>
      <family val="1"/>
    </font>
    <font>
      <b/>
      <sz val="12"/>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MS Serif"/>
      <family val="1"/>
    </font>
    <font>
      <sz val="10"/>
      <color indexed="16"/>
      <name val="MS Serif"/>
      <family val="1"/>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0"/>
      <name val="Times New Roman"/>
      <family val="1"/>
    </font>
    <font>
      <sz val="11"/>
      <color indexed="60"/>
      <name val="Calibri"/>
      <family val="2"/>
    </font>
    <font>
      <sz val="7"/>
      <name val="Small Fonts"/>
      <family val="2"/>
    </font>
    <font>
      <b/>
      <sz val="11"/>
      <color indexed="63"/>
      <name val="Calibri"/>
      <family val="2"/>
    </font>
    <font>
      <sz val="8"/>
      <name val="Helv"/>
    </font>
    <font>
      <b/>
      <sz val="12"/>
      <name val="MS Sans Serif"/>
      <family val="2"/>
    </font>
    <font>
      <sz val="12"/>
      <name val="MS Sans Serif"/>
      <family val="2"/>
    </font>
    <font>
      <b/>
      <sz val="8"/>
      <color indexed="8"/>
      <name val="Helv"/>
    </font>
    <font>
      <b/>
      <sz val="18"/>
      <color indexed="56"/>
      <name val="Cambria"/>
      <family val="2"/>
    </font>
    <font>
      <sz val="11"/>
      <color indexed="10"/>
      <name val="Calibri"/>
      <family val="2"/>
    </font>
    <font>
      <sz val="12"/>
      <name val="Arial"/>
      <family val="2"/>
    </font>
    <font>
      <sz val="10"/>
      <name val="Trebuchet MS"/>
      <family val="2"/>
    </font>
    <font>
      <b/>
      <sz val="10"/>
      <color indexed="10"/>
      <name val="Trebuchet MS"/>
      <family val="2"/>
    </font>
    <font>
      <b/>
      <sz val="10"/>
      <name val="Trebuchet MS"/>
      <family val="2"/>
    </font>
    <font>
      <sz val="9"/>
      <name val="Trebuchet MS"/>
      <family val="2"/>
    </font>
    <font>
      <b/>
      <sz val="8"/>
      <name val="Trebuchet MS"/>
      <family val="2"/>
    </font>
    <font>
      <sz val="8"/>
      <name val="Trebuchet MS"/>
      <family val="2"/>
    </font>
    <font>
      <sz val="7"/>
      <name val="Trebuchet MS"/>
      <family val="2"/>
    </font>
    <font>
      <vertAlign val="superscript"/>
      <sz val="10"/>
      <name val="Trebuchet MS"/>
      <family val="2"/>
    </font>
    <font>
      <sz val="10"/>
      <color indexed="10"/>
      <name val="Trebuchet MS"/>
      <family val="2"/>
    </font>
    <font>
      <b/>
      <sz val="7"/>
      <name val="Trebuchet MS"/>
      <family val="2"/>
    </font>
    <font>
      <sz val="11"/>
      <name val="Times New Roman"/>
      <family val="1"/>
    </font>
    <font>
      <b/>
      <sz val="11"/>
      <name val="Trebuchet MS"/>
      <family val="2"/>
    </font>
    <font>
      <b/>
      <sz val="13"/>
      <name val="Trebuchet MS"/>
      <family val="2"/>
    </font>
    <font>
      <b/>
      <sz val="9"/>
      <name val="Trebuchet MS"/>
      <family val="2"/>
    </font>
    <font>
      <b/>
      <sz val="12"/>
      <name val="Trebuchet MS"/>
      <family val="2"/>
    </font>
    <font>
      <b/>
      <sz val="8"/>
      <color indexed="10"/>
      <name val="Trebuchet MS"/>
      <family val="2"/>
    </font>
    <font>
      <sz val="6"/>
      <name val="Trebuchet MS"/>
      <family val="2"/>
    </font>
    <font>
      <b/>
      <sz val="8"/>
      <color indexed="8"/>
      <name val="Trebuchet MS"/>
      <family val="2"/>
    </font>
    <font>
      <b/>
      <sz val="6"/>
      <name val="Trebuchet MS"/>
      <family val="2"/>
    </font>
    <font>
      <b/>
      <u/>
      <sz val="16"/>
      <name val="Trebuchet MS"/>
      <family val="2"/>
    </font>
    <font>
      <sz val="11"/>
      <color indexed="8"/>
      <name val="Trebuchet MS"/>
      <family val="2"/>
    </font>
    <font>
      <sz val="11"/>
      <name val="Trebuchet MS"/>
      <family val="2"/>
    </font>
    <font>
      <sz val="8"/>
      <color indexed="8"/>
      <name val="Trebuchet MS"/>
      <family val="2"/>
    </font>
    <font>
      <sz val="14"/>
      <name val="Trebuchet MS"/>
      <family val="2"/>
    </font>
    <font>
      <sz val="10"/>
      <name val="Arial"/>
      <family val="2"/>
    </font>
    <font>
      <sz val="10"/>
      <name val="Helv"/>
      <charset val="204"/>
    </font>
    <font>
      <sz val="10"/>
      <color indexed="8"/>
      <name val="Trebuchet MS"/>
      <family val="2"/>
    </font>
    <font>
      <b/>
      <sz val="14"/>
      <name val="Trebuchet MS"/>
      <family val="2"/>
    </font>
    <font>
      <b/>
      <u/>
      <sz val="11"/>
      <name val="Trebuchet MS"/>
      <family val="2"/>
    </font>
    <font>
      <sz val="12"/>
      <name val="Trebuchet MS"/>
      <family val="2"/>
    </font>
    <font>
      <b/>
      <sz val="11"/>
      <color indexed="8"/>
      <name val="Trebuchet MS"/>
      <family val="2"/>
    </font>
    <font>
      <sz val="10"/>
      <color indexed="9"/>
      <name val="Trebuchet MS"/>
      <family val="2"/>
    </font>
    <font>
      <b/>
      <u/>
      <sz val="10"/>
      <name val="Trebuchet MS"/>
      <family val="2"/>
    </font>
    <font>
      <sz val="8"/>
      <color indexed="10"/>
      <name val="Trebuchet MS"/>
      <family val="2"/>
    </font>
    <font>
      <sz val="6"/>
      <color indexed="8"/>
      <name val="Trebuchet MS"/>
      <family val="2"/>
    </font>
    <font>
      <sz val="10"/>
      <color indexed="12"/>
      <name val="Trebuchet MS"/>
      <family val="2"/>
    </font>
    <font>
      <vertAlign val="superscript"/>
      <sz val="9"/>
      <name val="Trebuchet MS"/>
      <family val="2"/>
    </font>
    <font>
      <b/>
      <sz val="9"/>
      <color indexed="8"/>
      <name val="Trebuchet MS"/>
      <family val="2"/>
    </font>
    <font>
      <b/>
      <sz val="9"/>
      <color indexed="48"/>
      <name val="Trebuchet MS"/>
      <family val="2"/>
    </font>
    <font>
      <b/>
      <sz val="9"/>
      <color indexed="12"/>
      <name val="Trebuchet MS"/>
      <family val="2"/>
    </font>
    <font>
      <sz val="9"/>
      <color indexed="12"/>
      <name val="Trebuchet MS"/>
      <family val="2"/>
    </font>
    <font>
      <sz val="10"/>
      <color indexed="48"/>
      <name val="Trebuchet MS"/>
      <family val="2"/>
    </font>
    <font>
      <b/>
      <sz val="8"/>
      <name val="Arial"/>
      <family val="2"/>
    </font>
    <font>
      <b/>
      <sz val="10"/>
      <color indexed="8"/>
      <name val="Trebuchet MS"/>
      <family val="2"/>
    </font>
    <font>
      <b/>
      <sz val="9"/>
      <name val="Arial"/>
      <family val="2"/>
    </font>
    <font>
      <sz val="9"/>
      <name val="Arial"/>
      <family val="2"/>
    </font>
    <font>
      <sz val="11"/>
      <name val="Times New Roman"/>
      <family val="1"/>
    </font>
    <font>
      <b/>
      <sz val="10"/>
      <name val="Cambria"/>
      <family val="1"/>
    </font>
    <font>
      <sz val="10"/>
      <name val="Cambria"/>
      <family val="1"/>
    </font>
    <font>
      <b/>
      <sz val="10"/>
      <color indexed="10"/>
      <name val="Cambria"/>
      <family val="1"/>
    </font>
    <font>
      <b/>
      <sz val="14"/>
      <name val="Cambria"/>
      <family val="1"/>
    </font>
    <font>
      <sz val="14"/>
      <name val="Cambria"/>
      <family val="1"/>
    </font>
    <font>
      <b/>
      <sz val="12"/>
      <name val="Cambria"/>
      <family val="1"/>
    </font>
    <font>
      <sz val="12"/>
      <name val="Cambria"/>
      <family val="1"/>
    </font>
    <font>
      <sz val="10"/>
      <name val="Maiandra GD"/>
      <family val="2"/>
    </font>
    <font>
      <sz val="8"/>
      <name val="Maiandra GD"/>
      <family val="2"/>
    </font>
    <font>
      <sz val="10"/>
      <color indexed="8"/>
      <name val="Maiandra GD"/>
      <family val="2"/>
    </font>
    <font>
      <b/>
      <sz val="8"/>
      <name val="Maiandra GD"/>
      <family val="2"/>
    </font>
    <font>
      <sz val="12"/>
      <name val="Tahoma"/>
      <family val="2"/>
    </font>
    <font>
      <b/>
      <u/>
      <sz val="11"/>
      <name val="Tahoma"/>
      <family val="2"/>
    </font>
    <font>
      <sz val="11"/>
      <name val="Tahoma"/>
      <family val="2"/>
    </font>
    <font>
      <sz val="6"/>
      <name val="Arial"/>
      <family val="2"/>
    </font>
    <font>
      <b/>
      <sz val="9"/>
      <color indexed="10"/>
      <name val="Trebuchet MS"/>
      <family val="2"/>
    </font>
    <font>
      <b/>
      <u/>
      <sz val="9"/>
      <name val="Trebuchet MS"/>
      <family val="2"/>
    </font>
    <font>
      <b/>
      <vertAlign val="superscript"/>
      <sz val="9"/>
      <name val="Trebuchet MS"/>
      <family val="2"/>
    </font>
    <font>
      <sz val="9"/>
      <color indexed="10"/>
      <name val="Trebuchet MS"/>
      <family val="2"/>
    </font>
    <font>
      <sz val="13"/>
      <name val="Cambria"/>
      <family val="1"/>
    </font>
    <font>
      <sz val="14"/>
      <name val="Arial"/>
      <family val="2"/>
    </font>
    <font>
      <b/>
      <sz val="11"/>
      <name val="Arial"/>
      <family val="2"/>
    </font>
    <font>
      <sz val="11"/>
      <name val="Arial"/>
      <family val="2"/>
    </font>
    <font>
      <b/>
      <u/>
      <sz val="11"/>
      <name val="Arial"/>
      <family val="2"/>
    </font>
    <font>
      <sz val="11"/>
      <color indexed="8"/>
      <name val="Arial"/>
      <family val="2"/>
    </font>
    <font>
      <b/>
      <u/>
      <sz val="11"/>
      <color indexed="17"/>
      <name val="Arial"/>
      <family val="2"/>
    </font>
    <font>
      <sz val="7"/>
      <name val="Arial"/>
      <family val="2"/>
    </font>
    <font>
      <vertAlign val="superscript"/>
      <sz val="11"/>
      <name val="Arial"/>
      <family val="2"/>
    </font>
    <font>
      <sz val="11"/>
      <color indexed="8"/>
      <name val="Calibri"/>
      <family val="2"/>
    </font>
    <font>
      <sz val="11"/>
      <color indexed="9"/>
      <name val="Arial"/>
      <family val="2"/>
    </font>
    <font>
      <sz val="11"/>
      <color indexed="10"/>
      <name val="Arial"/>
      <family val="2"/>
    </font>
    <font>
      <sz val="10"/>
      <color rgb="FFFF0000"/>
      <name val="Trebuchet MS"/>
      <family val="2"/>
    </font>
    <font>
      <b/>
      <sz val="12"/>
      <name val="Tahoma"/>
      <family val="2"/>
    </font>
    <font>
      <sz val="10"/>
      <name val="Tahoma"/>
      <family val="2"/>
    </font>
    <font>
      <b/>
      <sz val="11"/>
      <name val="Tahoma"/>
      <family val="2"/>
    </font>
    <font>
      <sz val="7"/>
      <name val="Tahoma"/>
      <family val="2"/>
    </font>
    <font>
      <sz val="10"/>
      <color indexed="8"/>
      <name val="Tahoma"/>
      <family val="2"/>
    </font>
    <font>
      <sz val="10"/>
      <color indexed="10"/>
      <name val="Tahoma"/>
      <family val="2"/>
    </font>
    <font>
      <sz val="14"/>
      <name val="Tahoma"/>
      <family val="2"/>
    </font>
    <font>
      <sz val="10"/>
      <color indexed="9"/>
      <name val="Tahoma"/>
      <family val="2"/>
    </font>
    <font>
      <b/>
      <sz val="11"/>
      <color theme="1"/>
      <name val="Calibri"/>
      <family val="2"/>
      <scheme val="minor"/>
    </font>
    <font>
      <b/>
      <sz val="11"/>
      <name val="Times New Roman"/>
      <family val="1"/>
    </font>
    <font>
      <b/>
      <sz val="16"/>
      <color theme="1"/>
      <name val="Tahoma"/>
      <family val="2"/>
    </font>
    <font>
      <b/>
      <sz val="14"/>
      <name val="Tahoma"/>
      <family val="2"/>
    </font>
    <font>
      <sz val="12"/>
      <color theme="1"/>
      <name val="Tahoma"/>
      <family val="2"/>
    </font>
    <font>
      <sz val="11"/>
      <color theme="1"/>
      <name val="Tahoma"/>
      <family val="2"/>
    </font>
    <font>
      <sz val="12"/>
      <color theme="0"/>
      <name val="Tahoma"/>
      <family val="2"/>
    </font>
    <font>
      <b/>
      <sz val="14"/>
      <color theme="0"/>
      <name val="Tahoma"/>
      <family val="2"/>
    </font>
    <font>
      <b/>
      <sz val="12"/>
      <color theme="1"/>
      <name val="Tahoma"/>
      <family val="2"/>
    </font>
    <font>
      <u/>
      <sz val="12"/>
      <color theme="1"/>
      <name val="Tahoma"/>
      <family val="2"/>
    </font>
    <font>
      <b/>
      <sz val="12"/>
      <color indexed="8"/>
      <name val="Tahoma"/>
      <family val="2"/>
    </font>
    <font>
      <sz val="12"/>
      <color indexed="8"/>
      <name val="Tahoma"/>
      <family val="2"/>
    </font>
    <font>
      <b/>
      <sz val="14"/>
      <color theme="1"/>
      <name val="Tahoma"/>
      <family val="2"/>
    </font>
    <font>
      <sz val="8"/>
      <name val="Times New Roman"/>
      <family val="1"/>
    </font>
    <font>
      <sz val="12"/>
      <color theme="1"/>
      <name val="Times New Roman"/>
      <family val="1"/>
    </font>
    <font>
      <b/>
      <u/>
      <sz val="16"/>
      <name val="Century Gothic"/>
      <family val="2"/>
    </font>
    <font>
      <b/>
      <sz val="10"/>
      <name val="Century Gothic"/>
      <family val="2"/>
    </font>
    <font>
      <b/>
      <sz val="14"/>
      <name val="Century Gothic"/>
      <family val="2"/>
    </font>
    <font>
      <sz val="10"/>
      <name val="Century Gothic"/>
      <family val="2"/>
    </font>
    <font>
      <b/>
      <u/>
      <sz val="10"/>
      <name val="Century Gothic"/>
      <family val="2"/>
    </font>
    <font>
      <b/>
      <sz val="11"/>
      <name val="Century Gothic"/>
      <family val="2"/>
    </font>
    <font>
      <sz val="11"/>
      <name val="Century Gothic"/>
      <family val="2"/>
    </font>
    <font>
      <sz val="12"/>
      <color indexed="12"/>
      <name val="Times New Roman"/>
      <family val="1"/>
    </font>
    <font>
      <sz val="10"/>
      <color indexed="8"/>
      <name val="MS Sans Serif"/>
      <family val="2"/>
    </font>
    <font>
      <sz val="12"/>
      <name val="Times New Roman"/>
      <family val="1"/>
    </font>
    <font>
      <sz val="9.5"/>
      <name val="ｺﾞｼｯｸ"/>
      <family val="3"/>
      <charset val="128"/>
    </font>
    <font>
      <sz val="11"/>
      <name val="??"/>
      <family val="1"/>
      <charset val="128"/>
    </font>
    <font>
      <sz val="11"/>
      <name val="?? ??"/>
      <family val="1"/>
      <charset val="128"/>
    </font>
    <font>
      <sz val="10"/>
      <color indexed="8"/>
      <name val="MS P????"/>
      <family val="3"/>
      <charset val="128"/>
    </font>
    <font>
      <sz val="10"/>
      <color indexed="12"/>
      <name val="Arial"/>
      <family val="2"/>
    </font>
    <font>
      <sz val="10"/>
      <name val="Helv"/>
      <family val="2"/>
    </font>
    <font>
      <sz val="10"/>
      <name val="Helv"/>
    </font>
    <font>
      <sz val="11"/>
      <name val="돋움"/>
      <charset val="129"/>
    </font>
    <font>
      <sz val="10"/>
      <name val="Arabic Transparent"/>
      <charset val="178"/>
    </font>
    <font>
      <sz val="10"/>
      <name val="Arial"/>
      <family val="2"/>
      <charset val="204"/>
    </font>
    <font>
      <sz val="10"/>
      <color indexed="8"/>
      <name val="Helv"/>
    </font>
    <font>
      <sz val="11"/>
      <name val="돋움"/>
      <family val="3"/>
      <charset val="129"/>
    </font>
    <font>
      <sz val="11"/>
      <name val="돋움"/>
      <family val="2"/>
      <charset val="129"/>
    </font>
    <font>
      <sz val="8"/>
      <name val="Helv"/>
      <charset val="204"/>
    </font>
    <font>
      <b/>
      <sz val="22"/>
      <color indexed="18"/>
      <name val="Arial"/>
      <family val="2"/>
    </font>
    <font>
      <sz val="10"/>
      <name val="Helv"/>
      <family val="2"/>
      <charset val="204"/>
    </font>
    <font>
      <sz val="10"/>
      <name val="Univers Condensed"/>
      <family val="2"/>
    </font>
    <font>
      <b/>
      <sz val="14"/>
      <color indexed="18"/>
      <name val="Arial"/>
      <family val="2"/>
    </font>
    <font>
      <sz val="9"/>
      <color indexed="8"/>
      <name val="Arial"/>
      <family val="2"/>
    </font>
    <font>
      <b/>
      <sz val="10"/>
      <color indexed="18"/>
      <name val="Arial"/>
      <family val="2"/>
    </font>
    <font>
      <b/>
      <u val="singleAccounting"/>
      <sz val="10"/>
      <color indexed="18"/>
      <name val="Arial"/>
      <family val="2"/>
    </font>
    <font>
      <sz val="11"/>
      <color indexed="8"/>
      <name val="-3 fg"/>
    </font>
    <font>
      <sz val="13"/>
      <name val="Tms Rmn"/>
      <family val="1"/>
    </font>
    <font>
      <b/>
      <sz val="14"/>
      <name val="Arial"/>
      <family val="2"/>
    </font>
    <font>
      <sz val="11"/>
      <color indexed="8"/>
      <name val="Calibri"/>
      <family val="2"/>
      <charset val="1"/>
    </font>
    <font>
      <sz val="11"/>
      <color indexed="8"/>
      <name val="宋体"/>
      <charset val="134"/>
    </font>
    <font>
      <sz val="11"/>
      <color indexed="9"/>
      <name val="Calibri"/>
      <family val="2"/>
      <charset val="1"/>
    </font>
    <font>
      <sz val="11"/>
      <color theme="0"/>
      <name val="Calibri"/>
      <family val="2"/>
      <scheme val="minor"/>
    </font>
    <font>
      <sz val="11"/>
      <color rgb="FFFFFFFF"/>
      <name val="Calibri"/>
      <family val="2"/>
    </font>
    <font>
      <sz val="11"/>
      <color indexed="9"/>
      <name val="宋体"/>
      <charset val="134"/>
    </font>
    <font>
      <sz val="14"/>
      <name val="AngsanaUPC"/>
      <family val="1"/>
    </font>
    <font>
      <sz val="10"/>
      <name val="Courier"/>
      <family val="3"/>
    </font>
    <font>
      <sz val="11"/>
      <color rgb="FF000000"/>
      <name val="Calibri"/>
      <family val="2"/>
    </font>
    <font>
      <sz val="10"/>
      <color indexed="12"/>
      <name val="Times New Roman"/>
      <family val="1"/>
    </font>
    <font>
      <sz val="12"/>
      <name val="¹UAAA¼"/>
      <family val="3"/>
      <charset val="129"/>
    </font>
    <font>
      <sz val="10"/>
      <name val="Vogue"/>
    </font>
    <font>
      <sz val="16"/>
      <name val="Times New Roman"/>
      <family val="1"/>
    </font>
    <font>
      <sz val="8"/>
      <color indexed="12"/>
      <name val="Helv"/>
    </font>
    <font>
      <sz val="10"/>
      <name val="Geneva"/>
    </font>
    <font>
      <b/>
      <sz val="11"/>
      <color indexed="63"/>
      <name val="Arial"/>
      <family val="2"/>
    </font>
    <font>
      <u/>
      <sz val="10"/>
      <name val="Times New Roman"/>
      <family val="1"/>
    </font>
    <font>
      <sz val="12"/>
      <color indexed="8"/>
      <name val="Times New Roman"/>
      <family val="1"/>
    </font>
    <font>
      <sz val="11"/>
      <color indexed="20"/>
      <name val="Calibri"/>
      <family val="2"/>
      <charset val="1"/>
    </font>
    <font>
      <sz val="11"/>
      <color indexed="16"/>
      <name val="Calibri"/>
      <family val="2"/>
    </font>
    <font>
      <sz val="11"/>
      <color rgb="FF9C0006"/>
      <name val="Calibri"/>
      <family val="2"/>
      <scheme val="minor"/>
    </font>
    <font>
      <b/>
      <sz val="11"/>
      <color indexed="52"/>
      <name val="Arial"/>
      <family val="2"/>
    </font>
    <font>
      <sz val="8"/>
      <color indexed="18"/>
      <name val="Arial"/>
      <family val="2"/>
    </font>
    <font>
      <b/>
      <sz val="11"/>
      <color indexed="8"/>
      <name val="Arial"/>
      <family val="2"/>
    </font>
    <font>
      <sz val="7"/>
      <name val="Helv"/>
    </font>
    <font>
      <strike/>
      <sz val="8"/>
      <name val="Arial"/>
      <family val="2"/>
    </font>
    <font>
      <sz val="8"/>
      <color indexed="8"/>
      <name val="Arial"/>
      <family val="2"/>
    </font>
    <font>
      <u/>
      <sz val="10"/>
      <name val="Tms Rmn"/>
    </font>
    <font>
      <sz val="12"/>
      <name val="Tms Rmn"/>
    </font>
    <font>
      <u/>
      <sz val="8"/>
      <name val="Tms Rmn"/>
    </font>
    <font>
      <b/>
      <sz val="10"/>
      <name val="Switzerland"/>
      <family val="2"/>
    </font>
    <font>
      <b/>
      <sz val="12"/>
      <name val="Switzerland"/>
      <family val="2"/>
    </font>
    <font>
      <b/>
      <sz val="8"/>
      <name val="Switzerland"/>
      <family val="2"/>
    </font>
    <font>
      <b/>
      <i/>
      <sz val="10"/>
      <name val="Switzerland"/>
      <family val="2"/>
    </font>
    <font>
      <b/>
      <i/>
      <sz val="12"/>
      <name val="Switzerland"/>
      <family val="2"/>
    </font>
    <font>
      <b/>
      <i/>
      <sz val="8"/>
      <name val="Switzerland"/>
      <family val="2"/>
    </font>
    <font>
      <b/>
      <sz val="12"/>
      <name val="Times New Roman"/>
      <family val="1"/>
    </font>
    <font>
      <b/>
      <sz val="8"/>
      <color indexed="8"/>
      <name val="Arial"/>
      <family val="2"/>
    </font>
    <font>
      <sz val="9"/>
      <name val="Times New Roman"/>
      <family val="1"/>
    </font>
    <font>
      <b/>
      <sz val="10"/>
      <name val="MS Sans Serif"/>
      <family val="2"/>
    </font>
    <font>
      <sz val="8"/>
      <color indexed="12"/>
      <name val="Times New Roman"/>
      <family val="1"/>
    </font>
    <font>
      <b/>
      <sz val="9"/>
      <name val="Times New Roman"/>
      <family val="1"/>
    </font>
    <font>
      <sz val="10"/>
      <color indexed="8"/>
      <name val="Times New Roman"/>
      <family val="1"/>
    </font>
    <font>
      <i/>
      <sz val="8"/>
      <color indexed="12"/>
      <name val="Arial"/>
      <family val="2"/>
    </font>
    <font>
      <sz val="32"/>
      <color indexed="8"/>
      <name val="Times New Roman"/>
      <family val="1"/>
    </font>
    <font>
      <sz val="10"/>
      <color indexed="17"/>
      <name val="Tahoma"/>
      <family val="2"/>
    </font>
    <font>
      <sz val="10"/>
      <name val="MS Sans Serif"/>
      <family val="2"/>
    </font>
    <font>
      <b/>
      <sz val="10"/>
      <color indexed="8"/>
      <name val="Times New Roman"/>
      <family val="1"/>
    </font>
    <font>
      <sz val="12"/>
      <name val="System"/>
      <family val="1"/>
      <charset val="129"/>
    </font>
    <font>
      <sz val="12"/>
      <name val="¹ÙÅÁÃ¼"/>
      <charset val="129"/>
    </font>
    <font>
      <sz val="11"/>
      <name val="µ¸¿ò"/>
      <family val="3"/>
      <charset val="129"/>
    </font>
    <font>
      <sz val="10"/>
      <name val="Courier New"/>
      <family val="3"/>
    </font>
    <font>
      <b/>
      <sz val="11"/>
      <color indexed="19"/>
      <name val="Calibri"/>
      <family val="2"/>
    </font>
    <font>
      <b/>
      <sz val="11"/>
      <color indexed="52"/>
      <name val="Calibri"/>
      <family val="2"/>
      <charset val="1"/>
    </font>
    <font>
      <b/>
      <sz val="11"/>
      <color indexed="53"/>
      <name val="Calibri"/>
      <family val="2"/>
    </font>
    <font>
      <b/>
      <sz val="11"/>
      <color indexed="52"/>
      <name val="Calibri"/>
      <family val="2"/>
      <scheme val="minor"/>
    </font>
    <font>
      <b/>
      <sz val="11"/>
      <color rgb="FFFA7D00"/>
      <name val="Calibri"/>
      <family val="2"/>
      <scheme val="minor"/>
    </font>
    <font>
      <b/>
      <sz val="11"/>
      <color indexed="53"/>
      <name val="Calibri"/>
      <family val="2"/>
      <charset val="1"/>
    </font>
    <font>
      <b/>
      <sz val="12"/>
      <color indexed="52"/>
      <name val="Times New Roman"/>
      <family val="2"/>
    </font>
    <font>
      <b/>
      <sz val="10"/>
      <color indexed="52"/>
      <name val="Tahoma"/>
      <family val="2"/>
    </font>
    <font>
      <b/>
      <sz val="10"/>
      <name val="Helv"/>
    </font>
    <font>
      <sz val="8"/>
      <name val="Helvetica-Narrow"/>
    </font>
    <font>
      <b/>
      <sz val="10"/>
      <color indexed="9"/>
      <name val="Tahoma"/>
      <family val="2"/>
    </font>
    <font>
      <sz val="10"/>
      <color indexed="52"/>
      <name val="Tahoma"/>
      <family val="2"/>
    </font>
    <font>
      <u/>
      <sz val="12"/>
      <name val="Tms Rmn"/>
    </font>
    <font>
      <sz val="10"/>
      <color indexed="18"/>
      <name val="Times New Roman"/>
      <family val="1"/>
    </font>
    <font>
      <b/>
      <sz val="11"/>
      <color indexed="9"/>
      <name val="Calibri"/>
      <family val="2"/>
      <charset val="1"/>
    </font>
    <font>
      <b/>
      <sz val="11"/>
      <color theme="0"/>
      <name val="Calibri"/>
      <family val="2"/>
      <scheme val="minor"/>
    </font>
    <font>
      <sz val="9"/>
      <name val="Arial Narrow"/>
      <family val="2"/>
    </font>
    <font>
      <b/>
      <sz val="8"/>
      <name val="Book Antiqua"/>
      <family val="1"/>
    </font>
    <font>
      <b/>
      <sz val="13"/>
      <name val="Tms Rmn"/>
      <family val="1"/>
    </font>
    <font>
      <sz val="10"/>
      <name val="Tms Rmn"/>
    </font>
    <font>
      <b/>
      <u/>
      <sz val="8"/>
      <name val="Arial"/>
      <family val="2"/>
    </font>
    <font>
      <sz val="8"/>
      <name val="Palatino"/>
      <family val="1"/>
    </font>
    <font>
      <sz val="10"/>
      <color theme="1"/>
      <name val="Tahoma"/>
      <family val="2"/>
    </font>
    <font>
      <sz val="11"/>
      <color indexed="8"/>
      <name val="Constantia"/>
      <family val="2"/>
    </font>
    <font>
      <sz val="11"/>
      <color indexed="8"/>
      <name val="Cambria"/>
      <family val="2"/>
    </font>
    <font>
      <sz val="9"/>
      <name val="Verdana"/>
      <family val="2"/>
    </font>
    <font>
      <sz val="10.5"/>
      <name val="Arial"/>
      <family val="2"/>
    </font>
    <font>
      <sz val="11"/>
      <color indexed="8"/>
      <name val="Arial Narrow"/>
      <family val="2"/>
    </font>
    <font>
      <sz val="1"/>
      <color indexed="8"/>
      <name val="Courier"/>
      <family val="3"/>
    </font>
    <font>
      <sz val="6"/>
      <name val="Helv"/>
    </font>
    <font>
      <sz val="10"/>
      <name val="MS Serif"/>
      <family val="2"/>
    </font>
    <font>
      <sz val="11"/>
      <name val="Courier"/>
      <family val="3"/>
    </font>
    <font>
      <sz val="14"/>
      <name val="Palatino"/>
      <family val="1"/>
    </font>
    <font>
      <sz val="16"/>
      <name val="Palatino"/>
      <family val="1"/>
    </font>
    <font>
      <sz val="32"/>
      <name val="Helvetica-Black"/>
    </font>
    <font>
      <b/>
      <u/>
      <sz val="11"/>
      <name val="Times New Roman"/>
      <family val="1"/>
    </font>
    <font>
      <sz val="8"/>
      <color indexed="16"/>
      <name val="Palatino"/>
      <family val="1"/>
    </font>
    <font>
      <sz val="12"/>
      <name val="Helv"/>
    </font>
    <font>
      <b/>
      <sz val="7.5"/>
      <color indexed="8"/>
      <name val="Arial"/>
      <family val="2"/>
    </font>
    <font>
      <b/>
      <sz val="10"/>
      <color indexed="48"/>
      <name val="Arial"/>
      <family val="2"/>
    </font>
    <font>
      <sz val="8"/>
      <color indexed="12"/>
      <name val="Arial"/>
      <family val="2"/>
    </font>
    <font>
      <b/>
      <sz val="12"/>
      <name val="Arial Narrow"/>
      <family val="2"/>
    </font>
    <font>
      <b/>
      <sz val="10"/>
      <color indexed="10"/>
      <name val="Arial"/>
      <family val="2"/>
    </font>
    <font>
      <i/>
      <sz val="10"/>
      <color indexed="12"/>
      <name val="Times New Roman"/>
      <family val="1"/>
    </font>
    <font>
      <sz val="12"/>
      <name val="Times"/>
      <family val="1"/>
    </font>
    <font>
      <sz val="11"/>
      <color indexed="62"/>
      <name val="Arial"/>
      <family val="2"/>
    </font>
    <font>
      <b/>
      <sz val="10"/>
      <color indexed="8"/>
      <name val="Arial"/>
      <family val="2"/>
    </font>
    <font>
      <b/>
      <sz val="11"/>
      <color indexed="56"/>
      <name val="Tahoma"/>
      <family val="2"/>
    </font>
    <font>
      <sz val="10"/>
      <color indexed="16"/>
      <name val="MS Serif"/>
      <family val="2"/>
    </font>
    <font>
      <b/>
      <sz val="12"/>
      <color indexed="22"/>
      <name val="Times New Roman"/>
      <family val="1"/>
    </font>
    <font>
      <b/>
      <sz val="10"/>
      <color indexed="22"/>
      <name val="Times New Roman"/>
      <family val="1"/>
    </font>
    <font>
      <sz val="10"/>
      <color indexed="62"/>
      <name val="Tahoma"/>
      <family val="2"/>
    </font>
    <font>
      <i/>
      <sz val="11"/>
      <color indexed="23"/>
      <name val="Arial"/>
      <family val="2"/>
    </font>
    <font>
      <i/>
      <sz val="11"/>
      <color indexed="23"/>
      <name val="Calibri"/>
      <family val="2"/>
      <charset val="1"/>
    </font>
    <font>
      <i/>
      <sz val="11"/>
      <color indexed="54"/>
      <name val="Calibri"/>
      <family val="2"/>
      <charset val="1"/>
    </font>
    <font>
      <i/>
      <sz val="11"/>
      <color rgb="FF7F7F7F"/>
      <name val="Calibri"/>
      <family val="2"/>
      <scheme val="minor"/>
    </font>
    <font>
      <sz val="12"/>
      <color indexed="22"/>
      <name val="Arial"/>
      <family val="2"/>
    </font>
    <font>
      <u/>
      <sz val="11"/>
      <color indexed="12"/>
      <name val="Book Antiqua"/>
      <family val="1"/>
    </font>
    <font>
      <u/>
      <sz val="10"/>
      <color indexed="36"/>
      <name val="Arial"/>
      <family val="2"/>
    </font>
    <font>
      <sz val="6"/>
      <color indexed="23"/>
      <name val="Helvetica-Black"/>
    </font>
    <font>
      <sz val="9.5"/>
      <color indexed="23"/>
      <name val="Helvetica-Black"/>
    </font>
    <font>
      <sz val="7"/>
      <name val="Palatino"/>
      <family val="1"/>
    </font>
    <font>
      <sz val="10"/>
      <color indexed="10"/>
      <name val="Arial"/>
      <family val="2"/>
    </font>
    <font>
      <b/>
      <sz val="12"/>
      <color indexed="53"/>
      <name val="Times New Roman"/>
      <family val="1"/>
    </font>
    <font>
      <sz val="11"/>
      <color indexed="57"/>
      <name val="Calibri"/>
      <family val="2"/>
      <charset val="1"/>
    </font>
    <font>
      <sz val="11"/>
      <color rgb="FF006100"/>
      <name val="Calibri"/>
      <family val="2"/>
      <scheme val="minor"/>
    </font>
    <font>
      <sz val="11"/>
      <color indexed="17"/>
      <name val="Arial"/>
      <family val="2"/>
    </font>
    <font>
      <sz val="8"/>
      <name val="Arial Narrow"/>
      <family val="2"/>
    </font>
    <font>
      <sz val="12"/>
      <color indexed="9"/>
      <name val="Times New Roman"/>
      <family val="1"/>
    </font>
    <font>
      <sz val="24"/>
      <color indexed="8"/>
      <name val="TimesNewRomanPS"/>
      <family val="1"/>
    </font>
    <font>
      <sz val="18"/>
      <color indexed="8"/>
      <name val="Times New Roman"/>
      <family val="1"/>
    </font>
    <font>
      <sz val="6"/>
      <name val="Palatino"/>
      <family val="1"/>
    </font>
    <font>
      <b/>
      <sz val="15"/>
      <color indexed="56"/>
      <name val="Calibri"/>
      <family val="2"/>
      <charset val="1"/>
    </font>
    <font>
      <b/>
      <sz val="15"/>
      <color indexed="62"/>
      <name val="Calibri"/>
      <family val="2"/>
    </font>
    <font>
      <b/>
      <sz val="15"/>
      <color theme="3"/>
      <name val="Calibri"/>
      <family val="2"/>
      <scheme val="minor"/>
    </font>
    <font>
      <sz val="10"/>
      <name val="Helvetica-Black"/>
    </font>
    <font>
      <sz val="28"/>
      <name val="Helvetica-Black"/>
    </font>
    <font>
      <b/>
      <sz val="13"/>
      <color indexed="56"/>
      <name val="Calibri"/>
      <family val="2"/>
      <charset val="1"/>
    </font>
    <font>
      <b/>
      <sz val="13"/>
      <color indexed="62"/>
      <name val="Calibri"/>
      <family val="2"/>
    </font>
    <font>
      <b/>
      <sz val="13"/>
      <color theme="3"/>
      <name val="Calibri"/>
      <family val="2"/>
      <scheme val="minor"/>
    </font>
    <font>
      <b/>
      <sz val="1"/>
      <color indexed="8"/>
      <name val="Courier"/>
      <family val="3"/>
    </font>
    <font>
      <sz val="10"/>
      <name val="Palatino"/>
    </font>
    <font>
      <sz val="18"/>
      <name val="Palatino"/>
      <family val="1"/>
    </font>
    <font>
      <b/>
      <sz val="11"/>
      <color indexed="56"/>
      <name val="Calibri"/>
      <family val="2"/>
      <charset val="1"/>
    </font>
    <font>
      <b/>
      <sz val="11"/>
      <color indexed="62"/>
      <name val="Calibri"/>
      <family val="2"/>
    </font>
    <font>
      <b/>
      <sz val="11"/>
      <color theme="3"/>
      <name val="Calibri"/>
      <family val="2"/>
      <scheme val="minor"/>
    </font>
    <font>
      <i/>
      <sz val="14"/>
      <name val="Palatino"/>
      <family val="1"/>
    </font>
    <font>
      <b/>
      <sz val="12"/>
      <color indexed="9"/>
      <name val="Arial"/>
      <family val="2"/>
    </font>
    <font>
      <b/>
      <sz val="1"/>
      <color indexed="8"/>
      <name val="Courier New"/>
      <family val="3"/>
    </font>
    <font>
      <sz val="12"/>
      <name val="Marigold"/>
      <family val="4"/>
    </font>
    <font>
      <sz val="24"/>
      <color indexed="8"/>
      <name val="Times New Roman"/>
      <family val="1"/>
    </font>
    <font>
      <u/>
      <sz val="11"/>
      <color indexed="12"/>
      <name val="Times New Roman"/>
      <family val="1"/>
    </font>
    <font>
      <u/>
      <sz val="11"/>
      <color theme="10"/>
      <name val="Times New Roman"/>
      <family val="1"/>
    </font>
    <font>
      <u/>
      <sz val="11"/>
      <color indexed="12"/>
      <name val="Calibri"/>
      <family val="2"/>
    </font>
    <font>
      <u/>
      <sz val="10"/>
      <color indexed="12"/>
      <name val="Arial"/>
      <family val="2"/>
    </font>
    <font>
      <u/>
      <sz val="10"/>
      <color theme="10"/>
      <name val="Comic Sans MS"/>
      <family val="4"/>
    </font>
    <font>
      <u/>
      <sz val="11"/>
      <color theme="10"/>
      <name val="Calibri"/>
      <family val="2"/>
    </font>
    <font>
      <u/>
      <sz val="9"/>
      <color indexed="12"/>
      <name val="Arial"/>
      <family val="2"/>
    </font>
    <font>
      <sz val="12"/>
      <color indexed="48"/>
      <name val="Times New Roman"/>
      <family val="1"/>
    </font>
    <font>
      <sz val="10"/>
      <color indexed="47"/>
      <name val="Arial"/>
      <family val="2"/>
    </font>
    <font>
      <sz val="11"/>
      <color indexed="48"/>
      <name val="Times New Roman"/>
      <family val="1"/>
    </font>
    <font>
      <sz val="10"/>
      <color indexed="20"/>
      <name val="Tahoma"/>
      <family val="2"/>
    </font>
    <font>
      <sz val="11"/>
      <color indexed="62"/>
      <name val="Calibri"/>
      <family val="2"/>
      <charset val="1"/>
    </font>
    <font>
      <sz val="11"/>
      <color rgb="FF3F3F76"/>
      <name val="Calibri"/>
      <family val="2"/>
      <scheme val="minor"/>
    </font>
    <font>
      <sz val="12"/>
      <color indexed="10"/>
      <name val="Bookman Old Style"/>
      <family val="1"/>
    </font>
    <font>
      <i/>
      <sz val="12"/>
      <color indexed="10"/>
      <name val="Bookman Old Style"/>
      <family val="1"/>
    </font>
    <font>
      <sz val="8"/>
      <color indexed="39"/>
      <name val="Arial"/>
      <family val="2"/>
    </font>
    <font>
      <sz val="10"/>
      <color indexed="16"/>
      <name val="Times New Roman"/>
      <family val="1"/>
    </font>
    <font>
      <sz val="12"/>
      <color indexed="10"/>
      <name val="Times New Roman"/>
      <family val="1"/>
    </font>
    <font>
      <sz val="10"/>
      <name val="GillSans Light"/>
    </font>
    <font>
      <sz val="11"/>
      <name val="Arial Narrow"/>
      <family val="2"/>
    </font>
    <font>
      <b/>
      <sz val="14"/>
      <name val="Helv"/>
    </font>
    <font>
      <b/>
      <sz val="22"/>
      <color indexed="16"/>
      <name val="Arial"/>
      <family val="2"/>
    </font>
    <font>
      <b/>
      <u val="double"/>
      <sz val="12"/>
      <name val="Times New Roman"/>
      <family val="1"/>
    </font>
    <font>
      <b/>
      <u val="double"/>
      <sz val="11"/>
      <name val="Times New Roman"/>
      <family val="1"/>
    </font>
    <font>
      <u/>
      <sz val="6"/>
      <color indexed="12"/>
      <name val="Arial"/>
      <family val="2"/>
    </font>
    <font>
      <sz val="8"/>
      <color indexed="16"/>
      <name val="Arial"/>
      <family val="2"/>
    </font>
    <font>
      <sz val="11"/>
      <color indexed="52"/>
      <name val="Calibri"/>
      <family val="2"/>
      <charset val="1"/>
    </font>
    <font>
      <sz val="11"/>
      <color indexed="53"/>
      <name val="Calibri"/>
      <family val="2"/>
    </font>
    <font>
      <sz val="11"/>
      <color rgb="FFFA7D00"/>
      <name val="Calibri"/>
      <family val="2"/>
      <scheme val="minor"/>
    </font>
    <font>
      <sz val="11"/>
      <color indexed="53"/>
      <name val="Calibri"/>
      <family val="2"/>
      <charset val="1"/>
    </font>
    <font>
      <u/>
      <sz val="16"/>
      <name val="Verdana"/>
      <family val="2"/>
    </font>
    <font>
      <sz val="8"/>
      <color indexed="8"/>
      <name val="Helv"/>
    </font>
    <font>
      <b/>
      <sz val="12"/>
      <name val="Courier New"/>
      <family val="3"/>
    </font>
    <font>
      <sz val="10"/>
      <color indexed="20"/>
      <name val="Times New Roman"/>
      <family val="1"/>
    </font>
    <font>
      <b/>
      <i/>
      <sz val="8"/>
      <name val="Arial"/>
      <family val="2"/>
    </font>
    <font>
      <b/>
      <sz val="9"/>
      <name val="Verdana"/>
      <family val="2"/>
    </font>
    <font>
      <b/>
      <sz val="11"/>
      <name val="Helv"/>
    </font>
    <font>
      <sz val="10"/>
      <name val="Palatino"/>
      <family val="1"/>
    </font>
    <font>
      <sz val="11"/>
      <color indexed="60"/>
      <name val="Calibri"/>
      <family val="2"/>
      <charset val="1"/>
    </font>
    <font>
      <sz val="11"/>
      <color indexed="60"/>
      <name val="Calibri"/>
      <family val="2"/>
      <scheme val="minor"/>
    </font>
    <font>
      <sz val="11"/>
      <color rgb="FF9C6500"/>
      <name val="Calibri"/>
      <family val="2"/>
      <scheme val="minor"/>
    </font>
    <font>
      <b/>
      <i/>
      <sz val="16"/>
      <name val="Helv"/>
    </font>
    <font>
      <sz val="11"/>
      <name val="Times New Roman"/>
      <family val="1"/>
      <charset val="134"/>
    </font>
    <font>
      <sz val="10"/>
      <name val="Arial"/>
      <family val="2"/>
      <charset val="1"/>
    </font>
    <font>
      <sz val="11"/>
      <color theme="1"/>
      <name val="Constantia"/>
      <family val="2"/>
    </font>
    <font>
      <sz val="12"/>
      <color theme="1"/>
      <name val="Cambria"/>
      <family val="2"/>
    </font>
    <font>
      <sz val="11"/>
      <color rgb="FF000000"/>
      <name val="Calibri"/>
      <family val="2"/>
      <charset val="204"/>
    </font>
    <font>
      <sz val="12"/>
      <color theme="1"/>
      <name val="Calibri"/>
      <family val="2"/>
      <scheme val="minor"/>
    </font>
    <font>
      <sz val="12"/>
      <name val="Arial MT"/>
    </font>
    <font>
      <sz val="12"/>
      <color theme="1"/>
      <name val="Times New Roman"/>
      <family val="2"/>
    </font>
    <font>
      <sz val="11"/>
      <color theme="1"/>
      <name val="Calibri"/>
      <family val="2"/>
      <charset val="1"/>
      <scheme val="minor"/>
    </font>
    <font>
      <sz val="10"/>
      <name val="Arial"/>
      <family val="2"/>
      <charset val="134"/>
    </font>
    <font>
      <sz val="11"/>
      <name val="Times New Roman"/>
      <family val="1"/>
      <charset val="1"/>
    </font>
    <font>
      <sz val="11"/>
      <color theme="1"/>
      <name val="Rupee Foradian"/>
      <family val="2"/>
    </font>
    <font>
      <sz val="11"/>
      <name val="Calibri"/>
      <family val="2"/>
    </font>
    <font>
      <sz val="10"/>
      <color indexed="8"/>
      <name val="Arial"/>
      <family val="2"/>
      <charset val="1"/>
    </font>
    <font>
      <sz val="11"/>
      <color indexed="8"/>
      <name val="Times New Roman"/>
      <family val="1"/>
    </font>
    <font>
      <sz val="8"/>
      <name val="Verdana"/>
      <family val="2"/>
    </font>
    <font>
      <sz val="11"/>
      <color theme="1"/>
      <name val="Book Antiqua"/>
      <family val="2"/>
    </font>
    <font>
      <sz val="10"/>
      <color indexed="22"/>
      <name val="Arial"/>
      <family val="2"/>
    </font>
    <font>
      <sz val="8"/>
      <name val="Helvetica"/>
      <family val="2"/>
    </font>
    <font>
      <b/>
      <sz val="10"/>
      <name val="Arial CE"/>
      <family val="2"/>
      <charset val="238"/>
    </font>
    <font>
      <sz val="10"/>
      <name val="Bradley Hand ITC"/>
      <family val="4"/>
    </font>
    <font>
      <sz val="7"/>
      <color indexed="10"/>
      <name val="Helv"/>
    </font>
    <font>
      <sz val="8"/>
      <name val="Helv"/>
      <family val="2"/>
    </font>
    <font>
      <b/>
      <sz val="10"/>
      <name val="Book Antiqua"/>
      <family val="1"/>
    </font>
    <font>
      <b/>
      <sz val="10"/>
      <color indexed="63"/>
      <name val="Tahoma"/>
      <family val="2"/>
    </font>
    <font>
      <b/>
      <sz val="18"/>
      <color indexed="62"/>
      <name val="Cambria"/>
      <family val="2"/>
    </font>
    <font>
      <b/>
      <sz val="18"/>
      <color indexed="62"/>
      <name val="Cambria"/>
      <family val="1"/>
    </font>
    <font>
      <u/>
      <sz val="9"/>
      <color indexed="36"/>
      <name val="Arial"/>
      <family val="2"/>
    </font>
    <font>
      <sz val="10"/>
      <color theme="1"/>
      <name val="Arial"/>
      <family val="2"/>
    </font>
    <font>
      <u/>
      <sz val="12"/>
      <name val="Verdana"/>
      <family val="2"/>
    </font>
    <font>
      <b/>
      <sz val="8"/>
      <color indexed="8"/>
      <name val="Helv"/>
      <family val="2"/>
    </font>
    <font>
      <vertAlign val="superscript"/>
      <sz val="10"/>
      <name val="Century Gothic"/>
      <family val="2"/>
    </font>
    <font>
      <sz val="10"/>
      <name val="Bradley Hand ITC"/>
      <family val="4"/>
      <charset val="1"/>
    </font>
    <font>
      <i/>
      <sz val="10"/>
      <color indexed="23"/>
      <name val="Tahoma"/>
      <family val="2"/>
    </font>
    <font>
      <sz val="24"/>
      <color indexed="13"/>
      <name val="Helv"/>
    </font>
    <font>
      <b/>
      <sz val="18"/>
      <color indexed="56"/>
      <name val="Cambria"/>
      <family val="2"/>
      <charset val="1"/>
    </font>
    <font>
      <b/>
      <sz val="15"/>
      <color indexed="56"/>
      <name val="Tahoma"/>
      <family val="2"/>
    </font>
    <font>
      <b/>
      <sz val="13"/>
      <color indexed="56"/>
      <name val="Tahoma"/>
      <family val="2"/>
    </font>
    <font>
      <sz val="14"/>
      <name val="뼻뮝"/>
      <family val="3"/>
      <charset val="129"/>
    </font>
    <font>
      <sz val="12"/>
      <name val="뼻뮝"/>
      <family val="1"/>
      <charset val="129"/>
    </font>
    <font>
      <sz val="12"/>
      <name val="돋움체"/>
      <family val="3"/>
      <charset val="129"/>
    </font>
    <font>
      <sz val="10"/>
      <name val="굴림체"/>
      <family val="3"/>
      <charset val="129"/>
    </font>
    <font>
      <sz val="11"/>
      <color indexed="17"/>
      <name val="宋体"/>
      <charset val="134"/>
    </font>
    <font>
      <sz val="11"/>
      <color indexed="20"/>
      <name val="宋体"/>
      <charset val="134"/>
    </font>
    <font>
      <b/>
      <sz val="18"/>
      <color indexed="56"/>
      <name val="宋体"/>
      <charset val="134"/>
    </font>
    <font>
      <b/>
      <sz val="15"/>
      <color indexed="56"/>
      <name val="宋体"/>
      <charset val="134"/>
    </font>
    <font>
      <b/>
      <sz val="13"/>
      <color indexed="56"/>
      <name val="宋体"/>
      <charset val="134"/>
    </font>
    <font>
      <b/>
      <sz val="11"/>
      <color indexed="56"/>
      <name val="宋体"/>
      <charset val="134"/>
    </font>
    <font>
      <b/>
      <sz val="11"/>
      <color indexed="9"/>
      <name val="宋体"/>
      <charset val="134"/>
    </font>
    <font>
      <b/>
      <sz val="11"/>
      <color indexed="8"/>
      <name val="宋体"/>
      <charset val="134"/>
    </font>
    <font>
      <i/>
      <sz val="11"/>
      <color indexed="23"/>
      <name val="宋体"/>
      <charset val="134"/>
    </font>
    <font>
      <sz val="11"/>
      <color indexed="10"/>
      <name val="宋体"/>
      <charset val="134"/>
    </font>
    <font>
      <b/>
      <sz val="11"/>
      <color indexed="52"/>
      <name val="宋体"/>
      <charset val="134"/>
    </font>
    <font>
      <sz val="11"/>
      <color indexed="62"/>
      <name val="宋体"/>
      <charset val="134"/>
    </font>
    <font>
      <b/>
      <sz val="11"/>
      <color indexed="63"/>
      <name val="宋体"/>
      <charset val="134"/>
    </font>
    <font>
      <sz val="11"/>
      <color indexed="60"/>
      <name val="宋体"/>
      <charset val="134"/>
    </font>
    <font>
      <sz val="11"/>
      <color indexed="52"/>
      <name val="宋体"/>
      <charset val="134"/>
    </font>
    <font>
      <sz val="14"/>
      <color rgb="FFFF0000"/>
      <name val="Tahoma"/>
      <family val="2"/>
    </font>
    <font>
      <sz val="10"/>
      <color rgb="FFFF0000"/>
      <name val="Arial"/>
      <family val="2"/>
    </font>
    <font>
      <b/>
      <sz val="10"/>
      <name val="Calibri"/>
      <family val="2"/>
      <scheme val="minor"/>
    </font>
    <font>
      <sz val="10"/>
      <name val="Calibri"/>
      <family val="2"/>
      <scheme val="minor"/>
    </font>
    <font>
      <sz val="9"/>
      <name val="Calibri"/>
      <family val="2"/>
      <scheme val="minor"/>
    </font>
    <font>
      <b/>
      <sz val="8"/>
      <name val="Calibri"/>
      <family val="2"/>
      <scheme val="minor"/>
    </font>
    <font>
      <sz val="12"/>
      <name val="Calibri"/>
      <family val="2"/>
      <scheme val="minor"/>
    </font>
    <font>
      <b/>
      <sz val="12"/>
      <name val="Calibri"/>
      <family val="2"/>
      <scheme val="minor"/>
    </font>
    <font>
      <b/>
      <u/>
      <sz val="12"/>
      <name val="Calibri"/>
      <family val="2"/>
      <scheme val="minor"/>
    </font>
    <font>
      <b/>
      <i/>
      <sz val="12"/>
      <name val="Calibri"/>
      <family val="2"/>
      <scheme val="minor"/>
    </font>
    <font>
      <sz val="7"/>
      <name val="Calibri"/>
      <family val="2"/>
      <scheme val="minor"/>
    </font>
    <font>
      <b/>
      <sz val="10"/>
      <color indexed="10"/>
      <name val="Calibri"/>
      <family val="2"/>
      <scheme val="minor"/>
    </font>
    <font>
      <sz val="6"/>
      <name val="Calibri"/>
      <family val="2"/>
      <scheme val="minor"/>
    </font>
    <font>
      <sz val="10"/>
      <color indexed="9"/>
      <name val="Calibri"/>
      <family val="2"/>
      <scheme val="minor"/>
    </font>
    <font>
      <b/>
      <sz val="10"/>
      <color theme="1"/>
      <name val="Calibri"/>
      <family val="2"/>
      <scheme val="minor"/>
    </font>
    <font>
      <sz val="10"/>
      <color theme="1"/>
      <name val="Calibri"/>
      <family val="2"/>
      <scheme val="minor"/>
    </font>
    <font>
      <sz val="10"/>
      <color indexed="8"/>
      <name val="Calibri"/>
      <family val="2"/>
      <scheme val="minor"/>
    </font>
    <font>
      <sz val="14"/>
      <name val="Calibri"/>
      <family val="2"/>
      <scheme val="minor"/>
    </font>
    <font>
      <sz val="12"/>
      <color indexed="10"/>
      <name val="Calibri"/>
      <family val="2"/>
      <scheme val="minor"/>
    </font>
    <font>
      <b/>
      <sz val="8"/>
      <color theme="1"/>
      <name val="Calibri"/>
      <family val="2"/>
      <scheme val="minor"/>
    </font>
    <font>
      <sz val="8"/>
      <color theme="1"/>
      <name val="Calibri"/>
      <family val="2"/>
      <scheme val="minor"/>
    </font>
    <font>
      <b/>
      <sz val="9"/>
      <color theme="1"/>
      <name val="Calibri"/>
      <family val="2"/>
      <scheme val="minor"/>
    </font>
    <font>
      <b/>
      <sz val="12"/>
      <color theme="1"/>
      <name val="Calibri"/>
      <family val="2"/>
      <scheme val="minor"/>
    </font>
    <font>
      <b/>
      <sz val="11"/>
      <name val="Calibri"/>
      <family val="2"/>
      <scheme val="minor"/>
    </font>
    <font>
      <sz val="11"/>
      <name val="Calibri"/>
      <family val="2"/>
      <scheme val="minor"/>
    </font>
    <font>
      <u/>
      <sz val="12"/>
      <name val="Calibri"/>
      <family val="2"/>
      <scheme val="minor"/>
    </font>
    <font>
      <sz val="12"/>
      <name val="Maiandra GD"/>
      <family val="2"/>
    </font>
    <font>
      <sz val="11"/>
      <name val="Maiandra GD"/>
      <family val="2"/>
    </font>
    <font>
      <b/>
      <u/>
      <sz val="16"/>
      <color indexed="17"/>
      <name val="Maiandra GD"/>
      <family val="2"/>
    </font>
    <font>
      <b/>
      <u/>
      <sz val="11"/>
      <name val="Maiandra GD"/>
      <family val="2"/>
    </font>
    <font>
      <b/>
      <sz val="15"/>
      <name val="Maiandra GD"/>
      <family val="2"/>
    </font>
    <font>
      <b/>
      <sz val="11"/>
      <name val="Maiandra GD"/>
      <family val="2"/>
    </font>
    <font>
      <b/>
      <u/>
      <sz val="12"/>
      <name val="Maiandra GD"/>
      <family val="2"/>
    </font>
    <font>
      <b/>
      <sz val="12"/>
      <name val="Maiandra GD"/>
      <family val="2"/>
    </font>
    <font>
      <sz val="12"/>
      <color rgb="FFFF0000"/>
      <name val="Maiandra GD"/>
      <family val="2"/>
    </font>
    <font>
      <b/>
      <sz val="10"/>
      <name val="Maiandra GD"/>
      <family val="2"/>
    </font>
    <font>
      <u/>
      <sz val="14"/>
      <name val="Maiandra GD"/>
      <family val="2"/>
    </font>
    <font>
      <sz val="11"/>
      <color indexed="8"/>
      <name val="Maiandra GD"/>
      <family val="2"/>
    </font>
    <font>
      <sz val="11"/>
      <color indexed="40"/>
      <name val="Maiandra GD"/>
      <family val="2"/>
    </font>
    <font>
      <b/>
      <sz val="11"/>
      <color indexed="8"/>
      <name val="Maiandra GD"/>
      <family val="2"/>
    </font>
    <font>
      <b/>
      <sz val="9"/>
      <name val="Maiandra GD"/>
      <family val="2"/>
    </font>
    <font>
      <sz val="9"/>
      <name val="Maiandra GD"/>
      <family val="2"/>
    </font>
    <font>
      <b/>
      <sz val="11"/>
      <color indexed="40"/>
      <name val="Maiandra GD"/>
      <family val="2"/>
    </font>
    <font>
      <sz val="11"/>
      <color indexed="10"/>
      <name val="Maiandra GD"/>
      <family val="2"/>
    </font>
    <font>
      <b/>
      <sz val="11"/>
      <color indexed="10"/>
      <name val="Maiandra GD"/>
      <family val="2"/>
    </font>
    <font>
      <sz val="11"/>
      <color theme="0" tint="-4.9989318521683403E-2"/>
      <name val="Maiandra GD"/>
      <family val="2"/>
    </font>
    <font>
      <sz val="7"/>
      <name val="Maiandra GD"/>
      <family val="2"/>
    </font>
    <font>
      <b/>
      <sz val="7"/>
      <name val="Maiandra GD"/>
      <family val="2"/>
    </font>
    <font>
      <b/>
      <sz val="6"/>
      <name val="Maiandra GD"/>
      <family val="2"/>
    </font>
    <font>
      <sz val="6"/>
      <name val="Maiandra GD"/>
      <family val="2"/>
    </font>
    <font>
      <b/>
      <sz val="10"/>
      <color indexed="10"/>
      <name val="Maiandra GD"/>
      <family val="2"/>
    </font>
    <font>
      <b/>
      <sz val="11"/>
      <color theme="1"/>
      <name val="Maiandra GD"/>
      <family val="2"/>
    </font>
    <font>
      <sz val="12"/>
      <color theme="1"/>
      <name val="Maiandra GD"/>
      <family val="2"/>
    </font>
    <font>
      <u/>
      <sz val="11"/>
      <name val="Maiandra GD"/>
      <family val="2"/>
    </font>
    <font>
      <sz val="10"/>
      <name val="Bookman Old Style"/>
      <family val="1"/>
    </font>
    <font>
      <b/>
      <sz val="10"/>
      <name val="Bookman Old Style"/>
      <family val="1"/>
    </font>
    <font>
      <sz val="28"/>
      <name val="Bookman Old Style"/>
      <family val="1"/>
    </font>
    <font>
      <sz val="11"/>
      <name val="Bookman Old Style"/>
      <family val="1"/>
    </font>
    <font>
      <sz val="20"/>
      <name val="Bookman Old Style"/>
      <family val="1"/>
    </font>
    <font>
      <b/>
      <u/>
      <sz val="24"/>
      <name val="Bookman Old Style"/>
      <family val="1"/>
    </font>
    <font>
      <sz val="14"/>
      <name val="Bookman Old Style"/>
      <family val="1"/>
    </font>
    <font>
      <sz val="12"/>
      <name val="Bookman Old Style"/>
      <family val="1"/>
    </font>
    <font>
      <b/>
      <sz val="12"/>
      <name val="Bookman Old Style"/>
      <family val="1"/>
    </font>
    <font>
      <sz val="11"/>
      <color rgb="FFFF0000"/>
      <name val="Bookman Old Style"/>
      <family val="1"/>
    </font>
    <font>
      <b/>
      <sz val="14"/>
      <name val="Bookman Old Style"/>
      <family val="1"/>
    </font>
    <font>
      <b/>
      <i/>
      <u/>
      <sz val="12"/>
      <name val="Tahoma"/>
      <family val="2"/>
    </font>
    <font>
      <b/>
      <i/>
      <u/>
      <sz val="12"/>
      <name val="Arial"/>
      <family val="2"/>
    </font>
    <font>
      <b/>
      <sz val="10"/>
      <color rgb="FF7030A0"/>
      <name val="Tahoma"/>
      <family val="2"/>
    </font>
    <font>
      <b/>
      <u/>
      <sz val="11"/>
      <color theme="1"/>
      <name val="Maiandra GD"/>
      <family val="2"/>
    </font>
    <font>
      <b/>
      <sz val="10"/>
      <color theme="1"/>
      <name val="Maiandra GD"/>
      <family val="2"/>
    </font>
    <font>
      <sz val="10"/>
      <color theme="1"/>
      <name val="Maiandra GD"/>
      <family val="2"/>
    </font>
    <font>
      <b/>
      <sz val="13"/>
      <color theme="1"/>
      <name val="Maiandra GD"/>
      <family val="2"/>
    </font>
    <font>
      <vertAlign val="superscript"/>
      <sz val="10"/>
      <color theme="1"/>
      <name val="Maiandra GD"/>
      <family val="2"/>
    </font>
    <font>
      <b/>
      <vertAlign val="superscript"/>
      <sz val="10"/>
      <color theme="1"/>
      <name val="Maiandra GD"/>
      <family val="2"/>
    </font>
    <font>
      <b/>
      <sz val="8"/>
      <color theme="1"/>
      <name val="Maiandra GD"/>
      <family val="2"/>
    </font>
    <font>
      <sz val="7"/>
      <color theme="1"/>
      <name val="Maiandra GD"/>
      <family val="2"/>
    </font>
    <font>
      <sz val="8"/>
      <color theme="1"/>
      <name val="Maiandra GD"/>
      <family val="2"/>
    </font>
    <font>
      <b/>
      <sz val="7"/>
      <color theme="1"/>
      <name val="Maiandra GD"/>
      <family val="2"/>
    </font>
    <font>
      <b/>
      <i/>
      <sz val="10"/>
      <color theme="1"/>
      <name val="Maiandra GD"/>
      <family val="2"/>
    </font>
    <font>
      <b/>
      <sz val="12"/>
      <color theme="1"/>
      <name val="Maiandra GD"/>
      <family val="2"/>
    </font>
  </fonts>
  <fills count="18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43"/>
      </patternFill>
    </fill>
    <fill>
      <patternFill patternType="solid">
        <fgColor indexed="26"/>
      </patternFill>
    </fill>
    <fill>
      <patternFill patternType="solid">
        <fgColor indexed="9"/>
        <bgColor indexed="9"/>
      </patternFill>
    </fill>
    <fill>
      <patternFill patternType="solid">
        <fgColor indexed="9"/>
        <bgColor indexed="64"/>
      </patternFill>
    </fill>
    <fill>
      <patternFill patternType="solid">
        <fgColor indexed="13"/>
        <bgColor indexed="64"/>
      </patternFill>
    </fill>
    <fill>
      <patternFill patternType="solid">
        <fgColor indexed="10"/>
        <bgColor indexed="64"/>
      </patternFill>
    </fill>
    <fill>
      <patternFill patternType="solid">
        <fgColor indexed="44"/>
        <bgColor indexed="64"/>
      </patternFill>
    </fill>
    <fill>
      <patternFill patternType="solid">
        <fgColor indexed="41"/>
        <bgColor indexed="64"/>
      </patternFill>
    </fill>
    <fill>
      <patternFill patternType="solid">
        <fgColor indexed="46"/>
        <bgColor indexed="64"/>
      </patternFill>
    </fill>
    <fill>
      <patternFill patternType="solid">
        <fgColor indexed="57"/>
        <bgColor indexed="64"/>
      </patternFill>
    </fill>
    <fill>
      <patternFill patternType="solid">
        <fgColor indexed="40"/>
        <bgColor indexed="64"/>
      </patternFill>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51"/>
        <bgColor indexed="64"/>
      </patternFill>
    </fill>
    <fill>
      <patternFill patternType="solid">
        <fgColor indexed="31"/>
        <bgColor indexed="64"/>
      </patternFill>
    </fill>
    <fill>
      <patternFill patternType="solid">
        <fgColor indexed="45"/>
        <bgColor indexed="64"/>
      </patternFill>
    </fill>
    <fill>
      <patternFill patternType="solid">
        <fgColor rgb="FFFFFFFF"/>
        <bgColor indexed="64"/>
      </patternFill>
    </fill>
    <fill>
      <patternFill patternType="solid">
        <fgColor rgb="FF00B0F0"/>
        <bgColor indexed="64"/>
      </patternFill>
    </fill>
    <fill>
      <patternFill patternType="solid">
        <fgColor rgb="FFFFFF00"/>
        <bgColor indexed="64"/>
      </patternFill>
    </fill>
    <fill>
      <patternFill patternType="solid">
        <fgColor rgb="FF92D050"/>
        <bgColor indexed="64"/>
      </patternFill>
    </fill>
    <fill>
      <patternFill patternType="solid">
        <fgColor rgb="FF00B050"/>
        <bgColor indexed="64"/>
      </patternFill>
    </fill>
    <fill>
      <patternFill patternType="solid">
        <fgColor rgb="FFB9CCE4"/>
        <bgColor indexed="64"/>
      </patternFill>
    </fill>
    <fill>
      <patternFill patternType="solid">
        <fgColor rgb="FFFABF8F"/>
        <bgColor indexed="64"/>
      </patternFill>
    </fill>
    <fill>
      <patternFill patternType="solid">
        <fgColor rgb="FF8EB4E2"/>
        <bgColor indexed="64"/>
      </patternFill>
    </fill>
    <fill>
      <patternFill patternType="solid">
        <fgColor rgb="FFD8D8D8"/>
        <bgColor indexed="64"/>
      </patternFill>
    </fill>
    <fill>
      <patternFill patternType="solid">
        <fgColor rgb="FF94CDDD"/>
        <bgColor indexed="64"/>
      </patternFill>
    </fill>
    <fill>
      <patternFill patternType="solid">
        <fgColor rgb="FF96B3D7"/>
        <bgColor indexed="64"/>
      </patternFill>
    </fill>
    <fill>
      <patternFill patternType="solid">
        <fgColor rgb="FFDCE5F1"/>
        <bgColor indexed="64"/>
      </patternFill>
    </fill>
    <fill>
      <patternFill patternType="solid">
        <fgColor rgb="FFFF0000"/>
        <bgColor indexed="64"/>
      </patternFill>
    </fill>
    <fill>
      <patternFill patternType="solid">
        <fgColor theme="0"/>
        <bgColor indexed="64"/>
      </patternFill>
    </fill>
    <fill>
      <patternFill patternType="solid">
        <fgColor indexed="31"/>
        <bgColor indexed="22"/>
      </patternFill>
    </fill>
    <fill>
      <patternFill patternType="solid">
        <fgColor indexed="31"/>
        <bgColor indexed="38"/>
      </patternFill>
    </fill>
    <fill>
      <patternFill patternType="solid">
        <fgColor indexed="58"/>
        <bgColor indexed="41"/>
      </patternFill>
    </fill>
    <fill>
      <patternFill patternType="solid">
        <fgColor theme="4" tint="0.79998168889431442"/>
        <bgColor indexed="65"/>
      </patternFill>
    </fill>
    <fill>
      <patternFill patternType="solid">
        <fgColor indexed="45"/>
        <bgColor indexed="29"/>
      </patternFill>
    </fill>
    <fill>
      <patternFill patternType="solid">
        <fgColor indexed="45"/>
        <bgColor indexed="19"/>
      </patternFill>
    </fill>
    <fill>
      <patternFill patternType="solid">
        <fgColor indexed="16"/>
        <bgColor indexed="37"/>
      </patternFill>
    </fill>
    <fill>
      <patternFill patternType="solid">
        <fgColor theme="5" tint="0.79998168889431442"/>
        <bgColor indexed="65"/>
      </patternFill>
    </fill>
    <fill>
      <patternFill patternType="solid">
        <fgColor indexed="42"/>
        <bgColor indexed="27"/>
      </patternFill>
    </fill>
    <fill>
      <patternFill patternType="solid">
        <fgColor indexed="42"/>
        <bgColor indexed="17"/>
      </patternFill>
    </fill>
    <fill>
      <patternFill patternType="solid">
        <fgColor indexed="39"/>
        <bgColor indexed="32"/>
      </patternFill>
    </fill>
    <fill>
      <patternFill patternType="solid">
        <fgColor theme="6" tint="0.79998168889431442"/>
        <bgColor indexed="65"/>
      </patternFill>
    </fill>
    <fill>
      <patternFill patternType="solid">
        <fgColor indexed="46"/>
        <bgColor indexed="24"/>
      </patternFill>
    </fill>
    <fill>
      <patternFill patternType="solid">
        <fgColor indexed="37"/>
        <bgColor indexed="58"/>
      </patternFill>
    </fill>
    <fill>
      <patternFill patternType="solid">
        <fgColor theme="7" tint="0.79998168889431442"/>
        <bgColor indexed="65"/>
      </patternFill>
    </fill>
    <fill>
      <patternFill patternType="solid">
        <fgColor indexed="22"/>
        <bgColor indexed="31"/>
      </patternFill>
    </fill>
    <fill>
      <patternFill patternType="solid">
        <fgColor indexed="47"/>
        <bgColor indexed="22"/>
      </patternFill>
    </fill>
    <fill>
      <patternFill patternType="solid">
        <fgColor indexed="27"/>
        <bgColor indexed="41"/>
      </patternFill>
    </fill>
    <fill>
      <patternFill patternType="solid">
        <fgColor indexed="41"/>
        <bgColor indexed="58"/>
      </patternFill>
    </fill>
    <fill>
      <patternFill patternType="solid">
        <fgColor theme="8" tint="0.79998168889431442"/>
        <bgColor indexed="65"/>
      </patternFill>
    </fill>
    <fill>
      <patternFill patternType="solid">
        <fgColor indexed="47"/>
        <bgColor indexed="14"/>
      </patternFill>
    </fill>
    <fill>
      <patternFill patternType="solid">
        <fgColor indexed="18"/>
        <bgColor indexed="39"/>
      </patternFill>
    </fill>
    <fill>
      <patternFill patternType="solid">
        <fgColor theme="9" tint="0.79998168889431442"/>
        <bgColor indexed="65"/>
      </patternFill>
    </fill>
    <fill>
      <patternFill patternType="solid">
        <fgColor indexed="44"/>
        <bgColor indexed="31"/>
      </patternFill>
    </fill>
    <fill>
      <patternFill patternType="solid">
        <fgColor indexed="44"/>
        <bgColor indexed="35"/>
      </patternFill>
    </fill>
    <fill>
      <patternFill patternType="solid">
        <fgColor indexed="35"/>
        <bgColor indexed="38"/>
      </patternFill>
    </fill>
    <fill>
      <patternFill patternType="solid">
        <fgColor theme="4" tint="0.59999389629810485"/>
        <bgColor indexed="65"/>
      </patternFill>
    </fill>
    <fill>
      <patternFill patternType="solid">
        <fgColor indexed="29"/>
        <bgColor indexed="45"/>
      </patternFill>
    </fill>
    <fill>
      <patternFill patternType="solid">
        <fgColor indexed="29"/>
        <bgColor indexed="25"/>
      </patternFill>
    </fill>
    <fill>
      <patternFill patternType="solid">
        <fgColor indexed="61"/>
        <bgColor indexed="14"/>
      </patternFill>
    </fill>
    <fill>
      <patternFill patternType="solid">
        <fgColor theme="5" tint="0.59999389629810485"/>
        <bgColor indexed="65"/>
      </patternFill>
    </fill>
    <fill>
      <patternFill patternType="solid">
        <fgColor indexed="11"/>
        <bgColor indexed="49"/>
      </patternFill>
    </fill>
    <fill>
      <patternFill patternType="solid">
        <fgColor indexed="28"/>
        <bgColor indexed="17"/>
      </patternFill>
    </fill>
    <fill>
      <patternFill patternType="solid">
        <fgColor theme="6" tint="0.59999389629810485"/>
        <bgColor indexed="65"/>
      </patternFill>
    </fill>
    <fill>
      <patternFill patternType="darkGray">
        <fgColor indexed="38"/>
        <bgColor indexed="22"/>
      </patternFill>
    </fill>
    <fill>
      <patternFill patternType="solid">
        <fgColor theme="7" tint="0.59999389629810485"/>
        <bgColor indexed="65"/>
      </patternFill>
    </fill>
    <fill>
      <patternFill patternType="solid">
        <fgColor indexed="15"/>
        <bgColor indexed="35"/>
      </patternFill>
    </fill>
    <fill>
      <patternFill patternType="solid">
        <fgColor theme="8" tint="0.59999389629810485"/>
        <bgColor indexed="65"/>
      </patternFill>
    </fill>
    <fill>
      <patternFill patternType="solid">
        <fgColor indexed="51"/>
        <bgColor indexed="13"/>
      </patternFill>
    </fill>
    <fill>
      <patternFill patternType="solid">
        <fgColor indexed="52"/>
        <bgColor indexed="51"/>
      </patternFill>
    </fill>
    <fill>
      <patternFill patternType="solid">
        <fgColor indexed="36"/>
        <bgColor indexed="47"/>
      </patternFill>
    </fill>
    <fill>
      <patternFill patternType="solid">
        <fgColor theme="9" tint="0.59999389629810485"/>
        <bgColor indexed="65"/>
      </patternFill>
    </fill>
    <fill>
      <patternFill patternType="solid">
        <fgColor indexed="30"/>
        <bgColor indexed="38"/>
      </patternFill>
    </fill>
    <fill>
      <patternFill patternType="solid">
        <fgColor indexed="30"/>
        <bgColor indexed="56"/>
      </patternFill>
    </fill>
    <fill>
      <patternFill patternType="solid">
        <fgColor indexed="30"/>
        <bgColor indexed="21"/>
      </patternFill>
    </fill>
    <fill>
      <patternFill patternType="solid">
        <fgColor indexed="40"/>
        <bgColor indexed="24"/>
      </patternFill>
    </fill>
    <fill>
      <patternFill patternType="solid">
        <fgColor theme="4" tint="0.39997558519241921"/>
        <bgColor indexed="65"/>
      </patternFill>
    </fill>
    <fill>
      <patternFill patternType="solid">
        <fgColor indexed="19"/>
        <bgColor indexed="29"/>
      </patternFill>
    </fill>
    <fill>
      <patternFill patternType="solid">
        <fgColor theme="5" tint="0.39997558519241921"/>
        <bgColor indexed="65"/>
      </patternFill>
    </fill>
    <fill>
      <patternFill patternType="solid">
        <fgColor indexed="21"/>
        <bgColor indexed="28"/>
      </patternFill>
    </fill>
    <fill>
      <patternFill patternType="solid">
        <fgColor theme="6" tint="0.39997558519241921"/>
        <bgColor indexed="65"/>
      </patternFill>
    </fill>
    <fill>
      <patternFill patternType="solid">
        <fgColor indexed="20"/>
        <bgColor indexed="36"/>
      </patternFill>
    </fill>
    <fill>
      <patternFill patternType="solid">
        <fgColor indexed="20"/>
        <bgColor indexed="62"/>
      </patternFill>
    </fill>
    <fill>
      <patternFill patternType="solid">
        <fgColor indexed="24"/>
        <bgColor indexed="40"/>
      </patternFill>
    </fill>
    <fill>
      <patternFill patternType="solid">
        <fgColor theme="7" tint="0.39997558519241921"/>
        <bgColor indexed="65"/>
      </patternFill>
    </fill>
    <fill>
      <patternFill patternType="solid">
        <fgColor indexed="49"/>
        <bgColor indexed="40"/>
      </patternFill>
    </fill>
    <fill>
      <patternFill patternType="solid">
        <fgColor indexed="49"/>
        <bgColor indexed="57"/>
      </patternFill>
    </fill>
    <fill>
      <patternFill patternType="darkGray">
        <fgColor indexed="44"/>
        <bgColor indexed="40"/>
      </patternFill>
    </fill>
    <fill>
      <patternFill patternType="solid">
        <fgColor theme="8" tint="0.39997558519241921"/>
        <bgColor indexed="65"/>
      </patternFill>
    </fill>
    <fill>
      <patternFill patternType="solid">
        <fgColor rgb="FF94CDDD"/>
      </patternFill>
    </fill>
    <fill>
      <patternFill patternType="solid">
        <fgColor indexed="19"/>
        <bgColor indexed="23"/>
      </patternFill>
    </fill>
    <fill>
      <patternFill patternType="solid">
        <fgColor indexed="52"/>
        <bgColor indexed="25"/>
      </patternFill>
    </fill>
    <fill>
      <patternFill patternType="solid">
        <fgColor indexed="14"/>
        <bgColor indexed="47"/>
      </patternFill>
    </fill>
    <fill>
      <patternFill patternType="solid">
        <fgColor theme="9" tint="0.39997558519241921"/>
        <bgColor indexed="65"/>
      </patternFill>
    </fill>
    <fill>
      <patternFill patternType="solid">
        <fgColor indexed="31"/>
        <bgColor indexed="31"/>
      </patternFill>
    </fill>
    <fill>
      <patternFill patternType="solid">
        <fgColor indexed="44"/>
        <bgColor indexed="44"/>
      </patternFill>
    </fill>
    <fill>
      <patternFill patternType="solid">
        <fgColor indexed="62"/>
        <bgColor indexed="56"/>
      </patternFill>
    </fill>
    <fill>
      <patternFill patternType="solid">
        <fgColor indexed="54"/>
        <bgColor indexed="54"/>
      </patternFill>
    </fill>
    <fill>
      <patternFill patternType="solid">
        <fgColor theme="4"/>
      </patternFill>
    </fill>
    <fill>
      <patternFill patternType="solid">
        <fgColor indexed="48"/>
        <bgColor indexed="5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bgColor indexed="60"/>
      </patternFill>
    </fill>
    <fill>
      <patternFill patternType="solid">
        <fgColor indexed="25"/>
        <bgColor indexed="25"/>
      </patternFill>
    </fill>
    <fill>
      <patternFill patternType="solid">
        <fgColor theme="5"/>
      </patternFill>
    </fill>
    <fill>
      <patternFill patternType="solid">
        <fgColor indexed="60"/>
        <bgColor indexed="53"/>
      </patternFill>
    </fill>
    <fill>
      <patternFill patternType="solid">
        <fgColor indexed="42"/>
        <bgColor indexed="42"/>
      </patternFill>
    </fill>
    <fill>
      <patternFill patternType="solid">
        <fgColor indexed="57"/>
        <bgColor indexed="38"/>
      </patternFill>
    </fill>
    <fill>
      <patternFill patternType="solid">
        <fgColor indexed="21"/>
        <bgColor indexed="38"/>
      </patternFill>
    </fill>
    <fill>
      <patternFill patternType="solid">
        <fgColor indexed="57"/>
        <bgColor indexed="48"/>
      </patternFill>
    </fill>
    <fill>
      <patternFill patternType="solid">
        <fgColor theme="6"/>
      </patternFill>
    </fill>
    <fill>
      <patternFill patternType="solid">
        <fgColor indexed="50"/>
        <bgColor indexed="55"/>
      </patternFill>
    </fill>
    <fill>
      <patternFill patternType="solid">
        <fgColor theme="7"/>
      </patternFill>
    </fill>
    <fill>
      <patternFill patternType="solid">
        <fgColor indexed="54"/>
        <bgColor indexed="23"/>
      </patternFill>
    </fill>
    <fill>
      <patternFill patternType="solid">
        <fgColor indexed="27"/>
        <bgColor indexed="27"/>
      </patternFill>
    </fill>
    <fill>
      <patternFill patternType="solid">
        <fgColor indexed="49"/>
        <bgColor indexed="49"/>
      </patternFill>
    </fill>
    <fill>
      <patternFill patternType="solid">
        <fgColor theme="8"/>
      </patternFill>
    </fill>
    <fill>
      <patternFill patternType="mediumGray">
        <fgColor indexed="49"/>
        <bgColor indexed="48"/>
      </patternFill>
    </fill>
    <fill>
      <patternFill patternType="solid">
        <fgColor indexed="47"/>
        <bgColor indexed="47"/>
      </patternFill>
    </fill>
    <fill>
      <patternFill patternType="solid">
        <fgColor indexed="53"/>
        <bgColor indexed="52"/>
      </patternFill>
    </fill>
    <fill>
      <patternFill patternType="solid">
        <fgColor indexed="52"/>
        <bgColor indexed="52"/>
      </patternFill>
    </fill>
    <fill>
      <patternFill patternType="solid">
        <fgColor theme="9"/>
      </patternFill>
    </fill>
    <fill>
      <patternFill patternType="solid">
        <fgColor indexed="25"/>
        <bgColor indexed="52"/>
      </patternFill>
    </fill>
    <fill>
      <patternFill patternType="solid">
        <fgColor indexed="45"/>
        <bgColor indexed="45"/>
      </patternFill>
    </fill>
    <fill>
      <patternFill patternType="solid">
        <fgColor rgb="FFFFC7CE"/>
      </patternFill>
    </fill>
    <fill>
      <patternFill patternType="solid">
        <fgColor indexed="33"/>
        <bgColor indexed="36"/>
      </patternFill>
    </fill>
    <fill>
      <patternFill patternType="solid">
        <fgColor indexed="39"/>
        <bgColor indexed="64"/>
      </patternFill>
    </fill>
    <fill>
      <patternFill patternType="solid">
        <fgColor indexed="22"/>
        <bgColor indexed="38"/>
      </patternFill>
    </fill>
    <fill>
      <patternFill patternType="solid">
        <fgColor rgb="FFF2F2F2"/>
      </patternFill>
    </fill>
    <fill>
      <patternFill patternType="solid">
        <fgColor indexed="32"/>
        <bgColor indexed="39"/>
      </patternFill>
    </fill>
    <fill>
      <patternFill patternType="solid">
        <fgColor indexed="55"/>
        <bgColor indexed="23"/>
      </patternFill>
    </fill>
    <fill>
      <patternFill patternType="solid">
        <fgColor indexed="55"/>
        <bgColor indexed="50"/>
      </patternFill>
    </fill>
    <fill>
      <patternFill patternType="solid">
        <fgColor rgb="FFA5A5A5"/>
      </patternFill>
    </fill>
    <fill>
      <patternFill patternType="mediumGray">
        <fgColor indexed="50"/>
        <bgColor indexed="24"/>
      </patternFill>
    </fill>
    <fill>
      <patternFill patternType="mediumGray">
        <fgColor indexed="22"/>
      </patternFill>
    </fill>
    <fill>
      <patternFill patternType="lightGray">
        <fgColor indexed="13"/>
        <bgColor indexed="9"/>
      </patternFill>
    </fill>
    <fill>
      <patternFill patternType="lightUp">
        <fgColor indexed="9"/>
        <bgColor indexed="55"/>
      </patternFill>
    </fill>
    <fill>
      <patternFill patternType="lightUp">
        <fgColor indexed="9"/>
        <bgColor indexed="29"/>
      </patternFill>
    </fill>
    <fill>
      <patternFill patternType="solid">
        <fgColor indexed="34"/>
        <bgColor indexed="13"/>
      </patternFill>
    </fill>
    <fill>
      <patternFill patternType="lightUp">
        <fgColor indexed="9"/>
        <bgColor indexed="22"/>
      </patternFill>
    </fill>
    <fill>
      <patternFill patternType="solid">
        <fgColor indexed="57"/>
        <bgColor indexed="21"/>
      </patternFill>
    </fill>
    <fill>
      <patternFill patternType="solid">
        <fgColor indexed="43"/>
        <bgColor indexed="26"/>
      </patternFill>
    </fill>
    <fill>
      <patternFill patternType="solid">
        <fgColor indexed="26"/>
        <bgColor indexed="9"/>
      </patternFill>
    </fill>
    <fill>
      <patternFill patternType="solid">
        <fgColor rgb="FFC6EFCE"/>
      </patternFill>
    </fill>
    <fill>
      <patternFill patternType="solid">
        <fgColor indexed="17"/>
        <bgColor indexed="42"/>
      </patternFill>
    </fill>
    <fill>
      <patternFill patternType="solid">
        <fgColor rgb="FFFFCC99"/>
      </patternFill>
    </fill>
    <fill>
      <patternFill patternType="solid">
        <fgColor indexed="15"/>
      </patternFill>
    </fill>
    <fill>
      <patternFill patternType="solid">
        <fgColor indexed="13"/>
      </patternFill>
    </fill>
    <fill>
      <patternFill patternType="mediumGray">
        <fgColor indexed="9"/>
        <bgColor indexed="22"/>
      </patternFill>
    </fill>
    <fill>
      <patternFill patternType="solid">
        <fgColor indexed="12"/>
      </patternFill>
    </fill>
    <fill>
      <patternFill patternType="solid">
        <fgColor indexed="63"/>
        <bgColor indexed="64"/>
      </patternFill>
    </fill>
    <fill>
      <patternFill patternType="solid">
        <fgColor indexed="43"/>
        <bgColor indexed="34"/>
      </patternFill>
    </fill>
    <fill>
      <patternFill patternType="solid">
        <fgColor indexed="43"/>
        <bgColor indexed="43"/>
      </patternFill>
    </fill>
    <fill>
      <patternFill patternType="solid">
        <fgColor rgb="FFFFEB9C"/>
      </patternFill>
    </fill>
    <fill>
      <patternFill patternType="solid">
        <fgColor indexed="34"/>
        <bgColor indexed="43"/>
      </patternFill>
    </fill>
    <fill>
      <patternFill patternType="solid">
        <fgColor indexed="21"/>
        <bgColor indexed="64"/>
      </patternFill>
    </fill>
    <fill>
      <patternFill patternType="solid">
        <fgColor rgb="FFFFFFCC"/>
      </patternFill>
    </fill>
    <fill>
      <patternFill patternType="solid">
        <fgColor theme="0" tint="-4.9989318521683403E-2"/>
        <bgColor indexed="64"/>
      </patternFill>
    </fill>
    <fill>
      <patternFill patternType="solid">
        <fgColor theme="5"/>
        <bgColor indexed="64"/>
      </patternFill>
    </fill>
    <fill>
      <patternFill patternType="solid">
        <fgColor theme="8"/>
        <bgColor indexed="64"/>
      </patternFill>
    </fill>
    <fill>
      <patternFill patternType="solid">
        <fgColor rgb="FF7030A0"/>
        <bgColor indexed="64"/>
      </patternFill>
    </fill>
  </fills>
  <borders count="1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right style="thin">
        <color indexed="64"/>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style="thin">
        <color indexed="64"/>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ashed">
        <color indexed="64"/>
      </left>
      <right style="dashed">
        <color indexed="64"/>
      </right>
      <top style="dashed">
        <color indexed="64"/>
      </top>
      <bottom style="dashed">
        <color indexed="64"/>
      </bottom>
      <diagonal/>
    </border>
    <border>
      <left style="hair">
        <color indexed="64"/>
      </left>
      <right style="hair">
        <color indexed="64"/>
      </right>
      <top style="hair">
        <color indexed="64"/>
      </top>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style="hair">
        <color indexed="64"/>
      </left>
      <right/>
      <top style="hair">
        <color indexed="64"/>
      </top>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right/>
      <top/>
      <bottom style="hair">
        <color indexed="64"/>
      </bottom>
      <diagonal/>
    </border>
    <border>
      <left/>
      <right/>
      <top style="hair">
        <color indexed="8"/>
      </top>
      <bottom style="hair">
        <color indexed="8"/>
      </bottom>
      <diagonal/>
    </border>
    <border>
      <left/>
      <right/>
      <top/>
      <bottom style="medium">
        <color indexed="18"/>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double">
        <color auto="1"/>
      </left>
      <right/>
      <top/>
      <bottom style="hair">
        <color auto="1"/>
      </bottom>
      <diagonal/>
    </border>
    <border>
      <left/>
      <right/>
      <top/>
      <bottom style="thin">
        <color indexed="22"/>
      </bottom>
      <diagonal/>
    </border>
    <border>
      <left/>
      <right/>
      <top/>
      <bottom style="medium">
        <color indexed="8"/>
      </bottom>
      <diagonal/>
    </border>
    <border>
      <left style="thin">
        <color rgb="FF7F7F7F"/>
      </left>
      <right style="thin">
        <color rgb="FF7F7F7F"/>
      </right>
      <top style="thin">
        <color rgb="FF7F7F7F"/>
      </top>
      <bottom style="thin">
        <color rgb="FF7F7F7F"/>
      </bottom>
      <diagonal/>
    </border>
    <border>
      <left style="thin">
        <color indexed="54"/>
      </left>
      <right style="thin">
        <color indexed="54"/>
      </right>
      <top style="thin">
        <color indexed="54"/>
      </top>
      <bottom style="thin">
        <color indexed="54"/>
      </bottom>
      <diagonal/>
    </border>
    <border>
      <left/>
      <right/>
      <top/>
      <bottom style="thin">
        <color indexed="8"/>
      </bottom>
      <diagonal/>
    </border>
    <border>
      <left style="double">
        <color rgb="FF3F3F3F"/>
      </left>
      <right style="double">
        <color rgb="FF3F3F3F"/>
      </right>
      <top style="double">
        <color rgb="FF3F3F3F"/>
      </top>
      <bottom style="double">
        <color rgb="FF3F3F3F"/>
      </bottom>
      <diagonal/>
    </border>
    <border>
      <left style="double">
        <color indexed="59"/>
      </left>
      <right style="double">
        <color indexed="59"/>
      </right>
      <top style="double">
        <color indexed="59"/>
      </top>
      <bottom style="double">
        <color indexed="59"/>
      </bottom>
      <diagonal/>
    </border>
    <border>
      <left/>
      <right/>
      <top style="medium">
        <color indexed="64"/>
      </top>
      <bottom style="thin">
        <color indexed="64"/>
      </bottom>
      <diagonal/>
    </border>
    <border>
      <left style="thick">
        <color indexed="64"/>
      </left>
      <right/>
      <top/>
      <bottom/>
      <diagonal/>
    </border>
    <border>
      <left style="thick">
        <color indexed="64"/>
      </left>
      <right style="thick">
        <color indexed="64"/>
      </right>
      <top/>
      <bottom/>
      <diagonal/>
    </border>
    <border>
      <left style="thin">
        <color indexed="23"/>
      </left>
      <right style="thin">
        <color indexed="23"/>
      </right>
      <top/>
      <bottom/>
      <diagonal/>
    </border>
    <border>
      <left style="thin">
        <color indexed="8"/>
      </left>
      <right style="thin">
        <color indexed="8"/>
      </right>
      <top style="thin">
        <color indexed="8"/>
      </top>
      <bottom style="thin">
        <color indexed="8"/>
      </bottom>
      <diagonal/>
    </border>
    <border>
      <left style="medium">
        <color indexed="64"/>
      </left>
      <right style="medium">
        <color indexed="64"/>
      </right>
      <top style="medium">
        <color indexed="64"/>
      </top>
      <bottom style="medium">
        <color indexed="64"/>
      </bottom>
      <diagonal/>
    </border>
    <border>
      <left style="hair">
        <color indexed="64"/>
      </left>
      <right/>
      <top/>
      <bottom style="medium">
        <color indexed="64"/>
      </bottom>
      <diagonal/>
    </border>
    <border>
      <left/>
      <right/>
      <top style="double">
        <color indexed="63"/>
      </top>
      <bottom style="double">
        <color indexed="63"/>
      </bottom>
      <diagonal/>
    </border>
    <border>
      <left/>
      <right/>
      <top style="double">
        <color indexed="64"/>
      </top>
      <bottom style="double">
        <color indexed="64"/>
      </bottom>
      <diagonal/>
    </border>
    <border>
      <left/>
      <right/>
      <top/>
      <bottom style="dotted">
        <color indexed="64"/>
      </bottom>
      <diagonal/>
    </border>
    <border>
      <left/>
      <right/>
      <top style="medium">
        <color indexed="64"/>
      </top>
      <bottom style="hair">
        <color auto="1"/>
      </bottom>
      <diagonal/>
    </border>
    <border>
      <left style="hair">
        <color indexed="64"/>
      </left>
      <right style="medium">
        <color indexed="64"/>
      </right>
      <top style="hair">
        <color indexed="64"/>
      </top>
      <bottom style="hair">
        <color indexed="64"/>
      </bottom>
      <diagonal/>
    </border>
    <border>
      <left/>
      <right/>
      <top style="medium">
        <color indexed="64"/>
      </top>
      <bottom/>
      <diagonal/>
    </border>
    <border>
      <left/>
      <right/>
      <top/>
      <bottom style="thick">
        <color indexed="54"/>
      </bottom>
      <diagonal/>
    </border>
    <border>
      <left/>
      <right/>
      <top/>
      <bottom style="thick">
        <color indexed="49"/>
      </bottom>
      <diagonal/>
    </border>
    <border>
      <left/>
      <right/>
      <top/>
      <bottom style="thick">
        <color theme="4"/>
      </bottom>
      <diagonal/>
    </border>
    <border>
      <left/>
      <right/>
      <top/>
      <bottom style="thick">
        <color indexed="48"/>
      </bottom>
      <diagonal/>
    </border>
    <border>
      <left/>
      <right/>
      <top/>
      <bottom style="thick">
        <color theme="4" tint="0.499984740745262"/>
      </bottom>
      <diagonal/>
    </border>
    <border>
      <left/>
      <right/>
      <top/>
      <bottom style="thick">
        <color indexed="40"/>
      </bottom>
      <diagonal/>
    </border>
    <border>
      <left/>
      <right/>
      <top/>
      <bottom style="medium">
        <color indexed="44"/>
      </bottom>
      <diagonal/>
    </border>
    <border>
      <left/>
      <right/>
      <top/>
      <bottom style="medium">
        <color indexed="49"/>
      </bottom>
      <diagonal/>
    </border>
    <border>
      <left/>
      <right/>
      <top/>
      <bottom style="medium">
        <color theme="4" tint="0.39997558519241921"/>
      </bottom>
      <diagonal/>
    </border>
    <border>
      <left/>
      <right/>
      <top/>
      <bottom style="medium">
        <color indexed="40"/>
      </bottom>
      <diagonal/>
    </border>
    <border>
      <left style="dotted">
        <color indexed="64"/>
      </left>
      <right style="dotted">
        <color indexed="64"/>
      </right>
      <top style="dotted">
        <color indexed="64"/>
      </top>
      <bottom style="dotted">
        <color indexed="64"/>
      </bottom>
      <diagonal/>
    </border>
    <border>
      <left/>
      <right style="thin">
        <color indexed="63"/>
      </right>
      <top/>
      <bottom/>
      <diagonal/>
    </border>
    <border>
      <left/>
      <right/>
      <top/>
      <bottom style="double">
        <color rgb="FFFF8001"/>
      </bottom>
      <diagonal/>
    </border>
    <border>
      <left/>
      <right/>
      <top/>
      <bottom style="double">
        <color indexed="53"/>
      </bottom>
      <diagonal/>
    </border>
    <border>
      <left style="double">
        <color indexed="64"/>
      </left>
      <right/>
      <top style="double">
        <color indexed="64"/>
      </top>
      <bottom/>
      <diagonal/>
    </border>
    <border>
      <left/>
      <right/>
      <top/>
      <bottom style="hair">
        <color indexed="20"/>
      </bottom>
      <diagonal/>
    </border>
    <border>
      <left style="thin">
        <color rgb="FFB2B2B2"/>
      </left>
      <right style="thin">
        <color rgb="FFB2B2B2"/>
      </right>
      <top style="thin">
        <color rgb="FFB2B2B2"/>
      </top>
      <bottom style="thin">
        <color rgb="FFB2B2B2"/>
      </bottom>
      <diagonal/>
    </border>
    <border>
      <left style="thick">
        <color indexed="64"/>
      </left>
      <right/>
      <top style="thick">
        <color indexed="64"/>
      </top>
      <bottom/>
      <diagonal/>
    </border>
    <border>
      <left/>
      <right/>
      <top style="thin">
        <color indexed="54"/>
      </top>
      <bottom style="double">
        <color indexed="54"/>
      </bottom>
      <diagonal/>
    </border>
    <border>
      <left style="thin">
        <color indexed="8"/>
      </left>
      <right style="thin">
        <color indexed="8"/>
      </right>
      <top style="double">
        <color indexed="8"/>
      </top>
      <bottom style="thin">
        <color indexed="8"/>
      </bottom>
      <diagonal/>
    </border>
    <border>
      <left style="thin">
        <color indexed="64"/>
      </left>
      <right style="hair">
        <color indexed="64"/>
      </right>
      <top style="hair">
        <color indexed="64"/>
      </top>
      <bottom/>
      <diagonal/>
    </border>
    <border>
      <left style="thin">
        <color indexed="64"/>
      </left>
      <right/>
      <top style="hair">
        <color indexed="64"/>
      </top>
      <bottom style="hair">
        <color indexed="64"/>
      </bottom>
      <diagonal/>
    </border>
    <border>
      <left style="medium">
        <color indexed="64"/>
      </left>
      <right/>
      <top/>
      <bottom style="medium">
        <color indexed="64"/>
      </bottom>
      <diagonal/>
    </border>
    <border>
      <left/>
      <right style="medium">
        <color indexed="64"/>
      </right>
      <top/>
      <bottom style="medium">
        <color indexed="64"/>
      </bottom>
      <diagonal/>
    </border>
  </borders>
  <cellStyleXfs count="19414">
    <xf numFmtId="0" fontId="0" fillId="0" borderId="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5" borderId="0" applyNumberFormat="0" applyBorder="0" applyAlignment="0" applyProtection="0"/>
    <xf numFmtId="0" fontId="11" fillId="8" borderId="0" applyNumberFormat="0" applyBorder="0" applyAlignment="0" applyProtection="0"/>
    <xf numFmtId="0" fontId="11" fillId="11"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9" borderId="0" applyNumberFormat="0" applyBorder="0" applyAlignment="0" applyProtection="0"/>
    <xf numFmtId="0" fontId="15" fillId="3" borderId="0" applyNumberFormat="0" applyBorder="0" applyAlignment="0" applyProtection="0"/>
    <xf numFmtId="0" fontId="8" fillId="0" borderId="0" applyFill="0" applyBorder="0" applyAlignment="0"/>
    <xf numFmtId="0" fontId="16" fillId="20" borderId="1" applyNumberFormat="0" applyAlignment="0" applyProtection="0"/>
    <xf numFmtId="0" fontId="17" fillId="21" borderId="2"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7" fontId="62" fillId="0" borderId="0" applyFont="0" applyFill="0" applyBorder="0" applyAlignment="0" applyProtection="0"/>
    <xf numFmtId="0" fontId="18" fillId="0" borderId="0" applyNumberFormat="0" applyAlignment="0">
      <alignment horizontal="left"/>
    </xf>
    <xf numFmtId="0" fontId="19" fillId="0" borderId="0" applyNumberFormat="0" applyAlignment="0">
      <alignment horizontal="left"/>
    </xf>
    <xf numFmtId="0" fontId="20" fillId="0" borderId="0" applyNumberFormat="0" applyFill="0" applyBorder="0" applyAlignment="0" applyProtection="0"/>
    <xf numFmtId="2" fontId="4" fillId="0" borderId="0" applyFont="0" applyFill="0" applyBorder="0" applyAlignment="0" applyProtection="0"/>
    <xf numFmtId="0" fontId="21" fillId="4" borderId="0" applyNumberFormat="0" applyBorder="0" applyAlignment="0" applyProtection="0"/>
    <xf numFmtId="38" fontId="9" fillId="22" borderId="0" applyNumberFormat="0" applyBorder="0" applyAlignment="0" applyProtection="0"/>
    <xf numFmtId="0" fontId="13" fillId="0" borderId="3" applyNumberFormat="0" applyAlignment="0" applyProtection="0">
      <alignment horizontal="left" vertical="center"/>
    </xf>
    <xf numFmtId="0" fontId="13" fillId="0" borderId="4">
      <alignment horizontal="left" vertical="center"/>
    </xf>
    <xf numFmtId="0" fontId="22" fillId="0" borderId="5" applyNumberFormat="0" applyFill="0" applyAlignment="0" applyProtection="0"/>
    <xf numFmtId="0" fontId="23" fillId="0" borderId="6" applyNumberFormat="0" applyFill="0" applyAlignment="0" applyProtection="0"/>
    <xf numFmtId="0" fontId="24" fillId="0" borderId="7" applyNumberFormat="0" applyFill="0" applyAlignment="0" applyProtection="0"/>
    <xf numFmtId="0" fontId="24" fillId="0" borderId="0" applyNumberFormat="0" applyFill="0" applyBorder="0" applyAlignment="0" applyProtection="0"/>
    <xf numFmtId="0" fontId="25" fillId="7" borderId="1" applyNumberFormat="0" applyAlignment="0" applyProtection="0"/>
    <xf numFmtId="10" fontId="9" fillId="23" borderId="8" applyNumberFormat="0" applyBorder="0" applyAlignment="0" applyProtection="0"/>
    <xf numFmtId="0" fontId="26" fillId="0" borderId="9" applyNumberFormat="0" applyFill="0" applyAlignment="0" applyProtection="0"/>
    <xf numFmtId="0" fontId="5" fillId="0" borderId="0" applyProtection="0">
      <alignment horizontal="center" vertical="center"/>
    </xf>
    <xf numFmtId="169" fontId="27" fillId="0" borderId="10">
      <alignment horizontal="right"/>
    </xf>
    <xf numFmtId="0" fontId="28" fillId="24" borderId="0" applyNumberFormat="0" applyBorder="0" applyAlignment="0" applyProtection="0"/>
    <xf numFmtId="37" fontId="29" fillId="0" borderId="0"/>
    <xf numFmtId="0" fontId="4" fillId="0" borderId="0"/>
    <xf numFmtId="0" fontId="4" fillId="0" borderId="0"/>
    <xf numFmtId="0" fontId="62" fillId="0" borderId="0"/>
    <xf numFmtId="0" fontId="62" fillId="0" borderId="0"/>
    <xf numFmtId="0" fontId="62" fillId="0" borderId="0"/>
    <xf numFmtId="0" fontId="62" fillId="0" borderId="0"/>
    <xf numFmtId="0" fontId="4" fillId="0" borderId="0"/>
    <xf numFmtId="0" fontId="113" fillId="0" borderId="0"/>
    <xf numFmtId="0" fontId="113" fillId="0" borderId="0"/>
    <xf numFmtId="0" fontId="4" fillId="0" borderId="0"/>
    <xf numFmtId="0" fontId="84" fillId="0" borderId="0"/>
    <xf numFmtId="0" fontId="12" fillId="0" borderId="0"/>
    <xf numFmtId="0" fontId="4" fillId="0" borderId="0"/>
    <xf numFmtId="0" fontId="37" fillId="0" borderId="0"/>
    <xf numFmtId="0" fontId="48" fillId="0" borderId="0"/>
    <xf numFmtId="0" fontId="4" fillId="0" borderId="0"/>
    <xf numFmtId="0" fontId="4" fillId="0" borderId="0"/>
    <xf numFmtId="0" fontId="4" fillId="0" borderId="0"/>
    <xf numFmtId="0" fontId="12" fillId="0" borderId="0"/>
    <xf numFmtId="0" fontId="62" fillId="0" borderId="0"/>
    <xf numFmtId="0" fontId="12" fillId="25" borderId="11" applyNumberFormat="0" applyFont="0" applyAlignment="0" applyProtection="0"/>
    <xf numFmtId="0" fontId="30" fillId="20" borderId="12" applyNumberFormat="0" applyAlignment="0" applyProtection="0"/>
    <xf numFmtId="9" fontId="4" fillId="0" borderId="0" applyFont="0" applyFill="0" applyBorder="0" applyAlignment="0" applyProtection="0"/>
    <xf numFmtId="10" fontId="4" fillId="0" borderId="0" applyFont="0" applyFill="0" applyBorder="0" applyAlignment="0" applyProtection="0"/>
    <xf numFmtId="9" fontId="62" fillId="0" borderId="0" applyFont="0" applyFill="0" applyBorder="0" applyAlignment="0" applyProtection="0"/>
    <xf numFmtId="175" fontId="31" fillId="0" borderId="0" applyNumberFormat="0" applyFill="0" applyBorder="0" applyAlignment="0" applyProtection="0">
      <alignment horizontal="left"/>
    </xf>
    <xf numFmtId="0" fontId="32" fillId="0" borderId="8">
      <alignment horizontal="center"/>
    </xf>
    <xf numFmtId="0" fontId="63" fillId="0" borderId="0"/>
    <xf numFmtId="0" fontId="32" fillId="0" borderId="0">
      <alignment horizontal="center" vertical="center"/>
    </xf>
    <xf numFmtId="0" fontId="33" fillId="26" borderId="0" applyNumberFormat="0" applyFill="0">
      <alignment horizontal="left" vertical="center"/>
    </xf>
    <xf numFmtId="40" fontId="34" fillId="0" borderId="0" applyBorder="0">
      <alignment horizontal="right"/>
    </xf>
    <xf numFmtId="168" fontId="4" fillId="0" borderId="0" applyFont="0" applyFill="0" applyBorder="0" applyAlignment="0" applyProtection="0"/>
    <xf numFmtId="0" fontId="4" fillId="0" borderId="0"/>
    <xf numFmtId="0" fontId="35" fillId="0" borderId="0" applyNumberFormat="0" applyFill="0" applyBorder="0" applyAlignment="0" applyProtection="0"/>
    <xf numFmtId="0" fontId="10" fillId="0" borderId="13" applyNumberFormat="0" applyFill="0" applyAlignment="0" applyProtection="0"/>
    <xf numFmtId="0" fontId="36" fillId="0" borderId="0" applyNumberFormat="0" applyFill="0" applyBorder="0" applyAlignment="0" applyProtection="0"/>
    <xf numFmtId="0" fontId="3" fillId="0" borderId="0"/>
    <xf numFmtId="0" fontId="2" fillId="0" borderId="0"/>
    <xf numFmtId="0" fontId="1" fillId="0" borderId="0"/>
    <xf numFmtId="0" fontId="4" fillId="0" borderId="0"/>
    <xf numFmtId="0" fontId="48" fillId="0" borderId="0"/>
    <xf numFmtId="0" fontId="1" fillId="0" borderId="0"/>
    <xf numFmtId="0" fontId="4" fillId="0" borderId="0"/>
    <xf numFmtId="0" fontId="12" fillId="0" borderId="0">
      <alignment horizontal="center"/>
    </xf>
    <xf numFmtId="0" fontId="63" fillId="0" borderId="0"/>
    <xf numFmtId="0" fontId="8" fillId="0" borderId="0"/>
    <xf numFmtId="183" fontId="4" fillId="0" borderId="0"/>
    <xf numFmtId="10" fontId="147" fillId="0" borderId="0"/>
    <xf numFmtId="0" fontId="148" fillId="0" borderId="0" applyNumberFormat="0" applyFont="0" applyFill="0" applyBorder="0" applyAlignment="0" applyProtection="0"/>
    <xf numFmtId="0" fontId="149" fillId="0" borderId="0"/>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0" fontId="150" fillId="0" borderId="10">
      <alignment horizontal="center"/>
    </xf>
    <xf numFmtId="184" fontId="12" fillId="0" borderId="0" applyFont="0" applyFill="0" applyBorder="0" applyAlignment="0"/>
    <xf numFmtId="185" fontId="151" fillId="0" borderId="0" applyFont="0" applyFill="0" applyBorder="0" applyAlignment="0" applyProtection="0"/>
    <xf numFmtId="0" fontId="4" fillId="0" borderId="0"/>
    <xf numFmtId="186" fontId="152" fillId="0" borderId="0" applyFont="0" applyFill="0" applyBorder="0" applyAlignment="0" applyProtection="0"/>
    <xf numFmtId="40" fontId="152" fillId="0" borderId="0" applyFont="0" applyFill="0" applyBorder="0" applyAlignment="0" applyProtection="0"/>
    <xf numFmtId="38" fontId="152" fillId="0" borderId="0" applyFont="0" applyFill="0" applyBorder="0" applyAlignment="0" applyProtection="0"/>
    <xf numFmtId="3" fontId="8" fillId="0" borderId="0"/>
    <xf numFmtId="0" fontId="15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4" fillId="0" borderId="0"/>
    <xf numFmtId="0" fontId="138" fillId="0" borderId="0"/>
    <xf numFmtId="0" fontId="149" fillId="0" borderId="0" applyFont="0" applyFill="0" applyBorder="0" applyAlignment="0" applyProtection="0"/>
    <xf numFmtId="0" fontId="138" fillId="0" borderId="0"/>
    <xf numFmtId="0" fontId="82" fillId="0" borderId="0" applyFont="0" applyAlignment="0">
      <alignment horizontal="center" vertical="center"/>
    </xf>
    <xf numFmtId="0" fontId="12" fillId="0" borderId="0"/>
    <xf numFmtId="0" fontId="82" fillId="0" borderId="0" applyFont="0" applyAlignment="0">
      <alignment horizontal="center" vertical="center"/>
    </xf>
    <xf numFmtId="0" fontId="82" fillId="0" borderId="0" applyFont="0" applyAlignment="0">
      <alignment horizontal="center" vertical="center"/>
    </xf>
    <xf numFmtId="0" fontId="82" fillId="0" borderId="0" applyFont="0" applyAlignment="0">
      <alignment horizontal="center" vertical="center"/>
    </xf>
    <xf numFmtId="0" fontId="82" fillId="0" borderId="0" applyFont="0" applyAlignment="0">
      <alignment horizontal="center" vertical="center"/>
    </xf>
    <xf numFmtId="0" fontId="82" fillId="0" borderId="0" applyFont="0" applyAlignment="0">
      <alignment horizontal="center" vertical="center"/>
    </xf>
    <xf numFmtId="0" fontId="82" fillId="0" borderId="0" applyFont="0" applyAlignment="0">
      <alignment horizontal="center" vertical="center"/>
    </xf>
    <xf numFmtId="0" fontId="12" fillId="0" borderId="0"/>
    <xf numFmtId="0" fontId="12" fillId="0" borderId="0"/>
    <xf numFmtId="187" fontId="154" fillId="0" borderId="0" applyFont="0" applyFill="0" applyBorder="0" applyAlignment="0" applyProtection="0"/>
    <xf numFmtId="188" fontId="154" fillId="0" borderId="0" applyFont="0" applyFill="0" applyBorder="0" applyAlignment="0" applyProtection="0"/>
    <xf numFmtId="0" fontId="4" fillId="0" borderId="0"/>
    <xf numFmtId="0" fontId="63" fillId="0" borderId="0"/>
    <xf numFmtId="0" fontId="4" fillId="0" borderId="0"/>
    <xf numFmtId="0" fontId="4" fillId="0" borderId="0" applyNumberFormat="0" applyFill="0" applyBorder="0" applyAlignment="0" applyProtection="0"/>
    <xf numFmtId="0" fontId="4" fillId="0" borderId="0"/>
    <xf numFmtId="0" fontId="4" fillId="0" borderId="0" applyNumberFormat="0" applyFill="0" applyBorder="0" applyAlignment="0" applyProtection="0"/>
    <xf numFmtId="0" fontId="155" fillId="0" borderId="0"/>
    <xf numFmtId="0" fontId="155" fillId="0" borderId="0"/>
    <xf numFmtId="0" fontId="155" fillId="0" borderId="0"/>
    <xf numFmtId="0" fontId="155" fillId="0" borderId="0"/>
    <xf numFmtId="0" fontId="155" fillId="0" borderId="0"/>
    <xf numFmtId="0" fontId="155" fillId="0" borderId="0"/>
    <xf numFmtId="0" fontId="155" fillId="0" borderId="0"/>
    <xf numFmtId="0" fontId="155" fillId="0" borderId="0"/>
    <xf numFmtId="0" fontId="156" fillId="0" borderId="0"/>
    <xf numFmtId="0" fontId="156" fillId="0" borderId="0"/>
    <xf numFmtId="0" fontId="155" fillId="0" borderId="0"/>
    <xf numFmtId="0" fontId="155" fillId="0" borderId="0"/>
    <xf numFmtId="0" fontId="156" fillId="0" borderId="0"/>
    <xf numFmtId="0" fontId="155" fillId="0" borderId="0"/>
    <xf numFmtId="0" fontId="156" fillId="0" borderId="0"/>
    <xf numFmtId="0" fontId="63" fillId="0" borderId="0"/>
    <xf numFmtId="0" fontId="63" fillId="0" borderId="0"/>
    <xf numFmtId="0" fontId="63" fillId="0" borderId="0"/>
    <xf numFmtId="0" fontId="155" fillId="0" borderId="0"/>
    <xf numFmtId="0" fontId="4" fillId="0" borderId="0"/>
    <xf numFmtId="0" fontId="155"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lignment vertical="top"/>
      <protection locked="0"/>
    </xf>
    <xf numFmtId="0" fontId="156" fillId="0" borderId="0">
      <protection locked="0"/>
    </xf>
    <xf numFmtId="0" fontId="4" fillId="0" borderId="0"/>
    <xf numFmtId="0" fontId="4" fillId="0" borderId="0"/>
    <xf numFmtId="0" fontId="157" fillId="0" borderId="0"/>
    <xf numFmtId="0" fontId="63" fillId="0" borderId="0"/>
    <xf numFmtId="0" fontId="63" fillId="0" borderId="0"/>
    <xf numFmtId="0" fontId="4" fillId="0" borderId="0"/>
    <xf numFmtId="0" fontId="4" fillId="0" borderId="0"/>
    <xf numFmtId="0" fontId="4" fillId="0" borderId="0"/>
    <xf numFmtId="0" fontId="158" fillId="0" borderId="60" applyNumberFormat="0">
      <alignment horizontal="right"/>
    </xf>
    <xf numFmtId="0" fontId="63" fillId="0" borderId="0"/>
    <xf numFmtId="0" fontId="63" fillId="0" borderId="0"/>
    <xf numFmtId="0" fontId="63" fillId="0" borderId="0"/>
    <xf numFmtId="0" fontId="63" fillId="0" borderId="0"/>
    <xf numFmtId="0" fontId="63" fillId="0" borderId="0">
      <alignment vertical="center"/>
    </xf>
    <xf numFmtId="0" fontId="4" fillId="0" borderId="0" applyNumberFormat="0" applyFill="0" applyBorder="0" applyAlignment="0" applyProtection="0"/>
    <xf numFmtId="0" fontId="63" fillId="0" borderId="0"/>
    <xf numFmtId="0" fontId="63" fillId="0" borderId="0"/>
    <xf numFmtId="0" fontId="4" fillId="0" borderId="0" applyNumberFormat="0" applyFill="0" applyBorder="0" applyAlignment="0" applyProtection="0"/>
    <xf numFmtId="0" fontId="4" fillId="0" borderId="0">
      <alignment vertical="top"/>
      <protection locked="0"/>
    </xf>
    <xf numFmtId="0" fontId="63" fillId="0" borderId="0"/>
    <xf numFmtId="0" fontId="159" fillId="0" borderId="0"/>
    <xf numFmtId="0" fontId="155" fillId="0" borderId="0"/>
    <xf numFmtId="0" fontId="63" fillId="0" borderId="0"/>
    <xf numFmtId="0" fontId="63" fillId="0" borderId="0"/>
    <xf numFmtId="0" fontId="63" fillId="0" borderId="0"/>
    <xf numFmtId="0" fontId="63" fillId="0" borderId="0"/>
    <xf numFmtId="0" fontId="158" fillId="0" borderId="60" applyNumberFormat="0">
      <alignment horizontal="right"/>
    </xf>
    <xf numFmtId="0" fontId="158" fillId="0" borderId="60" applyNumberFormat="0">
      <alignment horizontal="right"/>
    </xf>
    <xf numFmtId="0" fontId="158" fillId="0" borderId="60" applyNumberFormat="0">
      <alignment horizontal="right"/>
    </xf>
    <xf numFmtId="0" fontId="158" fillId="0" borderId="60" applyNumberFormat="0">
      <alignment horizontal="right"/>
    </xf>
    <xf numFmtId="0" fontId="158" fillId="0" borderId="60" applyNumberFormat="0">
      <alignment horizontal="right"/>
    </xf>
    <xf numFmtId="0" fontId="158" fillId="0" borderId="60" applyNumberFormat="0">
      <alignment horizontal="right"/>
    </xf>
    <xf numFmtId="0" fontId="158" fillId="0" borderId="60" applyNumberFormat="0">
      <alignment horizontal="right"/>
    </xf>
    <xf numFmtId="0" fontId="158" fillId="0" borderId="60" applyNumberFormat="0">
      <alignment horizontal="right"/>
    </xf>
    <xf numFmtId="0" fontId="83" fillId="0" borderId="0"/>
    <xf numFmtId="0" fontId="63" fillId="0" borderId="0"/>
    <xf numFmtId="0" fontId="4" fillId="0" borderId="0"/>
    <xf numFmtId="0" fontId="63" fillId="0" borderId="0"/>
    <xf numFmtId="0" fontId="63" fillId="0" borderId="0"/>
    <xf numFmtId="0" fontId="63" fillId="0" borderId="0"/>
    <xf numFmtId="0" fontId="63" fillId="0" borderId="0"/>
    <xf numFmtId="0" fontId="63" fillId="0" borderId="0"/>
    <xf numFmtId="0" fontId="63" fillId="0" borderId="0"/>
    <xf numFmtId="0" fontId="155" fillId="0" borderId="0"/>
    <xf numFmtId="0" fontId="155" fillId="0" borderId="0"/>
    <xf numFmtId="0" fontId="155" fillId="0" borderId="0"/>
    <xf numFmtId="0" fontId="155"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63" fillId="0" borderId="0"/>
    <xf numFmtId="0" fontId="155" fillId="0" borderId="0"/>
    <xf numFmtId="0" fontId="83" fillId="0" borderId="0"/>
    <xf numFmtId="0" fontId="83" fillId="0" borderId="0"/>
    <xf numFmtId="0" fontId="4" fillId="0" borderId="0"/>
    <xf numFmtId="0" fontId="63" fillId="0" borderId="0"/>
    <xf numFmtId="0" fontId="63" fillId="0" borderId="0"/>
    <xf numFmtId="0" fontId="63" fillId="0" borderId="0"/>
    <xf numFmtId="0" fontId="63" fillId="0" borderId="0"/>
    <xf numFmtId="0" fontId="4" fillId="0" borderId="0"/>
    <xf numFmtId="0" fontId="63" fillId="0" borderId="0"/>
    <xf numFmtId="0" fontId="156" fillId="0" borderId="0"/>
    <xf numFmtId="0" fontId="156" fillId="0" borderId="0"/>
    <xf numFmtId="0" fontId="156" fillId="0" borderId="0"/>
    <xf numFmtId="0" fontId="156" fillId="0" borderId="0"/>
    <xf numFmtId="0" fontId="156"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4" fillId="0" borderId="0"/>
    <xf numFmtId="0" fontId="63" fillId="0" borderId="0"/>
    <xf numFmtId="0" fontId="155" fillId="0" borderId="0"/>
    <xf numFmtId="0" fontId="155" fillId="0" borderId="0"/>
    <xf numFmtId="0" fontId="155" fillId="0" borderId="0"/>
    <xf numFmtId="0" fontId="159"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63" fillId="0" borderId="0"/>
    <xf numFmtId="0" fontId="159" fillId="0" borderId="0"/>
    <xf numFmtId="0" fontId="63" fillId="0" borderId="0"/>
    <xf numFmtId="0" fontId="157" fillId="0" borderId="0"/>
    <xf numFmtId="0" fontId="63" fillId="0" borderId="0"/>
    <xf numFmtId="0" fontId="8" fillId="0" borderId="0"/>
    <xf numFmtId="0" fontId="63" fillId="0" borderId="0"/>
    <xf numFmtId="0" fontId="63" fillId="0" borderId="0"/>
    <xf numFmtId="0" fontId="63" fillId="0" borderId="0"/>
    <xf numFmtId="0" fontId="157" fillId="0" borderId="0"/>
    <xf numFmtId="0" fontId="63" fillId="0" borderId="0"/>
    <xf numFmtId="0" fontId="159"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59" fillId="0" borderId="0"/>
    <xf numFmtId="0" fontId="63" fillId="0" borderId="0"/>
    <xf numFmtId="0" fontId="63"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63" fillId="0" borderId="0">
      <protection locked="0"/>
    </xf>
    <xf numFmtId="0" fontId="157" fillId="0" borderId="0"/>
    <xf numFmtId="0" fontId="63" fillId="0" borderId="0"/>
    <xf numFmtId="0" fontId="63" fillId="0" borderId="0"/>
    <xf numFmtId="167" fontId="4" fillId="0" borderId="0" applyFont="0" applyFill="0" applyBorder="0" applyAlignment="0" applyProtection="0"/>
    <xf numFmtId="0" fontId="63" fillId="0" borderId="0"/>
    <xf numFmtId="0" fontId="155" fillId="0" borderId="0"/>
    <xf numFmtId="0" fontId="63" fillId="0" borderId="0"/>
    <xf numFmtId="0" fontId="63" fillId="0" borderId="0"/>
    <xf numFmtId="0" fontId="4" fillId="0" borderId="0"/>
    <xf numFmtId="0" fontId="4" fillId="0" borderId="0"/>
    <xf numFmtId="0" fontId="4" fillId="0" borderId="0"/>
    <xf numFmtId="0" fontId="4" fillId="0" borderId="0"/>
    <xf numFmtId="0" fontId="4" fillId="0" borderId="0"/>
    <xf numFmtId="0" fontId="4" fillId="0" borderId="0"/>
    <xf numFmtId="0" fontId="63" fillId="0" borderId="0"/>
    <xf numFmtId="189" fontId="156" fillId="0" borderId="0"/>
    <xf numFmtId="0" fontId="63" fillId="0" borderId="0"/>
    <xf numFmtId="0" fontId="159" fillId="0" borderId="0"/>
    <xf numFmtId="0" fontId="4" fillId="0" borderId="0" applyNumberFormat="0" applyFill="0" applyBorder="0" applyAlignment="0" applyProtection="0"/>
    <xf numFmtId="0" fontId="63" fillId="0" borderId="0"/>
    <xf numFmtId="0" fontId="156" fillId="0" borderId="0"/>
    <xf numFmtId="0" fontId="63" fillId="0" borderId="0"/>
    <xf numFmtId="0" fontId="63" fillId="0" borderId="0"/>
    <xf numFmtId="0" fontId="4" fillId="0" borderId="0" applyNumberFormat="0" applyFill="0" applyBorder="0" applyAlignment="0" applyProtection="0"/>
    <xf numFmtId="0" fontId="4" fillId="0" borderId="0" applyNumberFormat="0" applyFill="0" applyBorder="0" applyAlignment="0" applyProtection="0"/>
    <xf numFmtId="0" fontId="159" fillId="0" borderId="0"/>
    <xf numFmtId="0" fontId="157" fillId="0" borderId="0"/>
    <xf numFmtId="190" fontId="154" fillId="0" borderId="0" applyFont="0" applyFill="0" applyBorder="0" applyAlignment="0" applyProtection="0"/>
    <xf numFmtId="167" fontId="4" fillId="0" borderId="0" applyFont="0" applyFill="0" applyBorder="0" applyAlignment="0" applyProtection="0"/>
    <xf numFmtId="0" fontId="63" fillId="0" borderId="0"/>
    <xf numFmtId="0" fontId="63" fillId="0" borderId="0"/>
    <xf numFmtId="0" fontId="155"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4" fillId="0" borderId="0"/>
    <xf numFmtId="0" fontId="63" fillId="0" borderId="0"/>
    <xf numFmtId="0" fontId="63" fillId="0" borderId="0"/>
    <xf numFmtId="0" fontId="63"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160" fillId="0" borderId="0"/>
    <xf numFmtId="0" fontId="63" fillId="0" borderId="0"/>
    <xf numFmtId="0" fontId="4" fillId="0" borderId="0" applyNumberFormat="0" applyFill="0" applyBorder="0" applyAlignment="0" applyProtection="0"/>
    <xf numFmtId="0" fontId="63"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lignment vertical="top"/>
      <protection locked="0"/>
    </xf>
    <xf numFmtId="0" fontId="4" fillId="0" borderId="0">
      <alignment vertical="top"/>
      <protection locked="0"/>
    </xf>
    <xf numFmtId="0" fontId="63" fillId="0" borderId="0">
      <protection locked="0"/>
    </xf>
    <xf numFmtId="0" fontId="63" fillId="0" borderId="0">
      <protection locked="0"/>
    </xf>
    <xf numFmtId="0" fontId="63" fillId="0" borderId="0">
      <protection locked="0"/>
    </xf>
    <xf numFmtId="0" fontId="63" fillId="0" borderId="0">
      <protection locked="0"/>
    </xf>
    <xf numFmtId="0" fontId="156" fillId="0" borderId="0">
      <protection locked="0"/>
    </xf>
    <xf numFmtId="191" fontId="154" fillId="0" borderId="0">
      <alignment vertical="top"/>
      <protection locked="0"/>
    </xf>
    <xf numFmtId="39" fontId="154" fillId="0" borderId="0" applyFont="0" applyFill="0" applyBorder="0" applyAlignment="0" applyProtection="0"/>
    <xf numFmtId="0" fontId="4" fillId="0" borderId="0">
      <alignment vertical="top"/>
      <protection locked="0"/>
    </xf>
    <xf numFmtId="0" fontId="4" fillId="0" borderId="0">
      <alignment vertical="top"/>
      <protection locked="0"/>
    </xf>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155" fillId="0" borderId="0"/>
    <xf numFmtId="0" fontId="63" fillId="0" borderId="0"/>
    <xf numFmtId="0" fontId="155" fillId="0" borderId="0"/>
    <xf numFmtId="0" fontId="63" fillId="0" borderId="0"/>
    <xf numFmtId="0" fontId="157" fillId="0" borderId="0"/>
    <xf numFmtId="0" fontId="157" fillId="0" borderId="0"/>
    <xf numFmtId="0" fontId="63"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63" fillId="0" borderId="0"/>
    <xf numFmtId="0" fontId="63" fillId="0" borderId="0"/>
    <xf numFmtId="0" fontId="159" fillId="0" borderId="0"/>
    <xf numFmtId="189" fontId="156" fillId="0" borderId="0"/>
    <xf numFmtId="189" fontId="156" fillId="0" borderId="0"/>
    <xf numFmtId="189" fontId="156" fillId="0" borderId="0"/>
    <xf numFmtId="0" fontId="159" fillId="0" borderId="0"/>
    <xf numFmtId="0" fontId="63" fillId="0" borderId="0"/>
    <xf numFmtId="0" fontId="155" fillId="0" borderId="0"/>
    <xf numFmtId="0" fontId="63" fillId="0" borderId="0"/>
    <xf numFmtId="0" fontId="157" fillId="0" borderId="0"/>
    <xf numFmtId="0" fontId="63" fillId="0" borderId="0"/>
    <xf numFmtId="0" fontId="157" fillId="0" borderId="0"/>
    <xf numFmtId="0" fontId="157" fillId="0" borderId="0"/>
    <xf numFmtId="0" fontId="63" fillId="0" borderId="0"/>
    <xf numFmtId="0" fontId="157" fillId="0" borderId="0"/>
    <xf numFmtId="0" fontId="157" fillId="0" borderId="0"/>
    <xf numFmtId="0" fontId="161" fillId="0" borderId="0"/>
    <xf numFmtId="0" fontId="161" fillId="0" borderId="0"/>
    <xf numFmtId="0" fontId="161" fillId="0" borderId="0"/>
    <xf numFmtId="0" fontId="161" fillId="0" borderId="0"/>
    <xf numFmtId="0" fontId="161" fillId="0" borderId="0"/>
    <xf numFmtId="0" fontId="63" fillId="0" borderId="0"/>
    <xf numFmtId="0" fontId="4" fillId="0" borderId="0"/>
    <xf numFmtId="0" fontId="157" fillId="0" borderId="0"/>
    <xf numFmtId="0" fontId="162" fillId="0" borderId="0"/>
    <xf numFmtId="0" fontId="162" fillId="0" borderId="0"/>
    <xf numFmtId="0" fontId="162" fillId="0" borderId="0"/>
    <xf numFmtId="0" fontId="162" fillId="0" borderId="0"/>
    <xf numFmtId="0" fontId="162" fillId="0" borderId="0"/>
    <xf numFmtId="0" fontId="157" fillId="0" borderId="0"/>
    <xf numFmtId="0" fontId="162" fillId="0" borderId="0"/>
    <xf numFmtId="0" fontId="162" fillId="0" borderId="0"/>
    <xf numFmtId="0" fontId="162" fillId="0" borderId="0"/>
    <xf numFmtId="0" fontId="162" fillId="0" borderId="0"/>
    <xf numFmtId="0" fontId="162" fillId="0" borderId="0"/>
    <xf numFmtId="0" fontId="157" fillId="0" borderId="0"/>
    <xf numFmtId="0" fontId="162" fillId="0" borderId="0"/>
    <xf numFmtId="0" fontId="162" fillId="0" borderId="0"/>
    <xf numFmtId="0" fontId="162" fillId="0" borderId="0"/>
    <xf numFmtId="0" fontId="162" fillId="0" borderId="0"/>
    <xf numFmtId="0" fontId="162" fillId="0" borderId="0"/>
    <xf numFmtId="0" fontId="63" fillId="0" borderId="0"/>
    <xf numFmtId="0" fontId="156" fillId="0" borderId="0"/>
    <xf numFmtId="0" fontId="63" fillId="0" borderId="0"/>
    <xf numFmtId="0" fontId="63" fillId="0" borderId="0"/>
    <xf numFmtId="0" fontId="63" fillId="0" borderId="0"/>
    <xf numFmtId="192" fontId="154" fillId="0" borderId="0" applyFont="0" applyFill="0" applyBorder="0" applyAlignment="0" applyProtection="0"/>
    <xf numFmtId="0" fontId="8" fillId="0" borderId="0">
      <alignment vertical="top"/>
    </xf>
    <xf numFmtId="0" fontId="8" fillId="0" borderId="0">
      <alignment vertical="top"/>
    </xf>
    <xf numFmtId="0" fontId="63" fillId="0" borderId="0"/>
    <xf numFmtId="0" fontId="63" fillId="0" borderId="0"/>
    <xf numFmtId="0" fontId="155" fillId="0" borderId="0"/>
    <xf numFmtId="0" fontId="63" fillId="0" borderId="0"/>
    <xf numFmtId="0" fontId="63" fillId="0" borderId="0"/>
    <xf numFmtId="0" fontId="63" fillId="0" borderId="0"/>
    <xf numFmtId="0" fontId="4" fillId="0" borderId="0"/>
    <xf numFmtId="0" fontId="4" fillId="0" borderId="0"/>
    <xf numFmtId="0" fontId="159" fillId="0" borderId="0"/>
    <xf numFmtId="0" fontId="63" fillId="0" borderId="0"/>
    <xf numFmtId="0" fontId="63" fillId="0" borderId="0"/>
    <xf numFmtId="0" fontId="63" fillId="0" borderId="0"/>
    <xf numFmtId="0" fontId="83" fillId="0" borderId="0"/>
    <xf numFmtId="0" fontId="63" fillId="0" borderId="0"/>
    <xf numFmtId="0" fontId="4" fillId="0" borderId="0" applyNumberFormat="0" applyFill="0" applyBorder="0" applyAlignment="0" applyProtection="0"/>
    <xf numFmtId="0" fontId="6" fillId="0" borderId="0"/>
    <xf numFmtId="0" fontId="6" fillId="0" borderId="0"/>
    <xf numFmtId="0" fontId="6" fillId="0" borderId="0"/>
    <xf numFmtId="0" fontId="6" fillId="0" borderId="0"/>
    <xf numFmtId="0" fontId="63" fillId="0" borderId="0"/>
    <xf numFmtId="0" fontId="63" fillId="0" borderId="0"/>
    <xf numFmtId="0" fontId="159" fillId="0" borderId="0"/>
    <xf numFmtId="0" fontId="155" fillId="0" borderId="0"/>
    <xf numFmtId="0" fontId="63" fillId="0" borderId="0"/>
    <xf numFmtId="0" fontId="63" fillId="0" borderId="0"/>
    <xf numFmtId="0" fontId="155" fillId="0" borderId="0"/>
    <xf numFmtId="0" fontId="163" fillId="0" borderId="0"/>
    <xf numFmtId="0" fontId="63" fillId="0" borderId="0"/>
    <xf numFmtId="0" fontId="6" fillId="0" borderId="0"/>
    <xf numFmtId="0" fontId="6" fillId="0" borderId="0"/>
    <xf numFmtId="0" fontId="164" fillId="0" borderId="0" applyNumberFormat="0" applyFill="0" applyBorder="0" applyAlignment="0" applyProtection="0"/>
    <xf numFmtId="0" fontId="154" fillId="24" borderId="0" applyNumberFormat="0" applyFont="0" applyAlignment="0" applyProtection="0"/>
    <xf numFmtId="0" fontId="63" fillId="0" borderId="0"/>
    <xf numFmtId="0" fontId="63" fillId="0" borderId="0"/>
    <xf numFmtId="0" fontId="63" fillId="0" borderId="0"/>
    <xf numFmtId="0" fontId="63" fillId="0" borderId="0"/>
    <xf numFmtId="0" fontId="63" fillId="0" borderId="0"/>
    <xf numFmtId="0" fontId="159" fillId="0" borderId="0"/>
    <xf numFmtId="0" fontId="8" fillId="0" borderId="0">
      <alignment vertical="top"/>
    </xf>
    <xf numFmtId="0" fontId="63" fillId="0" borderId="0"/>
    <xf numFmtId="0" fontId="63"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4" fillId="0" borderId="0" applyNumberFormat="0" applyFill="0" applyBorder="0" applyAlignment="0" applyProtection="0"/>
    <xf numFmtId="0" fontId="4" fillId="0" borderId="0"/>
    <xf numFmtId="0" fontId="4" fillId="0" borderId="0"/>
    <xf numFmtId="0" fontId="4" fillId="0" borderId="0" applyNumberFormat="0" applyFill="0" applyBorder="0" applyAlignment="0" applyProtection="0"/>
    <xf numFmtId="0" fontId="156" fillId="0" borderId="0"/>
    <xf numFmtId="0" fontId="63" fillId="0" borderId="0"/>
    <xf numFmtId="0" fontId="63" fillId="0" borderId="0"/>
    <xf numFmtId="0" fontId="4" fillId="0" borderId="0"/>
    <xf numFmtId="0" fontId="63" fillId="0" borderId="0"/>
    <xf numFmtId="0" fontId="4" fillId="0" borderId="0" applyNumberFormat="0" applyFill="0" applyBorder="0" applyAlignment="0" applyProtection="0"/>
    <xf numFmtId="0" fontId="63"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155"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55" fillId="0" borderId="0"/>
    <xf numFmtId="0" fontId="63" fillId="0" borderId="0"/>
    <xf numFmtId="0" fontId="63" fillId="0" borderId="0"/>
    <xf numFmtId="0" fontId="155" fillId="0" borderId="0"/>
    <xf numFmtId="0" fontId="159" fillId="0" borderId="0"/>
    <xf numFmtId="0" fontId="159" fillId="0" borderId="0"/>
    <xf numFmtId="0" fontId="159" fillId="0" borderId="0"/>
    <xf numFmtId="0" fontId="155" fillId="0" borderId="0"/>
    <xf numFmtId="0" fontId="155" fillId="0" borderId="0"/>
    <xf numFmtId="0" fontId="155" fillId="0" borderId="0"/>
    <xf numFmtId="0" fontId="155" fillId="0" borderId="0"/>
    <xf numFmtId="0" fontId="155" fillId="0" borderId="0"/>
    <xf numFmtId="0" fontId="155" fillId="0" borderId="0"/>
    <xf numFmtId="0" fontId="155" fillId="0" borderId="0"/>
    <xf numFmtId="0" fontId="155" fillId="0" borderId="0"/>
    <xf numFmtId="0" fontId="155" fillId="0" borderId="0"/>
    <xf numFmtId="0" fontId="63" fillId="0" borderId="0"/>
    <xf numFmtId="0" fontId="63" fillId="0" borderId="0"/>
    <xf numFmtId="0" fontId="63" fillId="0" borderId="0"/>
    <xf numFmtId="0" fontId="159" fillId="0" borderId="0"/>
    <xf numFmtId="0" fontId="159" fillId="0" borderId="0"/>
    <xf numFmtId="0" fontId="63" fillId="0" borderId="0"/>
    <xf numFmtId="0" fontId="63" fillId="0" borderId="0"/>
    <xf numFmtId="0" fontId="155" fillId="0" borderId="0"/>
    <xf numFmtId="0" fontId="63" fillId="0" borderId="0"/>
    <xf numFmtId="0" fontId="63" fillId="0" borderId="0"/>
    <xf numFmtId="0" fontId="8" fillId="0" borderId="0">
      <alignment vertical="top"/>
    </xf>
    <xf numFmtId="0" fontId="8" fillId="0" borderId="0">
      <alignment vertical="top"/>
    </xf>
    <xf numFmtId="0" fontId="8" fillId="0" borderId="0">
      <alignment vertical="top"/>
    </xf>
    <xf numFmtId="0" fontId="8" fillId="0" borderId="0">
      <alignment vertical="top"/>
    </xf>
    <xf numFmtId="0" fontId="159" fillId="0" borderId="0"/>
    <xf numFmtId="0" fontId="63" fillId="0" borderId="0"/>
    <xf numFmtId="0" fontId="6" fillId="0" borderId="0"/>
    <xf numFmtId="0" fontId="6"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57" fillId="0" borderId="0"/>
    <xf numFmtId="0" fontId="63" fillId="0" borderId="0"/>
    <xf numFmtId="0" fontId="63" fillId="0" borderId="0"/>
    <xf numFmtId="0" fontId="63" fillId="0" borderId="0"/>
    <xf numFmtId="0" fontId="157" fillId="0" borderId="0"/>
    <xf numFmtId="0" fontId="162" fillId="0" borderId="0"/>
    <xf numFmtId="0" fontId="162" fillId="0" borderId="0"/>
    <xf numFmtId="0" fontId="162" fillId="0" borderId="0"/>
    <xf numFmtId="0" fontId="157" fillId="0" borderId="0"/>
    <xf numFmtId="0" fontId="162" fillId="0" borderId="0"/>
    <xf numFmtId="0" fontId="162" fillId="0" borderId="0"/>
    <xf numFmtId="0" fontId="157" fillId="0" borderId="0"/>
    <xf numFmtId="0" fontId="157" fillId="0" borderId="0"/>
    <xf numFmtId="0" fontId="162" fillId="0" borderId="0"/>
    <xf numFmtId="0" fontId="162" fillId="0" borderId="0"/>
    <xf numFmtId="0" fontId="162" fillId="0" borderId="0"/>
    <xf numFmtId="0" fontId="157" fillId="0" borderId="0"/>
    <xf numFmtId="0" fontId="162" fillId="0" borderId="0"/>
    <xf numFmtId="0" fontId="162" fillId="0" borderId="0"/>
    <xf numFmtId="0" fontId="157" fillId="0" borderId="0"/>
    <xf numFmtId="0" fontId="157" fillId="0" borderId="0"/>
    <xf numFmtId="0" fontId="157" fillId="0" borderId="0"/>
    <xf numFmtId="0" fontId="157" fillId="0" borderId="0"/>
    <xf numFmtId="0" fontId="162" fillId="0" borderId="0"/>
    <xf numFmtId="0" fontId="162" fillId="0" borderId="0"/>
    <xf numFmtId="0" fontId="162" fillId="0" borderId="0"/>
    <xf numFmtId="0" fontId="157" fillId="0" borderId="0"/>
    <xf numFmtId="0" fontId="162" fillId="0" borderId="0"/>
    <xf numFmtId="0" fontId="162" fillId="0" borderId="0"/>
    <xf numFmtId="0" fontId="157" fillId="0" borderId="0"/>
    <xf numFmtId="0" fontId="157" fillId="0" borderId="0"/>
    <xf numFmtId="0" fontId="63" fillId="0" borderId="0"/>
    <xf numFmtId="0" fontId="63" fillId="0" borderId="0"/>
    <xf numFmtId="0" fontId="157" fillId="0" borderId="0"/>
    <xf numFmtId="0" fontId="157" fillId="0" borderId="0"/>
    <xf numFmtId="0" fontId="63" fillId="0" borderId="0"/>
    <xf numFmtId="0" fontId="165" fillId="0" borderId="0"/>
    <xf numFmtId="0" fontId="165" fillId="0" borderId="0"/>
    <xf numFmtId="0" fontId="165" fillId="0" borderId="0"/>
    <xf numFmtId="0" fontId="165" fillId="0" borderId="0"/>
    <xf numFmtId="0" fontId="165" fillId="0" borderId="0"/>
    <xf numFmtId="0" fontId="63" fillId="0" borderId="0"/>
    <xf numFmtId="0" fontId="157" fillId="0" borderId="0"/>
    <xf numFmtId="0" fontId="157" fillId="0" borderId="0"/>
    <xf numFmtId="0" fontId="157" fillId="0" borderId="0"/>
    <xf numFmtId="0" fontId="157" fillId="0" borderId="0"/>
    <xf numFmtId="0" fontId="63" fillId="0" borderId="0"/>
    <xf numFmtId="0" fontId="165" fillId="0" borderId="0"/>
    <xf numFmtId="0" fontId="165" fillId="0" borderId="0"/>
    <xf numFmtId="0" fontId="165" fillId="0" borderId="0"/>
    <xf numFmtId="0" fontId="165" fillId="0" borderId="0"/>
    <xf numFmtId="0" fontId="165" fillId="0" borderId="0"/>
    <xf numFmtId="0" fontId="63" fillId="0" borderId="0"/>
    <xf numFmtId="0" fontId="165" fillId="0" borderId="0"/>
    <xf numFmtId="0" fontId="165" fillId="0" borderId="0"/>
    <xf numFmtId="0" fontId="165" fillId="0" borderId="0"/>
    <xf numFmtId="0" fontId="165" fillId="0" borderId="0"/>
    <xf numFmtId="0" fontId="165" fillId="0" borderId="0"/>
    <xf numFmtId="0" fontId="157"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4" fillId="0" borderId="0"/>
    <xf numFmtId="0" fontId="4" fillId="0" borderId="0"/>
    <xf numFmtId="0" fontId="63" fillId="0" borderId="0"/>
    <xf numFmtId="0" fontId="8" fillId="0" borderId="0">
      <alignment vertical="top"/>
    </xf>
    <xf numFmtId="0" fontId="8" fillId="0" borderId="0">
      <alignment vertical="top"/>
    </xf>
    <xf numFmtId="0" fontId="8" fillId="0" borderId="0">
      <alignment vertical="top"/>
    </xf>
    <xf numFmtId="0" fontId="4" fillId="0" borderId="0" applyNumberFormat="0" applyFill="0" applyBorder="0" applyAlignment="0" applyProtection="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4" fillId="0" borderId="0" applyNumberFormat="0" applyFill="0" applyBorder="0" applyAlignment="0" applyProtection="0"/>
    <xf numFmtId="0" fontId="63" fillId="0" borderId="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4" fillId="0" borderId="0">
      <protection locked="0"/>
    </xf>
    <xf numFmtId="0" fontId="4" fillId="0" borderId="0">
      <protection locked="0"/>
    </xf>
    <xf numFmtId="0" fontId="4" fillId="0" borderId="0">
      <protection locked="0"/>
    </xf>
    <xf numFmtId="193" fontId="154" fillId="0" borderId="0">
      <alignment vertical="top"/>
      <protection locked="0"/>
    </xf>
    <xf numFmtId="194" fontId="154" fillId="0" borderId="0">
      <alignment vertical="top"/>
      <protection locked="0"/>
    </xf>
    <xf numFmtId="0" fontId="4" fillId="0" borderId="0">
      <protection locked="0"/>
    </xf>
    <xf numFmtId="0" fontId="4" fillId="0" borderId="0">
      <protection locked="0"/>
    </xf>
    <xf numFmtId="0" fontId="4" fillId="0" borderId="0">
      <protection locked="0"/>
    </xf>
    <xf numFmtId="0" fontId="4" fillId="0" borderId="0"/>
    <xf numFmtId="0" fontId="4" fillId="0" borderId="0"/>
    <xf numFmtId="0" fontId="4" fillId="0" borderId="0"/>
    <xf numFmtId="0" fontId="4" fillId="0" borderId="0"/>
    <xf numFmtId="0" fontId="63"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63" fillId="0" borderId="0"/>
    <xf numFmtId="0" fontId="63" fillId="0" borderId="0"/>
    <xf numFmtId="0" fontId="63" fillId="0" borderId="0"/>
    <xf numFmtId="167" fontId="4" fillId="0" borderId="0" applyFont="0" applyFill="0" applyBorder="0" applyAlignment="0" applyProtection="0"/>
    <xf numFmtId="167" fontId="4" fillId="0" borderId="0" applyFont="0" applyFill="0" applyBorder="0" applyAlignment="0" applyProtection="0"/>
    <xf numFmtId="0" fontId="63" fillId="0" borderId="0"/>
    <xf numFmtId="0" fontId="63" fillId="0" borderId="0"/>
    <xf numFmtId="0" fontId="63" fillId="0" borderId="0"/>
    <xf numFmtId="0" fontId="149" fillId="0" borderId="0"/>
    <xf numFmtId="0" fontId="63" fillId="0" borderId="0"/>
    <xf numFmtId="0" fontId="63" fillId="0" borderId="0"/>
    <xf numFmtId="0" fontId="63" fillId="0" borderId="0"/>
    <xf numFmtId="0" fontId="63" fillId="0" borderId="0"/>
    <xf numFmtId="0" fontId="63" fillId="0" borderId="0"/>
    <xf numFmtId="0" fontId="155" fillId="0" borderId="0"/>
    <xf numFmtId="0" fontId="63" fillId="0" borderId="0"/>
    <xf numFmtId="0" fontId="155" fillId="0" borderId="0"/>
    <xf numFmtId="0" fontId="63" fillId="0" borderId="0"/>
    <xf numFmtId="195" fontId="154" fillId="0" borderId="0" applyFont="0" applyFill="0" applyBorder="0" applyAlignment="0" applyProtection="0"/>
    <xf numFmtId="196" fontId="154" fillId="0" borderId="0" applyFont="0" applyFill="0" applyBorder="0" applyAlignment="0" applyProtection="0"/>
    <xf numFmtId="0" fontId="63" fillId="0" borderId="0"/>
    <xf numFmtId="0" fontId="63" fillId="0" borderId="0"/>
    <xf numFmtId="0" fontId="4" fillId="0" borderId="0"/>
    <xf numFmtId="0" fontId="4" fillId="0" borderId="0"/>
    <xf numFmtId="0" fontId="4" fillId="0" borderId="0"/>
    <xf numFmtId="0" fontId="63" fillId="0" borderId="0"/>
    <xf numFmtId="0" fontId="63" fillId="0" borderId="0"/>
    <xf numFmtId="0" fontId="159" fillId="0" borderId="0"/>
    <xf numFmtId="0" fontId="159" fillId="0" borderId="0"/>
    <xf numFmtId="0" fontId="4" fillId="0" borderId="0"/>
    <xf numFmtId="0" fontId="4" fillId="0" borderId="0" applyNumberFormat="0" applyFill="0" applyBorder="0" applyAlignment="0" applyProtection="0"/>
    <xf numFmtId="0" fontId="157" fillId="0" borderId="0"/>
    <xf numFmtId="0" fontId="4" fillId="0" borderId="0"/>
    <xf numFmtId="0" fontId="63" fillId="0" borderId="0"/>
    <xf numFmtId="0" fontId="4" fillId="0" borderId="0"/>
    <xf numFmtId="0" fontId="4" fillId="0" borderId="0"/>
    <xf numFmtId="0" fontId="157"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3" fillId="0" borderId="0"/>
    <xf numFmtId="0" fontId="83" fillId="0" borderId="0"/>
    <xf numFmtId="0" fontId="63" fillId="0" borderId="0">
      <alignment vertical="center"/>
    </xf>
    <xf numFmtId="0" fontId="4" fillId="0" borderId="0" applyNumberFormat="0" applyFill="0" applyBorder="0" applyAlignment="0" applyProtection="0"/>
    <xf numFmtId="189" fontId="156" fillId="0" borderId="0"/>
    <xf numFmtId="0" fontId="4" fillId="0" borderId="0"/>
    <xf numFmtId="0" fontId="4" fillId="0" borderId="0"/>
    <xf numFmtId="0" fontId="155" fillId="0" borderId="0"/>
    <xf numFmtId="0" fontId="155"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57" fillId="0" borderId="0"/>
    <xf numFmtId="0" fontId="63" fillId="0" borderId="0"/>
    <xf numFmtId="0" fontId="63" fillId="0" borderId="0"/>
    <xf numFmtId="0" fontId="63" fillId="0" borderId="0"/>
    <xf numFmtId="0" fontId="63" fillId="0" borderId="0"/>
    <xf numFmtId="0" fontId="155" fillId="0" borderId="0"/>
    <xf numFmtId="0" fontId="63" fillId="0" borderId="0"/>
    <xf numFmtId="0" fontId="63" fillId="0" borderId="0"/>
    <xf numFmtId="0" fontId="63" fillId="0" borderId="0"/>
    <xf numFmtId="0" fontId="63" fillId="0" borderId="0"/>
    <xf numFmtId="0" fontId="63" fillId="0" borderId="0"/>
    <xf numFmtId="0" fontId="4" fillId="0" borderId="0"/>
    <xf numFmtId="0" fontId="4" fillId="0" borderId="0"/>
    <xf numFmtId="0" fontId="4" fillId="0" borderId="0"/>
    <xf numFmtId="0" fontId="63" fillId="0" borderId="0"/>
    <xf numFmtId="0" fontId="63" fillId="0" borderId="0"/>
    <xf numFmtId="0" fontId="157" fillId="0" borderId="0"/>
    <xf numFmtId="0" fontId="4" fillId="0" borderId="0"/>
    <xf numFmtId="0" fontId="155" fillId="0" borderId="0"/>
    <xf numFmtId="0" fontId="63" fillId="0" borderId="0"/>
    <xf numFmtId="0" fontId="63" fillId="0" borderId="0"/>
    <xf numFmtId="0" fontId="165" fillId="0" borderId="0"/>
    <xf numFmtId="0" fontId="165" fillId="0" borderId="0"/>
    <xf numFmtId="0" fontId="165" fillId="0" borderId="0"/>
    <xf numFmtId="0" fontId="63" fillId="0" borderId="0"/>
    <xf numFmtId="0" fontId="165" fillId="0" borderId="0"/>
    <xf numFmtId="0" fontId="165"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63" fillId="0" borderId="0"/>
    <xf numFmtId="0" fontId="63" fillId="0" borderId="0"/>
    <xf numFmtId="0" fontId="4" fillId="0" borderId="0" applyNumberFormat="0" applyFill="0" applyBorder="0" applyAlignment="0" applyProtection="0"/>
    <xf numFmtId="0" fontId="63" fillId="0" borderId="0"/>
    <xf numFmtId="0" fontId="63" fillId="0" borderId="0"/>
    <xf numFmtId="0" fontId="4" fillId="0" borderId="0" applyNumberFormat="0" applyFill="0" applyBorder="0" applyAlignment="0" applyProtection="0"/>
    <xf numFmtId="0" fontId="63" fillId="0" borderId="0"/>
    <xf numFmtId="0" fontId="149" fillId="0" borderId="0"/>
    <xf numFmtId="0" fontId="63" fillId="0" borderId="0"/>
    <xf numFmtId="0" fontId="63" fillId="0" borderId="0"/>
    <xf numFmtId="0" fontId="63" fillId="0" borderId="0"/>
    <xf numFmtId="0" fontId="155" fillId="0" borderId="0"/>
    <xf numFmtId="0" fontId="63" fillId="0" borderId="0"/>
    <xf numFmtId="0" fontId="157" fillId="0" borderId="0"/>
    <xf numFmtId="189" fontId="63" fillId="0" borderId="0"/>
    <xf numFmtId="0" fontId="157" fillId="0" borderId="0"/>
    <xf numFmtId="0" fontId="157" fillId="0" borderId="0"/>
    <xf numFmtId="0" fontId="162" fillId="0" borderId="0"/>
    <xf numFmtId="0" fontId="162" fillId="0" borderId="0"/>
    <xf numFmtId="0" fontId="162" fillId="0" borderId="0"/>
    <xf numFmtId="0" fontId="162" fillId="0" borderId="0"/>
    <xf numFmtId="0" fontId="162" fillId="0" borderId="0"/>
    <xf numFmtId="0" fontId="157" fillId="0" borderId="0"/>
    <xf numFmtId="0" fontId="162" fillId="0" borderId="0"/>
    <xf numFmtId="0" fontId="162" fillId="0" borderId="0"/>
    <xf numFmtId="0" fontId="162" fillId="0" borderId="0"/>
    <xf numFmtId="0" fontId="162" fillId="0" borderId="0"/>
    <xf numFmtId="0" fontId="162" fillId="0" borderId="0"/>
    <xf numFmtId="0" fontId="157" fillId="0" borderId="0"/>
    <xf numFmtId="0" fontId="63" fillId="0" borderId="0"/>
    <xf numFmtId="0" fontId="63" fillId="0" borderId="0"/>
    <xf numFmtId="0" fontId="63" fillId="0" borderId="0"/>
    <xf numFmtId="0" fontId="157" fillId="0" borderId="0"/>
    <xf numFmtId="0" fontId="63" fillId="0" borderId="0"/>
    <xf numFmtId="0" fontId="63" fillId="0" borderId="0"/>
    <xf numFmtId="0" fontId="165" fillId="0" borderId="0"/>
    <xf numFmtId="0" fontId="165" fillId="0" borderId="0"/>
    <xf numFmtId="0" fontId="165" fillId="0" borderId="0"/>
    <xf numFmtId="0" fontId="63" fillId="0" borderId="0"/>
    <xf numFmtId="0" fontId="165" fillId="0" borderId="0"/>
    <xf numFmtId="0" fontId="165" fillId="0" borderId="0"/>
    <xf numFmtId="0" fontId="157" fillId="0" borderId="0"/>
    <xf numFmtId="0" fontId="159" fillId="0" borderId="0"/>
    <xf numFmtId="0" fontId="63" fillId="0" borderId="0"/>
    <xf numFmtId="0" fontId="155" fillId="0" borderId="0"/>
    <xf numFmtId="0" fontId="83" fillId="0" borderId="0"/>
    <xf numFmtId="0" fontId="63" fillId="0" borderId="0"/>
    <xf numFmtId="0" fontId="63" fillId="0" borderId="0"/>
    <xf numFmtId="0" fontId="63" fillId="0" borderId="0"/>
    <xf numFmtId="0" fontId="159" fillId="0" borderId="0"/>
    <xf numFmtId="0" fontId="159" fillId="0" borderId="0"/>
    <xf numFmtId="0" fontId="63" fillId="0" borderId="0"/>
    <xf numFmtId="0" fontId="63" fillId="0" borderId="0"/>
    <xf numFmtId="0" fontId="63" fillId="0" borderId="0"/>
    <xf numFmtId="0" fontId="165" fillId="0" borderId="0"/>
    <xf numFmtId="0" fontId="165" fillId="0" borderId="0"/>
    <xf numFmtId="0" fontId="165" fillId="0" borderId="0"/>
    <xf numFmtId="0" fontId="165" fillId="0" borderId="0"/>
    <xf numFmtId="0" fontId="165" fillId="0" borderId="0"/>
    <xf numFmtId="0" fontId="63" fillId="0" borderId="0"/>
    <xf numFmtId="0" fontId="165" fillId="0" borderId="0"/>
    <xf numFmtId="0" fontId="165" fillId="0" borderId="0"/>
    <xf numFmtId="0" fontId="165" fillId="0" borderId="0"/>
    <xf numFmtId="0" fontId="165" fillId="0" borderId="0"/>
    <xf numFmtId="0" fontId="165" fillId="0" borderId="0"/>
    <xf numFmtId="0" fontId="83" fillId="0" borderId="0"/>
    <xf numFmtId="0" fontId="63" fillId="0" borderId="0"/>
    <xf numFmtId="0" fontId="155" fillId="0" borderId="0"/>
    <xf numFmtId="0" fontId="63" fillId="0" borderId="0"/>
    <xf numFmtId="0" fontId="63" fillId="0" borderId="0"/>
    <xf numFmtId="0" fontId="4" fillId="0" borderId="0"/>
    <xf numFmtId="0" fontId="4" fillId="0" borderId="0"/>
    <xf numFmtId="0" fontId="4" fillId="0" borderId="0"/>
    <xf numFmtId="0" fontId="63" fillId="0" borderId="0"/>
    <xf numFmtId="0" fontId="63" fillId="0" borderId="0"/>
    <xf numFmtId="0" fontId="63" fillId="0" borderId="0"/>
    <xf numFmtId="0" fontId="166" fillId="0" borderId="0">
      <alignment vertical="top"/>
    </xf>
    <xf numFmtId="0" fontId="63" fillId="0" borderId="0"/>
    <xf numFmtId="0" fontId="4" fillId="0" borderId="0" applyNumberFormat="0" applyFill="0" applyBorder="0" applyAlignment="0" applyProtection="0"/>
    <xf numFmtId="0" fontId="158" fillId="0" borderId="60" applyNumberFormat="0">
      <alignment horizontal="right"/>
    </xf>
    <xf numFmtId="0" fontId="158" fillId="0" borderId="60" applyNumberFormat="0">
      <alignment horizontal="right"/>
    </xf>
    <xf numFmtId="0" fontId="158" fillId="0" borderId="60" applyNumberFormat="0">
      <alignment horizontal="right"/>
    </xf>
    <xf numFmtId="0" fontId="158" fillId="0" borderId="60" applyNumberFormat="0">
      <alignment horizontal="right"/>
    </xf>
    <xf numFmtId="0" fontId="158" fillId="0" borderId="60" applyNumberFormat="0">
      <alignment horizontal="right"/>
    </xf>
    <xf numFmtId="0" fontId="158" fillId="0" borderId="60" applyNumberFormat="0">
      <alignment horizontal="right"/>
    </xf>
    <xf numFmtId="0" fontId="158" fillId="0" borderId="60" applyNumberFormat="0">
      <alignment horizontal="right"/>
    </xf>
    <xf numFmtId="0" fontId="158" fillId="0" borderId="60" applyNumberFormat="0">
      <alignment horizontal="right"/>
    </xf>
    <xf numFmtId="0" fontId="158" fillId="0" borderId="60" applyNumberFormat="0">
      <alignment horizontal="right"/>
    </xf>
    <xf numFmtId="0" fontId="63" fillId="0" borderId="0"/>
    <xf numFmtId="0" fontId="6" fillId="0" borderId="0"/>
    <xf numFmtId="0" fontId="6" fillId="0" borderId="0"/>
    <xf numFmtId="0" fontId="6" fillId="0" borderId="0"/>
    <xf numFmtId="0" fontId="6" fillId="0" borderId="0"/>
    <xf numFmtId="0" fontId="63" fillId="0" borderId="0"/>
    <xf numFmtId="0" fontId="6" fillId="0" borderId="0"/>
    <xf numFmtId="0" fontId="63" fillId="0" borderId="0"/>
    <xf numFmtId="0" fontId="63" fillId="0" borderId="0"/>
    <xf numFmtId="0" fontId="155" fillId="0" borderId="0"/>
    <xf numFmtId="167" fontId="4" fillId="0" borderId="0" applyFont="0" applyFill="0" applyBorder="0" applyAlignment="0" applyProtection="0"/>
    <xf numFmtId="0" fontId="63" fillId="0" borderId="0"/>
    <xf numFmtId="0" fontId="155" fillId="0" borderId="0"/>
    <xf numFmtId="0" fontId="4" fillId="0" borderId="0"/>
    <xf numFmtId="0" fontId="4" fillId="0" borderId="0" applyNumberFormat="0" applyFill="0" applyBorder="0" applyAlignment="0" applyProtection="0"/>
    <xf numFmtId="0" fontId="63" fillId="0" borderId="0"/>
    <xf numFmtId="0" fontId="63" fillId="0" borderId="0"/>
    <xf numFmtId="0" fontId="63"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63" fillId="0" borderId="0"/>
    <xf numFmtId="0" fontId="63" fillId="0" borderId="0"/>
    <xf numFmtId="0" fontId="167" fillId="0" borderId="0" applyNumberFormat="0" applyFill="0" applyBorder="0" applyProtection="0">
      <alignment vertical="top"/>
    </xf>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157" fillId="0" borderId="0"/>
    <xf numFmtId="0" fontId="162" fillId="0" borderId="0"/>
    <xf numFmtId="0" fontId="162" fillId="0" borderId="0"/>
    <xf numFmtId="0" fontId="162" fillId="0" borderId="0"/>
    <xf numFmtId="0" fontId="162" fillId="0" borderId="0"/>
    <xf numFmtId="0" fontId="162"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165" fillId="0" borderId="0"/>
    <xf numFmtId="0" fontId="165" fillId="0" borderId="0"/>
    <xf numFmtId="0" fontId="165" fillId="0" borderId="0"/>
    <xf numFmtId="0" fontId="165" fillId="0" borderId="0"/>
    <xf numFmtId="0" fontId="165" fillId="0" borderId="0"/>
    <xf numFmtId="0" fontId="63" fillId="0" borderId="0"/>
    <xf numFmtId="0" fontId="165" fillId="0" borderId="0"/>
    <xf numFmtId="0" fontId="165" fillId="0" borderId="0"/>
    <xf numFmtId="0" fontId="165" fillId="0" borderId="0"/>
    <xf numFmtId="0" fontId="165" fillId="0" borderId="0"/>
    <xf numFmtId="0" fontId="165" fillId="0" borderId="0"/>
    <xf numFmtId="189" fontId="63"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3" fillId="0" borderId="0"/>
    <xf numFmtId="0" fontId="63" fillId="0" borderId="0"/>
    <xf numFmtId="0" fontId="63" fillId="0" borderId="0"/>
    <xf numFmtId="0" fontId="159" fillId="0" borderId="0"/>
    <xf numFmtId="0" fontId="159" fillId="0" borderId="0"/>
    <xf numFmtId="0" fontId="168" fillId="0" borderId="61" applyNumberFormat="0" applyFill="0" applyAlignment="0" applyProtection="0"/>
    <xf numFmtId="0" fontId="169" fillId="0" borderId="62" applyNumberFormat="0" applyFill="0" applyProtection="0">
      <alignment horizontal="center"/>
    </xf>
    <xf numFmtId="0" fontId="169" fillId="0" borderId="0" applyNumberFormat="0" applyFill="0" applyBorder="0" applyProtection="0">
      <alignment horizontal="left"/>
    </xf>
    <xf numFmtId="0" fontId="170" fillId="0" borderId="0" applyNumberFormat="0" applyFill="0" applyBorder="0" applyProtection="0">
      <alignment horizontal="centerContinuous"/>
    </xf>
    <xf numFmtId="0" fontId="155" fillId="0" borderId="0"/>
    <xf numFmtId="0" fontId="63" fillId="0" borderId="0"/>
    <xf numFmtId="0" fontId="63" fillId="0" borderId="0"/>
    <xf numFmtId="0" fontId="155" fillId="0" borderId="0"/>
    <xf numFmtId="0" fontId="158" fillId="0" borderId="60" applyNumberFormat="0">
      <alignment horizontal="right"/>
    </xf>
    <xf numFmtId="0" fontId="4" fillId="0" borderId="0"/>
    <xf numFmtId="0" fontId="159" fillId="0" borderId="0"/>
    <xf numFmtId="0" fontId="4" fillId="0" borderId="0"/>
    <xf numFmtId="0" fontId="4" fillId="0" borderId="0"/>
    <xf numFmtId="0" fontId="155"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59" fillId="0" borderId="0"/>
    <xf numFmtId="0" fontId="63" fillId="0" borderId="0"/>
    <xf numFmtId="0" fontId="4" fillId="0" borderId="0"/>
    <xf numFmtId="0" fontId="4" fillId="0" borderId="0"/>
    <xf numFmtId="0" fontId="4" fillId="0" borderId="0" applyNumberFormat="0" applyFill="0" applyBorder="0" applyAlignment="0" applyProtection="0"/>
    <xf numFmtId="0" fontId="4" fillId="0" borderId="0"/>
    <xf numFmtId="0" fontId="63" fillId="0" borderId="0"/>
    <xf numFmtId="0" fontId="63" fillId="0" borderId="0"/>
    <xf numFmtId="0" fontId="63" fillId="0" borderId="0"/>
    <xf numFmtId="0" fontId="63" fillId="0" borderId="0"/>
    <xf numFmtId="0" fontId="160" fillId="0" borderId="0"/>
    <xf numFmtId="0" fontId="83" fillId="0" borderId="0"/>
    <xf numFmtId="0" fontId="4" fillId="0" borderId="0" applyNumberFormat="0" applyFill="0" applyBorder="0" applyAlignment="0" applyProtection="0"/>
    <xf numFmtId="0" fontId="155"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63" fillId="0" borderId="0"/>
    <xf numFmtId="0" fontId="159" fillId="0" borderId="0"/>
    <xf numFmtId="0" fontId="159" fillId="0" borderId="0"/>
    <xf numFmtId="0" fontId="4" fillId="0" borderId="0"/>
    <xf numFmtId="0" fontId="63" fillId="0" borderId="0"/>
    <xf numFmtId="0" fontId="4" fillId="0" borderId="0"/>
    <xf numFmtId="0" fontId="63" fillId="0" borderId="0"/>
    <xf numFmtId="0" fontId="4" fillId="0" borderId="0"/>
    <xf numFmtId="0" fontId="63" fillId="0" borderId="0"/>
    <xf numFmtId="0" fontId="159" fillId="0" borderId="0"/>
    <xf numFmtId="0" fontId="63" fillId="0" borderId="0"/>
    <xf numFmtId="0" fontId="63" fillId="0" borderId="0"/>
    <xf numFmtId="0" fontId="63" fillId="0" borderId="0"/>
    <xf numFmtId="0" fontId="27" fillId="0" borderId="63"/>
    <xf numFmtId="197" fontId="149" fillId="0" borderId="0" applyFont="0" applyFill="0" applyBorder="0" applyAlignment="0" applyProtection="0"/>
    <xf numFmtId="0" fontId="149" fillId="0" borderId="0" applyFont="0" applyFill="0" applyBorder="0" applyAlignment="0" applyProtection="0"/>
    <xf numFmtId="0" fontId="4" fillId="0" borderId="0"/>
    <xf numFmtId="0" fontId="4" fillId="0" borderId="0"/>
    <xf numFmtId="0" fontId="4" fillId="0" borderId="0"/>
    <xf numFmtId="0" fontId="4" fillId="0" borderId="0"/>
    <xf numFmtId="168" fontId="4" fillId="0" borderId="0" applyFont="0" applyFill="0" applyBorder="0" applyAlignment="0" applyProtection="0"/>
    <xf numFmtId="198" fontId="4" fillId="0" borderId="0" applyFont="0" applyFill="0" applyBorder="0" applyAlignment="0" applyProtection="0"/>
    <xf numFmtId="198" fontId="4" fillId="0" borderId="0" applyFont="0" applyFill="0" applyBorder="0" applyAlignment="0" applyProtection="0"/>
    <xf numFmtId="198" fontId="4" fillId="0" borderId="0" applyFont="0" applyFill="0" applyBorder="0" applyAlignment="0" applyProtection="0"/>
    <xf numFmtId="198" fontId="4" fillId="0" borderId="0" applyFont="0" applyFill="0" applyBorder="0" applyAlignment="0" applyProtection="0"/>
    <xf numFmtId="199" fontId="149" fillId="0" borderId="0" applyFont="0" applyFill="0" applyBorder="0" applyAlignment="0" applyProtection="0"/>
    <xf numFmtId="0" fontId="4" fillId="0" borderId="0"/>
    <xf numFmtId="0" fontId="4" fillId="0" borderId="0"/>
    <xf numFmtId="200" fontId="171" fillId="0" borderId="0"/>
    <xf numFmtId="201" fontId="171" fillId="0" borderId="0"/>
    <xf numFmtId="202" fontId="172" fillId="0" borderId="0" applyFont="0" applyFill="0" applyBorder="0" applyAlignment="0" applyProtection="0"/>
    <xf numFmtId="0" fontId="149" fillId="0" borderId="0"/>
    <xf numFmtId="0" fontId="4" fillId="0" borderId="0"/>
    <xf numFmtId="0" fontId="4" fillId="0" borderId="0"/>
    <xf numFmtId="203" fontId="172" fillId="0" borderId="0" applyFont="0" applyFill="0" applyBorder="0" applyAlignment="0" applyProtection="0"/>
    <xf numFmtId="10" fontId="172" fillId="0" borderId="0" applyFont="0" applyFill="0" applyBorder="0" applyAlignment="0" applyProtection="0"/>
    <xf numFmtId="204" fontId="4" fillId="0" borderId="0"/>
    <xf numFmtId="205" fontId="173" fillId="0" borderId="0" applyFont="0" applyBorder="0" applyAlignment="0">
      <alignment horizontal="left" vertical="center"/>
    </xf>
    <xf numFmtId="0" fontId="4" fillId="0" borderId="0"/>
    <xf numFmtId="0" fontId="11" fillId="55" borderId="0" applyNumberFormat="0" applyBorder="0" applyAlignment="0" applyProtection="0"/>
    <xf numFmtId="0" fontId="11" fillId="55" borderId="0" applyNumberFormat="0" applyBorder="0" applyAlignment="0" applyProtection="0"/>
    <xf numFmtId="0" fontId="11" fillId="55" borderId="0" applyNumberFormat="0" applyBorder="0" applyAlignment="0" applyProtection="0"/>
    <xf numFmtId="0" fontId="11" fillId="55"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74" fillId="55" borderId="0" applyNumberFormat="0" applyBorder="0" applyAlignment="0" applyProtection="0"/>
    <xf numFmtId="0" fontId="174" fillId="55"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74" fillId="55" borderId="0" applyNumberFormat="0" applyBorder="0" applyAlignment="0" applyProtection="0"/>
    <xf numFmtId="0" fontId="174" fillId="55"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74" fillId="55" borderId="0" applyNumberFormat="0" applyBorder="0" applyAlignment="0" applyProtection="0"/>
    <xf numFmtId="0" fontId="174" fillId="55"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55" borderId="0" applyNumberFormat="0" applyBorder="0" applyAlignment="0" applyProtection="0"/>
    <xf numFmtId="0" fontId="11" fillId="55"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74" fillId="57" borderId="0" applyNumberFormat="0" applyBorder="0" applyAlignment="0" applyProtection="0"/>
    <xf numFmtId="0" fontId="174" fillId="57"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 fillId="58" borderId="0" applyNumberFormat="0" applyBorder="0" applyAlignment="0" applyProtection="0"/>
    <xf numFmtId="0" fontId="1" fillId="58" borderId="0" applyNumberFormat="0" applyBorder="0" applyAlignment="0" applyProtection="0"/>
    <xf numFmtId="0" fontId="1" fillId="58" borderId="0" applyNumberFormat="0" applyBorder="0" applyAlignment="0" applyProtection="0"/>
    <xf numFmtId="0" fontId="1" fillId="58"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 fillId="58" borderId="0" applyNumberFormat="0" applyBorder="0" applyAlignment="0" applyProtection="0"/>
    <xf numFmtId="0" fontId="1" fillId="58" borderId="0" applyNumberFormat="0" applyBorder="0" applyAlignment="0" applyProtection="0"/>
    <xf numFmtId="0" fontId="11" fillId="2" borderId="0" applyNumberFormat="0" applyBorder="0" applyAlignment="0" applyProtection="0"/>
    <xf numFmtId="0" fontId="1" fillId="58" borderId="0" applyNumberFormat="0" applyBorder="0" applyAlignment="0" applyProtection="0"/>
    <xf numFmtId="0" fontId="1" fillId="58" borderId="0" applyNumberFormat="0" applyBorder="0" applyAlignment="0" applyProtection="0"/>
    <xf numFmtId="0" fontId="1" fillId="58" borderId="0" applyNumberFormat="0" applyBorder="0" applyAlignment="0" applyProtection="0"/>
    <xf numFmtId="0" fontId="1" fillId="58" borderId="0" applyNumberFormat="0" applyBorder="0" applyAlignment="0" applyProtection="0"/>
    <xf numFmtId="0" fontId="1" fillId="58" borderId="0" applyNumberFormat="0" applyBorder="0" applyAlignment="0" applyProtection="0"/>
    <xf numFmtId="0" fontId="1" fillId="58" borderId="0" applyNumberFormat="0" applyBorder="0" applyAlignment="0" applyProtection="0"/>
    <xf numFmtId="0" fontId="1" fillId="58"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5" borderId="0" applyNumberFormat="0" applyBorder="0" applyAlignment="0" applyProtection="0"/>
    <xf numFmtId="0" fontId="11" fillId="2" borderId="0" applyNumberFormat="0" applyBorder="0" applyAlignment="0" applyProtection="0"/>
    <xf numFmtId="0" fontId="174" fillId="55" borderId="0" applyNumberFormat="0" applyBorder="0" applyAlignment="0" applyProtection="0"/>
    <xf numFmtId="0"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1" fillId="2" borderId="0" applyNumberFormat="0" applyBorder="0" applyAlignment="0" applyProtection="0"/>
    <xf numFmtId="0" fontId="174" fillId="55" borderId="0" applyNumberFormat="0" applyBorder="0" applyAlignment="0" applyProtection="0"/>
    <xf numFmtId="0" fontId="11" fillId="2" borderId="0" applyNumberFormat="0" applyBorder="0" applyAlignment="0" applyProtection="0"/>
    <xf numFmtId="0" fontId="174" fillId="55" borderId="0" applyNumberFormat="0" applyBorder="0" applyAlignment="0" applyProtection="0"/>
    <xf numFmtId="0"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74" fillId="55" borderId="0" applyNumberFormat="0" applyBorder="0" applyAlignment="0" applyProtection="0"/>
    <xf numFmtId="0" fontId="174" fillId="55"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74" fillId="56" borderId="0" applyNumberFormat="0" applyBorder="0" applyAlignment="0" applyProtection="0"/>
    <xf numFmtId="0" fontId="174" fillId="55" borderId="0" applyNumberFormat="0" applyBorder="0" applyAlignment="0" applyProtection="0"/>
    <xf numFmtId="0" fontId="174" fillId="55"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206" fontId="11" fillId="2" borderId="0" applyNumberFormat="0" applyBorder="0" applyAlignment="0" applyProtection="0"/>
    <xf numFmtId="0" fontId="11" fillId="2" borderId="0" applyNumberFormat="0" applyBorder="0" applyAlignment="0" applyProtection="0"/>
    <xf numFmtId="0" fontId="11" fillId="59" borderId="0" applyNumberFormat="0" applyBorder="0" applyAlignment="0" applyProtection="0"/>
    <xf numFmtId="0" fontId="11" fillId="59" borderId="0" applyNumberFormat="0" applyBorder="0" applyAlignment="0" applyProtection="0"/>
    <xf numFmtId="0" fontId="11" fillId="59" borderId="0" applyNumberFormat="0" applyBorder="0" applyAlignment="0" applyProtection="0"/>
    <xf numFmtId="0" fontId="11" fillId="59"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74" fillId="59" borderId="0" applyNumberFormat="0" applyBorder="0" applyAlignment="0" applyProtection="0"/>
    <xf numFmtId="0" fontId="174" fillId="59"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74" fillId="59" borderId="0" applyNumberFormat="0" applyBorder="0" applyAlignment="0" applyProtection="0"/>
    <xf numFmtId="0" fontId="174" fillId="59"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74" fillId="59" borderId="0" applyNumberFormat="0" applyBorder="0" applyAlignment="0" applyProtection="0"/>
    <xf numFmtId="0" fontId="174" fillId="59"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59" borderId="0" applyNumberFormat="0" applyBorder="0" applyAlignment="0" applyProtection="0"/>
    <xf numFmtId="0" fontId="11" fillId="59"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74" fillId="61" borderId="0" applyNumberFormat="0" applyBorder="0" applyAlignment="0" applyProtection="0"/>
    <xf numFmtId="0" fontId="174" fillId="61"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 fillId="62" borderId="0" applyNumberFormat="0" applyBorder="0" applyAlignment="0" applyProtection="0"/>
    <xf numFmtId="0" fontId="1" fillId="62" borderId="0" applyNumberFormat="0" applyBorder="0" applyAlignment="0" applyProtection="0"/>
    <xf numFmtId="0" fontId="1" fillId="62" borderId="0" applyNumberFormat="0" applyBorder="0" applyAlignment="0" applyProtection="0"/>
    <xf numFmtId="0" fontId="1" fillId="62"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 fillId="62" borderId="0" applyNumberFormat="0" applyBorder="0" applyAlignment="0" applyProtection="0"/>
    <xf numFmtId="0" fontId="1" fillId="62" borderId="0" applyNumberFormat="0" applyBorder="0" applyAlignment="0" applyProtection="0"/>
    <xf numFmtId="0" fontId="11" fillId="3" borderId="0" applyNumberFormat="0" applyBorder="0" applyAlignment="0" applyProtection="0"/>
    <xf numFmtId="0" fontId="1" fillId="62" borderId="0" applyNumberFormat="0" applyBorder="0" applyAlignment="0" applyProtection="0"/>
    <xf numFmtId="0" fontId="1" fillId="62" borderId="0" applyNumberFormat="0" applyBorder="0" applyAlignment="0" applyProtection="0"/>
    <xf numFmtId="0" fontId="1" fillId="62" borderId="0" applyNumberFormat="0" applyBorder="0" applyAlignment="0" applyProtection="0"/>
    <xf numFmtId="0" fontId="1" fillId="62" borderId="0" applyNumberFormat="0" applyBorder="0" applyAlignment="0" applyProtection="0"/>
    <xf numFmtId="0" fontId="1" fillId="62" borderId="0" applyNumberFormat="0" applyBorder="0" applyAlignment="0" applyProtection="0"/>
    <xf numFmtId="0" fontId="1" fillId="62" borderId="0" applyNumberFormat="0" applyBorder="0" applyAlignment="0" applyProtection="0"/>
    <xf numFmtId="0" fontId="1" fillId="62"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59" borderId="0" applyNumberFormat="0" applyBorder="0" applyAlignment="0" applyProtection="0"/>
    <xf numFmtId="0" fontId="11" fillId="3" borderId="0" applyNumberFormat="0" applyBorder="0" applyAlignment="0" applyProtection="0"/>
    <xf numFmtId="0" fontId="174" fillId="59" borderId="0" applyNumberFormat="0" applyBorder="0" applyAlignment="0" applyProtection="0"/>
    <xf numFmtId="0"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1" fillId="3" borderId="0" applyNumberFormat="0" applyBorder="0" applyAlignment="0" applyProtection="0"/>
    <xf numFmtId="0" fontId="174" fillId="59" borderId="0" applyNumberFormat="0" applyBorder="0" applyAlignment="0" applyProtection="0"/>
    <xf numFmtId="0" fontId="11" fillId="3" borderId="0" applyNumberFormat="0" applyBorder="0" applyAlignment="0" applyProtection="0"/>
    <xf numFmtId="0" fontId="174" fillId="59" borderId="0" applyNumberFormat="0" applyBorder="0" applyAlignment="0" applyProtection="0"/>
    <xf numFmtId="0"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74" fillId="59" borderId="0" applyNumberFormat="0" applyBorder="0" applyAlignment="0" applyProtection="0"/>
    <xf numFmtId="0" fontId="174" fillId="59"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1" fillId="3" borderId="0" applyNumberFormat="0" applyBorder="0" applyAlignment="0" applyProtection="0"/>
    <xf numFmtId="0" fontId="174" fillId="60" borderId="0" applyNumberFormat="0" applyBorder="0" applyAlignment="0" applyProtection="0"/>
    <xf numFmtId="0" fontId="174" fillId="59" borderId="0" applyNumberFormat="0" applyBorder="0" applyAlignment="0" applyProtection="0"/>
    <xf numFmtId="0" fontId="174" fillId="59"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206" fontId="11" fillId="3" borderId="0" applyNumberFormat="0" applyBorder="0" applyAlignment="0" applyProtection="0"/>
    <xf numFmtId="0" fontId="11" fillId="3" borderId="0" applyNumberFormat="0" applyBorder="0" applyAlignment="0" applyProtection="0"/>
    <xf numFmtId="0" fontId="11" fillId="63" borderId="0" applyNumberFormat="0" applyBorder="0" applyAlignment="0" applyProtection="0"/>
    <xf numFmtId="0" fontId="11" fillId="63" borderId="0" applyNumberFormat="0" applyBorder="0" applyAlignment="0" applyProtection="0"/>
    <xf numFmtId="0" fontId="11" fillId="63" borderId="0" applyNumberFormat="0" applyBorder="0" applyAlignment="0" applyProtection="0"/>
    <xf numFmtId="0" fontId="11" fillId="63" borderId="0" applyNumberFormat="0" applyBorder="0" applyAlignment="0" applyProtection="0"/>
    <xf numFmtId="0" fontId="11" fillId="63"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74" fillId="63" borderId="0" applyNumberFormat="0" applyBorder="0" applyAlignment="0" applyProtection="0"/>
    <xf numFmtId="0" fontId="174" fillId="63"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74" fillId="63" borderId="0" applyNumberFormat="0" applyBorder="0" applyAlignment="0" applyProtection="0"/>
    <xf numFmtId="0" fontId="174" fillId="63"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74" fillId="63" borderId="0" applyNumberFormat="0" applyBorder="0" applyAlignment="0" applyProtection="0"/>
    <xf numFmtId="0" fontId="174" fillId="63"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63" borderId="0" applyNumberFormat="0" applyBorder="0" applyAlignment="0" applyProtection="0"/>
    <xf numFmtId="0" fontId="11" fillId="63"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74" fillId="65" borderId="0" applyNumberFormat="0" applyBorder="0" applyAlignment="0" applyProtection="0"/>
    <xf numFmtId="0" fontId="174" fillId="65"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 fillId="66" borderId="0" applyNumberFormat="0" applyBorder="0" applyAlignment="0" applyProtection="0"/>
    <xf numFmtId="0" fontId="1" fillId="66" borderId="0" applyNumberFormat="0" applyBorder="0" applyAlignment="0" applyProtection="0"/>
    <xf numFmtId="0" fontId="1" fillId="66" borderId="0" applyNumberFormat="0" applyBorder="0" applyAlignment="0" applyProtection="0"/>
    <xf numFmtId="0" fontId="1" fillId="66"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 fillId="66" borderId="0" applyNumberFormat="0" applyBorder="0" applyAlignment="0" applyProtection="0"/>
    <xf numFmtId="0" fontId="1" fillId="66" borderId="0" applyNumberFormat="0" applyBorder="0" applyAlignment="0" applyProtection="0"/>
    <xf numFmtId="0" fontId="11" fillId="4" borderId="0" applyNumberFormat="0" applyBorder="0" applyAlignment="0" applyProtection="0"/>
    <xf numFmtId="0" fontId="1" fillId="66" borderId="0" applyNumberFormat="0" applyBorder="0" applyAlignment="0" applyProtection="0"/>
    <xf numFmtId="0" fontId="1" fillId="66" borderId="0" applyNumberFormat="0" applyBorder="0" applyAlignment="0" applyProtection="0"/>
    <xf numFmtId="0" fontId="1" fillId="66" borderId="0" applyNumberFormat="0" applyBorder="0" applyAlignment="0" applyProtection="0"/>
    <xf numFmtId="0" fontId="1" fillId="66" borderId="0" applyNumberFormat="0" applyBorder="0" applyAlignment="0" applyProtection="0"/>
    <xf numFmtId="0" fontId="1" fillId="66" borderId="0" applyNumberFormat="0" applyBorder="0" applyAlignment="0" applyProtection="0"/>
    <xf numFmtId="0" fontId="1" fillId="66" borderId="0" applyNumberFormat="0" applyBorder="0" applyAlignment="0" applyProtection="0"/>
    <xf numFmtId="0" fontId="1" fillId="66"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0" fontId="11" fillId="4" borderId="0">
      <alignment vertical="top"/>
      <protection locked="0"/>
    </xf>
    <xf numFmtId="0" fontId="11" fillId="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3" borderId="0" applyNumberFormat="0" applyBorder="0" applyAlignment="0" applyProtection="0"/>
    <xf numFmtId="0" fontId="11" fillId="4" borderId="0" applyNumberFormat="0" applyBorder="0" applyAlignment="0" applyProtection="0"/>
    <xf numFmtId="0" fontId="174" fillId="63" borderId="0" applyNumberFormat="0" applyBorder="0" applyAlignment="0" applyProtection="0"/>
    <xf numFmtId="0"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1" fillId="4" borderId="0" applyNumberFormat="0" applyBorder="0" applyAlignment="0" applyProtection="0"/>
    <xf numFmtId="0" fontId="174" fillId="63" borderId="0" applyNumberFormat="0" applyBorder="0" applyAlignment="0" applyProtection="0"/>
    <xf numFmtId="0" fontId="11" fillId="4" borderId="0" applyNumberFormat="0" applyBorder="0" applyAlignment="0" applyProtection="0"/>
    <xf numFmtId="0" fontId="174" fillId="63" borderId="0" applyNumberFormat="0" applyBorder="0" applyAlignment="0" applyProtection="0"/>
    <xf numFmtId="0"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74" fillId="63" borderId="0" applyNumberFormat="0" applyBorder="0" applyAlignment="0" applyProtection="0"/>
    <xf numFmtId="0" fontId="174" fillId="63"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74" fillId="64" borderId="0" applyNumberFormat="0" applyBorder="0" applyAlignment="0" applyProtection="0"/>
    <xf numFmtId="0" fontId="174" fillId="63" borderId="0" applyNumberFormat="0" applyBorder="0" applyAlignment="0" applyProtection="0"/>
    <xf numFmtId="0" fontId="174" fillId="63"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206" fontId="11" fillId="4" borderId="0" applyNumberFormat="0" applyBorder="0" applyAlignment="0" applyProtection="0"/>
    <xf numFmtId="0" fontId="11" fillId="4" borderId="0" applyNumberFormat="0" applyBorder="0" applyAlignment="0" applyProtection="0"/>
    <xf numFmtId="0" fontId="11" fillId="67" borderId="0" applyNumberFormat="0" applyBorder="0" applyAlignment="0" applyProtection="0"/>
    <xf numFmtId="0" fontId="11" fillId="67" borderId="0" applyNumberFormat="0" applyBorder="0" applyAlignment="0" applyProtection="0"/>
    <xf numFmtId="0" fontId="11" fillId="67" borderId="0" applyNumberFormat="0" applyBorder="0" applyAlignment="0" applyProtection="0"/>
    <xf numFmtId="0" fontId="11" fillId="67" borderId="0" applyNumberFormat="0" applyBorder="0" applyAlignment="0" applyProtection="0"/>
    <xf numFmtId="0" fontId="11"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67" borderId="0" applyNumberFormat="0" applyBorder="0" applyAlignment="0" applyProtection="0"/>
    <xf numFmtId="0" fontId="11"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8" borderId="0" applyNumberFormat="0" applyBorder="0" applyAlignment="0" applyProtection="0"/>
    <xf numFmtId="0" fontId="174" fillId="68"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 fillId="69" borderId="0" applyNumberFormat="0" applyBorder="0" applyAlignment="0" applyProtection="0"/>
    <xf numFmtId="0" fontId="1" fillId="69" borderId="0" applyNumberFormat="0" applyBorder="0" applyAlignment="0" applyProtection="0"/>
    <xf numFmtId="0" fontId="1" fillId="69" borderId="0" applyNumberFormat="0" applyBorder="0" applyAlignment="0" applyProtection="0"/>
    <xf numFmtId="0" fontId="1" fillId="69"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 fillId="69" borderId="0" applyNumberFormat="0" applyBorder="0" applyAlignment="0" applyProtection="0"/>
    <xf numFmtId="0" fontId="1" fillId="69" borderId="0" applyNumberFormat="0" applyBorder="0" applyAlignment="0" applyProtection="0"/>
    <xf numFmtId="0" fontId="11" fillId="5" borderId="0" applyNumberFormat="0" applyBorder="0" applyAlignment="0" applyProtection="0"/>
    <xf numFmtId="0" fontId="1" fillId="69" borderId="0" applyNumberFormat="0" applyBorder="0" applyAlignment="0" applyProtection="0"/>
    <xf numFmtId="0" fontId="1" fillId="69" borderId="0" applyNumberFormat="0" applyBorder="0" applyAlignment="0" applyProtection="0"/>
    <xf numFmtId="0" fontId="1" fillId="69" borderId="0" applyNumberFormat="0" applyBorder="0" applyAlignment="0" applyProtection="0"/>
    <xf numFmtId="0" fontId="1" fillId="69" borderId="0" applyNumberFormat="0" applyBorder="0" applyAlignment="0" applyProtection="0"/>
    <xf numFmtId="0" fontId="1" fillId="69" borderId="0" applyNumberFormat="0" applyBorder="0" applyAlignment="0" applyProtection="0"/>
    <xf numFmtId="0" fontId="1" fillId="69" borderId="0" applyNumberFormat="0" applyBorder="0" applyAlignment="0" applyProtection="0"/>
    <xf numFmtId="0" fontId="1" fillId="69"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70" borderId="0" applyNumberFormat="0" applyBorder="0" applyAlignment="0" applyProtection="0"/>
    <xf numFmtId="0" fontId="11" fillId="71" borderId="0" applyNumberFormat="0" applyBorder="0" applyAlignment="0" applyProtection="0"/>
    <xf numFmtId="0" fontId="11" fillId="71" borderId="0" applyNumberFormat="0" applyBorder="0" applyAlignment="0" applyProtection="0"/>
    <xf numFmtId="0" fontId="11" fillId="70" borderId="0" applyNumberFormat="0" applyBorder="0" applyAlignment="0" applyProtection="0"/>
    <xf numFmtId="0" fontId="11" fillId="71"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74" fillId="72" borderId="0" applyNumberFormat="0" applyBorder="0" applyAlignment="0" applyProtection="0"/>
    <xf numFmtId="0" fontId="174" fillId="72"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74" fillId="72"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74" fillId="72"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72" borderId="0" applyNumberFormat="0" applyBorder="0" applyAlignment="0" applyProtection="0"/>
    <xf numFmtId="0" fontId="11"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74" fillId="73" borderId="0" applyNumberFormat="0" applyBorder="0" applyAlignment="0" applyProtection="0"/>
    <xf numFmtId="0" fontId="174" fillId="73"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 fillId="74" borderId="0" applyNumberFormat="0" applyBorder="0" applyAlignment="0" applyProtection="0"/>
    <xf numFmtId="0" fontId="1" fillId="74" borderId="0" applyNumberFormat="0" applyBorder="0" applyAlignment="0" applyProtection="0"/>
    <xf numFmtId="0" fontId="1" fillId="74" borderId="0" applyNumberFormat="0" applyBorder="0" applyAlignment="0" applyProtection="0"/>
    <xf numFmtId="0" fontId="1" fillId="74"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 fillId="74" borderId="0" applyNumberFormat="0" applyBorder="0" applyAlignment="0" applyProtection="0"/>
    <xf numFmtId="0" fontId="1" fillId="74" borderId="0" applyNumberFormat="0" applyBorder="0" applyAlignment="0" applyProtection="0"/>
    <xf numFmtId="0" fontId="11" fillId="6" borderId="0" applyNumberFormat="0" applyBorder="0" applyAlignment="0" applyProtection="0"/>
    <xf numFmtId="0" fontId="1" fillId="74" borderId="0" applyNumberFormat="0" applyBorder="0" applyAlignment="0" applyProtection="0"/>
    <xf numFmtId="0" fontId="1" fillId="74" borderId="0" applyNumberFormat="0" applyBorder="0" applyAlignment="0" applyProtection="0"/>
    <xf numFmtId="0" fontId="1" fillId="74" borderId="0" applyNumberFormat="0" applyBorder="0" applyAlignment="0" applyProtection="0"/>
    <xf numFmtId="0" fontId="1" fillId="74" borderId="0" applyNumberFormat="0" applyBorder="0" applyAlignment="0" applyProtection="0"/>
    <xf numFmtId="0" fontId="1" fillId="74" borderId="0" applyNumberFormat="0" applyBorder="0" applyAlignment="0" applyProtection="0"/>
    <xf numFmtId="0" fontId="1" fillId="74" borderId="0" applyNumberFormat="0" applyBorder="0" applyAlignment="0" applyProtection="0"/>
    <xf numFmtId="0" fontId="1" fillId="74"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74" fillId="72" borderId="0" applyNumberFormat="0" applyBorder="0" applyAlignment="0" applyProtection="0"/>
    <xf numFmtId="0" fontId="174" fillId="72"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74" fillId="72" borderId="0" applyNumberFormat="0" applyBorder="0" applyAlignment="0" applyProtection="0"/>
    <xf numFmtId="0" fontId="174" fillId="72" borderId="0" applyNumberFormat="0" applyBorder="0" applyAlignment="0" applyProtection="0"/>
    <xf numFmtId="0" fontId="174" fillId="72"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206" fontId="11" fillId="6" borderId="0" applyNumberFormat="0" applyBorder="0" applyAlignment="0" applyProtection="0"/>
    <xf numFmtId="0" fontId="11" fillId="6" borderId="0" applyNumberFormat="0" applyBorder="0" applyAlignment="0" applyProtection="0"/>
    <xf numFmtId="0" fontId="11" fillId="71" borderId="0" applyNumberFormat="0" applyBorder="0" applyAlignment="0" applyProtection="0"/>
    <xf numFmtId="0" fontId="11" fillId="72" borderId="0" applyNumberFormat="0" applyBorder="0" applyAlignment="0" applyProtection="0"/>
    <xf numFmtId="0" fontId="11" fillId="72" borderId="0" applyNumberFormat="0" applyBorder="0" applyAlignment="0" applyProtection="0"/>
    <xf numFmtId="0" fontId="11" fillId="71" borderId="0" applyNumberFormat="0" applyBorder="0" applyAlignment="0" applyProtection="0"/>
    <xf numFmtId="0" fontId="11" fillId="72"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74" fillId="71" borderId="0" applyNumberFormat="0" applyBorder="0" applyAlignment="0" applyProtection="0"/>
    <xf numFmtId="0" fontId="174" fillId="71"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74" fillId="71" borderId="0" applyNumberFormat="0" applyBorder="0" applyAlignment="0" applyProtection="0"/>
    <xf numFmtId="0" fontId="174" fillId="71"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74" fillId="71" borderId="0" applyNumberFormat="0" applyBorder="0" applyAlignment="0" applyProtection="0"/>
    <xf numFmtId="0" fontId="174" fillId="71"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1" borderId="0" applyNumberFormat="0" applyBorder="0" applyAlignment="0" applyProtection="0"/>
    <xf numFmtId="0" fontId="11" fillId="71"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74" fillId="76" borderId="0" applyNumberFormat="0" applyBorder="0" applyAlignment="0" applyProtection="0"/>
    <xf numFmtId="0" fontId="174" fillId="76"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 fillId="77" borderId="0" applyNumberFormat="0" applyBorder="0" applyAlignment="0" applyProtection="0"/>
    <xf numFmtId="0" fontId="1" fillId="77" borderId="0" applyNumberFormat="0" applyBorder="0" applyAlignment="0" applyProtection="0"/>
    <xf numFmtId="0" fontId="1" fillId="77" borderId="0" applyNumberFormat="0" applyBorder="0" applyAlignment="0" applyProtection="0"/>
    <xf numFmtId="0" fontId="1" fillId="7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 fillId="77" borderId="0" applyNumberFormat="0" applyBorder="0" applyAlignment="0" applyProtection="0"/>
    <xf numFmtId="0" fontId="1" fillId="77" borderId="0" applyNumberFormat="0" applyBorder="0" applyAlignment="0" applyProtection="0"/>
    <xf numFmtId="0" fontId="11" fillId="7" borderId="0" applyNumberFormat="0" applyBorder="0" applyAlignment="0" applyProtection="0"/>
    <xf numFmtId="0" fontId="1" fillId="77" borderId="0" applyNumberFormat="0" applyBorder="0" applyAlignment="0" applyProtection="0"/>
    <xf numFmtId="0" fontId="1" fillId="77" borderId="0" applyNumberFormat="0" applyBorder="0" applyAlignment="0" applyProtection="0"/>
    <xf numFmtId="0" fontId="1" fillId="77" borderId="0" applyNumberFormat="0" applyBorder="0" applyAlignment="0" applyProtection="0"/>
    <xf numFmtId="0" fontId="1" fillId="77" borderId="0" applyNumberFormat="0" applyBorder="0" applyAlignment="0" applyProtection="0"/>
    <xf numFmtId="0" fontId="1" fillId="77" borderId="0" applyNumberFormat="0" applyBorder="0" applyAlignment="0" applyProtection="0"/>
    <xf numFmtId="0" fontId="1" fillId="77" borderId="0" applyNumberFormat="0" applyBorder="0" applyAlignment="0" applyProtection="0"/>
    <xf numFmtId="0" fontId="1" fillId="77"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1" borderId="0" applyNumberFormat="0" applyBorder="0" applyAlignment="0" applyProtection="0"/>
    <xf numFmtId="0" fontId="11" fillId="7" borderId="0" applyNumberFormat="0" applyBorder="0" applyAlignment="0" applyProtection="0"/>
    <xf numFmtId="0" fontId="174" fillId="71" borderId="0" applyNumberFormat="0" applyBorder="0" applyAlignment="0" applyProtection="0"/>
    <xf numFmtId="0"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1" fillId="7" borderId="0" applyNumberFormat="0" applyBorder="0" applyAlignment="0" applyProtection="0"/>
    <xf numFmtId="0" fontId="174" fillId="71" borderId="0" applyNumberFormat="0" applyBorder="0" applyAlignment="0" applyProtection="0"/>
    <xf numFmtId="0" fontId="11" fillId="7" borderId="0" applyNumberFormat="0" applyBorder="0" applyAlignment="0" applyProtection="0"/>
    <xf numFmtId="0" fontId="174" fillId="71" borderId="0" applyNumberFormat="0" applyBorder="0" applyAlignment="0" applyProtection="0"/>
    <xf numFmtId="0"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74" fillId="71" borderId="0" applyNumberFormat="0" applyBorder="0" applyAlignment="0" applyProtection="0"/>
    <xf numFmtId="0" fontId="174" fillId="71"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74" fillId="75" borderId="0" applyNumberFormat="0" applyBorder="0" applyAlignment="0" applyProtection="0"/>
    <xf numFmtId="0" fontId="174" fillId="71" borderId="0" applyNumberFormat="0" applyBorder="0" applyAlignment="0" applyProtection="0"/>
    <xf numFmtId="0" fontId="174" fillId="71"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206" fontId="11" fillId="7" borderId="0" applyNumberFormat="0" applyBorder="0" applyAlignment="0" applyProtection="0"/>
    <xf numFmtId="0" fontId="11" fillId="7" borderId="0" applyNumberFormat="0" applyBorder="0" applyAlignment="0" applyProtection="0"/>
    <xf numFmtId="0" fontId="109" fillId="2" borderId="0" applyNumberFormat="0" applyBorder="0" applyAlignment="0" applyProtection="0"/>
    <xf numFmtId="0" fontId="109" fillId="3" borderId="0" applyNumberFormat="0" applyBorder="0" applyAlignment="0" applyProtection="0"/>
    <xf numFmtId="0" fontId="109" fillId="4" borderId="0" applyNumberFormat="0" applyBorder="0" applyAlignment="0" applyProtection="0"/>
    <xf numFmtId="0" fontId="109" fillId="5" borderId="0" applyNumberFormat="0" applyBorder="0" applyAlignment="0" applyProtection="0"/>
    <xf numFmtId="0" fontId="109" fillId="6" borderId="0" applyNumberFormat="0" applyBorder="0" applyAlignment="0" applyProtection="0"/>
    <xf numFmtId="0" fontId="109" fillId="7" borderId="0" applyNumberFormat="0" applyBorder="0" applyAlignment="0" applyProtection="0"/>
    <xf numFmtId="0" fontId="121" fillId="2" borderId="0" applyNumberFormat="0" applyBorder="0" applyAlignment="0" applyProtection="0"/>
    <xf numFmtId="0" fontId="121" fillId="3" borderId="0" applyNumberFormat="0" applyBorder="0" applyAlignment="0" applyProtection="0"/>
    <xf numFmtId="0" fontId="121" fillId="4" borderId="0" applyNumberFormat="0" applyBorder="0" applyAlignment="0" applyProtection="0"/>
    <xf numFmtId="0" fontId="121" fillId="5" borderId="0" applyNumberFormat="0" applyBorder="0" applyAlignment="0" applyProtection="0"/>
    <xf numFmtId="0" fontId="121" fillId="6" borderId="0" applyNumberFormat="0" applyBorder="0" applyAlignment="0" applyProtection="0"/>
    <xf numFmtId="0" fontId="121" fillId="7" borderId="0" applyNumberFormat="0" applyBorder="0" applyAlignment="0" applyProtection="0"/>
    <xf numFmtId="0" fontId="175" fillId="2" borderId="0" applyNumberFormat="0" applyBorder="0" applyAlignment="0" applyProtection="0">
      <alignment vertical="center"/>
    </xf>
    <xf numFmtId="0" fontId="175" fillId="3" borderId="0" applyNumberFormat="0" applyBorder="0" applyAlignment="0" applyProtection="0">
      <alignment vertical="center"/>
    </xf>
    <xf numFmtId="0" fontId="175" fillId="4" borderId="0" applyNumberFormat="0" applyBorder="0" applyAlignment="0" applyProtection="0">
      <alignment vertical="center"/>
    </xf>
    <xf numFmtId="0" fontId="175" fillId="5" borderId="0" applyNumberFormat="0" applyBorder="0" applyAlignment="0" applyProtection="0">
      <alignment vertical="center"/>
    </xf>
    <xf numFmtId="0" fontId="175" fillId="6" borderId="0" applyNumberFormat="0" applyBorder="0" applyAlignment="0" applyProtection="0">
      <alignment vertical="center"/>
    </xf>
    <xf numFmtId="0" fontId="175" fillId="7" borderId="0" applyNumberFormat="0" applyBorder="0" applyAlignment="0" applyProtection="0">
      <alignment vertical="center"/>
    </xf>
    <xf numFmtId="207" fontId="4" fillId="0" borderId="0" applyFont="0" applyFill="0" applyBorder="0" applyAlignment="0" applyProtection="0"/>
    <xf numFmtId="208" fontId="4" fillId="0" borderId="0" applyFont="0" applyFill="0" applyBorder="0" applyAlignment="0" applyProtection="0"/>
    <xf numFmtId="0" fontId="11" fillId="78" borderId="0" applyNumberFormat="0" applyBorder="0" applyAlignment="0" applyProtection="0"/>
    <xf numFmtId="0" fontId="11" fillId="78" borderId="0" applyNumberFormat="0" applyBorder="0" applyAlignment="0" applyProtection="0"/>
    <xf numFmtId="0" fontId="11" fillId="78" borderId="0" applyNumberFormat="0" applyBorder="0" applyAlignment="0" applyProtection="0"/>
    <xf numFmtId="0" fontId="11" fillId="7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8" borderId="0" applyNumberFormat="0" applyBorder="0" applyAlignment="0" applyProtection="0"/>
    <xf numFmtId="0" fontId="174" fillId="7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8" borderId="0" applyNumberFormat="0" applyBorder="0" applyAlignment="0" applyProtection="0"/>
    <xf numFmtId="0" fontId="174" fillId="7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8" borderId="0" applyNumberFormat="0" applyBorder="0" applyAlignment="0" applyProtection="0"/>
    <xf numFmtId="0" fontId="174" fillId="7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78" borderId="0" applyNumberFormat="0" applyBorder="0" applyAlignment="0" applyProtection="0"/>
    <xf numFmtId="0" fontId="11" fillId="7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80" borderId="0" applyNumberFormat="0" applyBorder="0" applyAlignment="0" applyProtection="0"/>
    <xf numFmtId="0" fontId="174" fillId="80"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 fillId="81" borderId="0" applyNumberFormat="0" applyBorder="0" applyAlignment="0" applyProtection="0"/>
    <xf numFmtId="0" fontId="1" fillId="81" borderId="0" applyNumberFormat="0" applyBorder="0" applyAlignment="0" applyProtection="0"/>
    <xf numFmtId="0" fontId="1" fillId="81" borderId="0" applyNumberFormat="0" applyBorder="0" applyAlignment="0" applyProtection="0"/>
    <xf numFmtId="0" fontId="1" fillId="81"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 fillId="81" borderId="0" applyNumberFormat="0" applyBorder="0" applyAlignment="0" applyProtection="0"/>
    <xf numFmtId="0" fontId="1" fillId="81" borderId="0" applyNumberFormat="0" applyBorder="0" applyAlignment="0" applyProtection="0"/>
    <xf numFmtId="0" fontId="11" fillId="8" borderId="0" applyNumberFormat="0" applyBorder="0" applyAlignment="0" applyProtection="0"/>
    <xf numFmtId="0" fontId="1" fillId="81" borderId="0" applyNumberFormat="0" applyBorder="0" applyAlignment="0" applyProtection="0"/>
    <xf numFmtId="0" fontId="1" fillId="81" borderId="0" applyNumberFormat="0" applyBorder="0" applyAlignment="0" applyProtection="0"/>
    <xf numFmtId="0" fontId="1" fillId="81" borderId="0" applyNumberFormat="0" applyBorder="0" applyAlignment="0" applyProtection="0"/>
    <xf numFmtId="0" fontId="1" fillId="81" borderId="0" applyNumberFormat="0" applyBorder="0" applyAlignment="0" applyProtection="0"/>
    <xf numFmtId="0" fontId="1" fillId="81" borderId="0" applyNumberFormat="0" applyBorder="0" applyAlignment="0" applyProtection="0"/>
    <xf numFmtId="0" fontId="1" fillId="81" borderId="0" applyNumberFormat="0" applyBorder="0" applyAlignment="0" applyProtection="0"/>
    <xf numFmtId="0" fontId="1" fillId="81"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8" borderId="0" applyNumberFormat="0" applyBorder="0" applyAlignment="0" applyProtection="0"/>
    <xf numFmtId="0" fontId="11" fillId="8" borderId="0" applyNumberFormat="0" applyBorder="0" applyAlignment="0" applyProtection="0"/>
    <xf numFmtId="0" fontId="174" fillId="78" borderId="0" applyNumberFormat="0" applyBorder="0" applyAlignment="0" applyProtection="0"/>
    <xf numFmtId="0"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8" borderId="0" applyNumberFormat="0" applyBorder="0" applyAlignment="0" applyProtection="0"/>
    <xf numFmtId="0" fontId="11" fillId="8" borderId="0" applyNumberFormat="0" applyBorder="0" applyAlignment="0" applyProtection="0"/>
    <xf numFmtId="0" fontId="174" fillId="78" borderId="0" applyNumberFormat="0" applyBorder="0" applyAlignment="0" applyProtection="0"/>
    <xf numFmtId="0"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8" borderId="0" applyNumberFormat="0" applyBorder="0" applyAlignment="0" applyProtection="0"/>
    <xf numFmtId="0" fontId="174" fillId="7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8" borderId="0" applyNumberFormat="0" applyBorder="0" applyAlignment="0" applyProtection="0"/>
    <xf numFmtId="0" fontId="174" fillId="7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2" borderId="0" applyNumberFormat="0" applyBorder="0" applyAlignment="0" applyProtection="0"/>
    <xf numFmtId="0" fontId="11" fillId="82" borderId="0" applyNumberFormat="0" applyBorder="0" applyAlignment="0" applyProtection="0"/>
    <xf numFmtId="0" fontId="11" fillId="82" borderId="0" applyNumberFormat="0" applyBorder="0" applyAlignment="0" applyProtection="0"/>
    <xf numFmtId="0" fontId="11" fillId="82"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74" fillId="82" borderId="0" applyNumberFormat="0" applyBorder="0" applyAlignment="0" applyProtection="0"/>
    <xf numFmtId="0" fontId="174" fillId="82"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74" fillId="82" borderId="0" applyNumberFormat="0" applyBorder="0" applyAlignment="0" applyProtection="0"/>
    <xf numFmtId="0" fontId="174" fillId="82"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74" fillId="82" borderId="0" applyNumberFormat="0" applyBorder="0" applyAlignment="0" applyProtection="0"/>
    <xf numFmtId="0" fontId="174" fillId="82"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82" borderId="0" applyNumberFormat="0" applyBorder="0" applyAlignment="0" applyProtection="0"/>
    <xf numFmtId="0" fontId="11" fillId="82"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74" fillId="84" borderId="0" applyNumberFormat="0" applyBorder="0" applyAlignment="0" applyProtection="0"/>
    <xf numFmtId="0" fontId="174" fillId="84"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 fillId="85" borderId="0" applyNumberFormat="0" applyBorder="0" applyAlignment="0" applyProtection="0"/>
    <xf numFmtId="0" fontId="1" fillId="85" borderId="0" applyNumberFormat="0" applyBorder="0" applyAlignment="0" applyProtection="0"/>
    <xf numFmtId="0" fontId="1" fillId="85" borderId="0" applyNumberFormat="0" applyBorder="0" applyAlignment="0" applyProtection="0"/>
    <xf numFmtId="0" fontId="1" fillId="85"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 fillId="85" borderId="0" applyNumberFormat="0" applyBorder="0" applyAlignment="0" applyProtection="0"/>
    <xf numFmtId="0" fontId="1" fillId="85" borderId="0" applyNumberFormat="0" applyBorder="0" applyAlignment="0" applyProtection="0"/>
    <xf numFmtId="0" fontId="11" fillId="9" borderId="0" applyNumberFormat="0" applyBorder="0" applyAlignment="0" applyProtection="0"/>
    <xf numFmtId="0" fontId="1" fillId="85" borderId="0" applyNumberFormat="0" applyBorder="0" applyAlignment="0" applyProtection="0"/>
    <xf numFmtId="0" fontId="1" fillId="85" borderId="0" applyNumberFormat="0" applyBorder="0" applyAlignment="0" applyProtection="0"/>
    <xf numFmtId="0" fontId="1" fillId="85" borderId="0" applyNumberFormat="0" applyBorder="0" applyAlignment="0" applyProtection="0"/>
    <xf numFmtId="0" fontId="1" fillId="85" borderId="0" applyNumberFormat="0" applyBorder="0" applyAlignment="0" applyProtection="0"/>
    <xf numFmtId="0" fontId="1" fillId="85" borderId="0" applyNumberFormat="0" applyBorder="0" applyAlignment="0" applyProtection="0"/>
    <xf numFmtId="0" fontId="1" fillId="85" borderId="0" applyNumberFormat="0" applyBorder="0" applyAlignment="0" applyProtection="0"/>
    <xf numFmtId="0" fontId="1" fillId="85"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2" borderId="0" applyNumberFormat="0" applyBorder="0" applyAlignment="0" applyProtection="0"/>
    <xf numFmtId="0" fontId="11" fillId="9" borderId="0" applyNumberFormat="0" applyBorder="0" applyAlignment="0" applyProtection="0"/>
    <xf numFmtId="0" fontId="174" fillId="82" borderId="0" applyNumberFormat="0" applyBorder="0" applyAlignment="0" applyProtection="0"/>
    <xf numFmtId="0"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1" fillId="9" borderId="0" applyNumberFormat="0" applyBorder="0" applyAlignment="0" applyProtection="0"/>
    <xf numFmtId="0" fontId="174" fillId="82" borderId="0" applyNumberFormat="0" applyBorder="0" applyAlignment="0" applyProtection="0"/>
    <xf numFmtId="0" fontId="11" fillId="9" borderId="0" applyNumberFormat="0" applyBorder="0" applyAlignment="0" applyProtection="0"/>
    <xf numFmtId="0" fontId="174" fillId="82" borderId="0" applyNumberFormat="0" applyBorder="0" applyAlignment="0" applyProtection="0"/>
    <xf numFmtId="0"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74" fillId="82" borderId="0" applyNumberFormat="0" applyBorder="0" applyAlignment="0" applyProtection="0"/>
    <xf numFmtId="0" fontId="174" fillId="82"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1" fillId="9" borderId="0" applyNumberFormat="0" applyBorder="0" applyAlignment="0" applyProtection="0"/>
    <xf numFmtId="0" fontId="174" fillId="83" borderId="0" applyNumberFormat="0" applyBorder="0" applyAlignment="0" applyProtection="0"/>
    <xf numFmtId="0" fontId="174" fillId="82" borderId="0" applyNumberFormat="0" applyBorder="0" applyAlignment="0" applyProtection="0"/>
    <xf numFmtId="0" fontId="174" fillId="82"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206" fontId="11" fillId="9" borderId="0" applyNumberFormat="0" applyBorder="0" applyAlignment="0" applyProtection="0"/>
    <xf numFmtId="0" fontId="11" fillId="9" borderId="0" applyNumberFormat="0" applyBorder="0" applyAlignment="0" applyProtection="0"/>
    <xf numFmtId="0" fontId="11" fillId="86" borderId="0" applyNumberFormat="0" applyBorder="0" applyAlignment="0" applyProtection="0"/>
    <xf numFmtId="0" fontId="11" fillId="86" borderId="0" applyNumberFormat="0" applyBorder="0" applyAlignment="0" applyProtection="0"/>
    <xf numFmtId="0" fontId="11" fillId="86" borderId="0" applyNumberFormat="0" applyBorder="0" applyAlignment="0" applyProtection="0"/>
    <xf numFmtId="0" fontId="11"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74" fillId="86" borderId="0" applyNumberFormat="0" applyBorder="0" applyAlignment="0" applyProtection="0"/>
    <xf numFmtId="0" fontId="174" fillId="86"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74" fillId="86"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74" fillId="86"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86" borderId="0" applyNumberFormat="0" applyBorder="0" applyAlignment="0" applyProtection="0"/>
    <xf numFmtId="0" fontId="11"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74" fillId="87" borderId="0" applyNumberFormat="0" applyBorder="0" applyAlignment="0" applyProtection="0"/>
    <xf numFmtId="0" fontId="174" fillId="87"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 fillId="88" borderId="0" applyNumberFormat="0" applyBorder="0" applyAlignment="0" applyProtection="0"/>
    <xf numFmtId="0" fontId="1" fillId="88" borderId="0" applyNumberFormat="0" applyBorder="0" applyAlignment="0" applyProtection="0"/>
    <xf numFmtId="0" fontId="1" fillId="88" borderId="0" applyNumberFormat="0" applyBorder="0" applyAlignment="0" applyProtection="0"/>
    <xf numFmtId="0" fontId="1" fillId="88"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 fillId="88" borderId="0" applyNumberFormat="0" applyBorder="0" applyAlignment="0" applyProtection="0"/>
    <xf numFmtId="0" fontId="1" fillId="88" borderId="0" applyNumberFormat="0" applyBorder="0" applyAlignment="0" applyProtection="0"/>
    <xf numFmtId="0" fontId="11" fillId="10" borderId="0" applyNumberFormat="0" applyBorder="0" applyAlignment="0" applyProtection="0"/>
    <xf numFmtId="0" fontId="1" fillId="88" borderId="0" applyNumberFormat="0" applyBorder="0" applyAlignment="0" applyProtection="0"/>
    <xf numFmtId="0" fontId="1" fillId="88" borderId="0" applyNumberFormat="0" applyBorder="0" applyAlignment="0" applyProtection="0"/>
    <xf numFmtId="0" fontId="1" fillId="88" borderId="0" applyNumberFormat="0" applyBorder="0" applyAlignment="0" applyProtection="0"/>
    <xf numFmtId="0" fontId="1" fillId="88" borderId="0" applyNumberFormat="0" applyBorder="0" applyAlignment="0" applyProtection="0"/>
    <xf numFmtId="0" fontId="1" fillId="88" borderId="0" applyNumberFormat="0" applyBorder="0" applyAlignment="0" applyProtection="0"/>
    <xf numFmtId="0" fontId="1" fillId="88" borderId="0" applyNumberFormat="0" applyBorder="0" applyAlignment="0" applyProtection="0"/>
    <xf numFmtId="0" fontId="1" fillId="88"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74" fillId="86" borderId="0" applyNumberFormat="0" applyBorder="0" applyAlignment="0" applyProtection="0"/>
    <xf numFmtId="0" fontId="174" fillId="86"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74" fillId="86" borderId="0" applyNumberFormat="0" applyBorder="0" applyAlignment="0" applyProtection="0"/>
    <xf numFmtId="0" fontId="174" fillId="86" borderId="0" applyNumberFormat="0" applyBorder="0" applyAlignment="0" applyProtection="0"/>
    <xf numFmtId="0" fontId="174" fillId="86"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206" fontId="11" fillId="10" borderId="0" applyNumberFormat="0" applyBorder="0" applyAlignment="0" applyProtection="0"/>
    <xf numFmtId="0" fontId="11" fillId="10" borderId="0" applyNumberFormat="0" applyBorder="0" applyAlignment="0" applyProtection="0"/>
    <xf numFmtId="0" fontId="11" fillId="67" borderId="0" applyNumberFormat="0" applyBorder="0" applyAlignment="0" applyProtection="0"/>
    <xf numFmtId="0" fontId="11" fillId="67" borderId="0" applyNumberFormat="0" applyBorder="0" applyAlignment="0" applyProtection="0"/>
    <xf numFmtId="0" fontId="11" fillId="67" borderId="0" applyNumberFormat="0" applyBorder="0" applyAlignment="0" applyProtection="0"/>
    <xf numFmtId="0" fontId="11" fillId="67" borderId="0" applyNumberFormat="0" applyBorder="0" applyAlignment="0" applyProtection="0"/>
    <xf numFmtId="0" fontId="11"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67" borderId="0" applyNumberFormat="0" applyBorder="0" applyAlignment="0" applyProtection="0"/>
    <xf numFmtId="0" fontId="11"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89" borderId="0" applyNumberFormat="0" applyBorder="0" applyAlignment="0" applyProtection="0"/>
    <xf numFmtId="0" fontId="174" fillId="89"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 fillId="90" borderId="0" applyNumberFormat="0" applyBorder="0" applyAlignment="0" applyProtection="0"/>
    <xf numFmtId="0" fontId="1" fillId="90" borderId="0" applyNumberFormat="0" applyBorder="0" applyAlignment="0" applyProtection="0"/>
    <xf numFmtId="0" fontId="1" fillId="90" borderId="0" applyNumberFormat="0" applyBorder="0" applyAlignment="0" applyProtection="0"/>
    <xf numFmtId="0" fontId="1" fillId="90"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 fillId="90" borderId="0" applyNumberFormat="0" applyBorder="0" applyAlignment="0" applyProtection="0"/>
    <xf numFmtId="0" fontId="1" fillId="90" borderId="0" applyNumberFormat="0" applyBorder="0" applyAlignment="0" applyProtection="0"/>
    <xf numFmtId="0" fontId="11" fillId="5" borderId="0" applyNumberFormat="0" applyBorder="0" applyAlignment="0" applyProtection="0"/>
    <xf numFmtId="0" fontId="1" fillId="90" borderId="0" applyNumberFormat="0" applyBorder="0" applyAlignment="0" applyProtection="0"/>
    <xf numFmtId="0" fontId="1" fillId="90" borderId="0" applyNumberFormat="0" applyBorder="0" applyAlignment="0" applyProtection="0"/>
    <xf numFmtId="0" fontId="1" fillId="90" borderId="0" applyNumberFormat="0" applyBorder="0" applyAlignment="0" applyProtection="0"/>
    <xf numFmtId="0" fontId="1" fillId="90" borderId="0" applyNumberFormat="0" applyBorder="0" applyAlignment="0" applyProtection="0"/>
    <xf numFmtId="0" fontId="1" fillId="90" borderId="0" applyNumberFormat="0" applyBorder="0" applyAlignment="0" applyProtection="0"/>
    <xf numFmtId="0" fontId="1" fillId="90" borderId="0" applyNumberFormat="0" applyBorder="0" applyAlignment="0" applyProtection="0"/>
    <xf numFmtId="0" fontId="1" fillId="90"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lignment vertical="top"/>
      <protection locked="0"/>
    </xf>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1" fillId="5"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0" fontId="174" fillId="67"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206" fontId="11" fillId="5" borderId="0" applyNumberFormat="0" applyBorder="0" applyAlignment="0" applyProtection="0"/>
    <xf numFmtId="0" fontId="11" fillId="5" borderId="0" applyNumberFormat="0" applyBorder="0" applyAlignment="0" applyProtection="0"/>
    <xf numFmtId="0" fontId="11" fillId="78" borderId="0" applyNumberFormat="0" applyBorder="0" applyAlignment="0" applyProtection="0"/>
    <xf numFmtId="0" fontId="11" fillId="78" borderId="0" applyNumberFormat="0" applyBorder="0" applyAlignment="0" applyProtection="0"/>
    <xf numFmtId="0" fontId="11" fillId="78" borderId="0" applyNumberFormat="0" applyBorder="0" applyAlignment="0" applyProtection="0"/>
    <xf numFmtId="0" fontId="11" fillId="7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8" borderId="0" applyNumberFormat="0" applyBorder="0" applyAlignment="0" applyProtection="0"/>
    <xf numFmtId="0" fontId="174" fillId="7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8" borderId="0" applyNumberFormat="0" applyBorder="0" applyAlignment="0" applyProtection="0"/>
    <xf numFmtId="0" fontId="174" fillId="7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8" borderId="0" applyNumberFormat="0" applyBorder="0" applyAlignment="0" applyProtection="0"/>
    <xf numFmtId="0" fontId="174" fillId="7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78" borderId="0" applyNumberFormat="0" applyBorder="0" applyAlignment="0" applyProtection="0"/>
    <xf numFmtId="0" fontId="11" fillId="7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91" borderId="0" applyNumberFormat="0" applyBorder="0" applyAlignment="0" applyProtection="0"/>
    <xf numFmtId="0" fontId="174" fillId="91"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 fillId="92" borderId="0" applyNumberFormat="0" applyBorder="0" applyAlignment="0" applyProtection="0"/>
    <xf numFmtId="0" fontId="1" fillId="92" borderId="0" applyNumberFormat="0" applyBorder="0" applyAlignment="0" applyProtection="0"/>
    <xf numFmtId="0" fontId="1" fillId="92" borderId="0" applyNumberFormat="0" applyBorder="0" applyAlignment="0" applyProtection="0"/>
    <xf numFmtId="0" fontId="1" fillId="92"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 fillId="92" borderId="0" applyNumberFormat="0" applyBorder="0" applyAlignment="0" applyProtection="0"/>
    <xf numFmtId="0" fontId="1" fillId="92" borderId="0" applyNumberFormat="0" applyBorder="0" applyAlignment="0" applyProtection="0"/>
    <xf numFmtId="0" fontId="11" fillId="8" borderId="0" applyNumberFormat="0" applyBorder="0" applyAlignment="0" applyProtection="0"/>
    <xf numFmtId="0" fontId="1" fillId="92" borderId="0" applyNumberFormat="0" applyBorder="0" applyAlignment="0" applyProtection="0"/>
    <xf numFmtId="0" fontId="1" fillId="92" borderId="0" applyNumberFormat="0" applyBorder="0" applyAlignment="0" applyProtection="0"/>
    <xf numFmtId="0" fontId="1" fillId="92" borderId="0" applyNumberFormat="0" applyBorder="0" applyAlignment="0" applyProtection="0"/>
    <xf numFmtId="0" fontId="1" fillId="92" borderId="0" applyNumberFormat="0" applyBorder="0" applyAlignment="0" applyProtection="0"/>
    <xf numFmtId="0" fontId="1" fillId="92" borderId="0" applyNumberFormat="0" applyBorder="0" applyAlignment="0" applyProtection="0"/>
    <xf numFmtId="0" fontId="1" fillId="92" borderId="0" applyNumberFormat="0" applyBorder="0" applyAlignment="0" applyProtection="0"/>
    <xf numFmtId="0" fontId="1" fillId="92"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8" borderId="0" applyNumberFormat="0" applyBorder="0" applyAlignment="0" applyProtection="0"/>
    <xf numFmtId="0" fontId="11" fillId="8" borderId="0" applyNumberFormat="0" applyBorder="0" applyAlignment="0" applyProtection="0"/>
    <xf numFmtId="0" fontId="174" fillId="78" borderId="0" applyNumberFormat="0" applyBorder="0" applyAlignment="0" applyProtection="0"/>
    <xf numFmtId="0"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1" fillId="8" borderId="0" applyNumberFormat="0" applyBorder="0" applyAlignment="0" applyProtection="0"/>
    <xf numFmtId="0" fontId="174" fillId="78" borderId="0" applyNumberFormat="0" applyBorder="0" applyAlignment="0" applyProtection="0"/>
    <xf numFmtId="0" fontId="11" fillId="8" borderId="0" applyNumberFormat="0" applyBorder="0" applyAlignment="0" applyProtection="0"/>
    <xf numFmtId="0" fontId="174" fillId="78" borderId="0" applyNumberFormat="0" applyBorder="0" applyAlignment="0" applyProtection="0"/>
    <xf numFmtId="0"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8" borderId="0" applyNumberFormat="0" applyBorder="0" applyAlignment="0" applyProtection="0"/>
    <xf numFmtId="0" fontId="174" fillId="7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1" fillId="8" borderId="0" applyNumberFormat="0" applyBorder="0" applyAlignment="0" applyProtection="0"/>
    <xf numFmtId="0" fontId="174" fillId="79" borderId="0" applyNumberFormat="0" applyBorder="0" applyAlignment="0" applyProtection="0"/>
    <xf numFmtId="0" fontId="174" fillId="78" borderId="0" applyNumberFormat="0" applyBorder="0" applyAlignment="0" applyProtection="0"/>
    <xf numFmtId="0" fontId="174" fillId="7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206" fontId="11" fillId="8" borderId="0" applyNumberFormat="0" applyBorder="0" applyAlignment="0" applyProtection="0"/>
    <xf numFmtId="0" fontId="11" fillId="8" borderId="0" applyNumberFormat="0" applyBorder="0" applyAlignment="0" applyProtection="0"/>
    <xf numFmtId="0" fontId="11" fillId="93" borderId="0" applyNumberFormat="0" applyBorder="0" applyAlignment="0" applyProtection="0"/>
    <xf numFmtId="0" fontId="11" fillId="94" borderId="0" applyNumberFormat="0" applyBorder="0" applyAlignment="0" applyProtection="0"/>
    <xf numFmtId="0" fontId="11" fillId="94" borderId="0" applyNumberFormat="0" applyBorder="0" applyAlignment="0" applyProtection="0"/>
    <xf numFmtId="0" fontId="11" fillId="93" borderId="0" applyNumberFormat="0" applyBorder="0" applyAlignment="0" applyProtection="0"/>
    <xf numFmtId="0" fontId="11" fillId="94"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74" fillId="93" borderId="0" applyNumberFormat="0" applyBorder="0" applyAlignment="0" applyProtection="0"/>
    <xf numFmtId="0" fontId="174" fillId="93"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74" fillId="93"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74" fillId="93"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93" borderId="0" applyNumberFormat="0" applyBorder="0" applyAlignment="0" applyProtection="0"/>
    <xf numFmtId="0" fontId="11"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74" fillId="95" borderId="0" applyNumberFormat="0" applyBorder="0" applyAlignment="0" applyProtection="0"/>
    <xf numFmtId="0" fontId="174" fillId="95"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 fillId="96" borderId="0" applyNumberFormat="0" applyBorder="0" applyAlignment="0" applyProtection="0"/>
    <xf numFmtId="0" fontId="1" fillId="96" borderId="0" applyNumberFormat="0" applyBorder="0" applyAlignment="0" applyProtection="0"/>
    <xf numFmtId="0" fontId="1" fillId="96" borderId="0" applyNumberFormat="0" applyBorder="0" applyAlignment="0" applyProtection="0"/>
    <xf numFmtId="0" fontId="1" fillId="96"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 fillId="96" borderId="0" applyNumberFormat="0" applyBorder="0" applyAlignment="0" applyProtection="0"/>
    <xf numFmtId="0" fontId="1" fillId="96" borderId="0" applyNumberFormat="0" applyBorder="0" applyAlignment="0" applyProtection="0"/>
    <xf numFmtId="0" fontId="11" fillId="11" borderId="0" applyNumberFormat="0" applyBorder="0" applyAlignment="0" applyProtection="0"/>
    <xf numFmtId="0" fontId="1" fillId="96" borderId="0" applyNumberFormat="0" applyBorder="0" applyAlignment="0" applyProtection="0"/>
    <xf numFmtId="0" fontId="1" fillId="96" borderId="0" applyNumberFormat="0" applyBorder="0" applyAlignment="0" applyProtection="0"/>
    <xf numFmtId="0" fontId="1" fillId="96" borderId="0" applyNumberFormat="0" applyBorder="0" applyAlignment="0" applyProtection="0"/>
    <xf numFmtId="0" fontId="1" fillId="96" borderId="0" applyNumberFormat="0" applyBorder="0" applyAlignment="0" applyProtection="0"/>
    <xf numFmtId="0" fontId="1" fillId="96" borderId="0" applyNumberFormat="0" applyBorder="0" applyAlignment="0" applyProtection="0"/>
    <xf numFmtId="0" fontId="1" fillId="96" borderId="0" applyNumberFormat="0" applyBorder="0" applyAlignment="0" applyProtection="0"/>
    <xf numFmtId="0" fontId="1" fillId="96"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74" fillId="93" borderId="0" applyNumberFormat="0" applyBorder="0" applyAlignment="0" applyProtection="0"/>
    <xf numFmtId="0" fontId="174" fillId="93"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74" fillId="93" borderId="0" applyNumberFormat="0" applyBorder="0" applyAlignment="0" applyProtection="0"/>
    <xf numFmtId="0" fontId="174" fillId="93" borderId="0" applyNumberFormat="0" applyBorder="0" applyAlignment="0" applyProtection="0"/>
    <xf numFmtId="0" fontId="174" fillId="93"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206" fontId="11" fillId="11" borderId="0" applyNumberFormat="0" applyBorder="0" applyAlignment="0" applyProtection="0"/>
    <xf numFmtId="0" fontId="11" fillId="11" borderId="0" applyNumberFormat="0" applyBorder="0" applyAlignment="0" applyProtection="0"/>
    <xf numFmtId="0" fontId="109" fillId="8" borderId="0" applyNumberFormat="0" applyBorder="0" applyAlignment="0" applyProtection="0"/>
    <xf numFmtId="0" fontId="109" fillId="9" borderId="0" applyNumberFormat="0" applyBorder="0" applyAlignment="0" applyProtection="0"/>
    <xf numFmtId="0" fontId="109" fillId="10" borderId="0" applyNumberFormat="0" applyBorder="0" applyAlignment="0" applyProtection="0"/>
    <xf numFmtId="0" fontId="109" fillId="5" borderId="0" applyNumberFormat="0" applyBorder="0" applyAlignment="0" applyProtection="0"/>
    <xf numFmtId="0" fontId="109" fillId="8" borderId="0" applyNumberFormat="0" applyBorder="0" applyAlignment="0" applyProtection="0"/>
    <xf numFmtId="0" fontId="109" fillId="11" borderId="0" applyNumberFormat="0" applyBorder="0" applyAlignment="0" applyProtection="0"/>
    <xf numFmtId="0" fontId="121" fillId="8" borderId="0" applyNumberFormat="0" applyBorder="0" applyAlignment="0" applyProtection="0"/>
    <xf numFmtId="0" fontId="121" fillId="9" borderId="0" applyNumberFormat="0" applyBorder="0" applyAlignment="0" applyProtection="0"/>
    <xf numFmtId="0" fontId="121" fillId="10" borderId="0" applyNumberFormat="0" applyBorder="0" applyAlignment="0" applyProtection="0"/>
    <xf numFmtId="0" fontId="121" fillId="5" borderId="0" applyNumberFormat="0" applyBorder="0" applyAlignment="0" applyProtection="0"/>
    <xf numFmtId="0" fontId="121" fillId="8" borderId="0" applyNumberFormat="0" applyBorder="0" applyAlignment="0" applyProtection="0"/>
    <xf numFmtId="0" fontId="121" fillId="11" borderId="0" applyNumberFormat="0" applyBorder="0" applyAlignment="0" applyProtection="0"/>
    <xf numFmtId="0" fontId="175" fillId="8" borderId="0" applyNumberFormat="0" applyBorder="0" applyAlignment="0" applyProtection="0">
      <alignment vertical="center"/>
    </xf>
    <xf numFmtId="0" fontId="175" fillId="9" borderId="0" applyNumberFormat="0" applyBorder="0" applyAlignment="0" applyProtection="0">
      <alignment vertical="center"/>
    </xf>
    <xf numFmtId="0" fontId="175" fillId="10" borderId="0" applyNumberFormat="0" applyBorder="0" applyAlignment="0" applyProtection="0">
      <alignment vertical="center"/>
    </xf>
    <xf numFmtId="0" fontId="175" fillId="5" borderId="0" applyNumberFormat="0" applyBorder="0" applyAlignment="0" applyProtection="0">
      <alignment vertical="center"/>
    </xf>
    <xf numFmtId="0" fontId="175" fillId="8" borderId="0" applyNumberFormat="0" applyBorder="0" applyAlignment="0" applyProtection="0">
      <alignment vertical="center"/>
    </xf>
    <xf numFmtId="0" fontId="175" fillId="11" borderId="0" applyNumberFormat="0" applyBorder="0" applyAlignment="0" applyProtection="0">
      <alignment vertical="center"/>
    </xf>
    <xf numFmtId="0" fontId="118" fillId="0" borderId="0"/>
    <xf numFmtId="0" fontId="118" fillId="0" borderId="0"/>
    <xf numFmtId="0" fontId="118" fillId="0" borderId="0"/>
    <xf numFmtId="0" fontId="31" fillId="0" borderId="0">
      <alignment vertical="top" wrapText="1"/>
    </xf>
    <xf numFmtId="2" fontId="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76" fillId="99" borderId="0" applyNumberFormat="0" applyBorder="0" applyAlignment="0" applyProtection="0"/>
    <xf numFmtId="0" fontId="176" fillId="99"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76" fillId="99" borderId="0" applyNumberFormat="0" applyBorder="0" applyAlignment="0" applyProtection="0"/>
    <xf numFmtId="0" fontId="176" fillId="99"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76" fillId="99" borderId="0" applyNumberFormat="0" applyBorder="0" applyAlignment="0" applyProtection="0"/>
    <xf numFmtId="0" fontId="176" fillId="99"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76" fillId="100" borderId="0" applyNumberFormat="0" applyBorder="0" applyAlignment="0" applyProtection="0"/>
    <xf numFmtId="0" fontId="176" fillId="100"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77" fillId="101" borderId="0" applyNumberFormat="0" applyBorder="0" applyAlignment="0" applyProtection="0"/>
    <xf numFmtId="0" fontId="177" fillId="101" borderId="0" applyNumberFormat="0" applyBorder="0" applyAlignment="0" applyProtection="0"/>
    <xf numFmtId="0" fontId="177" fillId="101" borderId="0" applyNumberFormat="0" applyBorder="0" applyAlignment="0" applyProtection="0"/>
    <xf numFmtId="0" fontId="177" fillId="101"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0" fontId="14" fillId="12" borderId="0" applyNumberFormat="0" applyBorder="0" applyAlignment="0" applyProtection="0"/>
    <xf numFmtId="0" fontId="177" fillId="101" borderId="0" applyNumberFormat="0" applyBorder="0" applyAlignment="0" applyProtection="0"/>
    <xf numFmtId="0" fontId="177" fillId="101" borderId="0" applyNumberFormat="0" applyBorder="0" applyAlignment="0" applyProtection="0"/>
    <xf numFmtId="0" fontId="14" fillId="12" borderId="0" applyNumberFormat="0" applyBorder="0" applyAlignment="0" applyProtection="0"/>
    <xf numFmtId="0" fontId="177" fillId="101" borderId="0" applyNumberFormat="0" applyBorder="0" applyAlignment="0" applyProtection="0"/>
    <xf numFmtId="0" fontId="177" fillId="101" borderId="0" applyNumberFormat="0" applyBorder="0" applyAlignment="0" applyProtection="0"/>
    <xf numFmtId="0" fontId="177" fillId="101" borderId="0" applyNumberFormat="0" applyBorder="0" applyAlignment="0" applyProtection="0"/>
    <xf numFmtId="0" fontId="177" fillId="101" borderId="0" applyNumberFormat="0" applyBorder="0" applyAlignment="0" applyProtection="0"/>
    <xf numFmtId="0" fontId="177" fillId="101" borderId="0" applyNumberFormat="0" applyBorder="0" applyAlignment="0" applyProtection="0"/>
    <xf numFmtId="0" fontId="177" fillId="101" borderId="0" applyNumberFormat="0" applyBorder="0" applyAlignment="0" applyProtection="0"/>
    <xf numFmtId="0" fontId="177" fillId="101"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9" borderId="0" applyNumberFormat="0" applyBorder="0" applyAlignment="0" applyProtection="0"/>
    <xf numFmtId="0" fontId="14" fillId="12" borderId="0" applyNumberFormat="0" applyBorder="0" applyAlignment="0" applyProtection="0"/>
    <xf numFmtId="0" fontId="176" fillId="99" borderId="0" applyNumberFormat="0" applyBorder="0" applyAlignment="0" applyProtection="0"/>
    <xf numFmtId="0"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4" fillId="12" borderId="0" applyNumberFormat="0" applyBorder="0" applyAlignment="0" applyProtection="0"/>
    <xf numFmtId="0" fontId="176" fillId="99" borderId="0" applyNumberFormat="0" applyBorder="0" applyAlignment="0" applyProtection="0"/>
    <xf numFmtId="0" fontId="14" fillId="12" borderId="0" applyNumberFormat="0" applyBorder="0" applyAlignment="0" applyProtection="0"/>
    <xf numFmtId="0" fontId="176" fillId="99" borderId="0" applyNumberFormat="0" applyBorder="0" applyAlignment="0" applyProtection="0"/>
    <xf numFmtId="0"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76" fillId="99" borderId="0" applyNumberFormat="0" applyBorder="0" applyAlignment="0" applyProtection="0"/>
    <xf numFmtId="0" fontId="176" fillId="99"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76" fillId="98" borderId="0" applyNumberFormat="0" applyBorder="0" applyAlignment="0" applyProtection="0"/>
    <xf numFmtId="0" fontId="176" fillId="99" borderId="0" applyNumberFormat="0" applyBorder="0" applyAlignment="0" applyProtection="0"/>
    <xf numFmtId="0" fontId="176" fillId="99"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206" fontId="14" fillId="1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76" fillId="82" borderId="0" applyNumberFormat="0" applyBorder="0" applyAlignment="0" applyProtection="0"/>
    <xf numFmtId="0" fontId="176" fillId="82"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76" fillId="82" borderId="0" applyNumberFormat="0" applyBorder="0" applyAlignment="0" applyProtection="0"/>
    <xf numFmtId="0" fontId="176" fillId="82"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76" fillId="82" borderId="0" applyNumberFormat="0" applyBorder="0" applyAlignment="0" applyProtection="0"/>
    <xf numFmtId="0" fontId="176" fillId="82"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76" fillId="102" borderId="0" applyNumberFormat="0" applyBorder="0" applyAlignment="0" applyProtection="0"/>
    <xf numFmtId="0" fontId="176" fillId="102"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77" fillId="103" borderId="0" applyNumberFormat="0" applyBorder="0" applyAlignment="0" applyProtection="0"/>
    <xf numFmtId="0" fontId="177" fillId="103" borderId="0" applyNumberFormat="0" applyBorder="0" applyAlignment="0" applyProtection="0"/>
    <xf numFmtId="0" fontId="177" fillId="103" borderId="0" applyNumberFormat="0" applyBorder="0" applyAlignment="0" applyProtection="0"/>
    <xf numFmtId="0" fontId="177" fillId="103"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0" fontId="14" fillId="9" borderId="0" applyNumberFormat="0" applyBorder="0" applyAlignment="0" applyProtection="0"/>
    <xf numFmtId="0" fontId="177" fillId="103" borderId="0" applyNumberFormat="0" applyBorder="0" applyAlignment="0" applyProtection="0"/>
    <xf numFmtId="0" fontId="177" fillId="103" borderId="0" applyNumberFormat="0" applyBorder="0" applyAlignment="0" applyProtection="0"/>
    <xf numFmtId="0" fontId="14" fillId="9" borderId="0" applyNumberFormat="0" applyBorder="0" applyAlignment="0" applyProtection="0"/>
    <xf numFmtId="0" fontId="177" fillId="103" borderId="0" applyNumberFormat="0" applyBorder="0" applyAlignment="0" applyProtection="0"/>
    <xf numFmtId="0" fontId="177" fillId="103" borderId="0" applyNumberFormat="0" applyBorder="0" applyAlignment="0" applyProtection="0"/>
    <xf numFmtId="0" fontId="177" fillId="103" borderId="0" applyNumberFormat="0" applyBorder="0" applyAlignment="0" applyProtection="0"/>
    <xf numFmtId="0" fontId="177" fillId="103" borderId="0" applyNumberFormat="0" applyBorder="0" applyAlignment="0" applyProtection="0"/>
    <xf numFmtId="0" fontId="177" fillId="103" borderId="0" applyNumberFormat="0" applyBorder="0" applyAlignment="0" applyProtection="0"/>
    <xf numFmtId="0" fontId="177" fillId="103" borderId="0" applyNumberFormat="0" applyBorder="0" applyAlignment="0" applyProtection="0"/>
    <xf numFmtId="0" fontId="177" fillId="103"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2" borderId="0" applyNumberFormat="0" applyBorder="0" applyAlignment="0" applyProtection="0"/>
    <xf numFmtId="0" fontId="14" fillId="9" borderId="0" applyNumberFormat="0" applyBorder="0" applyAlignment="0" applyProtection="0"/>
    <xf numFmtId="0" fontId="176" fillId="82" borderId="0" applyNumberFormat="0" applyBorder="0" applyAlignment="0" applyProtection="0"/>
    <xf numFmtId="0"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4" fillId="9" borderId="0" applyNumberFormat="0" applyBorder="0" applyAlignment="0" applyProtection="0"/>
    <xf numFmtId="0" fontId="176" fillId="82" borderId="0" applyNumberFormat="0" applyBorder="0" applyAlignment="0" applyProtection="0"/>
    <xf numFmtId="0" fontId="14" fillId="9" borderId="0" applyNumberFormat="0" applyBorder="0" applyAlignment="0" applyProtection="0"/>
    <xf numFmtId="0" fontId="176" fillId="82" borderId="0" applyNumberFormat="0" applyBorder="0" applyAlignment="0" applyProtection="0"/>
    <xf numFmtId="0"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76" fillId="82" borderId="0" applyNumberFormat="0" applyBorder="0" applyAlignment="0" applyProtection="0"/>
    <xf numFmtId="0" fontId="176" fillId="82"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76" fillId="83" borderId="0" applyNumberFormat="0" applyBorder="0" applyAlignment="0" applyProtection="0"/>
    <xf numFmtId="0" fontId="176" fillId="82" borderId="0" applyNumberFormat="0" applyBorder="0" applyAlignment="0" applyProtection="0"/>
    <xf numFmtId="0" fontId="176" fillId="82"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206" fontId="14" fillId="9"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76" fillId="86" borderId="0" applyNumberFormat="0" applyBorder="0" applyAlignment="0" applyProtection="0"/>
    <xf numFmtId="0" fontId="176" fillId="86"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76" fillId="86"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76" fillId="86"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76" fillId="104" borderId="0" applyNumberFormat="0" applyBorder="0" applyAlignment="0" applyProtection="0"/>
    <xf numFmtId="0" fontId="176" fillId="104"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77" fillId="105" borderId="0" applyNumberFormat="0" applyBorder="0" applyAlignment="0" applyProtection="0"/>
    <xf numFmtId="0" fontId="177" fillId="105" borderId="0" applyNumberFormat="0" applyBorder="0" applyAlignment="0" applyProtection="0"/>
    <xf numFmtId="0" fontId="177" fillId="105" borderId="0" applyNumberFormat="0" applyBorder="0" applyAlignment="0" applyProtection="0"/>
    <xf numFmtId="0" fontId="177" fillId="105"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0" fontId="14" fillId="10" borderId="0" applyNumberFormat="0" applyBorder="0" applyAlignment="0" applyProtection="0"/>
    <xf numFmtId="0" fontId="177" fillId="105" borderId="0" applyNumberFormat="0" applyBorder="0" applyAlignment="0" applyProtection="0"/>
    <xf numFmtId="0" fontId="177" fillId="105" borderId="0" applyNumberFormat="0" applyBorder="0" applyAlignment="0" applyProtection="0"/>
    <xf numFmtId="0" fontId="14" fillId="10" borderId="0" applyNumberFormat="0" applyBorder="0" applyAlignment="0" applyProtection="0"/>
    <xf numFmtId="0" fontId="177" fillId="105" borderId="0" applyNumberFormat="0" applyBorder="0" applyAlignment="0" applyProtection="0"/>
    <xf numFmtId="0" fontId="177" fillId="105" borderId="0" applyNumberFormat="0" applyBorder="0" applyAlignment="0" applyProtection="0"/>
    <xf numFmtId="0" fontId="177" fillId="105" borderId="0" applyNumberFormat="0" applyBorder="0" applyAlignment="0" applyProtection="0"/>
    <xf numFmtId="0" fontId="177" fillId="105" borderId="0" applyNumberFormat="0" applyBorder="0" applyAlignment="0" applyProtection="0"/>
    <xf numFmtId="0" fontId="177" fillId="105" borderId="0" applyNumberFormat="0" applyBorder="0" applyAlignment="0" applyProtection="0"/>
    <xf numFmtId="0" fontId="177" fillId="105" borderId="0" applyNumberFormat="0" applyBorder="0" applyAlignment="0" applyProtection="0"/>
    <xf numFmtId="0" fontId="177" fillId="105"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76" fillId="86" borderId="0" applyNumberFormat="0" applyBorder="0" applyAlignment="0" applyProtection="0"/>
    <xf numFmtId="0" fontId="176" fillId="86"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76" fillId="86" borderId="0" applyNumberFormat="0" applyBorder="0" applyAlignment="0" applyProtection="0"/>
    <xf numFmtId="0" fontId="176" fillId="86" borderId="0" applyNumberFormat="0" applyBorder="0" applyAlignment="0" applyProtection="0"/>
    <xf numFmtId="0" fontId="176" fillId="86"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206" fontId="14" fillId="10" borderId="0" applyNumberFormat="0" applyBorder="0" applyAlignment="0" applyProtection="0"/>
    <xf numFmtId="0" fontId="14" fillId="106" borderId="0" applyNumberFormat="0" applyBorder="0" applyAlignment="0" applyProtection="0"/>
    <xf numFmtId="0" fontId="14" fillId="106"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76" fillId="106" borderId="0" applyNumberFormat="0" applyBorder="0" applyAlignment="0" applyProtection="0"/>
    <xf numFmtId="0" fontId="176" fillId="106"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76" fillId="106" borderId="0" applyNumberFormat="0" applyBorder="0" applyAlignment="0" applyProtection="0"/>
    <xf numFmtId="0" fontId="176" fillId="106"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76" fillId="106" borderId="0" applyNumberFormat="0" applyBorder="0" applyAlignment="0" applyProtection="0"/>
    <xf numFmtId="0" fontId="176" fillId="106"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06" borderId="0" applyNumberFormat="0" applyBorder="0" applyAlignment="0" applyProtection="0"/>
    <xf numFmtId="0" fontId="14" fillId="106"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76" fillId="108" borderId="0" applyNumberFormat="0" applyBorder="0" applyAlignment="0" applyProtection="0"/>
    <xf numFmtId="0" fontId="176" fillId="108"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7" fillId="109" borderId="0" applyNumberFormat="0" applyBorder="0" applyAlignment="0" applyProtection="0"/>
    <xf numFmtId="0" fontId="177" fillId="109" borderId="0" applyNumberFormat="0" applyBorder="0" applyAlignment="0" applyProtection="0"/>
    <xf numFmtId="0" fontId="177" fillId="109" borderId="0" applyNumberFormat="0" applyBorder="0" applyAlignment="0" applyProtection="0"/>
    <xf numFmtId="0" fontId="177" fillId="109"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77" fillId="109" borderId="0" applyNumberFormat="0" applyBorder="0" applyAlignment="0" applyProtection="0"/>
    <xf numFmtId="0" fontId="177" fillId="109" borderId="0" applyNumberFormat="0" applyBorder="0" applyAlignment="0" applyProtection="0"/>
    <xf numFmtId="0" fontId="14" fillId="13" borderId="0" applyNumberFormat="0" applyBorder="0" applyAlignment="0" applyProtection="0"/>
    <xf numFmtId="0" fontId="177" fillId="109" borderId="0" applyNumberFormat="0" applyBorder="0" applyAlignment="0" applyProtection="0"/>
    <xf numFmtId="0" fontId="177" fillId="109" borderId="0" applyNumberFormat="0" applyBorder="0" applyAlignment="0" applyProtection="0"/>
    <xf numFmtId="0" fontId="177" fillId="109" borderId="0" applyNumberFormat="0" applyBorder="0" applyAlignment="0" applyProtection="0"/>
    <xf numFmtId="0" fontId="177" fillId="109" borderId="0" applyNumberFormat="0" applyBorder="0" applyAlignment="0" applyProtection="0"/>
    <xf numFmtId="0" fontId="177" fillId="109" borderId="0" applyNumberFormat="0" applyBorder="0" applyAlignment="0" applyProtection="0"/>
    <xf numFmtId="0" fontId="177" fillId="109" borderId="0" applyNumberFormat="0" applyBorder="0" applyAlignment="0" applyProtection="0"/>
    <xf numFmtId="0" fontId="177" fillId="109"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6" borderId="0" applyNumberFormat="0" applyBorder="0" applyAlignment="0" applyProtection="0"/>
    <xf numFmtId="0" fontId="14" fillId="13" borderId="0" applyNumberFormat="0" applyBorder="0" applyAlignment="0" applyProtection="0"/>
    <xf numFmtId="0" fontId="176" fillId="106" borderId="0" applyNumberFormat="0" applyBorder="0" applyAlignment="0" applyProtection="0"/>
    <xf numFmtId="0"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6" borderId="0" applyNumberFormat="0" applyBorder="0" applyAlignment="0" applyProtection="0"/>
    <xf numFmtId="0" fontId="14" fillId="13" borderId="0" applyNumberFormat="0" applyBorder="0" applyAlignment="0" applyProtection="0"/>
    <xf numFmtId="0" fontId="176" fillId="106" borderId="0" applyNumberFormat="0" applyBorder="0" applyAlignment="0" applyProtection="0"/>
    <xf numFmtId="0"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76" fillId="106" borderId="0" applyNumberFormat="0" applyBorder="0" applyAlignment="0" applyProtection="0"/>
    <xf numFmtId="0" fontId="176" fillId="106"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76" fillId="106" borderId="0" applyNumberFormat="0" applyBorder="0" applyAlignment="0" applyProtection="0"/>
    <xf numFmtId="0" fontId="176" fillId="106"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10" borderId="0" applyNumberFormat="0" applyBorder="0" applyAlignment="0" applyProtection="0"/>
    <xf numFmtId="0" fontId="14" fillId="110"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76" fillId="110" borderId="0" applyNumberFormat="0" applyBorder="0" applyAlignment="0" applyProtection="0"/>
    <xf numFmtId="0" fontId="176" fillId="110"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76" fillId="110" borderId="0" applyNumberFormat="0" applyBorder="0" applyAlignment="0" applyProtection="0"/>
    <xf numFmtId="0" fontId="176" fillId="110"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76" fillId="110" borderId="0" applyNumberFormat="0" applyBorder="0" applyAlignment="0" applyProtection="0"/>
    <xf numFmtId="0" fontId="176" fillId="110"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10" borderId="0" applyNumberFormat="0" applyBorder="0" applyAlignment="0" applyProtection="0"/>
    <xf numFmtId="0" fontId="14" fillId="110"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76" fillId="112" borderId="0" applyNumberFormat="0" applyBorder="0" applyAlignment="0" applyProtection="0"/>
    <xf numFmtId="0" fontId="176" fillId="112"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7" fillId="113" borderId="0" applyNumberFormat="0" applyBorder="0" applyAlignment="0" applyProtection="0"/>
    <xf numFmtId="0" fontId="177" fillId="113" borderId="0" applyNumberFormat="0" applyBorder="0" applyAlignment="0" applyProtection="0"/>
    <xf numFmtId="0" fontId="177" fillId="113" borderId="0" applyNumberFormat="0" applyBorder="0" applyAlignment="0" applyProtection="0"/>
    <xf numFmtId="0" fontId="177" fillId="11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77" fillId="113" borderId="0" applyNumberFormat="0" applyBorder="0" applyAlignment="0" applyProtection="0"/>
    <xf numFmtId="0" fontId="177" fillId="113" borderId="0" applyNumberFormat="0" applyBorder="0" applyAlignment="0" applyProtection="0"/>
    <xf numFmtId="0" fontId="14" fillId="14" borderId="0" applyNumberFormat="0" applyBorder="0" applyAlignment="0" applyProtection="0"/>
    <xf numFmtId="0" fontId="178" fillId="114" borderId="0">
      <alignment vertical="top"/>
      <protection locked="0"/>
    </xf>
    <xf numFmtId="0" fontId="177" fillId="113" borderId="0" applyNumberFormat="0" applyBorder="0" applyAlignment="0" applyProtection="0"/>
    <xf numFmtId="0" fontId="177" fillId="113" borderId="0" applyNumberFormat="0" applyBorder="0" applyAlignment="0" applyProtection="0"/>
    <xf numFmtId="0" fontId="177" fillId="113" borderId="0" applyNumberFormat="0" applyBorder="0" applyAlignment="0" applyProtection="0"/>
    <xf numFmtId="0" fontId="177" fillId="113" borderId="0" applyNumberFormat="0" applyBorder="0" applyAlignment="0" applyProtection="0"/>
    <xf numFmtId="0" fontId="177" fillId="113" borderId="0" applyNumberFormat="0" applyBorder="0" applyAlignment="0" applyProtection="0"/>
    <xf numFmtId="0" fontId="177" fillId="113"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0" borderId="0" applyNumberFormat="0" applyBorder="0" applyAlignment="0" applyProtection="0"/>
    <xf numFmtId="0" fontId="14" fillId="14" borderId="0" applyNumberFormat="0" applyBorder="0" applyAlignment="0" applyProtection="0"/>
    <xf numFmtId="0" fontId="176" fillId="110" borderId="0" applyNumberFormat="0" applyBorder="0" applyAlignment="0" applyProtection="0"/>
    <xf numFmtId="0"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0" borderId="0" applyNumberFormat="0" applyBorder="0" applyAlignment="0" applyProtection="0"/>
    <xf numFmtId="0" fontId="14" fillId="14" borderId="0" applyNumberFormat="0" applyBorder="0" applyAlignment="0" applyProtection="0"/>
    <xf numFmtId="0" fontId="176" fillId="110" borderId="0" applyNumberFormat="0" applyBorder="0" applyAlignment="0" applyProtection="0"/>
    <xf numFmtId="0"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76" fillId="110" borderId="0" applyNumberFormat="0" applyBorder="0" applyAlignment="0" applyProtection="0"/>
    <xf numFmtId="0" fontId="176" fillId="110"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76" fillId="110" borderId="0" applyNumberFormat="0" applyBorder="0" applyAlignment="0" applyProtection="0"/>
    <xf numFmtId="0" fontId="176" fillId="110"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94" borderId="0" applyNumberFormat="0" applyBorder="0" applyAlignment="0" applyProtection="0"/>
    <xf numFmtId="0" fontId="14" fillId="115" borderId="0" applyNumberFormat="0" applyBorder="0" applyAlignment="0" applyProtection="0"/>
    <xf numFmtId="0" fontId="14" fillId="115"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76" fillId="94" borderId="0" applyNumberFormat="0" applyBorder="0" applyAlignment="0" applyProtection="0"/>
    <xf numFmtId="0" fontId="176" fillId="94"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76" fillId="94" borderId="0" applyNumberFormat="0" applyBorder="0" applyAlignment="0" applyProtection="0"/>
    <xf numFmtId="0" fontId="176" fillId="94"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76" fillId="94" borderId="0" applyNumberFormat="0" applyBorder="0" applyAlignment="0" applyProtection="0"/>
    <xf numFmtId="0" fontId="176" fillId="94"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76" fillId="117" borderId="0" applyNumberFormat="0" applyBorder="0" applyAlignment="0" applyProtection="0"/>
    <xf numFmtId="0" fontId="176" fillId="117"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77" fillId="118" borderId="0" applyNumberFormat="0" applyBorder="0" applyAlignment="0" applyProtection="0"/>
    <xf numFmtId="0" fontId="177" fillId="118" borderId="0" applyNumberFormat="0" applyBorder="0" applyAlignment="0" applyProtection="0"/>
    <xf numFmtId="0" fontId="177" fillId="118" borderId="0" applyNumberFormat="0" applyBorder="0" applyAlignment="0" applyProtection="0"/>
    <xf numFmtId="0" fontId="177" fillId="118"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0" fontId="14" fillId="15" borderId="0" applyNumberFormat="0" applyBorder="0" applyAlignment="0" applyProtection="0"/>
    <xf numFmtId="0" fontId="177" fillId="118" borderId="0" applyNumberFormat="0" applyBorder="0" applyAlignment="0" applyProtection="0"/>
    <xf numFmtId="0" fontId="177" fillId="118" borderId="0" applyNumberFormat="0" applyBorder="0" applyAlignment="0" applyProtection="0"/>
    <xf numFmtId="0" fontId="14" fillId="15" borderId="0" applyNumberFormat="0" applyBorder="0" applyAlignment="0" applyProtection="0"/>
    <xf numFmtId="0" fontId="177" fillId="118" borderId="0" applyNumberFormat="0" applyBorder="0" applyAlignment="0" applyProtection="0"/>
    <xf numFmtId="0" fontId="177" fillId="118" borderId="0" applyNumberFormat="0" applyBorder="0" applyAlignment="0" applyProtection="0"/>
    <xf numFmtId="0" fontId="177" fillId="118" borderId="0" applyNumberFormat="0" applyBorder="0" applyAlignment="0" applyProtection="0"/>
    <xf numFmtId="0" fontId="177" fillId="118" borderId="0" applyNumberFormat="0" applyBorder="0" applyAlignment="0" applyProtection="0"/>
    <xf numFmtId="0" fontId="177" fillId="118" borderId="0" applyNumberFormat="0" applyBorder="0" applyAlignment="0" applyProtection="0"/>
    <xf numFmtId="0" fontId="177" fillId="118" borderId="0" applyNumberFormat="0" applyBorder="0" applyAlignment="0" applyProtection="0"/>
    <xf numFmtId="0" fontId="177" fillId="118"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lignment vertical="top"/>
      <protection locked="0"/>
    </xf>
    <xf numFmtId="0" fontId="14" fillId="15"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94" borderId="0" applyNumberFormat="0" applyBorder="0" applyAlignment="0" applyProtection="0"/>
    <xf numFmtId="0" fontId="14" fillId="15" borderId="0" applyNumberFormat="0" applyBorder="0" applyAlignment="0" applyProtection="0"/>
    <xf numFmtId="0" fontId="176" fillId="94" borderId="0" applyNumberFormat="0" applyBorder="0" applyAlignment="0" applyProtection="0"/>
    <xf numFmtId="0"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4" fillId="15" borderId="0" applyNumberFormat="0" applyBorder="0" applyAlignment="0" applyProtection="0"/>
    <xf numFmtId="0" fontId="176" fillId="94" borderId="0" applyNumberFormat="0" applyBorder="0" applyAlignment="0" applyProtection="0"/>
    <xf numFmtId="0" fontId="14" fillId="15" borderId="0" applyNumberFormat="0" applyBorder="0" applyAlignment="0" applyProtection="0"/>
    <xf numFmtId="0" fontId="176" fillId="94" borderId="0" applyNumberFormat="0" applyBorder="0" applyAlignment="0" applyProtection="0"/>
    <xf numFmtId="0"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76" fillId="94" borderId="0" applyNumberFormat="0" applyBorder="0" applyAlignment="0" applyProtection="0"/>
    <xf numFmtId="0" fontId="176" fillId="94"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76" fillId="116" borderId="0" applyNumberFormat="0" applyBorder="0" applyAlignment="0" applyProtection="0"/>
    <xf numFmtId="0" fontId="176" fillId="94" borderId="0" applyNumberFormat="0" applyBorder="0" applyAlignment="0" applyProtection="0"/>
    <xf numFmtId="0" fontId="176" fillId="94"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206" fontId="14" fillId="15" borderId="0" applyNumberFormat="0" applyBorder="0" applyAlignment="0" applyProtection="0"/>
    <xf numFmtId="0" fontId="114" fillId="12" borderId="0" applyNumberFormat="0" applyBorder="0" applyAlignment="0" applyProtection="0"/>
    <xf numFmtId="0" fontId="114" fillId="9" borderId="0" applyNumberFormat="0" applyBorder="0" applyAlignment="0" applyProtection="0"/>
    <xf numFmtId="0" fontId="114" fillId="10" borderId="0" applyNumberFormat="0" applyBorder="0" applyAlignment="0" applyProtection="0"/>
    <xf numFmtId="0" fontId="114" fillId="13" borderId="0" applyNumberFormat="0" applyBorder="0" applyAlignment="0" applyProtection="0"/>
    <xf numFmtId="0" fontId="114" fillId="14" borderId="0" applyNumberFormat="0" applyBorder="0" applyAlignment="0" applyProtection="0"/>
    <xf numFmtId="0" fontId="114" fillId="15" borderId="0" applyNumberFormat="0" applyBorder="0" applyAlignment="0" applyProtection="0"/>
    <xf numFmtId="0" fontId="124" fillId="12" borderId="0" applyNumberFormat="0" applyBorder="0" applyAlignment="0" applyProtection="0"/>
    <xf numFmtId="0" fontId="124" fillId="9" borderId="0" applyNumberFormat="0" applyBorder="0" applyAlignment="0" applyProtection="0"/>
    <xf numFmtId="0" fontId="124" fillId="10" borderId="0" applyNumberFormat="0" applyBorder="0" applyAlignment="0" applyProtection="0"/>
    <xf numFmtId="0" fontId="124" fillId="13" borderId="0" applyNumberFormat="0" applyBorder="0" applyAlignment="0" applyProtection="0"/>
    <xf numFmtId="0" fontId="124" fillId="14" borderId="0" applyNumberFormat="0" applyBorder="0" applyAlignment="0" applyProtection="0"/>
    <xf numFmtId="0" fontId="124" fillId="15" borderId="0" applyNumberFormat="0" applyBorder="0" applyAlignment="0" applyProtection="0"/>
    <xf numFmtId="0" fontId="179" fillId="12" borderId="0" applyNumberFormat="0" applyBorder="0" applyAlignment="0" applyProtection="0">
      <alignment vertical="center"/>
    </xf>
    <xf numFmtId="0" fontId="179" fillId="9" borderId="0" applyNumberFormat="0" applyBorder="0" applyAlignment="0" applyProtection="0">
      <alignment vertical="center"/>
    </xf>
    <xf numFmtId="0" fontId="179" fillId="10" borderId="0" applyNumberFormat="0" applyBorder="0" applyAlignment="0" applyProtection="0">
      <alignment vertical="center"/>
    </xf>
    <xf numFmtId="0" fontId="179" fillId="13" borderId="0" applyNumberFormat="0" applyBorder="0" applyAlignment="0" applyProtection="0">
      <alignment vertical="center"/>
    </xf>
    <xf numFmtId="0" fontId="179" fillId="14" borderId="0" applyNumberFormat="0" applyBorder="0" applyAlignment="0" applyProtection="0">
      <alignment vertical="center"/>
    </xf>
    <xf numFmtId="0" fontId="179" fillId="15" borderId="0" applyNumberFormat="0" applyBorder="0" applyAlignment="0" applyProtection="0">
      <alignment vertical="center"/>
    </xf>
    <xf numFmtId="9" fontId="180" fillId="0" borderId="0"/>
    <xf numFmtId="9" fontId="180" fillId="0" borderId="0"/>
    <xf numFmtId="9" fontId="180" fillId="0" borderId="0"/>
    <xf numFmtId="9" fontId="180" fillId="0" borderId="0"/>
    <xf numFmtId="9" fontId="180" fillId="0" borderId="0"/>
    <xf numFmtId="9" fontId="180" fillId="0" borderId="0"/>
    <xf numFmtId="0" fontId="4" fillId="0" borderId="0"/>
    <xf numFmtId="0" fontId="181" fillId="0" borderId="0"/>
    <xf numFmtId="0" fontId="4" fillId="0" borderId="0"/>
    <xf numFmtId="0" fontId="107" fillId="0" borderId="64">
      <alignment horizontal="left" vertical="center" wrapText="1" readingOrder="1"/>
    </xf>
    <xf numFmtId="209" fontId="12" fillId="0" borderId="0">
      <protection locked="0"/>
    </xf>
    <xf numFmtId="210" fontId="12" fillId="0" borderId="0">
      <alignment horizontal="right" vertical="center"/>
      <protection locked="0"/>
    </xf>
    <xf numFmtId="209" fontId="12" fillId="0" borderId="0">
      <alignment horizontal="right" vertical="center"/>
      <protection locked="0"/>
    </xf>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4" fillId="120" borderId="0" applyNumberFormat="0" applyBorder="0" applyAlignment="0" applyProtection="0"/>
    <xf numFmtId="0" fontId="14" fillId="120" borderId="0" applyNumberFormat="0" applyBorder="0" applyAlignment="0" applyProtection="0"/>
    <xf numFmtId="0" fontId="14" fillId="120" borderId="0" applyNumberFormat="0" applyBorder="0" applyAlignment="0" applyProtection="0"/>
    <xf numFmtId="0" fontId="14" fillId="121" borderId="0" applyNumberFormat="0" applyBorder="0" applyAlignment="0" applyProtection="0"/>
    <xf numFmtId="0" fontId="14" fillId="121"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77" fillId="14"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76" fillId="121"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76" fillId="124" borderId="0" applyNumberFormat="0" applyBorder="0" applyAlignment="0" applyProtection="0"/>
    <xf numFmtId="0" fontId="176" fillId="124"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22" borderId="0" applyNumberFormat="0" applyBorder="0" applyAlignment="0" applyProtection="0"/>
    <xf numFmtId="0" fontId="14" fillId="16" borderId="0" applyNumberFormat="0" applyBorder="0" applyAlignment="0" applyProtection="0"/>
    <xf numFmtId="0" fontId="14" fillId="122"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0" fontId="14" fillId="122"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22" borderId="0" applyNumberFormat="0" applyBorder="0" applyAlignment="0" applyProtection="0"/>
    <xf numFmtId="0" fontId="14" fillId="16" borderId="0" applyNumberFormat="0" applyBorder="0" applyAlignment="0" applyProtection="0"/>
    <xf numFmtId="0" fontId="14" fillId="122" borderId="0" applyNumberFormat="0" applyBorder="0" applyAlignment="0" applyProtection="0"/>
    <xf numFmtId="0"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4" fillId="122" borderId="0" applyNumberFormat="0" applyBorder="0" applyAlignment="0" applyProtection="0"/>
    <xf numFmtId="0" fontId="14" fillId="16" borderId="0" applyNumberFormat="0" applyBorder="0" applyAlignment="0" applyProtection="0"/>
    <xf numFmtId="0" fontId="14" fillId="122" borderId="0" applyNumberFormat="0" applyBorder="0" applyAlignment="0" applyProtection="0"/>
    <xf numFmtId="0"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77" fillId="123"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4" fillId="122" borderId="0" applyNumberFormat="0" applyBorder="0" applyAlignment="0" applyProtection="0"/>
    <xf numFmtId="0" fontId="14" fillId="16" borderId="0" applyNumberFormat="0" applyBorder="0" applyAlignment="0" applyProtection="0"/>
    <xf numFmtId="0" fontId="14" fillId="122" borderId="0" applyNumberFormat="0" applyBorder="0" applyAlignment="0" applyProtection="0"/>
    <xf numFmtId="0"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6" borderId="0" applyNumberFormat="0" applyBorder="0" applyAlignment="0" applyProtection="0"/>
    <xf numFmtId="0" fontId="14" fillId="122" borderId="0" applyNumberFormat="0" applyBorder="0" applyAlignment="0" applyProtection="0"/>
    <xf numFmtId="0" fontId="14" fillId="16" borderId="0" applyNumberFormat="0" applyBorder="0" applyAlignment="0" applyProtection="0"/>
    <xf numFmtId="0" fontId="14" fillId="122" borderId="0" applyNumberFormat="0" applyBorder="0" applyAlignment="0" applyProtection="0"/>
    <xf numFmtId="0"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76" fillId="121"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206" fontId="14" fillId="16" borderId="0" applyNumberFormat="0" applyBorder="0" applyAlignment="0" applyProtection="0"/>
    <xf numFmtId="0" fontId="14" fillId="16"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6" borderId="0" applyNumberFormat="0" applyBorder="0" applyAlignment="0" applyProtection="0"/>
    <xf numFmtId="0" fontId="11" fillId="126" borderId="0" applyNumberFormat="0" applyBorder="0" applyAlignment="0" applyProtection="0"/>
    <xf numFmtId="0" fontId="11" fillId="126" borderId="0" applyNumberFormat="0" applyBorder="0" applyAlignment="0" applyProtection="0"/>
    <xf numFmtId="0" fontId="11" fillId="126" borderId="0" applyNumberFormat="0" applyBorder="0" applyAlignment="0" applyProtection="0"/>
    <xf numFmtId="0" fontId="11" fillId="126" borderId="0" applyNumberFormat="0" applyBorder="0" applyAlignment="0" applyProtection="0"/>
    <xf numFmtId="0" fontId="11" fillId="126" borderId="0" applyNumberFormat="0" applyBorder="0" applyAlignment="0" applyProtection="0"/>
    <xf numFmtId="0" fontId="11" fillId="126" borderId="0" applyNumberFormat="0" applyBorder="0" applyAlignment="0" applyProtection="0"/>
    <xf numFmtId="0" fontId="14" fillId="127" borderId="0" applyNumberFormat="0" applyBorder="0" applyAlignment="0" applyProtection="0"/>
    <xf numFmtId="0" fontId="14" fillId="127" borderId="0" applyNumberFormat="0" applyBorder="0" applyAlignment="0" applyProtection="0"/>
    <xf numFmtId="0" fontId="14" fillId="127" borderId="0" applyNumberFormat="0" applyBorder="0" applyAlignment="0" applyProtection="0"/>
    <xf numFmtId="0" fontId="14" fillId="128" borderId="0" applyNumberFormat="0" applyBorder="0" applyAlignment="0" applyProtection="0"/>
    <xf numFmtId="0" fontId="14" fillId="128"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29" borderId="0" applyNumberFormat="0" applyBorder="0" applyAlignment="0" applyProtection="0"/>
    <xf numFmtId="0" fontId="14" fillId="129"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29" borderId="0" applyNumberFormat="0" applyBorder="0" applyAlignment="0" applyProtection="0"/>
    <xf numFmtId="0" fontId="14" fillId="129"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29" borderId="0" applyNumberFormat="0" applyBorder="0" applyAlignment="0" applyProtection="0"/>
    <xf numFmtId="0" fontId="14" fillId="129"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29" borderId="0" applyNumberFormat="0" applyBorder="0" applyAlignment="0" applyProtection="0"/>
    <xf numFmtId="0" fontId="14" fillId="129"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29" borderId="0" applyNumberFormat="0" applyBorder="0" applyAlignment="0" applyProtection="0"/>
    <xf numFmtId="0" fontId="14" fillId="129"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29" borderId="0" applyNumberFormat="0" applyBorder="0" applyAlignment="0" applyProtection="0"/>
    <xf numFmtId="0" fontId="14" fillId="129"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77"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76" fillId="128" borderId="0" applyNumberFormat="0" applyBorder="0" applyAlignment="0" applyProtection="0"/>
    <xf numFmtId="0" fontId="14" fillId="129" borderId="0" applyNumberFormat="0" applyBorder="0" applyAlignment="0" applyProtection="0"/>
    <xf numFmtId="0" fontId="14" fillId="129"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29" borderId="0" applyNumberFormat="0" applyBorder="0" applyAlignment="0" applyProtection="0"/>
    <xf numFmtId="0" fontId="14" fillId="129"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76" fillId="131" borderId="0" applyNumberFormat="0" applyBorder="0" applyAlignment="0" applyProtection="0"/>
    <xf numFmtId="0" fontId="176" fillId="131"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29" borderId="0" applyNumberFormat="0" applyBorder="0" applyAlignment="0" applyProtection="0"/>
    <xf numFmtId="0" fontId="14" fillId="129"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29" borderId="0" applyNumberFormat="0" applyBorder="0" applyAlignment="0" applyProtection="0"/>
    <xf numFmtId="0" fontId="14" fillId="17" borderId="0" applyNumberFormat="0" applyBorder="0" applyAlignment="0" applyProtection="0"/>
    <xf numFmtId="0" fontId="14" fillId="129"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0" fontId="14" fillId="129"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29" borderId="0" applyNumberFormat="0" applyBorder="0" applyAlignment="0" applyProtection="0"/>
    <xf numFmtId="0" fontId="14" fillId="17" borderId="0" applyNumberFormat="0" applyBorder="0" applyAlignment="0" applyProtection="0"/>
    <xf numFmtId="0" fontId="14" fillId="129" borderId="0" applyNumberFormat="0" applyBorder="0" applyAlignment="0" applyProtection="0"/>
    <xf numFmtId="0"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4" fillId="129" borderId="0" applyNumberFormat="0" applyBorder="0" applyAlignment="0" applyProtection="0"/>
    <xf numFmtId="0" fontId="14" fillId="17" borderId="0" applyNumberFormat="0" applyBorder="0" applyAlignment="0" applyProtection="0"/>
    <xf numFmtId="0" fontId="14" fillId="129" borderId="0" applyNumberFormat="0" applyBorder="0" applyAlignment="0" applyProtection="0"/>
    <xf numFmtId="0"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77" fillId="130"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4" fillId="129" borderId="0" applyNumberFormat="0" applyBorder="0" applyAlignment="0" applyProtection="0"/>
    <xf numFmtId="0" fontId="14" fillId="17" borderId="0" applyNumberFormat="0" applyBorder="0" applyAlignment="0" applyProtection="0"/>
    <xf numFmtId="0" fontId="14" fillId="129" borderId="0" applyNumberFormat="0" applyBorder="0" applyAlignment="0" applyProtection="0"/>
    <xf numFmtId="0"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7" borderId="0" applyNumberFormat="0" applyBorder="0" applyAlignment="0" applyProtection="0"/>
    <xf numFmtId="0" fontId="14" fillId="129" borderId="0" applyNumberFormat="0" applyBorder="0" applyAlignment="0" applyProtection="0"/>
    <xf numFmtId="0" fontId="14" fillId="17" borderId="0" applyNumberFormat="0" applyBorder="0" applyAlignment="0" applyProtection="0"/>
    <xf numFmtId="0" fontId="14" fillId="129" borderId="0" applyNumberFormat="0" applyBorder="0" applyAlignment="0" applyProtection="0"/>
    <xf numFmtId="0"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29" borderId="0" applyNumberFormat="0" applyBorder="0" applyAlignment="0" applyProtection="0"/>
    <xf numFmtId="0" fontId="14" fillId="129"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76" fillId="128" borderId="0" applyNumberFormat="0" applyBorder="0" applyAlignment="0" applyProtection="0"/>
    <xf numFmtId="0" fontId="14" fillId="129" borderId="0" applyNumberFormat="0" applyBorder="0" applyAlignment="0" applyProtection="0"/>
    <xf numFmtId="0" fontId="14" fillId="129"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206" fontId="14" fillId="17" borderId="0" applyNumberFormat="0" applyBorder="0" applyAlignment="0" applyProtection="0"/>
    <xf numFmtId="0" fontId="14" fillId="17"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32" borderId="0" applyNumberFormat="0" applyBorder="0" applyAlignment="0" applyProtection="0"/>
    <xf numFmtId="0" fontId="11" fillId="132" borderId="0" applyNumberFormat="0" applyBorder="0" applyAlignment="0" applyProtection="0"/>
    <xf numFmtId="0" fontId="11" fillId="132" borderId="0" applyNumberFormat="0" applyBorder="0" applyAlignment="0" applyProtection="0"/>
    <xf numFmtId="0" fontId="11" fillId="132" borderId="0" applyNumberFormat="0" applyBorder="0" applyAlignment="0" applyProtection="0"/>
    <xf numFmtId="0" fontId="11" fillId="132" borderId="0" applyNumberFormat="0" applyBorder="0" applyAlignment="0" applyProtection="0"/>
    <xf numFmtId="0" fontId="11" fillId="132" borderId="0" applyNumberFormat="0" applyBorder="0" applyAlignment="0" applyProtection="0"/>
    <xf numFmtId="0" fontId="11" fillId="132" borderId="0" applyNumberFormat="0" applyBorder="0" applyAlignment="0" applyProtection="0"/>
    <xf numFmtId="0" fontId="14" fillId="126" borderId="0" applyNumberFormat="0" applyBorder="0" applyAlignment="0" applyProtection="0"/>
    <xf numFmtId="0" fontId="14" fillId="126" borderId="0" applyNumberFormat="0" applyBorder="0" applyAlignment="0" applyProtection="0"/>
    <xf numFmtId="0" fontId="14" fillId="126" borderId="0" applyNumberFormat="0" applyBorder="0" applyAlignment="0" applyProtection="0"/>
    <xf numFmtId="0" fontId="14" fillId="133" borderId="0" applyNumberFormat="0" applyBorder="0" applyAlignment="0" applyProtection="0"/>
    <xf numFmtId="0" fontId="14" fillId="134" borderId="0" applyNumberFormat="0" applyBorder="0" applyAlignment="0" applyProtection="0"/>
    <xf numFmtId="0" fontId="14" fillId="134"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27" borderId="0" applyNumberFormat="0" applyBorder="0" applyAlignment="0" applyProtection="0"/>
    <xf numFmtId="0" fontId="14" fillId="127"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27" borderId="0" applyNumberFormat="0" applyBorder="0" applyAlignment="0" applyProtection="0"/>
    <xf numFmtId="0" fontId="14" fillId="127"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27" borderId="0" applyNumberFormat="0" applyBorder="0" applyAlignment="0" applyProtection="0"/>
    <xf numFmtId="0" fontId="14" fillId="127"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27" borderId="0" applyNumberFormat="0" applyBorder="0" applyAlignment="0" applyProtection="0"/>
    <xf numFmtId="0" fontId="14" fillId="127"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27" borderId="0" applyNumberFormat="0" applyBorder="0" applyAlignment="0" applyProtection="0"/>
    <xf numFmtId="0" fontId="14" fillId="127"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27" borderId="0" applyNumberFormat="0" applyBorder="0" applyAlignment="0" applyProtection="0"/>
    <xf numFmtId="0" fontId="14" fillId="127"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77"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76" fillId="135" borderId="0" applyNumberFormat="0" applyBorder="0" applyAlignment="0" applyProtection="0"/>
    <xf numFmtId="0" fontId="14" fillId="127" borderId="0" applyNumberFormat="0" applyBorder="0" applyAlignment="0" applyProtection="0"/>
    <xf numFmtId="0" fontId="14" fillId="127"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27" borderId="0" applyNumberFormat="0" applyBorder="0" applyAlignment="0" applyProtection="0"/>
    <xf numFmtId="0" fontId="14" fillId="127"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76" fillId="137" borderId="0" applyNumberFormat="0" applyBorder="0" applyAlignment="0" applyProtection="0"/>
    <xf numFmtId="0" fontId="176" fillId="137"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27" borderId="0" applyNumberFormat="0" applyBorder="0" applyAlignment="0" applyProtection="0"/>
    <xf numFmtId="0" fontId="14" fillId="127"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27" borderId="0" applyNumberFormat="0" applyBorder="0" applyAlignment="0" applyProtection="0"/>
    <xf numFmtId="0" fontId="14" fillId="18" borderId="0" applyNumberFormat="0" applyBorder="0" applyAlignment="0" applyProtection="0"/>
    <xf numFmtId="0" fontId="14" fillId="127"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0" fontId="14" fillId="127"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27" borderId="0" applyNumberFormat="0" applyBorder="0" applyAlignment="0" applyProtection="0"/>
    <xf numFmtId="0" fontId="14" fillId="18" borderId="0" applyNumberFormat="0" applyBorder="0" applyAlignment="0" applyProtection="0"/>
    <xf numFmtId="0" fontId="14" fillId="127" borderId="0" applyNumberFormat="0" applyBorder="0" applyAlignment="0" applyProtection="0"/>
    <xf numFmtId="0"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4" fillId="127" borderId="0" applyNumberFormat="0" applyBorder="0" applyAlignment="0" applyProtection="0"/>
    <xf numFmtId="0" fontId="14" fillId="18" borderId="0" applyNumberFormat="0" applyBorder="0" applyAlignment="0" applyProtection="0"/>
    <xf numFmtId="0" fontId="14" fillId="127" borderId="0" applyNumberFormat="0" applyBorder="0" applyAlignment="0" applyProtection="0"/>
    <xf numFmtId="0"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77" fillId="136"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4" fillId="127" borderId="0" applyNumberFormat="0" applyBorder="0" applyAlignment="0" applyProtection="0"/>
    <xf numFmtId="0" fontId="14" fillId="18" borderId="0" applyNumberFormat="0" applyBorder="0" applyAlignment="0" applyProtection="0"/>
    <xf numFmtId="0" fontId="14" fillId="127" borderId="0" applyNumberFormat="0" applyBorder="0" applyAlignment="0" applyProtection="0"/>
    <xf numFmtId="0"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8" borderId="0" applyNumberFormat="0" applyBorder="0" applyAlignment="0" applyProtection="0"/>
    <xf numFmtId="0" fontId="14" fillId="127" borderId="0" applyNumberFormat="0" applyBorder="0" applyAlignment="0" applyProtection="0"/>
    <xf numFmtId="0" fontId="14" fillId="18" borderId="0" applyNumberFormat="0" applyBorder="0" applyAlignment="0" applyProtection="0"/>
    <xf numFmtId="0" fontId="14" fillId="127" borderId="0" applyNumberFormat="0" applyBorder="0" applyAlignment="0" applyProtection="0"/>
    <xf numFmtId="0"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27" borderId="0" applyNumberFormat="0" applyBorder="0" applyAlignment="0" applyProtection="0"/>
    <xf numFmtId="0" fontId="14" fillId="127"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76" fillId="135" borderId="0" applyNumberFormat="0" applyBorder="0" applyAlignment="0" applyProtection="0"/>
    <xf numFmtId="0" fontId="14" fillId="127" borderId="0" applyNumberFormat="0" applyBorder="0" applyAlignment="0" applyProtection="0"/>
    <xf numFmtId="0" fontId="14" fillId="127"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206" fontId="14" fillId="18" borderId="0" applyNumberFormat="0" applyBorder="0" applyAlignment="0" applyProtection="0"/>
    <xf numFmtId="0" fontId="14" fillId="18"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26" borderId="0" applyNumberFormat="0" applyBorder="0" applyAlignment="0" applyProtection="0"/>
    <xf numFmtId="0" fontId="11" fillId="126" borderId="0" applyNumberFormat="0" applyBorder="0" applyAlignment="0" applyProtection="0"/>
    <xf numFmtId="0" fontId="11" fillId="126" borderId="0" applyNumberFormat="0" applyBorder="0" applyAlignment="0" applyProtection="0"/>
    <xf numFmtId="0" fontId="11" fillId="126" borderId="0" applyNumberFormat="0" applyBorder="0" applyAlignment="0" applyProtection="0"/>
    <xf numFmtId="0" fontId="11" fillId="126" borderId="0" applyNumberFormat="0" applyBorder="0" applyAlignment="0" applyProtection="0"/>
    <xf numFmtId="0" fontId="11" fillId="126" borderId="0" applyNumberFormat="0" applyBorder="0" applyAlignment="0" applyProtection="0"/>
    <xf numFmtId="0" fontId="11" fillId="126" borderId="0" applyNumberFormat="0" applyBorder="0" applyAlignment="0" applyProtection="0"/>
    <xf numFmtId="0" fontId="14" fillId="126" borderId="0" applyNumberFormat="0" applyBorder="0" applyAlignment="0" applyProtection="0"/>
    <xf numFmtId="0" fontId="14" fillId="126" borderId="0" applyNumberFormat="0" applyBorder="0" applyAlignment="0" applyProtection="0"/>
    <xf numFmtId="0" fontId="14" fillId="126" borderId="0" applyNumberFormat="0" applyBorder="0" applyAlignment="0" applyProtection="0"/>
    <xf numFmtId="0" fontId="14" fillId="106" borderId="0" applyNumberFormat="0" applyBorder="0" applyAlignment="0" applyProtection="0"/>
    <xf numFmtId="0" fontId="14" fillId="106"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76" fillId="107"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76" fillId="139" borderId="0" applyNumberFormat="0" applyBorder="0" applyAlignment="0" applyProtection="0"/>
    <xf numFmtId="0" fontId="176" fillId="139"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22" borderId="0" applyNumberFormat="0" applyBorder="0" applyAlignment="0" applyProtection="0"/>
    <xf numFmtId="0" fontId="14" fillId="13" borderId="0" applyNumberFormat="0" applyBorder="0" applyAlignment="0" applyProtection="0"/>
    <xf numFmtId="0" fontId="14" fillId="122"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22"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22" borderId="0" applyNumberFormat="0" applyBorder="0" applyAlignment="0" applyProtection="0"/>
    <xf numFmtId="0" fontId="14" fillId="13" borderId="0" applyNumberFormat="0" applyBorder="0" applyAlignment="0" applyProtection="0"/>
    <xf numFmtId="0" fontId="14" fillId="122" borderId="0" applyNumberFormat="0" applyBorder="0" applyAlignment="0" applyProtection="0"/>
    <xf numFmtId="0"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4" fillId="13" borderId="0">
      <alignment vertical="top"/>
      <protection locked="0"/>
    </xf>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4" fillId="122" borderId="0" applyNumberFormat="0" applyBorder="0" applyAlignment="0" applyProtection="0"/>
    <xf numFmtId="0" fontId="14" fillId="13" borderId="0" applyNumberFormat="0" applyBorder="0" applyAlignment="0" applyProtection="0"/>
    <xf numFmtId="0" fontId="14" fillId="122" borderId="0" applyNumberFormat="0" applyBorder="0" applyAlignment="0" applyProtection="0"/>
    <xf numFmtId="0"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77" fillId="138"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4" fillId="122" borderId="0" applyNumberFormat="0" applyBorder="0" applyAlignment="0" applyProtection="0"/>
    <xf numFmtId="0" fontId="14" fillId="13" borderId="0" applyNumberFormat="0" applyBorder="0" applyAlignment="0" applyProtection="0"/>
    <xf numFmtId="0" fontId="14" fillId="122" borderId="0" applyNumberFormat="0" applyBorder="0" applyAlignment="0" applyProtection="0"/>
    <xf numFmtId="0"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3" borderId="0" applyNumberFormat="0" applyBorder="0" applyAlignment="0" applyProtection="0"/>
    <xf numFmtId="0" fontId="14" fillId="122" borderId="0" applyNumberFormat="0" applyBorder="0" applyAlignment="0" applyProtection="0"/>
    <xf numFmtId="0" fontId="14" fillId="13" borderId="0" applyNumberFormat="0" applyBorder="0" applyAlignment="0" applyProtection="0"/>
    <xf numFmtId="0" fontId="14" fillId="122" borderId="0" applyNumberFormat="0" applyBorder="0" applyAlignment="0" applyProtection="0"/>
    <xf numFmtId="0"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22" borderId="0" applyNumberFormat="0" applyBorder="0" applyAlignment="0" applyProtection="0"/>
    <xf numFmtId="0" fontId="14" fillId="122"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76" fillId="107" borderId="0" applyNumberFormat="0" applyBorder="0" applyAlignment="0" applyProtection="0"/>
    <xf numFmtId="0" fontId="14" fillId="122" borderId="0" applyNumberFormat="0" applyBorder="0" applyAlignment="0" applyProtection="0"/>
    <xf numFmtId="0" fontId="182" fillId="0" borderId="0">
      <protection locked="0"/>
    </xf>
    <xf numFmtId="0" fontId="14" fillId="122" borderId="0" applyNumberFormat="0" applyBorder="0" applyAlignment="0" applyProtection="0"/>
    <xf numFmtId="0" fontId="48" fillId="0" borderId="0">
      <protection locked="0"/>
    </xf>
    <xf numFmtId="206" fontId="14" fillId="13" borderId="0" applyNumberFormat="0" applyBorder="0" applyAlignment="0" applyProtection="0"/>
    <xf numFmtId="206" fontId="14" fillId="13" borderId="0" applyNumberFormat="0" applyBorder="0" applyAlignment="0" applyProtection="0"/>
    <xf numFmtId="0" fontId="14" fillId="13" borderId="0" applyNumberFormat="0" applyBorder="0" applyAlignment="0" applyProtection="0"/>
    <xf numFmtId="0" fontId="11" fillId="140" borderId="0" applyNumberFormat="0" applyBorder="0" applyAlignment="0" applyProtection="0"/>
    <xf numFmtId="0" fontId="11" fillId="140" borderId="0" applyNumberFormat="0" applyBorder="0" applyAlignment="0" applyProtection="0"/>
    <xf numFmtId="0" fontId="11" fillId="140" borderId="0" applyNumberFormat="0" applyBorder="0" applyAlignment="0" applyProtection="0"/>
    <xf numFmtId="0" fontId="11" fillId="140" borderId="0" applyNumberFormat="0" applyBorder="0" applyAlignment="0" applyProtection="0"/>
    <xf numFmtId="0" fontId="11" fillId="140" borderId="0" applyNumberFormat="0" applyBorder="0" applyAlignment="0" applyProtection="0"/>
    <xf numFmtId="0" fontId="11" fillId="140" borderId="0" applyNumberFormat="0" applyBorder="0" applyAlignment="0" applyProtection="0"/>
    <xf numFmtId="0" fontId="11" fillId="140"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1" fillId="119" borderId="0" applyNumberFormat="0" applyBorder="0" applyAlignment="0" applyProtection="0"/>
    <xf numFmtId="0" fontId="14" fillId="120" borderId="0" applyNumberFormat="0" applyBorder="0" applyAlignment="0" applyProtection="0"/>
    <xf numFmtId="0" fontId="14" fillId="120" borderId="0" applyNumberFormat="0" applyBorder="0" applyAlignment="0" applyProtection="0"/>
    <xf numFmtId="0" fontId="14" fillId="120" borderId="0" applyNumberFormat="0" applyBorder="0" applyAlignment="0" applyProtection="0"/>
    <xf numFmtId="0" fontId="14" fillId="110" borderId="0" applyNumberFormat="0" applyBorder="0" applyAlignment="0" applyProtection="0"/>
    <xf numFmtId="0" fontId="14" fillId="110"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1" borderId="0" applyNumberFormat="0" applyBorder="0" applyAlignment="0" applyProtection="0"/>
    <xf numFmtId="0" fontId="14" fillId="141"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1" borderId="0" applyNumberFormat="0" applyBorder="0" applyAlignment="0" applyProtection="0"/>
    <xf numFmtId="0" fontId="14" fillId="141"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1" borderId="0" applyNumberFormat="0" applyBorder="0" applyAlignment="0" applyProtection="0"/>
    <xf numFmtId="0" fontId="14" fillId="141"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1" borderId="0" applyNumberFormat="0" applyBorder="0" applyAlignment="0" applyProtection="0"/>
    <xf numFmtId="0" fontId="14" fillId="141"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1" borderId="0" applyNumberFormat="0" applyBorder="0" applyAlignment="0" applyProtection="0"/>
    <xf numFmtId="0" fontId="14" fillId="141"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1" borderId="0" applyNumberFormat="0" applyBorder="0" applyAlignment="0" applyProtection="0"/>
    <xf numFmtId="0" fontId="14" fillId="141"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76" fillId="111" borderId="0" applyNumberFormat="0" applyBorder="0" applyAlignment="0" applyProtection="0"/>
    <xf numFmtId="0" fontId="14" fillId="141" borderId="0" applyNumberFormat="0" applyBorder="0" applyAlignment="0" applyProtection="0"/>
    <xf numFmtId="0" fontId="14" fillId="14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1" borderId="0" applyNumberFormat="0" applyBorder="0" applyAlignment="0" applyProtection="0"/>
    <xf numFmtId="0" fontId="14" fillId="141"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76" fillId="143" borderId="0" applyNumberFormat="0" applyBorder="0" applyAlignment="0" applyProtection="0"/>
    <xf numFmtId="0" fontId="176" fillId="14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1" borderId="0" applyNumberFormat="0" applyBorder="0" applyAlignment="0" applyProtection="0"/>
    <xf numFmtId="0" fontId="14" fillId="141"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1" borderId="0" applyNumberFormat="0" applyBorder="0" applyAlignment="0" applyProtection="0"/>
    <xf numFmtId="0" fontId="14" fillId="14" borderId="0" applyNumberFormat="0" applyBorder="0" applyAlignment="0" applyProtection="0"/>
    <xf numFmtId="0" fontId="14" fillId="141"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1"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1" borderId="0" applyNumberFormat="0" applyBorder="0" applyAlignment="0" applyProtection="0"/>
    <xf numFmtId="0" fontId="14" fillId="14" borderId="0" applyNumberFormat="0" applyBorder="0" applyAlignment="0" applyProtection="0"/>
    <xf numFmtId="0" fontId="14" fillId="141" borderId="0" applyNumberFormat="0" applyBorder="0" applyAlignment="0" applyProtection="0"/>
    <xf numFmtId="0"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4" fillId="141" borderId="0" applyNumberFormat="0" applyBorder="0" applyAlignment="0" applyProtection="0"/>
    <xf numFmtId="0" fontId="14" fillId="14" borderId="0" applyNumberFormat="0" applyBorder="0" applyAlignment="0" applyProtection="0"/>
    <xf numFmtId="0" fontId="14" fillId="141" borderId="0" applyNumberFormat="0" applyBorder="0" applyAlignment="0" applyProtection="0"/>
    <xf numFmtId="0"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77" fillId="142"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4" fillId="141" borderId="0" applyNumberFormat="0" applyBorder="0" applyAlignment="0" applyProtection="0"/>
    <xf numFmtId="0" fontId="14" fillId="14" borderId="0" applyNumberFormat="0" applyBorder="0" applyAlignment="0" applyProtection="0"/>
    <xf numFmtId="0" fontId="14" fillId="141" borderId="0" applyNumberFormat="0" applyBorder="0" applyAlignment="0" applyProtection="0"/>
    <xf numFmtId="0"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 borderId="0" applyNumberFormat="0" applyBorder="0" applyAlignment="0" applyProtection="0"/>
    <xf numFmtId="0" fontId="14" fillId="141" borderId="0" applyNumberFormat="0" applyBorder="0" applyAlignment="0" applyProtection="0"/>
    <xf numFmtId="0" fontId="14" fillId="14" borderId="0" applyNumberFormat="0" applyBorder="0" applyAlignment="0" applyProtection="0"/>
    <xf numFmtId="0" fontId="14" fillId="141" borderId="0" applyNumberFormat="0" applyBorder="0" applyAlignment="0" applyProtection="0"/>
    <xf numFmtId="0"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1" borderId="0" applyNumberFormat="0" applyBorder="0" applyAlignment="0" applyProtection="0"/>
    <xf numFmtId="0" fontId="14" fillId="141"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76" fillId="111" borderId="0" applyNumberFormat="0" applyBorder="0" applyAlignment="0" applyProtection="0"/>
    <xf numFmtId="0" fontId="14" fillId="141" borderId="0" applyNumberFormat="0" applyBorder="0" applyAlignment="0" applyProtection="0"/>
    <xf numFmtId="0" fontId="14" fillId="141"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206" fontId="14" fillId="14" borderId="0" applyNumberFormat="0" applyBorder="0" applyAlignment="0" applyProtection="0"/>
    <xf numFmtId="0" fontId="14" fillId="14"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25" borderId="0" applyNumberFormat="0" applyBorder="0" applyAlignment="0" applyProtection="0"/>
    <xf numFmtId="0" fontId="11" fillId="144" borderId="0" applyNumberFormat="0" applyBorder="0" applyAlignment="0" applyProtection="0"/>
    <xf numFmtId="0" fontId="11" fillId="144" borderId="0" applyNumberFormat="0" applyBorder="0" applyAlignment="0" applyProtection="0"/>
    <xf numFmtId="0" fontId="11" fillId="144" borderId="0" applyNumberFormat="0" applyBorder="0" applyAlignment="0" applyProtection="0"/>
    <xf numFmtId="0" fontId="11" fillId="144" borderId="0" applyNumberFormat="0" applyBorder="0" applyAlignment="0" applyProtection="0"/>
    <xf numFmtId="0" fontId="11" fillId="144" borderId="0" applyNumberFormat="0" applyBorder="0" applyAlignment="0" applyProtection="0"/>
    <xf numFmtId="0" fontId="11" fillId="144" borderId="0" applyNumberFormat="0" applyBorder="0" applyAlignment="0" applyProtection="0"/>
    <xf numFmtId="0" fontId="11" fillId="144" borderId="0" applyNumberFormat="0" applyBorder="0" applyAlignment="0" applyProtection="0"/>
    <xf numFmtId="0" fontId="14" fillId="144" borderId="0" applyNumberFormat="0" applyBorder="0" applyAlignment="0" applyProtection="0"/>
    <xf numFmtId="0" fontId="14" fillId="144" borderId="0" applyNumberFormat="0" applyBorder="0" applyAlignment="0" applyProtection="0"/>
    <xf numFmtId="0" fontId="14" fillId="144" borderId="0" applyNumberFormat="0" applyBorder="0" applyAlignment="0" applyProtection="0"/>
    <xf numFmtId="0" fontId="14" fillId="145" borderId="0" applyNumberFormat="0" applyBorder="0" applyAlignment="0" applyProtection="0"/>
    <xf numFmtId="0" fontId="14" fillId="145" borderId="0" applyNumberFormat="0" applyBorder="0" applyAlignment="0" applyProtection="0"/>
    <xf numFmtId="0" fontId="14" fillId="145"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46" borderId="0" applyNumberFormat="0" applyBorder="0" applyAlignment="0" applyProtection="0"/>
    <xf numFmtId="0" fontId="14" fillId="146"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46" borderId="0" applyNumberFormat="0" applyBorder="0" applyAlignment="0" applyProtection="0"/>
    <xf numFmtId="0" fontId="14" fillId="146"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46" borderId="0" applyNumberFormat="0" applyBorder="0" applyAlignment="0" applyProtection="0"/>
    <xf numFmtId="0" fontId="14" fillId="146"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46" borderId="0" applyNumberFormat="0" applyBorder="0" applyAlignment="0" applyProtection="0"/>
    <xf numFmtId="0" fontId="14" fillId="146"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46" borderId="0" applyNumberFormat="0" applyBorder="0" applyAlignment="0" applyProtection="0"/>
    <xf numFmtId="0" fontId="14" fillId="146"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46" borderId="0" applyNumberFormat="0" applyBorder="0" applyAlignment="0" applyProtection="0"/>
    <xf numFmtId="0" fontId="14" fillId="146"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77"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76" fillId="145" borderId="0" applyNumberFormat="0" applyBorder="0" applyAlignment="0" applyProtection="0"/>
    <xf numFmtId="0" fontId="14" fillId="146" borderId="0" applyNumberFormat="0" applyBorder="0" applyAlignment="0" applyProtection="0"/>
    <xf numFmtId="0" fontId="14" fillId="146"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46" borderId="0" applyNumberFormat="0" applyBorder="0" applyAlignment="0" applyProtection="0"/>
    <xf numFmtId="0" fontId="14" fillId="146"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76" fillId="148" borderId="0" applyNumberFormat="0" applyBorder="0" applyAlignment="0" applyProtection="0"/>
    <xf numFmtId="0" fontId="176" fillId="148"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46" borderId="0" applyNumberFormat="0" applyBorder="0" applyAlignment="0" applyProtection="0"/>
    <xf numFmtId="0" fontId="14" fillId="146"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46" borderId="0" applyNumberFormat="0" applyBorder="0" applyAlignment="0" applyProtection="0"/>
    <xf numFmtId="0" fontId="14" fillId="19" borderId="0" applyNumberFormat="0" applyBorder="0" applyAlignment="0" applyProtection="0"/>
    <xf numFmtId="0" fontId="14" fillId="146"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0" fontId="14" fillId="146"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46" borderId="0" applyNumberFormat="0" applyBorder="0" applyAlignment="0" applyProtection="0"/>
    <xf numFmtId="0" fontId="14" fillId="19" borderId="0" applyNumberFormat="0" applyBorder="0" applyAlignment="0" applyProtection="0"/>
    <xf numFmtId="0" fontId="14" fillId="146" borderId="0" applyNumberFormat="0" applyBorder="0" applyAlignment="0" applyProtection="0"/>
    <xf numFmtId="0"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4" fillId="146" borderId="0" applyNumberFormat="0" applyBorder="0" applyAlignment="0" applyProtection="0"/>
    <xf numFmtId="0" fontId="14" fillId="19" borderId="0" applyNumberFormat="0" applyBorder="0" applyAlignment="0" applyProtection="0"/>
    <xf numFmtId="0" fontId="14" fillId="146" borderId="0" applyNumberFormat="0" applyBorder="0" applyAlignment="0" applyProtection="0"/>
    <xf numFmtId="0"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77" fillId="147"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4" fillId="146" borderId="0" applyNumberFormat="0" applyBorder="0" applyAlignment="0" applyProtection="0"/>
    <xf numFmtId="0" fontId="14" fillId="19" borderId="0" applyNumberFormat="0" applyBorder="0" applyAlignment="0" applyProtection="0"/>
    <xf numFmtId="0" fontId="14" fillId="146" borderId="0" applyNumberFormat="0" applyBorder="0" applyAlignment="0" applyProtection="0"/>
    <xf numFmtId="0"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9" borderId="0" applyNumberFormat="0" applyBorder="0" applyAlignment="0" applyProtection="0"/>
    <xf numFmtId="0" fontId="14" fillId="146" borderId="0" applyNumberFormat="0" applyBorder="0" applyAlignment="0" applyProtection="0"/>
    <xf numFmtId="0" fontId="14" fillId="19" borderId="0" applyNumberFormat="0" applyBorder="0" applyAlignment="0" applyProtection="0"/>
    <xf numFmtId="0" fontId="14" fillId="146" borderId="0" applyNumberFormat="0" applyBorder="0" applyAlignment="0" applyProtection="0"/>
    <xf numFmtId="0"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46" borderId="0" applyNumberFormat="0" applyBorder="0" applyAlignment="0" applyProtection="0"/>
    <xf numFmtId="0" fontId="14" fillId="146"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76" fillId="145" borderId="0" applyNumberFormat="0" applyBorder="0" applyAlignment="0" applyProtection="0"/>
    <xf numFmtId="0" fontId="14" fillId="146" borderId="0" applyNumberFormat="0" applyBorder="0" applyAlignment="0" applyProtection="0"/>
    <xf numFmtId="0" fontId="14" fillId="146"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206" fontId="14" fillId="19" borderId="0" applyNumberFormat="0" applyBorder="0" applyAlignment="0" applyProtection="0"/>
    <xf numFmtId="0" fontId="14" fillId="19" borderId="0" applyNumberFormat="0" applyBorder="0" applyAlignment="0" applyProtection="0"/>
    <xf numFmtId="0" fontId="6" fillId="0" borderId="0" applyNumberFormat="0" applyAlignment="0"/>
    <xf numFmtId="0" fontId="4" fillId="30" borderId="65">
      <alignment horizontal="center" vertical="center"/>
    </xf>
    <xf numFmtId="0" fontId="183" fillId="0" borderId="10"/>
    <xf numFmtId="211" fontId="180" fillId="0" borderId="0" applyFont="0" applyFill="0" applyBorder="0" applyAlignment="0" applyProtection="0"/>
    <xf numFmtId="0" fontId="184" fillId="0" borderId="0" applyFont="0" applyFill="0" applyBorder="0" applyAlignment="0" applyProtection="0"/>
    <xf numFmtId="0" fontId="180" fillId="0" borderId="0" applyFont="0" applyFill="0" applyBorder="0" applyAlignment="0" applyProtection="0"/>
    <xf numFmtId="0" fontId="184" fillId="0" borderId="0" applyFont="0" applyFill="0" applyBorder="0" applyAlignment="0" applyProtection="0"/>
    <xf numFmtId="0" fontId="12" fillId="0" borderId="18" applyBorder="0"/>
    <xf numFmtId="4" fontId="171" fillId="0" borderId="0"/>
    <xf numFmtId="38" fontId="171" fillId="0" borderId="0"/>
    <xf numFmtId="0" fontId="114" fillId="16" borderId="0" applyNumberFormat="0" applyBorder="0" applyAlignment="0" applyProtection="0"/>
    <xf numFmtId="0" fontId="114" fillId="17" borderId="0" applyNumberFormat="0" applyBorder="0" applyAlignment="0" applyProtection="0"/>
    <xf numFmtId="0" fontId="114" fillId="18" borderId="0" applyNumberFormat="0" applyBorder="0" applyAlignment="0" applyProtection="0"/>
    <xf numFmtId="0" fontId="114" fillId="13" borderId="0" applyNumberFormat="0" applyBorder="0" applyAlignment="0" applyProtection="0"/>
    <xf numFmtId="0" fontId="114" fillId="14" borderId="0" applyNumberFormat="0" applyBorder="0" applyAlignment="0" applyProtection="0"/>
    <xf numFmtId="0" fontId="114" fillId="19" borderId="0" applyNumberFormat="0" applyBorder="0" applyAlignment="0" applyProtection="0"/>
    <xf numFmtId="0" fontId="185" fillId="0" borderId="0">
      <alignment horizontal="justify" vertical="top" wrapText="1"/>
    </xf>
    <xf numFmtId="0" fontId="138" fillId="0" borderId="0">
      <alignment horizontal="center" wrapText="1"/>
      <protection locked="0"/>
    </xf>
    <xf numFmtId="37" fontId="186" fillId="0" borderId="0">
      <alignment horizontal="left"/>
    </xf>
    <xf numFmtId="0" fontId="156" fillId="0" borderId="0"/>
    <xf numFmtId="0" fontId="156" fillId="0" borderId="0"/>
    <xf numFmtId="0" fontId="4" fillId="0" borderId="0" applyFill="0" applyBorder="0">
      <alignment vertical="center"/>
    </xf>
    <xf numFmtId="0" fontId="4" fillId="0" borderId="0" applyFill="0" applyBorder="0">
      <alignment vertical="center"/>
    </xf>
    <xf numFmtId="0" fontId="4" fillId="0" borderId="0" applyFill="0" applyBorder="0">
      <alignment vertical="center"/>
    </xf>
    <xf numFmtId="0" fontId="4" fillId="0" borderId="0" applyFill="0" applyBorder="0">
      <alignment vertical="center"/>
    </xf>
    <xf numFmtId="0" fontId="4" fillId="0" borderId="0" applyFill="0" applyBorder="0">
      <alignment vertical="center"/>
    </xf>
    <xf numFmtId="0" fontId="4" fillId="0" borderId="0" applyFill="0" applyBorder="0">
      <alignment vertical="center"/>
    </xf>
    <xf numFmtId="0" fontId="4" fillId="0" borderId="0" applyFill="0" applyBorder="0">
      <alignment vertical="center"/>
    </xf>
    <xf numFmtId="0" fontId="4" fillId="0" borderId="0" applyFill="0" applyBorder="0">
      <alignment vertical="center"/>
    </xf>
    <xf numFmtId="0" fontId="4" fillId="0" borderId="0" applyFill="0" applyBorder="0">
      <alignment vertical="center"/>
    </xf>
    <xf numFmtId="0" fontId="187" fillId="0" borderId="43">
      <protection hidden="1"/>
    </xf>
    <xf numFmtId="0" fontId="188" fillId="20" borderId="43" applyNumberFormat="0" applyFont="0" applyBorder="0" applyAlignment="0" applyProtection="0">
      <protection hidden="1"/>
    </xf>
    <xf numFmtId="212" fontId="12" fillId="0" borderId="0" applyFont="0" applyFill="0" applyBorder="0" applyAlignment="0" applyProtection="0"/>
    <xf numFmtId="0" fontId="184" fillId="0" borderId="0" applyFont="0" applyFill="0" applyBorder="0" applyAlignment="0" applyProtection="0"/>
    <xf numFmtId="0" fontId="180" fillId="0" borderId="0" applyFont="0" applyFill="0" applyBorder="0" applyAlignment="0" applyProtection="0"/>
    <xf numFmtId="0" fontId="184" fillId="0" borderId="0" applyFont="0" applyFill="0" applyBorder="0" applyAlignment="0" applyProtection="0"/>
    <xf numFmtId="0" fontId="189" fillId="20" borderId="12" applyNumberFormat="0" applyAlignment="0" applyProtection="0"/>
    <xf numFmtId="0" fontId="190" fillId="0" borderId="43" applyBorder="0"/>
    <xf numFmtId="0" fontId="191" fillId="0" borderId="0"/>
    <xf numFmtId="0" fontId="157" fillId="0" borderId="0" applyFont="0" applyFill="0" applyBorder="0" applyAlignment="0" applyProtection="0"/>
    <xf numFmtId="0" fontId="191" fillId="0" borderId="0"/>
    <xf numFmtId="0" fontId="191" fillId="0" borderId="0"/>
    <xf numFmtId="0" fontId="191" fillId="0" borderId="0"/>
    <xf numFmtId="0" fontId="191" fillId="0" borderId="0"/>
    <xf numFmtId="0" fontId="191" fillId="0" borderId="0"/>
    <xf numFmtId="213" fontId="147" fillId="0" borderId="0"/>
    <xf numFmtId="212" fontId="12" fillId="0" borderId="17">
      <protection locked="0"/>
    </xf>
    <xf numFmtId="212" fontId="12" fillId="0" borderId="17">
      <protection locked="0"/>
    </xf>
    <xf numFmtId="0" fontId="15" fillId="59" borderId="0" applyNumberFormat="0" applyBorder="0" applyAlignment="0" applyProtection="0"/>
    <xf numFmtId="0" fontId="15" fillId="59"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3" fillId="149" borderId="0" applyNumberFormat="0" applyBorder="0" applyAlignment="0" applyProtection="0"/>
    <xf numFmtId="0" fontId="193" fillId="149"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3" fillId="149" borderId="0" applyNumberFormat="0" applyBorder="0" applyAlignment="0" applyProtection="0"/>
    <xf numFmtId="0" fontId="193" fillId="149"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3" fillId="149" borderId="0" applyNumberFormat="0" applyBorder="0" applyAlignment="0" applyProtection="0"/>
    <xf numFmtId="0" fontId="193" fillId="149"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3" fillId="149" borderId="0" applyNumberFormat="0" applyBorder="0" applyAlignment="0" applyProtection="0"/>
    <xf numFmtId="0" fontId="193" fillId="149"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3" fillId="149" borderId="0" applyNumberFormat="0" applyBorder="0" applyAlignment="0" applyProtection="0"/>
    <xf numFmtId="0" fontId="193" fillId="149"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3" fillId="149" borderId="0" applyNumberFormat="0" applyBorder="0" applyAlignment="0" applyProtection="0"/>
    <xf numFmtId="0" fontId="193" fillId="149"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94"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2" fillId="60" borderId="0" applyNumberFormat="0" applyBorder="0" applyAlignment="0" applyProtection="0"/>
    <xf numFmtId="0" fontId="193" fillId="149" borderId="0" applyNumberFormat="0" applyBorder="0" applyAlignment="0" applyProtection="0"/>
    <xf numFmtId="0" fontId="193" fillId="149"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3" fillId="149" borderId="0" applyNumberFormat="0" applyBorder="0" applyAlignment="0" applyProtection="0"/>
    <xf numFmtId="0" fontId="193" fillId="149"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2" fillId="151" borderId="0" applyNumberFormat="0" applyBorder="0" applyAlignment="0" applyProtection="0"/>
    <xf numFmtId="0" fontId="192" fillId="151"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3" fillId="149" borderId="0" applyNumberFormat="0" applyBorder="0" applyAlignment="0" applyProtection="0"/>
    <xf numFmtId="0" fontId="193" fillId="149"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3" fillId="149" borderId="0" applyNumberFormat="0" applyBorder="0" applyAlignment="0" applyProtection="0"/>
    <xf numFmtId="0" fontId="15" fillId="3" borderId="0" applyNumberFormat="0" applyBorder="0" applyAlignment="0" applyProtection="0"/>
    <xf numFmtId="0" fontId="193" fillId="149"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0" fontId="193" fillId="149"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5" fillId="3"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94" fillId="150"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3" fillId="149" borderId="0" applyNumberFormat="0" applyBorder="0" applyAlignment="0" applyProtection="0"/>
    <xf numFmtId="0" fontId="15" fillId="3" borderId="0" applyNumberFormat="0" applyBorder="0" applyAlignment="0" applyProtection="0"/>
    <xf numFmtId="0" fontId="193" fillId="149" borderId="0" applyNumberFormat="0" applyBorder="0" applyAlignment="0" applyProtection="0"/>
    <xf numFmtId="0"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93" fillId="149" borderId="0" applyNumberFormat="0" applyBorder="0" applyAlignment="0" applyProtection="0"/>
    <xf numFmtId="0" fontId="15" fillId="3" borderId="0" applyNumberFormat="0" applyBorder="0" applyAlignment="0" applyProtection="0"/>
    <xf numFmtId="0" fontId="193" fillId="149" borderId="0" applyNumberFormat="0" applyBorder="0" applyAlignment="0" applyProtection="0"/>
    <xf numFmtId="0"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93" fillId="149" borderId="0" applyNumberFormat="0" applyBorder="0" applyAlignment="0" applyProtection="0"/>
    <xf numFmtId="0" fontId="15" fillId="3" borderId="0" applyNumberFormat="0" applyBorder="0" applyAlignment="0" applyProtection="0"/>
    <xf numFmtId="0" fontId="193" fillId="149" borderId="0" applyNumberFormat="0" applyBorder="0" applyAlignment="0" applyProtection="0"/>
    <xf numFmtId="0"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5" fillId="3" borderId="0" applyNumberFormat="0" applyBorder="0" applyAlignment="0" applyProtection="0"/>
    <xf numFmtId="0" fontId="193" fillId="149" borderId="0" applyNumberFormat="0" applyBorder="0" applyAlignment="0" applyProtection="0"/>
    <xf numFmtId="0" fontId="15" fillId="3" borderId="0" applyNumberFormat="0" applyBorder="0" applyAlignment="0" applyProtection="0"/>
    <xf numFmtId="0" fontId="193" fillId="149" borderId="0" applyNumberFormat="0" applyBorder="0" applyAlignment="0" applyProtection="0"/>
    <xf numFmtId="0"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3" fillId="149" borderId="0" applyNumberFormat="0" applyBorder="0" applyAlignment="0" applyProtection="0"/>
    <xf numFmtId="0" fontId="193" fillId="149"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2" fillId="60" borderId="0" applyNumberFormat="0" applyBorder="0" applyAlignment="0" applyProtection="0"/>
    <xf numFmtId="0" fontId="193" fillId="149" borderId="0" applyNumberFormat="0" applyBorder="0" applyAlignment="0" applyProtection="0"/>
    <xf numFmtId="0" fontId="193" fillId="149"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206" fontId="15" fillId="3" borderId="0" applyNumberFormat="0" applyBorder="0" applyAlignment="0" applyProtection="0"/>
    <xf numFmtId="0" fontId="15" fillId="3" borderId="0" applyNumberFormat="0" applyBorder="0" applyAlignment="0" applyProtection="0"/>
    <xf numFmtId="214" fontId="4" fillId="0" borderId="0" applyFont="0" applyFill="0" applyBorder="0" applyAlignment="0" applyProtection="0"/>
    <xf numFmtId="198" fontId="4" fillId="0" borderId="8" applyNumberFormat="0" applyFont="0" applyFill="0" applyAlignment="0" applyProtection="0"/>
    <xf numFmtId="0" fontId="195" fillId="20" borderId="1" applyNumberFormat="0" applyAlignment="0" applyProtection="0"/>
    <xf numFmtId="0" fontId="196" fillId="0" borderId="0"/>
    <xf numFmtId="2" fontId="197" fillId="0" borderId="0" applyNumberFormat="0" applyFont="0" applyAlignment="0">
      <alignment horizontal="center" vertical="center"/>
    </xf>
    <xf numFmtId="2" fontId="197" fillId="0" borderId="0">
      <alignment horizontal="center" vertical="center"/>
    </xf>
    <xf numFmtId="3" fontId="198" fillId="0" borderId="0"/>
    <xf numFmtId="0" fontId="199" fillId="0" borderId="0" applyNumberFormat="0" applyFill="0" applyBorder="0" applyAlignment="0" applyProtection="0"/>
    <xf numFmtId="0" fontId="200" fillId="27" borderId="0" applyNumberFormat="0" applyFill="0" applyBorder="0" applyAlignment="0" applyProtection="0">
      <protection locked="0"/>
    </xf>
    <xf numFmtId="215" fontId="138" fillId="0" borderId="0" applyFont="0" applyFill="0" applyBorder="0" applyAlignment="0" applyProtection="0"/>
    <xf numFmtId="216" fontId="12" fillId="0" borderId="0" applyFont="0" applyFill="0" applyBorder="0" applyAlignment="0" applyProtection="0"/>
    <xf numFmtId="217" fontId="12" fillId="0" borderId="0" applyFont="0" applyFill="0" applyBorder="0" applyAlignment="0" applyProtection="0"/>
    <xf numFmtId="218" fontId="12" fillId="0" borderId="0" applyFont="0" applyFill="0" applyBorder="0" applyAlignment="0" applyProtection="0"/>
    <xf numFmtId="219" fontId="12" fillId="0" borderId="0" applyFont="0" applyFill="0" applyBorder="0" applyAlignment="0" applyProtection="0"/>
    <xf numFmtId="220" fontId="12" fillId="0" borderId="0" applyFont="0" applyFill="0" applyBorder="0" applyAlignment="0" applyProtection="0"/>
    <xf numFmtId="221" fontId="12" fillId="0" borderId="0" applyFont="0" applyFill="0" applyBorder="0" applyAlignment="0" applyProtection="0"/>
    <xf numFmtId="222" fontId="12" fillId="0" borderId="0" applyFont="0" applyFill="0" applyBorder="0" applyAlignment="0" applyProtection="0"/>
    <xf numFmtId="223" fontId="12" fillId="0" borderId="0" applyFont="0" applyFill="0" applyBorder="0" applyAlignment="0" applyProtection="0"/>
    <xf numFmtId="224" fontId="12" fillId="0" borderId="0" applyFont="0" applyFill="0" applyBorder="0" applyAlignment="0" applyProtection="0"/>
    <xf numFmtId="225" fontId="4" fillId="0" borderId="0" applyFont="0" applyFill="0" applyBorder="0" applyAlignment="0" applyProtection="0"/>
    <xf numFmtId="226" fontId="4" fillId="0" borderId="0" applyFont="0" applyFill="0" applyBorder="0" applyAlignment="0" applyProtection="0"/>
    <xf numFmtId="193" fontId="4" fillId="0" borderId="0" applyFont="0" applyFill="0" applyBorder="0" applyAlignment="0" applyProtection="0"/>
    <xf numFmtId="227" fontId="4" fillId="0" borderId="0" applyFont="0" applyFill="0" applyBorder="0" applyAlignment="0" applyProtection="0">
      <alignment horizontal="right"/>
    </xf>
    <xf numFmtId="228" fontId="4" fillId="0" borderId="0" applyFont="0" applyFill="0" applyBorder="0" applyAlignment="0" applyProtection="0"/>
    <xf numFmtId="190" fontId="201" fillId="0" borderId="0"/>
    <xf numFmtId="37" fontId="191" fillId="152" borderId="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190" fontId="203" fillId="0" borderId="0"/>
    <xf numFmtId="0" fontId="204" fillId="0" borderId="0" applyNumberFormat="0" applyFill="0" applyBorder="0" applyAlignment="0" applyProtection="0"/>
    <xf numFmtId="0" fontId="205" fillId="0" borderId="0" applyNumberFormat="0" applyFill="0" applyBorder="0" applyAlignment="0" applyProtection="0"/>
    <xf numFmtId="0" fontId="206" fillId="0" borderId="0" applyNumberFormat="0" applyFill="0" applyBorder="0" applyAlignment="0" applyProtection="0"/>
    <xf numFmtId="0" fontId="207" fillId="0" borderId="0" applyNumberFormat="0" applyFill="0" applyBorder="0" applyAlignment="0" applyProtection="0"/>
    <xf numFmtId="0" fontId="208" fillId="0" borderId="0" applyNumberFormat="0" applyFill="0" applyBorder="0" applyAlignment="0" applyProtection="0"/>
    <xf numFmtId="0" fontId="209" fillId="0" borderId="0" applyNumberFormat="0" applyFill="0" applyBorder="0" applyAlignment="0" applyProtection="0"/>
    <xf numFmtId="197" fontId="210" fillId="0" borderId="19" applyNumberFormat="0" applyFill="0" applyAlignment="0" applyProtection="0"/>
    <xf numFmtId="0" fontId="211" fillId="27" borderId="10" applyNumberFormat="0" applyFill="0" applyBorder="0" applyAlignment="0" applyProtection="0">
      <protection locked="0"/>
    </xf>
    <xf numFmtId="0" fontId="4" fillId="0" borderId="0"/>
    <xf numFmtId="212" fontId="212" fillId="0" borderId="0" applyNumberFormat="0" applyAlignment="0"/>
    <xf numFmtId="164" fontId="213" fillId="0" borderId="15" applyAlignment="0" applyProtection="0"/>
    <xf numFmtId="0" fontId="138" fillId="0" borderId="57" applyNumberFormat="0" applyFont="0" applyFill="0" applyAlignment="0" applyProtection="0"/>
    <xf numFmtId="212" fontId="12" fillId="0" borderId="66" applyNumberFormat="0" applyFont="0" applyAlignment="0" applyProtection="0"/>
    <xf numFmtId="229" fontId="214" fillId="0" borderId="0">
      <alignment horizontal="right"/>
    </xf>
    <xf numFmtId="212" fontId="215" fillId="0" borderId="0" applyFont="0">
      <alignment horizontal="centerContinuous"/>
    </xf>
    <xf numFmtId="230" fontId="216" fillId="0" borderId="0">
      <alignment horizontal="right"/>
    </xf>
    <xf numFmtId="231" fontId="217" fillId="35" borderId="0" applyFont="0" applyFill="0" applyBorder="0" applyAlignment="0" applyProtection="0"/>
    <xf numFmtId="0" fontId="181" fillId="0" borderId="0"/>
    <xf numFmtId="11" fontId="181" fillId="0" borderId="0"/>
    <xf numFmtId="232" fontId="12" fillId="0" borderId="0">
      <alignment horizontal="right"/>
    </xf>
    <xf numFmtId="0" fontId="218" fillId="0" borderId="67" applyFont="0">
      <alignment horizontal="centerContinuous"/>
      <protection locked="0"/>
    </xf>
    <xf numFmtId="0" fontId="219" fillId="4" borderId="0" applyNumberFormat="0" applyBorder="0" applyAlignment="0" applyProtection="0"/>
    <xf numFmtId="233" fontId="149" fillId="0" borderId="0" applyFont="0" applyFill="0" applyBorder="0" applyAlignment="0" applyProtection="0"/>
    <xf numFmtId="234" fontId="4" fillId="27" borderId="0" applyFont="0">
      <alignment horizontal="left" indent="1"/>
    </xf>
    <xf numFmtId="167" fontId="191" fillId="0" borderId="0">
      <alignment horizontal="right"/>
    </xf>
    <xf numFmtId="38" fontId="220" fillId="0" borderId="0" applyFill="0" applyBorder="0" applyAlignment="0" applyProtection="0"/>
    <xf numFmtId="0" fontId="184" fillId="0" borderId="0"/>
    <xf numFmtId="167" fontId="191" fillId="0" borderId="0">
      <alignment horizontal="right"/>
    </xf>
    <xf numFmtId="167" fontId="191" fillId="0" borderId="0">
      <alignment horizontal="right"/>
    </xf>
    <xf numFmtId="167" fontId="191" fillId="0" borderId="0">
      <alignment horizontal="right"/>
    </xf>
    <xf numFmtId="167" fontId="191" fillId="0" borderId="0">
      <alignment horizontal="right"/>
    </xf>
    <xf numFmtId="167" fontId="191" fillId="0" borderId="0">
      <alignment horizontal="right"/>
    </xf>
    <xf numFmtId="0" fontId="221" fillId="0" borderId="0"/>
    <xf numFmtId="0" fontId="222" fillId="0" borderId="0"/>
    <xf numFmtId="0" fontId="223" fillId="0" borderId="0"/>
    <xf numFmtId="0" fontId="184" fillId="0" borderId="0"/>
    <xf numFmtId="0" fontId="224" fillId="0" borderId="0"/>
    <xf numFmtId="235" fontId="8" fillId="0" borderId="0" applyFill="0" applyBorder="0" applyAlignment="0"/>
    <xf numFmtId="236" fontId="4" fillId="0" borderId="0" applyFill="0" applyBorder="0" applyAlignment="0"/>
    <xf numFmtId="235" fontId="8" fillId="0" borderId="0" applyFill="0" applyBorder="0" applyAlignment="0"/>
    <xf numFmtId="235" fontId="8" fillId="0" borderId="0" applyFill="0" applyBorder="0" applyAlignment="0"/>
    <xf numFmtId="235" fontId="8" fillId="0" borderId="0" applyFill="0" applyBorder="0" applyAlignment="0"/>
    <xf numFmtId="236" fontId="4" fillId="0" borderId="0" applyFill="0" applyBorder="0" applyAlignment="0"/>
    <xf numFmtId="0" fontId="8" fillId="0" borderId="0" applyFill="0" applyBorder="0" applyAlignment="0"/>
    <xf numFmtId="237" fontId="4" fillId="0" borderId="0" applyFill="0" applyBorder="0" applyAlignment="0"/>
    <xf numFmtId="237" fontId="4" fillId="0" borderId="0" applyFill="0" applyBorder="0" applyAlignment="0"/>
    <xf numFmtId="0" fontId="8" fillId="0" borderId="0" applyFill="0" applyBorder="0" applyAlignment="0"/>
    <xf numFmtId="236" fontId="4" fillId="0" borderId="0" applyFill="0" applyBorder="0" applyAlignment="0"/>
    <xf numFmtId="235" fontId="8" fillId="0" borderId="0" applyFill="0" applyBorder="0" applyAlignment="0"/>
    <xf numFmtId="235" fontId="8" fillId="0" borderId="0" applyFill="0" applyBorder="0" applyAlignment="0"/>
    <xf numFmtId="235" fontId="8" fillId="0" borderId="0" applyFill="0" applyBorder="0" applyAlignment="0"/>
    <xf numFmtId="235" fontId="8" fillId="0" borderId="0" applyFill="0" applyBorder="0" applyAlignment="0"/>
    <xf numFmtId="235" fontId="8" fillId="0" borderId="0" applyFill="0" applyBorder="0" applyAlignment="0"/>
    <xf numFmtId="235" fontId="8" fillId="0" borderId="0" applyFill="0" applyBorder="0" applyAlignment="0"/>
    <xf numFmtId="235" fontId="8" fillId="0" borderId="0" applyFill="0" applyBorder="0" applyAlignment="0"/>
    <xf numFmtId="212" fontId="212" fillId="0" borderId="0" applyFill="0" applyBorder="0" applyAlignment="0"/>
    <xf numFmtId="170" fontId="212" fillId="0" borderId="0" applyFill="0" applyBorder="0" applyAlignment="0"/>
    <xf numFmtId="190" fontId="225" fillId="0" borderId="0" applyFill="0" applyBorder="0" applyAlignment="0"/>
    <xf numFmtId="190" fontId="181" fillId="0" borderId="0" applyFill="0" applyBorder="0" applyAlignment="0"/>
    <xf numFmtId="190" fontId="181" fillId="0" borderId="0" applyFill="0" applyBorder="0" applyAlignment="0"/>
    <xf numFmtId="190" fontId="181" fillId="0" borderId="0" applyFill="0" applyBorder="0" applyAlignment="0"/>
    <xf numFmtId="190" fontId="181" fillId="0" borderId="0" applyFill="0" applyBorder="0" applyAlignment="0"/>
    <xf numFmtId="190" fontId="181" fillId="0" borderId="0" applyFill="0" applyBorder="0" applyAlignment="0"/>
    <xf numFmtId="190" fontId="181" fillId="0" borderId="0" applyFill="0" applyBorder="0" applyAlignment="0"/>
    <xf numFmtId="190" fontId="181" fillId="0" borderId="0" applyFill="0" applyBorder="0" applyAlignment="0"/>
    <xf numFmtId="190" fontId="181" fillId="0" borderId="0" applyFill="0" applyBorder="0" applyAlignment="0"/>
    <xf numFmtId="190" fontId="181" fillId="0" borderId="0" applyFill="0" applyBorder="0" applyAlignment="0"/>
    <xf numFmtId="238" fontId="225" fillId="0" borderId="0" applyFill="0" applyBorder="0" applyAlignment="0"/>
    <xf numFmtId="238" fontId="181" fillId="0" borderId="0" applyFill="0" applyBorder="0" applyAlignment="0"/>
    <xf numFmtId="238" fontId="181" fillId="0" borderId="0" applyFill="0" applyBorder="0" applyAlignment="0"/>
    <xf numFmtId="238" fontId="181" fillId="0" borderId="0" applyFill="0" applyBorder="0" applyAlignment="0"/>
    <xf numFmtId="238" fontId="181" fillId="0" borderId="0" applyFill="0" applyBorder="0" applyAlignment="0"/>
    <xf numFmtId="238" fontId="181" fillId="0" borderId="0" applyFill="0" applyBorder="0" applyAlignment="0"/>
    <xf numFmtId="238" fontId="181" fillId="0" borderId="0" applyFill="0" applyBorder="0" applyAlignment="0"/>
    <xf numFmtId="238" fontId="181" fillId="0" borderId="0" applyFill="0" applyBorder="0" applyAlignment="0"/>
    <xf numFmtId="238" fontId="181" fillId="0" borderId="0" applyFill="0" applyBorder="0" applyAlignment="0"/>
    <xf numFmtId="238" fontId="181"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12" fontId="212" fillId="0" borderId="0" applyFill="0" applyBorder="0" applyAlignment="0"/>
    <xf numFmtId="0" fontId="216" fillId="0" borderId="0">
      <alignment horizontal="right"/>
    </xf>
    <xf numFmtId="0" fontId="16" fillId="70" borderId="1" applyNumberFormat="0" applyAlignment="0" applyProtection="0"/>
    <xf numFmtId="0" fontId="226" fillId="70" borderId="1" applyNumberFormat="0" applyAlignment="0" applyProtection="0"/>
    <xf numFmtId="0" fontId="226" fillId="7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228" fillId="26" borderId="1" applyNumberFormat="0" applyAlignment="0" applyProtection="0"/>
    <xf numFmtId="0" fontId="228" fillId="26"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228" fillId="26" borderId="1" applyNumberFormat="0" applyAlignment="0" applyProtection="0"/>
    <xf numFmtId="0" fontId="228" fillId="26" borderId="1"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16" fillId="20" borderId="1" applyNumberFormat="0" applyAlignment="0" applyProtection="0"/>
    <xf numFmtId="0" fontId="227" fillId="153" borderId="1" applyNumberFormat="0" applyAlignment="0" applyProtection="0"/>
    <xf numFmtId="0" fontId="228" fillId="26" borderId="1" applyNumberFormat="0" applyAlignment="0" applyProtection="0"/>
    <xf numFmtId="0" fontId="228" fillId="26" borderId="1"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16" fillId="20" borderId="1" applyNumberFormat="0" applyAlignment="0" applyProtection="0"/>
    <xf numFmtId="0" fontId="227" fillId="153" borderId="1" applyNumberFormat="0" applyAlignment="0" applyProtection="0"/>
    <xf numFmtId="0" fontId="228" fillId="26" borderId="1" applyNumberFormat="0" applyAlignment="0" applyProtection="0"/>
    <xf numFmtId="0" fontId="228" fillId="26" borderId="1"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16" fillId="20" borderId="1" applyNumberFormat="0" applyAlignment="0" applyProtection="0"/>
    <xf numFmtId="0" fontId="227" fillId="153" borderId="1" applyNumberFormat="0" applyAlignment="0" applyProtection="0"/>
    <xf numFmtId="0" fontId="228" fillId="26" borderId="1" applyNumberFormat="0" applyAlignment="0" applyProtection="0"/>
    <xf numFmtId="0" fontId="228" fillId="26" borderId="1"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16" fillId="20" borderId="1" applyNumberFormat="0" applyAlignment="0" applyProtection="0"/>
    <xf numFmtId="0" fontId="227" fillId="153" borderId="1" applyNumberFormat="0" applyAlignment="0" applyProtection="0"/>
    <xf numFmtId="0" fontId="228" fillId="26" borderId="1" applyNumberFormat="0" applyAlignment="0" applyProtection="0"/>
    <xf numFmtId="0" fontId="228" fillId="26" borderId="1"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229" fillId="154" borderId="68" applyNumberFormat="0" applyAlignment="0" applyProtection="0"/>
    <xf numFmtId="0" fontId="16" fillId="20" borderId="1" applyNumberFormat="0" applyAlignment="0" applyProtection="0"/>
    <xf numFmtId="0" fontId="227" fillId="153" borderId="1" applyNumberFormat="0" applyAlignment="0" applyProtection="0"/>
    <xf numFmtId="0" fontId="230" fillId="154" borderId="68" applyNumberFormat="0" applyAlignment="0" applyProtection="0"/>
    <xf numFmtId="0" fontId="230" fillId="154" borderId="68" applyNumberFormat="0" applyAlignment="0" applyProtection="0"/>
    <xf numFmtId="0" fontId="230" fillId="154" borderId="68" applyNumberFormat="0" applyAlignment="0" applyProtection="0"/>
    <xf numFmtId="0" fontId="230" fillId="154" borderId="68" applyNumberFormat="0" applyAlignment="0" applyProtection="0"/>
    <xf numFmtId="0" fontId="230" fillId="154" borderId="68" applyNumberFormat="0" applyAlignment="0" applyProtection="0"/>
    <xf numFmtId="0" fontId="230" fillId="154" borderId="68" applyNumberFormat="0" applyAlignment="0" applyProtection="0"/>
    <xf numFmtId="0" fontId="230" fillId="154" borderId="68"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227" fillId="153" borderId="1" applyNumberFormat="0" applyAlignment="0" applyProtection="0"/>
    <xf numFmtId="0" fontId="228" fillId="26" borderId="1" applyNumberFormat="0" applyAlignment="0" applyProtection="0"/>
    <xf numFmtId="0" fontId="228" fillId="26"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228" fillId="26" borderId="1" applyNumberFormat="0" applyAlignment="0" applyProtection="0"/>
    <xf numFmtId="0" fontId="228" fillId="26"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230" fillId="154" borderId="68" applyNumberFormat="0" applyAlignment="0" applyProtection="0"/>
    <xf numFmtId="0" fontId="230" fillId="154" borderId="68"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227" fillId="153" borderId="1" applyNumberFormat="0" applyAlignment="0" applyProtection="0"/>
    <xf numFmtId="0" fontId="231" fillId="155" borderId="69" applyNumberFormat="0" applyAlignment="0" applyProtection="0"/>
    <xf numFmtId="0" fontId="231" fillId="155" borderId="69" applyNumberFormat="0" applyAlignment="0" applyProtection="0"/>
    <xf numFmtId="0" fontId="16" fillId="20" borderId="1" applyNumberFormat="0" applyAlignment="0" applyProtection="0"/>
    <xf numFmtId="0" fontId="16" fillId="20" borderId="1" applyNumberFormat="0" applyAlignment="0" applyProtection="0"/>
    <xf numFmtId="0" fontId="230" fillId="154" borderId="68" applyNumberFormat="0" applyAlignment="0" applyProtection="0"/>
    <xf numFmtId="0" fontId="230" fillId="154" borderId="68" applyNumberFormat="0" applyAlignment="0" applyProtection="0"/>
    <xf numFmtId="0" fontId="230" fillId="154" borderId="68" applyNumberFormat="0" applyAlignment="0" applyProtection="0"/>
    <xf numFmtId="0" fontId="230" fillId="154" borderId="68"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228" fillId="26" borderId="1" applyNumberFormat="0" applyAlignment="0" applyProtection="0"/>
    <xf numFmtId="0" fontId="228" fillId="26"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16" fillId="20" borderId="1" applyNumberFormat="0" applyAlignment="0" applyProtection="0"/>
    <xf numFmtId="0" fontId="228" fillId="26" borderId="1" applyNumberFormat="0" applyAlignment="0" applyProtection="0"/>
    <xf numFmtId="0" fontId="16" fillId="20" borderId="1" applyNumberFormat="0" applyAlignment="0" applyProtection="0"/>
    <xf numFmtId="0" fontId="16" fillId="20" borderId="1" applyNumberFormat="0" applyAlignment="0" applyProtection="0"/>
    <xf numFmtId="0" fontId="228" fillId="26"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0" fontId="16" fillId="20" borderId="1" applyNumberFormat="0" applyAlignment="0" applyProtection="0"/>
    <xf numFmtId="0" fontId="228" fillId="26" borderId="1" applyNumberFormat="0" applyAlignment="0" applyProtection="0"/>
    <xf numFmtId="0" fontId="230" fillId="154" borderId="68" applyNumberFormat="0" applyAlignment="0" applyProtection="0"/>
    <xf numFmtId="0" fontId="230" fillId="154" borderId="68" applyNumberFormat="0" applyAlignment="0" applyProtection="0"/>
    <xf numFmtId="0" fontId="16" fillId="20" borderId="1" applyNumberFormat="0" applyAlignment="0" applyProtection="0"/>
    <xf numFmtId="0" fontId="230" fillId="154" borderId="68" applyNumberFormat="0" applyAlignment="0" applyProtection="0"/>
    <xf numFmtId="0" fontId="230" fillId="154" borderId="68" applyNumberFormat="0" applyAlignment="0" applyProtection="0"/>
    <xf numFmtId="0" fontId="230" fillId="154" borderId="68" applyNumberFormat="0" applyAlignment="0" applyProtection="0"/>
    <xf numFmtId="0" fontId="230" fillId="154" borderId="68" applyNumberFormat="0" applyAlignment="0" applyProtection="0"/>
    <xf numFmtId="0" fontId="230" fillId="154" borderId="68" applyNumberFormat="0" applyAlignment="0" applyProtection="0"/>
    <xf numFmtId="0" fontId="230" fillId="154" borderId="68" applyNumberFormat="0" applyAlignment="0" applyProtection="0"/>
    <xf numFmtId="0" fontId="230" fillId="154" borderId="68"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16" fillId="20" borderId="1" applyNumberFormat="0" applyAlignment="0" applyProtection="0"/>
    <xf numFmtId="0" fontId="228" fillId="26" borderId="1" applyNumberFormat="0" applyAlignment="0" applyProtection="0"/>
    <xf numFmtId="0" fontId="16" fillId="20" borderId="1" applyNumberFormat="0" applyAlignment="0" applyProtection="0"/>
    <xf numFmtId="0" fontId="16" fillId="20" borderId="1" applyNumberFormat="0" applyAlignment="0" applyProtection="0"/>
    <xf numFmtId="0" fontId="228" fillId="26" borderId="1" applyNumberFormat="0" applyAlignment="0" applyProtection="0"/>
    <xf numFmtId="0" fontId="16" fillId="20" borderId="1" applyNumberFormat="0" applyAlignment="0" applyProtection="0"/>
    <xf numFmtId="0"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16" fillId="20" borderId="1" applyNumberFormat="0" applyAlignment="0" applyProtection="0"/>
    <xf numFmtId="0" fontId="228" fillId="26" borderId="1" applyNumberFormat="0" applyAlignment="0" applyProtection="0"/>
    <xf numFmtId="0" fontId="16" fillId="20" borderId="1" applyNumberFormat="0" applyAlignment="0" applyProtection="0"/>
    <xf numFmtId="0" fontId="16" fillId="20" borderId="1" applyNumberFormat="0" applyAlignment="0" applyProtection="0"/>
    <xf numFmtId="0" fontId="228" fillId="26" borderId="1" applyNumberFormat="0" applyAlignment="0" applyProtection="0"/>
    <xf numFmtId="0" fontId="16" fillId="20" borderId="1" applyNumberFormat="0" applyAlignment="0" applyProtection="0"/>
    <xf numFmtId="0"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0" fontId="232"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16" fillId="20" borderId="1" applyNumberFormat="0" applyAlignment="0" applyProtection="0"/>
    <xf numFmtId="0" fontId="228" fillId="26" borderId="1" applyNumberFormat="0" applyAlignment="0" applyProtection="0"/>
    <xf numFmtId="0" fontId="16" fillId="20" borderId="1" applyNumberFormat="0" applyAlignment="0" applyProtection="0"/>
    <xf numFmtId="0" fontId="16" fillId="20" borderId="1" applyNumberFormat="0" applyAlignment="0" applyProtection="0"/>
    <xf numFmtId="0" fontId="228" fillId="26" borderId="1" applyNumberFormat="0" applyAlignment="0" applyProtection="0"/>
    <xf numFmtId="0" fontId="16" fillId="20" borderId="1" applyNumberFormat="0" applyAlignment="0" applyProtection="0"/>
    <xf numFmtId="0"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16" fillId="20" borderId="1" applyNumberFormat="0" applyAlignment="0" applyProtection="0"/>
    <xf numFmtId="0" fontId="16" fillId="20" borderId="1" applyNumberFormat="0" applyAlignment="0" applyProtection="0"/>
    <xf numFmtId="0" fontId="228" fillId="26" borderId="1" applyNumberFormat="0" applyAlignment="0" applyProtection="0"/>
    <xf numFmtId="0" fontId="16" fillId="20" borderId="1" applyNumberFormat="0" applyAlignment="0" applyProtection="0"/>
    <xf numFmtId="0" fontId="16" fillId="20" borderId="1" applyNumberFormat="0" applyAlignment="0" applyProtection="0"/>
    <xf numFmtId="0" fontId="228" fillId="26" borderId="1" applyNumberFormat="0" applyAlignment="0" applyProtection="0"/>
    <xf numFmtId="0" fontId="16" fillId="20" borderId="1" applyNumberFormat="0" applyAlignment="0" applyProtection="0"/>
    <xf numFmtId="0"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228" fillId="26" borderId="1" applyNumberFormat="0" applyAlignment="0" applyProtection="0"/>
    <xf numFmtId="0" fontId="228" fillId="26"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16" fillId="20" borderId="1" applyNumberFormat="0" applyAlignment="0" applyProtection="0"/>
    <xf numFmtId="0" fontId="227" fillId="153" borderId="1" applyNumberFormat="0" applyAlignment="0" applyProtection="0"/>
    <xf numFmtId="0" fontId="228" fillId="26" borderId="1" applyNumberFormat="0" applyAlignment="0" applyProtection="0"/>
    <xf numFmtId="0" fontId="228" fillId="26"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206" fontId="16" fillId="20" borderId="1" applyNumberFormat="0" applyAlignment="0" applyProtection="0"/>
    <xf numFmtId="0" fontId="16" fillId="20" borderId="1" applyNumberFormat="0" applyAlignment="0" applyProtection="0"/>
    <xf numFmtId="0" fontId="233" fillId="20" borderId="1" applyNumberFormat="0" applyAlignment="0" applyProtection="0"/>
    <xf numFmtId="0" fontId="234" fillId="0" borderId="0"/>
    <xf numFmtId="0" fontId="235" fillId="0" borderId="0">
      <alignment vertical="center"/>
    </xf>
    <xf numFmtId="0" fontId="236" fillId="21" borderId="2" applyNumberFormat="0" applyAlignment="0" applyProtection="0"/>
    <xf numFmtId="0" fontId="237" fillId="0" borderId="9" applyNumberFormat="0" applyFill="0" applyAlignment="0" applyProtection="0"/>
    <xf numFmtId="212" fontId="12" fillId="0" borderId="0"/>
    <xf numFmtId="190" fontId="238" fillId="0" borderId="70"/>
    <xf numFmtId="1" fontId="239" fillId="0" borderId="0"/>
    <xf numFmtId="0" fontId="4" fillId="0" borderId="0" applyFont="0" applyBorder="0">
      <alignment horizontal="justify" vertical="top" wrapText="1"/>
    </xf>
    <xf numFmtId="0" fontId="4" fillId="0" borderId="0" applyFont="0" applyBorder="0">
      <alignment horizontal="justify" vertical="top" wrapText="1"/>
    </xf>
    <xf numFmtId="0" fontId="17" fillId="156" borderId="2" applyNumberFormat="0" applyAlignment="0" applyProtection="0"/>
    <xf numFmtId="0" fontId="17" fillId="156"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240" fillId="157" borderId="2" applyNumberFormat="0" applyAlignment="0" applyProtection="0"/>
    <xf numFmtId="0" fontId="17" fillId="127" borderId="2" applyNumberFormat="0" applyAlignment="0" applyProtection="0"/>
    <xf numFmtId="0" fontId="17" fillId="127"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240" fillId="157" borderId="2" applyNumberFormat="0" applyAlignment="0" applyProtection="0"/>
    <xf numFmtId="0" fontId="17" fillId="127" borderId="2" applyNumberFormat="0" applyAlignment="0" applyProtection="0"/>
    <xf numFmtId="0" fontId="17" fillId="127" borderId="2"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17" fillId="21" borderId="2" applyNumberFormat="0" applyAlignment="0" applyProtection="0"/>
    <xf numFmtId="0" fontId="240" fillId="157" borderId="2" applyNumberFormat="0" applyAlignment="0" applyProtection="0"/>
    <xf numFmtId="0" fontId="17" fillId="127" borderId="2" applyNumberFormat="0" applyAlignment="0" applyProtection="0"/>
    <xf numFmtId="0" fontId="17" fillId="127" borderId="2"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17" fillId="21" borderId="2" applyNumberFormat="0" applyAlignment="0" applyProtection="0"/>
    <xf numFmtId="0" fontId="240" fillId="157" borderId="2" applyNumberFormat="0" applyAlignment="0" applyProtection="0"/>
    <xf numFmtId="0" fontId="17" fillId="127" borderId="2" applyNumberFormat="0" applyAlignment="0" applyProtection="0"/>
    <xf numFmtId="0" fontId="17" fillId="127" borderId="2"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17" fillId="21" borderId="2" applyNumberFormat="0" applyAlignment="0" applyProtection="0"/>
    <xf numFmtId="0" fontId="240" fillId="157" borderId="2" applyNumberFormat="0" applyAlignment="0" applyProtection="0"/>
    <xf numFmtId="0" fontId="17" fillId="127" borderId="2" applyNumberFormat="0" applyAlignment="0" applyProtection="0"/>
    <xf numFmtId="0" fontId="17" fillId="127" borderId="2"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17" fillId="21" borderId="2" applyNumberFormat="0" applyAlignment="0" applyProtection="0"/>
    <xf numFmtId="0" fontId="240" fillId="157" borderId="2" applyNumberFormat="0" applyAlignment="0" applyProtection="0"/>
    <xf numFmtId="0" fontId="17" fillId="127" borderId="2" applyNumberFormat="0" applyAlignment="0" applyProtection="0"/>
    <xf numFmtId="0" fontId="17" fillId="127" borderId="2"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17" fillId="21" borderId="2" applyNumberFormat="0" applyAlignment="0" applyProtection="0"/>
    <xf numFmtId="0" fontId="240" fillId="157" borderId="2"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17" fillId="21" borderId="2" applyNumberFormat="0" applyAlignment="0" applyProtection="0"/>
    <xf numFmtId="0" fontId="240" fillId="157" borderId="2" applyNumberFormat="0" applyAlignment="0" applyProtection="0"/>
    <xf numFmtId="0" fontId="240" fillId="157" borderId="2" applyNumberFormat="0" applyAlignment="0" applyProtection="0"/>
    <xf numFmtId="0" fontId="17" fillId="127" borderId="2" applyNumberFormat="0" applyAlignment="0" applyProtection="0"/>
    <xf numFmtId="0" fontId="17" fillId="127" borderId="2" applyNumberFormat="0" applyAlignment="0" applyProtection="0"/>
    <xf numFmtId="0" fontId="17" fillId="21" borderId="2" applyNumberFormat="0" applyAlignment="0" applyProtection="0"/>
    <xf numFmtId="0" fontId="240" fillId="157" borderId="2" applyNumberFormat="0" applyAlignment="0" applyProtection="0"/>
    <xf numFmtId="0" fontId="17" fillId="127" borderId="2" applyNumberFormat="0" applyAlignment="0" applyProtection="0"/>
    <xf numFmtId="0" fontId="17" fillId="127"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240" fillId="157" borderId="2" applyNumberFormat="0" applyAlignment="0" applyProtection="0"/>
    <xf numFmtId="0" fontId="240" fillId="159" borderId="72" applyNumberFormat="0" applyAlignment="0" applyProtection="0"/>
    <xf numFmtId="0" fontId="240" fillId="159" borderId="72" applyNumberFormat="0" applyAlignment="0" applyProtection="0"/>
    <xf numFmtId="0" fontId="17" fillId="21" borderId="2" applyNumberFormat="0" applyAlignment="0" applyProtection="0"/>
    <xf numFmtId="0" fontId="17" fillId="21" borderId="2"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17" fillId="21" borderId="2" applyNumberFormat="0" applyAlignment="0" applyProtection="0"/>
    <xf numFmtId="0" fontId="17" fillId="21" borderId="2" applyNumberFormat="0" applyAlignment="0" applyProtection="0"/>
    <xf numFmtId="0" fontId="240" fillId="157" borderId="2" applyNumberFormat="0" applyAlignment="0" applyProtection="0"/>
    <xf numFmtId="0" fontId="17" fillId="127" borderId="2" applyNumberFormat="0" applyAlignment="0" applyProtection="0"/>
    <xf numFmtId="0" fontId="17" fillId="127"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17" fillId="21" borderId="2" applyNumberFormat="0" applyAlignment="0" applyProtection="0"/>
    <xf numFmtId="0" fontId="17" fillId="127" borderId="2" applyNumberFormat="0" applyAlignment="0" applyProtection="0"/>
    <xf numFmtId="0" fontId="17" fillId="21" borderId="2" applyNumberFormat="0" applyAlignment="0" applyProtection="0"/>
    <xf numFmtId="0" fontId="17" fillId="127"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0" fontId="17" fillId="127" borderId="2" applyNumberFormat="0" applyAlignment="0" applyProtection="0"/>
    <xf numFmtId="0" fontId="241" fillId="158" borderId="71" applyNumberFormat="0" applyAlignment="0" applyProtection="0"/>
    <xf numFmtId="0" fontId="241" fillId="158" borderId="71" applyNumberFormat="0" applyAlignment="0" applyProtection="0"/>
    <xf numFmtId="0" fontId="17" fillId="21" borderId="2"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241" fillId="158" borderId="71"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240" fillId="157" borderId="2" applyNumberFormat="0" applyAlignment="0" applyProtection="0"/>
    <xf numFmtId="0" fontId="17" fillId="127" borderId="2" applyNumberFormat="0" applyAlignment="0" applyProtection="0"/>
    <xf numFmtId="0" fontId="17" fillId="21" borderId="2" applyNumberFormat="0" applyAlignment="0" applyProtection="0"/>
    <xf numFmtId="0" fontId="17" fillId="127" borderId="2" applyNumberFormat="0" applyAlignment="0" applyProtection="0"/>
    <xf numFmtId="0"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17" fillId="127" borderId="2" applyNumberFormat="0" applyAlignment="0" applyProtection="0"/>
    <xf numFmtId="0" fontId="17" fillId="21" borderId="2" applyNumberFormat="0" applyAlignment="0" applyProtection="0"/>
    <xf numFmtId="0" fontId="17" fillId="127" borderId="2" applyNumberFormat="0" applyAlignment="0" applyProtection="0"/>
    <xf numFmtId="0"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17" fillId="127" borderId="2" applyNumberFormat="0" applyAlignment="0" applyProtection="0"/>
    <xf numFmtId="0" fontId="17" fillId="21" borderId="2" applyNumberFormat="0" applyAlignment="0" applyProtection="0"/>
    <xf numFmtId="0" fontId="17" fillId="127" borderId="2" applyNumberFormat="0" applyAlignment="0" applyProtection="0"/>
    <xf numFmtId="0"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240" fillId="157" borderId="2" applyNumberFormat="0" applyAlignment="0" applyProtection="0"/>
    <xf numFmtId="0" fontId="17" fillId="21" borderId="2" applyNumberFormat="0" applyAlignment="0" applyProtection="0"/>
    <xf numFmtId="0" fontId="17" fillId="127" borderId="2" applyNumberFormat="0" applyAlignment="0" applyProtection="0"/>
    <xf numFmtId="0" fontId="17" fillId="21" borderId="2" applyNumberFormat="0" applyAlignment="0" applyProtection="0"/>
    <xf numFmtId="0" fontId="17" fillId="127" borderId="2" applyNumberFormat="0" applyAlignment="0" applyProtection="0"/>
    <xf numFmtId="0"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240" fillId="157" borderId="2" applyNumberFormat="0" applyAlignment="0" applyProtection="0"/>
    <xf numFmtId="0" fontId="17" fillId="127" borderId="2" applyNumberFormat="0" applyAlignment="0" applyProtection="0"/>
    <xf numFmtId="0" fontId="17" fillId="127"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17" fillId="21" borderId="2" applyNumberFormat="0" applyAlignment="0" applyProtection="0"/>
    <xf numFmtId="0" fontId="240" fillId="157" borderId="2" applyNumberFormat="0" applyAlignment="0" applyProtection="0"/>
    <xf numFmtId="0" fontId="17" fillId="127" borderId="2" applyNumberFormat="0" applyAlignment="0" applyProtection="0"/>
    <xf numFmtId="0" fontId="17" fillId="127"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206" fontId="17" fillId="21" borderId="2" applyNumberFormat="0" applyAlignment="0" applyProtection="0"/>
    <xf numFmtId="0" fontId="17" fillId="21" borderId="2" applyNumberFormat="0" applyAlignment="0" applyProtection="0"/>
    <xf numFmtId="240" fontId="242" fillId="0" borderId="0" applyFont="0" applyFill="0" applyBorder="0" applyProtection="0">
      <alignment horizontal="right"/>
    </xf>
    <xf numFmtId="241" fontId="4" fillId="34" borderId="0" applyFont="0" applyProtection="0">
      <alignment horizontal="right"/>
    </xf>
    <xf numFmtId="0" fontId="80" fillId="160" borderId="73" applyFont="0" applyFill="0" applyBorder="0"/>
    <xf numFmtId="0" fontId="6" fillId="0" borderId="43"/>
    <xf numFmtId="0" fontId="243" fillId="0" borderId="19" applyNumberFormat="0" applyFill="0" applyBorder="0" applyAlignment="0" applyProtection="0">
      <alignment horizontal="center"/>
    </xf>
    <xf numFmtId="0" fontId="244" fillId="0" borderId="19" applyNumberFormat="0" applyFill="0" applyProtection="0">
      <alignment horizontal="center"/>
    </xf>
    <xf numFmtId="169" fontId="245" fillId="0" borderId="17">
      <alignment horizontal="center" vertical="top" wrapText="1"/>
    </xf>
    <xf numFmtId="169" fontId="245" fillId="0" borderId="17">
      <alignment horizontal="center" vertical="top" wrapText="1"/>
    </xf>
    <xf numFmtId="0" fontId="7" fillId="0" borderId="14" applyBorder="0"/>
    <xf numFmtId="0" fontId="246" fillId="0" borderId="0" applyNumberFormat="0" applyFill="0" applyBorder="0" applyProtection="0">
      <alignment horizontal="right"/>
    </xf>
    <xf numFmtId="0" fontId="245" fillId="0" borderId="17">
      <alignment horizontal="left" vertical="top" wrapText="1"/>
    </xf>
    <xf numFmtId="0" fontId="245" fillId="0" borderId="17">
      <alignment horizontal="left" vertical="top" wrapText="1"/>
    </xf>
    <xf numFmtId="242" fontId="212" fillId="0" borderId="0">
      <alignment horizontal="right"/>
    </xf>
    <xf numFmtId="0" fontId="4" fillId="0" borderId="0"/>
    <xf numFmtId="0" fontId="4" fillId="0" borderId="0"/>
    <xf numFmtId="0" fontId="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12" fillId="0" borderId="0"/>
    <xf numFmtId="0" fontId="12" fillId="0" borderId="0"/>
    <xf numFmtId="0" fontId="12" fillId="0" borderId="0"/>
    <xf numFmtId="0" fontId="156" fillId="0" borderId="0"/>
    <xf numFmtId="0" fontId="4" fillId="0" borderId="0"/>
    <xf numFmtId="0" fontId="12" fillId="0" borderId="0"/>
    <xf numFmtId="0" fontId="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4" fillId="0" borderId="0"/>
    <xf numFmtId="0" fontId="12" fillId="0" borderId="0"/>
    <xf numFmtId="0" fontId="12" fillId="0" borderId="0"/>
    <xf numFmtId="0" fontId="12" fillId="0" borderId="0"/>
    <xf numFmtId="0" fontId="12" fillId="0" borderId="0"/>
    <xf numFmtId="0" fontId="156" fillId="0" borderId="0"/>
    <xf numFmtId="0" fontId="4" fillId="0" borderId="0"/>
    <xf numFmtId="0" fontId="12" fillId="0" borderId="0"/>
    <xf numFmtId="0" fontId="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4" fillId="0" borderId="0"/>
    <xf numFmtId="0" fontId="12" fillId="0" borderId="0"/>
    <xf numFmtId="0" fontId="12" fillId="0" borderId="0"/>
    <xf numFmtId="0" fontId="12" fillId="0" borderId="0"/>
    <xf numFmtId="0" fontId="12" fillId="0" borderId="0"/>
    <xf numFmtId="0" fontId="156" fillId="0" borderId="0"/>
    <xf numFmtId="0" fontId="4" fillId="0" borderId="0"/>
    <xf numFmtId="0" fontId="12" fillId="0" borderId="0"/>
    <xf numFmtId="0" fontId="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4" fillId="0" borderId="0"/>
    <xf numFmtId="0" fontId="12" fillId="0" borderId="0"/>
    <xf numFmtId="0" fontId="12" fillId="0" borderId="0"/>
    <xf numFmtId="0" fontId="12" fillId="0" borderId="0"/>
    <xf numFmtId="0" fontId="12" fillId="0" borderId="0"/>
    <xf numFmtId="0" fontId="156" fillId="0" borderId="0"/>
    <xf numFmtId="0" fontId="4" fillId="0" borderId="0"/>
    <xf numFmtId="0" fontId="12" fillId="0" borderId="0"/>
    <xf numFmtId="0" fontId="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4" fillId="0" borderId="0"/>
    <xf numFmtId="0" fontId="12" fillId="0" borderId="0"/>
    <xf numFmtId="0" fontId="12" fillId="0" borderId="0"/>
    <xf numFmtId="0" fontId="12" fillId="0" borderId="0"/>
    <xf numFmtId="0" fontId="12" fillId="0" borderId="0"/>
    <xf numFmtId="0" fontId="156" fillId="0" borderId="0"/>
    <xf numFmtId="0" fontId="4" fillId="0" borderId="0"/>
    <xf numFmtId="0" fontId="12" fillId="0" borderId="0"/>
    <xf numFmtId="0" fontId="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4" fillId="0" borderId="0"/>
    <xf numFmtId="0" fontId="12" fillId="0" borderId="0"/>
    <xf numFmtId="0" fontId="12" fillId="0" borderId="0"/>
    <xf numFmtId="0" fontId="12" fillId="0" borderId="0"/>
    <xf numFmtId="0" fontId="12" fillId="0" borderId="0"/>
    <xf numFmtId="0" fontId="156" fillId="0" borderId="0"/>
    <xf numFmtId="0" fontId="4" fillId="0" borderId="0"/>
    <xf numFmtId="0" fontId="12" fillId="0" borderId="0"/>
    <xf numFmtId="0" fontId="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4" fillId="0" borderId="0"/>
    <xf numFmtId="243" fontId="242" fillId="0" borderId="0"/>
    <xf numFmtId="244" fontId="4" fillId="0" borderId="0" applyFont="0" applyFill="0" applyBorder="0" applyAlignment="0" applyProtection="0"/>
    <xf numFmtId="168" fontId="4" fillId="0" borderId="0" applyFont="0" applyFill="0" applyBorder="0" applyAlignment="0" applyProtection="0"/>
    <xf numFmtId="236" fontId="4" fillId="0" borderId="0" applyFill="0" applyBorder="0" applyAlignment="0" applyProtection="0"/>
    <xf numFmtId="236" fontId="4" fillId="0" borderId="0" applyFont="0" applyFill="0" applyBorder="0" applyAlignment="0" applyProtection="0"/>
    <xf numFmtId="236" fontId="4" fillId="0" borderId="0" applyFont="0" applyFill="0" applyBorder="0" applyAlignment="0" applyProtection="0"/>
    <xf numFmtId="236" fontId="4" fillId="0" borderId="0" applyFont="0" applyFill="0" applyBorder="0" applyAlignment="0" applyProtection="0"/>
    <xf numFmtId="236" fontId="4" fillId="0" borderId="0" applyFont="0" applyFill="0" applyBorder="0" applyAlignment="0" applyProtection="0"/>
    <xf numFmtId="236" fontId="4" fillId="0" borderId="0" applyFont="0" applyFill="0" applyBorder="0" applyAlignment="0" applyProtection="0"/>
    <xf numFmtId="236" fontId="4" fillId="0" borderId="0" applyFont="0" applyFill="0" applyBorder="0" applyAlignment="0" applyProtection="0"/>
    <xf numFmtId="236" fontId="4" fillId="0" borderId="0" applyFont="0" applyFill="0" applyBorder="0" applyAlignment="0" applyProtection="0"/>
    <xf numFmtId="236" fontId="4" fillId="0" borderId="0" applyFont="0" applyFill="0" applyBorder="0" applyAlignment="0" applyProtection="0"/>
    <xf numFmtId="236" fontId="4" fillId="0" borderId="0" applyFont="0" applyFill="0" applyBorder="0" applyAlignment="0" applyProtection="0"/>
    <xf numFmtId="236" fontId="4" fillId="0" borderId="0" applyFont="0" applyFill="0" applyBorder="0" applyAlignment="0" applyProtection="0"/>
    <xf numFmtId="236" fontId="4" fillId="0" borderId="0" applyFont="0" applyFill="0" applyBorder="0" applyAlignment="0" applyProtection="0"/>
    <xf numFmtId="236" fontId="4" fillId="0" borderId="0" applyFont="0" applyFill="0" applyBorder="0" applyAlignment="0" applyProtection="0"/>
    <xf numFmtId="190" fontId="12" fillId="0" borderId="0" applyFont="0" applyFill="0" applyBorder="0" applyAlignment="0" applyProtection="0"/>
    <xf numFmtId="39" fontId="12" fillId="0" borderId="0" applyFont="0" applyFill="0" applyBorder="0" applyAlignment="0" applyProtection="0"/>
    <xf numFmtId="238" fontId="12" fillId="0" borderId="0" applyFont="0" applyFill="0" applyBorder="0" applyAlignment="0" applyProtection="0"/>
    <xf numFmtId="242" fontId="247" fillId="0" borderId="0" applyFont="0" applyFill="0" applyBorder="0" applyAlignment="0" applyProtection="0">
      <alignment horizontal="right"/>
    </xf>
    <xf numFmtId="245" fontId="247" fillId="0" borderId="0" applyFont="0" applyFill="0" applyBorder="0" applyAlignment="0" applyProtection="0"/>
    <xf numFmtId="246" fontId="4" fillId="0" borderId="0" applyFill="0" applyBorder="0" applyProtection="0"/>
    <xf numFmtId="169" fontId="12" fillId="0" borderId="0" applyFont="0" applyFill="0" applyBorder="0" applyAlignment="0" applyProtection="0"/>
    <xf numFmtId="167" fontId="48" fillId="0" borderId="0" applyFont="0" applyFill="0" applyBorder="0" applyAlignment="0" applyProtection="0"/>
    <xf numFmtId="166" fontId="1"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6" fontId="1" fillId="0" borderId="0" applyFont="0" applyFill="0" applyBorder="0" applyAlignment="0" applyProtection="0"/>
    <xf numFmtId="168" fontId="1" fillId="0" borderId="0" applyFont="0" applyFill="0" applyBorder="0" applyAlignment="0" applyProtection="0"/>
    <xf numFmtId="176" fontId="1" fillId="0" borderId="0" applyFont="0" applyFill="0" applyBorder="0" applyAlignment="0" applyProtection="0"/>
    <xf numFmtId="166" fontId="1" fillId="0" borderId="0" applyFont="0" applyFill="0" applyBorder="0" applyAlignment="0" applyProtection="0"/>
    <xf numFmtId="176" fontId="1" fillId="0" borderId="0" applyFont="0" applyFill="0" applyBorder="0" applyAlignment="0" applyProtection="0"/>
    <xf numFmtId="236" fontId="1" fillId="0" borderId="0" applyFont="0" applyFill="0" applyBorder="0" applyAlignment="0" applyProtection="0"/>
    <xf numFmtId="167" fontId="4" fillId="0" borderId="0" applyFont="0" applyFill="0" applyBorder="0" applyAlignment="0" applyProtection="0"/>
    <xf numFmtId="43" fontId="11" fillId="0" borderId="0" applyFont="0" applyFill="0" applyBorder="0" applyAlignment="0" applyProtection="0"/>
    <xf numFmtId="167" fontId="11" fillId="0" borderId="0" applyFont="0" applyFill="0" applyBorder="0" applyAlignment="0" applyProtection="0"/>
    <xf numFmtId="167" fontId="48" fillId="0" borderId="0" applyFont="0" applyFill="0" applyBorder="0" applyAlignment="0" applyProtection="0"/>
    <xf numFmtId="169" fontId="4" fillId="0" borderId="0" applyFont="0" applyFill="0" applyBorder="0" applyAlignment="0" applyProtection="0"/>
    <xf numFmtId="169" fontId="12" fillId="0" borderId="0" applyFont="0" applyFill="0" applyBorder="0" applyAlignment="0" applyProtection="0"/>
    <xf numFmtId="43" fontId="225" fillId="0" borderId="0" applyFont="0" applyFill="0" applyBorder="0" applyAlignment="0" applyProtection="0"/>
    <xf numFmtId="43" fontId="225" fillId="0" borderId="0" applyFont="0" applyFill="0" applyBorder="0" applyAlignment="0" applyProtection="0"/>
    <xf numFmtId="167" fontId="4" fillId="0" borderId="0" applyFont="0" applyFill="0" applyBorder="0" applyAlignment="0" applyProtection="0"/>
    <xf numFmtId="198" fontId="149" fillId="0" borderId="0" applyFont="0" applyFill="0" applyBorder="0" applyAlignment="0" applyProtection="0"/>
    <xf numFmtId="247" fontId="149"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43" fontId="11" fillId="0" borderId="0" applyFont="0" applyFill="0" applyBorder="0" applyAlignment="0" applyProtection="0"/>
    <xf numFmtId="169" fontId="12" fillId="0" borderId="0" applyFont="0" applyFill="0" applyBorder="0" applyAlignment="0" applyProtection="0"/>
    <xf numFmtId="43" fontId="1" fillId="0" borderId="0" applyFont="0" applyFill="0" applyBorder="0" applyAlignment="0" applyProtection="0"/>
    <xf numFmtId="198" fontId="12" fillId="0" borderId="0" applyFont="0" applyFill="0" applyBorder="0" applyAlignment="0" applyProtection="0"/>
    <xf numFmtId="167" fontId="248" fillId="0" borderId="0" applyFont="0" applyFill="0" applyBorder="0" applyAlignment="0" applyProtection="0"/>
    <xf numFmtId="167" fontId="1" fillId="0" borderId="0" applyFont="0" applyFill="0" applyBorder="0" applyAlignment="0" applyProtection="0"/>
    <xf numFmtId="167" fontId="11"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9" fontId="12"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170" fontId="1" fillId="0" borderId="0" applyFont="0" applyFill="0" applyBorder="0" applyAlignment="0" applyProtection="0"/>
    <xf numFmtId="167" fontId="11" fillId="0" borderId="0" applyFont="0" applyFill="0" applyBorder="0" applyAlignment="0" applyProtection="0"/>
    <xf numFmtId="170" fontId="12"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9" fontId="12"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167" fontId="11"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9" fontId="12" fillId="0" borderId="0" applyFont="0" applyFill="0" applyBorder="0" applyAlignment="0" applyProtection="0"/>
    <xf numFmtId="43" fontId="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9" fontId="12" fillId="0" borderId="0" applyFont="0" applyFill="0" applyBorder="0" applyAlignment="0" applyProtection="0"/>
    <xf numFmtId="198" fontId="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67" fontId="38" fillId="0" borderId="0" applyFont="0" applyFill="0" applyBorder="0" applyAlignment="0" applyProtection="0"/>
    <xf numFmtId="167" fontId="11"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248" fontId="12"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248" fontId="12" fillId="0" borderId="0" applyFont="0" applyFill="0" applyBorder="0" applyAlignment="0" applyProtection="0"/>
    <xf numFmtId="43" fontId="1" fillId="0" borderId="0" applyFont="0" applyFill="0" applyBorder="0" applyAlignment="0" applyProtection="0"/>
    <xf numFmtId="249" fontId="12" fillId="0" borderId="0" applyFont="0" applyFill="0" applyBorder="0" applyAlignment="0" applyProtection="0"/>
    <xf numFmtId="43" fontId="11"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248" fontId="12" fillId="0" borderId="0" applyFont="0" applyFill="0" applyBorder="0" applyAlignment="0" applyProtection="0"/>
    <xf numFmtId="167" fontId="1" fillId="0" borderId="0" applyFont="0" applyFill="0" applyBorder="0" applyAlignment="0" applyProtection="0"/>
    <xf numFmtId="167" fontId="11"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249" fillId="0" borderId="0" applyFont="0" applyFill="0" applyBorder="0" applyAlignment="0" applyProtection="0"/>
    <xf numFmtId="167" fontId="11" fillId="0" borderId="0" applyFont="0" applyFill="0" applyBorder="0" applyAlignment="0" applyProtection="0"/>
    <xf numFmtId="167" fontId="4" fillId="0" borderId="0" applyFont="0" applyFill="0" applyBorder="0" applyAlignment="0" applyProtection="0"/>
    <xf numFmtId="178" fontId="4" fillId="0" borderId="0" applyFont="0" applyFill="0" applyBorder="0" applyAlignment="0" applyProtection="0"/>
    <xf numFmtId="250"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43" fontId="4"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251" fontId="1"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70" fontId="11" fillId="0" borderId="0" applyFont="0" applyFill="0" applyBorder="0" applyAlignment="0" applyProtection="0"/>
    <xf numFmtId="251" fontId="11" fillId="0" borderId="0" applyFont="0" applyFill="0" applyBorder="0" applyAlignment="0" applyProtection="0"/>
    <xf numFmtId="251" fontId="11" fillId="0" borderId="0" applyFont="0" applyFill="0" applyBorder="0" applyAlignment="0" applyProtection="0"/>
    <xf numFmtId="251" fontId="11" fillId="0" borderId="0" applyFont="0" applyFill="0" applyBorder="0" applyAlignment="0" applyProtection="0"/>
    <xf numFmtId="251" fontId="11" fillId="0" borderId="0" applyFont="0" applyFill="0" applyBorder="0" applyAlignment="0" applyProtection="0"/>
    <xf numFmtId="170" fontId="11" fillId="0" borderId="0" applyFont="0" applyFill="0" applyBorder="0" applyAlignment="0" applyProtection="0"/>
    <xf numFmtId="251"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251" fontId="11"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alignment vertical="center"/>
    </xf>
    <xf numFmtId="167" fontId="48" fillId="0" borderId="0" applyFont="0" applyFill="0" applyBorder="0" applyAlignment="0" applyProtection="0">
      <alignment vertical="center"/>
    </xf>
    <xf numFmtId="167" fontId="4" fillId="0" borderId="0" applyFont="0" applyFill="0" applyBorder="0" applyAlignment="0" applyProtection="0"/>
    <xf numFmtId="251" fontId="11" fillId="0" borderId="0" applyFont="0" applyFill="0" applyBorder="0" applyAlignment="0" applyProtection="0"/>
    <xf numFmtId="251" fontId="11" fillId="0" borderId="0" applyFont="0" applyFill="0" applyBorder="0" applyAlignment="0" applyProtection="0"/>
    <xf numFmtId="167" fontId="4" fillId="0" borderId="0" applyFont="0" applyFill="0" applyBorder="0" applyAlignment="0" applyProtection="0"/>
    <xf numFmtId="251" fontId="11" fillId="0" borderId="0" applyFont="0" applyFill="0" applyBorder="0" applyAlignment="0" applyProtection="0"/>
    <xf numFmtId="251" fontId="11" fillId="0" borderId="0" applyFont="0" applyFill="0" applyBorder="0" applyAlignment="0" applyProtection="0"/>
    <xf numFmtId="167" fontId="4" fillId="0" borderId="0" applyFont="0" applyFill="0" applyBorder="0" applyAlignment="0" applyProtection="0"/>
    <xf numFmtId="251" fontId="11" fillId="0" borderId="0" applyFont="0" applyFill="0" applyBorder="0" applyAlignment="0" applyProtection="0"/>
    <xf numFmtId="251" fontId="11" fillId="0" borderId="0" applyFont="0" applyFill="0" applyBorder="0" applyAlignment="0" applyProtection="0"/>
    <xf numFmtId="167" fontId="4" fillId="0" borderId="0" applyFont="0" applyFill="0" applyBorder="0" applyAlignment="0" applyProtection="0"/>
    <xf numFmtId="251" fontId="11" fillId="0" borderId="0" applyFont="0" applyFill="0" applyBorder="0" applyAlignment="0" applyProtection="0"/>
    <xf numFmtId="251" fontId="11"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67" fontId="4"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67" fontId="4"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40" fontId="188"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247" fontId="4"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4" fillId="0" borderId="0" applyFont="0" applyFill="0" applyBorder="0" applyAlignment="0" applyProtection="0"/>
    <xf numFmtId="252" fontId="4" fillId="0" borderId="0" applyFont="0" applyFill="0" applyBorder="0" applyAlignment="0" applyProtection="0"/>
    <xf numFmtId="252"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252" fontId="4" fillId="0" borderId="0" applyFont="0" applyFill="0" applyBorder="0" applyAlignment="0" applyProtection="0"/>
    <xf numFmtId="252" fontId="4"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4" fillId="0" borderId="0" applyFont="0" applyFill="0" applyBorder="0" applyAlignment="0" applyProtection="0"/>
    <xf numFmtId="252" fontId="4" fillId="0" borderId="0" applyFont="0" applyFill="0" applyBorder="0" applyAlignment="0" applyProtection="0"/>
    <xf numFmtId="252"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249"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249" fillId="0" borderId="0" applyFont="0" applyFill="0" applyBorder="0" applyAlignment="0" applyProtection="0"/>
    <xf numFmtId="167" fontId="249" fillId="0" borderId="0" applyFont="0" applyFill="0" applyBorder="0" applyAlignment="0" applyProtection="0"/>
    <xf numFmtId="167" fontId="249" fillId="0" borderId="0" applyFont="0" applyFill="0" applyBorder="0" applyAlignment="0" applyProtection="0"/>
    <xf numFmtId="167" fontId="249" fillId="0" borderId="0" applyFont="0" applyFill="0" applyBorder="0" applyAlignment="0" applyProtection="0"/>
    <xf numFmtId="167" fontId="249"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0"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253" fontId="247" fillId="0" borderId="0" applyFont="0" applyFill="0" applyBorder="0" applyAlignment="0" applyProtection="0"/>
    <xf numFmtId="0" fontId="4" fillId="0" borderId="0" applyFont="0" applyFill="0" applyBorder="0" applyAlignment="0" applyProtection="0"/>
    <xf numFmtId="248" fontId="12"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248" fontId="12" fillId="0" borderId="0" applyFont="0" applyFill="0" applyBorder="0" applyAlignment="0" applyProtection="0"/>
    <xf numFmtId="167" fontId="11"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248" fontId="12" fillId="0" borderId="0" applyFont="0" applyFill="0" applyBorder="0" applyAlignment="0" applyProtection="0"/>
    <xf numFmtId="167" fontId="11"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248" fontId="12"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248" fontId="12"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248" fontId="12"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70" fontId="12"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70" fontId="12"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98" fontId="12"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98" fontId="12"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43"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70" fontId="4" fillId="0" borderId="0" applyFill="0" applyBorder="0" applyAlignment="0" applyProtection="0"/>
    <xf numFmtId="43"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43" fontId="4" fillId="0" borderId="0" applyFont="0" applyFill="0" applyBorder="0" applyAlignment="0" applyProtection="0"/>
    <xf numFmtId="167" fontId="250" fillId="0" borderId="0" applyFont="0" applyFill="0" applyBorder="0" applyAlignment="0" applyProtection="0"/>
    <xf numFmtId="167" fontId="250" fillId="0" borderId="0" applyFont="0" applyFill="0" applyBorder="0" applyAlignment="0" applyProtection="0"/>
    <xf numFmtId="167" fontId="250" fillId="0" borderId="0" applyFont="0" applyFill="0" applyBorder="0" applyAlignment="0" applyProtection="0"/>
    <xf numFmtId="170" fontId="4" fillId="0" borderId="0" applyFill="0" applyBorder="0" applyAlignment="0" applyProtection="0"/>
    <xf numFmtId="169" fontId="4" fillId="0" borderId="0" applyFill="0" applyBorder="0" applyAlignment="0" applyProtection="0"/>
    <xf numFmtId="169" fontId="4" fillId="0" borderId="0" applyFill="0" applyBorder="0" applyAlignment="0" applyProtection="0"/>
    <xf numFmtId="169" fontId="4" fillId="0" borderId="0" applyFill="0" applyBorder="0" applyAlignment="0" applyProtection="0"/>
    <xf numFmtId="169" fontId="4" fillId="0" borderId="0" applyFill="0" applyBorder="0" applyAlignment="0" applyProtection="0"/>
    <xf numFmtId="170" fontId="4" fillId="0" borderId="0" applyFill="0" applyBorder="0" applyAlignment="0" applyProtection="0"/>
    <xf numFmtId="167" fontId="250" fillId="0" borderId="0" applyFont="0" applyFill="0" applyBorder="0" applyAlignment="0" applyProtection="0"/>
    <xf numFmtId="167" fontId="250" fillId="0" borderId="0" applyFont="0" applyFill="0" applyBorder="0" applyAlignment="0" applyProtection="0"/>
    <xf numFmtId="167" fontId="250" fillId="0" borderId="0" applyFont="0" applyFill="0" applyBorder="0" applyAlignment="0" applyProtection="0"/>
    <xf numFmtId="167" fontId="250" fillId="0" borderId="0" applyFont="0" applyFill="0" applyBorder="0" applyAlignment="0" applyProtection="0"/>
    <xf numFmtId="170" fontId="4" fillId="0" borderId="0" applyFill="0" applyBorder="0" applyAlignment="0" applyProtection="0"/>
    <xf numFmtId="170" fontId="4" fillId="0" borderId="0" applyFill="0" applyBorder="0" applyAlignment="0" applyProtection="0"/>
    <xf numFmtId="170" fontId="4" fillId="0" borderId="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lignment vertical="top"/>
      <protection locked="0"/>
    </xf>
    <xf numFmtId="167" fontId="4" fillId="0" borderId="0">
      <alignment vertical="top"/>
      <protection locked="0"/>
    </xf>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70" fontId="4" fillId="0" borderId="0" applyFill="0" applyBorder="0" applyAlignment="0" applyProtection="0"/>
    <xf numFmtId="0" fontId="4" fillId="0" borderId="0" applyFont="0" applyFill="0" applyBorder="0" applyAlignment="0" applyProtection="0"/>
    <xf numFmtId="167" fontId="4" fillId="0" borderId="0" applyFont="0" applyFill="0" applyBorder="0" applyAlignment="0" applyProtection="0"/>
    <xf numFmtId="167" fontId="118"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67" fontId="4" fillId="0" borderId="0" applyFont="0" applyFill="0" applyBorder="0" applyAlignment="0" applyProtection="0"/>
    <xf numFmtId="254" fontId="4" fillId="0" borderId="0" applyFont="0" applyFill="0" applyBorder="0" applyAlignment="0" applyProtection="0"/>
    <xf numFmtId="248" fontId="4" fillId="0" borderId="0" applyFont="0" applyFill="0" applyBorder="0" applyAlignment="0" applyProtection="0"/>
    <xf numFmtId="254" fontId="4" fillId="0" borderId="0" applyFont="0" applyFill="0" applyBorder="0" applyAlignment="0" applyProtection="0"/>
    <xf numFmtId="254" fontId="4" fillId="0" borderId="0" applyFont="0" applyFill="0" applyBorder="0" applyAlignment="0" applyProtection="0"/>
    <xf numFmtId="254" fontId="4" fillId="0" borderId="0" applyFont="0" applyFill="0" applyBorder="0" applyAlignment="0" applyProtection="0"/>
    <xf numFmtId="254" fontId="4" fillId="0" borderId="0" applyFont="0" applyFill="0" applyBorder="0" applyAlignment="0" applyProtection="0"/>
    <xf numFmtId="254" fontId="4" fillId="0" borderId="0" applyFont="0" applyFill="0" applyBorder="0" applyAlignment="0" applyProtection="0"/>
    <xf numFmtId="254" fontId="4" fillId="0" borderId="0" applyFont="0" applyFill="0" applyBorder="0" applyAlignment="0" applyProtection="0"/>
    <xf numFmtId="254" fontId="4"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1"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255" fontId="247" fillId="0" borderId="0" applyFont="0" applyFill="0" applyBorder="0" applyAlignment="0" applyProtection="0"/>
    <xf numFmtId="256" fontId="4" fillId="0" borderId="0" applyFont="0" applyFill="0" applyBorder="0" applyAlignment="0" applyProtection="0"/>
    <xf numFmtId="167" fontId="1"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98" fontId="12"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98" fontId="12" fillId="0" borderId="0" applyFont="0" applyFill="0" applyBorder="0" applyAlignment="0" applyProtection="0"/>
    <xf numFmtId="198" fontId="12" fillId="0" borderId="0" applyFont="0" applyFill="0" applyBorder="0" applyAlignment="0" applyProtection="0"/>
    <xf numFmtId="250" fontId="249" fillId="0" borderId="0" applyFont="0" applyFill="0" applyBorder="0" applyAlignment="0" applyProtection="0"/>
    <xf numFmtId="198" fontId="12" fillId="0" borderId="0" applyFont="0" applyFill="0" applyBorder="0" applyAlignment="0" applyProtection="0"/>
    <xf numFmtId="250" fontId="249" fillId="0" borderId="0" applyFont="0" applyFill="0" applyBorder="0" applyAlignment="0" applyProtection="0"/>
    <xf numFmtId="198" fontId="12" fillId="0" borderId="0" applyFont="0" applyFill="0" applyBorder="0" applyAlignment="0" applyProtection="0"/>
    <xf numFmtId="250" fontId="249" fillId="0" borderId="0" applyFont="0" applyFill="0" applyBorder="0" applyAlignment="0" applyProtection="0"/>
    <xf numFmtId="250" fontId="249" fillId="0" borderId="0" applyFont="0" applyFill="0" applyBorder="0" applyAlignment="0" applyProtection="0"/>
    <xf numFmtId="167" fontId="48" fillId="0" borderId="0" applyFont="0" applyFill="0" applyBorder="0" applyAlignment="0" applyProtection="0"/>
    <xf numFmtId="250" fontId="249" fillId="0" borderId="0" applyFont="0" applyFill="0" applyBorder="0" applyAlignment="0" applyProtection="0"/>
    <xf numFmtId="250" fontId="249" fillId="0" borderId="0" applyFont="0" applyFill="0" applyBorder="0" applyAlignment="0" applyProtection="0"/>
    <xf numFmtId="250" fontId="249" fillId="0" borderId="0" applyFont="0" applyFill="0" applyBorder="0" applyAlignment="0" applyProtection="0"/>
    <xf numFmtId="167" fontId="1" fillId="0" borderId="0" applyFont="0" applyFill="0" applyBorder="0" applyAlignment="0" applyProtection="0"/>
    <xf numFmtId="167" fontId="4" fillId="0" borderId="0" applyFont="0" applyFill="0" applyBorder="0" applyAlignment="0" applyProtection="0"/>
    <xf numFmtId="167" fontId="1" fillId="0" borderId="0" applyFont="0" applyFill="0" applyBorder="0" applyAlignment="0" applyProtection="0"/>
    <xf numFmtId="43" fontId="4" fillId="0" borderId="0" applyFont="0" applyFill="0" applyBorder="0" applyAlignment="0" applyProtection="0"/>
    <xf numFmtId="167" fontId="4" fillId="0" borderId="0" applyFont="0" applyFill="0" applyBorder="0" applyAlignment="0" applyProtection="0"/>
    <xf numFmtId="257" fontId="12" fillId="0" borderId="0" applyFont="0" applyFill="0" applyBorder="0" applyAlignment="0" applyProtection="0"/>
    <xf numFmtId="257" fontId="12" fillId="0" borderId="0" applyFont="0" applyFill="0" applyBorder="0" applyAlignment="0" applyProtection="0"/>
    <xf numFmtId="257" fontId="12" fillId="0" borderId="0" applyFont="0" applyFill="0" applyBorder="0" applyAlignment="0" applyProtection="0"/>
    <xf numFmtId="257" fontId="12" fillId="0" borderId="0" applyFont="0" applyFill="0" applyBorder="0" applyAlignment="0" applyProtection="0"/>
    <xf numFmtId="257" fontId="12"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72" fontId="12" fillId="0" borderId="0" applyFont="0" applyFill="0" applyBorder="0" applyAlignment="0" applyProtection="0"/>
    <xf numFmtId="0" fontId="159" fillId="0" borderId="0" applyFill="0" applyBorder="0" applyAlignment="0" applyProtection="0"/>
    <xf numFmtId="0" fontId="159" fillId="0" borderId="0" applyFill="0" applyBorder="0" applyAlignment="0" applyProtection="0"/>
    <xf numFmtId="172" fontId="12" fillId="0" borderId="0" applyFont="0" applyFill="0" applyBorder="0" applyAlignment="0" applyProtection="0"/>
    <xf numFmtId="256" fontId="11" fillId="0" borderId="0" applyFont="0" applyFill="0" applyBorder="0" applyAlignment="0" applyProtection="0"/>
    <xf numFmtId="167" fontId="1" fillId="0" borderId="0" applyFont="0" applyFill="0" applyBorder="0" applyAlignment="0" applyProtection="0"/>
    <xf numFmtId="169" fontId="48" fillId="0" borderId="0" applyFont="0" applyFill="0" applyBorder="0" applyAlignment="0" applyProtection="0"/>
    <xf numFmtId="169" fontId="48"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256" fontId="11" fillId="0" borderId="0" applyFont="0" applyFill="0" applyBorder="0" applyAlignment="0" applyProtection="0"/>
    <xf numFmtId="256" fontId="11" fillId="0" borderId="0" applyFont="0" applyFill="0" applyBorder="0" applyAlignment="0" applyProtection="0"/>
    <xf numFmtId="256" fontId="11" fillId="0" borderId="0" applyFont="0" applyFill="0" applyBorder="0" applyAlignment="0" applyProtection="0"/>
    <xf numFmtId="256" fontId="11" fillId="0" borderId="0" applyFont="0" applyFill="0" applyBorder="0" applyAlignment="0" applyProtection="0"/>
    <xf numFmtId="256" fontId="11" fillId="0" borderId="0" applyFont="0" applyFill="0" applyBorder="0" applyAlignment="0" applyProtection="0"/>
    <xf numFmtId="172" fontId="12"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72" fontId="12"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0" fontId="159" fillId="0" borderId="0" applyFill="0" applyBorder="0" applyAlignment="0" applyProtection="0"/>
    <xf numFmtId="0" fontId="159" fillId="0" borderId="0" applyFill="0" applyBorder="0" applyAlignment="0" applyProtection="0"/>
    <xf numFmtId="168" fontId="4" fillId="0" borderId="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257" fontId="12" fillId="0" borderId="0" applyFont="0" applyFill="0" applyBorder="0" applyAlignment="0" applyProtection="0"/>
    <xf numFmtId="256" fontId="11" fillId="0" borderId="0" applyFont="0" applyFill="0" applyBorder="0" applyAlignment="0" applyProtection="0"/>
    <xf numFmtId="248" fontId="4" fillId="0" borderId="0" applyFont="0" applyFill="0" applyBorder="0" applyAlignment="0" applyProtection="0"/>
    <xf numFmtId="248" fontId="4"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256" fontId="11" fillId="0" borderId="0" applyFont="0" applyFill="0" applyBorder="0" applyAlignment="0" applyProtection="0"/>
    <xf numFmtId="256" fontId="11" fillId="0" borderId="0" applyFont="0" applyFill="0" applyBorder="0" applyAlignment="0" applyProtection="0"/>
    <xf numFmtId="256" fontId="11" fillId="0" borderId="0" applyFont="0" applyFill="0" applyBorder="0" applyAlignment="0" applyProtection="0"/>
    <xf numFmtId="256" fontId="11" fillId="0" borderId="0" applyFont="0" applyFill="0" applyBorder="0" applyAlignment="0" applyProtection="0"/>
    <xf numFmtId="257" fontId="12" fillId="0" borderId="0" applyFont="0" applyFill="0" applyBorder="0" applyAlignment="0" applyProtection="0"/>
    <xf numFmtId="248" fontId="4" fillId="0" borderId="0" applyFont="0" applyFill="0" applyBorder="0" applyAlignment="0" applyProtection="0"/>
    <xf numFmtId="248" fontId="4" fillId="0" borderId="0" applyFont="0" applyFill="0" applyBorder="0" applyAlignment="0" applyProtection="0"/>
    <xf numFmtId="167" fontId="4" fillId="0" borderId="0" applyFill="0" applyBorder="0" applyAlignment="0" applyProtection="0"/>
    <xf numFmtId="167" fontId="4" fillId="0" borderId="0" applyFill="0" applyBorder="0" applyAlignment="0" applyProtection="0"/>
    <xf numFmtId="257" fontId="12" fillId="0" borderId="0" applyFont="0" applyFill="0" applyBorder="0" applyAlignment="0" applyProtection="0"/>
    <xf numFmtId="248" fontId="4" fillId="0" borderId="0" applyFont="0" applyFill="0" applyBorder="0" applyAlignment="0" applyProtection="0"/>
    <xf numFmtId="248" fontId="4" fillId="0" borderId="0" applyFont="0" applyFill="0" applyBorder="0" applyAlignment="0" applyProtection="0"/>
    <xf numFmtId="257" fontId="12" fillId="0" borderId="0" applyFont="0" applyFill="0" applyBorder="0" applyAlignment="0" applyProtection="0"/>
    <xf numFmtId="248" fontId="4" fillId="0" borderId="0" applyFont="0" applyFill="0" applyBorder="0" applyAlignment="0" applyProtection="0"/>
    <xf numFmtId="248" fontId="4" fillId="0" borderId="0" applyFont="0" applyFill="0" applyBorder="0" applyAlignment="0" applyProtection="0"/>
    <xf numFmtId="257" fontId="12" fillId="0" borderId="0" applyFont="0" applyFill="0" applyBorder="0" applyAlignment="0" applyProtection="0"/>
    <xf numFmtId="248" fontId="4" fillId="0" borderId="0" applyFont="0" applyFill="0" applyBorder="0" applyAlignment="0" applyProtection="0"/>
    <xf numFmtId="257" fontId="12" fillId="0" borderId="0" applyFont="0" applyFill="0" applyBorder="0" applyAlignment="0" applyProtection="0"/>
    <xf numFmtId="0" fontId="251" fillId="0" borderId="0" applyFont="0" applyFill="0" applyBorder="0" applyAlignment="0" applyProtection="0"/>
    <xf numFmtId="167" fontId="4" fillId="0" borderId="0" applyFont="0" applyFill="0" applyBorder="0" applyAlignment="0" applyProtection="0"/>
    <xf numFmtId="167" fontId="249" fillId="0" borderId="0" applyFont="0" applyFill="0" applyBorder="0" applyAlignment="0" applyProtection="0"/>
    <xf numFmtId="167" fontId="1" fillId="0" borderId="0" applyFont="0" applyFill="0" applyBorder="0" applyAlignment="0" applyProtection="0"/>
    <xf numFmtId="0" fontId="4" fillId="0" borderId="0" applyFill="0" applyBorder="0" applyAlignment="0" applyProtection="0"/>
    <xf numFmtId="167" fontId="1" fillId="0" borderId="0" applyFont="0" applyFill="0" applyBorder="0" applyAlignment="0" applyProtection="0"/>
    <xf numFmtId="167" fontId="4" fillId="0" borderId="0" applyFont="0" applyFill="0" applyBorder="0" applyAlignment="0" applyProtection="0"/>
    <xf numFmtId="167" fontId="1" fillId="0" borderId="0" applyFont="0" applyFill="0" applyBorder="0" applyAlignment="0" applyProtection="0"/>
    <xf numFmtId="167" fontId="4" fillId="0" borderId="0" applyFont="0" applyFill="0" applyBorder="0" applyAlignment="0" applyProtection="0"/>
    <xf numFmtId="167" fontId="1" fillId="0" borderId="0" applyFont="0" applyFill="0" applyBorder="0" applyAlignment="0" applyProtection="0"/>
    <xf numFmtId="167"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98" fontId="4"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244" fontId="12" fillId="0" borderId="0" applyFont="0" applyFill="0" applyBorder="0" applyAlignment="0" applyProtection="0"/>
    <xf numFmtId="244" fontId="12"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249" fillId="0" borderId="0" applyFont="0" applyFill="0" applyBorder="0" applyAlignment="0" applyProtection="0"/>
    <xf numFmtId="167" fontId="249"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4" fillId="0" borderId="0" applyFont="0" applyFill="0" applyBorder="0" applyAlignment="0" applyProtection="0"/>
    <xf numFmtId="0" fontId="11" fillId="0" borderId="0" applyFont="0" applyFill="0" applyBorder="0" applyAlignment="0" applyProtection="0"/>
    <xf numFmtId="43" fontId="11"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98" fontId="4" fillId="0" borderId="0" applyFont="0" applyFill="0" applyBorder="0" applyAlignment="0" applyProtection="0"/>
    <xf numFmtId="172" fontId="4" fillId="0" borderId="0" applyFill="0" applyBorder="0" applyAlignment="0" applyProtection="0"/>
    <xf numFmtId="167" fontId="11" fillId="0" borderId="0" applyFont="0" applyFill="0" applyBorder="0" applyAlignment="0" applyProtection="0"/>
    <xf numFmtId="167" fontId="4" fillId="0" borderId="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12" fillId="0" borderId="0" applyFont="0" applyFill="0" applyBorder="0" applyAlignment="0" applyProtection="0"/>
    <xf numFmtId="167" fontId="249" fillId="0" borderId="0" applyFont="0" applyFill="0" applyBorder="0" applyAlignment="0" applyProtection="0"/>
    <xf numFmtId="167" fontId="11"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248" fontId="4" fillId="0" borderId="0" applyFont="0" applyFill="0" applyBorder="0" applyAlignment="0" applyProtection="0"/>
    <xf numFmtId="43"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1" fillId="0" borderId="0" applyFont="0" applyFill="0" applyBorder="0" applyAlignment="0" applyProtection="0"/>
    <xf numFmtId="167" fontId="249"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249" fillId="0" borderId="0" applyFont="0" applyFill="0" applyBorder="0" applyAlignment="0" applyProtection="0"/>
    <xf numFmtId="167" fontId="249" fillId="0" borderId="0" applyFont="0" applyFill="0" applyBorder="0" applyAlignment="0" applyProtection="0"/>
    <xf numFmtId="167" fontId="249" fillId="0" borderId="0" applyFont="0" applyFill="0" applyBorder="0" applyAlignment="0" applyProtection="0"/>
    <xf numFmtId="167" fontId="249" fillId="0" borderId="0" applyFont="0" applyFill="0" applyBorder="0" applyAlignment="0" applyProtection="0"/>
    <xf numFmtId="167" fontId="11" fillId="0" borderId="0" applyFont="0" applyFill="0" applyBorder="0" applyAlignment="0" applyProtection="0"/>
    <xf numFmtId="248" fontId="4"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248" fontId="4" fillId="0" borderId="0" applyFont="0" applyFill="0" applyBorder="0" applyAlignment="0" applyProtection="0"/>
    <xf numFmtId="248" fontId="4" fillId="0" borderId="0" applyFont="0" applyFill="0" applyBorder="0" applyAlignment="0" applyProtection="0"/>
    <xf numFmtId="248" fontId="4" fillId="0" borderId="0" applyFont="0" applyFill="0" applyBorder="0" applyAlignment="0" applyProtection="0"/>
    <xf numFmtId="167" fontId="4" fillId="0" borderId="0" applyFont="0" applyFill="0" applyBorder="0" applyAlignment="0" applyProtection="0"/>
    <xf numFmtId="198"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72" fontId="4" fillId="0" borderId="0" applyFill="0" applyBorder="0" applyAlignment="0" applyProtection="0"/>
    <xf numFmtId="0" fontId="4" fillId="0" borderId="0" applyFont="0" applyFill="0" applyBorder="0" applyAlignment="0" applyProtection="0"/>
    <xf numFmtId="167" fontId="12" fillId="0" borderId="0" applyFont="0" applyFill="0" applyBorder="0" applyAlignment="0" applyProtection="0"/>
    <xf numFmtId="258" fontId="8" fillId="0" borderId="0"/>
    <xf numFmtId="258" fontId="8" fillId="0" borderId="0"/>
    <xf numFmtId="258" fontId="8" fillId="0" borderId="0"/>
    <xf numFmtId="258" fontId="8" fillId="0" borderId="0"/>
    <xf numFmtId="258" fontId="8" fillId="0" borderId="0"/>
    <xf numFmtId="258" fontId="8" fillId="0" borderId="0"/>
    <xf numFmtId="258" fontId="8" fillId="0" borderId="0"/>
    <xf numFmtId="258" fontId="8" fillId="0" borderId="0"/>
    <xf numFmtId="170" fontId="12"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259" fontId="251" fillId="0" borderId="0" applyFont="0" applyFill="0" applyBorder="0" applyAlignment="0" applyProtection="0"/>
    <xf numFmtId="0" fontId="251" fillId="0" borderId="0" applyFont="0" applyFill="0" applyBorder="0" applyAlignment="0" applyProtection="0"/>
    <xf numFmtId="167" fontId="1" fillId="0" borderId="0" applyFont="0" applyFill="0" applyBorder="0" applyAlignment="0" applyProtection="0"/>
    <xf numFmtId="198" fontId="12"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67" fontId="11" fillId="0" borderId="0" applyFont="0" applyFill="0" applyBorder="0" applyAlignment="0" applyProtection="0"/>
    <xf numFmtId="167" fontId="4" fillId="0" borderId="0" applyFont="0" applyFill="0" applyBorder="0" applyAlignment="0" applyProtection="0"/>
    <xf numFmtId="165" fontId="4" fillId="0" borderId="0" applyFill="0" applyBorder="0" applyAlignment="0" applyProtection="0"/>
    <xf numFmtId="167" fontId="4"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98"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9" fontId="12" fillId="0" borderId="0" applyFont="0" applyFill="0" applyBorder="0" applyAlignment="0" applyProtection="0"/>
    <xf numFmtId="167" fontId="11"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11" fillId="0" borderId="0" applyFont="0" applyFill="0" applyBorder="0" applyAlignment="0" applyProtection="0"/>
    <xf numFmtId="167" fontId="25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67" fontId="48"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67" fontId="48" fillId="0" borderId="0" applyFont="0" applyFill="0" applyBorder="0" applyAlignment="0" applyProtection="0"/>
    <xf numFmtId="43" fontId="11" fillId="0" borderId="0" applyFont="0" applyFill="0" applyBorder="0" applyAlignment="0" applyProtection="0"/>
    <xf numFmtId="167" fontId="11" fillId="0" borderId="0" applyFont="0" applyFill="0" applyBorder="0" applyAlignment="0" applyProtection="0"/>
    <xf numFmtId="167" fontId="253" fillId="0" borderId="0" applyFont="0" applyFill="0" applyBorder="0" applyAlignment="0" applyProtection="0"/>
    <xf numFmtId="43" fontId="11" fillId="0" borderId="0" applyFont="0" applyFill="0" applyBorder="0" applyAlignment="0" applyProtection="0"/>
    <xf numFmtId="175" fontId="12" fillId="0" borderId="0" applyFont="0" applyFill="0" applyBorder="0" applyAlignment="0" applyProtection="0"/>
    <xf numFmtId="167" fontId="48" fillId="0" borderId="0" applyFont="0" applyFill="0" applyBorder="0" applyAlignment="0" applyProtection="0"/>
    <xf numFmtId="167" fontId="48"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260" fontId="4" fillId="0" borderId="0"/>
    <xf numFmtId="260" fontId="4" fillId="0" borderId="0"/>
    <xf numFmtId="261" fontId="247" fillId="0" borderId="0" applyFont="0" applyFill="0" applyBorder="0" applyAlignment="0" applyProtection="0"/>
    <xf numFmtId="37" fontId="172" fillId="0" borderId="0" applyFont="0" applyFill="0" applyBorder="0" applyAlignment="0" applyProtection="0"/>
    <xf numFmtId="190" fontId="172" fillId="0" borderId="0" applyFont="0" applyFill="0" applyBorder="0" applyAlignment="0" applyProtection="0"/>
    <xf numFmtId="39" fontId="172" fillId="0" borderId="0" applyFont="0" applyFill="0" applyBorder="0" applyAlignment="0" applyProtection="0"/>
    <xf numFmtId="38" fontId="149" fillId="0" borderId="0" applyFill="0" applyBorder="0" applyProtection="0">
      <alignment horizontal="center"/>
    </xf>
    <xf numFmtId="3" fontId="4" fillId="0" borderId="0" applyFont="0" applyFill="0" applyBorder="0" applyAlignment="0" applyProtection="0"/>
    <xf numFmtId="0" fontId="156" fillId="0" borderId="0"/>
    <xf numFmtId="0" fontId="156" fillId="0" borderId="0"/>
    <xf numFmtId="262" fontId="254" fillId="0" borderId="0">
      <protection locked="0"/>
    </xf>
    <xf numFmtId="3" fontId="4" fillId="0" borderId="74" applyProtection="0"/>
    <xf numFmtId="262" fontId="254" fillId="0" borderId="0">
      <protection locked="0"/>
    </xf>
    <xf numFmtId="262" fontId="254" fillId="0" borderId="0">
      <protection locked="0"/>
    </xf>
    <xf numFmtId="262" fontId="254" fillId="0" borderId="0">
      <protection locked="0"/>
    </xf>
    <xf numFmtId="262" fontId="254" fillId="0" borderId="0">
      <protection locked="0"/>
    </xf>
    <xf numFmtId="262" fontId="254" fillId="0" borderId="0">
      <protection locked="0"/>
    </xf>
    <xf numFmtId="262" fontId="254" fillId="0" borderId="0">
      <protection locked="0"/>
    </xf>
    <xf numFmtId="262" fontId="254" fillId="0" borderId="0">
      <protection locked="0"/>
    </xf>
    <xf numFmtId="262" fontId="254" fillId="0" borderId="0">
      <protection locked="0"/>
    </xf>
    <xf numFmtId="262" fontId="254" fillId="0" borderId="0">
      <protection locked="0"/>
    </xf>
    <xf numFmtId="262" fontId="254" fillId="0" borderId="0">
      <protection locked="0"/>
    </xf>
    <xf numFmtId="262" fontId="254" fillId="0" borderId="0">
      <protection locked="0"/>
    </xf>
    <xf numFmtId="262" fontId="254" fillId="0" borderId="0">
      <protection locked="0"/>
    </xf>
    <xf numFmtId="263" fontId="4" fillId="0" borderId="75" applyProtection="0"/>
    <xf numFmtId="0" fontId="255" fillId="0" borderId="0"/>
    <xf numFmtId="4" fontId="12" fillId="0" borderId="75" applyProtection="0"/>
    <xf numFmtId="264" fontId="4" fillId="0" borderId="75" applyProtection="0"/>
    <xf numFmtId="265" fontId="212" fillId="0" borderId="0">
      <alignment horizontal="right"/>
    </xf>
    <xf numFmtId="266" fontId="138" fillId="0" borderId="0" applyFont="0" applyFill="0" applyBorder="0" applyAlignment="0" applyProtection="0"/>
    <xf numFmtId="267" fontId="12" fillId="0" borderId="0">
      <alignment horizontal="right"/>
    </xf>
    <xf numFmtId="0" fontId="18" fillId="0" borderId="0" applyNumberFormat="0" applyAlignment="0">
      <alignment horizontal="left"/>
    </xf>
    <xf numFmtId="0" fontId="256"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xf numFmtId="0" fontId="181" fillId="0" borderId="0" applyNumberFormat="0" applyAlignment="0"/>
    <xf numFmtId="212" fontId="257" fillId="0" borderId="55" applyNumberFormat="0" applyBorder="0" applyAlignment="0" applyProtection="0">
      <protection locked="0"/>
    </xf>
    <xf numFmtId="268" fontId="4" fillId="0" borderId="0" applyFont="0" applyFill="0" applyBorder="0" applyAlignment="0" applyProtection="0"/>
    <xf numFmtId="0" fontId="258" fillId="0" borderId="0">
      <alignment horizontal="left"/>
    </xf>
    <xf numFmtId="0" fontId="259" fillId="0" borderId="0"/>
    <xf numFmtId="0" fontId="260" fillId="0" borderId="0">
      <alignment horizontal="left"/>
    </xf>
    <xf numFmtId="0" fontId="4" fillId="1" borderId="0" applyFont="0" applyFill="0" applyBorder="0" applyAlignment="0" applyProtection="0">
      <alignment horizontal="right"/>
    </xf>
    <xf numFmtId="269" fontId="261" fillId="161" borderId="0" applyFill="0">
      <alignment horizontal="left" vertical="top"/>
      <protection locked="0"/>
    </xf>
    <xf numFmtId="269" fontId="261" fillId="161" borderId="0" applyFill="0">
      <alignment horizontal="left" vertical="top"/>
      <protection locked="0"/>
    </xf>
    <xf numFmtId="250" fontId="220" fillId="0" borderId="0" applyFont="0" applyFill="0" applyBorder="0" applyAlignment="0" applyProtection="0"/>
    <xf numFmtId="0" fontId="156" fillId="0" borderId="0"/>
    <xf numFmtId="0" fontId="156" fillId="0" borderId="0"/>
    <xf numFmtId="0" fontId="156" fillId="0" borderId="0"/>
    <xf numFmtId="0" fontId="8" fillId="0" borderId="0"/>
    <xf numFmtId="270" fontId="6" fillId="0" borderId="76" applyFont="0" applyFill="0" applyBorder="0" applyAlignment="0" applyProtection="0"/>
    <xf numFmtId="271" fontId="12" fillId="0" borderId="0">
      <alignment horizontal="center"/>
    </xf>
    <xf numFmtId="0" fontId="4" fillId="0" borderId="0">
      <alignment horizontal="center"/>
    </xf>
    <xf numFmtId="272" fontId="138" fillId="0" borderId="0" applyFont="0" applyFill="0" applyBorder="0" applyAlignment="0" applyProtection="0">
      <protection locked="0"/>
    </xf>
    <xf numFmtId="212" fontId="138" fillId="0" borderId="0" applyFont="0" applyFill="0" applyBorder="0" applyAlignment="0" applyProtection="0">
      <protection locked="0"/>
    </xf>
    <xf numFmtId="258" fontId="4" fillId="0" borderId="0" applyFont="0" applyFill="0" applyBorder="0" applyAlignment="0" applyProtection="0"/>
    <xf numFmtId="212" fontId="4" fillId="0" borderId="0" applyFill="0" applyBorder="0" applyAlignment="0" applyProtection="0"/>
    <xf numFmtId="273" fontId="12" fillId="0" borderId="0" applyFont="0" applyFill="0" applyBorder="0" applyAlignment="0" applyProtection="0"/>
    <xf numFmtId="274" fontId="12" fillId="0" borderId="0" applyFont="0" applyFill="0" applyBorder="0" applyAlignment="0" applyProtection="0"/>
    <xf numFmtId="275" fontId="12" fillId="0" borderId="0" applyFont="0" applyFill="0" applyBorder="0" applyAlignment="0" applyProtection="0"/>
    <xf numFmtId="276" fontId="247" fillId="0" borderId="0" applyFont="0" applyFill="0" applyBorder="0" applyAlignment="0" applyProtection="0">
      <alignment horizontal="right"/>
    </xf>
    <xf numFmtId="277" fontId="4" fillId="0" borderId="0" applyFont="0" applyFill="0" applyBorder="0" applyAlignment="0" applyProtection="0"/>
    <xf numFmtId="277" fontId="4" fillId="0" borderId="0" applyFont="0" applyFill="0" applyBorder="0" applyAlignment="0" applyProtection="0"/>
    <xf numFmtId="43" fontId="4" fillId="0" borderId="0" applyFont="0" applyFill="0" applyBorder="0" applyAlignment="0" applyProtection="0"/>
    <xf numFmtId="277" fontId="11" fillId="0" borderId="0" applyFont="0" applyFill="0" applyBorder="0" applyAlignment="0" applyProtection="0"/>
    <xf numFmtId="277" fontId="11"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8" fontId="262" fillId="0" borderId="0" applyFont="0" applyFill="0" applyBorder="0" applyAlignment="0" applyProtection="0"/>
    <xf numFmtId="279" fontId="247" fillId="0" borderId="0" applyFont="0" applyFill="0" applyBorder="0" applyAlignment="0" applyProtection="0">
      <alignment horizontal="right"/>
    </xf>
    <xf numFmtId="277" fontId="4" fillId="0" borderId="0" applyFont="0" applyFill="0" applyBorder="0" applyAlignment="0" applyProtection="0"/>
    <xf numFmtId="277" fontId="48"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8"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8" fillId="0" borderId="0" applyFont="0" applyFill="0" applyBorder="0" applyAlignment="0" applyProtection="0"/>
    <xf numFmtId="280" fontId="262" fillId="0" borderId="0" applyFont="0" applyFill="0" applyBorder="0" applyAlignment="0" applyProtection="0"/>
    <xf numFmtId="0" fontId="1"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4" fillId="0" borderId="0" applyFont="0" applyFill="0" applyBorder="0" applyAlignment="0" applyProtection="0"/>
    <xf numFmtId="277" fontId="11" fillId="0" borderId="0" applyFont="0" applyFill="0" applyBorder="0" applyAlignment="0" applyProtection="0"/>
    <xf numFmtId="204" fontId="212" fillId="0" borderId="0" applyFont="0" applyFill="0" applyBorder="0" applyProtection="0">
      <alignment horizontal="right"/>
    </xf>
    <xf numFmtId="39" fontId="4" fillId="0" borderId="0"/>
    <xf numFmtId="281" fontId="247" fillId="0" borderId="0" applyFont="0" applyFill="0" applyBorder="0" applyAlignment="0" applyProtection="0"/>
    <xf numFmtId="282" fontId="172" fillId="0" borderId="0" applyFont="0" applyFill="0" applyBorder="0" applyAlignment="0" applyProtection="0"/>
    <xf numFmtId="283" fontId="172" fillId="0" borderId="0" applyFont="0" applyFill="0" applyBorder="0" applyAlignment="0" applyProtection="0"/>
    <xf numFmtId="284" fontId="6" fillId="0" borderId="76" applyFont="0" applyFill="0" applyBorder="0" applyAlignment="0" applyProtection="0"/>
    <xf numFmtId="285" fontId="4" fillId="0" borderId="0" applyFont="0" applyFill="0" applyBorder="0" applyAlignment="0" applyProtection="0"/>
    <xf numFmtId="286" fontId="254" fillId="0" borderId="0">
      <protection locked="0"/>
    </xf>
    <xf numFmtId="286" fontId="254" fillId="0" borderId="0">
      <protection locked="0"/>
    </xf>
    <xf numFmtId="286" fontId="254" fillId="0" borderId="0">
      <protection locked="0"/>
    </xf>
    <xf numFmtId="286" fontId="254" fillId="0" borderId="0">
      <protection locked="0"/>
    </xf>
    <xf numFmtId="287" fontId="4" fillId="0" borderId="0" applyFont="0" applyFill="0" applyBorder="0" applyAlignment="0" applyProtection="0"/>
    <xf numFmtId="288" fontId="254" fillId="0" borderId="0">
      <protection locked="0"/>
    </xf>
    <xf numFmtId="288" fontId="254" fillId="0" borderId="0">
      <protection locked="0"/>
    </xf>
    <xf numFmtId="288" fontId="254" fillId="0" borderId="0">
      <protection locked="0"/>
    </xf>
    <xf numFmtId="286" fontId="254" fillId="0" borderId="0">
      <protection locked="0"/>
    </xf>
    <xf numFmtId="286" fontId="254" fillId="0" borderId="0">
      <protection locked="0"/>
    </xf>
    <xf numFmtId="286" fontId="254" fillId="0" borderId="0">
      <protection locked="0"/>
    </xf>
    <xf numFmtId="286" fontId="254" fillId="0" borderId="0">
      <protection locked="0"/>
    </xf>
    <xf numFmtId="286" fontId="254" fillId="0" borderId="0">
      <protection locked="0"/>
    </xf>
    <xf numFmtId="286" fontId="254" fillId="0" borderId="0">
      <protection locked="0"/>
    </xf>
    <xf numFmtId="286" fontId="254" fillId="0" borderId="0">
      <protection locked="0"/>
    </xf>
    <xf numFmtId="288" fontId="254" fillId="0" borderId="0">
      <protection locked="0"/>
    </xf>
    <xf numFmtId="289" fontId="4" fillId="0" borderId="0"/>
    <xf numFmtId="289" fontId="4" fillId="0" borderId="0"/>
    <xf numFmtId="290" fontId="138" fillId="0" borderId="0" applyFont="0" applyFill="0" applyBorder="0" applyAlignment="0" applyProtection="0"/>
    <xf numFmtId="0" fontId="4" fillId="0" borderId="0"/>
    <xf numFmtId="0" fontId="263" fillId="0" borderId="0"/>
    <xf numFmtId="0" fontId="4" fillId="0" borderId="0"/>
    <xf numFmtId="0" fontId="4" fillId="0" borderId="0"/>
    <xf numFmtId="291" fontId="147" fillId="0" borderId="0">
      <alignment horizontal="right"/>
    </xf>
    <xf numFmtId="0" fontId="4" fillId="0" borderId="0"/>
    <xf numFmtId="291" fontId="147" fillId="0" borderId="0">
      <alignment horizontal="right"/>
    </xf>
    <xf numFmtId="291" fontId="147" fillId="0" borderId="0">
      <alignment horizontal="right"/>
    </xf>
    <xf numFmtId="291" fontId="147" fillId="0" borderId="0">
      <alignment horizontal="right"/>
    </xf>
    <xf numFmtId="291" fontId="147" fillId="0" borderId="0">
      <alignment horizontal="right"/>
    </xf>
    <xf numFmtId="184" fontId="264" fillId="27" borderId="0" applyFont="0" applyFill="0" applyBorder="0" applyAlignment="0" applyProtection="0">
      <alignment vertical="center"/>
      <protection locked="0"/>
    </xf>
    <xf numFmtId="291" fontId="147" fillId="0" borderId="0">
      <alignment horizontal="right"/>
    </xf>
    <xf numFmtId="292" fontId="149" fillId="0" borderId="0" applyFont="0" applyFill="0" applyBorder="0" applyAlignment="0" applyProtection="0"/>
    <xf numFmtId="0" fontId="263" fillId="0" borderId="77"/>
    <xf numFmtId="0" fontId="263" fillId="0" borderId="77"/>
    <xf numFmtId="0" fontId="263" fillId="0" borderId="77"/>
    <xf numFmtId="293" fontId="265" fillId="0" borderId="0">
      <protection locked="0"/>
    </xf>
    <xf numFmtId="294" fontId="4" fillId="0" borderId="0" applyFont="0" applyFill="0" applyBorder="0" applyAlignment="0" applyProtection="0"/>
    <xf numFmtId="0" fontId="156" fillId="0" borderId="0"/>
    <xf numFmtId="0" fontId="156" fillId="0" borderId="0"/>
    <xf numFmtId="15" fontId="80" fillId="0" borderId="0" applyFill="0" applyBorder="0" applyAlignment="0"/>
    <xf numFmtId="295" fontId="12" fillId="0" borderId="0" applyFont="0" applyFill="0" applyBorder="0" applyAlignment="0" applyProtection="0"/>
    <xf numFmtId="296" fontId="12" fillId="0" borderId="0" applyFont="0" applyFill="0" applyBorder="0" applyAlignment="0" applyProtection="0"/>
    <xf numFmtId="297" fontId="12" fillId="0" borderId="0" applyFont="0" applyFill="0" applyBorder="0" applyAlignment="0" applyProtection="0"/>
    <xf numFmtId="298" fontId="80" fillId="23" borderId="0" applyFont="0" applyFill="0" applyBorder="0" applyAlignment="0" applyProtection="0"/>
    <xf numFmtId="299" fontId="266" fillId="23" borderId="44" applyFont="0" applyFill="0" applyBorder="0" applyAlignment="0" applyProtection="0"/>
    <xf numFmtId="299" fontId="6" fillId="23" borderId="0" applyFont="0" applyFill="0" applyBorder="0" applyAlignment="0" applyProtection="0"/>
    <xf numFmtId="17" fontId="80" fillId="0" borderId="0" applyFill="0" applyBorder="0">
      <alignment horizontal="right"/>
    </xf>
    <xf numFmtId="300" fontId="80" fillId="0" borderId="19" applyFont="0" applyFill="0" applyBorder="0" applyAlignment="0" applyProtection="0"/>
    <xf numFmtId="301" fontId="4" fillId="0" borderId="0" applyFont="0" applyFill="0" applyBorder="0" applyAlignment="0" applyProtection="0"/>
    <xf numFmtId="0" fontId="254" fillId="0" borderId="0">
      <protection locked="0"/>
    </xf>
    <xf numFmtId="294" fontId="4" fillId="0" borderId="0" applyFont="0" applyFill="0" applyBorder="0" applyAlignment="0" applyProtection="0"/>
    <xf numFmtId="302" fontId="254" fillId="0" borderId="0">
      <protection locked="0"/>
    </xf>
    <xf numFmtId="0" fontId="254" fillId="0" borderId="0">
      <protection locked="0"/>
    </xf>
    <xf numFmtId="0" fontId="254" fillId="0" borderId="0">
      <protection locked="0"/>
    </xf>
    <xf numFmtId="302" fontId="254" fillId="0" borderId="0">
      <protection locked="0"/>
    </xf>
    <xf numFmtId="294" fontId="4" fillId="0" borderId="0" applyFont="0" applyFill="0" applyBorder="0" applyAlignment="0" applyProtection="0"/>
    <xf numFmtId="197" fontId="4" fillId="0" borderId="0" applyFont="0" applyFill="0" applyBorder="0" applyAlignment="0" applyProtection="0"/>
    <xf numFmtId="303" fontId="4" fillId="0" borderId="0">
      <protection locked="0"/>
    </xf>
    <xf numFmtId="303" fontId="4" fillId="0" borderId="0">
      <protection locked="0"/>
    </xf>
    <xf numFmtId="0" fontId="254" fillId="0" borderId="0">
      <protection locked="0"/>
    </xf>
    <xf numFmtId="0" fontId="254" fillId="0" borderId="0">
      <protection locked="0"/>
    </xf>
    <xf numFmtId="0" fontId="254" fillId="0" borderId="0">
      <protection locked="0"/>
    </xf>
    <xf numFmtId="304" fontId="247" fillId="0" borderId="0" applyFont="0" applyFill="0" applyBorder="0" applyAlignment="0" applyProtection="0"/>
    <xf numFmtId="305" fontId="247" fillId="0" borderId="0" applyFont="0" applyFill="0" applyBorder="0" applyAlignment="0" applyProtection="0"/>
    <xf numFmtId="304" fontId="247" fillId="0" borderId="0" applyFont="0" applyFill="0" applyBorder="0" applyAlignment="0" applyProtection="0"/>
    <xf numFmtId="14" fontId="8" fillId="0" borderId="0" applyFill="0" applyBorder="0" applyAlignment="0"/>
    <xf numFmtId="304" fontId="138" fillId="0" borderId="0" applyFont="0" applyFill="0" applyBorder="0" applyProtection="0">
      <alignment horizontal="right"/>
    </xf>
    <xf numFmtId="306" fontId="4" fillId="0" borderId="0" applyFont="0" applyFill="0" applyBorder="0" applyAlignment="0" applyProtection="0"/>
    <xf numFmtId="306" fontId="4" fillId="0" borderId="0" applyFont="0" applyFill="0" applyBorder="0" applyAlignment="0" applyProtection="0"/>
    <xf numFmtId="306" fontId="4" fillId="0" borderId="0" applyFont="0" applyFill="0" applyBorder="0" applyAlignment="0" applyProtection="0"/>
    <xf numFmtId="0" fontId="4" fillId="0" borderId="8" applyFont="0" applyFill="0" applyBorder="0" applyAlignment="0" applyProtection="0">
      <alignment horizontal="right"/>
    </xf>
    <xf numFmtId="307" fontId="6" fillId="0" borderId="78">
      <alignment horizontal="center"/>
    </xf>
    <xf numFmtId="0" fontId="99" fillId="0" borderId="79" applyNumberFormat="0" applyFill="0" applyBorder="0"/>
    <xf numFmtId="0" fontId="267" fillId="38" borderId="0" applyNumberFormat="0" applyFont="0" applyFill="0" applyBorder="0" applyAlignment="0"/>
    <xf numFmtId="213" fontId="147" fillId="0" borderId="0"/>
    <xf numFmtId="308" fontId="147" fillId="0" borderId="0"/>
    <xf numFmtId="309" fontId="4" fillId="0" borderId="80">
      <alignment vertical="center"/>
    </xf>
    <xf numFmtId="310" fontId="4" fillId="0" borderId="81">
      <alignment vertical="center"/>
    </xf>
    <xf numFmtId="310" fontId="4" fillId="0" borderId="81">
      <alignment vertical="center"/>
    </xf>
    <xf numFmtId="310" fontId="4" fillId="0" borderId="81">
      <alignment vertical="center"/>
    </xf>
    <xf numFmtId="310" fontId="4" fillId="0" borderId="81">
      <alignment vertical="center"/>
    </xf>
    <xf numFmtId="310" fontId="4" fillId="0" borderId="81">
      <alignment vertical="center"/>
    </xf>
    <xf numFmtId="310" fontId="4" fillId="0" borderId="81">
      <alignment vertical="center"/>
    </xf>
    <xf numFmtId="310" fontId="4" fillId="0" borderId="81">
      <alignment vertical="center"/>
    </xf>
    <xf numFmtId="310" fontId="4" fillId="0" borderId="81">
      <alignment vertical="center"/>
    </xf>
    <xf numFmtId="310" fontId="4" fillId="0" borderId="81">
      <alignment vertical="center"/>
    </xf>
    <xf numFmtId="310" fontId="4" fillId="0" borderId="81">
      <alignment vertical="center"/>
    </xf>
    <xf numFmtId="310" fontId="4" fillId="0" borderId="81">
      <alignment vertical="center"/>
    </xf>
    <xf numFmtId="310" fontId="4" fillId="0" borderId="81">
      <alignment vertical="center"/>
    </xf>
    <xf numFmtId="0" fontId="197" fillId="0" borderId="42" applyNumberFormat="0" applyFont="0" applyBorder="0" applyAlignment="0" applyProtection="0">
      <alignment horizontal="center" vertical="center"/>
    </xf>
    <xf numFmtId="0" fontId="197" fillId="0" borderId="42" applyNumberFormat="0" applyFont="0" applyBorder="0" applyAlignment="0" applyProtection="0">
      <alignment horizontal="center" vertical="center"/>
    </xf>
    <xf numFmtId="311" fontId="143" fillId="0" borderId="0" applyFont="0" applyFill="0" applyBorder="0">
      <alignment horizontal="left" vertical="top" wrapText="1"/>
      <protection locked="0"/>
    </xf>
    <xf numFmtId="38" fontId="220" fillId="0" borderId="0" applyFont="0" applyFill="0" applyBorder="0" applyAlignment="0" applyProtection="0"/>
    <xf numFmtId="4" fontId="156" fillId="0" borderId="0" applyFont="0" applyFill="0" applyBorder="0" applyAlignment="0" applyProtection="0"/>
    <xf numFmtId="256" fontId="149" fillId="0" borderId="0" applyFill="0" applyBorder="0" applyProtection="0">
      <alignment horizontal="center"/>
    </xf>
    <xf numFmtId="312" fontId="4" fillId="0" borderId="0"/>
    <xf numFmtId="312" fontId="4" fillId="0" borderId="0"/>
    <xf numFmtId="313" fontId="6" fillId="27" borderId="0"/>
    <xf numFmtId="250" fontId="149" fillId="0" borderId="0">
      <alignment horizontal="center"/>
    </xf>
    <xf numFmtId="298" fontId="6" fillId="0" borderId="0"/>
    <xf numFmtId="314" fontId="247" fillId="0" borderId="82" applyNumberFormat="0" applyFont="0" applyFill="0" applyAlignment="0" applyProtection="0"/>
    <xf numFmtId="293" fontId="268" fillId="0" borderId="15"/>
    <xf numFmtId="203" fontId="269" fillId="0" borderId="0">
      <alignment horizontal="right"/>
    </xf>
    <xf numFmtId="291" fontId="147" fillId="0" borderId="15">
      <alignment horizontal="right"/>
    </xf>
    <xf numFmtId="0" fontId="270" fillId="0" borderId="0" applyNumberFormat="0" applyFont="0" applyFill="0" applyAlignment="0">
      <protection locked="0"/>
    </xf>
    <xf numFmtId="315" fontId="6" fillId="0" borderId="43" applyFill="0" applyProtection="0">
      <alignment horizontal="center"/>
    </xf>
    <xf numFmtId="0" fontId="271" fillId="7" borderId="1" applyNumberFormat="0" applyAlignment="0" applyProtection="0"/>
    <xf numFmtId="0" fontId="10" fillId="162" borderId="0" applyNumberFormat="0" applyBorder="0" applyAlignment="0" applyProtection="0"/>
    <xf numFmtId="0" fontId="10" fillId="162" borderId="0" applyNumberFormat="0" applyBorder="0" applyAlignment="0" applyProtection="0"/>
    <xf numFmtId="0" fontId="10" fillId="162" borderId="0" applyNumberFormat="0" applyBorder="0" applyAlignment="0" applyProtection="0"/>
    <xf numFmtId="0" fontId="272" fillId="72" borderId="0" applyNumberFormat="0" applyBorder="0" applyAlignment="0" applyProtection="0"/>
    <xf numFmtId="0" fontId="272" fillId="72" borderId="0" applyNumberFormat="0" applyBorder="0" applyAlignment="0" applyProtection="0"/>
    <xf numFmtId="0" fontId="272" fillId="72" borderId="0" applyNumberFormat="0" applyBorder="0" applyAlignment="0" applyProtection="0"/>
    <xf numFmtId="0" fontId="272" fillId="72" borderId="0" applyNumberFormat="0" applyBorder="0" applyAlignment="0" applyProtection="0"/>
    <xf numFmtId="0" fontId="272" fillId="72" borderId="0" applyNumberFormat="0" applyBorder="0" applyAlignment="0" applyProtection="0"/>
    <xf numFmtId="0" fontId="272" fillId="72" borderId="0" applyNumberFormat="0" applyBorder="0" applyAlignment="0" applyProtection="0"/>
    <xf numFmtId="0" fontId="10" fillId="163" borderId="0" applyNumberFormat="0" applyBorder="0" applyAlignment="0" applyProtection="0"/>
    <xf numFmtId="0" fontId="10" fillId="163" borderId="0" applyNumberFormat="0" applyBorder="0" applyAlignment="0" applyProtection="0"/>
    <xf numFmtId="0" fontId="10" fillId="163" borderId="0" applyNumberFormat="0" applyBorder="0" applyAlignment="0" applyProtection="0"/>
    <xf numFmtId="0" fontId="272" fillId="164" borderId="0" applyNumberFormat="0" applyBorder="0" applyAlignment="0" applyProtection="0"/>
    <xf numFmtId="0" fontId="272" fillId="164" borderId="0" applyNumberFormat="0" applyBorder="0" applyAlignment="0" applyProtection="0"/>
    <xf numFmtId="0" fontId="272" fillId="164" borderId="0" applyNumberFormat="0" applyBorder="0" applyAlignment="0" applyProtection="0"/>
    <xf numFmtId="0" fontId="272" fillId="164" borderId="0" applyNumberFormat="0" applyBorder="0" applyAlignment="0" applyProtection="0"/>
    <xf numFmtId="0" fontId="272" fillId="164" borderId="0" applyNumberFormat="0" applyBorder="0" applyAlignment="0" applyProtection="0"/>
    <xf numFmtId="0" fontId="272" fillId="164" borderId="0" applyNumberFormat="0" applyBorder="0" applyAlignment="0" applyProtection="0"/>
    <xf numFmtId="0" fontId="10" fillId="165" borderId="0" applyNumberFormat="0" applyBorder="0" applyAlignment="0" applyProtection="0"/>
    <xf numFmtId="0" fontId="10" fillId="165" borderId="0" applyNumberFormat="0" applyBorder="0" applyAlignment="0" applyProtection="0"/>
    <xf numFmtId="0" fontId="10" fillId="165" borderId="0" applyNumberFormat="0" applyBorder="0" applyAlignment="0" applyProtection="0"/>
    <xf numFmtId="0" fontId="272" fillId="164" borderId="0" applyNumberFormat="0" applyBorder="0" applyAlignment="0" applyProtection="0"/>
    <xf numFmtId="0" fontId="272" fillId="164" borderId="0" applyNumberFormat="0" applyBorder="0" applyAlignment="0" applyProtection="0"/>
    <xf numFmtId="0" fontId="272" fillId="164" borderId="0" applyNumberFormat="0" applyBorder="0" applyAlignment="0" applyProtection="0"/>
    <xf numFmtId="0" fontId="272" fillId="164" borderId="0" applyNumberFormat="0" applyBorder="0" applyAlignment="0" applyProtection="0"/>
    <xf numFmtId="0" fontId="272" fillId="164" borderId="0" applyNumberFormat="0" applyBorder="0" applyAlignment="0" applyProtection="0"/>
    <xf numFmtId="0" fontId="272" fillId="164" borderId="0" applyNumberFormat="0" applyBorder="0" applyAlignment="0" applyProtection="0"/>
    <xf numFmtId="0" fontId="273" fillId="0" borderId="0" applyNumberFormat="0" applyFill="0" applyBorder="0" applyAlignment="0" applyProtection="0"/>
    <xf numFmtId="0" fontId="124" fillId="16" borderId="0" applyNumberFormat="0" applyBorder="0" applyAlignment="0" applyProtection="0"/>
    <xf numFmtId="0" fontId="124" fillId="17" borderId="0" applyNumberFormat="0" applyBorder="0" applyAlignment="0" applyProtection="0"/>
    <xf numFmtId="0" fontId="124" fillId="18" borderId="0" applyNumberFormat="0" applyBorder="0" applyAlignment="0" applyProtection="0"/>
    <xf numFmtId="0" fontId="124" fillId="13" borderId="0" applyNumberFormat="0" applyBorder="0" applyAlignment="0" applyProtection="0"/>
    <xf numFmtId="0" fontId="124" fillId="14" borderId="0" applyNumberFormat="0" applyBorder="0" applyAlignment="0" applyProtection="0"/>
    <xf numFmtId="0" fontId="124" fillId="19" borderId="0" applyNumberFormat="0" applyBorder="0" applyAlignment="0" applyProtection="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12" fontId="212"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12" fontId="212" fillId="0" borderId="0" applyFill="0" applyBorder="0" applyAlignment="0"/>
    <xf numFmtId="0" fontId="19" fillId="0" borderId="0" applyNumberFormat="0" applyAlignment="0">
      <alignment horizontal="left"/>
    </xf>
    <xf numFmtId="0" fontId="274"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xf numFmtId="0" fontId="275" fillId="0" borderId="0" applyNumberFormat="0" applyFill="0" applyBorder="0" applyAlignment="0" applyProtection="0"/>
    <xf numFmtId="0" fontId="276" fillId="0" borderId="0" applyNumberFormat="0" applyFill="0" applyBorder="0" applyAlignment="0" applyProtection="0"/>
    <xf numFmtId="0" fontId="277" fillId="7" borderId="1" applyNumberFormat="0" applyAlignment="0" applyProtection="0"/>
    <xf numFmtId="39" fontId="4" fillId="0" borderId="0" applyFont="0" applyFill="0" applyBorder="0" applyAlignment="0" applyProtection="0"/>
    <xf numFmtId="0" fontId="197" fillId="0" borderId="13" applyNumberFormat="0" applyFill="0" applyAlignment="0" applyProtection="0"/>
    <xf numFmtId="0" fontId="278" fillId="0" borderId="0" applyNumberFormat="0" applyFill="0" applyBorder="0" applyAlignment="0" applyProtection="0"/>
    <xf numFmtId="316" fontId="4" fillId="0" borderId="0" applyFont="0" applyFill="0" applyBorder="0" applyAlignment="0" applyProtection="0"/>
    <xf numFmtId="317" fontId="4" fillId="0" borderId="0" applyFont="0" applyFill="0" applyBorder="0" applyAlignment="0" applyProtection="0"/>
    <xf numFmtId="316" fontId="12" fillId="0" borderId="0" applyFont="0" applyFill="0" applyBorder="0" applyAlignment="0" applyProtection="0"/>
    <xf numFmtId="316" fontId="4" fillId="0" borderId="0" applyFont="0" applyFill="0" applyBorder="0" applyAlignment="0" applyProtection="0"/>
    <xf numFmtId="316" fontId="4" fillId="0" borderId="0" applyFont="0" applyFill="0" applyBorder="0" applyAlignment="0" applyProtection="0"/>
    <xf numFmtId="316" fontId="4" fillId="0" borderId="0" applyFont="0" applyFill="0" applyBorder="0" applyAlignment="0" applyProtection="0"/>
    <xf numFmtId="316" fontId="4" fillId="0" borderId="0" applyFont="0" applyFill="0" applyBorder="0" applyAlignment="0" applyProtection="0"/>
    <xf numFmtId="316" fontId="4" fillId="0" borderId="0" applyFont="0" applyFill="0" applyBorder="0" applyAlignment="0" applyProtection="0"/>
    <xf numFmtId="316" fontId="4" fillId="0" borderId="0" applyFont="0" applyFill="0" applyBorder="0" applyAlignment="0" applyProtection="0"/>
    <xf numFmtId="316" fontId="4" fillId="0" borderId="0" applyFont="0" applyFill="0" applyBorder="0" applyAlignment="0" applyProtection="0"/>
    <xf numFmtId="317" fontId="4" fillId="0" borderId="0" applyFont="0" applyFill="0" applyBorder="0" applyAlignment="0" applyProtection="0"/>
    <xf numFmtId="0" fontId="11" fillId="55" borderId="0"/>
    <xf numFmtId="0" fontId="11" fillId="59" borderId="0"/>
    <xf numFmtId="0" fontId="11" fillId="63" borderId="0"/>
    <xf numFmtId="0" fontId="11" fillId="67" borderId="0"/>
    <xf numFmtId="0" fontId="11" fillId="72" borderId="0"/>
    <xf numFmtId="0" fontId="11" fillId="71" borderId="0"/>
    <xf numFmtId="0" fontId="11" fillId="78" borderId="0"/>
    <xf numFmtId="0" fontId="11" fillId="82" borderId="0"/>
    <xf numFmtId="0" fontId="11" fillId="86" borderId="0"/>
    <xf numFmtId="0" fontId="11" fillId="67" borderId="0"/>
    <xf numFmtId="0" fontId="11" fillId="78" borderId="0"/>
    <xf numFmtId="0" fontId="11" fillId="93" borderId="0"/>
    <xf numFmtId="0" fontId="14" fillId="99" borderId="0"/>
    <xf numFmtId="0" fontId="14" fillId="82" borderId="0"/>
    <xf numFmtId="0" fontId="14" fillId="86" borderId="0"/>
    <xf numFmtId="0" fontId="14" fillId="106" borderId="0"/>
    <xf numFmtId="0" fontId="14" fillId="110" borderId="0"/>
    <xf numFmtId="0" fontId="14" fillId="94" borderId="0"/>
    <xf numFmtId="0" fontId="14" fillId="121" borderId="0"/>
    <xf numFmtId="0" fontId="14" fillId="128" borderId="0"/>
    <xf numFmtId="0" fontId="14" fillId="166" borderId="0"/>
    <xf numFmtId="0" fontId="14" fillId="106" borderId="0"/>
    <xf numFmtId="0" fontId="14" fillId="110" borderId="0"/>
    <xf numFmtId="0" fontId="14" fillId="145" borderId="0"/>
    <xf numFmtId="0" fontId="15" fillId="59" borderId="0"/>
    <xf numFmtId="0" fontId="16" fillId="70" borderId="1"/>
    <xf numFmtId="0" fontId="17" fillId="156" borderId="2"/>
    <xf numFmtId="318" fontId="11" fillId="0" borderId="0"/>
    <xf numFmtId="0" fontId="193" fillId="0" borderId="0"/>
    <xf numFmtId="0" fontId="20" fillId="0" borderId="0"/>
    <xf numFmtId="0" fontId="21" fillId="63" borderId="0"/>
    <xf numFmtId="0" fontId="22" fillId="0" borderId="5"/>
    <xf numFmtId="0" fontId="23" fillId="0" borderId="6"/>
    <xf numFmtId="0" fontId="24" fillId="0" borderId="7"/>
    <xf numFmtId="0" fontId="24" fillId="0" borderId="0"/>
    <xf numFmtId="0" fontId="25" fillId="71" borderId="1"/>
    <xf numFmtId="0" fontId="26" fillId="0" borderId="9"/>
    <xf numFmtId="0" fontId="28" fillId="167"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168" borderId="11"/>
    <xf numFmtId="0" fontId="30" fillId="70" borderId="12"/>
    <xf numFmtId="9" fontId="11" fillId="0" borderId="0"/>
    <xf numFmtId="0" fontId="35" fillId="0" borderId="0"/>
    <xf numFmtId="0" fontId="10" fillId="0" borderId="13"/>
    <xf numFmtId="0" fontId="36" fillId="0" borderId="0"/>
    <xf numFmtId="0" fontId="4" fillId="0" borderId="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48" fillId="0" borderId="0"/>
    <xf numFmtId="0" fontId="48" fillId="0" borderId="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80" fillId="0" borderId="0" applyNumberFormat="0" applyFill="0" applyBorder="0" applyAlignment="0" applyProtection="0"/>
    <xf numFmtId="0" fontId="28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20" fillId="0" borderId="0" applyNumberForma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279" fillId="0" borderId="0" applyNumberFormat="0" applyFill="0" applyBorder="0" applyAlignment="0" applyProtection="0"/>
    <xf numFmtId="0" fontId="149" fillId="0" borderId="0" applyFill="0" applyBorder="0" applyAlignment="0" applyProtection="0"/>
    <xf numFmtId="319" fontId="212" fillId="0" borderId="0" applyFill="0" applyBorder="0">
      <alignment horizontal="right" vertical="top"/>
    </xf>
    <xf numFmtId="0" fontId="212" fillId="0" borderId="0" applyFill="0" applyBorder="0">
      <alignment horizontal="left" vertical="top"/>
    </xf>
    <xf numFmtId="291" fontId="191" fillId="0" borderId="0">
      <alignment horizontal="right"/>
    </xf>
    <xf numFmtId="291" fontId="191" fillId="0" borderId="0">
      <alignment horizontal="right"/>
    </xf>
    <xf numFmtId="291" fontId="191" fillId="0" borderId="0">
      <alignment horizontal="right"/>
    </xf>
    <xf numFmtId="291" fontId="191" fillId="0" borderId="0">
      <alignment horizontal="right"/>
    </xf>
    <xf numFmtId="291" fontId="191" fillId="0" borderId="0">
      <alignment horizontal="right"/>
    </xf>
    <xf numFmtId="291" fontId="191" fillId="0" borderId="0">
      <alignment horizontal="right"/>
    </xf>
    <xf numFmtId="303" fontId="4" fillId="0" borderId="0">
      <protection locked="0"/>
    </xf>
    <xf numFmtId="303" fontId="4" fillId="0" borderId="0">
      <protection locked="0"/>
    </xf>
    <xf numFmtId="303" fontId="4" fillId="0" borderId="0">
      <protection locked="0"/>
    </xf>
    <xf numFmtId="303" fontId="4" fillId="0" borderId="0">
      <protection locked="0"/>
    </xf>
    <xf numFmtId="303" fontId="4" fillId="0" borderId="0">
      <protection locked="0"/>
    </xf>
    <xf numFmtId="303" fontId="4" fillId="0" borderId="0">
      <protection locked="0"/>
    </xf>
    <xf numFmtId="303" fontId="4" fillId="0" borderId="0">
      <protection locked="0"/>
    </xf>
    <xf numFmtId="320" fontId="242" fillId="26" borderId="17">
      <alignment horizontal="left"/>
    </xf>
    <xf numFmtId="0" fontId="4" fillId="0" borderId="0" applyNumberFormat="0" applyFill="0" applyBorder="0"/>
    <xf numFmtId="213" fontId="191" fillId="0" borderId="0">
      <alignment horizontal="right"/>
    </xf>
    <xf numFmtId="308" fontId="191" fillId="0" borderId="0">
      <alignment horizontal="right"/>
    </xf>
    <xf numFmtId="3" fontId="282" fillId="0" borderId="0" applyFont="0" applyFill="0" applyBorder="0" applyAlignment="0" applyProtection="0"/>
    <xf numFmtId="321" fontId="4" fillId="23" borderId="0" applyFont="0" applyFill="0" applyBorder="0" applyAlignment="0"/>
    <xf numFmtId="322" fontId="254" fillId="0" borderId="0">
      <protection locked="0"/>
    </xf>
    <xf numFmtId="2" fontId="4" fillId="0" borderId="0" applyFont="0" applyFill="0" applyBorder="0" applyAlignment="0" applyProtection="0"/>
    <xf numFmtId="322" fontId="254" fillId="0" borderId="0">
      <protection locked="0"/>
    </xf>
    <xf numFmtId="322" fontId="254" fillId="0" borderId="0">
      <protection locked="0"/>
    </xf>
    <xf numFmtId="322" fontId="254" fillId="0" borderId="0">
      <protection locked="0"/>
    </xf>
    <xf numFmtId="2" fontId="4" fillId="0" borderId="0" applyFont="0" applyFill="0" applyBorder="0" applyAlignment="0" applyProtection="0"/>
    <xf numFmtId="322" fontId="254" fillId="0" borderId="0">
      <protection locked="0"/>
    </xf>
    <xf numFmtId="322" fontId="254" fillId="0" borderId="0">
      <protection locked="0"/>
    </xf>
    <xf numFmtId="322" fontId="254" fillId="0" borderId="0">
      <protection locked="0"/>
    </xf>
    <xf numFmtId="322" fontId="254" fillId="0" borderId="0">
      <protection locked="0"/>
    </xf>
    <xf numFmtId="322" fontId="254" fillId="0" borderId="0">
      <protection locked="0"/>
    </xf>
    <xf numFmtId="322" fontId="254" fillId="0" borderId="0">
      <protection locked="0"/>
    </xf>
    <xf numFmtId="322" fontId="254" fillId="0" borderId="0">
      <protection locked="0"/>
    </xf>
    <xf numFmtId="322" fontId="254" fillId="0" borderId="0">
      <protection locked="0"/>
    </xf>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303" fontId="4" fillId="0" borderId="0">
      <protection locked="0"/>
    </xf>
    <xf numFmtId="303" fontId="4" fillId="0" borderId="0">
      <protection locked="0"/>
    </xf>
    <xf numFmtId="2" fontId="4" fillId="0" borderId="0" applyFont="0" applyFill="0" applyBorder="0" applyAlignment="0" applyProtection="0"/>
    <xf numFmtId="2" fontId="4" fillId="0" borderId="0" applyFont="0" applyFill="0" applyBorder="0" applyAlignment="0" applyProtection="0"/>
    <xf numFmtId="2" fontId="4" fillId="0" borderId="0" applyFont="0" applyFill="0" applyBorder="0" applyAlignment="0" applyProtection="0"/>
    <xf numFmtId="322" fontId="254" fillId="0" borderId="0">
      <protection locked="0"/>
    </xf>
    <xf numFmtId="322" fontId="254" fillId="0" borderId="0">
      <protection locked="0"/>
    </xf>
    <xf numFmtId="0" fontId="156" fillId="0" borderId="0"/>
    <xf numFmtId="204" fontId="149" fillId="0" borderId="0" applyProtection="0">
      <alignment horizontal="left"/>
    </xf>
    <xf numFmtId="0" fontId="283" fillId="0" borderId="0" applyNumberFormat="0" applyFill="0" applyBorder="0" applyAlignment="0" applyProtection="0"/>
    <xf numFmtId="0" fontId="284" fillId="0" borderId="0" applyNumberFormat="0" applyFill="0" applyBorder="0" applyAlignment="0" applyProtection="0">
      <alignment vertical="top"/>
      <protection locked="0"/>
    </xf>
    <xf numFmtId="0" fontId="285" fillId="0" borderId="0">
      <alignment horizontal="left"/>
    </xf>
    <xf numFmtId="0" fontId="286" fillId="0" borderId="0">
      <alignment horizontal="left"/>
    </xf>
    <xf numFmtId="212" fontId="212" fillId="0" borderId="0"/>
    <xf numFmtId="0" fontId="287" fillId="0" borderId="0">
      <alignment horizontal="left"/>
    </xf>
    <xf numFmtId="0" fontId="287" fillId="0" borderId="0" applyNumberFormat="0" applyFill="0" applyBorder="0" applyProtection="0">
      <alignment horizontal="left"/>
    </xf>
    <xf numFmtId="0" fontId="287" fillId="0" borderId="0">
      <alignment horizontal="left"/>
    </xf>
    <xf numFmtId="323" fontId="143" fillId="0" borderId="0" applyFont="0">
      <alignment horizontal="left"/>
      <protection locked="0"/>
    </xf>
    <xf numFmtId="323" fontId="143" fillId="0" borderId="0" applyFont="0">
      <alignment horizontal="left"/>
      <protection locked="0"/>
    </xf>
    <xf numFmtId="0" fontId="12" fillId="0" borderId="56" applyNumberFormat="0" applyFill="0" applyBorder="0" applyAlignment="0" applyProtection="0">
      <protection locked="0"/>
    </xf>
    <xf numFmtId="0" fontId="12" fillId="0" borderId="56" applyNumberFormat="0" applyFill="0" applyBorder="0" applyAlignment="0" applyProtection="0">
      <protection locked="0"/>
    </xf>
    <xf numFmtId="0" fontId="12" fillId="0" borderId="56" applyNumberFormat="0" applyFill="0" applyBorder="0" applyAlignment="0" applyProtection="0">
      <protection locked="0"/>
    </xf>
    <xf numFmtId="0" fontId="7" fillId="0" borderId="83" applyNumberFormat="0" applyFill="0"/>
    <xf numFmtId="0" fontId="13" fillId="0" borderId="84" applyNumberFormat="0" applyFill="0" applyBorder="0">
      <alignment horizontal="center"/>
    </xf>
    <xf numFmtId="263" fontId="288" fillId="0" borderId="64">
      <alignment horizontal="right"/>
    </xf>
    <xf numFmtId="263" fontId="288" fillId="0" borderId="64">
      <alignment horizontal="right"/>
    </xf>
    <xf numFmtId="263" fontId="288" fillId="0" borderId="64">
      <alignment horizontal="right"/>
    </xf>
    <xf numFmtId="324" fontId="12" fillId="0" borderId="0" applyFont="0" applyFill="0" applyBorder="0" applyAlignment="0" applyProtection="0"/>
    <xf numFmtId="325" fontId="12" fillId="0" borderId="0" applyFont="0" applyFill="0" applyBorder="0" applyAlignment="0" applyProtection="0"/>
    <xf numFmtId="326" fontId="12" fillId="0" borderId="0" applyFont="0" applyFill="0" applyBorder="0" applyAlignment="0" applyProtection="0"/>
    <xf numFmtId="37" fontId="289" fillId="23" borderId="85" applyNumberFormat="0" applyBorder="0">
      <alignment horizontal="center"/>
    </xf>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0" fontId="2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90" fillId="170" borderId="0" applyNumberFormat="0" applyBorder="0" applyAlignment="0" applyProtection="0"/>
    <xf numFmtId="0" fontId="290" fillId="170"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1" fillId="4"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91" fillId="169"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90" fillId="64" borderId="0" applyNumberFormat="0" applyBorder="0" applyAlignment="0" applyProtection="0"/>
    <xf numFmtId="0" fontId="21" fillId="132" borderId="0" applyNumberFormat="0" applyBorder="0" applyAlignment="0" applyProtection="0"/>
    <xf numFmtId="0" fontId="21" fillId="132"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0" fontId="291" fillId="4" borderId="0" applyNumberFormat="0" applyBorder="0" applyAlignment="0" applyProtection="0"/>
    <xf numFmtId="38" fontId="6" fillId="22" borderId="0" applyNumberFormat="0" applyBorder="0" applyAlignment="0" applyProtection="0"/>
    <xf numFmtId="38" fontId="6" fillId="22" borderId="0" applyNumberFormat="0" applyBorder="0" applyAlignment="0" applyProtection="0"/>
    <xf numFmtId="38" fontId="6" fillId="22" borderId="0" applyNumberFormat="0" applyBorder="0" applyAlignment="0" applyProtection="0"/>
    <xf numFmtId="38" fontId="6" fillId="22" borderId="0" applyNumberFormat="0" applyBorder="0" applyAlignment="0" applyProtection="0"/>
    <xf numFmtId="38" fontId="6" fillId="22" borderId="0" applyNumberFormat="0" applyBorder="0" applyAlignment="0" applyProtection="0"/>
    <xf numFmtId="38" fontId="6" fillId="22" borderId="0" applyNumberFormat="0" applyBorder="0" applyAlignment="0" applyProtection="0"/>
    <xf numFmtId="38" fontId="6" fillId="22" borderId="0" applyNumberFormat="0" applyBorder="0" applyAlignment="0" applyProtection="0"/>
    <xf numFmtId="38" fontId="6" fillId="22" borderId="0" applyNumberFormat="0" applyBorder="0" applyAlignment="0" applyProtection="0"/>
    <xf numFmtId="38" fontId="6" fillId="22" borderId="0" applyNumberFormat="0" applyBorder="0" applyAlignment="0" applyProtection="0"/>
    <xf numFmtId="38" fontId="6" fillId="22" borderId="0" applyNumberFormat="0" applyBorder="0" applyAlignment="0" applyProtection="0"/>
    <xf numFmtId="38" fontId="6" fillId="22" borderId="0" applyNumberFormat="0" applyBorder="0" applyAlignment="0" applyProtection="0"/>
    <xf numFmtId="38" fontId="6" fillId="22" borderId="0" applyNumberFormat="0" applyBorder="0" applyAlignment="0" applyProtection="0"/>
    <xf numFmtId="38" fontId="6" fillId="22" borderId="0" applyNumberFormat="0" applyBorder="0" applyAlignment="0" applyProtection="0"/>
    <xf numFmtId="167" fontId="82" fillId="0" borderId="85"/>
    <xf numFmtId="0" fontId="292" fillId="4" borderId="0" applyNumberFormat="0" applyBorder="0" applyAlignment="0" applyProtection="0"/>
    <xf numFmtId="293" fontId="293" fillId="0" borderId="0" applyFont="0" applyFill="0" applyBorder="0" applyAlignment="0" applyProtection="0"/>
    <xf numFmtId="0" fontId="294" fillId="0" borderId="0" applyNumberFormat="0" applyFill="0" applyProtection="0">
      <alignment horizontal="left"/>
    </xf>
    <xf numFmtId="0" fontId="7" fillId="0" borderId="0" applyBorder="0">
      <alignment horizontal="left"/>
    </xf>
    <xf numFmtId="0" fontId="295" fillId="0" borderId="67">
      <alignment horizontal="centerContinuous"/>
    </xf>
    <xf numFmtId="0" fontId="296" fillId="0" borderId="0">
      <alignment horizontal="centerContinuous"/>
    </xf>
    <xf numFmtId="327" fontId="247" fillId="0" borderId="0" applyFont="0" applyFill="0" applyBorder="0" applyAlignment="0" applyProtection="0">
      <alignment horizontal="right"/>
    </xf>
    <xf numFmtId="269" fontId="141" fillId="0" borderId="0">
      <alignment horizontal="left"/>
    </xf>
    <xf numFmtId="0" fontId="297" fillId="0" borderId="0">
      <alignment horizontal="left"/>
    </xf>
    <xf numFmtId="0" fontId="297" fillId="0" borderId="0">
      <alignment horizontal="left"/>
    </xf>
    <xf numFmtId="0" fontId="13" fillId="0" borderId="3" applyNumberFormat="0" applyAlignment="0" applyProtection="0">
      <alignment horizontal="left" vertical="center"/>
    </xf>
    <xf numFmtId="0" fontId="13" fillId="0" borderId="3" applyNumberFormat="0" applyAlignment="0" applyProtection="0">
      <alignment horizontal="left" vertical="center"/>
    </xf>
    <xf numFmtId="0" fontId="13" fillId="0" borderId="3" applyNumberFormat="0" applyAlignment="0" applyProtection="0">
      <alignment horizontal="left" vertical="center"/>
    </xf>
    <xf numFmtId="0" fontId="13" fillId="0" borderId="4">
      <alignment horizontal="left" vertical="center"/>
    </xf>
    <xf numFmtId="0" fontId="13" fillId="0" borderId="4">
      <alignment horizontal="left" vertical="center"/>
    </xf>
    <xf numFmtId="0" fontId="13" fillId="0" borderId="4">
      <alignment horizontal="left" vertical="center"/>
    </xf>
    <xf numFmtId="2" fontId="5" fillId="0" borderId="0"/>
    <xf numFmtId="0" fontId="22"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300" fillId="0" borderId="88"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98" fillId="0" borderId="89" applyNumberFormat="0" applyFill="0" applyAlignment="0" applyProtection="0"/>
    <xf numFmtId="0" fontId="298" fillId="0" borderId="89"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254" fillId="0" borderId="0">
      <protection locked="0"/>
    </xf>
    <xf numFmtId="0" fontId="300" fillId="0" borderId="88"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300" fillId="0" borderId="88"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254" fillId="0" borderId="0">
      <protection locked="0"/>
    </xf>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54" fillId="0" borderId="0">
      <protection locked="0"/>
    </xf>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54" fillId="0" borderId="0">
      <protection locked="0"/>
    </xf>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54" fillId="0" borderId="0">
      <protection locked="0"/>
    </xf>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2" fillId="0" borderId="5" applyNumberFormat="0" applyFill="0" applyAlignment="0" applyProtection="0"/>
    <xf numFmtId="0" fontId="254" fillId="0" borderId="0">
      <protection locked="0"/>
    </xf>
    <xf numFmtId="0" fontId="22" fillId="0" borderId="5"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254" fillId="0" borderId="0">
      <protection locked="0"/>
    </xf>
    <xf numFmtId="0" fontId="22" fillId="0" borderId="5" applyNumberFormat="0" applyFill="0" applyAlignment="0" applyProtection="0"/>
    <xf numFmtId="0" fontId="298" fillId="0" borderId="5" applyNumberFormat="0" applyFill="0" applyAlignment="0" applyProtection="0"/>
    <xf numFmtId="0" fontId="299" fillId="0" borderId="86" applyNumberFormat="0" applyFill="0" applyAlignment="0" applyProtection="0"/>
    <xf numFmtId="0" fontId="299" fillId="0" borderId="86"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0" fillId="0" borderId="87" applyNumberFormat="0" applyFill="0" applyAlignment="0" applyProtection="0"/>
    <xf numFmtId="0" fontId="301" fillId="0" borderId="0">
      <alignment horizontal="left"/>
    </xf>
    <xf numFmtId="0" fontId="302" fillId="0" borderId="17">
      <alignment horizontal="left" vertical="top"/>
    </xf>
    <xf numFmtId="0" fontId="2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305" fillId="0" borderId="90"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3" fillId="0" borderId="91" applyNumberFormat="0" applyFill="0" applyAlignment="0" applyProtection="0"/>
    <xf numFmtId="0" fontId="303" fillId="0" borderId="91"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306" fillId="0" borderId="0">
      <protection locked="0"/>
    </xf>
    <xf numFmtId="0" fontId="305" fillId="0" borderId="90"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305" fillId="0" borderId="90"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306" fillId="0" borderId="0">
      <protection locked="0"/>
    </xf>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6" fillId="0" borderId="0">
      <protection locked="0"/>
    </xf>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6" fillId="0" borderId="0">
      <protection locked="0"/>
    </xf>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6" fillId="0" borderId="0">
      <protection locked="0"/>
    </xf>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23" fillId="0" borderId="6" applyNumberFormat="0" applyFill="0" applyAlignment="0" applyProtection="0"/>
    <xf numFmtId="0" fontId="306" fillId="0" borderId="0">
      <protection locked="0"/>
    </xf>
    <xf numFmtId="0" fontId="23"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6" fillId="0" borderId="0">
      <protection locked="0"/>
    </xf>
    <xf numFmtId="0" fontId="23" fillId="0" borderId="6" applyNumberFormat="0" applyFill="0" applyAlignment="0" applyProtection="0"/>
    <xf numFmtId="0" fontId="303" fillId="0" borderId="6" applyNumberFormat="0" applyFill="0" applyAlignment="0" applyProtection="0"/>
    <xf numFmtId="0" fontId="304" fillId="0" borderId="6" applyNumberFormat="0" applyFill="0" applyAlignment="0" applyProtection="0"/>
    <xf numFmtId="0" fontId="304"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5" fillId="0" borderId="6" applyNumberFormat="0" applyFill="0" applyAlignment="0" applyProtection="0"/>
    <xf numFmtId="0" fontId="307" fillId="0" borderId="0">
      <alignment horizontal="left"/>
    </xf>
    <xf numFmtId="0" fontId="308" fillId="0" borderId="17">
      <alignment horizontal="left" vertical="top"/>
    </xf>
    <xf numFmtId="0" fontId="24" fillId="0" borderId="7" applyNumberFormat="0" applyFill="0" applyAlignment="0" applyProtection="0"/>
    <xf numFmtId="0" fontId="309" fillId="0" borderId="7" applyNumberFormat="0" applyFill="0" applyAlignment="0" applyProtection="0"/>
    <xf numFmtId="0" fontId="310" fillId="0" borderId="92" applyNumberFormat="0" applyFill="0" applyAlignment="0" applyProtection="0"/>
    <xf numFmtId="0" fontId="310" fillId="0" borderId="92"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310" fillId="0" borderId="92" applyNumberFormat="0" applyFill="0" applyAlignment="0" applyProtection="0"/>
    <xf numFmtId="0" fontId="310" fillId="0" borderId="92"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310" fillId="0" borderId="92" applyNumberFormat="0" applyFill="0" applyAlignment="0" applyProtection="0"/>
    <xf numFmtId="0" fontId="310" fillId="0" borderId="92"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310" fillId="0" borderId="92" applyNumberFormat="0" applyFill="0" applyAlignment="0" applyProtection="0"/>
    <xf numFmtId="0" fontId="310" fillId="0" borderId="92"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310" fillId="0" borderId="92" applyNumberFormat="0" applyFill="0" applyAlignment="0" applyProtection="0"/>
    <xf numFmtId="0" fontId="310" fillId="0" borderId="92"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310" fillId="0" borderId="92" applyNumberFormat="0" applyFill="0" applyAlignment="0" applyProtection="0"/>
    <xf numFmtId="0" fontId="310" fillId="0" borderId="92"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309" fillId="0" borderId="7" applyNumberFormat="0" applyFill="0" applyAlignment="0" applyProtection="0"/>
    <xf numFmtId="0" fontId="310" fillId="0" borderId="92" applyNumberFormat="0" applyFill="0" applyAlignment="0" applyProtection="0"/>
    <xf numFmtId="0" fontId="310" fillId="0" borderId="92" applyNumberFormat="0" applyFill="0" applyAlignment="0" applyProtection="0"/>
    <xf numFmtId="0" fontId="311" fillId="0" borderId="94"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310" fillId="0" borderId="92" applyNumberFormat="0" applyFill="0" applyAlignment="0" applyProtection="0"/>
    <xf numFmtId="0" fontId="310" fillId="0" borderId="92"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309" fillId="0" borderId="95" applyNumberFormat="0" applyFill="0" applyAlignment="0" applyProtection="0"/>
    <xf numFmtId="0" fontId="309" fillId="0" borderId="95"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310" fillId="0" borderId="92" applyNumberFormat="0" applyFill="0" applyAlignment="0" applyProtection="0"/>
    <xf numFmtId="0" fontId="310" fillId="0" borderId="92"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0" fillId="0" borderId="92"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0" fillId="0" borderId="92" applyNumberFormat="0" applyFill="0" applyAlignment="0" applyProtection="0"/>
    <xf numFmtId="0" fontId="24" fillId="0" borderId="7" applyNumberFormat="0" applyFill="0" applyAlignment="0" applyProtection="0"/>
    <xf numFmtId="0" fontId="310" fillId="0" borderId="92"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24" fillId="0" borderId="7"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311" fillId="0" borderId="94"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0" fillId="0" borderId="92"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0" fillId="0" borderId="92"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0" fillId="0" borderId="92"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0" fillId="0" borderId="92"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0" fillId="0" borderId="92"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0" fillId="0" borderId="92"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09" fillId="0" borderId="7"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0" fillId="0" borderId="92"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0" fillId="0" borderId="92"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09" fillId="0" borderId="7" applyNumberFormat="0" applyFill="0" applyAlignment="0" applyProtection="0"/>
    <xf numFmtId="0" fontId="310" fillId="0" borderId="92" applyNumberFormat="0" applyFill="0" applyAlignment="0" applyProtection="0"/>
    <xf numFmtId="0" fontId="310" fillId="0" borderId="92"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24" fillId="0" borderId="7" applyNumberFormat="0" applyFill="0" applyAlignment="0" applyProtection="0"/>
    <xf numFmtId="0" fontId="24" fillId="0" borderId="7" applyNumberFormat="0" applyFill="0" applyAlignment="0" applyProtection="0"/>
    <xf numFmtId="0" fontId="309" fillId="0" borderId="7" applyNumberFormat="0" applyFill="0" applyAlignment="0" applyProtection="0"/>
    <xf numFmtId="0" fontId="310" fillId="0" borderId="92" applyNumberFormat="0" applyFill="0" applyAlignment="0" applyProtection="0"/>
    <xf numFmtId="0" fontId="310" fillId="0" borderId="92"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1" fillId="0" borderId="93" applyNumberFormat="0" applyFill="0" applyAlignment="0" applyProtection="0"/>
    <xf numFmtId="0" fontId="312" fillId="0" borderId="0">
      <alignment horizontal="left"/>
    </xf>
    <xf numFmtId="0" fontId="24"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09" fillId="0" borderId="0" applyNumberFormat="0" applyFill="0" applyBorder="0" applyAlignment="0" applyProtection="0"/>
    <xf numFmtId="0" fontId="309"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24"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310"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1" fillId="0" borderId="0" applyNumberFormat="0" applyFill="0" applyBorder="0" applyAlignment="0" applyProtection="0"/>
    <xf numFmtId="0" fontId="313" fillId="0" borderId="0">
      <alignment horizontal="left"/>
    </xf>
    <xf numFmtId="303" fontId="4" fillId="0" borderId="0">
      <protection locked="0"/>
    </xf>
    <xf numFmtId="328" fontId="314" fillId="0" borderId="0">
      <protection locked="0"/>
    </xf>
    <xf numFmtId="328" fontId="306" fillId="0" borderId="0">
      <protection locked="0"/>
    </xf>
    <xf numFmtId="328" fontId="306" fillId="0" borderId="0">
      <protection locked="0"/>
    </xf>
    <xf numFmtId="328" fontId="306" fillId="0" borderId="0">
      <protection locked="0"/>
    </xf>
    <xf numFmtId="178" fontId="4" fillId="0" borderId="0">
      <protection locked="0"/>
    </xf>
    <xf numFmtId="178" fontId="4" fillId="0" borderId="0">
      <protection locked="0"/>
    </xf>
    <xf numFmtId="328" fontId="306" fillId="0" borderId="0">
      <protection locked="0"/>
    </xf>
    <xf numFmtId="303" fontId="4" fillId="0" borderId="0">
      <protection locked="0"/>
    </xf>
    <xf numFmtId="328" fontId="306" fillId="0" borderId="0">
      <protection locked="0"/>
    </xf>
    <xf numFmtId="328" fontId="306" fillId="0" borderId="0">
      <protection locked="0"/>
    </xf>
    <xf numFmtId="328" fontId="306" fillId="0" borderId="0">
      <protection locked="0"/>
    </xf>
    <xf numFmtId="178" fontId="4" fillId="0" borderId="0">
      <protection locked="0"/>
    </xf>
    <xf numFmtId="178" fontId="4" fillId="0" borderId="0">
      <protection locked="0"/>
    </xf>
    <xf numFmtId="328" fontId="306" fillId="0" borderId="0">
      <protection locked="0"/>
    </xf>
    <xf numFmtId="300" fontId="27" fillId="0" borderId="3">
      <alignment horizontal="left" vertical="center"/>
    </xf>
    <xf numFmtId="300" fontId="27" fillId="0" borderId="3">
      <alignment horizontal="center" vertical="center"/>
    </xf>
    <xf numFmtId="248" fontId="315" fillId="0" borderId="14" applyNumberFormat="0" applyFont="0" applyBorder="0" applyAlignment="0"/>
    <xf numFmtId="0" fontId="316" fillId="0" borderId="57">
      <alignment horizontal="centerContinuous"/>
    </xf>
    <xf numFmtId="184" fontId="12" fillId="0" borderId="0" applyFont="0" applyFill="0" applyBorder="0" applyAlignment="0"/>
    <xf numFmtId="184" fontId="4" fillId="0" borderId="0" applyFont="0" applyFill="0" applyBorder="0" applyAlignment="0"/>
    <xf numFmtId="37" fontId="7" fillId="0" borderId="0">
      <alignment horizontal="right"/>
    </xf>
    <xf numFmtId="37" fontId="7" fillId="0" borderId="0" applyNumberFormat="0" applyFont="0" applyBorder="0">
      <alignment horizontal="left"/>
    </xf>
    <xf numFmtId="0" fontId="210" fillId="0" borderId="0" applyFont="0" applyAlignment="0">
      <alignment horizontal="centerContinuous"/>
    </xf>
    <xf numFmtId="0" fontId="317" fillId="0" borderId="0" applyNumberFormat="0" applyFill="0" applyBorder="0" applyAlignment="0" applyProtection="0">
      <alignment vertical="top"/>
      <protection locked="0"/>
    </xf>
    <xf numFmtId="0" fontId="318" fillId="0" borderId="0" applyNumberFormat="0" applyFill="0" applyBorder="0" applyAlignment="0" applyProtection="0">
      <alignment vertical="top"/>
      <protection locked="0"/>
    </xf>
    <xf numFmtId="0" fontId="319" fillId="0" borderId="0" applyNumberFormat="0" applyFill="0" applyBorder="0" applyAlignment="0" applyProtection="0">
      <alignment vertical="top"/>
      <protection locked="0"/>
    </xf>
    <xf numFmtId="0" fontId="317"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19" fillId="0" borderId="0" applyNumberFormat="0" applyFill="0" applyBorder="0" applyAlignment="0" applyProtection="0">
      <alignment vertical="top"/>
      <protection locked="0"/>
    </xf>
    <xf numFmtId="0" fontId="317" fillId="0" borderId="0" applyNumberFormat="0" applyFill="0" applyBorder="0" applyAlignment="0" applyProtection="0">
      <alignment vertical="top"/>
      <protection locked="0"/>
    </xf>
    <xf numFmtId="0" fontId="319" fillId="0" borderId="0" applyNumberFormat="0" applyFill="0" applyBorder="0" applyAlignment="0" applyProtection="0">
      <alignment vertical="top"/>
      <protection locked="0"/>
    </xf>
    <xf numFmtId="0" fontId="319" fillId="0" borderId="0" applyNumberFormat="0" applyFill="0" applyBorder="0" applyAlignment="0" applyProtection="0">
      <alignment vertical="top"/>
      <protection locked="0"/>
    </xf>
    <xf numFmtId="0" fontId="317" fillId="0" borderId="0" applyNumberFormat="0" applyFill="0" applyBorder="0" applyAlignment="0" applyProtection="0">
      <alignment vertical="top"/>
      <protection locked="0"/>
    </xf>
    <xf numFmtId="0" fontId="317" fillId="0" borderId="0" applyNumberFormat="0" applyFill="0" applyBorder="0" applyAlignment="0" applyProtection="0">
      <alignment vertical="top"/>
      <protection locked="0"/>
    </xf>
    <xf numFmtId="0" fontId="319" fillId="0" borderId="0" applyNumberFormat="0" applyFill="0" applyBorder="0" applyAlignment="0" applyProtection="0">
      <alignment vertical="top"/>
      <protection locked="0"/>
    </xf>
    <xf numFmtId="0" fontId="319" fillId="0" borderId="0" applyNumberFormat="0" applyFill="0" applyBorder="0" applyAlignment="0" applyProtection="0">
      <alignment vertical="top"/>
      <protection locked="0"/>
    </xf>
    <xf numFmtId="0" fontId="317"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1" fillId="0" borderId="0" applyNumberFormat="0" applyFill="0" applyBorder="0" applyAlignment="0" applyProtection="0">
      <alignment vertical="top"/>
      <protection locked="0"/>
    </xf>
    <xf numFmtId="0" fontId="318" fillId="0" borderId="0" applyNumberFormat="0" applyFill="0" applyBorder="0" applyAlignment="0" applyProtection="0"/>
    <xf numFmtId="0" fontId="317" fillId="0" borderId="0" applyNumberFormat="0" applyFill="0" applyBorder="0" applyAlignment="0" applyProtection="0">
      <alignment vertical="top"/>
      <protection locked="0"/>
    </xf>
    <xf numFmtId="0" fontId="317" fillId="0" borderId="0" applyNumberFormat="0" applyFill="0" applyBorder="0" applyAlignment="0" applyProtection="0">
      <alignment vertical="top"/>
      <protection locked="0"/>
    </xf>
    <xf numFmtId="0" fontId="322" fillId="0" borderId="0" applyNumberFormat="0" applyFill="0" applyBorder="0" applyAlignment="0" applyProtection="0">
      <alignment vertical="top"/>
      <protection locked="0"/>
    </xf>
    <xf numFmtId="0" fontId="318" fillId="0" borderId="0" applyNumberFormat="0" applyFill="0" applyBorder="0" applyAlignment="0" applyProtection="0">
      <alignment vertical="top"/>
      <protection locked="0"/>
    </xf>
    <xf numFmtId="0" fontId="318" fillId="0" borderId="0" applyNumberFormat="0" applyFill="0" applyBorder="0" applyAlignment="0" applyProtection="0">
      <alignment vertical="top"/>
      <protection locked="0"/>
    </xf>
    <xf numFmtId="0" fontId="317" fillId="0" borderId="0" applyNumberFormat="0" applyFill="0" applyBorder="0" applyAlignment="0" applyProtection="0">
      <alignment vertical="top"/>
      <protection locked="0"/>
    </xf>
    <xf numFmtId="0" fontId="317" fillId="0" borderId="0" applyNumberFormat="0" applyFill="0" applyBorder="0" applyAlignment="0" applyProtection="0">
      <alignment vertical="top"/>
      <protection locked="0"/>
    </xf>
    <xf numFmtId="0" fontId="317" fillId="0" borderId="0" applyNumberFormat="0" applyFill="0" applyBorder="0" applyAlignment="0" applyProtection="0">
      <alignment vertical="top"/>
      <protection locked="0"/>
    </xf>
    <xf numFmtId="0" fontId="317" fillId="0" borderId="0" applyNumberFormat="0" applyFill="0" applyBorder="0" applyAlignment="0" applyProtection="0">
      <alignment vertical="top"/>
      <protection locked="0"/>
    </xf>
    <xf numFmtId="0" fontId="317"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263" fontId="324" fillId="0" borderId="0">
      <alignment horizontal="right"/>
    </xf>
    <xf numFmtId="0" fontId="147" fillId="0" borderId="8">
      <alignment horizontal="centerContinuous"/>
    </xf>
    <xf numFmtId="3" fontId="325" fillId="0" borderId="0"/>
    <xf numFmtId="263" fontId="324" fillId="0" borderId="0">
      <alignment horizontal="right"/>
    </xf>
    <xf numFmtId="0" fontId="4" fillId="0" borderId="0"/>
    <xf numFmtId="37" fontId="147" fillId="0" borderId="0">
      <protection locked="0"/>
    </xf>
    <xf numFmtId="263" fontId="326" fillId="0" borderId="0">
      <alignment horizontal="center"/>
    </xf>
    <xf numFmtId="329"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330" fontId="4" fillId="0" borderId="0" applyProtection="0">
      <alignment horizontal="center"/>
    </xf>
    <xf numFmtId="0" fontId="327" fillId="3" borderId="0" applyNumberFormat="0" applyBorder="0" applyAlignment="0" applyProtection="0"/>
    <xf numFmtId="0" fontId="12" fillId="0" borderId="0" applyFill="0" applyBorder="0"/>
    <xf numFmtId="10" fontId="6" fillId="23" borderId="8" applyNumberFormat="0" applyBorder="0" applyAlignment="0" applyProtection="0"/>
    <xf numFmtId="10" fontId="6" fillId="23" borderId="8" applyNumberFormat="0" applyBorder="0" applyAlignment="0" applyProtection="0"/>
    <xf numFmtId="10" fontId="6" fillId="23" borderId="8" applyNumberFormat="0" applyBorder="0" applyAlignment="0" applyProtection="0"/>
    <xf numFmtId="10" fontId="6" fillId="23" borderId="8" applyNumberFormat="0" applyBorder="0" applyAlignment="0" applyProtection="0"/>
    <xf numFmtId="10" fontId="6" fillId="23" borderId="8" applyNumberFormat="0" applyBorder="0" applyAlignment="0" applyProtection="0"/>
    <xf numFmtId="10" fontId="6" fillId="23" borderId="8" applyNumberFormat="0" applyBorder="0" applyAlignment="0" applyProtection="0"/>
    <xf numFmtId="10" fontId="6" fillId="23" borderId="8" applyNumberFormat="0" applyBorder="0" applyAlignment="0" applyProtection="0"/>
    <xf numFmtId="10" fontId="6" fillId="23" borderId="8" applyNumberFormat="0" applyBorder="0" applyAlignment="0" applyProtection="0"/>
    <xf numFmtId="10" fontId="6" fillId="23" borderId="8" applyNumberFormat="0" applyBorder="0" applyAlignment="0" applyProtection="0"/>
    <xf numFmtId="10" fontId="6" fillId="23" borderId="8" applyNumberFormat="0" applyBorder="0" applyAlignment="0" applyProtection="0"/>
    <xf numFmtId="10" fontId="6" fillId="23" borderId="8" applyNumberFormat="0" applyBorder="0" applyAlignment="0" applyProtection="0"/>
    <xf numFmtId="10" fontId="6" fillId="23" borderId="8" applyNumberFormat="0" applyBorder="0" applyAlignment="0" applyProtection="0"/>
    <xf numFmtId="10" fontId="6" fillId="23" borderId="8" applyNumberFormat="0" applyBorder="0" applyAlignment="0" applyProtection="0"/>
    <xf numFmtId="0" fontId="25" fillId="7" borderId="1" applyNumberFormat="0" applyAlignment="0" applyProtection="0"/>
    <xf numFmtId="0" fontId="328" fillId="75" borderId="1" applyNumberFormat="0" applyAlignment="0" applyProtection="0"/>
    <xf numFmtId="0" fontId="25" fillId="144"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144" borderId="1" applyNumberFormat="0" applyAlignment="0" applyProtection="0"/>
    <xf numFmtId="0" fontId="25" fillId="144" borderId="1"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25" fillId="7" borderId="1" applyNumberFormat="0" applyAlignment="0" applyProtection="0"/>
    <xf numFmtId="0" fontId="328" fillId="75" borderId="1" applyNumberFormat="0" applyAlignment="0" applyProtection="0"/>
    <xf numFmtId="0" fontId="25" fillId="144" borderId="1" applyNumberFormat="0" applyAlignment="0" applyProtection="0"/>
    <xf numFmtId="0" fontId="25" fillId="144" borderId="1"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25" fillId="7" borderId="1" applyNumberFormat="0" applyAlignment="0" applyProtection="0"/>
    <xf numFmtId="0" fontId="328" fillId="75" borderId="1" applyNumberFormat="0" applyAlignment="0" applyProtection="0"/>
    <xf numFmtId="0" fontId="25" fillId="144" borderId="1" applyNumberFormat="0" applyAlignment="0" applyProtection="0"/>
    <xf numFmtId="0" fontId="25" fillId="144" borderId="1"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25" fillId="7" borderId="1" applyNumberFormat="0" applyAlignment="0" applyProtection="0"/>
    <xf numFmtId="0" fontId="328" fillId="75" borderId="1" applyNumberFormat="0" applyAlignment="0" applyProtection="0"/>
    <xf numFmtId="0" fontId="25" fillId="144" borderId="1" applyNumberFormat="0" applyAlignment="0" applyProtection="0"/>
    <xf numFmtId="0" fontId="25" fillId="144" borderId="1"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25" fillId="7" borderId="1" applyNumberFormat="0" applyAlignment="0" applyProtection="0"/>
    <xf numFmtId="0" fontId="328" fillId="75" borderId="1" applyNumberFormat="0" applyAlignment="0" applyProtection="0"/>
    <xf numFmtId="0" fontId="25" fillId="144" borderId="1" applyNumberFormat="0" applyAlignment="0" applyProtection="0"/>
    <xf numFmtId="0" fontId="25" fillId="144" borderId="1"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25" fillId="7" borderId="1" applyNumberFormat="0" applyAlignment="0" applyProtection="0"/>
    <xf numFmtId="0" fontId="328" fillId="75" borderId="1"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328" fillId="75" borderId="1" applyNumberFormat="0" applyAlignment="0" applyProtection="0"/>
    <xf numFmtId="0" fontId="25" fillId="144"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144"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328" fillId="75" borderId="1" applyNumberFormat="0" applyAlignment="0" applyProtection="0"/>
    <xf numFmtId="0" fontId="328" fillId="75" borderId="69" applyNumberFormat="0" applyAlignment="0" applyProtection="0"/>
    <xf numFmtId="0" fontId="328" fillId="75" borderId="69" applyNumberFormat="0" applyAlignment="0" applyProtection="0"/>
    <xf numFmtId="0" fontId="25" fillId="7" borderId="1" applyNumberFormat="0" applyAlignment="0" applyProtection="0"/>
    <xf numFmtId="0" fontId="25" fillId="7" borderId="1"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144"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144" borderId="1" applyNumberFormat="0" applyAlignment="0" applyProtection="0"/>
    <xf numFmtId="0" fontId="25" fillId="7" borderId="1" applyNumberFormat="0" applyAlignment="0" applyProtection="0"/>
    <xf numFmtId="0" fontId="25" fillId="144" borderId="1" applyNumberFormat="0" applyAlignment="0" applyProtection="0"/>
    <xf numFmtId="0" fontId="329" fillId="171" borderId="68" applyNumberFormat="0" applyAlignment="0" applyProtection="0"/>
    <xf numFmtId="0" fontId="329" fillId="171" borderId="68"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25" fillId="7"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25" fillId="7"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329" fillId="171" borderId="68"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25" fillId="7"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7" borderId="1" applyNumberFormat="0" applyAlignment="0" applyProtection="0"/>
    <xf numFmtId="0" fontId="25" fillId="7"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144"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328" fillId="75" borderId="1" applyNumberFormat="0" applyAlignment="0" applyProtection="0"/>
    <xf numFmtId="0" fontId="25" fillId="144" borderId="1" applyNumberFormat="0" applyAlignment="0" applyProtection="0"/>
    <xf numFmtId="0" fontId="25" fillId="144"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0" fontId="25" fillId="7" borderId="1" applyNumberFormat="0" applyAlignment="0" applyProtection="0"/>
    <xf numFmtId="331" fontId="4" fillId="172" borderId="0"/>
    <xf numFmtId="298" fontId="6" fillId="0" borderId="0"/>
    <xf numFmtId="332" fontId="4" fillId="0" borderId="0" applyFill="0" applyBorder="0" applyProtection="0"/>
    <xf numFmtId="298" fontId="6" fillId="0" borderId="0"/>
    <xf numFmtId="299" fontId="6" fillId="23" borderId="0" applyFont="0" applyBorder="0" applyAlignment="0" applyProtection="0">
      <protection locked="0"/>
    </xf>
    <xf numFmtId="321" fontId="6" fillId="23" borderId="0" applyFont="0" applyBorder="0" applyAlignment="0">
      <protection locked="0"/>
    </xf>
    <xf numFmtId="333" fontId="4" fillId="0" borderId="0" applyFill="0" applyBorder="0" applyProtection="0"/>
    <xf numFmtId="0" fontId="330" fillId="0" borderId="96"/>
    <xf numFmtId="9" fontId="331" fillId="0" borderId="96" applyFill="0" applyAlignment="0" applyProtection="0"/>
    <xf numFmtId="10" fontId="6" fillId="23" borderId="0">
      <protection locked="0"/>
    </xf>
    <xf numFmtId="9" fontId="331" fillId="0" borderId="96" applyFill="0" applyAlignment="0" applyProtection="0"/>
    <xf numFmtId="298" fontId="332" fillId="23" borderId="0" applyNumberFormat="0" applyBorder="0" applyAlignment="0">
      <protection locked="0"/>
    </xf>
    <xf numFmtId="0" fontId="333" fillId="0" borderId="96"/>
    <xf numFmtId="334" fontId="6" fillId="23" borderId="0" applyNumberFormat="0" applyFont="0" applyBorder="0" applyAlignment="0" applyProtection="0">
      <alignment horizontal="center"/>
      <protection locked="0"/>
    </xf>
    <xf numFmtId="203" fontId="6" fillId="23" borderId="19" applyNumberFormat="0" applyFont="0" applyAlignment="0" applyProtection="0">
      <alignment horizontal="center"/>
      <protection locked="0"/>
    </xf>
    <xf numFmtId="0" fontId="154" fillId="0" borderId="0" applyNumberFormat="0" applyFill="0" applyBorder="0" applyAlignment="0">
      <protection locked="0"/>
    </xf>
    <xf numFmtId="0" fontId="4" fillId="0" borderId="0"/>
    <xf numFmtId="0" fontId="4" fillId="0" borderId="0"/>
    <xf numFmtId="335" fontId="6" fillId="27" borderId="0" applyFill="0" applyAlignment="0"/>
    <xf numFmtId="37" fontId="334" fillId="35" borderId="0">
      <protection locked="0"/>
    </xf>
    <xf numFmtId="269" fontId="143" fillId="0" borderId="0" applyFont="0">
      <alignment horizontal="left"/>
    </xf>
    <xf numFmtId="269" fontId="143" fillId="0" borderId="0" applyFont="0">
      <alignment horizontal="left"/>
    </xf>
    <xf numFmtId="0" fontId="7" fillId="0" borderId="57" applyNumberFormat="0" applyFill="0" applyBorder="0"/>
    <xf numFmtId="336" fontId="13" fillId="0" borderId="57" applyFill="0" applyBorder="0"/>
    <xf numFmtId="0" fontId="7" fillId="0" borderId="0" applyNumberFormat="0" applyFill="0" applyBorder="0">
      <alignment horizontal="center"/>
    </xf>
    <xf numFmtId="0" fontId="335" fillId="0" borderId="0" applyNumberFormat="0" applyFill="0" applyBorder="0" applyProtection="0">
      <alignment horizontal="left" vertical="center"/>
    </xf>
    <xf numFmtId="1" fontId="336" fillId="0" borderId="0" applyNumberFormat="0" applyFont="0" applyBorder="0" applyAlignment="0" applyProtection="0">
      <alignment horizontal="right" vertical="top"/>
      <protection hidden="1"/>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0" fontId="337" fillId="173" borderId="77"/>
    <xf numFmtId="0" fontId="337" fillId="173" borderId="77"/>
    <xf numFmtId="0" fontId="337" fillId="173" borderId="77"/>
    <xf numFmtId="214" fontId="338" fillId="0" borderId="0" applyNumberFormat="0">
      <alignment horizontal="left"/>
    </xf>
    <xf numFmtId="40" fontId="6" fillId="0" borderId="0" applyFont="0">
      <protection locked="0"/>
    </xf>
    <xf numFmtId="40" fontId="6" fillId="0" borderId="0" applyFont="0">
      <protection locked="0"/>
    </xf>
    <xf numFmtId="40" fontId="6" fillId="0" borderId="0" applyFont="0">
      <protection locked="0"/>
    </xf>
    <xf numFmtId="167" fontId="82" fillId="0" borderId="15"/>
    <xf numFmtId="0" fontId="339" fillId="0" borderId="0"/>
    <xf numFmtId="0" fontId="340" fillId="0" borderId="97"/>
    <xf numFmtId="0" fontId="340" fillId="0" borderId="10"/>
    <xf numFmtId="0" fontId="320" fillId="0" borderId="0" applyNumberFormat="0" applyFill="0" applyBorder="0" applyAlignment="0" applyProtection="0">
      <alignment vertical="top"/>
      <protection locked="0"/>
    </xf>
    <xf numFmtId="0" fontId="284" fillId="0" borderId="0" applyNumberFormat="0" applyFill="0" applyBorder="0" applyAlignment="0" applyProtection="0">
      <alignment vertical="top"/>
      <protection locked="0"/>
    </xf>
    <xf numFmtId="0" fontId="341" fillId="0" borderId="0" applyNumberFormat="0" applyFill="0" applyBorder="0" applyAlignment="0" applyProtection="0">
      <alignment vertical="top"/>
      <protection locked="0"/>
    </xf>
    <xf numFmtId="0" fontId="12" fillId="174" borderId="0" applyNumberFormat="0" applyFont="0" applyBorder="0" applyProtection="0"/>
    <xf numFmtId="337" fontId="138" fillId="0" borderId="0" applyFont="0" applyFill="0" applyBorder="0" applyProtection="0">
      <alignment horizontal="center"/>
    </xf>
    <xf numFmtId="338" fontId="138" fillId="0" borderId="0" applyFont="0" applyFill="0" applyBorder="0" applyAlignment="0" applyProtection="0"/>
    <xf numFmtId="0" fontId="7" fillId="0" borderId="0" applyNumberFormat="0" applyFill="0" applyBorder="0">
      <alignment horizontal="right"/>
    </xf>
    <xf numFmtId="0" fontId="4" fillId="0" borderId="21" applyNumberFormat="0" applyFill="0" applyBorder="0">
      <alignment horizontal="center"/>
    </xf>
    <xf numFmtId="37" fontId="342" fillId="0" borderId="0" applyNumberFormat="0" applyFill="0" applyBorder="0" applyAlignment="0" applyProtection="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12" fontId="212"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6"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39" fontId="4" fillId="0" borderId="0" applyFill="0" applyBorder="0" applyAlignment="0"/>
    <xf numFmtId="212" fontId="212" fillId="0" borderId="0" applyFill="0" applyBorder="0" applyAlignment="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6" fillId="0" borderId="99" applyNumberFormat="0" applyFill="0" applyAlignment="0" applyProtection="0"/>
    <xf numFmtId="0" fontId="346" fillId="0" borderId="9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345" fillId="0" borderId="98"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343" fillId="0" borderId="9" applyNumberFormat="0" applyFill="0" applyAlignment="0" applyProtection="0"/>
    <xf numFmtId="0" fontId="344" fillId="0" borderId="9" applyNumberFormat="0" applyFill="0" applyAlignment="0" applyProtection="0"/>
    <xf numFmtId="0" fontId="344"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331" fontId="4" fillId="175" borderId="0"/>
    <xf numFmtId="0" fontId="181" fillId="0" borderId="0"/>
    <xf numFmtId="269" fontId="143" fillId="0" borderId="0" applyFont="0" applyFill="0" applyBorder="0">
      <alignment horizontal="left"/>
    </xf>
    <xf numFmtId="269" fontId="143" fillId="0" borderId="0" applyFont="0" applyFill="0" applyBorder="0">
      <alignment horizontal="left"/>
    </xf>
    <xf numFmtId="0" fontId="5" fillId="0" borderId="0" applyProtection="0">
      <alignment horizontal="center" vertical="center"/>
    </xf>
    <xf numFmtId="0" fontId="5" fillId="0" borderId="0" applyProtection="0">
      <alignment horizontal="center" vertical="center"/>
    </xf>
    <xf numFmtId="0" fontId="5" fillId="0" borderId="0" applyProtection="0">
      <alignment horizontal="center" vertical="center"/>
    </xf>
    <xf numFmtId="0" fontId="347" fillId="0" borderId="8">
      <alignment horizontal="center" vertical="center" wrapText="1"/>
    </xf>
    <xf numFmtId="0" fontId="347" fillId="0" borderId="8">
      <alignment horizontal="center" vertical="center" wrapText="1"/>
    </xf>
    <xf numFmtId="0" fontId="347" fillId="0" borderId="8">
      <alignment horizontal="center" vertical="center" wrapText="1"/>
    </xf>
    <xf numFmtId="0" fontId="347" fillId="0" borderId="8">
      <alignment horizontal="center" vertical="center" wrapText="1"/>
    </xf>
    <xf numFmtId="0" fontId="347" fillId="0" borderId="8">
      <alignment horizontal="center" vertical="center" wrapText="1"/>
    </xf>
    <xf numFmtId="0" fontId="5" fillId="0" borderId="0" applyProtection="0">
      <alignment horizontal="center" vertical="center"/>
    </xf>
    <xf numFmtId="14" fontId="80" fillId="0" borderId="19" applyFont="0" applyFill="0" applyBorder="0" applyAlignment="0" applyProtection="0"/>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339" fontId="149" fillId="0" borderId="0">
      <alignment horizontal="right"/>
    </xf>
    <xf numFmtId="269" fontId="143" fillId="0" borderId="0" applyFont="0" applyFill="0" applyBorder="0">
      <alignment horizontal="left"/>
    </xf>
    <xf numFmtId="269" fontId="143" fillId="0" borderId="0" applyFont="0" applyFill="0" applyBorder="0">
      <alignment horizontal="left"/>
    </xf>
    <xf numFmtId="339" fontId="149" fillId="0" borderId="0">
      <alignment horizontal="righ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143" fillId="0" borderId="0" applyFont="0" applyFill="0" applyBorder="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4" fillId="0" borderId="0" applyFont="0" applyFill="0">
      <alignment horizontal="left"/>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0" fontId="348" fillId="0" borderId="43">
      <alignment horizontal="left"/>
      <protection locked="0"/>
    </xf>
    <xf numFmtId="0" fontId="349" fillId="0" borderId="0">
      <alignment vertical="top"/>
    </xf>
    <xf numFmtId="311" fontId="82" fillId="0" borderId="0">
      <alignment horizontal="left" vertical="top"/>
      <protection locked="0"/>
    </xf>
    <xf numFmtId="277" fontId="82" fillId="0" borderId="58"/>
    <xf numFmtId="169" fontId="27" fillId="0" borderId="10">
      <alignment horizontal="right"/>
    </xf>
    <xf numFmtId="0" fontId="27" fillId="0" borderId="10">
      <alignment horizontal="right"/>
    </xf>
    <xf numFmtId="0" fontId="27" fillId="0" borderId="10">
      <alignment horizontal="right"/>
    </xf>
    <xf numFmtId="169" fontId="27" fillId="0" borderId="10">
      <alignment horizontal="right"/>
    </xf>
    <xf numFmtId="169" fontId="27" fillId="0" borderId="10">
      <alignment horizontal="right"/>
    </xf>
    <xf numFmtId="169" fontId="27" fillId="0" borderId="10">
      <alignment horizontal="right"/>
    </xf>
    <xf numFmtId="169" fontId="27" fillId="0" borderId="10">
      <alignment horizontal="right"/>
    </xf>
    <xf numFmtId="203" fontId="269" fillId="0" borderId="0"/>
    <xf numFmtId="311" fontId="6" fillId="0" borderId="0" applyFont="0"/>
    <xf numFmtId="311" fontId="6" fillId="0" borderId="0" applyFont="0"/>
    <xf numFmtId="167" fontId="4" fillId="0" borderId="0" applyFont="0" applyFill="0" applyBorder="0" applyAlignment="0" applyProtection="0"/>
    <xf numFmtId="167" fontId="12" fillId="0" borderId="4" applyNumberFormat="0">
      <alignment horizontal="right" vertical="center"/>
    </xf>
    <xf numFmtId="167" fontId="12" fillId="0" borderId="4" applyNumberFormat="0">
      <alignment horizontal="right" vertical="center"/>
    </xf>
    <xf numFmtId="244" fontId="4" fillId="0" borderId="0" applyFont="0" applyFill="0" applyBorder="0" applyAlignment="0" applyProtection="0"/>
    <xf numFmtId="4" fontId="156" fillId="0" borderId="0" applyFont="0" applyFill="0" applyBorder="0" applyAlignment="0" applyProtection="0"/>
    <xf numFmtId="0" fontId="350" fillId="0" borderId="0" applyBorder="0"/>
    <xf numFmtId="0" fontId="351" fillId="36" borderId="0" applyNumberFormat="0" applyFont="0" applyAlignment="0">
      <alignment horizontal="right"/>
    </xf>
    <xf numFmtId="0" fontId="6" fillId="0" borderId="0" applyNumberFormat="0" applyFont="0" applyAlignment="0" applyProtection="0"/>
    <xf numFmtId="264" fontId="12" fillId="0" borderId="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352" fillId="0" borderId="8">
      <alignment wrapText="1"/>
    </xf>
    <xf numFmtId="0" fontId="352" fillId="0" borderId="8">
      <alignment wrapText="1"/>
    </xf>
    <xf numFmtId="0" fontId="352" fillId="0" borderId="8">
      <alignment wrapText="1"/>
    </xf>
    <xf numFmtId="269" fontId="143" fillId="0" borderId="0" applyFont="0" applyFill="0" applyBorder="0">
      <alignment horizontal="left"/>
    </xf>
    <xf numFmtId="269" fontId="143" fillId="0" borderId="0" applyFont="0" applyFill="0" applyBorder="0">
      <alignment horizontal="left"/>
    </xf>
    <xf numFmtId="269" fontId="143" fillId="0" borderId="0" applyFont="0" applyFill="0" applyBorder="0">
      <alignment horizontal="left"/>
    </xf>
    <xf numFmtId="0" fontId="353" fillId="0" borderId="57"/>
    <xf numFmtId="340" fontId="138" fillId="0" borderId="0" applyFont="0" applyFill="0" applyBorder="0" applyAlignment="0" applyProtection="0"/>
    <xf numFmtId="341" fontId="138" fillId="0" borderId="0" applyFont="0" applyFill="0" applyBorder="0" applyAlignment="0" applyProtection="0"/>
    <xf numFmtId="0" fontId="4" fillId="0" borderId="40" applyNumberFormat="0" applyFont="0" applyFill="0" applyBorder="0" applyAlignment="0" applyProtection="0">
      <alignment horizontal="center" vertical="top"/>
    </xf>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342" fontId="282" fillId="0" borderId="0" applyFont="0" applyFill="0" applyBorder="0" applyAlignment="0" applyProtection="0"/>
    <xf numFmtId="0" fontId="158" fillId="0" borderId="100" applyNumberFormat="0">
      <alignment horizontal="right"/>
    </xf>
    <xf numFmtId="343" fontId="149" fillId="0" borderId="0" applyFill="0" applyBorder="0" applyProtection="0">
      <alignment horizontal="center"/>
    </xf>
    <xf numFmtId="344" fontId="242" fillId="0" borderId="0" applyFont="0" applyFill="0" applyBorder="0" applyProtection="0">
      <alignment horizontal="right"/>
    </xf>
    <xf numFmtId="169" fontId="354" fillId="0" borderId="0" applyFont="0" applyFill="0" applyBorder="0" applyAlignment="0" applyProtection="0"/>
    <xf numFmtId="345" fontId="12" fillId="0" borderId="0" applyFill="0" applyBorder="0" applyProtection="0">
      <alignment horizontal="right"/>
    </xf>
    <xf numFmtId="346" fontId="247" fillId="0" borderId="0" applyFont="0" applyFill="0" applyBorder="0" applyProtection="0">
      <alignment horizontal="right"/>
    </xf>
    <xf numFmtId="347" fontId="247" fillId="0" borderId="0" applyFont="0" applyFill="0" applyBorder="0" applyAlignment="0" applyProtection="0">
      <alignment horizontal="right"/>
    </xf>
    <xf numFmtId="212" fontId="12" fillId="0" borderId="0"/>
    <xf numFmtId="265" fontId="212" fillId="176" borderId="0" applyNumberFormat="0">
      <alignment horizontal="right"/>
    </xf>
    <xf numFmtId="269" fontId="143" fillId="0" borderId="0" applyFont="0">
      <alignment horizontal="left"/>
    </xf>
    <xf numFmtId="269" fontId="143" fillId="0" borderId="0" applyFont="0">
      <alignment horizontal="left"/>
    </xf>
    <xf numFmtId="167" fontId="149" fillId="0" borderId="0"/>
    <xf numFmtId="348" fontId="6" fillId="22" borderId="0" applyFont="0" applyBorder="0" applyAlignment="0" applyProtection="0">
      <alignment horizontal="right"/>
      <protection hidden="1"/>
    </xf>
    <xf numFmtId="0" fontId="28" fillId="24"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355" fillId="180" borderId="0" applyNumberFormat="0" applyBorder="0" applyAlignment="0" applyProtection="0"/>
    <xf numFmtId="0" fontId="355" fillId="180"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28" fillId="24"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357" fillId="179"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28" fillId="24" borderId="0" applyNumberFormat="0" applyBorder="0" applyAlignment="0" applyProtection="0"/>
    <xf numFmtId="0" fontId="28" fillId="24" borderId="0" applyNumberFormat="0" applyBorder="0" applyAlignment="0" applyProtection="0"/>
    <xf numFmtId="0" fontId="355" fillId="177" borderId="0" applyNumberFormat="0" applyBorder="0" applyAlignment="0" applyProtection="0"/>
    <xf numFmtId="0" fontId="28" fillId="178" borderId="0" applyNumberFormat="0" applyBorder="0" applyAlignment="0" applyProtection="0"/>
    <xf numFmtId="0" fontId="28" fillId="178"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356" fillId="179" borderId="0" applyNumberFormat="0" applyBorder="0" applyAlignment="0" applyProtection="0"/>
    <xf numFmtId="0" fontId="12" fillId="0" borderId="0"/>
    <xf numFmtId="349" fontId="242" fillId="0" borderId="0"/>
    <xf numFmtId="2" fontId="216" fillId="0" borderId="0" applyNumberFormat="0" applyFont="0" applyAlignment="0"/>
    <xf numFmtId="37" fontId="29" fillId="0" borderId="0"/>
    <xf numFmtId="37" fontId="29" fillId="0" borderId="0"/>
    <xf numFmtId="37" fontId="29" fillId="0" borderId="0"/>
    <xf numFmtId="37" fontId="29" fillId="0" borderId="0"/>
    <xf numFmtId="37" fontId="29" fillId="0" borderId="0"/>
    <xf numFmtId="37" fontId="29" fillId="0" borderId="0"/>
    <xf numFmtId="0" fontId="181" fillId="0" borderId="0"/>
    <xf numFmtId="0" fontId="181" fillId="0" borderId="0"/>
    <xf numFmtId="350" fontId="138" fillId="0" borderId="0" applyFont="0">
      <alignment horizontal="right"/>
    </xf>
    <xf numFmtId="351" fontId="6" fillId="0" borderId="0" applyFont="0" applyFill="0" applyBorder="0" applyAlignment="0" applyProtection="0">
      <alignment horizontal="right"/>
    </xf>
    <xf numFmtId="0" fontId="4" fillId="0" borderId="0"/>
    <xf numFmtId="0" fontId="4" fillId="0" borderId="0"/>
    <xf numFmtId="0" fontId="4" fillId="0" borderId="0"/>
    <xf numFmtId="41"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48" fontId="358" fillId="0" borderId="0"/>
    <xf numFmtId="248" fontId="35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37" fontId="266" fillId="35" borderId="0" applyFont="0" applyFill="0" applyBorder="0" applyAlignment="0" applyProtection="0"/>
    <xf numFmtId="298" fontId="4" fillId="0" borderId="0" applyFont="0" applyFill="0" applyBorder="0" applyAlignment="0"/>
    <xf numFmtId="40" fontId="6" fillId="0" borderId="0" applyFont="0" applyFill="0" applyBorder="0" applyAlignment="0"/>
    <xf numFmtId="352" fontId="6" fillId="0" borderId="0" applyFont="0" applyFill="0" applyBorder="0" applyAlignment="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8" fillId="0" borderId="0"/>
    <xf numFmtId="0" fontId="4" fillId="0" borderId="0"/>
    <xf numFmtId="0" fontId="4" fillId="0" borderId="0"/>
    <xf numFmtId="0" fontId="4" fillId="0" borderId="0">
      <alignment wrapText="1"/>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8" fillId="0" borderId="0"/>
    <xf numFmtId="0" fontId="4" fillId="0" borderId="0"/>
    <xf numFmtId="0" fontId="48" fillId="0" borderId="0"/>
    <xf numFmtId="0" fontId="48" fillId="0" borderId="0"/>
    <xf numFmtId="0" fontId="4" fillId="0" borderId="0"/>
    <xf numFmtId="0" fontId="359" fillId="0" borderId="0">
      <alignment vertical="center"/>
    </xf>
    <xf numFmtId="0" fontId="359"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12" fillId="0" borderId="0"/>
    <xf numFmtId="0" fontId="360" fillId="0" borderId="0"/>
    <xf numFmtId="0" fontId="48" fillId="0" borderId="0"/>
    <xf numFmtId="0" fontId="48" fillId="0" borderId="0"/>
    <xf numFmtId="0" fontId="48" fillId="0" borderId="0"/>
    <xf numFmtId="0" fontId="48"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361" fillId="0" borderId="0"/>
    <xf numFmtId="0" fontId="361" fillId="0" borderId="0"/>
    <xf numFmtId="0" fontId="1" fillId="0" borderId="0"/>
    <xf numFmtId="0" fontId="361" fillId="0" borderId="0"/>
    <xf numFmtId="0" fontId="361" fillId="0" borderId="0"/>
    <xf numFmtId="0" fontId="1" fillId="0" borderId="0"/>
    <xf numFmtId="0" fontId="361" fillId="0" borderId="0"/>
    <xf numFmtId="0" fontId="361" fillId="0" borderId="0"/>
    <xf numFmtId="0" fontId="1" fillId="0" borderId="0"/>
    <xf numFmtId="0" fontId="361" fillId="0" borderId="0"/>
    <xf numFmtId="0" fontId="361" fillId="0" borderId="0"/>
    <xf numFmtId="0" fontId="1" fillId="0" borderId="0"/>
    <xf numFmtId="0" fontId="1" fillId="0" borderId="0"/>
    <xf numFmtId="0" fontId="361" fillId="0" borderId="0"/>
    <xf numFmtId="0" fontId="1" fillId="0" borderId="0"/>
    <xf numFmtId="0" fontId="361" fillId="0" borderId="0"/>
    <xf numFmtId="0" fontId="361" fillId="0" borderId="0"/>
    <xf numFmtId="0" fontId="1" fillId="0" borderId="0"/>
    <xf numFmtId="0" fontId="361" fillId="0" borderId="0"/>
    <xf numFmtId="0" fontId="1" fillId="0" borderId="0"/>
    <xf numFmtId="0" fontId="361" fillId="0" borderId="0"/>
    <xf numFmtId="0" fontId="4" fillId="0" borderId="0"/>
    <xf numFmtId="0" fontId="361" fillId="0" borderId="0"/>
    <xf numFmtId="0" fontId="36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1" fillId="0" borderId="0"/>
    <xf numFmtId="0" fontId="4" fillId="0" borderId="0"/>
    <xf numFmtId="0" fontId="4" fillId="0" borderId="0"/>
    <xf numFmtId="0" fontId="4" fillId="0" borderId="0"/>
    <xf numFmtId="0" fontId="37" fillId="0" borderId="0"/>
    <xf numFmtId="0" fontId="4" fillId="0" borderId="0"/>
    <xf numFmtId="0" fontId="1"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8" fillId="0" borderId="0"/>
    <xf numFmtId="0" fontId="4"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4" fillId="0" borderId="0"/>
    <xf numFmtId="0" fontId="361" fillId="0" borderId="0"/>
    <xf numFmtId="0" fontId="361" fillId="0" borderId="0"/>
    <xf numFmtId="0" fontId="4" fillId="0" borderId="0"/>
    <xf numFmtId="0" fontId="4" fillId="0" borderId="0"/>
    <xf numFmtId="0" fontId="361" fillId="0" borderId="0"/>
    <xf numFmtId="0" fontId="1" fillId="0" borderId="0"/>
    <xf numFmtId="0" fontId="361" fillId="0" borderId="0"/>
    <xf numFmtId="0" fontId="361" fillId="0" borderId="0"/>
    <xf numFmtId="0" fontId="48" fillId="0" borderId="0"/>
    <xf numFmtId="0" fontId="361" fillId="0" borderId="0"/>
    <xf numFmtId="0" fontId="361" fillId="0" borderId="0"/>
    <xf numFmtId="0" fontId="4" fillId="0" borderId="0"/>
    <xf numFmtId="0" fontId="48" fillId="0" borderId="0">
      <alignment vertical="center"/>
    </xf>
    <xf numFmtId="0" fontId="361" fillId="0" borderId="0"/>
    <xf numFmtId="0" fontId="361" fillId="0" borderId="0"/>
    <xf numFmtId="0" fontId="11" fillId="0" borderId="0"/>
    <xf numFmtId="0" fontId="143" fillId="0" borderId="0"/>
    <xf numFmtId="0" fontId="48" fillId="0" borderId="0">
      <alignment vertical="center"/>
    </xf>
    <xf numFmtId="0" fontId="48" fillId="0" borderId="0">
      <alignment vertical="center"/>
    </xf>
    <xf numFmtId="0" fontId="48" fillId="0" borderId="0">
      <alignment vertical="center"/>
    </xf>
    <xf numFmtId="0" fontId="361" fillId="0" borderId="0"/>
    <xf numFmtId="0" fontId="361" fillId="0" borderId="0"/>
    <xf numFmtId="0" fontId="48" fillId="0" borderId="0">
      <alignment vertical="center"/>
    </xf>
    <xf numFmtId="0" fontId="4" fillId="0" borderId="0" applyNumberFormat="0" applyFont="0" applyFill="0" applyBorder="0" applyAlignment="0" applyProtection="0">
      <alignment vertical="top"/>
    </xf>
    <xf numFmtId="0" fontId="361"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48"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11" fillId="0" borderId="0"/>
    <xf numFmtId="0" fontId="361" fillId="0" borderId="0"/>
    <xf numFmtId="0" fontId="36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1" fillId="0" borderId="0"/>
    <xf numFmtId="0" fontId="1" fillId="0" borderId="0"/>
    <xf numFmtId="0" fontId="1" fillId="0" borderId="0"/>
    <xf numFmtId="0" fontId="1" fillId="0" borderId="0"/>
    <xf numFmtId="0" fontId="361" fillId="0" borderId="0"/>
    <xf numFmtId="0" fontId="1" fillId="0" borderId="0"/>
    <xf numFmtId="0" fontId="361" fillId="0" borderId="0"/>
    <xf numFmtId="0" fontId="1" fillId="0" borderId="0"/>
    <xf numFmtId="0" fontId="362" fillId="0" borderId="0"/>
    <xf numFmtId="0" fontId="1" fillId="0" borderId="0"/>
    <xf numFmtId="0" fontId="1" fillId="0" borderId="0"/>
    <xf numFmtId="0" fontId="354" fillId="0" borderId="0"/>
    <xf numFmtId="0" fontId="11" fillId="0" borderId="0"/>
    <xf numFmtId="0" fontId="4" fillId="0" borderId="0"/>
    <xf numFmtId="0" fontId="360" fillId="0" borderId="0"/>
    <xf numFmtId="0" fontId="4" fillId="0" borderId="0"/>
    <xf numFmtId="0" fontId="4" fillId="0" borderId="0"/>
    <xf numFmtId="0" fontId="4" fillId="0" borderId="0"/>
    <xf numFmtId="0" fontId="4" fillId="0" borderId="0"/>
    <xf numFmtId="0" fontId="11" fillId="0" borderId="0"/>
    <xf numFmtId="0" fontId="11" fillId="0" borderId="0"/>
    <xf numFmtId="0" fontId="363" fillId="0" borderId="0"/>
    <xf numFmtId="0" fontId="1" fillId="0" borderId="0"/>
    <xf numFmtId="0" fontId="48" fillId="0" borderId="0"/>
    <xf numFmtId="0" fontId="361" fillId="0" borderId="0"/>
    <xf numFmtId="0" fontId="48" fillId="0" borderId="0"/>
    <xf numFmtId="0" fontId="361" fillId="0" borderId="0"/>
    <xf numFmtId="0" fontId="48" fillId="0" borderId="0"/>
    <xf numFmtId="0" fontId="48" fillId="0" borderId="0"/>
    <xf numFmtId="0" fontId="48" fillId="0" borderId="0"/>
    <xf numFmtId="0" fontId="48" fillId="0" borderId="0"/>
    <xf numFmtId="0" fontId="48" fillId="0" borderId="0"/>
    <xf numFmtId="0" fontId="361" fillId="0" borderId="0"/>
    <xf numFmtId="0" fontId="48" fillId="0" borderId="0"/>
    <xf numFmtId="0" fontId="48" fillId="0" borderId="0"/>
    <xf numFmtId="0" fontId="361" fillId="0" borderId="0"/>
    <xf numFmtId="0" fontId="48" fillId="0" borderId="0"/>
    <xf numFmtId="0" fontId="361" fillId="0" borderId="0"/>
    <xf numFmtId="0" fontId="48" fillId="0" borderId="0"/>
    <xf numFmtId="0" fontId="48" fillId="0" borderId="0"/>
    <xf numFmtId="0" fontId="48" fillId="0" borderId="0"/>
    <xf numFmtId="0" fontId="361"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1" fillId="0" borderId="0"/>
    <xf numFmtId="0" fontId="11" fillId="0" borderId="0"/>
    <xf numFmtId="0" fontId="4" fillId="0" borderId="0"/>
    <xf numFmtId="0" fontId="1"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82" fillId="0" borderId="0">
      <protection locked="0"/>
    </xf>
    <xf numFmtId="0" fontId="182" fillId="0" borderId="0">
      <protection locked="0"/>
    </xf>
    <xf numFmtId="0" fontId="4" fillId="0" borderId="0"/>
    <xf numFmtId="0" fontId="1" fillId="0" borderId="0"/>
    <xf numFmtId="0" fontId="1" fillId="0" borderId="0"/>
    <xf numFmtId="0" fontId="4" fillId="0" borderId="0"/>
    <xf numFmtId="0" fontId="1" fillId="0" borderId="0"/>
    <xf numFmtId="0" fontId="1" fillId="0" borderId="0"/>
    <xf numFmtId="0" fontId="11" fillId="0" borderId="0"/>
    <xf numFmtId="0" fontId="4" fillId="0" borderId="0"/>
    <xf numFmtId="0" fontId="1" fillId="0" borderId="0"/>
    <xf numFmtId="0" fontId="4" fillId="0" borderId="0"/>
    <xf numFmtId="0" fontId="1" fillId="0" borderId="0"/>
    <xf numFmtId="0" fontId="48" fillId="0" borderId="0"/>
    <xf numFmtId="0" fontId="48" fillId="0" borderId="0"/>
    <xf numFmtId="0" fontId="1"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4"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353" fontId="11" fillId="0" borderId="0"/>
    <xf numFmtId="0" fontId="48" fillId="0" borderId="0"/>
    <xf numFmtId="0" fontId="361" fillId="0" borderId="0"/>
    <xf numFmtId="0" fontId="11" fillId="0" borderId="0"/>
    <xf numFmtId="0" fontId="361" fillId="0" borderId="0"/>
    <xf numFmtId="0" fontId="48" fillId="0" borderId="0"/>
    <xf numFmtId="0" fontId="361" fillId="0" borderId="0"/>
    <xf numFmtId="0" fontId="11" fillId="0" borderId="0"/>
    <xf numFmtId="0" fontId="11" fillId="0" borderId="0"/>
    <xf numFmtId="0" fontId="11" fillId="0" borderId="0"/>
    <xf numFmtId="0" fontId="11" fillId="0" borderId="0"/>
    <xf numFmtId="0" fontId="11" fillId="0" borderId="0"/>
    <xf numFmtId="0" fontId="48" fillId="0" borderId="0"/>
    <xf numFmtId="0" fontId="1"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8" fillId="0" borderId="0"/>
    <xf numFmtId="0" fontId="1"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11" fillId="0" borderId="0"/>
    <xf numFmtId="0" fontId="4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12" fillId="0" borderId="0"/>
    <xf numFmtId="0" fontId="4" fillId="0" borderId="0"/>
    <xf numFmtId="0" fontId="48" fillId="0" borderId="0"/>
    <xf numFmtId="0" fontId="48"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11" fillId="0" borderId="0"/>
    <xf numFmtId="0" fontId="48" fillId="0" borderId="0"/>
    <xf numFmtId="0" fontId="11"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364"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48" fillId="0" borderId="0"/>
    <xf numFmtId="0" fontId="4" fillId="0" borderId="0"/>
    <xf numFmtId="0" fontId="48" fillId="0" borderId="0"/>
    <xf numFmtId="0" fontId="48" fillId="0" borderId="0"/>
    <xf numFmtId="0" fontId="48" fillId="0" borderId="0"/>
    <xf numFmtId="0" fontId="48" fillId="0" borderId="0"/>
    <xf numFmtId="0" fontId="12" fillId="0" borderId="0"/>
    <xf numFmtId="0" fontId="12" fillId="0" borderId="0"/>
    <xf numFmtId="0" fontId="48" fillId="0" borderId="0"/>
    <xf numFmtId="0" fontId="48" fillId="0" borderId="0"/>
    <xf numFmtId="0" fontId="361" fillId="0" borderId="0"/>
    <xf numFmtId="0" fontId="361" fillId="0" borderId="0"/>
    <xf numFmtId="0" fontId="361" fillId="0" borderId="0"/>
    <xf numFmtId="0" fontId="361" fillId="0" borderId="0"/>
    <xf numFmtId="0" fontId="361" fillId="0" borderId="0"/>
    <xf numFmtId="0" fontId="4" fillId="0" borderId="0"/>
    <xf numFmtId="0" fontId="12" fillId="0" borderId="0"/>
    <xf numFmtId="0" fontId="4" fillId="0" borderId="0"/>
    <xf numFmtId="0" fontId="360" fillId="0" borderId="0"/>
    <xf numFmtId="0" fontId="48" fillId="0" borderId="0"/>
    <xf numFmtId="0" fontId="12" fillId="0" borderId="0"/>
    <xf numFmtId="0" fontId="48" fillId="0" borderId="0"/>
    <xf numFmtId="0" fontId="12" fillId="0" borderId="0"/>
    <xf numFmtId="0" fontId="12" fillId="0" borderId="0"/>
    <xf numFmtId="0" fontId="12" fillId="0" borderId="0"/>
    <xf numFmtId="0" fontId="48" fillId="0" borderId="0"/>
    <xf numFmtId="0" fontId="11" fillId="0" borderId="0"/>
    <xf numFmtId="0" fontId="11" fillId="0" borderId="0"/>
    <xf numFmtId="0" fontId="4" fillId="0" borderId="0"/>
    <xf numFmtId="0" fontId="11" fillId="0" borderId="0"/>
    <xf numFmtId="0" fontId="11" fillId="0" borderId="0"/>
    <xf numFmtId="0" fontId="11" fillId="0" borderId="0"/>
    <xf numFmtId="0" fontId="11" fillId="0" borderId="0"/>
    <xf numFmtId="0" fontId="11" fillId="0" borderId="0"/>
    <xf numFmtId="0" fontId="1" fillId="0" borderId="0"/>
    <xf numFmtId="0" fontId="12" fillId="0" borderId="0"/>
    <xf numFmtId="0" fontId="48" fillId="0" borderId="0"/>
    <xf numFmtId="0" fontId="48" fillId="0" borderId="0"/>
    <xf numFmtId="0" fontId="1" fillId="0" borderId="0"/>
    <xf numFmtId="0" fontId="361" fillId="0" borderId="0"/>
    <xf numFmtId="0" fontId="1" fillId="0" borderId="0"/>
    <xf numFmtId="0" fontId="1" fillId="0" borderId="0"/>
    <xf numFmtId="0" fontId="1" fillId="0" borderId="0"/>
    <xf numFmtId="0" fontId="48"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8" fillId="0" borderId="0"/>
    <xf numFmtId="0" fontId="48" fillId="0" borderId="0"/>
    <xf numFmtId="0" fontId="361" fillId="0" borderId="0"/>
    <xf numFmtId="0" fontId="361" fillId="0" borderId="0"/>
    <xf numFmtId="0" fontId="361" fillId="0" borderId="0"/>
    <xf numFmtId="0" fontId="48" fillId="0" borderId="0"/>
    <xf numFmtId="0" fontId="4" fillId="0" borderId="0"/>
    <xf numFmtId="0" fontId="361" fillId="0" borderId="0"/>
    <xf numFmtId="0" fontId="4" fillId="0" borderId="0"/>
    <xf numFmtId="0" fontId="12" fillId="0" borderId="0"/>
    <xf numFmtId="0" fontId="48" fillId="0" borderId="0"/>
    <xf numFmtId="0" fontId="48" fillId="0" borderId="0"/>
    <xf numFmtId="0" fontId="48" fillId="0" borderId="0"/>
    <xf numFmtId="0" fontId="48" fillId="0" borderId="0"/>
    <xf numFmtId="0" fontId="361" fillId="0" borderId="0"/>
    <xf numFmtId="0" fontId="361" fillId="0" borderId="0"/>
    <xf numFmtId="0" fontId="361" fillId="0" borderId="0"/>
    <xf numFmtId="0" fontId="361" fillId="0" borderId="0"/>
    <xf numFmtId="0" fontId="361" fillId="0" borderId="0"/>
    <xf numFmtId="0" fontId="11" fillId="0" borderId="0"/>
    <xf numFmtId="0" fontId="1" fillId="0" borderId="0"/>
    <xf numFmtId="0" fontId="361" fillId="0" borderId="0"/>
    <xf numFmtId="0" fontId="48" fillId="0" borderId="0"/>
    <xf numFmtId="0" fontId="48" fillId="0" borderId="0"/>
    <xf numFmtId="0" fontId="361" fillId="0" borderId="0"/>
    <xf numFmtId="0" fontId="361" fillId="0" borderId="0"/>
    <xf numFmtId="0" fontId="361" fillId="0" borderId="0"/>
    <xf numFmtId="0" fontId="361" fillId="0" borderId="0"/>
    <xf numFmtId="0" fontId="361" fillId="0" borderId="0"/>
    <xf numFmtId="0" fontId="361" fillId="0" borderId="0"/>
    <xf numFmtId="0" fontId="11" fillId="0" borderId="0"/>
    <xf numFmtId="0" fontId="1" fillId="0" borderId="0"/>
    <xf numFmtId="0" fontId="360" fillId="0" borderId="0"/>
    <xf numFmtId="0" fontId="4" fillId="0" borderId="0"/>
    <xf numFmtId="0" fontId="4" fillId="0" borderId="0"/>
    <xf numFmtId="0" fontId="1" fillId="0" borderId="0"/>
    <xf numFmtId="0" fontId="1" fillId="0" borderId="0"/>
    <xf numFmtId="0" fontId="4" fillId="0" borderId="0"/>
    <xf numFmtId="0" fontId="1" fillId="0" borderId="0"/>
    <xf numFmtId="0" fontId="1" fillId="0" borderId="0"/>
    <xf numFmtId="0" fontId="1" fillId="0" borderId="0"/>
    <xf numFmtId="0" fontId="4" fillId="0" borderId="0"/>
    <xf numFmtId="0" fontId="12" fillId="0" borderId="0"/>
    <xf numFmtId="0" fontId="4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2" fillId="0" borderId="0"/>
    <xf numFmtId="0" fontId="4" fillId="0" borderId="0"/>
    <xf numFmtId="0" fontId="12" fillId="0" borderId="0"/>
    <xf numFmtId="0" fontId="1" fillId="0" borderId="0"/>
    <xf numFmtId="0" fontId="4" fillId="0" borderId="0"/>
    <xf numFmtId="0" fontId="4" fillId="0" borderId="0"/>
    <xf numFmtId="0" fontId="1" fillId="0" borderId="0"/>
    <xf numFmtId="0" fontId="4" fillId="0" borderId="0"/>
    <xf numFmtId="0" fontId="4" fillId="0" borderId="0"/>
    <xf numFmtId="0" fontId="1" fillId="0" borderId="0"/>
    <xf numFmtId="0" fontId="1" fillId="0" borderId="0"/>
    <xf numFmtId="0" fontId="1" fillId="0" borderId="0"/>
    <xf numFmtId="0" fontId="48" fillId="0" borderId="0"/>
    <xf numFmtId="0" fontId="48" fillId="0" borderId="0"/>
    <xf numFmtId="0" fontId="48" fillId="0" borderId="0"/>
    <xf numFmtId="0" fontId="48" fillId="0" borderId="0"/>
    <xf numFmtId="0" fontId="159" fillId="0" borderId="0"/>
    <xf numFmtId="0" fontId="159" fillId="0" borderId="0"/>
    <xf numFmtId="0" fontId="159" fillId="0" borderId="0"/>
    <xf numFmtId="0" fontId="159" fillId="0" borderId="0"/>
    <xf numFmtId="0" fontId="159" fillId="0" borderId="0"/>
    <xf numFmtId="0" fontId="4" fillId="0" borderId="0"/>
    <xf numFmtId="0" fontId="4" fillId="0" borderId="0"/>
    <xf numFmtId="0" fontId="360" fillId="0" borderId="0"/>
    <xf numFmtId="0" fontId="4" fillId="0" borderId="0"/>
    <xf numFmtId="0" fontId="4" fillId="0" borderId="0"/>
    <xf numFmtId="0" fontId="4" fillId="0" borderId="0"/>
    <xf numFmtId="0" fontId="4" fillId="0" borderId="0"/>
    <xf numFmtId="0" fontId="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2" fillId="0" borderId="0"/>
    <xf numFmtId="0" fontId="360" fillId="0" borderId="0"/>
    <xf numFmtId="0" fontId="1" fillId="0" borderId="0"/>
    <xf numFmtId="0" fontId="48" fillId="0" borderId="0"/>
    <xf numFmtId="0" fontId="48" fillId="0" borderId="0"/>
    <xf numFmtId="0" fontId="11" fillId="0" borderId="0"/>
    <xf numFmtId="0" fontId="11"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48" fillId="0" borderId="0"/>
    <xf numFmtId="0" fontId="1" fillId="0" borderId="0"/>
    <xf numFmtId="0" fontId="1" fillId="0" borderId="0"/>
    <xf numFmtId="0" fontId="1" fillId="0" borderId="0"/>
    <xf numFmtId="0" fontId="1" fillId="0" borderId="0"/>
    <xf numFmtId="0" fontId="48" fillId="0" borderId="0"/>
    <xf numFmtId="0" fontId="48" fillId="0" borderId="0"/>
    <xf numFmtId="0" fontId="1" fillId="0" borderId="0"/>
    <xf numFmtId="0" fontId="1" fillId="0" borderId="0"/>
    <xf numFmtId="0" fontId="1" fillId="0" borderId="0"/>
    <xf numFmtId="0" fontId="4" fillId="0" borderId="0"/>
    <xf numFmtId="0" fontId="4" fillId="0" borderId="0"/>
    <xf numFmtId="0" fontId="4" fillId="0" borderId="0"/>
    <xf numFmtId="0" fontId="360" fillId="0" borderId="0"/>
    <xf numFmtId="0" fontId="4" fillId="0" borderId="0"/>
    <xf numFmtId="0" fontId="1" fillId="0" borderId="0"/>
    <xf numFmtId="0" fontId="11" fillId="0" borderId="0"/>
    <xf numFmtId="0" fontId="11" fillId="0" borderId="0"/>
    <xf numFmtId="0" fontId="4" fillId="0" borderId="0"/>
    <xf numFmtId="0" fontId="12" fillId="0" borderId="0"/>
    <xf numFmtId="0" fontId="4" fillId="0" borderId="0"/>
    <xf numFmtId="0" fontId="4" fillId="0" borderId="0"/>
    <xf numFmtId="0" fontId="360" fillId="0" borderId="0"/>
    <xf numFmtId="0" fontId="4" fillId="0" borderId="0"/>
    <xf numFmtId="0" fontId="360" fillId="0" borderId="0"/>
    <xf numFmtId="0" fontId="174" fillId="0" borderId="0"/>
    <xf numFmtId="0" fontId="360" fillId="0" borderId="0"/>
    <xf numFmtId="0" fontId="360" fillId="0" borderId="0"/>
    <xf numFmtId="0" fontId="12" fillId="0" borderId="0"/>
    <xf numFmtId="0" fontId="4" fillId="0" borderId="0"/>
    <xf numFmtId="0" fontId="360"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36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74" fillId="0" borderId="0"/>
    <xf numFmtId="0" fontId="1" fillId="0" borderId="0"/>
    <xf numFmtId="0" fontId="360" fillId="0" borderId="0"/>
    <xf numFmtId="0" fontId="360" fillId="0" borderId="0"/>
    <xf numFmtId="0" fontId="12" fillId="0" borderId="0"/>
    <xf numFmtId="0" fontId="4" fillId="0" borderId="0"/>
    <xf numFmtId="0" fontId="360" fillId="0" borderId="0"/>
    <xf numFmtId="0" fontId="4" fillId="0" borderId="0"/>
    <xf numFmtId="0" fontId="4" fillId="0" borderId="0"/>
    <xf numFmtId="0" fontId="360" fillId="0" borderId="0"/>
    <xf numFmtId="0" fontId="174" fillId="0" borderId="0"/>
    <xf numFmtId="0" fontId="360" fillId="0" borderId="0"/>
    <xf numFmtId="0" fontId="360" fillId="0" borderId="0"/>
    <xf numFmtId="0" fontId="12"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2" fillId="0" borderId="0"/>
    <xf numFmtId="0" fontId="17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74" fillId="0" borderId="0"/>
    <xf numFmtId="0" fontId="4" fillId="0" borderId="0"/>
    <xf numFmtId="0" fontId="48" fillId="0" borderId="0"/>
    <xf numFmtId="0" fontId="48" fillId="0" borderId="0"/>
    <xf numFmtId="0" fontId="4" fillId="0" borderId="0"/>
    <xf numFmtId="0" fontId="174" fillId="0" borderId="0"/>
    <xf numFmtId="0" fontId="1" fillId="0" borderId="0"/>
    <xf numFmtId="0" fontId="48" fillId="0" borderId="0"/>
    <xf numFmtId="0" fontId="48" fillId="0" borderId="0"/>
    <xf numFmtId="0" fontId="4" fillId="0" borderId="0"/>
    <xf numFmtId="0" fontId="174" fillId="0" borderId="0"/>
    <xf numFmtId="0" fontId="48" fillId="0" borderId="0"/>
    <xf numFmtId="0" fontId="48" fillId="0" borderId="0"/>
    <xf numFmtId="0" fontId="4" fillId="0" borderId="0"/>
    <xf numFmtId="0" fontId="174" fillId="0" borderId="0"/>
    <xf numFmtId="0" fontId="48" fillId="0" borderId="0"/>
    <xf numFmtId="0" fontId="48" fillId="0" borderId="0"/>
    <xf numFmtId="0" fontId="4" fillId="0" borderId="0"/>
    <xf numFmtId="0" fontId="174" fillId="0" borderId="0"/>
    <xf numFmtId="0" fontId="1" fillId="0" borderId="0"/>
    <xf numFmtId="0" fontId="48" fillId="0" borderId="0"/>
    <xf numFmtId="0" fontId="48" fillId="0" borderId="0"/>
    <xf numFmtId="0" fontId="12" fillId="0" borderId="0"/>
    <xf numFmtId="0" fontId="12" fillId="0" borderId="0"/>
    <xf numFmtId="0" fontId="12" fillId="0" borderId="0"/>
    <xf numFmtId="0" fontId="4" fillId="0" borderId="0"/>
    <xf numFmtId="0" fontId="4"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360" fillId="0" borderId="0"/>
    <xf numFmtId="0" fontId="12" fillId="0" borderId="0"/>
    <xf numFmtId="0" fontId="12" fillId="0" borderId="0"/>
    <xf numFmtId="0" fontId="4" fillId="0" borderId="0"/>
    <xf numFmtId="0" fontId="12" fillId="0" borderId="0"/>
    <xf numFmtId="0" fontId="12" fillId="0" borderId="0"/>
    <xf numFmtId="0" fontId="11" fillId="0" borderId="0"/>
    <xf numFmtId="0" fontId="11"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354" fontId="365" fillId="0" borderId="0"/>
    <xf numFmtId="0" fontId="12" fillId="0" borderId="0"/>
    <xf numFmtId="0" fontId="366" fillId="0" borderId="0"/>
    <xf numFmtId="0" fontId="366" fillId="0" borderId="0"/>
    <xf numFmtId="0" fontId="12" fillId="0" borderId="0"/>
    <xf numFmtId="0" fontId="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4" fillId="0" borderId="0"/>
    <xf numFmtId="0" fontId="4" fillId="0" borderId="0"/>
    <xf numFmtId="0" fontId="360" fillId="0" borderId="0"/>
    <xf numFmtId="0" fontId="4" fillId="0" borderId="0"/>
    <xf numFmtId="0" fontId="4" fillId="0" borderId="0"/>
    <xf numFmtId="0" fontId="4" fillId="0" borderId="0"/>
    <xf numFmtId="0" fontId="4" fillId="0" borderId="0"/>
    <xf numFmtId="0" fontId="360" fillId="0" borderId="0"/>
    <xf numFmtId="0" fontId="4" fillId="0" borderId="0"/>
    <xf numFmtId="0" fontId="4" fillId="0" borderId="0"/>
    <xf numFmtId="0" fontId="4" fillId="0" borderId="0"/>
    <xf numFmtId="0" fontId="4" fillId="0" borderId="0"/>
    <xf numFmtId="0" fontId="12" fillId="0" borderId="0"/>
    <xf numFmtId="0" fontId="12" fillId="0" borderId="0"/>
    <xf numFmtId="0" fontId="12" fillId="0" borderId="0"/>
    <xf numFmtId="0" fontId="12" fillId="0" borderId="0"/>
    <xf numFmtId="0" fontId="11" fillId="0" borderId="0"/>
    <xf numFmtId="0" fontId="11" fillId="0" borderId="0"/>
    <xf numFmtId="0" fontId="12" fillId="0" borderId="0"/>
    <xf numFmtId="0" fontId="12" fillId="0" borderId="0"/>
    <xf numFmtId="0" fontId="12" fillId="0" borderId="0"/>
    <xf numFmtId="248" fontId="37" fillId="0" borderId="0"/>
    <xf numFmtId="0" fontId="12" fillId="0" borderId="0"/>
    <xf numFmtId="0" fontId="12" fillId="0" borderId="0"/>
    <xf numFmtId="0" fontId="12" fillId="0" borderId="0"/>
    <xf numFmtId="0" fontId="12" fillId="0" borderId="0"/>
    <xf numFmtId="0" fontId="12" fillId="0" borderId="0"/>
    <xf numFmtId="0" fontId="12" fillId="0" borderId="0"/>
    <xf numFmtId="0" fontId="4" fillId="0" borderId="0"/>
    <xf numFmtId="0" fontId="4" fillId="0" borderId="0"/>
    <xf numFmtId="0" fontId="360" fillId="0" borderId="0"/>
    <xf numFmtId="0" fontId="4" fillId="0" borderId="0"/>
    <xf numFmtId="0" fontId="36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68"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68" fillId="0" borderId="0">
      <alignment vertical="center"/>
    </xf>
    <xf numFmtId="0" fontId="12" fillId="0" borderId="0"/>
    <xf numFmtId="164" fontId="37" fillId="0" borderId="0"/>
    <xf numFmtId="164" fontId="37" fillId="0" borderId="0"/>
    <xf numFmtId="354" fontId="365" fillId="0" borderId="0"/>
    <xf numFmtId="0" fontId="12" fillId="0" borderId="0"/>
    <xf numFmtId="0" fontId="365" fillId="0" borderId="0"/>
    <xf numFmtId="354" fontId="365" fillId="0" borderId="0"/>
    <xf numFmtId="0" fontId="12" fillId="0" borderId="0"/>
    <xf numFmtId="354" fontId="365" fillId="0" borderId="0"/>
    <xf numFmtId="0" fontId="12" fillId="0" borderId="0"/>
    <xf numFmtId="308" fontId="365" fillId="0" borderId="0"/>
    <xf numFmtId="0" fontId="12" fillId="0" borderId="0"/>
    <xf numFmtId="0" fontId="365" fillId="0" borderId="0"/>
    <xf numFmtId="0" fontId="12"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48" fillId="0" borderId="0"/>
    <xf numFmtId="0" fontId="48"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8" fillId="0" borderId="0"/>
    <xf numFmtId="0" fontId="48" fillId="0" borderId="0"/>
    <xf numFmtId="0" fontId="4" fillId="0" borderId="0"/>
    <xf numFmtId="0" fontId="360" fillId="0" borderId="0"/>
    <xf numFmtId="0" fontId="48" fillId="0" borderId="0"/>
    <xf numFmtId="0" fontId="48" fillId="0" borderId="0"/>
    <xf numFmtId="0" fontId="36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360" fillId="0" borderId="0"/>
    <xf numFmtId="0" fontId="48" fillId="0" borderId="0"/>
    <xf numFmtId="0" fontId="48" fillId="0" borderId="0"/>
    <xf numFmtId="0" fontId="4" fillId="0" borderId="0"/>
    <xf numFmtId="0" fontId="360" fillId="0" borderId="0"/>
    <xf numFmtId="0" fontId="48" fillId="0" borderId="0"/>
    <xf numFmtId="0" fontId="48" fillId="0" borderId="0"/>
    <xf numFmtId="0" fontId="36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360" fillId="0" borderId="0"/>
    <xf numFmtId="0" fontId="48" fillId="0" borderId="0"/>
    <xf numFmtId="0" fontId="48" fillId="0" borderId="0"/>
    <xf numFmtId="0" fontId="4" fillId="0" borderId="0"/>
    <xf numFmtId="0" fontId="360" fillId="0" borderId="0"/>
    <xf numFmtId="0" fontId="48" fillId="0" borderId="0"/>
    <xf numFmtId="0" fontId="48" fillId="0" borderId="0"/>
    <xf numFmtId="0" fontId="36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360" fillId="0" borderId="0"/>
    <xf numFmtId="0" fontId="48" fillId="0" borderId="0"/>
    <xf numFmtId="0" fontId="48" fillId="0" borderId="0"/>
    <xf numFmtId="0" fontId="4" fillId="0" borderId="0"/>
    <xf numFmtId="0" fontId="360" fillId="0" borderId="0"/>
    <xf numFmtId="0" fontId="48" fillId="0" borderId="0"/>
    <xf numFmtId="0" fontId="48" fillId="0" borderId="0"/>
    <xf numFmtId="0" fontId="36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360" fillId="0" borderId="0"/>
    <xf numFmtId="0" fontId="48" fillId="0" borderId="0"/>
    <xf numFmtId="0" fontId="48" fillId="0" borderId="0"/>
    <xf numFmtId="0" fontId="4" fillId="0" borderId="0"/>
    <xf numFmtId="0" fontId="360" fillId="0" borderId="0"/>
    <xf numFmtId="0" fontId="48" fillId="0" borderId="0"/>
    <xf numFmtId="0" fontId="48" fillId="0" borderId="0"/>
    <xf numFmtId="0" fontId="36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360" fillId="0" borderId="0"/>
    <xf numFmtId="0" fontId="48" fillId="0" borderId="0"/>
    <xf numFmtId="0" fontId="48" fillId="0" borderId="0"/>
    <xf numFmtId="0" fontId="4" fillId="0" borderId="0"/>
    <xf numFmtId="0" fontId="360" fillId="0" borderId="0"/>
    <xf numFmtId="0" fontId="48" fillId="0" borderId="0"/>
    <xf numFmtId="0" fontId="48" fillId="0" borderId="0"/>
    <xf numFmtId="0" fontId="36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360" fillId="0" borderId="0"/>
    <xf numFmtId="0" fontId="48" fillId="0" borderId="0"/>
    <xf numFmtId="0" fontId="48" fillId="0" borderId="0"/>
    <xf numFmtId="0" fontId="4" fillId="0" borderId="0"/>
    <xf numFmtId="0" fontId="360" fillId="0" borderId="0"/>
    <xf numFmtId="0" fontId="48" fillId="0" borderId="0"/>
    <xf numFmtId="0" fontId="48" fillId="0" borderId="0"/>
    <xf numFmtId="0" fontId="36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8" fillId="0" borderId="0"/>
    <xf numFmtId="0" fontId="48" fillId="0" borderId="0"/>
    <xf numFmtId="0" fontId="369" fillId="0" borderId="0"/>
    <xf numFmtId="0" fontId="48" fillId="0" borderId="0"/>
    <xf numFmtId="0" fontId="11" fillId="0" borderId="0" applyProtection="0"/>
    <xf numFmtId="0" fontId="48" fillId="0" borderId="0"/>
    <xf numFmtId="248" fontId="37" fillId="0" borderId="0"/>
    <xf numFmtId="0" fontId="4" fillId="0" borderId="0"/>
    <xf numFmtId="0" fontId="48" fillId="0" borderId="0"/>
    <xf numFmtId="0" fontId="4" fillId="0" borderId="0"/>
    <xf numFmtId="248" fontId="37" fillId="0" borderId="0"/>
    <xf numFmtId="0" fontId="48" fillId="0" borderId="0"/>
    <xf numFmtId="0" fontId="48" fillId="0" borderId="0"/>
    <xf numFmtId="170" fontId="37" fillId="0" borderId="0"/>
    <xf numFmtId="0" fontId="148" fillId="0" borderId="0"/>
    <xf numFmtId="0" fontId="4" fillId="0" borderId="0"/>
    <xf numFmtId="0" fontId="48" fillId="0" borderId="0"/>
    <xf numFmtId="0" fontId="48" fillId="0" borderId="0"/>
    <xf numFmtId="0" fontId="48" fillId="0" borderId="0"/>
    <xf numFmtId="0" fontId="48" fillId="0" borderId="0"/>
    <xf numFmtId="0" fontId="48" fillId="0" borderId="0"/>
    <xf numFmtId="0" fontId="4" fillId="0" borderId="0"/>
    <xf numFmtId="170" fontId="37"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 fillId="0" borderId="0">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protection locked="0"/>
    </xf>
    <xf numFmtId="0" fontId="11" fillId="0" borderId="0"/>
    <xf numFmtId="0" fontId="4" fillId="0" borderId="0"/>
    <xf numFmtId="0" fontId="4" fillId="0" borderId="0"/>
    <xf numFmtId="0" fontId="360" fillId="0" borderId="0"/>
    <xf numFmtId="0" fontId="48" fillId="0" borderId="0"/>
    <xf numFmtId="0" fontId="48" fillId="0" borderId="0"/>
    <xf numFmtId="0" fontId="4" fillId="0" borderId="0"/>
    <xf numFmtId="0" fontId="360" fillId="0" borderId="0"/>
    <xf numFmtId="0" fontId="48" fillId="0" borderId="0"/>
    <xf numFmtId="0" fontId="48" fillId="0" borderId="0"/>
    <xf numFmtId="0" fontId="36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360" fillId="0" borderId="0"/>
    <xf numFmtId="0" fontId="48" fillId="0" borderId="0"/>
    <xf numFmtId="0" fontId="48" fillId="0" borderId="0"/>
    <xf numFmtId="0" fontId="4" fillId="0" borderId="0"/>
    <xf numFmtId="0" fontId="360" fillId="0" borderId="0"/>
    <xf numFmtId="0" fontId="48" fillId="0" borderId="0"/>
    <xf numFmtId="0" fontId="48" fillId="0" borderId="0"/>
    <xf numFmtId="0" fontId="36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1" fillId="0" borderId="0"/>
    <xf numFmtId="0" fontId="17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1" fillId="0" borderId="0"/>
    <xf numFmtId="0" fontId="17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1" fillId="0" borderId="0"/>
    <xf numFmtId="0" fontId="17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1" fillId="0" borderId="0"/>
    <xf numFmtId="0" fontId="17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36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4" fillId="0" borderId="0"/>
    <xf numFmtId="0" fontId="360" fillId="0" borderId="0"/>
    <xf numFmtId="0" fontId="4" fillId="0" borderId="0"/>
    <xf numFmtId="0" fontId="48" fillId="0" borderId="0"/>
    <xf numFmtId="0" fontId="48" fillId="0" borderId="0"/>
    <xf numFmtId="0" fontId="4" fillId="0" borderId="0"/>
    <xf numFmtId="0" fontId="48" fillId="0" borderId="0"/>
    <xf numFmtId="0" fontId="48" fillId="0" borderId="0"/>
    <xf numFmtId="0" fontId="4" fillId="0" borderId="0"/>
    <xf numFmtId="0" fontId="4" fillId="0" borderId="0"/>
    <xf numFmtId="0" fontId="4" fillId="0" borderId="0"/>
    <xf numFmtId="0" fontId="4" fillId="0" borderId="0"/>
    <xf numFmtId="0" fontId="48"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1" fillId="0" borderId="0"/>
    <xf numFmtId="0" fontId="1" fillId="0" borderId="0"/>
    <xf numFmtId="0" fontId="1" fillId="0" borderId="0"/>
    <xf numFmtId="0" fontId="1" fillId="0" borderId="0"/>
    <xf numFmtId="0" fontId="1" fillId="0" borderId="0"/>
    <xf numFmtId="0" fontId="4" fillId="0" borderId="0"/>
    <xf numFmtId="0" fontId="360" fillId="0" borderId="0"/>
    <xf numFmtId="0" fontId="4" fillId="0" borderId="0"/>
    <xf numFmtId="0" fontId="360" fillId="0" borderId="0"/>
    <xf numFmtId="0" fontId="360" fillId="0" borderId="0"/>
    <xf numFmtId="0" fontId="1" fillId="0" borderId="0"/>
    <xf numFmtId="0" fontId="1" fillId="0" borderId="0"/>
    <xf numFmtId="0" fontId="4" fillId="0" borderId="0"/>
    <xf numFmtId="0" fontId="360" fillId="0" borderId="0"/>
    <xf numFmtId="0" fontId="1" fillId="0" borderId="0"/>
    <xf numFmtId="0" fontId="1"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4" fillId="0" borderId="0"/>
    <xf numFmtId="0" fontId="360" fillId="0" borderId="0"/>
    <xf numFmtId="0" fontId="360" fillId="0" borderId="0"/>
    <xf numFmtId="0" fontId="4" fillId="0" borderId="0"/>
    <xf numFmtId="0" fontId="360" fillId="0" borderId="0"/>
    <xf numFmtId="0" fontId="1" fillId="0" borderId="0"/>
    <xf numFmtId="0" fontId="1" fillId="0" borderId="0"/>
    <xf numFmtId="0" fontId="4" fillId="0" borderId="0"/>
    <xf numFmtId="0" fontId="360" fillId="0" borderId="0"/>
    <xf numFmtId="0" fontId="1" fillId="0" borderId="0"/>
    <xf numFmtId="0" fontId="1" fillId="0" borderId="0"/>
    <xf numFmtId="0" fontId="4" fillId="0" borderId="0"/>
    <xf numFmtId="0" fontId="360" fillId="0" borderId="0"/>
    <xf numFmtId="0" fontId="1" fillId="0" borderId="0"/>
    <xf numFmtId="0" fontId="1" fillId="0" borderId="0"/>
    <xf numFmtId="0" fontId="4" fillId="0" borderId="0"/>
    <xf numFmtId="0" fontId="360" fillId="0" borderId="0"/>
    <xf numFmtId="0" fontId="1" fillId="0" borderId="0"/>
    <xf numFmtId="0" fontId="1" fillId="0" borderId="0"/>
    <xf numFmtId="0" fontId="4" fillId="0" borderId="0"/>
    <xf numFmtId="0" fontId="360" fillId="0" borderId="0"/>
    <xf numFmtId="0" fontId="4" fillId="0" borderId="0"/>
    <xf numFmtId="0" fontId="360" fillId="0" borderId="0"/>
    <xf numFmtId="0" fontId="4" fillId="0" borderId="0"/>
    <xf numFmtId="0" fontId="360"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4" fillId="0" borderId="0"/>
    <xf numFmtId="0" fontId="4" fillId="0" borderId="0"/>
    <xf numFmtId="0" fontId="360" fillId="0" borderId="0"/>
    <xf numFmtId="0" fontId="1" fillId="0" borderId="0"/>
    <xf numFmtId="0" fontId="1" fillId="0" borderId="0"/>
    <xf numFmtId="0" fontId="1" fillId="0" borderId="0"/>
    <xf numFmtId="0" fontId="1" fillId="0" borderId="0"/>
    <xf numFmtId="0" fontId="4" fillId="0" borderId="0"/>
    <xf numFmtId="0" fontId="360" fillId="0" borderId="0"/>
    <xf numFmtId="0" fontId="360" fillId="0" borderId="0"/>
    <xf numFmtId="0" fontId="4" fillId="0" borderId="0"/>
    <xf numFmtId="0" fontId="4" fillId="0" borderId="0"/>
    <xf numFmtId="0" fontId="4" fillId="0" borderId="0"/>
    <xf numFmtId="0" fontId="4" fillId="0" borderId="0"/>
    <xf numFmtId="0" fontId="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 fillId="0" borderId="0"/>
    <xf numFmtId="0" fontId="4" fillId="0" borderId="0"/>
    <xf numFmtId="0" fontId="4" fillId="0" borderId="0"/>
    <xf numFmtId="0" fontId="4" fillId="0" borderId="0"/>
    <xf numFmtId="0" fontId="4" fillId="0" borderId="0"/>
    <xf numFmtId="0" fontId="48" fillId="0" borderId="0"/>
    <xf numFmtId="0" fontId="12" fillId="0" borderId="0"/>
    <xf numFmtId="0" fontId="4" fillId="0" borderId="0"/>
    <xf numFmtId="0" fontId="4" fillId="0" borderId="0"/>
    <xf numFmtId="0" fontId="4" fillId="0" borderId="0"/>
    <xf numFmtId="0" fontId="360" fillId="0" borderId="0"/>
    <xf numFmtId="0" fontId="48" fillId="0" borderId="0"/>
    <xf numFmtId="0" fontId="48" fillId="0" borderId="0"/>
    <xf numFmtId="0" fontId="4" fillId="0" borderId="0"/>
    <xf numFmtId="0" fontId="360" fillId="0" borderId="0"/>
    <xf numFmtId="0" fontId="360" fillId="0" borderId="0"/>
    <xf numFmtId="0" fontId="365" fillId="0" borderId="0"/>
    <xf numFmtId="0" fontId="4" fillId="0" borderId="0"/>
    <xf numFmtId="0" fontId="48" fillId="0" borderId="0"/>
    <xf numFmtId="0" fontId="48" fillId="0" borderId="0"/>
    <xf numFmtId="0" fontId="4" fillId="0" borderId="0"/>
    <xf numFmtId="0" fontId="48" fillId="0" borderId="0"/>
    <xf numFmtId="0" fontId="48" fillId="0" borderId="0"/>
    <xf numFmtId="0" fontId="48" fillId="0" borderId="0"/>
    <xf numFmtId="0" fontId="48" fillId="0" borderId="0"/>
    <xf numFmtId="0" fontId="48" fillId="0" borderId="0"/>
    <xf numFmtId="0" fontId="48" fillId="0" borderId="0"/>
    <xf numFmtId="0" fontId="12" fillId="0" borderId="0"/>
    <xf numFmtId="0" fontId="4" fillId="0" borderId="0"/>
    <xf numFmtId="0" fontId="360" fillId="0" borderId="0"/>
    <xf numFmtId="0" fontId="4" fillId="0" borderId="0"/>
    <xf numFmtId="0" fontId="360" fillId="0" borderId="0"/>
    <xf numFmtId="0" fontId="174" fillId="0" borderId="0"/>
    <xf numFmtId="0" fontId="1" fillId="0" borderId="0"/>
    <xf numFmtId="0" fontId="1" fillId="0" borderId="0"/>
    <xf numFmtId="0" fontId="12" fillId="0" borderId="0"/>
    <xf numFmtId="0" fontId="4" fillId="0" borderId="0"/>
    <xf numFmtId="0" fontId="360" fillId="0" borderId="0"/>
    <xf numFmtId="0" fontId="4" fillId="0" borderId="0"/>
    <xf numFmtId="0" fontId="360" fillId="0" borderId="0"/>
    <xf numFmtId="0" fontId="174" fillId="0" borderId="0"/>
    <xf numFmtId="0" fontId="360" fillId="0" borderId="0"/>
    <xf numFmtId="0" fontId="360"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360"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48" fillId="0" borderId="0"/>
    <xf numFmtId="0" fontId="4" fillId="0" borderId="0"/>
    <xf numFmtId="0" fontId="225" fillId="0" borderId="0"/>
    <xf numFmtId="0" fontId="1" fillId="0" borderId="0"/>
    <xf numFmtId="0" fontId="48" fillId="0" borderId="0"/>
    <xf numFmtId="0" fontId="48" fillId="0" borderId="0"/>
    <xf numFmtId="0" fontId="48" fillId="0" borderId="0"/>
    <xf numFmtId="0" fontId="1" fillId="0" borderId="0"/>
    <xf numFmtId="0" fontId="48" fillId="0" borderId="0"/>
    <xf numFmtId="0" fontId="48" fillId="0" borderId="0"/>
    <xf numFmtId="0" fontId="1" fillId="0" borderId="0"/>
    <xf numFmtId="0" fontId="48" fillId="0" borderId="0"/>
    <xf numFmtId="0" fontId="1" fillId="0" borderId="0"/>
    <xf numFmtId="0" fontId="48" fillId="0" borderId="0"/>
    <xf numFmtId="0" fontId="48" fillId="0" borderId="0"/>
    <xf numFmtId="0" fontId="1" fillId="0" borderId="0"/>
    <xf numFmtId="0" fontId="1" fillId="0" borderId="0"/>
    <xf numFmtId="0" fontId="1"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1" fillId="0" borderId="0"/>
    <xf numFmtId="0" fontId="4" fillId="0" borderId="0"/>
    <xf numFmtId="0" fontId="360"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xf numFmtId="0" fontId="48" fillId="0" borderId="0"/>
    <xf numFmtId="0" fontId="4" fillId="0" borderId="0"/>
    <xf numFmtId="0" fontId="1" fillId="0" borderId="0"/>
    <xf numFmtId="0" fontId="1" fillId="0" borderId="0"/>
    <xf numFmtId="0" fontId="4" fillId="0" borderId="0"/>
    <xf numFmtId="0" fontId="48" fillId="0" borderId="0"/>
    <xf numFmtId="0" fontId="4" fillId="0" borderId="0"/>
    <xf numFmtId="0" fontId="48" fillId="0" borderId="0"/>
    <xf numFmtId="0" fontId="48" fillId="0" borderId="0"/>
    <xf numFmtId="0" fontId="4" fillId="0" borderId="0"/>
    <xf numFmtId="0" fontId="1" fillId="0" borderId="0"/>
    <xf numFmtId="0" fontId="48" fillId="0" borderId="0"/>
    <xf numFmtId="0" fontId="1" fillId="0" borderId="0"/>
    <xf numFmtId="0" fontId="360" fillId="0" borderId="0"/>
    <xf numFmtId="0" fontId="1" fillId="0" borderId="0"/>
    <xf numFmtId="0" fontId="48" fillId="0" borderId="0"/>
    <xf numFmtId="0" fontId="48" fillId="0" borderId="0"/>
    <xf numFmtId="0" fontId="1" fillId="0" borderId="0"/>
    <xf numFmtId="0" fontId="36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197" fontId="4" fillId="0" borderId="0"/>
    <xf numFmtId="0" fontId="48" fillId="0" borderId="0"/>
    <xf numFmtId="0" fontId="48" fillId="0" borderId="0"/>
    <xf numFmtId="0" fontId="12" fillId="0" borderId="0"/>
    <xf numFmtId="0" fontId="36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360" fillId="0" borderId="0"/>
    <xf numFmtId="0" fontId="1" fillId="0" borderId="0"/>
    <xf numFmtId="0" fontId="1" fillId="0" borderId="0"/>
    <xf numFmtId="0" fontId="1" fillId="0" borderId="0"/>
    <xf numFmtId="0" fontId="4" fillId="0" borderId="0"/>
    <xf numFmtId="0" fontId="1" fillId="0" borderId="0"/>
    <xf numFmtId="0" fontId="4" fillId="0" borderId="0"/>
    <xf numFmtId="0" fontId="1" fillId="0" borderId="0"/>
    <xf numFmtId="0" fontId="1" fillId="0" borderId="0"/>
    <xf numFmtId="0" fontId="1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xf numFmtId="0" fontId="1" fillId="0" borderId="0"/>
    <xf numFmtId="0" fontId="1" fillId="0" borderId="0"/>
    <xf numFmtId="0" fontId="48" fillId="0" borderId="0"/>
    <xf numFmtId="0" fontId="1" fillId="0" borderId="0"/>
    <xf numFmtId="0" fontId="11" fillId="0" borderId="0"/>
    <xf numFmtId="0" fontId="36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360" fillId="0" borderId="0"/>
    <xf numFmtId="0" fontId="1" fillId="0" borderId="0"/>
    <xf numFmtId="0" fontId="1" fillId="0" borderId="0"/>
    <xf numFmtId="0" fontId="1" fillId="0" borderId="0"/>
    <xf numFmtId="0" fontId="1" fillId="0" borderId="0"/>
    <xf numFmtId="0" fontId="1" fillId="0" borderId="0"/>
    <xf numFmtId="0" fontId="360" fillId="0" borderId="0"/>
    <xf numFmtId="0" fontId="4" fillId="0" borderId="0"/>
    <xf numFmtId="0" fontId="360" fillId="0" borderId="0"/>
    <xf numFmtId="0" fontId="12" fillId="0" borderId="0"/>
    <xf numFmtId="0" fontId="1" fillId="0" borderId="0"/>
    <xf numFmtId="0" fontId="48" fillId="0" borderId="0"/>
    <xf numFmtId="0" fontId="11"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361" fillId="0" borderId="0"/>
    <xf numFmtId="0" fontId="361"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4" fillId="0" borderId="0"/>
    <xf numFmtId="0" fontId="4" fillId="0" borderId="0"/>
    <xf numFmtId="0" fontId="48" fillId="0" borderId="0"/>
    <xf numFmtId="0" fontId="361" fillId="0" borderId="0"/>
    <xf numFmtId="0" fontId="361" fillId="0" borderId="0"/>
    <xf numFmtId="0" fontId="361" fillId="0" borderId="0"/>
    <xf numFmtId="0" fontId="361" fillId="0" borderId="0"/>
    <xf numFmtId="0" fontId="361" fillId="0" borderId="0"/>
    <xf numFmtId="0" fontId="1" fillId="0" borderId="0"/>
    <xf numFmtId="0" fontId="361" fillId="0" borderId="0"/>
    <xf numFmtId="0" fontId="4" fillId="0" borderId="0"/>
    <xf numFmtId="0" fontId="1" fillId="0" borderId="0"/>
    <xf numFmtId="0" fontId="1" fillId="0" borderId="0"/>
    <xf numFmtId="0" fontId="1" fillId="0" borderId="0"/>
    <xf numFmtId="0" fontId="4" fillId="0" borderId="0"/>
    <xf numFmtId="0" fontId="361" fillId="0" borderId="0"/>
    <xf numFmtId="0" fontId="361" fillId="0" borderId="0"/>
    <xf numFmtId="0" fontId="361" fillId="0" borderId="0"/>
    <xf numFmtId="0" fontId="361" fillId="0" borderId="0"/>
    <xf numFmtId="0" fontId="361" fillId="0" borderId="0"/>
    <xf numFmtId="0" fontId="361" fillId="0" borderId="0"/>
    <xf numFmtId="0" fontId="37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360" fillId="0" borderId="0"/>
    <xf numFmtId="0" fontId="1" fillId="0" borderId="0"/>
    <xf numFmtId="0" fontId="48" fillId="0" borderId="0"/>
    <xf numFmtId="0" fontId="48" fillId="0" borderId="0"/>
    <xf numFmtId="0" fontId="4" fillId="0" borderId="0"/>
    <xf numFmtId="0" fontId="11" fillId="0" borderId="0"/>
    <xf numFmtId="0" fontId="371" fillId="0" borderId="0">
      <alignment vertical="center"/>
    </xf>
    <xf numFmtId="0" fontId="4" fillId="0" borderId="0"/>
    <xf numFmtId="0" fontId="4" fillId="0" borderId="0"/>
    <xf numFmtId="0" fontId="4" fillId="0" borderId="0"/>
    <xf numFmtId="0" fontId="4" fillId="0" borderId="0"/>
    <xf numFmtId="0" fontId="4" fillId="0" borderId="0"/>
    <xf numFmtId="0" fontId="1" fillId="0" borderId="0"/>
    <xf numFmtId="0" fontId="360" fillId="0" borderId="0"/>
    <xf numFmtId="0" fontId="361" fillId="0" borderId="0"/>
    <xf numFmtId="0" fontId="361" fillId="0" borderId="0"/>
    <xf numFmtId="0" fontId="4" fillId="0" borderId="0"/>
    <xf numFmtId="0" fontId="4" fillId="0" borderId="0"/>
    <xf numFmtId="0" fontId="1" fillId="0" borderId="0"/>
    <xf numFmtId="0" fontId="1"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361" fillId="0" borderId="0"/>
    <xf numFmtId="0" fontId="1" fillId="0" borderId="0"/>
    <xf numFmtId="0" fontId="361" fillId="0" borderId="0"/>
    <xf numFmtId="0" fontId="361" fillId="0" borderId="0"/>
    <xf numFmtId="0" fontId="361" fillId="0" borderId="0"/>
    <xf numFmtId="0" fontId="361" fillId="0" borderId="0"/>
    <xf numFmtId="0" fontId="1" fillId="0" borderId="0"/>
    <xf numFmtId="0" fontId="1" fillId="0" borderId="0"/>
    <xf numFmtId="0" fontId="361" fillId="0" borderId="0"/>
    <xf numFmtId="0" fontId="4" fillId="0" borderId="0"/>
    <xf numFmtId="0" fontId="1" fillId="0" borderId="0"/>
    <xf numFmtId="0" fontId="1" fillId="0" borderId="0"/>
    <xf numFmtId="0" fontId="1" fillId="0" borderId="0"/>
    <xf numFmtId="0" fontId="4" fillId="0" borderId="0"/>
    <xf numFmtId="0" fontId="361" fillId="0" borderId="0"/>
    <xf numFmtId="0" fontId="361" fillId="0" borderId="0"/>
    <xf numFmtId="0" fontId="361" fillId="0" borderId="0"/>
    <xf numFmtId="0" fontId="361" fillId="0" borderId="0"/>
    <xf numFmtId="0" fontId="361" fillId="0" borderId="0"/>
    <xf numFmtId="0" fontId="361" fillId="0" borderId="0"/>
    <xf numFmtId="0" fontId="1" fillId="0" borderId="0"/>
    <xf numFmtId="0" fontId="4" fillId="0" borderId="0"/>
    <xf numFmtId="0" fontId="4" fillId="0" borderId="0"/>
    <xf numFmtId="0" fontId="360" fillId="0" borderId="0"/>
    <xf numFmtId="0" fontId="48" fillId="0" borderId="0"/>
    <xf numFmtId="0" fontId="48" fillId="0" borderId="0"/>
    <xf numFmtId="0" fontId="4" fillId="0" borderId="0"/>
    <xf numFmtId="0" fontId="4" fillId="0" borderId="0"/>
    <xf numFmtId="0" fontId="4" fillId="0" borderId="0"/>
    <xf numFmtId="0" fontId="371" fillId="0" borderId="0">
      <alignment vertical="center"/>
    </xf>
    <xf numFmtId="0" fontId="4" fillId="0" borderId="0"/>
    <xf numFmtId="0" fontId="4" fillId="0" borderId="0"/>
    <xf numFmtId="0" fontId="4" fillId="0" borderId="0"/>
    <xf numFmtId="0" fontId="4" fillId="0" borderId="0"/>
    <xf numFmtId="0" fontId="1" fillId="0" borderId="0"/>
    <xf numFmtId="0" fontId="360" fillId="0" borderId="0"/>
    <xf numFmtId="0" fontId="361" fillId="0" borderId="0"/>
    <xf numFmtId="0" fontId="361" fillId="0" borderId="0"/>
    <xf numFmtId="0" fontId="1" fillId="0" borderId="0"/>
    <xf numFmtId="0" fontId="1" fillId="0" borderId="0"/>
    <xf numFmtId="0" fontId="4" fillId="0" borderId="0"/>
    <xf numFmtId="0" fontId="4" fillId="0" borderId="0"/>
    <xf numFmtId="0" fontId="1" fillId="0" borderId="0"/>
    <xf numFmtId="0" fontId="1" fillId="0" borderId="0"/>
    <xf numFmtId="0" fontId="4" fillId="0" borderId="0"/>
    <xf numFmtId="0" fontId="4" fillId="0" borderId="0"/>
    <xf numFmtId="0" fontId="4" fillId="0" borderId="0"/>
    <xf numFmtId="0" fontId="361" fillId="0" borderId="0"/>
    <xf numFmtId="0" fontId="361" fillId="0" borderId="0"/>
    <xf numFmtId="0" fontId="361" fillId="0" borderId="0"/>
    <xf numFmtId="0" fontId="361" fillId="0" borderId="0"/>
    <xf numFmtId="0" fontId="1" fillId="0" borderId="0"/>
    <xf numFmtId="0" fontId="1" fillId="0" borderId="0"/>
    <xf numFmtId="0" fontId="361" fillId="0" borderId="0"/>
    <xf numFmtId="0" fontId="4" fillId="0" borderId="0"/>
    <xf numFmtId="0" fontId="1" fillId="0" borderId="0"/>
    <xf numFmtId="0" fontId="1" fillId="0" borderId="0"/>
    <xf numFmtId="0" fontId="1" fillId="0" borderId="0"/>
    <xf numFmtId="0" fontId="4" fillId="0" borderId="0"/>
    <xf numFmtId="0" fontId="361" fillId="0" borderId="0"/>
    <xf numFmtId="0" fontId="361" fillId="0" borderId="0"/>
    <xf numFmtId="0" fontId="361" fillId="0" borderId="0"/>
    <xf numFmtId="0" fontId="361" fillId="0" borderId="0"/>
    <xf numFmtId="0" fontId="361" fillId="0" borderId="0"/>
    <xf numFmtId="0" fontId="361" fillId="0" borderId="0"/>
    <xf numFmtId="0" fontId="1" fillId="0" borderId="0"/>
    <xf numFmtId="0" fontId="48" fillId="0" borderId="0"/>
    <xf numFmtId="0" fontId="4" fillId="0" borderId="0"/>
    <xf numFmtId="0" fontId="360" fillId="0" borderId="0"/>
    <xf numFmtId="0" fontId="1" fillId="0" borderId="0"/>
    <xf numFmtId="0" fontId="48" fillId="0" borderId="0"/>
    <xf numFmtId="0" fontId="48" fillId="0" borderId="0"/>
    <xf numFmtId="0" fontId="4" fillId="0" borderId="0"/>
    <xf numFmtId="0" fontId="11" fillId="0" borderId="0"/>
    <xf numFmtId="0" fontId="371" fillId="0" borderId="0">
      <alignment vertical="center"/>
    </xf>
    <xf numFmtId="0" fontId="4" fillId="0" borderId="0"/>
    <xf numFmtId="0" fontId="4" fillId="0" borderId="0"/>
    <xf numFmtId="0" fontId="1" fillId="0" borderId="0"/>
    <xf numFmtId="0" fontId="4" fillId="0" borderId="0"/>
    <xf numFmtId="0" fontId="174" fillId="0" borderId="0"/>
    <xf numFmtId="0" fontId="1" fillId="0" borderId="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74"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4" fillId="0" borderId="0"/>
    <xf numFmtId="0" fontId="36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48" fillId="0" borderId="0"/>
    <xf numFmtId="0" fontId="1" fillId="0" borderId="0"/>
    <xf numFmtId="0" fontId="11" fillId="0" borderId="0"/>
    <xf numFmtId="0" fontId="371"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361" fillId="0" borderId="0"/>
    <xf numFmtId="0" fontId="361" fillId="0" borderId="0"/>
    <xf numFmtId="0" fontId="360" fillId="0" borderId="0"/>
    <xf numFmtId="0" fontId="1" fillId="0" borderId="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1" fillId="0" borderId="0"/>
    <xf numFmtId="0" fontId="1" fillId="0" borderId="0"/>
    <xf numFmtId="0" fontId="361" fillId="0" borderId="0"/>
    <xf numFmtId="0" fontId="1" fillId="0" borderId="0"/>
    <xf numFmtId="0" fontId="361" fillId="0" borderId="0"/>
    <xf numFmtId="0" fontId="361" fillId="0" borderId="0"/>
    <xf numFmtId="0" fontId="361" fillId="0" borderId="0"/>
    <xf numFmtId="0" fontId="11" fillId="0" borderId="0"/>
    <xf numFmtId="0" fontId="4" fillId="0" borderId="0"/>
    <xf numFmtId="0" fontId="4" fillId="0" borderId="0" applyNumberFormat="0" applyFont="0" applyFill="0" applyBorder="0" applyAlignment="0" applyProtection="0">
      <alignment vertical="top"/>
    </xf>
    <xf numFmtId="0" fontId="36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applyNumberFormat="0" applyFont="0" applyFill="0" applyBorder="0" applyAlignment="0" applyProtection="0">
      <alignment vertical="top"/>
    </xf>
    <xf numFmtId="0" fontId="4" fillId="0" borderId="0" applyNumberFormat="0" applyFont="0" applyFill="0" applyBorder="0" applyAlignment="0" applyProtection="0">
      <alignment vertical="top"/>
    </xf>
    <xf numFmtId="0" fontId="4" fillId="0" borderId="0" applyNumberFormat="0" applyFont="0" applyFill="0" applyBorder="0" applyAlignment="0" applyProtection="0">
      <alignment vertical="top"/>
    </xf>
    <xf numFmtId="0" fontId="4" fillId="0" borderId="0" applyNumberFormat="0" applyFont="0" applyFill="0" applyBorder="0" applyAlignment="0" applyProtection="0">
      <alignment vertical="top"/>
    </xf>
    <xf numFmtId="0" fontId="4" fillId="0" borderId="0" applyNumberFormat="0" applyFont="0" applyFill="0" applyBorder="0" applyAlignment="0" applyProtection="0">
      <alignment vertical="top"/>
    </xf>
    <xf numFmtId="0" fontId="36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11" fillId="0" borderId="0"/>
    <xf numFmtId="0" fontId="4" fillId="0" borderId="0"/>
    <xf numFmtId="0" fontId="1" fillId="0" borderId="0"/>
    <xf numFmtId="0" fontId="4"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1" fillId="0" borderId="0"/>
    <xf numFmtId="0" fontId="11" fillId="0" borderId="0"/>
    <xf numFmtId="0" fontId="4"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360" fillId="0" borderId="0"/>
    <xf numFmtId="0" fontId="4" fillId="0" borderId="0"/>
    <xf numFmtId="0" fontId="360" fillId="0" borderId="0"/>
    <xf numFmtId="0" fontId="360" fillId="0" borderId="0"/>
    <xf numFmtId="0" fontId="1" fillId="0" borderId="0"/>
    <xf numFmtId="0" fontId="1" fillId="0" borderId="0"/>
    <xf numFmtId="0" fontId="4" fillId="0" borderId="0"/>
    <xf numFmtId="0" fontId="4" fillId="0" borderId="0"/>
    <xf numFmtId="0" fontId="360" fillId="0" borderId="0"/>
    <xf numFmtId="0" fontId="4" fillId="0" borderId="0"/>
    <xf numFmtId="0" fontId="360" fillId="0" borderId="0"/>
    <xf numFmtId="0" fontId="360" fillId="0" borderId="0"/>
    <xf numFmtId="0" fontId="1" fillId="0" borderId="0"/>
    <xf numFmtId="0" fontId="1" fillId="0" borderId="0"/>
    <xf numFmtId="0" fontId="4" fillId="0" borderId="0"/>
    <xf numFmtId="0" fontId="4" fillId="0" borderId="0"/>
    <xf numFmtId="0" fontId="360" fillId="0" borderId="0"/>
    <xf numFmtId="0" fontId="11" fillId="0" borderId="0"/>
    <xf numFmtId="0" fontId="11" fillId="0" borderId="0"/>
    <xf numFmtId="0" fontId="4" fillId="0" borderId="0"/>
    <xf numFmtId="0" fontId="360" fillId="0" borderId="0"/>
    <xf numFmtId="0" fontId="360" fillId="0" borderId="0"/>
    <xf numFmtId="0" fontId="1" fillId="0" borderId="0"/>
    <xf numFmtId="0" fontId="1" fillId="0" borderId="0"/>
    <xf numFmtId="0" fontId="1" fillId="0" borderId="0"/>
    <xf numFmtId="0" fontId="4" fillId="0" borderId="0"/>
    <xf numFmtId="0" fontId="360" fillId="0" borderId="0"/>
    <xf numFmtId="0" fontId="4" fillId="0" borderId="0"/>
    <xf numFmtId="0" fontId="360" fillId="0" borderId="0"/>
    <xf numFmtId="0" fontId="174" fillId="0" borderId="0"/>
    <xf numFmtId="0" fontId="11" fillId="0" borderId="0"/>
    <xf numFmtId="0" fontId="11" fillId="0" borderId="0"/>
    <xf numFmtId="0" fontId="4" fillId="0" borderId="0"/>
    <xf numFmtId="0" fontId="4" fillId="0" borderId="0"/>
    <xf numFmtId="0" fontId="4" fillId="0" borderId="0"/>
    <xf numFmtId="0" fontId="4" fillId="0" borderId="0"/>
    <xf numFmtId="0" fontId="4" fillId="0" borderId="0"/>
    <xf numFmtId="0" fontId="360" fillId="0" borderId="0"/>
    <xf numFmtId="0" fontId="4" fillId="0" borderId="0"/>
    <xf numFmtId="0" fontId="360" fillId="0" borderId="0"/>
    <xf numFmtId="0" fontId="1" fillId="0" borderId="0"/>
    <xf numFmtId="0" fontId="360" fillId="0" borderId="0"/>
    <xf numFmtId="0" fontId="1" fillId="0" borderId="0"/>
    <xf numFmtId="0" fontId="174"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 fillId="0" borderId="0"/>
    <xf numFmtId="0" fontId="4" fillId="0" borderId="0"/>
    <xf numFmtId="0" fontId="48" fillId="0" borderId="0"/>
    <xf numFmtId="0" fontId="4" fillId="0" borderId="0"/>
    <xf numFmtId="0" fontId="4" fillId="0" borderId="0"/>
    <xf numFmtId="0" fontId="48" fillId="0" borderId="0"/>
    <xf numFmtId="0" fontId="48"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8" fillId="0" borderId="0"/>
    <xf numFmtId="0" fontId="4" fillId="0" borderId="0"/>
    <xf numFmtId="0" fontId="1" fillId="0" borderId="0"/>
    <xf numFmtId="0" fontId="1" fillId="0" borderId="0"/>
    <xf numFmtId="0" fontId="1" fillId="0" borderId="0"/>
    <xf numFmtId="0" fontId="48" fillId="0" borderId="0"/>
    <xf numFmtId="0" fontId="48"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48" fillId="0" borderId="0"/>
    <xf numFmtId="0" fontId="4" fillId="0" borderId="0"/>
    <xf numFmtId="0" fontId="1" fillId="0" borderId="0"/>
    <xf numFmtId="0" fontId="4"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8"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1" fillId="0" borderId="0"/>
    <xf numFmtId="0" fontId="1" fillId="0" borderId="0"/>
    <xf numFmtId="0" fontId="1" fillId="0" borderId="0"/>
    <xf numFmtId="0" fontId="11" fillId="0" borderId="0"/>
    <xf numFmtId="0" fontId="12" fillId="0" borderId="0"/>
    <xf numFmtId="0" fontId="4" fillId="0" borderId="0"/>
    <xf numFmtId="0" fontId="4" fillId="0" borderId="0"/>
    <xf numFmtId="0" fontId="48"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 fillId="0" borderId="0"/>
    <xf numFmtId="0" fontId="4" fillId="0" borderId="0"/>
    <xf numFmtId="0" fontId="360" fillId="0" borderId="0"/>
    <xf numFmtId="0" fontId="4" fillId="0" borderId="0"/>
    <xf numFmtId="0" fontId="360" fillId="0" borderId="0"/>
    <xf numFmtId="0" fontId="174" fillId="0" borderId="0"/>
    <xf numFmtId="0" fontId="4" fillId="0" borderId="0"/>
    <xf numFmtId="0" fontId="4" fillId="0" borderId="0"/>
    <xf numFmtId="0" fontId="1" fillId="0" borderId="0"/>
    <xf numFmtId="0" fontId="174" fillId="0" borderId="0"/>
    <xf numFmtId="0" fontId="4" fillId="0" borderId="0"/>
    <xf numFmtId="0" fontId="4" fillId="0" borderId="0"/>
    <xf numFmtId="0" fontId="1" fillId="0" borderId="0"/>
    <xf numFmtId="0" fontId="174" fillId="0" borderId="0"/>
    <xf numFmtId="0" fontId="4" fillId="0" borderId="0"/>
    <xf numFmtId="0" fontId="4" fillId="0" borderId="0"/>
    <xf numFmtId="0" fontId="1" fillId="0" borderId="0"/>
    <xf numFmtId="0" fontId="174" fillId="0" borderId="0"/>
    <xf numFmtId="0" fontId="4" fillId="0" borderId="0"/>
    <xf numFmtId="0" fontId="4" fillId="0" borderId="0"/>
    <xf numFmtId="0" fontId="4" fillId="0" borderId="0"/>
    <xf numFmtId="0" fontId="360" fillId="0" borderId="0"/>
    <xf numFmtId="0" fontId="4" fillId="0" borderId="0"/>
    <xf numFmtId="0" fontId="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 fillId="0" borderId="0"/>
    <xf numFmtId="0" fontId="48" fillId="0" borderId="0"/>
    <xf numFmtId="0" fontId="48" fillId="0" borderId="0"/>
    <xf numFmtId="0" fontId="4" fillId="0" borderId="0"/>
    <xf numFmtId="0" fontId="4" fillId="0" borderId="0"/>
    <xf numFmtId="0" fontId="1" fillId="0" borderId="0"/>
    <xf numFmtId="0" fontId="174" fillId="0" borderId="0"/>
    <xf numFmtId="0" fontId="4" fillId="0" borderId="0"/>
    <xf numFmtId="0" fontId="4" fillId="0" borderId="0"/>
    <xf numFmtId="0" fontId="1" fillId="0" borderId="0"/>
    <xf numFmtId="0" fontId="174" fillId="0" borderId="0"/>
    <xf numFmtId="0" fontId="4" fillId="0" borderId="0"/>
    <xf numFmtId="0" fontId="4" fillId="0" borderId="0"/>
    <xf numFmtId="0" fontId="1" fillId="0" borderId="0"/>
    <xf numFmtId="0" fontId="174" fillId="0" borderId="0"/>
    <xf numFmtId="0" fontId="4" fillId="0" borderId="0"/>
    <xf numFmtId="0" fontId="4" fillId="0" borderId="0"/>
    <xf numFmtId="0" fontId="1" fillId="0" borderId="0"/>
    <xf numFmtId="0" fontId="174" fillId="0" borderId="0"/>
    <xf numFmtId="0" fontId="4" fillId="0" borderId="0"/>
    <xf numFmtId="0" fontId="4" fillId="0" borderId="0"/>
    <xf numFmtId="0" fontId="1" fillId="0" borderId="0"/>
    <xf numFmtId="0" fontId="174" fillId="0" borderId="0"/>
    <xf numFmtId="0" fontId="4" fillId="0" borderId="0"/>
    <xf numFmtId="0" fontId="4" fillId="0" borderId="0"/>
    <xf numFmtId="0" fontId="1" fillId="0" borderId="0"/>
    <xf numFmtId="0" fontId="174" fillId="0" borderId="0"/>
    <xf numFmtId="0" fontId="4" fillId="0" borderId="0"/>
    <xf numFmtId="0" fontId="4"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4" fillId="0" borderId="0"/>
    <xf numFmtId="0" fontId="4" fillId="0" borderId="0"/>
    <xf numFmtId="0" fontId="1" fillId="0" borderId="0"/>
    <xf numFmtId="0" fontId="4" fillId="0" borderId="0"/>
    <xf numFmtId="0" fontId="1" fillId="0" borderId="0"/>
    <xf numFmtId="0" fontId="372" fillId="0" borderId="0"/>
    <xf numFmtId="0" fontId="11" fillId="0" borderId="0"/>
    <xf numFmtId="0" fontId="11" fillId="0" borderId="0"/>
    <xf numFmtId="0" fontId="307" fillId="0" borderId="0"/>
    <xf numFmtId="0" fontId="307" fillId="0" borderId="0"/>
    <xf numFmtId="0" fontId="307" fillId="0" borderId="0"/>
    <xf numFmtId="0" fontId="307" fillId="0" borderId="0"/>
    <xf numFmtId="0" fontId="307" fillId="0" borderId="0"/>
    <xf numFmtId="0" fontId="4" fillId="0" borderId="0"/>
    <xf numFmtId="0" fontId="1" fillId="0" borderId="0"/>
    <xf numFmtId="0" fontId="11" fillId="0" borderId="0"/>
    <xf numFmtId="0" fontId="11" fillId="0" borderId="0"/>
    <xf numFmtId="0" fontId="1" fillId="0" borderId="0"/>
    <xf numFmtId="0" fontId="4" fillId="0" borderId="0"/>
    <xf numFmtId="0" fontId="1" fillId="0" borderId="0"/>
    <xf numFmtId="0" fontId="1" fillId="0" borderId="0"/>
    <xf numFmtId="0" fontId="4" fillId="0" borderId="0"/>
    <xf numFmtId="0" fontId="4" fillId="0" borderId="0"/>
    <xf numFmtId="0" fontId="4" fillId="0" borderId="0"/>
    <xf numFmtId="0" fontId="4" fillId="0" borderId="0"/>
    <xf numFmtId="0" fontId="11" fillId="0" borderId="0"/>
    <xf numFmtId="0" fontId="11"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4" fillId="0" borderId="0"/>
    <xf numFmtId="0" fontId="4" fillId="0" borderId="0"/>
    <xf numFmtId="0" fontId="360" fillId="0" borderId="0"/>
    <xf numFmtId="0" fontId="4" fillId="0" borderId="0"/>
    <xf numFmtId="0" fontId="360" fillId="0" borderId="0"/>
    <xf numFmtId="0" fontId="360" fillId="0" borderId="0"/>
    <xf numFmtId="0" fontId="360" fillId="0" borderId="0"/>
    <xf numFmtId="0" fontId="4" fillId="0" borderId="0"/>
    <xf numFmtId="0" fontId="4" fillId="0" borderId="0"/>
    <xf numFmtId="0" fontId="4" fillId="0" borderId="0"/>
    <xf numFmtId="0" fontId="4" fillId="0" borderId="0"/>
    <xf numFmtId="0" fontId="1"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1" fillId="0" borderId="0"/>
    <xf numFmtId="0" fontId="4" fillId="0" borderId="0"/>
    <xf numFmtId="0" fontId="1" fillId="0" borderId="0"/>
    <xf numFmtId="0" fontId="1" fillId="0" borderId="0"/>
    <xf numFmtId="0" fontId="1" fillId="0" borderId="0"/>
    <xf numFmtId="0" fontId="182" fillId="0" borderId="0">
      <protection locked="0"/>
    </xf>
    <xf numFmtId="0" fontId="1" fillId="0" borderId="0"/>
    <xf numFmtId="0" fontId="4"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4"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1"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 fillId="0" borderId="0"/>
    <xf numFmtId="0" fontId="12" fillId="0" borderId="0"/>
    <xf numFmtId="0" fontId="12" fillId="0" borderId="0"/>
    <xf numFmtId="0" fontId="1" fillId="0" borderId="0"/>
    <xf numFmtId="0" fontId="4" fillId="0" borderId="0"/>
    <xf numFmtId="0" fontId="48" fillId="0" borderId="0"/>
    <xf numFmtId="0" fontId="4"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12" fillId="0" borderId="0"/>
    <xf numFmtId="0" fontId="1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4" fillId="0" borderId="0"/>
    <xf numFmtId="0" fontId="4" fillId="0" borderId="0"/>
    <xf numFmtId="0" fontId="4" fillId="0" borderId="0"/>
    <xf numFmtId="0" fontId="1" fillId="0" borderId="0"/>
    <xf numFmtId="0" fontId="11" fillId="0" borderId="0"/>
    <xf numFmtId="0" fontId="4" fillId="0" borderId="0"/>
    <xf numFmtId="0" fontId="1" fillId="0" borderId="0"/>
    <xf numFmtId="0" fontId="4" fillId="0" borderId="0"/>
    <xf numFmtId="0" fontId="4"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4" fillId="0" borderId="0"/>
    <xf numFmtId="0" fontId="1" fillId="0" borderId="0"/>
    <xf numFmtId="0" fontId="4" fillId="0" borderId="0"/>
    <xf numFmtId="0" fontId="371" fillId="0" borderId="0">
      <alignment vertical="center"/>
    </xf>
    <xf numFmtId="0" fontId="4" fillId="0" borderId="0"/>
    <xf numFmtId="0" fontId="4" fillId="0" borderId="0"/>
    <xf numFmtId="0" fontId="1" fillId="0" borderId="0"/>
    <xf numFmtId="0" fontId="4" fillId="0" borderId="0"/>
    <xf numFmtId="0" fontId="361" fillId="0" borderId="0"/>
    <xf numFmtId="0" fontId="361" fillId="0" borderId="0"/>
    <xf numFmtId="0" fontId="1" fillId="0" borderId="0"/>
    <xf numFmtId="0" fontId="4" fillId="0" borderId="0"/>
    <xf numFmtId="0" fontId="4" fillId="0" borderId="0"/>
    <xf numFmtId="0" fontId="4" fillId="0" borderId="0"/>
    <xf numFmtId="0" fontId="1" fillId="0" borderId="0"/>
    <xf numFmtId="0" fontId="1" fillId="0" borderId="0"/>
    <xf numFmtId="0" fontId="4" fillId="0" borderId="0"/>
    <xf numFmtId="0" fontId="361" fillId="0" borderId="0"/>
    <xf numFmtId="0" fontId="361" fillId="0" borderId="0"/>
    <xf numFmtId="0" fontId="361" fillId="0" borderId="0"/>
    <xf numFmtId="0" fontId="361" fillId="0" borderId="0"/>
    <xf numFmtId="0" fontId="361" fillId="0" borderId="0"/>
    <xf numFmtId="0" fontId="361"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48" fillId="0" borderId="0"/>
    <xf numFmtId="0" fontId="11" fillId="0" borderId="0"/>
    <xf numFmtId="0" fontId="371" fillId="0" borderId="0">
      <alignment vertical="center"/>
    </xf>
    <xf numFmtId="0" fontId="4" fillId="0" borderId="0"/>
    <xf numFmtId="0" fontId="4" fillId="0" borderId="0"/>
    <xf numFmtId="0" fontId="1" fillId="0" borderId="0"/>
    <xf numFmtId="0" fontId="4" fillId="0" borderId="0"/>
    <xf numFmtId="0" fontId="361" fillId="0" borderId="0"/>
    <xf numFmtId="0" fontId="361" fillId="0" borderId="0"/>
    <xf numFmtId="0" fontId="1" fillId="0" borderId="0"/>
    <xf numFmtId="0" fontId="4" fillId="0" borderId="0"/>
    <xf numFmtId="0" fontId="4" fillId="0" borderId="0"/>
    <xf numFmtId="0" fontId="4" fillId="0" borderId="0"/>
    <xf numFmtId="0" fontId="1" fillId="0" borderId="0"/>
    <xf numFmtId="0" fontId="1" fillId="0" borderId="0"/>
    <xf numFmtId="0" fontId="4" fillId="0" borderId="0"/>
    <xf numFmtId="0" fontId="361" fillId="0" borderId="0"/>
    <xf numFmtId="0" fontId="361" fillId="0" borderId="0"/>
    <xf numFmtId="0" fontId="361" fillId="0" borderId="0"/>
    <xf numFmtId="0" fontId="361" fillId="0" borderId="0"/>
    <xf numFmtId="0" fontId="361" fillId="0" borderId="0"/>
    <xf numFmtId="0" fontId="361" fillId="0" borderId="0"/>
    <xf numFmtId="0" fontId="1" fillId="0" borderId="0"/>
    <xf numFmtId="0" fontId="1" fillId="0" borderId="0"/>
    <xf numFmtId="0" fontId="4"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48" fillId="0" borderId="0"/>
    <xf numFmtId="0" fontId="11" fillId="0" borderId="0"/>
    <xf numFmtId="0" fontId="371" fillId="0" borderId="0">
      <alignment vertical="center"/>
    </xf>
    <xf numFmtId="0" fontId="4" fillId="0" borderId="0"/>
    <xf numFmtId="0" fontId="4" fillId="0" borderId="0"/>
    <xf numFmtId="0" fontId="1" fillId="0" borderId="0"/>
    <xf numFmtId="0" fontId="4" fillId="0" borderId="0"/>
    <xf numFmtId="0" fontId="361" fillId="0" borderId="0"/>
    <xf numFmtId="0" fontId="361" fillId="0" borderId="0"/>
    <xf numFmtId="0" fontId="1" fillId="0" borderId="0"/>
    <xf numFmtId="0" fontId="4" fillId="0" borderId="0"/>
    <xf numFmtId="0" fontId="4" fillId="0" borderId="0"/>
    <xf numFmtId="0" fontId="4" fillId="0" borderId="0"/>
    <xf numFmtId="0" fontId="1" fillId="0" borderId="0"/>
    <xf numFmtId="0" fontId="1" fillId="0" borderId="0"/>
    <xf numFmtId="0" fontId="4" fillId="0" borderId="0"/>
    <xf numFmtId="0" fontId="361" fillId="0" borderId="0"/>
    <xf numFmtId="0" fontId="361" fillId="0" borderId="0"/>
    <xf numFmtId="0" fontId="361" fillId="0" borderId="0"/>
    <xf numFmtId="0" fontId="361" fillId="0" borderId="0"/>
    <xf numFmtId="0" fontId="361" fillId="0" borderId="0"/>
    <xf numFmtId="0" fontId="361" fillId="0" borderId="0"/>
    <xf numFmtId="0" fontId="1" fillId="0" borderId="0"/>
    <xf numFmtId="0" fontId="1" fillId="0" borderId="0"/>
    <xf numFmtId="0" fontId="4"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48" fillId="0" borderId="0"/>
    <xf numFmtId="0" fontId="11" fillId="0" borderId="0"/>
    <xf numFmtId="0" fontId="371" fillId="0" borderId="0">
      <alignment vertical="center"/>
    </xf>
    <xf numFmtId="0" fontId="4" fillId="0" borderId="0"/>
    <xf numFmtId="0" fontId="4" fillId="0" borderId="0"/>
    <xf numFmtId="0" fontId="1" fillId="0" borderId="0"/>
    <xf numFmtId="0" fontId="4" fillId="0" borderId="0"/>
    <xf numFmtId="0" fontId="361" fillId="0" borderId="0"/>
    <xf numFmtId="0" fontId="361" fillId="0" borderId="0"/>
    <xf numFmtId="0" fontId="1" fillId="0" borderId="0"/>
    <xf numFmtId="0" fontId="4" fillId="0" borderId="0"/>
    <xf numFmtId="0" fontId="1" fillId="0" borderId="0"/>
    <xf numFmtId="0" fontId="4" fillId="0" borderId="0"/>
    <xf numFmtId="0" fontId="361" fillId="0" borderId="0"/>
    <xf numFmtId="0" fontId="1" fillId="0" borderId="0"/>
    <xf numFmtId="0" fontId="361" fillId="0" borderId="0"/>
    <xf numFmtId="0" fontId="361" fillId="0" borderId="0"/>
    <xf numFmtId="0" fontId="361" fillId="0" borderId="0"/>
    <xf numFmtId="0" fontId="361" fillId="0" borderId="0"/>
    <xf numFmtId="0" fontId="361"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48" fillId="0" borderId="0"/>
    <xf numFmtId="0" fontId="11" fillId="0" borderId="0"/>
    <xf numFmtId="0" fontId="371"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4" fillId="0" borderId="0"/>
    <xf numFmtId="0" fontId="361" fillId="0" borderId="0"/>
    <xf numFmtId="0" fontId="361" fillId="0" borderId="0"/>
    <xf numFmtId="0" fontId="361" fillId="0" borderId="0"/>
    <xf numFmtId="0" fontId="361" fillId="0" borderId="0"/>
    <xf numFmtId="0" fontId="361" fillId="0" borderId="0"/>
    <xf numFmtId="0" fontId="361" fillId="0" borderId="0"/>
    <xf numFmtId="0" fontId="361" fillId="0" borderId="0"/>
    <xf numFmtId="0" fontId="361"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48" fillId="0" borderId="0"/>
    <xf numFmtId="0" fontId="4" fillId="0" borderId="0"/>
    <xf numFmtId="0" fontId="371" fillId="0" borderId="0">
      <alignment vertical="center"/>
    </xf>
    <xf numFmtId="0" fontId="4" fillId="0" borderId="0"/>
    <xf numFmtId="0" fontId="4" fillId="0" borderId="0"/>
    <xf numFmtId="0" fontId="4" fillId="0" borderId="0"/>
    <xf numFmtId="0" fontId="4" fillId="0" borderId="0"/>
    <xf numFmtId="0" fontId="48" fillId="0" borderId="0"/>
    <xf numFmtId="0" fontId="4" fillId="0" borderId="0"/>
    <xf numFmtId="0" fontId="361" fillId="0" borderId="0"/>
    <xf numFmtId="0" fontId="36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48" fillId="0" borderId="0"/>
    <xf numFmtId="0" fontId="1" fillId="0" borderId="0"/>
    <xf numFmtId="0" fontId="1" fillId="0" borderId="0"/>
    <xf numFmtId="0" fontId="1" fillId="0" borderId="0"/>
    <xf numFmtId="0" fontId="1" fillId="0" borderId="0"/>
    <xf numFmtId="0" fontId="361" fillId="0" borderId="0"/>
    <xf numFmtId="0" fontId="361" fillId="0" borderId="0"/>
    <xf numFmtId="0" fontId="361" fillId="0" borderId="0"/>
    <xf numFmtId="0" fontId="361"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48" fillId="0" borderId="0"/>
    <xf numFmtId="0" fontId="11" fillId="0" borderId="0"/>
    <xf numFmtId="0" fontId="371" fillId="0" borderId="0">
      <alignment vertical="center"/>
    </xf>
    <xf numFmtId="0" fontId="4" fillId="0" borderId="0"/>
    <xf numFmtId="0" fontId="4" fillId="0" borderId="0"/>
    <xf numFmtId="0" fontId="4" fillId="0" borderId="0"/>
    <xf numFmtId="0" fontId="4" fillId="0" borderId="0"/>
    <xf numFmtId="0" fontId="4" fillId="0" borderId="0">
      <alignment wrapText="1"/>
    </xf>
    <xf numFmtId="0" fontId="4" fillId="0" borderId="0"/>
    <xf numFmtId="0" fontId="361" fillId="0" borderId="0"/>
    <xf numFmtId="0" fontId="361" fillId="0" borderId="0"/>
    <xf numFmtId="0" fontId="1" fillId="0" borderId="0"/>
    <xf numFmtId="0" fontId="1" fillId="0" borderId="0"/>
    <xf numFmtId="0" fontId="1" fillId="0" borderId="0"/>
    <xf numFmtId="0" fontId="4" fillId="0" borderId="0"/>
    <xf numFmtId="0" fontId="1" fillId="0" borderId="0"/>
    <xf numFmtId="0" fontId="1" fillId="0" borderId="0"/>
    <xf numFmtId="0" fontId="361" fillId="0" borderId="0"/>
    <xf numFmtId="0" fontId="361" fillId="0" borderId="0"/>
    <xf numFmtId="0" fontId="361" fillId="0" borderId="0"/>
    <xf numFmtId="0" fontId="361" fillId="0" borderId="0"/>
    <xf numFmtId="0" fontId="361" fillId="0" borderId="0"/>
    <xf numFmtId="0" fontId="4"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48" fillId="0" borderId="0"/>
    <xf numFmtId="0" fontId="4" fillId="0" borderId="0"/>
    <xf numFmtId="0" fontId="371" fillId="0" borderId="0">
      <alignment vertical="center"/>
    </xf>
    <xf numFmtId="0" fontId="4" fillId="0" borderId="0"/>
    <xf numFmtId="0" fontId="4" fillId="0" borderId="0"/>
    <xf numFmtId="0" fontId="4" fillId="0" borderId="0"/>
    <xf numFmtId="0" fontId="1" fillId="0" borderId="0"/>
    <xf numFmtId="0" fontId="4" fillId="0" borderId="0"/>
    <xf numFmtId="0" fontId="1" fillId="0" borderId="0"/>
    <xf numFmtId="0" fontId="361" fillId="0" borderId="0"/>
    <xf numFmtId="0" fontId="361" fillId="0" borderId="0"/>
    <xf numFmtId="0" fontId="361" fillId="0" borderId="0"/>
    <xf numFmtId="0" fontId="361" fillId="0" borderId="0"/>
    <xf numFmtId="0" fontId="361" fillId="0" borderId="0"/>
    <xf numFmtId="0" fontId="36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71" fillId="0" borderId="0">
      <alignment vertical="center"/>
    </xf>
    <xf numFmtId="0" fontId="4" fillId="0" borderId="0"/>
    <xf numFmtId="0" fontId="4" fillId="0" borderId="0"/>
    <xf numFmtId="0" fontId="1" fillId="0" borderId="0"/>
    <xf numFmtId="0" fontId="1" fillId="0" borderId="0"/>
    <xf numFmtId="0" fontId="4" fillId="0" borderId="0"/>
    <xf numFmtId="0" fontId="1" fillId="0" borderId="0"/>
    <xf numFmtId="0" fontId="1" fillId="0" borderId="0"/>
    <xf numFmtId="0" fontId="48" fillId="0" borderId="0"/>
    <xf numFmtId="0" fontId="1" fillId="0" borderId="0"/>
    <xf numFmtId="0" fontId="4" fillId="0" borderId="0"/>
    <xf numFmtId="0" fontId="1" fillId="0" borderId="0"/>
    <xf numFmtId="0" fontId="1" fillId="0" borderId="0"/>
    <xf numFmtId="0" fontId="4" fillId="0" borderId="0"/>
    <xf numFmtId="0" fontId="4" fillId="0" borderId="0"/>
    <xf numFmtId="0" fontId="4" fillId="0" borderId="0"/>
    <xf numFmtId="0" fontId="1" fillId="0" borderId="0"/>
    <xf numFmtId="0" fontId="371" fillId="0" borderId="0">
      <alignment vertical="center"/>
    </xf>
    <xf numFmtId="0" fontId="4"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xf numFmtId="0" fontId="4" fillId="0" borderId="0"/>
    <xf numFmtId="0" fontId="1" fillId="0" borderId="0"/>
    <xf numFmtId="0" fontId="1" fillId="0" borderId="0"/>
    <xf numFmtId="0" fontId="4" fillId="0" borderId="0"/>
    <xf numFmtId="0" fontId="4" fillId="0" borderId="0"/>
    <xf numFmtId="0" fontId="12" fillId="0" borderId="0"/>
    <xf numFmtId="0" fontId="4" fillId="0" borderId="0"/>
    <xf numFmtId="0" fontId="12" fillId="0" borderId="0"/>
    <xf numFmtId="0" fontId="4" fillId="0" borderId="0"/>
    <xf numFmtId="0" fontId="12" fillId="0" borderId="0"/>
    <xf numFmtId="0" fontId="4" fillId="0" borderId="0"/>
    <xf numFmtId="0" fontId="12" fillId="0" borderId="0"/>
    <xf numFmtId="0" fontId="11" fillId="0" borderId="0"/>
    <xf numFmtId="0" fontId="11" fillId="0" borderId="0"/>
    <xf numFmtId="0" fontId="11" fillId="0" borderId="0"/>
    <xf numFmtId="0" fontId="4" fillId="0" borderId="0"/>
    <xf numFmtId="0" fontId="4" fillId="0" borderId="0"/>
    <xf numFmtId="0" fontId="4" fillId="0" borderId="0"/>
    <xf numFmtId="0" fontId="4" fillId="0" borderId="0"/>
    <xf numFmtId="0" fontId="11"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8"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4" fillId="0" borderId="0"/>
    <xf numFmtId="0" fontId="1" fillId="0" borderId="0"/>
    <xf numFmtId="0" fontId="4" fillId="0" borderId="0"/>
    <xf numFmtId="0" fontId="1" fillId="0" borderId="0"/>
    <xf numFmtId="0" fontId="4" fillId="0" borderId="0"/>
    <xf numFmtId="0" fontId="4" fillId="0" borderId="0"/>
    <xf numFmtId="0" fontId="1" fillId="0" borderId="0"/>
    <xf numFmtId="0" fontId="4" fillId="0" borderId="0"/>
    <xf numFmtId="0" fontId="4" fillId="0" borderId="0"/>
    <xf numFmtId="0" fontId="1" fillId="0" borderId="0"/>
    <xf numFmtId="0" fontId="1" fillId="0" borderId="0"/>
    <xf numFmtId="0" fontId="1"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1"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1"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1"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4" fillId="0" borderId="0"/>
    <xf numFmtId="0" fontId="1" fillId="0" borderId="0"/>
    <xf numFmtId="0" fontId="4" fillId="0" borderId="0"/>
    <xf numFmtId="0" fontId="1" fillId="0" borderId="0"/>
    <xf numFmtId="0" fontId="1"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11" fillId="0" borderId="0"/>
    <xf numFmtId="0" fontId="4"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4" fillId="0" borderId="0"/>
    <xf numFmtId="0" fontId="4" fillId="0" borderId="0"/>
    <xf numFmtId="0" fontId="4" fillId="0" borderId="0"/>
    <xf numFmtId="0" fontId="11" fillId="0" borderId="0"/>
    <xf numFmtId="0" fontId="12" fillId="0" borderId="0"/>
    <xf numFmtId="0" fontId="4" fillId="0" borderId="0"/>
    <xf numFmtId="0" fontId="48" fillId="0" borderId="0"/>
    <xf numFmtId="0" fontId="48" fillId="0" borderId="0"/>
    <xf numFmtId="0" fontId="11" fillId="0" borderId="0"/>
    <xf numFmtId="0" fontId="12" fillId="0" borderId="0"/>
    <xf numFmtId="0" fontId="4" fillId="0" borderId="0"/>
    <xf numFmtId="0" fontId="1" fillId="0" borderId="0"/>
    <xf numFmtId="0" fontId="1" fillId="0" borderId="0"/>
    <xf numFmtId="0" fontId="12"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371" fillId="0" borderId="0">
      <alignment vertical="center"/>
    </xf>
    <xf numFmtId="0" fontId="4" fillId="0" borderId="0"/>
    <xf numFmtId="0" fontId="1" fillId="0" borderId="0"/>
    <xf numFmtId="0" fontId="1" fillId="0" borderId="0"/>
    <xf numFmtId="0" fontId="4"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371" fillId="0" borderId="0">
      <alignment vertical="center"/>
    </xf>
    <xf numFmtId="0" fontId="4" fillId="0" borderId="0"/>
    <xf numFmtId="0" fontId="1" fillId="0" borderId="0"/>
    <xf numFmtId="0" fontId="1" fillId="0" borderId="0"/>
    <xf numFmtId="0" fontId="48"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371" fillId="0" borderId="0">
      <alignment vertical="center"/>
    </xf>
    <xf numFmtId="0" fontId="4"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4" fillId="0" borderId="0"/>
    <xf numFmtId="0" fontId="371" fillId="0" borderId="0">
      <alignment vertical="center"/>
    </xf>
    <xf numFmtId="0" fontId="4" fillId="0" borderId="0"/>
    <xf numFmtId="0" fontId="48" fillId="0" borderId="0"/>
    <xf numFmtId="0" fontId="4"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71" fillId="0" borderId="0">
      <alignment vertical="center"/>
    </xf>
    <xf numFmtId="0" fontId="4" fillId="0" borderId="0"/>
    <xf numFmtId="0" fontId="4" fillId="0" borderId="0"/>
    <xf numFmtId="0" fontId="1" fillId="0" borderId="0"/>
    <xf numFmtId="0" fontId="1" fillId="0" borderId="0"/>
    <xf numFmtId="0" fontId="12" fillId="0" borderId="0"/>
    <xf numFmtId="0" fontId="4"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371" fillId="0" borderId="0">
      <alignment vertical="center"/>
    </xf>
    <xf numFmtId="0" fontId="4"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71" fillId="0" borderId="0">
      <alignment vertical="center"/>
    </xf>
    <xf numFmtId="0" fontId="4" fillId="0" borderId="0"/>
    <xf numFmtId="0" fontId="1" fillId="0" borderId="0"/>
    <xf numFmtId="0" fontId="4" fillId="0" borderId="0"/>
    <xf numFmtId="0" fontId="4" fillId="0" borderId="0"/>
    <xf numFmtId="0" fontId="4"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371" fillId="0" borderId="0">
      <alignment vertical="center"/>
    </xf>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371" fillId="0" borderId="0">
      <alignment vertical="center"/>
    </xf>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371" fillId="0" borderId="0">
      <alignment vertical="center"/>
    </xf>
    <xf numFmtId="0" fontId="4"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48" fillId="0" borderId="0"/>
    <xf numFmtId="0" fontId="4" fillId="0" borderId="0"/>
    <xf numFmtId="0" fontId="4" fillId="0" borderId="0"/>
    <xf numFmtId="0" fontId="4" fillId="0" borderId="0"/>
    <xf numFmtId="0" fontId="48" fillId="0" borderId="0"/>
    <xf numFmtId="0" fontId="48" fillId="0" borderId="0"/>
    <xf numFmtId="0" fontId="1" fillId="0" borderId="0"/>
    <xf numFmtId="0" fontId="48" fillId="0" borderId="0"/>
    <xf numFmtId="0" fontId="48" fillId="0" borderId="0"/>
    <xf numFmtId="0" fontId="37" fillId="0" borderId="0"/>
    <xf numFmtId="0" fontId="37" fillId="0" borderId="0"/>
    <xf numFmtId="0" fontId="37" fillId="0" borderId="0"/>
    <xf numFmtId="0" fontId="37"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4" fillId="0" borderId="0"/>
    <xf numFmtId="0" fontId="1" fillId="0" borderId="0"/>
    <xf numFmtId="0" fontId="4" fillId="0" borderId="0"/>
    <xf numFmtId="0" fontId="4"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1" fillId="0" borderId="0"/>
    <xf numFmtId="0" fontId="4" fillId="0" borderId="0"/>
    <xf numFmtId="0" fontId="4" fillId="0" borderId="0"/>
    <xf numFmtId="0" fontId="1" fillId="0" borderId="0"/>
    <xf numFmtId="0" fontId="148" fillId="0" borderId="0"/>
    <xf numFmtId="0" fontId="148" fillId="0" borderId="0"/>
    <xf numFmtId="0" fontId="48" fillId="0" borderId="0"/>
    <xf numFmtId="0" fontId="4"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4"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1"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4" fillId="0" borderId="0"/>
    <xf numFmtId="0" fontId="1" fillId="0" borderId="0"/>
    <xf numFmtId="0" fontId="4"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4" fillId="0" borderId="0"/>
    <xf numFmtId="0" fontId="1" fillId="0" borderId="0"/>
    <xf numFmtId="0" fontId="4"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71" fillId="0" borderId="0">
      <alignment vertical="center"/>
    </xf>
    <xf numFmtId="0" fontId="4"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4" fillId="0" borderId="0"/>
    <xf numFmtId="0" fontId="11" fillId="0" borderId="0"/>
    <xf numFmtId="0" fontId="11" fillId="0" borderId="0"/>
    <xf numFmtId="0" fontId="4"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73" fillId="0" borderId="0"/>
    <xf numFmtId="0" fontId="1" fillId="0" borderId="0"/>
    <xf numFmtId="0" fontId="1" fillId="0" borderId="0"/>
    <xf numFmtId="0" fontId="37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alignment vertical="center"/>
    </xf>
    <xf numFmtId="0" fontId="48" fillId="0" borderId="0">
      <alignment vertical="center"/>
    </xf>
    <xf numFmtId="0" fontId="1" fillId="0" borderId="0"/>
    <xf numFmtId="0" fontId="11" fillId="0" borderId="0">
      <alignment vertical="top"/>
    </xf>
    <xf numFmtId="0" fontId="1" fillId="0" borderId="0"/>
    <xf numFmtId="0" fontId="1" fillId="0" borderId="0"/>
    <xf numFmtId="0" fontId="48" fillId="0" borderId="0">
      <alignment vertical="center"/>
    </xf>
    <xf numFmtId="0" fontId="1" fillId="0" borderId="0"/>
    <xf numFmtId="0" fontId="1" fillId="0" borderId="0"/>
    <xf numFmtId="0" fontId="1" fillId="0" borderId="0"/>
    <xf numFmtId="0" fontId="48" fillId="0" borderId="0">
      <alignment vertical="center"/>
    </xf>
    <xf numFmtId="0" fontId="1" fillId="0" borderId="0"/>
    <xf numFmtId="0" fontId="4" fillId="0" borderId="0"/>
    <xf numFmtId="0" fontId="1" fillId="0" borderId="0"/>
    <xf numFmtId="0" fontId="1" fillId="0" borderId="0"/>
    <xf numFmtId="0" fontId="11" fillId="0" borderId="0">
      <alignment vertical="top"/>
    </xf>
    <xf numFmtId="0" fontId="1" fillId="0" borderId="0"/>
    <xf numFmtId="0" fontId="1" fillId="0" borderId="0"/>
    <xf numFmtId="0" fontId="1" fillId="0" borderId="0"/>
    <xf numFmtId="0" fontId="1" fillId="0" borderId="0"/>
    <xf numFmtId="0" fontId="4" fillId="0" borderId="0"/>
    <xf numFmtId="0" fontId="1" fillId="0" borderId="0"/>
    <xf numFmtId="0" fontId="4" fillId="0" borderId="0"/>
    <xf numFmtId="0" fontId="1" fillId="0" borderId="0"/>
    <xf numFmtId="0" fontId="1" fillId="0" borderId="0"/>
    <xf numFmtId="0" fontId="4"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1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1" fillId="0" borderId="0"/>
    <xf numFmtId="0" fontId="1" fillId="0" borderId="0"/>
    <xf numFmtId="0" fontId="1" fillId="0" borderId="0"/>
    <xf numFmtId="0" fontId="1" fillId="0" borderId="0"/>
    <xf numFmtId="0" fontId="361" fillId="0" borderId="0"/>
    <xf numFmtId="0" fontId="1" fillId="0" borderId="0"/>
    <xf numFmtId="0" fontId="36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1" fillId="0" borderId="0"/>
    <xf numFmtId="0" fontId="361" fillId="0" borderId="0"/>
    <xf numFmtId="0" fontId="361" fillId="0" borderId="0"/>
    <xf numFmtId="0" fontId="36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48" fillId="0" borderId="0"/>
    <xf numFmtId="0" fontId="1" fillId="0" borderId="0"/>
    <xf numFmtId="0" fontId="48" fillId="0" borderId="0"/>
    <xf numFmtId="0" fontId="48" fillId="0" borderId="0"/>
    <xf numFmtId="0" fontId="4" fillId="0" borderId="0"/>
    <xf numFmtId="0" fontId="1" fillId="0" borderId="0"/>
    <xf numFmtId="0" fontId="1" fillId="0" borderId="0"/>
    <xf numFmtId="0" fontId="1" fillId="0" borderId="0"/>
    <xf numFmtId="0" fontId="48" fillId="0" borderId="0"/>
    <xf numFmtId="0" fontId="48" fillId="0" borderId="0"/>
    <xf numFmtId="0" fontId="1" fillId="0" borderId="0"/>
    <xf numFmtId="0" fontId="4" fillId="0" borderId="0"/>
    <xf numFmtId="0" fontId="4" fillId="0" borderId="0"/>
    <xf numFmtId="0" fontId="48" fillId="0" borderId="0"/>
    <xf numFmtId="0" fontId="11" fillId="0" borderId="0"/>
    <xf numFmtId="0" fontId="4"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11" fillId="0" borderId="0"/>
    <xf numFmtId="0" fontId="1"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11" fillId="0" borderId="0"/>
    <xf numFmtId="0" fontId="11" fillId="0" borderId="0"/>
    <xf numFmtId="0" fontId="4" fillId="0" borderId="0"/>
    <xf numFmtId="0" fontId="4" fillId="0" borderId="0"/>
    <xf numFmtId="0" fontId="4" fillId="0" borderId="0"/>
    <xf numFmtId="0" fontId="4" fillId="0" borderId="0"/>
    <xf numFmtId="0" fontId="4" fillId="0" borderId="0"/>
    <xf numFmtId="0" fontId="1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8"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xf numFmtId="0" fontId="1" fillId="0" borderId="0"/>
    <xf numFmtId="0" fontId="1" fillId="0" borderId="0"/>
    <xf numFmtId="0" fontId="12" fillId="0" borderId="0"/>
    <xf numFmtId="0" fontId="1" fillId="0" borderId="0"/>
    <xf numFmtId="0" fontId="1" fillId="0" borderId="0"/>
    <xf numFmtId="0" fontId="1" fillId="0" borderId="0"/>
    <xf numFmtId="0" fontId="12" fillId="0" borderId="0"/>
    <xf numFmtId="0" fontId="1"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2" fillId="0" borderId="0"/>
    <xf numFmtId="0" fontId="1" fillId="0" borderId="0"/>
    <xf numFmtId="0" fontId="1"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4" fillId="0" borderId="0"/>
    <xf numFmtId="0" fontId="4" fillId="0" borderId="0"/>
    <xf numFmtId="0" fontId="4" fillId="0" borderId="0"/>
    <xf numFmtId="0" fontId="4" fillId="0" borderId="0"/>
    <xf numFmtId="0" fontId="12" fillId="0" borderId="0"/>
    <xf numFmtId="0" fontId="1" fillId="0" borderId="0"/>
    <xf numFmtId="0" fontId="1" fillId="0" borderId="0"/>
    <xf numFmtId="0" fontId="4" fillId="0" borderId="0"/>
    <xf numFmtId="0" fontId="48" fillId="0" borderId="0"/>
    <xf numFmtId="0" fontId="48" fillId="0" borderId="0"/>
    <xf numFmtId="0" fontId="4" fillId="0" borderId="0"/>
    <xf numFmtId="0" fontId="48" fillId="0" borderId="0"/>
    <xf numFmtId="0" fontId="48" fillId="0" borderId="0"/>
    <xf numFmtId="0" fontId="4" fillId="0" borderId="0"/>
    <xf numFmtId="0" fontId="4" fillId="0" borderId="0"/>
    <xf numFmtId="0" fontId="4" fillId="0" borderId="0"/>
    <xf numFmtId="0" fontId="4" fillId="0" borderId="0"/>
    <xf numFmtId="0" fontId="4" fillId="0" borderId="0"/>
    <xf numFmtId="0" fontId="12" fillId="0" borderId="0"/>
    <xf numFmtId="0" fontId="4" fillId="0" borderId="0"/>
    <xf numFmtId="0" fontId="48" fillId="0" borderId="0"/>
    <xf numFmtId="0" fontId="48" fillId="0" borderId="0"/>
    <xf numFmtId="0" fontId="48" fillId="0" borderId="0"/>
    <xf numFmtId="0" fontId="48" fillId="0" borderId="0"/>
    <xf numFmtId="0" fontId="4"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12" fillId="0" borderId="0"/>
    <xf numFmtId="0" fontId="1" fillId="0" borderId="0"/>
    <xf numFmtId="0" fontId="1" fillId="0" borderId="0"/>
    <xf numFmtId="0" fontId="1" fillId="0" borderId="0"/>
    <xf numFmtId="0" fontId="12" fillId="0" borderId="0"/>
    <xf numFmtId="0" fontId="1" fillId="0" borderId="0"/>
    <xf numFmtId="0" fontId="1" fillId="0" borderId="0"/>
    <xf numFmtId="0" fontId="1" fillId="0" borderId="0"/>
    <xf numFmtId="0" fontId="12" fillId="0" borderId="0"/>
    <xf numFmtId="0" fontId="1" fillId="0" borderId="0"/>
    <xf numFmtId="0" fontId="1" fillId="0" borderId="0"/>
    <xf numFmtId="0" fontId="12" fillId="0" borderId="0"/>
    <xf numFmtId="0" fontId="1" fillId="0" borderId="0"/>
    <xf numFmtId="0" fontId="1" fillId="0" borderId="0"/>
    <xf numFmtId="0" fontId="48" fillId="0" borderId="0"/>
    <xf numFmtId="0" fontId="1" fillId="0" borderId="0"/>
    <xf numFmtId="0" fontId="1" fillId="0" borderId="0"/>
    <xf numFmtId="0" fontId="4" fillId="0" borderId="0"/>
    <xf numFmtId="0" fontId="1" fillId="0" borderId="0"/>
    <xf numFmtId="0" fontId="1" fillId="0" borderId="0"/>
    <xf numFmtId="0" fontId="250"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4" fillId="0" borderId="0"/>
    <xf numFmtId="0" fontId="12" fillId="0" borderId="0"/>
    <xf numFmtId="0" fontId="4" fillId="0" borderId="0"/>
    <xf numFmtId="0" fontId="4" fillId="0" borderId="0"/>
    <xf numFmtId="0" fontId="12" fillId="0" borderId="0"/>
    <xf numFmtId="0" fontId="12" fillId="0" borderId="0"/>
    <xf numFmtId="0" fontId="12" fillId="0" borderId="0"/>
    <xf numFmtId="0" fontId="48" fillId="0" borderId="0"/>
    <xf numFmtId="0" fontId="48" fillId="0" borderId="0"/>
    <xf numFmtId="0" fontId="12" fillId="0" borderId="0"/>
    <xf numFmtId="0" fontId="374" fillId="0" borderId="0"/>
    <xf numFmtId="0" fontId="374" fillId="0" borderId="0"/>
    <xf numFmtId="0" fontId="4" fillId="0" borderId="0"/>
    <xf numFmtId="0" fontId="12" fillId="0" borderId="0"/>
    <xf numFmtId="0" fontId="361" fillId="0" borderId="0"/>
    <xf numFmtId="0" fontId="48" fillId="0" borderId="0"/>
    <xf numFmtId="0" fontId="4" fillId="0" borderId="0"/>
    <xf numFmtId="0" fontId="48" fillId="0" borderId="0"/>
    <xf numFmtId="0" fontId="361" fillId="0" borderId="0"/>
    <xf numFmtId="0" fontId="361" fillId="0" borderId="0"/>
    <xf numFmtId="0" fontId="361" fillId="0" borderId="0"/>
    <xf numFmtId="0" fontId="361" fillId="0" borderId="0"/>
    <xf numFmtId="0" fontId="361" fillId="0" borderId="0"/>
    <xf numFmtId="0" fontId="361" fillId="0" borderId="0"/>
    <xf numFmtId="0" fontId="11" fillId="0" borderId="0"/>
    <xf numFmtId="0" fontId="1" fillId="0" borderId="0"/>
    <xf numFmtId="0" fontId="12" fillId="0" borderId="0"/>
    <xf numFmtId="0" fontId="48" fillId="0" borderId="0"/>
    <xf numFmtId="0" fontId="48" fillId="0" borderId="0"/>
    <xf numFmtId="0" fontId="374" fillId="0" borderId="0"/>
    <xf numFmtId="0" fontId="374" fillId="0" borderId="0"/>
    <xf numFmtId="0" fontId="374" fillId="0" borderId="0"/>
    <xf numFmtId="0" fontId="48" fillId="0" borderId="0"/>
    <xf numFmtId="0" fontId="12" fillId="0" borderId="0"/>
    <xf numFmtId="0" fontId="4" fillId="0" borderId="0"/>
    <xf numFmtId="0" fontId="4" fillId="0" borderId="0"/>
    <xf numFmtId="0" fontId="4" fillId="0" borderId="0"/>
    <xf numFmtId="0" fontId="1" fillId="0" borderId="0"/>
    <xf numFmtId="0" fontId="1" fillId="0" borderId="0"/>
    <xf numFmtId="0" fontId="4" fillId="0" borderId="0"/>
    <xf numFmtId="0" fontId="4" fillId="0" borderId="0"/>
    <xf numFmtId="0" fontId="4" fillId="0" borderId="0"/>
    <xf numFmtId="0" fontId="4" fillId="0" borderId="0"/>
    <xf numFmtId="0" fontId="11" fillId="0" borderId="0"/>
    <xf numFmtId="0" fontId="12" fillId="0" borderId="0"/>
    <xf numFmtId="0" fontId="4" fillId="0" borderId="0"/>
    <xf numFmtId="0" fontId="11" fillId="0" borderId="0"/>
    <xf numFmtId="0" fontId="12" fillId="0" borderId="0"/>
    <xf numFmtId="0" fontId="1" fillId="0" borderId="0"/>
    <xf numFmtId="0" fontId="4" fillId="0" borderId="0"/>
    <xf numFmtId="0" fontId="1" fillId="0" borderId="0"/>
    <xf numFmtId="0" fontId="1" fillId="0" borderId="0"/>
    <xf numFmtId="0" fontId="4" fillId="0" borderId="0"/>
    <xf numFmtId="0" fontId="4" fillId="0" borderId="0"/>
    <xf numFmtId="0" fontId="11" fillId="0" borderId="0"/>
    <xf numFmtId="0" fontId="12" fillId="0" borderId="0"/>
    <xf numFmtId="0" fontId="4" fillId="0" borderId="0"/>
    <xf numFmtId="0" fontId="11" fillId="0" borderId="0"/>
    <xf numFmtId="0" fontId="12" fillId="0" borderId="0"/>
    <xf numFmtId="0" fontId="12" fillId="0" borderId="0"/>
    <xf numFmtId="0" fontId="12" fillId="0" borderId="0"/>
    <xf numFmtId="0" fontId="12" fillId="0" borderId="0"/>
    <xf numFmtId="0" fontId="1" fillId="0" borderId="0"/>
    <xf numFmtId="0" fontId="4" fillId="0" borderId="0"/>
    <xf numFmtId="0" fontId="1" fillId="0" borderId="0"/>
    <xf numFmtId="0" fontId="361" fillId="0" borderId="0"/>
    <xf numFmtId="0" fontId="1" fillId="0" borderId="0"/>
    <xf numFmtId="0" fontId="361" fillId="0" borderId="0"/>
    <xf numFmtId="0" fontId="1" fillId="0" borderId="0"/>
    <xf numFmtId="0" fontId="361" fillId="0" borderId="0"/>
    <xf numFmtId="0" fontId="361" fillId="0" borderId="0"/>
    <xf numFmtId="0" fontId="1" fillId="0" borderId="0"/>
    <xf numFmtId="0" fontId="361" fillId="0" borderId="0"/>
    <xf numFmtId="0" fontId="361" fillId="0" borderId="0"/>
    <xf numFmtId="0" fontId="1" fillId="0" borderId="0"/>
    <xf numFmtId="0" fontId="361" fillId="0" borderId="0"/>
    <xf numFmtId="0" fontId="361" fillId="0" borderId="0"/>
    <xf numFmtId="0" fontId="1" fillId="0" borderId="0"/>
    <xf numFmtId="0" fontId="361" fillId="0" borderId="0"/>
    <xf numFmtId="0" fontId="1" fillId="0" borderId="0"/>
    <xf numFmtId="0" fontId="361" fillId="0" borderId="0"/>
    <xf numFmtId="0" fontId="1" fillId="0" borderId="0"/>
    <xf numFmtId="0" fontId="36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8" fillId="0" borderId="0"/>
    <xf numFmtId="0" fontId="48"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4"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1" fillId="0" borderId="0"/>
    <xf numFmtId="0" fontId="361" fillId="0" borderId="0"/>
    <xf numFmtId="0" fontId="361" fillId="0" borderId="0"/>
    <xf numFmtId="0" fontId="1" fillId="0" borderId="0"/>
    <xf numFmtId="0" fontId="1" fillId="0" borderId="0"/>
    <xf numFmtId="0" fontId="361" fillId="0" borderId="0"/>
    <xf numFmtId="0" fontId="361" fillId="0" borderId="0"/>
    <xf numFmtId="0" fontId="1" fillId="0" borderId="0"/>
    <xf numFmtId="0" fontId="361" fillId="0" borderId="0"/>
    <xf numFmtId="0" fontId="1" fillId="0" borderId="0"/>
    <xf numFmtId="0" fontId="361" fillId="0" borderId="0"/>
    <xf numFmtId="0" fontId="361" fillId="0" borderId="0"/>
    <xf numFmtId="0" fontId="1" fillId="0" borderId="0"/>
    <xf numFmtId="0" fontId="361" fillId="0" borderId="0"/>
    <xf numFmtId="0" fontId="361" fillId="0" borderId="0"/>
    <xf numFmtId="0" fontId="1" fillId="0" borderId="0"/>
    <xf numFmtId="0" fontId="361" fillId="0" borderId="0"/>
    <xf numFmtId="0" fontId="1" fillId="0" borderId="0"/>
    <xf numFmtId="0" fontId="361" fillId="0" borderId="0"/>
    <xf numFmtId="0" fontId="1" fillId="0" borderId="0"/>
    <xf numFmtId="0" fontId="361" fillId="0" borderId="0"/>
    <xf numFmtId="0" fontId="361" fillId="0" borderId="0"/>
    <xf numFmtId="0" fontId="4" fillId="0" borderId="0"/>
    <xf numFmtId="0" fontId="1" fillId="0" borderId="0"/>
    <xf numFmtId="0" fontId="1" fillId="0" borderId="0"/>
    <xf numFmtId="0" fontId="361" fillId="0" borderId="0"/>
    <xf numFmtId="0" fontId="361" fillId="0" borderId="0"/>
    <xf numFmtId="0" fontId="375" fillId="0" borderId="0"/>
    <xf numFmtId="0" fontId="1" fillId="0" borderId="0"/>
    <xf numFmtId="0" fontId="361" fillId="0" borderId="0"/>
    <xf numFmtId="0" fontId="361" fillId="0" borderId="0"/>
    <xf numFmtId="298" fontId="80" fillId="0" borderId="0" applyNumberFormat="0" applyFill="0" applyBorder="0" applyAlignment="0" applyProtection="0"/>
    <xf numFmtId="355" fontId="6" fillId="0" borderId="0" applyFont="0" applyFill="0" applyBorder="0" applyAlignment="0" applyProtection="0"/>
    <xf numFmtId="214" fontId="293" fillId="0" borderId="0" applyFont="0" applyFill="0" applyBorder="0" applyAlignment="0" applyProtection="0"/>
    <xf numFmtId="356" fontId="4" fillId="0" borderId="10" applyFont="0" applyFill="0" applyBorder="0" applyAlignment="0" applyProtection="0">
      <protection locked="0"/>
    </xf>
    <xf numFmtId="190" fontId="154" fillId="0" borderId="0" applyFill="0">
      <alignment vertical="center"/>
    </xf>
    <xf numFmtId="190" fontId="4" fillId="0" borderId="0" applyFont="0" applyFill="0" applyBorder="0" applyAlignment="0" applyProtection="0"/>
    <xf numFmtId="190" fontId="4" fillId="0" borderId="0"/>
    <xf numFmtId="356" fontId="376" fillId="181" borderId="101" applyProtection="0">
      <alignment horizontal="right" vertical="center"/>
      <protection locked="0"/>
    </xf>
    <xf numFmtId="190" fontId="4" fillId="0" borderId="0"/>
    <xf numFmtId="167" fontId="154" fillId="0" borderId="0">
      <protection locked="0"/>
    </xf>
    <xf numFmtId="0" fontId="188" fillId="0" borderId="0"/>
    <xf numFmtId="0" fontId="377" fillId="0" borderId="0" applyFill="0" applyBorder="0" applyAlignment="0" applyProtection="0"/>
    <xf numFmtId="298" fontId="6" fillId="0" borderId="0"/>
    <xf numFmtId="0" fontId="155" fillId="0" borderId="0"/>
    <xf numFmtId="189" fontId="4" fillId="0" borderId="10" applyFont="0" applyFill="0" applyBorder="0" applyAlignment="0" applyProtection="0">
      <protection locked="0"/>
    </xf>
    <xf numFmtId="357" fontId="6" fillId="0" borderId="0" applyFont="0" applyFill="0" applyBorder="0" applyAlignment="0" applyProtection="0"/>
    <xf numFmtId="358" fontId="6" fillId="0" borderId="0" applyFont="0" applyFill="0" applyBorder="0" applyAlignment="0" applyProtection="0"/>
    <xf numFmtId="0" fontId="4" fillId="25" borderId="11" applyNumberFormat="0" applyFont="0" applyAlignment="0" applyProtection="0"/>
    <xf numFmtId="0" fontId="11" fillId="25" borderId="11" applyNumberFormat="0" applyFont="0" applyAlignment="0" applyProtection="0"/>
    <xf numFmtId="0" fontId="4" fillId="0" borderId="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25" borderId="11" applyNumberFormat="0" applyFont="0" applyAlignment="0" applyProtection="0"/>
    <xf numFmtId="0" fontId="4" fillId="0" borderId="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25" borderId="11" applyNumberFormat="0" applyFont="0" applyAlignment="0" applyProtection="0"/>
    <xf numFmtId="0" fontId="4" fillId="0" borderId="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25" borderId="11" applyNumberFormat="0" applyFont="0" applyAlignment="0" applyProtection="0"/>
    <xf numFmtId="0" fontId="4" fillId="0" borderId="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25" borderId="11" applyNumberFormat="0" applyFont="0" applyAlignment="0" applyProtection="0"/>
    <xf numFmtId="0" fontId="4" fillId="0" borderId="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25" borderId="11" applyNumberFormat="0" applyFont="0" applyAlignment="0" applyProtection="0"/>
    <xf numFmtId="0" fontId="4" fillId="0" borderId="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25" borderId="11" applyNumberFormat="0" applyFont="0" applyAlignment="0" applyProtection="0"/>
    <xf numFmtId="0" fontId="4" fillId="0" borderId="0"/>
    <xf numFmtId="0" fontId="4" fillId="25" borderId="11" applyNumberFormat="0" applyFont="0" applyAlignment="0" applyProtection="0"/>
    <xf numFmtId="0" fontId="4" fillId="25" borderId="11" applyNumberFormat="0" applyFont="0" applyAlignment="0" applyProtection="0"/>
    <xf numFmtId="0" fontId="1" fillId="182" borderId="102" applyNumberFormat="0" applyFont="0" applyAlignment="0" applyProtection="0"/>
    <xf numFmtId="0" fontId="1" fillId="182" borderId="102" applyNumberFormat="0" applyFont="0" applyAlignment="0" applyProtection="0"/>
    <xf numFmtId="0" fontId="1" fillId="182" borderId="102" applyNumberFormat="0" applyFont="0" applyAlignment="0" applyProtection="0"/>
    <xf numFmtId="0" fontId="1" fillId="182" borderId="102" applyNumberFormat="0" applyFont="0" applyAlignment="0" applyProtection="0"/>
    <xf numFmtId="0" fontId="1" fillId="182" borderId="102" applyNumberFormat="0" applyFont="0" applyAlignment="0" applyProtection="0"/>
    <xf numFmtId="0" fontId="11" fillId="25" borderId="11" applyNumberFormat="0" applyFont="0" applyAlignment="0" applyProtection="0"/>
    <xf numFmtId="0" fontId="4" fillId="0" borderId="0"/>
    <xf numFmtId="0" fontId="4" fillId="25" borderId="11" applyNumberFormat="0" applyFont="0" applyAlignment="0" applyProtection="0"/>
    <xf numFmtId="0" fontId="4" fillId="25" borderId="11" applyNumberFormat="0" applyFont="0" applyAlignment="0" applyProtection="0"/>
    <xf numFmtId="0" fontId="11" fillId="25" borderId="11" applyNumberFormat="0" applyFont="0" applyAlignment="0" applyProtection="0"/>
    <xf numFmtId="0" fontId="4" fillId="0" borderId="0"/>
    <xf numFmtId="0" fontId="4" fillId="25" borderId="11" applyNumberFormat="0" applyFont="0" applyAlignment="0" applyProtection="0"/>
    <xf numFmtId="0" fontId="4" fillId="25" borderId="11" applyNumberFormat="0" applyFont="0" applyAlignment="0" applyProtection="0"/>
    <xf numFmtId="0" fontId="11" fillId="25" borderId="11" applyNumberFormat="0" applyFont="0" applyAlignment="0" applyProtection="0"/>
    <xf numFmtId="0" fontId="4" fillId="0" borderId="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25" borderId="11" applyNumberFormat="0" applyFont="0" applyAlignment="0" applyProtection="0"/>
    <xf numFmtId="0" fontId="4" fillId="1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1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11" fillId="25" borderId="11" applyNumberFormat="0" applyFont="0" applyAlignment="0" applyProtection="0"/>
    <xf numFmtId="0" fontId="4" fillId="0" borderId="0"/>
    <xf numFmtId="0" fontId="4" fillId="25" borderId="11" applyNumberFormat="0" applyFont="0" applyAlignment="0" applyProtection="0"/>
    <xf numFmtId="0" fontId="4" fillId="25" borderId="11" applyNumberFormat="0" applyFont="0" applyAlignment="0" applyProtection="0"/>
    <xf numFmtId="0" fontId="11" fillId="25" borderId="11" applyNumberFormat="0" applyFont="0" applyAlignment="0" applyProtection="0"/>
    <xf numFmtId="0" fontId="4" fillId="0" borderId="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4" fillId="0" borderId="0"/>
    <xf numFmtId="0" fontId="4" fillId="125" borderId="11" applyNumberFormat="0" applyFont="0" applyAlignment="0" applyProtection="0"/>
    <xf numFmtId="0" fontId="4" fillId="1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4" fillId="0" borderId="0"/>
    <xf numFmtId="0" fontId="4" fillId="25" borderId="11" applyNumberFormat="0" applyFont="0" applyAlignment="0" applyProtection="0"/>
    <xf numFmtId="0" fontId="4" fillId="25" borderId="11" applyNumberFormat="0" applyFont="0" applyAlignment="0" applyProtection="0"/>
    <xf numFmtId="0" fontId="4" fillId="1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1" fillId="182" borderId="102" applyNumberFormat="0" applyFont="0" applyAlignment="0" applyProtection="0"/>
    <xf numFmtId="0" fontId="1" fillId="182" borderId="102" applyNumberFormat="0" applyFont="0" applyAlignment="0" applyProtection="0"/>
    <xf numFmtId="0" fontId="4"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4" fillId="0" borderId="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4" fillId="0" borderId="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4" fillId="0" borderId="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11" fillId="25" borderId="11" applyNumberFormat="0" applyFont="0" applyAlignment="0" applyProtection="0"/>
    <xf numFmtId="0" fontId="4" fillId="25" borderId="11" applyNumberFormat="0" applyFont="0" applyAlignment="0" applyProtection="0"/>
    <xf numFmtId="0" fontId="4" fillId="25" borderId="11"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4" fillId="0" borderId="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4" fillId="25" borderId="11" applyNumberFormat="0" applyFont="0" applyAlignment="0" applyProtection="0"/>
    <xf numFmtId="0" fontId="11" fillId="25" borderId="11"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4" fillId="0" borderId="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4" fillId="25" borderId="11" applyNumberFormat="0" applyFont="0" applyAlignment="0" applyProtection="0"/>
    <xf numFmtId="0" fontId="11" fillId="25" borderId="11" applyNumberFormat="0" applyFont="0" applyAlignment="0" applyProtection="0"/>
    <xf numFmtId="0" fontId="4" fillId="0" borderId="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4" fillId="125" borderId="11"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1" fillId="182" borderId="102" applyNumberFormat="0" applyFont="0" applyAlignment="0" applyProtection="0"/>
    <xf numFmtId="0" fontId="107" fillId="25" borderId="11" applyNumberFormat="0" applyFont="0" applyAlignment="0" applyProtection="0"/>
    <xf numFmtId="0" fontId="6" fillId="0" borderId="0" applyFont="0" applyFill="0" applyBorder="0" applyAlignment="0" applyProtection="0"/>
    <xf numFmtId="323" fontId="6" fillId="0" borderId="0" applyFont="0">
      <protection locked="0"/>
    </xf>
    <xf numFmtId="323" fontId="6" fillId="0" borderId="0" applyFont="0">
      <protection locked="0"/>
    </xf>
    <xf numFmtId="1" fontId="80" fillId="0" borderId="0" applyFont="0" applyFill="0" applyBorder="0" applyAlignment="0" applyProtection="0">
      <protection locked="0"/>
    </xf>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0" borderId="12" applyNumberFormat="0" applyAlignment="0" applyProtection="0"/>
    <xf numFmtId="0" fontId="4" fillId="0" borderId="0"/>
    <xf numFmtId="0" fontId="30" fillId="20" borderId="12" applyNumberFormat="0" applyAlignment="0" applyProtection="0"/>
    <xf numFmtId="0" fontId="4" fillId="0" borderId="0"/>
    <xf numFmtId="0" fontId="30" fillId="20" borderId="12" applyNumberFormat="0" applyAlignment="0" applyProtection="0"/>
    <xf numFmtId="0" fontId="4" fillId="0" borderId="0"/>
    <xf numFmtId="0" fontId="30" fillId="20" borderId="12" applyNumberFormat="0" applyAlignment="0" applyProtection="0"/>
    <xf numFmtId="0" fontId="30" fillId="20" borderId="12" applyNumberFormat="0" applyAlignment="0" applyProtection="0"/>
    <xf numFmtId="0" fontId="4" fillId="0" borderId="0"/>
    <xf numFmtId="0" fontId="4" fillId="0" borderId="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0" borderId="12" applyNumberFormat="0" applyAlignment="0" applyProtection="0"/>
    <xf numFmtId="0" fontId="4" fillId="0" borderId="0"/>
    <xf numFmtId="0" fontId="30" fillId="20" borderId="12" applyNumberFormat="0" applyAlignment="0" applyProtection="0"/>
    <xf numFmtId="0" fontId="4" fillId="0" borderId="0"/>
    <xf numFmtId="0" fontId="30" fillId="20" borderId="12" applyNumberFormat="0" applyAlignment="0" applyProtection="0"/>
    <xf numFmtId="0" fontId="4" fillId="0" borderId="0"/>
    <xf numFmtId="0" fontId="30" fillId="20" borderId="12" applyNumberFormat="0" applyAlignment="0" applyProtection="0"/>
    <xf numFmtId="0" fontId="4" fillId="0" borderId="0"/>
    <xf numFmtId="0" fontId="30" fillId="20" borderId="12" applyNumberFormat="0" applyAlignment="0" applyProtection="0"/>
    <xf numFmtId="0" fontId="4" fillId="0" borderId="0"/>
    <xf numFmtId="0" fontId="30" fillId="20" borderId="12" applyNumberFormat="0" applyAlignment="0" applyProtection="0"/>
    <xf numFmtId="0" fontId="4" fillId="0" borderId="0"/>
    <xf numFmtId="0" fontId="30" fillId="20" borderId="12" applyNumberFormat="0" applyAlignment="0" applyProtection="0"/>
    <xf numFmtId="0" fontId="30" fillId="20" borderId="12" applyNumberFormat="0" applyAlignment="0" applyProtection="0"/>
    <xf numFmtId="0" fontId="4" fillId="0" borderId="0"/>
    <xf numFmtId="0" fontId="30" fillId="20" borderId="12" applyNumberFormat="0" applyAlignment="0" applyProtection="0"/>
    <xf numFmtId="0" fontId="4" fillId="0" borderId="0"/>
    <xf numFmtId="0" fontId="4" fillId="0" borderId="0"/>
    <xf numFmtId="0" fontId="4" fillId="0" borderId="0"/>
    <xf numFmtId="0" fontId="30" fillId="20" borderId="12" applyNumberFormat="0" applyAlignment="0" applyProtection="0"/>
    <xf numFmtId="0" fontId="30" fillId="20" borderId="12" applyNumberFormat="0" applyAlignment="0" applyProtection="0"/>
    <xf numFmtId="0" fontId="30" fillId="20" borderId="12" applyNumberFormat="0" applyAlignment="0" applyProtection="0"/>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4" fillId="0" borderId="0"/>
    <xf numFmtId="0" fontId="30" fillId="20" borderId="12" applyNumberFormat="0" applyAlignment="0" applyProtection="0"/>
    <xf numFmtId="0" fontId="30" fillId="20" borderId="12" applyNumberFormat="0" applyAlignment="0" applyProtection="0"/>
    <xf numFmtId="0" fontId="30" fillId="26" borderId="12" applyNumberFormat="0" applyAlignment="0" applyProtection="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30" fillId="20" borderId="12" applyNumberFormat="0" applyAlignment="0" applyProtection="0"/>
    <xf numFmtId="0" fontId="4" fillId="0" borderId="0"/>
    <xf numFmtId="0" fontId="30" fillId="26" borderId="12" applyNumberFormat="0" applyAlignment="0" applyProtection="0"/>
    <xf numFmtId="0" fontId="30" fillId="26" borderId="12" applyNumberFormat="0" applyAlignment="0" applyProtection="0"/>
    <xf numFmtId="0" fontId="4" fillId="0" borderId="0">
      <alignment vertical="top" wrapText="1"/>
    </xf>
    <xf numFmtId="0" fontId="4" fillId="0" borderId="0">
      <alignment vertical="top" wrapText="1"/>
    </xf>
    <xf numFmtId="0" fontId="143" fillId="0" borderId="0">
      <alignment horizontal="justify" vertical="top"/>
    </xf>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9" fontId="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 fillId="0" borderId="0" applyFont="0" applyFill="0" applyBorder="0" applyAlignment="0" applyProtection="0"/>
    <xf numFmtId="9" fontId="252"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2"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2"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2"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2"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2"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2"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2"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2"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2"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2"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2"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2"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11" fillId="0" borderId="0" applyFont="0" applyFill="0" applyBorder="0" applyAlignment="0" applyProtection="0"/>
    <xf numFmtId="9" fontId="4" fillId="0" borderId="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 fillId="0" borderId="0" applyFont="0" applyFill="0" applyBorder="0" applyAlignment="0" applyProtection="0"/>
    <xf numFmtId="9" fontId="48"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8"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 fillId="0" borderId="0" applyFont="0" applyFill="0" applyBorder="0" applyAlignment="0" applyProtection="0"/>
    <xf numFmtId="9" fontId="1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4" fillId="0" borderId="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2"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1" fillId="0" borderId="0" applyFont="0" applyFill="0" applyBorder="0" applyAlignment="0" applyProtection="0"/>
    <xf numFmtId="9" fontId="12"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8" fillId="0" borderId="0" applyFont="0" applyFill="0" applyBorder="0" applyAlignment="0" applyProtection="0"/>
    <xf numFmtId="9" fontId="1" fillId="0" borderId="0" applyFont="0" applyFill="0" applyBorder="0" applyAlignment="0" applyProtection="0"/>
    <xf numFmtId="9" fontId="12"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11"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0" fontId="378" fillId="0" borderId="0" applyFont="0"/>
    <xf numFmtId="0" fontId="379" fillId="0" borderId="0">
      <alignment vertical="top"/>
    </xf>
    <xf numFmtId="3" fontId="380" fillId="0" borderId="0"/>
    <xf numFmtId="0" fontId="263" fillId="0" borderId="0"/>
    <xf numFmtId="175" fontId="31" fillId="0" borderId="0" applyNumberFormat="0" applyFill="0" applyBorder="0" applyAlignment="0" applyProtection="0">
      <alignment horizontal="left"/>
    </xf>
    <xf numFmtId="359" fontId="4" fillId="0" borderId="0" applyNumberFormat="0" applyFill="0" applyBorder="0" applyAlignment="0" applyProtection="0">
      <alignment horizontal="left"/>
    </xf>
    <xf numFmtId="359" fontId="4" fillId="0" borderId="0" applyNumberFormat="0" applyFill="0" applyBorder="0" applyAlignment="0" applyProtection="0">
      <alignment horizontal="left"/>
    </xf>
    <xf numFmtId="175" fontId="31" fillId="0" borderId="0" applyNumberFormat="0" applyFill="0" applyBorder="0" applyAlignment="0" applyProtection="0">
      <alignment horizontal="left"/>
    </xf>
    <xf numFmtId="175" fontId="381" fillId="0" borderId="0" applyNumberFormat="0" applyFill="0" applyBorder="0" applyAlignment="0" applyProtection="0">
      <alignment horizontal="left"/>
    </xf>
    <xf numFmtId="0" fontId="382" fillId="0" borderId="103" applyFont="0" applyBorder="0" applyAlignment="0">
      <alignment horizontal="center" vertical="center" wrapText="1"/>
    </xf>
    <xf numFmtId="0" fontId="7" fillId="0" borderId="0" applyNumberFormat="0" applyFill="0" applyBorder="0" applyAlignment="0" applyProtection="0"/>
    <xf numFmtId="0" fontId="383" fillId="20" borderId="12" applyNumberFormat="0" applyAlignment="0" applyProtection="0"/>
    <xf numFmtId="0" fontId="37" fillId="0" borderId="0">
      <alignment horizontal="justify" vertical="top" wrapText="1"/>
    </xf>
    <xf numFmtId="0" fontId="384" fillId="0" borderId="0" applyNumberFormat="0" applyFill="0" applyBorder="0" applyAlignment="0" applyProtection="0"/>
    <xf numFmtId="0" fontId="385" fillId="0" borderId="0" applyNumberFormat="0" applyFill="0" applyBorder="0" applyAlignment="0" applyProtection="0"/>
    <xf numFmtId="0" fontId="384" fillId="0" borderId="0" applyNumberFormat="0" applyFill="0" applyBorder="0" applyAlignment="0" applyProtection="0"/>
    <xf numFmtId="0" fontId="386" fillId="0" borderId="0" applyNumberFormat="0" applyFill="0" applyBorder="0" applyAlignment="0" applyProtection="0">
      <alignment vertical="top"/>
      <protection locked="0"/>
    </xf>
    <xf numFmtId="360" fontId="141" fillId="0" borderId="0">
      <alignment horizontal="center" vertical="top"/>
    </xf>
    <xf numFmtId="0" fontId="220" fillId="0" borderId="0"/>
    <xf numFmtId="0" fontId="63" fillId="0" borderId="0"/>
    <xf numFmtId="0" fontId="63" fillId="0" borderId="0"/>
    <xf numFmtId="0" fontId="63" fillId="0" borderId="0"/>
    <xf numFmtId="0" fontId="156" fillId="0" borderId="0"/>
    <xf numFmtId="0" fontId="63" fillId="0" borderId="0"/>
    <xf numFmtId="0" fontId="63" fillId="0" borderId="0"/>
    <xf numFmtId="0" fontId="156" fillId="0" borderId="0"/>
    <xf numFmtId="0" fontId="156" fillId="0" borderId="0"/>
    <xf numFmtId="0" fontId="63" fillId="0" borderId="0"/>
    <xf numFmtId="0" fontId="63" fillId="0" borderId="0">
      <protection locked="0"/>
    </xf>
    <xf numFmtId="0" fontId="63" fillId="0" borderId="0">
      <protection locked="0"/>
    </xf>
    <xf numFmtId="0" fontId="156" fillId="0" borderId="0"/>
    <xf numFmtId="0" fontId="156" fillId="0" borderId="0"/>
    <xf numFmtId="0" fontId="156" fillId="0" borderId="0"/>
    <xf numFmtId="0" fontId="156" fillId="0" borderId="0"/>
    <xf numFmtId="0" fontId="156" fillId="0" borderId="0"/>
    <xf numFmtId="0" fontId="63" fillId="0" borderId="0"/>
    <xf numFmtId="0" fontId="32" fillId="0" borderId="8">
      <alignment horizontal="center"/>
    </xf>
    <xf numFmtId="0" fontId="32" fillId="0" borderId="8">
      <alignment horizontal="center"/>
    </xf>
    <xf numFmtId="0" fontId="387" fillId="0" borderId="40">
      <alignment wrapText="1"/>
    </xf>
    <xf numFmtId="0" fontId="387" fillId="0" borderId="40">
      <alignment wrapText="1"/>
    </xf>
    <xf numFmtId="0" fontId="32" fillId="0" borderId="8">
      <alignment horizontal="center"/>
    </xf>
    <xf numFmtId="0" fontId="32" fillId="0" borderId="8">
      <alignment horizontal="center"/>
    </xf>
    <xf numFmtId="0" fontId="32" fillId="0" borderId="8">
      <alignment horizontal="center"/>
    </xf>
    <xf numFmtId="0" fontId="32" fillId="0" borderId="8">
      <alignment horizontal="center"/>
    </xf>
    <xf numFmtId="0" fontId="32" fillId="0" borderId="0">
      <alignment horizontal="center" vertical="center"/>
    </xf>
    <xf numFmtId="0" fontId="32" fillId="0" borderId="0">
      <alignment horizontal="center" vertical="center"/>
    </xf>
    <xf numFmtId="0" fontId="32" fillId="0" borderId="0">
      <alignment horizontal="center" vertical="center"/>
    </xf>
    <xf numFmtId="0" fontId="32" fillId="0" borderId="0">
      <alignment horizontal="center" vertical="center"/>
    </xf>
    <xf numFmtId="0" fontId="32" fillId="0" borderId="0">
      <alignment horizontal="center" vertical="center"/>
    </xf>
    <xf numFmtId="0" fontId="32" fillId="0" borderId="0">
      <alignment horizontal="center" vertical="center"/>
    </xf>
    <xf numFmtId="0" fontId="33" fillId="0" borderId="0" applyNumberFormat="0" applyFill="0">
      <alignment horizontal="left" vertical="center"/>
    </xf>
    <xf numFmtId="0" fontId="33" fillId="26" borderId="0" applyNumberFormat="0" applyFill="0">
      <alignment horizontal="left" vertical="center"/>
    </xf>
    <xf numFmtId="0" fontId="33" fillId="26" borderId="0" applyNumberFormat="0" applyFill="0">
      <alignment horizontal="left" vertical="center"/>
    </xf>
    <xf numFmtId="0" fontId="33" fillId="26" borderId="0" applyNumberFormat="0" applyFill="0">
      <alignment horizontal="left" vertical="center"/>
    </xf>
    <xf numFmtId="0" fontId="33" fillId="26" borderId="0" applyNumberFormat="0" applyFill="0">
      <alignment horizontal="left" vertical="center"/>
    </xf>
    <xf numFmtId="0" fontId="33" fillId="26" borderId="0" applyNumberFormat="0" applyFill="0">
      <alignment horizontal="left" vertical="center"/>
    </xf>
    <xf numFmtId="0" fontId="33" fillId="26" borderId="0" applyNumberFormat="0" applyFill="0">
      <alignment horizontal="left" vertical="center"/>
    </xf>
    <xf numFmtId="0" fontId="33" fillId="27" borderId="0" applyNumberFormat="0" applyFill="0">
      <alignment horizontal="left" vertical="center"/>
    </xf>
    <xf numFmtId="0" fontId="388" fillId="0" borderId="8">
      <alignment horizontal="center" vertical="center" wrapText="1"/>
    </xf>
    <xf numFmtId="0" fontId="388" fillId="0" borderId="8">
      <alignment horizontal="center" vertical="center" wrapText="1"/>
    </xf>
    <xf numFmtId="0" fontId="388" fillId="0" borderId="8">
      <alignment horizontal="center" vertical="center" wrapText="1"/>
    </xf>
    <xf numFmtId="40" fontId="34" fillId="0" borderId="0" applyBorder="0">
      <alignment horizontal="right"/>
    </xf>
    <xf numFmtId="40" fontId="34" fillId="0" borderId="0" applyBorder="0">
      <alignment horizontal="right"/>
    </xf>
    <xf numFmtId="40" fontId="389" fillId="0" borderId="0" applyBorder="0">
      <alignment horizontal="right"/>
    </xf>
    <xf numFmtId="2" fontId="390" fillId="0" borderId="0">
      <alignment horizontal="left"/>
    </xf>
    <xf numFmtId="0" fontId="263" fillId="0" borderId="77"/>
    <xf numFmtId="0" fontId="391" fillId="0" borderId="0">
      <alignment vertical="top"/>
    </xf>
    <xf numFmtId="49" fontId="4" fillId="0" borderId="0"/>
    <xf numFmtId="0" fontId="122" fillId="0" borderId="0" applyNumberFormat="0" applyFill="0" applyBorder="0" applyAlignment="0" applyProtection="0"/>
    <xf numFmtId="0" fontId="392" fillId="0" borderId="0" applyNumberFormat="0" applyFill="0" applyBorder="0" applyAlignment="0" applyProtection="0"/>
    <xf numFmtId="361" fontId="11" fillId="0" borderId="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0" fontId="126" fillId="0" borderId="0"/>
    <xf numFmtId="40" fontId="126" fillId="0" borderId="0"/>
    <xf numFmtId="40" fontId="126" fillId="0" borderId="0"/>
    <xf numFmtId="0" fontId="393" fillId="175" borderId="0"/>
    <xf numFmtId="0" fontId="35" fillId="0" borderId="0" applyNumberFormat="0" applyFill="0" applyBorder="0" applyAlignment="0" applyProtection="0"/>
    <xf numFmtId="0" fontId="4" fillId="0" borderId="0"/>
    <xf numFmtId="0" fontId="394" fillId="0" borderId="0" applyNumberFormat="0" applyFill="0" applyBorder="0" applyAlignment="0" applyProtection="0"/>
    <xf numFmtId="0" fontId="394" fillId="0" borderId="0" applyNumberFormat="0" applyFill="0" applyBorder="0" applyAlignment="0" applyProtection="0"/>
    <xf numFmtId="0" fontId="35" fillId="0" borderId="0" applyNumberFormat="0" applyFill="0" applyBorder="0" applyAlignment="0" applyProtection="0"/>
    <xf numFmtId="0" fontId="4" fillId="0" borderId="0"/>
    <xf numFmtId="0" fontId="394" fillId="0" borderId="0" applyNumberFormat="0" applyFill="0" applyBorder="0" applyAlignment="0" applyProtection="0"/>
    <xf numFmtId="0" fontId="394" fillId="0" borderId="0" applyNumberFormat="0" applyFill="0" applyBorder="0" applyAlignment="0" applyProtection="0"/>
    <xf numFmtId="0" fontId="35" fillId="0" borderId="0" applyNumberFormat="0" applyFill="0" applyBorder="0" applyAlignment="0" applyProtection="0"/>
    <xf numFmtId="0" fontId="4" fillId="0" borderId="0"/>
    <xf numFmtId="0" fontId="394" fillId="0" borderId="0" applyNumberFormat="0" applyFill="0" applyBorder="0" applyAlignment="0" applyProtection="0"/>
    <xf numFmtId="0" fontId="394" fillId="0" borderId="0" applyNumberFormat="0" applyFill="0" applyBorder="0" applyAlignment="0" applyProtection="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35" fillId="0" borderId="0" applyNumberFormat="0" applyFill="0" applyBorder="0" applyAlignment="0" applyProtection="0"/>
    <xf numFmtId="0" fontId="4" fillId="0" borderId="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4" fillId="0" borderId="0"/>
    <xf numFmtId="0" fontId="4" fillId="0" borderId="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4" fillId="0" borderId="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5" fillId="0" borderId="0" applyNumberFormat="0" applyFill="0" applyBorder="0" applyAlignment="0" applyProtection="0"/>
    <xf numFmtId="0" fontId="4" fillId="0" borderId="0"/>
    <xf numFmtId="0" fontId="394" fillId="0" borderId="0" applyNumberFormat="0" applyFill="0" applyBorder="0" applyAlignment="0" applyProtection="0"/>
    <xf numFmtId="0" fontId="394" fillId="0" borderId="0" applyNumberFormat="0" applyFill="0" applyBorder="0" applyAlignment="0" applyProtection="0"/>
    <xf numFmtId="0" fontId="35" fillId="0" borderId="0" applyNumberFormat="0" applyFill="0" applyBorder="0" applyAlignment="0" applyProtection="0"/>
    <xf numFmtId="0" fontId="4" fillId="0" borderId="0"/>
    <xf numFmtId="0" fontId="394" fillId="0" borderId="0" applyNumberFormat="0" applyFill="0" applyBorder="0" applyAlignment="0" applyProtection="0"/>
    <xf numFmtId="0" fontId="394" fillId="0" borderId="0" applyNumberFormat="0" applyFill="0" applyBorder="0" applyAlignment="0" applyProtection="0"/>
    <xf numFmtId="0" fontId="35" fillId="0" borderId="0" applyNumberFormat="0" applyFill="0" applyBorder="0" applyAlignment="0" applyProtection="0"/>
    <xf numFmtId="0" fontId="4" fillId="0" borderId="0"/>
    <xf numFmtId="0" fontId="394" fillId="0" borderId="0" applyNumberFormat="0" applyFill="0" applyBorder="0" applyAlignment="0" applyProtection="0"/>
    <xf numFmtId="0" fontId="394" fillId="0" borderId="0" applyNumberFormat="0" applyFill="0" applyBorder="0" applyAlignment="0" applyProtection="0"/>
    <xf numFmtId="0" fontId="35" fillId="0" borderId="0" applyNumberFormat="0" applyFill="0" applyBorder="0" applyAlignment="0" applyProtection="0"/>
    <xf numFmtId="0" fontId="4" fillId="0" borderId="0"/>
    <xf numFmtId="0" fontId="394" fillId="0" borderId="0" applyNumberFormat="0" applyFill="0" applyBorder="0" applyAlignment="0" applyProtection="0"/>
    <xf numFmtId="0" fontId="394" fillId="0" borderId="0" applyNumberFormat="0" applyFill="0" applyBorder="0" applyAlignment="0" applyProtection="0"/>
    <xf numFmtId="0" fontId="35" fillId="0" borderId="0" applyNumberFormat="0" applyFill="0" applyBorder="0" applyAlignment="0" applyProtection="0"/>
    <xf numFmtId="0" fontId="395" fillId="0" borderId="5" applyNumberFormat="0" applyFill="0" applyAlignment="0" applyProtection="0"/>
    <xf numFmtId="0" fontId="396" fillId="0" borderId="6" applyNumberFormat="0" applyFill="0" applyAlignment="0" applyProtection="0"/>
    <xf numFmtId="0" fontId="273" fillId="0" borderId="7"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3" applyNumberFormat="0" applyFill="0" applyAlignment="0" applyProtection="0"/>
    <xf numFmtId="0" fontId="4" fillId="0" borderId="0"/>
    <xf numFmtId="0" fontId="10" fillId="0" borderId="13" applyNumberFormat="0" applyFill="0" applyAlignment="0" applyProtection="0"/>
    <xf numFmtId="0" fontId="4" fillId="0" borderId="0"/>
    <xf numFmtId="0" fontId="10" fillId="0" borderId="13" applyNumberFormat="0" applyFill="0" applyAlignment="0" applyProtection="0"/>
    <xf numFmtId="0" fontId="4" fillId="0" borderId="0"/>
    <xf numFmtId="0" fontId="10" fillId="0" borderId="13" applyNumberFormat="0" applyFill="0" applyAlignment="0" applyProtection="0"/>
    <xf numFmtId="0" fontId="10" fillId="0" borderId="13" applyNumberFormat="0" applyFill="0" applyAlignment="0" applyProtection="0"/>
    <xf numFmtId="0" fontId="4" fillId="0" borderId="0"/>
    <xf numFmtId="0" fontId="4" fillId="0" borderId="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3" applyNumberFormat="0" applyFill="0" applyAlignment="0" applyProtection="0"/>
    <xf numFmtId="0" fontId="4" fillId="0" borderId="0"/>
    <xf numFmtId="0" fontId="10" fillId="0" borderId="13" applyNumberFormat="0" applyFill="0" applyAlignment="0" applyProtection="0"/>
    <xf numFmtId="0" fontId="4" fillId="0" borderId="0"/>
    <xf numFmtId="0" fontId="10" fillId="0" borderId="13" applyNumberFormat="0" applyFill="0" applyAlignment="0" applyProtection="0"/>
    <xf numFmtId="0" fontId="4" fillId="0" borderId="0"/>
    <xf numFmtId="0" fontId="10" fillId="0" borderId="13" applyNumberFormat="0" applyFill="0" applyAlignment="0" applyProtection="0"/>
    <xf numFmtId="0" fontId="4" fillId="0" borderId="0"/>
    <xf numFmtId="0" fontId="10" fillId="0" borderId="13" applyNumberFormat="0" applyFill="0" applyAlignment="0" applyProtection="0"/>
    <xf numFmtId="0" fontId="4" fillId="0" borderId="0"/>
    <xf numFmtId="0" fontId="10" fillId="0" borderId="13" applyNumberFormat="0" applyFill="0" applyAlignment="0" applyProtection="0"/>
    <xf numFmtId="0" fontId="4" fillId="0" borderId="0"/>
    <xf numFmtId="0" fontId="10" fillId="0" borderId="13" applyNumberFormat="0" applyFill="0" applyAlignment="0" applyProtection="0"/>
    <xf numFmtId="0" fontId="10" fillId="0" borderId="13" applyNumberFormat="0" applyFill="0" applyAlignment="0" applyProtection="0"/>
    <xf numFmtId="0" fontId="4" fillId="0" borderId="0"/>
    <xf numFmtId="0" fontId="10" fillId="0" borderId="13" applyNumberFormat="0" applyFill="0" applyAlignment="0" applyProtection="0"/>
    <xf numFmtId="0" fontId="4" fillId="0" borderId="0"/>
    <xf numFmtId="0" fontId="4" fillId="0" borderId="0"/>
    <xf numFmtId="0" fontId="4" fillId="0" borderId="0"/>
    <xf numFmtId="0" fontId="10" fillId="0" borderId="13" applyNumberFormat="0" applyFill="0" applyAlignment="0" applyProtection="0"/>
    <xf numFmtId="0" fontId="10" fillId="0" borderId="13" applyNumberFormat="0" applyFill="0" applyAlignment="0" applyProtection="0"/>
    <xf numFmtId="0" fontId="10" fillId="0" borderId="13"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4" fillId="0" borderId="0"/>
    <xf numFmtId="0" fontId="10" fillId="0" borderId="13" applyNumberFormat="0" applyFill="0" applyAlignment="0" applyProtection="0"/>
    <xf numFmtId="0" fontId="10" fillId="0" borderId="13" applyNumberFormat="0" applyFill="0" applyAlignment="0" applyProtection="0"/>
    <xf numFmtId="0" fontId="10" fillId="0" borderId="104" applyNumberFormat="0" applyFill="0" applyAlignment="0" applyProtection="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10" fillId="0" borderId="13" applyNumberFormat="0" applyFill="0" applyAlignment="0" applyProtection="0"/>
    <xf numFmtId="0" fontId="4" fillId="0" borderId="0"/>
    <xf numFmtId="0" fontId="10" fillId="0" borderId="104" applyNumberFormat="0" applyFill="0" applyAlignment="0" applyProtection="0"/>
    <xf numFmtId="0" fontId="10" fillId="0" borderId="104" applyNumberFormat="0" applyFill="0" applyAlignment="0" applyProtection="0"/>
    <xf numFmtId="0" fontId="337" fillId="0" borderId="105"/>
    <xf numFmtId="0" fontId="337" fillId="0" borderId="77"/>
    <xf numFmtId="2" fontId="4" fillId="0" borderId="0">
      <alignment horizontal="center" vertical="center"/>
    </xf>
    <xf numFmtId="168" fontId="4" fillId="0" borderId="0" applyFont="0" applyFill="0" applyBorder="0" applyAlignment="0" applyProtection="0"/>
    <xf numFmtId="198" fontId="4" fillId="0" borderId="0" applyFont="0" applyFill="0" applyBorder="0" applyAlignment="0" applyProtection="0"/>
    <xf numFmtId="248" fontId="82" fillId="0" borderId="8">
      <alignment horizontal="center" vertical="center"/>
    </xf>
    <xf numFmtId="248" fontId="82" fillId="0" borderId="8">
      <alignment horizontal="center" vertical="center"/>
    </xf>
    <xf numFmtId="248" fontId="82" fillId="0" borderId="8">
      <alignment horizontal="center" vertical="center"/>
    </xf>
    <xf numFmtId="248" fontId="82" fillId="0" borderId="8">
      <alignment horizontal="center" vertical="center"/>
    </xf>
    <xf numFmtId="248" fontId="82" fillId="0" borderId="8">
      <alignment horizontal="center" vertical="center"/>
    </xf>
    <xf numFmtId="248" fontId="82" fillId="0" borderId="8">
      <alignment horizontal="center" vertical="center"/>
    </xf>
    <xf numFmtId="248" fontId="82" fillId="0" borderId="8">
      <alignment horizontal="center" vertical="center"/>
    </xf>
    <xf numFmtId="248" fontId="82" fillId="0" borderId="8">
      <alignment horizontal="center" vertical="center"/>
    </xf>
    <xf numFmtId="248" fontId="82" fillId="0" borderId="8">
      <alignment horizontal="center" vertical="center"/>
    </xf>
    <xf numFmtId="248" fontId="82" fillId="0" borderId="8">
      <alignment horizontal="center" vertic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0" fontId="4" fillId="0" borderId="19">
      <alignment horizontal="center"/>
    </xf>
    <xf numFmtId="362" fontId="4" fillId="0" borderId="0" applyFont="0" applyFill="0" applyBorder="0" applyAlignment="0" applyProtection="0"/>
    <xf numFmtId="254" fontId="4" fillId="0" borderId="0" applyFont="0" applyFill="0" applyBorder="0" applyAlignment="0" applyProtection="0"/>
    <xf numFmtId="363" fontId="4" fillId="0" borderId="0" applyFont="0" applyFill="0" applyBorder="0" applyAlignment="0" applyProtection="0"/>
    <xf numFmtId="364" fontId="4" fillId="0" borderId="0" applyFont="0" applyFill="0" applyBorder="0" applyAlignment="0" applyProtection="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36" fillId="0" borderId="0" applyNumberFormat="0" applyFill="0" applyBorder="0" applyAlignment="0" applyProtection="0"/>
    <xf numFmtId="0" fontId="4" fillId="0" borderId="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4" fillId="0" borderId="0"/>
    <xf numFmtId="0" fontId="4"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4" fillId="0" borderId="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0" fontId="36" fillId="0" borderId="0" applyNumberFormat="0" applyFill="0" applyBorder="0" applyAlignment="0" applyProtection="0"/>
    <xf numFmtId="0" fontId="4" fillId="0" borderId="0"/>
    <xf numFmtId="236" fontId="4" fillId="0" borderId="0" applyFont="0" applyFill="0" applyBorder="0" applyAlignment="0" applyProtection="0"/>
    <xf numFmtId="236" fontId="4" fillId="0" borderId="0" applyFont="0" applyFill="0" applyBorder="0" applyAlignment="0" applyProtection="0"/>
    <xf numFmtId="236" fontId="4" fillId="0" borderId="0" applyFont="0" applyFill="0" applyBorder="0" applyAlignment="0" applyProtection="0"/>
    <xf numFmtId="0" fontId="4" fillId="25" borderId="0" applyNumberFormat="0" applyFont="0" applyBorder="0" applyAlignment="0" applyProtection="0"/>
    <xf numFmtId="39" fontId="4" fillId="0" borderId="0" applyFont="0" applyFill="0" applyBorder="0" applyAlignment="0" applyProtection="0"/>
    <xf numFmtId="39" fontId="4" fillId="0" borderId="0" applyFont="0" applyFill="0" applyBorder="0" applyAlignment="0" applyProtection="0"/>
    <xf numFmtId="39" fontId="4" fillId="0" borderId="0" applyFont="0" applyFill="0" applyBorder="0" applyAlignment="0" applyProtection="0"/>
    <xf numFmtId="0" fontId="12" fillId="0" borderId="0"/>
    <xf numFmtId="37" fontId="181" fillId="0" borderId="0"/>
    <xf numFmtId="40" fontId="397" fillId="0" borderId="0" applyFont="0" applyFill="0" applyBorder="0" applyAlignment="0" applyProtection="0"/>
    <xf numFmtId="38" fontId="397" fillId="0" borderId="0" applyFont="0" applyFill="0" applyBorder="0" applyAlignment="0" applyProtection="0"/>
    <xf numFmtId="0" fontId="397" fillId="0" borderId="0" applyFont="0" applyFill="0" applyBorder="0" applyAlignment="0" applyProtection="0"/>
    <xf numFmtId="0" fontId="397" fillId="0" borderId="0" applyFont="0" applyFill="0" applyBorder="0" applyAlignment="0" applyProtection="0"/>
    <xf numFmtId="10" fontId="4" fillId="0" borderId="0" applyFont="0" applyFill="0" applyBorder="0" applyAlignment="0" applyProtection="0"/>
    <xf numFmtId="0" fontId="398" fillId="0" borderId="0"/>
    <xf numFmtId="41" fontId="399" fillId="0" borderId="0" applyFont="0" applyFill="0" applyBorder="0" applyAlignment="0" applyProtection="0"/>
    <xf numFmtId="43" fontId="399" fillId="0" borderId="0" applyFont="0" applyFill="0" applyBorder="0" applyAlignment="0" applyProtection="0"/>
    <xf numFmtId="365" fontId="399" fillId="0" borderId="0" applyFont="0" applyFill="0" applyBorder="0" applyAlignment="0" applyProtection="0"/>
    <xf numFmtId="366" fontId="399" fillId="0" borderId="0" applyFont="0" applyFill="0" applyBorder="0" applyAlignment="0" applyProtection="0"/>
    <xf numFmtId="0" fontId="400" fillId="0" borderId="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01" fillId="4" borderId="0" applyNumberFormat="0" applyBorder="0" applyAlignment="0" applyProtection="0">
      <alignment vertical="center"/>
    </xf>
    <xf numFmtId="0" fontId="401" fillId="4" borderId="0" applyNumberFormat="0" applyBorder="0" applyAlignment="0" applyProtection="0">
      <alignment vertical="center"/>
    </xf>
    <xf numFmtId="0" fontId="401" fillId="36" borderId="0" applyNumberFormat="0" applyBorder="0" applyAlignment="0" applyProtection="0">
      <alignment vertical="center"/>
    </xf>
    <xf numFmtId="0" fontId="401" fillId="4" borderId="0" applyNumberFormat="0" applyBorder="0" applyAlignment="0" applyProtection="0">
      <alignment vertical="center"/>
    </xf>
    <xf numFmtId="0" fontId="402" fillId="3" borderId="0" applyNumberFormat="0" applyBorder="0" applyAlignment="0" applyProtection="0">
      <alignment vertical="center"/>
    </xf>
    <xf numFmtId="0" fontId="402" fillId="3" borderId="0" applyNumberFormat="0" applyBorder="0" applyAlignment="0" applyProtection="0">
      <alignment vertical="center"/>
    </xf>
    <xf numFmtId="0" fontId="402" fillId="40" borderId="0" applyNumberFormat="0" applyBorder="0" applyAlignment="0" applyProtection="0">
      <alignment vertical="center"/>
    </xf>
    <xf numFmtId="0" fontId="402" fillId="3" borderId="0" applyNumberFormat="0" applyBorder="0" applyAlignment="0" applyProtection="0">
      <alignment vertical="center"/>
    </xf>
    <xf numFmtId="0" fontId="4" fillId="0" borderId="0"/>
    <xf numFmtId="0" fontId="4" fillId="0" borderId="0"/>
    <xf numFmtId="0" fontId="4" fillId="0" borderId="0"/>
    <xf numFmtId="0" fontId="179" fillId="16" borderId="0" applyNumberFormat="0" applyBorder="0" applyAlignment="0" applyProtection="0">
      <alignment vertical="center"/>
    </xf>
    <xf numFmtId="0" fontId="179" fillId="17" borderId="0" applyNumberFormat="0" applyBorder="0" applyAlignment="0" applyProtection="0">
      <alignment vertical="center"/>
    </xf>
    <xf numFmtId="0" fontId="179" fillId="18" borderId="0" applyNumberFormat="0" applyBorder="0" applyAlignment="0" applyProtection="0">
      <alignment vertical="center"/>
    </xf>
    <xf numFmtId="0" fontId="179" fillId="13" borderId="0" applyNumberFormat="0" applyBorder="0" applyAlignment="0" applyProtection="0">
      <alignment vertical="center"/>
    </xf>
    <xf numFmtId="0" fontId="179" fillId="14" borderId="0" applyNumberFormat="0" applyBorder="0" applyAlignment="0" applyProtection="0">
      <alignment vertical="center"/>
    </xf>
    <xf numFmtId="0" fontId="179" fillId="19" borderId="0" applyNumberFormat="0" applyBorder="0" applyAlignment="0" applyProtection="0">
      <alignment vertical="center"/>
    </xf>
    <xf numFmtId="0" fontId="403" fillId="0" borderId="0" applyNumberFormat="0" applyFill="0" applyBorder="0" applyAlignment="0" applyProtection="0">
      <alignment vertical="center"/>
    </xf>
    <xf numFmtId="0" fontId="404" fillId="0" borderId="5" applyNumberFormat="0" applyFill="0" applyAlignment="0" applyProtection="0">
      <alignment vertical="center"/>
    </xf>
    <xf numFmtId="0" fontId="405" fillId="0" borderId="6" applyNumberFormat="0" applyFill="0" applyAlignment="0" applyProtection="0">
      <alignment vertical="center"/>
    </xf>
    <xf numFmtId="0" fontId="406" fillId="0" borderId="7" applyNumberFormat="0" applyFill="0" applyAlignment="0" applyProtection="0">
      <alignment vertical="center"/>
    </xf>
    <xf numFmtId="0" fontId="406" fillId="0" borderId="0" applyNumberFormat="0" applyFill="0" applyBorder="0" applyAlignment="0" applyProtection="0">
      <alignment vertical="center"/>
    </xf>
    <xf numFmtId="0" fontId="407" fillId="21" borderId="2" applyNumberFormat="0" applyAlignment="0" applyProtection="0">
      <alignment vertical="center"/>
    </xf>
    <xf numFmtId="0" fontId="408" fillId="0" borderId="13" applyNumberFormat="0" applyFill="0" applyAlignment="0" applyProtection="0">
      <alignment vertical="center"/>
    </xf>
    <xf numFmtId="0" fontId="4" fillId="25" borderId="11" applyNumberFormat="0" applyFont="0" applyAlignment="0" applyProtection="0">
      <alignment vertical="center"/>
    </xf>
    <xf numFmtId="291" fontId="6" fillId="0" borderId="0" applyFont="0" applyFill="0" applyBorder="0" applyAlignment="0" applyProtection="0"/>
    <xf numFmtId="213" fontId="6" fillId="0" borderId="0" applyFont="0" applyFill="0" applyBorder="0" applyAlignment="0" applyProtection="0"/>
    <xf numFmtId="0" fontId="409" fillId="0" borderId="0" applyNumberFormat="0" applyFill="0" applyBorder="0" applyAlignment="0" applyProtection="0">
      <alignment vertical="center"/>
    </xf>
    <xf numFmtId="0" fontId="410" fillId="0" borderId="0" applyNumberFormat="0" applyFill="0" applyBorder="0" applyAlignment="0" applyProtection="0">
      <alignment vertical="center"/>
    </xf>
    <xf numFmtId="0" fontId="411" fillId="20" borderId="1" applyNumberFormat="0" applyAlignment="0" applyProtection="0">
      <alignment vertical="center"/>
    </xf>
    <xf numFmtId="0" fontId="412" fillId="7" borderId="1" applyNumberFormat="0" applyAlignment="0" applyProtection="0">
      <alignment vertical="center"/>
    </xf>
    <xf numFmtId="0" fontId="413" fillId="20" borderId="12" applyNumberFormat="0" applyAlignment="0" applyProtection="0">
      <alignment vertical="center"/>
    </xf>
    <xf numFmtId="0" fontId="414" fillId="24" borderId="0" applyNumberFormat="0" applyBorder="0" applyAlignment="0" applyProtection="0">
      <alignment vertical="center"/>
    </xf>
    <xf numFmtId="0" fontId="415" fillId="0" borderId="9" applyNumberFormat="0" applyFill="0" applyAlignment="0" applyProtection="0">
      <alignment vertical="center"/>
    </xf>
    <xf numFmtId="0" fontId="12" fillId="0" borderId="0"/>
    <xf numFmtId="0" fontId="4" fillId="0" borderId="0"/>
    <xf numFmtId="0" fontId="4" fillId="0" borderId="0"/>
  </cellStyleXfs>
  <cellXfs count="2825">
    <xf numFmtId="0" fontId="0" fillId="0" borderId="0" xfId="0"/>
    <xf numFmtId="0" fontId="0" fillId="0" borderId="17" xfId="0" applyBorder="1"/>
    <xf numFmtId="172" fontId="38" fillId="0" borderId="21" xfId="0" applyNumberFormat="1" applyFont="1" applyBorder="1" applyAlignment="1">
      <alignment vertical="top" wrapText="1"/>
    </xf>
    <xf numFmtId="0" fontId="38" fillId="0" borderId="0" xfId="0" applyFont="1"/>
    <xf numFmtId="0" fontId="38" fillId="0" borderId="0" xfId="0" applyFont="1" applyAlignment="1">
      <alignment horizontal="center" vertical="center" wrapText="1"/>
    </xf>
    <xf numFmtId="173" fontId="40" fillId="0" borderId="0" xfId="0" applyNumberFormat="1" applyFont="1" applyAlignment="1">
      <alignment horizontal="center" vertical="center" shrinkToFit="1"/>
    </xf>
    <xf numFmtId="173" fontId="40" fillId="0" borderId="0" xfId="0" applyNumberFormat="1" applyFont="1" applyAlignment="1">
      <alignment horizontal="center" vertical="center" wrapText="1"/>
    </xf>
    <xf numFmtId="173" fontId="38" fillId="0" borderId="0" xfId="0" applyNumberFormat="1" applyFont="1" applyAlignment="1">
      <alignment horizontal="center" vertical="center" wrapText="1"/>
    </xf>
    <xf numFmtId="0" fontId="40" fillId="0" borderId="0" xfId="0" applyFont="1" applyAlignment="1">
      <alignment horizontal="center" vertical="top" shrinkToFit="1"/>
    </xf>
    <xf numFmtId="0" fontId="38" fillId="0" borderId="0" xfId="0" applyFont="1" applyAlignment="1">
      <alignment horizontal="center" vertical="top" wrapText="1"/>
    </xf>
    <xf numFmtId="172" fontId="38" fillId="0" borderId="0" xfId="0" applyNumberFormat="1" applyFont="1" applyAlignment="1">
      <alignment horizontal="center" vertical="top" wrapText="1"/>
    </xf>
    <xf numFmtId="0" fontId="38" fillId="0" borderId="0" xfId="0" applyFont="1" applyAlignment="1">
      <alignment horizontal="center" vertical="center" shrinkToFit="1"/>
    </xf>
    <xf numFmtId="0" fontId="38" fillId="0" borderId="0" xfId="0" applyFont="1" applyAlignment="1">
      <alignment horizontal="justify" vertical="top" wrapText="1"/>
    </xf>
    <xf numFmtId="0" fontId="38" fillId="0" borderId="0" xfId="0" applyFont="1" applyAlignment="1">
      <alignment horizontal="center" vertical="top" shrinkToFit="1"/>
    </xf>
    <xf numFmtId="0" fontId="40" fillId="0" borderId="0" xfId="0" applyFont="1" applyAlignment="1">
      <alignment horizontal="center" vertical="top" wrapText="1"/>
    </xf>
    <xf numFmtId="172" fontId="38" fillId="0" borderId="0" xfId="0" applyNumberFormat="1" applyFont="1" applyAlignment="1">
      <alignment horizontal="center" vertical="top" shrinkToFit="1"/>
    </xf>
    <xf numFmtId="0" fontId="38" fillId="0" borderId="0" xfId="0" applyFont="1" applyAlignment="1">
      <alignment shrinkToFit="1"/>
    </xf>
    <xf numFmtId="173" fontId="40" fillId="0" borderId="21" xfId="0" applyNumberFormat="1" applyFont="1" applyBorder="1" applyAlignment="1">
      <alignment horizontal="center" vertical="center" shrinkToFit="1"/>
    </xf>
    <xf numFmtId="173" fontId="40" fillId="0" borderId="21" xfId="0" applyNumberFormat="1" applyFont="1" applyBorder="1" applyAlignment="1">
      <alignment horizontal="center" vertical="center" wrapText="1"/>
    </xf>
    <xf numFmtId="0" fontId="40" fillId="0" borderId="21" xfId="0" applyFont="1" applyBorder="1" applyAlignment="1">
      <alignment horizontal="center" vertical="top" shrinkToFit="1"/>
    </xf>
    <xf numFmtId="0" fontId="38" fillId="0" borderId="21" xfId="0" applyFont="1" applyBorder="1" applyAlignment="1">
      <alignment horizontal="center" vertical="top" wrapText="1"/>
    </xf>
    <xf numFmtId="174" fontId="38" fillId="27" borderId="21" xfId="0" applyNumberFormat="1" applyFont="1" applyFill="1" applyBorder="1" applyAlignment="1">
      <alignment horizontal="center" vertical="top" wrapText="1"/>
    </xf>
    <xf numFmtId="172" fontId="38" fillId="0" borderId="21" xfId="0" applyNumberFormat="1" applyFont="1" applyBorder="1" applyAlignment="1">
      <alignment horizontal="center" vertical="top" wrapText="1"/>
    </xf>
    <xf numFmtId="172" fontId="40" fillId="0" borderId="21" xfId="0" applyNumberFormat="1" applyFont="1" applyBorder="1" applyAlignment="1">
      <alignment horizontal="center" vertical="top" wrapText="1"/>
    </xf>
    <xf numFmtId="0" fontId="38" fillId="0" borderId="21" xfId="0" applyFont="1" applyBorder="1" applyAlignment="1">
      <alignment vertical="top" wrapText="1"/>
    </xf>
    <xf numFmtId="0" fontId="38" fillId="0" borderId="21" xfId="0" applyFont="1" applyBorder="1"/>
    <xf numFmtId="0" fontId="38" fillId="0" borderId="21" xfId="0" applyFont="1" applyBorder="1" applyAlignment="1">
      <alignment horizontal="center" vertical="top" shrinkToFit="1"/>
    </xf>
    <xf numFmtId="174" fontId="38" fillId="27" borderId="21" xfId="0" applyNumberFormat="1" applyFont="1" applyFill="1" applyBorder="1" applyAlignment="1">
      <alignment horizontal="center" vertical="top" shrinkToFit="1"/>
    </xf>
    <xf numFmtId="172" fontId="38" fillId="0" borderId="21" xfId="0" applyNumberFormat="1" applyFont="1" applyBorder="1" applyAlignment="1">
      <alignment horizontal="center" vertical="top" shrinkToFit="1"/>
    </xf>
    <xf numFmtId="172" fontId="40" fillId="0" borderId="21" xfId="0" applyNumberFormat="1" applyFont="1" applyBorder="1" applyAlignment="1">
      <alignment horizontal="center" vertical="top" shrinkToFit="1"/>
    </xf>
    <xf numFmtId="0" fontId="38" fillId="0" borderId="21" xfId="0" applyFont="1" applyBorder="1" applyAlignment="1">
      <alignment vertical="top" shrinkToFit="1"/>
    </xf>
    <xf numFmtId="0" fontId="38" fillId="0" borderId="21" xfId="0" applyFont="1" applyBorder="1" applyAlignment="1">
      <alignment shrinkToFit="1"/>
    </xf>
    <xf numFmtId="0" fontId="38" fillId="0" borderId="21" xfId="0" applyFont="1" applyBorder="1" applyAlignment="1">
      <alignment horizontal="justify" vertical="top" shrinkToFit="1"/>
    </xf>
    <xf numFmtId="172" fontId="40" fillId="0" borderId="21" xfId="0" applyNumberFormat="1" applyFont="1" applyBorder="1" applyAlignment="1">
      <alignment horizontal="left" vertical="top" shrinkToFit="1"/>
    </xf>
    <xf numFmtId="2" fontId="38" fillId="0" borderId="21" xfId="0" applyNumberFormat="1" applyFont="1" applyBorder="1" applyAlignment="1">
      <alignment horizontal="center" vertical="top" shrinkToFit="1"/>
    </xf>
    <xf numFmtId="172" fontId="38" fillId="0" borderId="21" xfId="0" applyNumberFormat="1" applyFont="1" applyBorder="1" applyAlignment="1">
      <alignment vertical="top" shrinkToFit="1"/>
    </xf>
    <xf numFmtId="174" fontId="38" fillId="0" borderId="21" xfId="0" applyNumberFormat="1" applyFont="1" applyBorder="1" applyAlignment="1">
      <alignment horizontal="center" vertical="top" shrinkToFit="1"/>
    </xf>
    <xf numFmtId="172" fontId="39" fillId="0" borderId="21" xfId="0" applyNumberFormat="1" applyFont="1" applyBorder="1" applyAlignment="1">
      <alignment horizontal="center" vertical="top" shrinkToFit="1"/>
    </xf>
    <xf numFmtId="173" fontId="38" fillId="0" borderId="21" xfId="0" applyNumberFormat="1" applyFont="1" applyBorder="1" applyAlignment="1">
      <alignment horizontal="center" vertical="top" shrinkToFit="1"/>
    </xf>
    <xf numFmtId="2" fontId="38" fillId="0" borderId="21" xfId="0" applyNumberFormat="1" applyFont="1" applyBorder="1" applyAlignment="1">
      <alignment shrinkToFit="1"/>
    </xf>
    <xf numFmtId="173" fontId="40" fillId="0" borderId="21" xfId="0" applyNumberFormat="1" applyFont="1" applyBorder="1" applyAlignment="1">
      <alignment horizontal="center" vertical="top" shrinkToFit="1"/>
    </xf>
    <xf numFmtId="0" fontId="40" fillId="0" borderId="21" xfId="0" applyFont="1" applyBorder="1" applyAlignment="1">
      <alignment horizontal="justify" vertical="top" shrinkToFit="1"/>
    </xf>
    <xf numFmtId="2" fontId="40" fillId="0" borderId="21" xfId="0" applyNumberFormat="1" applyFont="1" applyBorder="1" applyAlignment="1">
      <alignment horizontal="justify" vertical="top" shrinkToFit="1"/>
    </xf>
    <xf numFmtId="9" fontId="40" fillId="0" borderId="21" xfId="0" applyNumberFormat="1" applyFont="1" applyBorder="1" applyAlignment="1">
      <alignment horizontal="justify" vertical="top" shrinkToFit="1"/>
    </xf>
    <xf numFmtId="2" fontId="40" fillId="0" borderId="21" xfId="0" applyNumberFormat="1" applyFont="1" applyBorder="1" applyAlignment="1">
      <alignment vertical="top" shrinkToFit="1"/>
    </xf>
    <xf numFmtId="173" fontId="42" fillId="0" borderId="22" xfId="0" applyNumberFormat="1" applyFont="1" applyBorder="1" applyAlignment="1">
      <alignment horizontal="center" vertical="top" wrapText="1"/>
    </xf>
    <xf numFmtId="0" fontId="43" fillId="0" borderId="0" xfId="0" applyFont="1" applyAlignment="1">
      <alignment horizontal="center" vertical="top"/>
    </xf>
    <xf numFmtId="0" fontId="43" fillId="0" borderId="0" xfId="0" applyFont="1" applyAlignment="1">
      <alignment horizontal="center" vertical="center"/>
    </xf>
    <xf numFmtId="0" fontId="40" fillId="0" borderId="0" xfId="0" applyFont="1" applyAlignment="1">
      <alignment horizontal="center" vertical="top"/>
    </xf>
    <xf numFmtId="0" fontId="40" fillId="0" borderId="23" xfId="0" applyFont="1" applyBorder="1" applyAlignment="1">
      <alignment horizontal="center" vertical="center" wrapText="1"/>
    </xf>
    <xf numFmtId="172" fontId="40" fillId="0" borderId="23" xfId="0" applyNumberFormat="1" applyFont="1" applyBorder="1" applyAlignment="1">
      <alignment horizontal="center" vertical="center" wrapText="1"/>
    </xf>
    <xf numFmtId="172" fontId="40" fillId="0" borderId="24" xfId="0" applyNumberFormat="1" applyFont="1" applyBorder="1" applyAlignment="1">
      <alignment horizontal="center" vertical="center" wrapText="1"/>
    </xf>
    <xf numFmtId="173" fontId="40" fillId="0" borderId="25" xfId="0" applyNumberFormat="1" applyFont="1" applyBorder="1" applyAlignment="1">
      <alignment horizontal="center" vertical="center" wrapText="1"/>
    </xf>
    <xf numFmtId="173" fontId="40" fillId="0" borderId="21" xfId="0" applyNumberFormat="1" applyFont="1" applyBorder="1" applyAlignment="1">
      <alignment horizontal="center" vertical="top" wrapText="1"/>
    </xf>
    <xf numFmtId="0" fontId="38" fillId="0" borderId="21" xfId="0" applyFont="1" applyBorder="1" applyAlignment="1">
      <alignment horizontal="justify" vertical="top" wrapText="1"/>
    </xf>
    <xf numFmtId="0" fontId="40" fillId="0" borderId="21" xfId="0" applyFont="1" applyBorder="1" applyAlignment="1">
      <alignment horizontal="justify" vertical="top" wrapText="1"/>
    </xf>
    <xf numFmtId="0" fontId="40" fillId="0" borderId="21" xfId="0" applyFont="1" applyBorder="1" applyAlignment="1">
      <alignment horizontal="center" vertical="top" wrapText="1"/>
    </xf>
    <xf numFmtId="0" fontId="40" fillId="0" borderId="0" xfId="0" applyFont="1"/>
    <xf numFmtId="0" fontId="46" fillId="0" borderId="0" xfId="0" applyFont="1"/>
    <xf numFmtId="172" fontId="40" fillId="0" borderId="21" xfId="0" applyNumberFormat="1" applyFont="1" applyBorder="1" applyAlignment="1">
      <alignment horizontal="justify" vertical="top" wrapText="1"/>
    </xf>
    <xf numFmtId="172" fontId="38" fillId="0" borderId="21" xfId="0" applyNumberFormat="1" applyFont="1" applyBorder="1" applyAlignment="1">
      <alignment horizontal="justify" vertical="top" wrapText="1"/>
    </xf>
    <xf numFmtId="0" fontId="43" fillId="0" borderId="22" xfId="0" applyFont="1" applyBorder="1" applyAlignment="1">
      <alignment horizontal="center" vertical="center"/>
    </xf>
    <xf numFmtId="0" fontId="44" fillId="0" borderId="0" xfId="0" applyFont="1" applyAlignment="1">
      <alignment horizontal="center" vertical="top" wrapText="1"/>
    </xf>
    <xf numFmtId="0" fontId="38" fillId="0" borderId="21" xfId="0" applyFont="1" applyBorder="1" applyAlignment="1">
      <alignment horizontal="justify" vertical="justify" wrapText="1"/>
    </xf>
    <xf numFmtId="0" fontId="40" fillId="0" borderId="21" xfId="0" applyFont="1" applyBorder="1" applyAlignment="1">
      <alignment horizontal="justify" vertical="justify" wrapText="1"/>
    </xf>
    <xf numFmtId="0" fontId="49" fillId="0" borderId="0" xfId="0" applyFont="1" applyAlignment="1">
      <alignment horizontal="center"/>
    </xf>
    <xf numFmtId="0" fontId="50" fillId="0" borderId="0" xfId="0" applyFont="1" applyAlignment="1">
      <alignment horizontal="center" wrapText="1"/>
    </xf>
    <xf numFmtId="2" fontId="51" fillId="0" borderId="8" xfId="0" applyNumberFormat="1" applyFont="1" applyBorder="1" applyAlignment="1">
      <alignment horizontal="center" vertical="center"/>
    </xf>
    <xf numFmtId="1" fontId="38" fillId="0" borderId="8" xfId="0" applyNumberFormat="1" applyFont="1" applyBorder="1" applyAlignment="1">
      <alignment horizontal="center" vertical="center" wrapText="1"/>
    </xf>
    <xf numFmtId="1" fontId="41" fillId="0" borderId="8" xfId="0" applyNumberFormat="1" applyFont="1" applyBorder="1" applyAlignment="1">
      <alignment horizontal="center" vertical="center" wrapText="1"/>
    </xf>
    <xf numFmtId="1" fontId="38" fillId="0" borderId="8" xfId="0" applyNumberFormat="1" applyFont="1" applyBorder="1" applyAlignment="1">
      <alignment horizontal="center" vertical="center"/>
    </xf>
    <xf numFmtId="1" fontId="38" fillId="0" borderId="26" xfId="0" applyNumberFormat="1" applyFont="1" applyBorder="1" applyAlignment="1">
      <alignment horizontal="center" vertical="center"/>
    </xf>
    <xf numFmtId="1" fontId="38" fillId="0" borderId="0" xfId="0" applyNumberFormat="1" applyFont="1"/>
    <xf numFmtId="0" fontId="40" fillId="0" borderId="27" xfId="0" applyFont="1" applyBorder="1" applyAlignment="1">
      <alignment horizontal="left" vertical="top" wrapText="1"/>
    </xf>
    <xf numFmtId="2" fontId="43" fillId="0" borderId="28" xfId="0" applyNumberFormat="1" applyFont="1" applyBorder="1" applyAlignment="1">
      <alignment horizontal="center" vertical="center" shrinkToFit="1"/>
    </xf>
    <xf numFmtId="2" fontId="38" fillId="0" borderId="29" xfId="0" applyNumberFormat="1" applyFont="1" applyBorder="1" applyAlignment="1">
      <alignment horizontal="center" vertical="center" shrinkToFit="1"/>
    </xf>
    <xf numFmtId="2" fontId="38" fillId="0" borderId="30" xfId="0" applyNumberFormat="1" applyFont="1" applyBorder="1" applyAlignment="1">
      <alignment horizontal="center" vertical="center"/>
    </xf>
    <xf numFmtId="2" fontId="38" fillId="0" borderId="23" xfId="0" applyNumberFormat="1" applyFont="1" applyBorder="1" applyAlignment="1">
      <alignment horizontal="center" vertical="center"/>
    </xf>
    <xf numFmtId="0" fontId="40" fillId="0" borderId="22" xfId="0" applyFont="1" applyBorder="1" applyAlignment="1">
      <alignment horizontal="left" vertical="top" wrapText="1"/>
    </xf>
    <xf numFmtId="0" fontId="40" fillId="0" borderId="21" xfId="0" applyFont="1" applyBorder="1" applyAlignment="1">
      <alignment horizontal="left" vertical="top" wrapText="1"/>
    </xf>
    <xf numFmtId="0" fontId="52" fillId="0" borderId="21" xfId="0" applyFont="1" applyBorder="1" applyAlignment="1">
      <alignment vertical="center"/>
    </xf>
    <xf numFmtId="2" fontId="40" fillId="0" borderId="21" xfId="0" applyNumberFormat="1" applyFont="1" applyBorder="1" applyAlignment="1">
      <alignment horizontal="justify" vertical="justify" wrapText="1"/>
    </xf>
    <xf numFmtId="2" fontId="43" fillId="0" borderId="21" xfId="0" applyNumberFormat="1" applyFont="1" applyBorder="1" applyAlignment="1">
      <alignment horizontal="center" vertical="center" shrinkToFit="1"/>
    </xf>
    <xf numFmtId="2" fontId="38" fillId="0" borderId="25" xfId="0" applyNumberFormat="1" applyFont="1" applyBorder="1" applyAlignment="1">
      <alignment horizontal="center" vertical="center" shrinkToFit="1"/>
    </xf>
    <xf numFmtId="2" fontId="38" fillId="0" borderId="31" xfId="0" applyNumberFormat="1" applyFont="1" applyBorder="1" applyAlignment="1">
      <alignment horizontal="center" vertical="center"/>
    </xf>
    <xf numFmtId="2" fontId="38" fillId="0" borderId="28" xfId="0" applyNumberFormat="1" applyFont="1" applyBorder="1" applyAlignment="1">
      <alignment horizontal="center" vertical="center"/>
    </xf>
    <xf numFmtId="0" fontId="44" fillId="0" borderId="21" xfId="0" applyFont="1" applyBorder="1" applyAlignment="1">
      <alignment horizontal="justify" vertical="justify"/>
    </xf>
    <xf numFmtId="1" fontId="38" fillId="0" borderId="21" xfId="0" applyNumberFormat="1" applyFont="1" applyBorder="1" applyAlignment="1">
      <alignment horizontal="center" vertical="center"/>
    </xf>
    <xf numFmtId="2" fontId="38" fillId="0" borderId="21" xfId="0" applyNumberFormat="1" applyFont="1" applyBorder="1" applyAlignment="1">
      <alignment horizontal="center" vertical="center"/>
    </xf>
    <xf numFmtId="2" fontId="38" fillId="0" borderId="32" xfId="0" applyNumberFormat="1" applyFont="1" applyBorder="1" applyAlignment="1">
      <alignment horizontal="center" vertical="center"/>
    </xf>
    <xf numFmtId="0" fontId="44" fillId="0" borderId="21" xfId="0" applyFont="1" applyBorder="1" applyAlignment="1">
      <alignment vertical="center" wrapText="1"/>
    </xf>
    <xf numFmtId="0" fontId="44" fillId="0" borderId="21" xfId="0" applyFont="1" applyBorder="1" applyAlignment="1">
      <alignment vertical="center"/>
    </xf>
    <xf numFmtId="2" fontId="40" fillId="0" borderId="21" xfId="0" applyNumberFormat="1" applyFont="1" applyBorder="1" applyAlignment="1">
      <alignment horizontal="center" vertical="center"/>
    </xf>
    <xf numFmtId="2" fontId="40" fillId="0" borderId="25" xfId="0" applyNumberFormat="1" applyFont="1" applyBorder="1" applyAlignment="1">
      <alignment horizontal="center" vertical="center" shrinkToFit="1"/>
    </xf>
    <xf numFmtId="0" fontId="40" fillId="0" borderId="21" xfId="0" applyFont="1" applyBorder="1" applyAlignment="1">
      <alignment horizontal="justify" vertical="justify" shrinkToFit="1"/>
    </xf>
    <xf numFmtId="2" fontId="42" fillId="0" borderId="21" xfId="0" applyNumberFormat="1" applyFont="1" applyBorder="1" applyAlignment="1">
      <alignment horizontal="center" vertical="center" shrinkToFit="1"/>
    </xf>
    <xf numFmtId="2" fontId="40" fillId="0" borderId="32" xfId="0" applyNumberFormat="1" applyFont="1" applyBorder="1" applyAlignment="1">
      <alignment horizontal="center" vertical="center"/>
    </xf>
    <xf numFmtId="0" fontId="44" fillId="0" borderId="21" xfId="0" applyFont="1" applyBorder="1" applyAlignment="1">
      <alignment horizontal="justify" vertical="justify" wrapText="1"/>
    </xf>
    <xf numFmtId="0" fontId="44" fillId="0" borderId="21" xfId="0" applyFont="1" applyBorder="1" applyAlignment="1">
      <alignment vertical="center" shrinkToFit="1"/>
    </xf>
    <xf numFmtId="2" fontId="38" fillId="0" borderId="21" xfId="0" applyNumberFormat="1" applyFont="1" applyBorder="1" applyAlignment="1">
      <alignment horizontal="justify" vertical="justify" wrapText="1"/>
    </xf>
    <xf numFmtId="0" fontId="43" fillId="0" borderId="21" xfId="0" applyFont="1" applyBorder="1" applyAlignment="1">
      <alignment vertical="center" shrinkToFit="1"/>
    </xf>
    <xf numFmtId="1" fontId="40" fillId="0" borderId="21" xfId="0" applyNumberFormat="1" applyFont="1" applyBorder="1" applyAlignment="1">
      <alignment horizontal="center" vertical="center" wrapText="1"/>
    </xf>
    <xf numFmtId="2" fontId="43" fillId="0" borderId="21" xfId="0" applyNumberFormat="1" applyFont="1" applyBorder="1" applyAlignment="1">
      <alignment shrinkToFit="1"/>
    </xf>
    <xf numFmtId="2" fontId="38" fillId="0" borderId="25" xfId="0" applyNumberFormat="1" applyFont="1" applyBorder="1" applyAlignment="1">
      <alignment shrinkToFit="1"/>
    </xf>
    <xf numFmtId="2" fontId="38" fillId="0" borderId="32" xfId="0" applyNumberFormat="1" applyFont="1" applyBorder="1"/>
    <xf numFmtId="2" fontId="38" fillId="0" borderId="21" xfId="0" applyNumberFormat="1" applyFont="1" applyBorder="1"/>
    <xf numFmtId="0" fontId="38" fillId="0" borderId="21" xfId="0" applyFont="1" applyBorder="1" applyAlignment="1">
      <alignment vertical="top"/>
    </xf>
    <xf numFmtId="0" fontId="43" fillId="0" borderId="21" xfId="0" applyFont="1" applyBorder="1" applyAlignment="1">
      <alignment horizontal="justify" vertical="justify" wrapText="1"/>
    </xf>
    <xf numFmtId="2" fontId="44" fillId="0" borderId="21" xfId="0" applyNumberFormat="1" applyFont="1" applyBorder="1" applyAlignment="1">
      <alignment horizontal="center" vertical="center" shrinkToFit="1"/>
    </xf>
    <xf numFmtId="0" fontId="55" fillId="0" borderId="21" xfId="0" applyFont="1" applyBorder="1" applyAlignment="1">
      <alignment horizontal="left" vertical="top"/>
    </xf>
    <xf numFmtId="2" fontId="47" fillId="0" borderId="21" xfId="0" applyNumberFormat="1" applyFont="1" applyBorder="1" applyAlignment="1">
      <alignment horizontal="center" vertical="center"/>
    </xf>
    <xf numFmtId="2" fontId="38" fillId="0" borderId="0" xfId="0" applyNumberFormat="1" applyFont="1" applyAlignment="1">
      <alignment horizontal="center" vertical="center"/>
    </xf>
    <xf numFmtId="0" fontId="54" fillId="0" borderId="21" xfId="0" applyFont="1" applyBorder="1" applyAlignment="1">
      <alignment horizontal="justify" vertical="justify" wrapText="1"/>
    </xf>
    <xf numFmtId="2" fontId="40" fillId="0" borderId="0" xfId="0" applyNumberFormat="1" applyFont="1" applyAlignment="1">
      <alignment horizontal="center" vertical="center"/>
    </xf>
    <xf numFmtId="2" fontId="38" fillId="0" borderId="21" xfId="0" applyNumberFormat="1" applyFont="1" applyBorder="1" applyAlignment="1">
      <alignment horizontal="left"/>
    </xf>
    <xf numFmtId="0" fontId="56" fillId="0" borderId="22" xfId="0" applyFont="1" applyBorder="1" applyAlignment="1">
      <alignment horizontal="left" vertical="top" wrapText="1"/>
    </xf>
    <xf numFmtId="1" fontId="54" fillId="0" borderId="21" xfId="0" applyNumberFormat="1" applyFont="1" applyBorder="1" applyAlignment="1">
      <alignment horizontal="center" vertical="center"/>
    </xf>
    <xf numFmtId="2" fontId="54" fillId="0" borderId="21" xfId="0" applyNumberFormat="1" applyFont="1" applyBorder="1" applyAlignment="1">
      <alignment horizontal="center" vertical="center"/>
    </xf>
    <xf numFmtId="2" fontId="54" fillId="0" borderId="25" xfId="0" applyNumberFormat="1" applyFont="1" applyBorder="1" applyAlignment="1">
      <alignment horizontal="center" vertical="center" shrinkToFit="1"/>
    </xf>
    <xf numFmtId="2" fontId="54" fillId="0" borderId="32" xfId="0" applyNumberFormat="1" applyFont="1" applyBorder="1" applyAlignment="1">
      <alignment horizontal="center" vertical="center"/>
    </xf>
    <xf numFmtId="2" fontId="56" fillId="0" borderId="21" xfId="0" applyNumberFormat="1" applyFont="1" applyBorder="1" applyAlignment="1">
      <alignment horizontal="center" vertical="center"/>
    </xf>
    <xf numFmtId="0" fontId="54" fillId="0" borderId="0" xfId="0" applyFont="1"/>
    <xf numFmtId="2" fontId="42" fillId="0" borderId="21" xfId="0" applyNumberFormat="1" applyFont="1" applyBorder="1" applyAlignment="1">
      <alignment horizontal="center" vertical="center"/>
    </xf>
    <xf numFmtId="2" fontId="38" fillId="0" borderId="0" xfId="0" applyNumberFormat="1" applyFont="1"/>
    <xf numFmtId="0" fontId="49" fillId="0" borderId="22" xfId="0" applyFont="1" applyBorder="1" applyAlignment="1">
      <alignment vertical="top"/>
    </xf>
    <xf numFmtId="0" fontId="43" fillId="0" borderId="21" xfId="0" applyFont="1" applyBorder="1" applyAlignment="1">
      <alignment vertical="top" shrinkToFit="1"/>
    </xf>
    <xf numFmtId="2" fontId="49" fillId="0" borderId="25" xfId="0" applyNumberFormat="1" applyFont="1" applyBorder="1" applyAlignment="1">
      <alignment horizontal="right" vertical="top" shrinkToFit="1"/>
    </xf>
    <xf numFmtId="2" fontId="49" fillId="0" borderId="32" xfId="0" applyNumberFormat="1" applyFont="1" applyBorder="1" applyAlignment="1">
      <alignment horizontal="right" vertical="top"/>
    </xf>
    <xf numFmtId="0" fontId="38" fillId="0" borderId="0" xfId="0" applyFont="1" applyAlignment="1">
      <alignment vertical="top"/>
    </xf>
    <xf numFmtId="2" fontId="38" fillId="0" borderId="21" xfId="0" applyNumberFormat="1" applyFont="1" applyBorder="1" applyAlignment="1">
      <alignment horizontal="center" vertical="top" wrapText="1"/>
    </xf>
    <xf numFmtId="2" fontId="38" fillId="0" borderId="21" xfId="0" applyNumberFormat="1" applyFont="1" applyBorder="1" applyAlignment="1">
      <alignment vertical="top" wrapText="1"/>
    </xf>
    <xf numFmtId="2" fontId="43" fillId="0" borderId="21" xfId="0" applyNumberFormat="1" applyFont="1" applyBorder="1" applyAlignment="1">
      <alignment horizontal="center" vertical="top" shrinkToFit="1"/>
    </xf>
    <xf numFmtId="0" fontId="43" fillId="0" borderId="21" xfId="0" applyFont="1" applyBorder="1" applyAlignment="1">
      <alignment horizontal="center" vertical="top" shrinkToFit="1"/>
    </xf>
    <xf numFmtId="2" fontId="58" fillId="0" borderId="21" xfId="0" applyNumberFormat="1" applyFont="1" applyBorder="1" applyAlignment="1">
      <alignment horizontal="right" vertical="top" shrinkToFit="1"/>
    </xf>
    <xf numFmtId="0" fontId="43" fillId="0" borderId="21" xfId="0" applyFont="1" applyBorder="1" applyAlignment="1">
      <alignment horizontal="justify" vertical="top" shrinkToFit="1"/>
    </xf>
    <xf numFmtId="1" fontId="38" fillId="0" borderId="21" xfId="0" applyNumberFormat="1" applyFont="1" applyBorder="1" applyAlignment="1">
      <alignment horizontal="center" vertical="top" wrapText="1"/>
    </xf>
    <xf numFmtId="2" fontId="59" fillId="0" borderId="25" xfId="0" applyNumberFormat="1" applyFont="1" applyBorder="1" applyAlignment="1">
      <alignment horizontal="right" vertical="top" shrinkToFit="1"/>
    </xf>
    <xf numFmtId="0" fontId="38" fillId="0" borderId="0" xfId="0" applyFont="1" applyAlignment="1">
      <alignment horizontal="center" vertical="top"/>
    </xf>
    <xf numFmtId="2" fontId="38" fillId="0" borderId="0" xfId="0" applyNumberFormat="1" applyFont="1" applyAlignment="1">
      <alignment horizontal="center" vertical="top"/>
    </xf>
    <xf numFmtId="172" fontId="41" fillId="0" borderId="21" xfId="0" applyNumberFormat="1" applyFont="1" applyBorder="1" applyAlignment="1">
      <alignment horizontal="center" vertical="top" wrapText="1"/>
    </xf>
    <xf numFmtId="0" fontId="43" fillId="0" borderId="21" xfId="0" applyFont="1" applyBorder="1" applyAlignment="1">
      <alignment vertical="top"/>
    </xf>
    <xf numFmtId="0" fontId="42" fillId="0" borderId="22" xfId="0" applyFont="1" applyBorder="1" applyAlignment="1">
      <alignment horizontal="left" vertical="top" wrapText="1"/>
    </xf>
    <xf numFmtId="2" fontId="60" fillId="0" borderId="32" xfId="0" applyNumberFormat="1" applyFont="1" applyBorder="1" applyAlignment="1">
      <alignment horizontal="right" vertical="top"/>
    </xf>
    <xf numFmtId="2" fontId="55" fillId="0" borderId="21" xfId="0" applyNumberFormat="1" applyFont="1" applyBorder="1" applyAlignment="1">
      <alignment horizontal="right" vertical="top"/>
    </xf>
    <xf numFmtId="2" fontId="43" fillId="0" borderId="0" xfId="0" applyNumberFormat="1" applyFont="1" applyAlignment="1">
      <alignment horizontal="center" vertical="top"/>
    </xf>
    <xf numFmtId="0" fontId="43" fillId="0" borderId="0" xfId="0" applyFont="1" applyAlignment="1">
      <alignment vertical="top"/>
    </xf>
    <xf numFmtId="2" fontId="59" fillId="0" borderId="32" xfId="0" applyNumberFormat="1" applyFont="1" applyBorder="1" applyAlignment="1">
      <alignment horizontal="right" vertical="top"/>
    </xf>
    <xf numFmtId="1" fontId="61" fillId="0" borderId="0" xfId="0" applyNumberFormat="1" applyFont="1" applyAlignment="1">
      <alignment vertical="top"/>
    </xf>
    <xf numFmtId="0" fontId="61" fillId="0" borderId="0" xfId="0" applyFont="1" applyAlignment="1">
      <alignment horizontal="center" vertical="top"/>
    </xf>
    <xf numFmtId="2" fontId="61" fillId="0" borderId="0" xfId="0" applyNumberFormat="1" applyFont="1" applyAlignment="1">
      <alignment horizontal="center" vertical="top"/>
    </xf>
    <xf numFmtId="0" fontId="61" fillId="0" borderId="0" xfId="0" applyFont="1" applyAlignment="1">
      <alignment vertical="top"/>
    </xf>
    <xf numFmtId="0" fontId="40" fillId="0" borderId="0" xfId="0" applyFont="1" applyAlignment="1">
      <alignment horizontal="left" vertical="top" wrapText="1"/>
    </xf>
    <xf numFmtId="0" fontId="38" fillId="0" borderId="0" xfId="0" applyFont="1" applyAlignment="1">
      <alignment horizontal="left"/>
    </xf>
    <xf numFmtId="2" fontId="38" fillId="0" borderId="0" xfId="0" applyNumberFormat="1" applyFont="1" applyAlignment="1">
      <alignment horizontal="left"/>
    </xf>
    <xf numFmtId="2" fontId="43" fillId="0" borderId="0" xfId="0" applyNumberFormat="1" applyFont="1"/>
    <xf numFmtId="0" fontId="40" fillId="0" borderId="21" xfId="0" applyFont="1" applyBorder="1" applyAlignment="1">
      <alignment vertical="top" shrinkToFit="1"/>
    </xf>
    <xf numFmtId="172" fontId="40" fillId="0" borderId="21" xfId="0" applyNumberFormat="1" applyFont="1" applyBorder="1" applyAlignment="1">
      <alignment vertical="top" wrapText="1"/>
    </xf>
    <xf numFmtId="0" fontId="40" fillId="0" borderId="0" xfId="0" applyFont="1" applyAlignment="1">
      <alignment horizontal="center"/>
    </xf>
    <xf numFmtId="2" fontId="40" fillId="0" borderId="21" xfId="0" applyNumberFormat="1" applyFont="1" applyBorder="1" applyAlignment="1">
      <alignment horizontal="center" vertical="top" shrinkToFit="1"/>
    </xf>
    <xf numFmtId="0" fontId="40" fillId="0" borderId="0" xfId="0" applyFont="1" applyAlignment="1">
      <alignment shrinkToFit="1"/>
    </xf>
    <xf numFmtId="173" fontId="40" fillId="0" borderId="0" xfId="0" applyNumberFormat="1" applyFont="1" applyAlignment="1">
      <alignment horizontal="center" vertical="top" shrinkToFit="1"/>
    </xf>
    <xf numFmtId="0" fontId="40" fillId="0" borderId="0" xfId="0" applyFont="1" applyAlignment="1">
      <alignment horizontal="justify" vertical="top" shrinkToFit="1"/>
    </xf>
    <xf numFmtId="9" fontId="40" fillId="0" borderId="0" xfId="0" applyNumberFormat="1" applyFont="1" applyAlignment="1">
      <alignment horizontal="justify" vertical="top" shrinkToFit="1"/>
    </xf>
    <xf numFmtId="2" fontId="40" fillId="0" borderId="0" xfId="0" applyNumberFormat="1" applyFont="1" applyAlignment="1">
      <alignment horizontal="right" vertical="top" shrinkToFit="1"/>
    </xf>
    <xf numFmtId="0" fontId="40" fillId="0" borderId="33" xfId="0" applyFont="1" applyBorder="1" applyAlignment="1">
      <alignment horizontal="center" vertical="center" shrinkToFit="1"/>
    </xf>
    <xf numFmtId="0" fontId="40" fillId="0" borderId="23" xfId="0" applyFont="1" applyBorder="1" applyAlignment="1">
      <alignment vertical="center" shrinkToFit="1"/>
    </xf>
    <xf numFmtId="0" fontId="38" fillId="0" borderId="23" xfId="0" applyFont="1" applyBorder="1" applyAlignment="1">
      <alignment horizontal="center" vertical="center" wrapText="1"/>
    </xf>
    <xf numFmtId="173" fontId="38" fillId="0" borderId="22" xfId="0" applyNumberFormat="1" applyFont="1" applyBorder="1" applyAlignment="1">
      <alignment horizontal="center" vertical="center" shrinkToFit="1"/>
    </xf>
    <xf numFmtId="0" fontId="40" fillId="0" borderId="22" xfId="0" applyFont="1" applyBorder="1" applyAlignment="1">
      <alignment horizontal="center" vertical="center" shrinkToFit="1"/>
    </xf>
    <xf numFmtId="0" fontId="38" fillId="0" borderId="25" xfId="0" applyFont="1" applyBorder="1"/>
    <xf numFmtId="0" fontId="38" fillId="0" borderId="22" xfId="0" applyFont="1" applyBorder="1" applyAlignment="1">
      <alignment horizontal="center" vertical="center" shrinkToFit="1"/>
    </xf>
    <xf numFmtId="0" fontId="38" fillId="0" borderId="25" xfId="0" applyFont="1" applyBorder="1" applyAlignment="1">
      <alignment shrinkToFit="1"/>
    </xf>
    <xf numFmtId="0" fontId="40" fillId="0" borderId="22" xfId="0" applyFont="1" applyBorder="1" applyAlignment="1">
      <alignment horizontal="center" vertical="top" shrinkToFit="1"/>
    </xf>
    <xf numFmtId="0" fontId="38" fillId="0" borderId="25" xfId="0" applyFont="1" applyBorder="1" applyAlignment="1">
      <alignment horizontal="justify" vertical="top" shrinkToFit="1"/>
    </xf>
    <xf numFmtId="0" fontId="40" fillId="0" borderId="25" xfId="0" applyFont="1" applyBorder="1" applyAlignment="1">
      <alignment vertical="top" shrinkToFit="1"/>
    </xf>
    <xf numFmtId="0" fontId="38" fillId="0" borderId="22" xfId="0" applyFont="1" applyBorder="1" applyAlignment="1">
      <alignment horizontal="center" vertical="top" shrinkToFit="1"/>
    </xf>
    <xf numFmtId="0" fontId="38" fillId="0" borderId="25" xfId="0" applyFont="1" applyBorder="1" applyAlignment="1">
      <alignment vertical="top" shrinkToFit="1"/>
    </xf>
    <xf numFmtId="2" fontId="38" fillId="0" borderId="25" xfId="0" applyNumberFormat="1" applyFont="1" applyBorder="1" applyAlignment="1">
      <alignment vertical="top" shrinkToFit="1"/>
    </xf>
    <xf numFmtId="2" fontId="40" fillId="0" borderId="25" xfId="0" applyNumberFormat="1" applyFont="1" applyBorder="1" applyAlignment="1">
      <alignment vertical="top" shrinkToFit="1"/>
    </xf>
    <xf numFmtId="173" fontId="40" fillId="0" borderId="22" xfId="0" applyNumberFormat="1" applyFont="1" applyBorder="1" applyAlignment="1">
      <alignment horizontal="center" vertical="top" shrinkToFit="1"/>
    </xf>
    <xf numFmtId="2" fontId="40" fillId="0" borderId="25" xfId="0" applyNumberFormat="1" applyFont="1" applyBorder="1" applyAlignment="1">
      <alignment horizontal="justify" vertical="top" shrinkToFit="1"/>
    </xf>
    <xf numFmtId="0" fontId="38" fillId="0" borderId="25" xfId="0" applyFont="1" applyBorder="1" applyAlignment="1">
      <alignment horizontal="right" vertical="top" shrinkToFit="1"/>
    </xf>
    <xf numFmtId="2" fontId="40" fillId="0" borderId="25" xfId="0" applyNumberFormat="1" applyFont="1" applyBorder="1" applyAlignment="1">
      <alignment horizontal="right" vertical="top" shrinkToFit="1"/>
    </xf>
    <xf numFmtId="173" fontId="40" fillId="0" borderId="34" xfId="0" applyNumberFormat="1" applyFont="1" applyBorder="1" applyAlignment="1">
      <alignment horizontal="center" vertical="top" shrinkToFit="1"/>
    </xf>
    <xf numFmtId="173" fontId="40" fillId="0" borderId="35" xfId="0" applyNumberFormat="1" applyFont="1" applyBorder="1" applyAlignment="1">
      <alignment horizontal="center" vertical="top" shrinkToFit="1"/>
    </xf>
    <xf numFmtId="0" fontId="40" fillId="0" borderId="35" xfId="0" applyFont="1" applyBorder="1" applyAlignment="1">
      <alignment horizontal="justify" vertical="top" shrinkToFit="1"/>
    </xf>
    <xf numFmtId="173" fontId="40" fillId="0" borderId="35" xfId="0" applyNumberFormat="1" applyFont="1" applyBorder="1" applyAlignment="1">
      <alignment horizontal="center" vertical="center" shrinkToFit="1"/>
    </xf>
    <xf numFmtId="9" fontId="40" fillId="0" borderId="35" xfId="0" applyNumberFormat="1" applyFont="1" applyBorder="1" applyAlignment="1">
      <alignment horizontal="justify" vertical="top" shrinkToFit="1"/>
    </xf>
    <xf numFmtId="2" fontId="47" fillId="0" borderId="21" xfId="0" applyNumberFormat="1" applyFont="1" applyBorder="1" applyAlignment="1">
      <alignment horizontal="center" vertical="top" wrapText="1"/>
    </xf>
    <xf numFmtId="2" fontId="44" fillId="0" borderId="21" xfId="0" applyNumberFormat="1" applyFont="1" applyBorder="1" applyAlignment="1">
      <alignment horizontal="center" vertical="top" shrinkToFit="1"/>
    </xf>
    <xf numFmtId="2" fontId="47" fillId="0" borderId="21" xfId="0" applyNumberFormat="1" applyFont="1" applyBorder="1" applyAlignment="1">
      <alignment horizontal="center" vertical="top" shrinkToFit="1"/>
    </xf>
    <xf numFmtId="2" fontId="44" fillId="27" borderId="21" xfId="0" applyNumberFormat="1" applyFont="1" applyFill="1" applyBorder="1" applyAlignment="1">
      <alignment horizontal="center" vertical="top" shrinkToFit="1"/>
    </xf>
    <xf numFmtId="0" fontId="40" fillId="0" borderId="0" xfId="0" applyFont="1" applyAlignment="1">
      <alignment horizontal="justify" vertical="top" wrapText="1"/>
    </xf>
    <xf numFmtId="0" fontId="51" fillId="0" borderId="21" xfId="0" applyFont="1" applyBorder="1" applyAlignment="1">
      <alignment horizontal="justify" vertical="top"/>
    </xf>
    <xf numFmtId="2" fontId="51" fillId="0" borderId="21" xfId="0" applyNumberFormat="1" applyFont="1" applyBorder="1" applyAlignment="1">
      <alignment horizontal="center" vertical="top" shrinkToFit="1"/>
    </xf>
    <xf numFmtId="0" fontId="40" fillId="0" borderId="35" xfId="0" applyFont="1" applyBorder="1" applyAlignment="1">
      <alignment horizontal="justify" vertical="top" wrapText="1"/>
    </xf>
    <xf numFmtId="0" fontId="43" fillId="0" borderId="21" xfId="0" applyFont="1" applyBorder="1" applyAlignment="1">
      <alignment horizontal="left" vertical="top" wrapText="1"/>
    </xf>
    <xf numFmtId="0" fontId="38" fillId="0" borderId="21" xfId="71" applyFont="1" applyBorder="1"/>
    <xf numFmtId="170" fontId="38" fillId="0" borderId="21" xfId="0" applyNumberFormat="1" applyFont="1" applyBorder="1" applyAlignment="1">
      <alignment horizontal="center" vertical="top" shrinkToFit="1"/>
    </xf>
    <xf numFmtId="0" fontId="41" fillId="0" borderId="0" xfId="0" applyFont="1" applyAlignment="1">
      <alignment horizontal="justify" vertical="top" wrapText="1"/>
    </xf>
    <xf numFmtId="0" fontId="41" fillId="0" borderId="21" xfId="0" applyFont="1" applyBorder="1" applyAlignment="1">
      <alignment horizontal="justify" vertical="top" wrapText="1"/>
    </xf>
    <xf numFmtId="0" fontId="43" fillId="0" borderId="21" xfId="0" applyFont="1" applyBorder="1" applyAlignment="1">
      <alignment horizontal="center" vertical="top" wrapText="1"/>
    </xf>
    <xf numFmtId="0" fontId="51" fillId="0" borderId="21" xfId="0" applyFont="1" applyBorder="1" applyAlignment="1">
      <alignment horizontal="justify" vertical="top" wrapText="1"/>
    </xf>
    <xf numFmtId="0" fontId="41" fillId="0" borderId="21" xfId="0" applyFont="1" applyBorder="1"/>
    <xf numFmtId="1" fontId="41" fillId="0" borderId="21" xfId="0" applyNumberFormat="1" applyFont="1" applyBorder="1" applyAlignment="1">
      <alignment horizontal="center"/>
    </xf>
    <xf numFmtId="2" fontId="38" fillId="0" borderId="21" xfId="0" applyNumberFormat="1" applyFont="1" applyBorder="1" applyAlignment="1">
      <alignment vertical="top" shrinkToFit="1"/>
    </xf>
    <xf numFmtId="172" fontId="40" fillId="28" borderId="21" xfId="0" applyNumberFormat="1" applyFont="1" applyFill="1" applyBorder="1" applyAlignment="1">
      <alignment horizontal="left" vertical="top" shrinkToFit="1"/>
    </xf>
    <xf numFmtId="2" fontId="40" fillId="28" borderId="25" xfId="0" applyNumberFormat="1" applyFont="1" applyFill="1" applyBorder="1" applyAlignment="1">
      <alignment horizontal="justify" vertical="top" shrinkToFit="1"/>
    </xf>
    <xf numFmtId="2" fontId="40" fillId="28" borderId="36" xfId="0" applyNumberFormat="1" applyFont="1" applyFill="1" applyBorder="1" applyAlignment="1">
      <alignment horizontal="right" vertical="top" shrinkToFit="1"/>
    </xf>
    <xf numFmtId="2" fontId="40" fillId="28" borderId="25" xfId="0" applyNumberFormat="1" applyFont="1" applyFill="1" applyBorder="1" applyAlignment="1">
      <alignment horizontal="right" vertical="top" shrinkToFit="1"/>
    </xf>
    <xf numFmtId="49" fontId="40" fillId="0" borderId="21" xfId="0" applyNumberFormat="1" applyFont="1" applyBorder="1" applyAlignment="1">
      <alignment horizontal="center" vertical="top" shrinkToFit="1"/>
    </xf>
    <xf numFmtId="172" fontId="38" fillId="28" borderId="21" xfId="0" applyNumberFormat="1" applyFont="1" applyFill="1" applyBorder="1" applyAlignment="1">
      <alignment horizontal="center" vertical="top" shrinkToFit="1"/>
    </xf>
    <xf numFmtId="0" fontId="38" fillId="28" borderId="21" xfId="0" applyFont="1" applyFill="1" applyBorder="1" applyAlignment="1">
      <alignment horizontal="justify" vertical="top" shrinkToFit="1"/>
    </xf>
    <xf numFmtId="172" fontId="38" fillId="28" borderId="21" xfId="0" applyNumberFormat="1" applyFont="1" applyFill="1" applyBorder="1" applyAlignment="1">
      <alignment vertical="top" shrinkToFit="1"/>
    </xf>
    <xf numFmtId="0" fontId="69" fillId="27" borderId="0" xfId="0" applyFont="1" applyFill="1"/>
    <xf numFmtId="2" fontId="38" fillId="0" borderId="25" xfId="0" applyNumberFormat="1" applyFont="1" applyBorder="1" applyAlignment="1">
      <alignment horizontal="right" vertical="top" shrinkToFit="1"/>
    </xf>
    <xf numFmtId="2" fontId="42" fillId="0" borderId="21" xfId="0" applyNumberFormat="1" applyFont="1" applyBorder="1" applyAlignment="1">
      <alignment horizontal="justify" vertical="top" shrinkToFit="1"/>
    </xf>
    <xf numFmtId="9" fontId="42" fillId="0" borderId="21" xfId="0" applyNumberFormat="1" applyFont="1" applyBorder="1" applyAlignment="1">
      <alignment horizontal="justify" vertical="top" shrinkToFit="1"/>
    </xf>
    <xf numFmtId="0" fontId="43" fillId="0" borderId="25" xfId="0" applyFont="1" applyBorder="1" applyAlignment="1">
      <alignment horizontal="justify" vertical="top" shrinkToFit="1"/>
    </xf>
    <xf numFmtId="0" fontId="38" fillId="28" borderId="21" xfId="0" applyFont="1" applyFill="1" applyBorder="1" applyAlignment="1">
      <alignment vertical="top" shrinkToFit="1"/>
    </xf>
    <xf numFmtId="0" fontId="40" fillId="0" borderId="28" xfId="0" applyFont="1" applyBorder="1" applyAlignment="1">
      <alignment horizontal="left" vertical="top" wrapText="1"/>
    </xf>
    <xf numFmtId="2" fontId="38" fillId="0" borderId="28" xfId="0" applyNumberFormat="1" applyFont="1" applyBorder="1" applyAlignment="1">
      <alignment horizontal="center" vertical="center" shrinkToFit="1"/>
    </xf>
    <xf numFmtId="2" fontId="38" fillId="0" borderId="21" xfId="0" applyNumberFormat="1" applyFont="1" applyBorder="1" applyAlignment="1">
      <alignment horizontal="center" vertical="center" shrinkToFit="1"/>
    </xf>
    <xf numFmtId="0" fontId="43" fillId="29" borderId="21" xfId="0" applyFont="1" applyFill="1" applyBorder="1" applyAlignment="1">
      <alignment horizontal="left" vertical="top" wrapText="1"/>
    </xf>
    <xf numFmtId="0" fontId="54" fillId="0" borderId="21" xfId="0" applyFont="1" applyBorder="1" applyAlignment="1">
      <alignment vertical="center"/>
    </xf>
    <xf numFmtId="2" fontId="40" fillId="0" borderId="21" xfId="0" applyNumberFormat="1" applyFont="1" applyBorder="1" applyAlignment="1">
      <alignment horizontal="center" vertical="center" shrinkToFit="1"/>
    </xf>
    <xf numFmtId="2" fontId="38" fillId="0" borderId="21" xfId="0" applyNumberFormat="1" applyFont="1" applyBorder="1" applyAlignment="1">
      <alignment horizontal="center" vertical="top"/>
    </xf>
    <xf numFmtId="0" fontId="39" fillId="0" borderId="22" xfId="0" applyFont="1" applyBorder="1" applyAlignment="1">
      <alignment horizontal="left" vertical="top" wrapText="1"/>
    </xf>
    <xf numFmtId="0" fontId="39" fillId="0" borderId="21" xfId="0" applyFont="1" applyBorder="1" applyAlignment="1">
      <alignment horizontal="left" vertical="top" wrapText="1"/>
    </xf>
    <xf numFmtId="2" fontId="71" fillId="0" borderId="21" xfId="0" applyNumberFormat="1" applyFont="1" applyBorder="1" applyAlignment="1">
      <alignment horizontal="center" vertical="center" shrinkToFit="1"/>
    </xf>
    <xf numFmtId="2" fontId="46" fillId="0" borderId="21" xfId="0" applyNumberFormat="1" applyFont="1" applyBorder="1" applyAlignment="1">
      <alignment horizontal="center" vertical="center" shrinkToFit="1"/>
    </xf>
    <xf numFmtId="2" fontId="46" fillId="0" borderId="25" xfId="0" applyNumberFormat="1" applyFont="1" applyBorder="1" applyAlignment="1">
      <alignment horizontal="center" vertical="center" shrinkToFit="1"/>
    </xf>
    <xf numFmtId="2" fontId="46" fillId="0" borderId="32" xfId="0" applyNumberFormat="1" applyFont="1" applyBorder="1" applyAlignment="1">
      <alignment horizontal="center" vertical="center"/>
    </xf>
    <xf numFmtId="2" fontId="46" fillId="0" borderId="21" xfId="0" applyNumberFormat="1" applyFont="1" applyBorder="1" applyAlignment="1">
      <alignment horizontal="center" vertical="center"/>
    </xf>
    <xf numFmtId="0" fontId="56" fillId="0" borderId="21" xfId="0" applyFont="1" applyBorder="1" applyAlignment="1">
      <alignment horizontal="left" vertical="top" wrapText="1"/>
    </xf>
    <xf numFmtId="2" fontId="54" fillId="0" borderId="21" xfId="0" applyNumberFormat="1" applyFont="1" applyBorder="1" applyAlignment="1">
      <alignment horizontal="center" vertical="center" shrinkToFit="1"/>
    </xf>
    <xf numFmtId="2" fontId="40" fillId="30" borderId="21" xfId="0" applyNumberFormat="1" applyFont="1" applyFill="1" applyBorder="1" applyAlignment="1">
      <alignment horizontal="center" vertical="center"/>
    </xf>
    <xf numFmtId="2" fontId="43" fillId="0" borderId="21" xfId="0" applyNumberFormat="1" applyFont="1" applyBorder="1" applyAlignment="1">
      <alignment horizontal="center" vertical="center"/>
    </xf>
    <xf numFmtId="0" fontId="49" fillId="0" borderId="21" xfId="0" applyFont="1" applyBorder="1" applyAlignment="1">
      <alignment vertical="top"/>
    </xf>
    <xf numFmtId="2" fontId="68" fillId="0" borderId="21" xfId="0" applyNumberFormat="1" applyFont="1" applyBorder="1" applyAlignment="1">
      <alignment horizontal="right" vertical="top" shrinkToFit="1"/>
    </xf>
    <xf numFmtId="2" fontId="72" fillId="0" borderId="21" xfId="0" applyNumberFormat="1" applyFont="1" applyBorder="1" applyAlignment="1">
      <alignment horizontal="right" vertical="top" shrinkToFit="1"/>
    </xf>
    <xf numFmtId="2" fontId="59" fillId="0" borderId="21" xfId="0" applyNumberFormat="1" applyFont="1" applyBorder="1" applyAlignment="1">
      <alignment horizontal="right" vertical="top" shrinkToFit="1"/>
    </xf>
    <xf numFmtId="2" fontId="68" fillId="0" borderId="32" xfId="0" applyNumberFormat="1" applyFont="1" applyBorder="1" applyAlignment="1">
      <alignment horizontal="right" vertical="top"/>
    </xf>
    <xf numFmtId="2" fontId="58" fillId="0" borderId="25" xfId="0" applyNumberFormat="1" applyFont="1" applyBorder="1" applyAlignment="1">
      <alignment horizontal="right" vertical="top" shrinkToFit="1"/>
    </xf>
    <xf numFmtId="0" fontId="43" fillId="0" borderId="35" xfId="0" applyFont="1" applyBorder="1" applyAlignment="1">
      <alignment horizontal="left" vertical="top" wrapText="1"/>
    </xf>
    <xf numFmtId="2" fontId="38" fillId="31" borderId="21" xfId="0" applyNumberFormat="1" applyFont="1" applyFill="1" applyBorder="1" applyAlignment="1">
      <alignment horizontal="center" vertical="center"/>
    </xf>
    <xf numFmtId="0" fontId="47" fillId="31" borderId="21" xfId="0" applyFont="1" applyFill="1" applyBorder="1" applyAlignment="1">
      <alignment vertical="center"/>
    </xf>
    <xf numFmtId="1" fontId="38" fillId="31" borderId="21" xfId="0" applyNumberFormat="1" applyFont="1" applyFill="1" applyBorder="1" applyAlignment="1">
      <alignment horizontal="center" vertical="center"/>
    </xf>
    <xf numFmtId="170" fontId="38" fillId="0" borderId="21" xfId="0" applyNumberFormat="1" applyFont="1" applyBorder="1" applyAlignment="1">
      <alignment horizontal="center" vertical="center"/>
    </xf>
    <xf numFmtId="0" fontId="47" fillId="31" borderId="21" xfId="0" applyFont="1" applyFill="1" applyBorder="1" applyAlignment="1">
      <alignment horizontal="justify" vertical="justify"/>
    </xf>
    <xf numFmtId="0" fontId="54" fillId="0" borderId="21" xfId="0" applyFont="1" applyBorder="1" applyAlignment="1">
      <alignment vertical="center" wrapText="1"/>
    </xf>
    <xf numFmtId="0" fontId="42" fillId="28" borderId="21" xfId="0" applyFont="1" applyFill="1" applyBorder="1" applyAlignment="1">
      <alignment vertical="center" shrinkToFit="1"/>
    </xf>
    <xf numFmtId="0" fontId="47" fillId="0" borderId="21" xfId="0" applyFont="1" applyBorder="1" applyAlignment="1">
      <alignment vertical="center" wrapText="1"/>
    </xf>
    <xf numFmtId="0" fontId="44" fillId="0" borderId="21" xfId="0" applyFont="1" applyBorder="1" applyAlignment="1">
      <alignment vertical="center" wrapText="1" shrinkToFit="1"/>
    </xf>
    <xf numFmtId="0" fontId="38" fillId="0" borderId="21" xfId="0" applyFont="1" applyBorder="1" applyAlignment="1">
      <alignment horizontal="justify" vertical="center" wrapText="1"/>
    </xf>
    <xf numFmtId="0" fontId="40" fillId="28" borderId="21" xfId="0" applyFont="1" applyFill="1" applyBorder="1" applyAlignment="1">
      <alignment horizontal="justify" vertical="justify" wrapText="1"/>
    </xf>
    <xf numFmtId="0" fontId="38" fillId="28" borderId="21" xfId="0" applyFont="1" applyFill="1" applyBorder="1" applyAlignment="1">
      <alignment horizontal="justify" vertical="center" wrapText="1"/>
    </xf>
    <xf numFmtId="176" fontId="43" fillId="0" borderId="21" xfId="0" applyNumberFormat="1" applyFont="1" applyBorder="1" applyAlignment="1">
      <alignment horizontal="center" vertical="center" shrinkToFit="1"/>
    </xf>
    <xf numFmtId="0" fontId="40" fillId="0" borderId="21" xfId="0" applyFont="1" applyBorder="1" applyAlignment="1">
      <alignment vertical="top"/>
    </xf>
    <xf numFmtId="2" fontId="38" fillId="30" borderId="21" xfId="0" applyNumberFormat="1" applyFont="1" applyFill="1" applyBorder="1" applyAlignment="1">
      <alignment horizontal="center" vertical="center"/>
    </xf>
    <xf numFmtId="0" fontId="42" fillId="0" borderId="37" xfId="0" applyFont="1" applyBorder="1" applyAlignment="1">
      <alignment horizontal="justify" vertical="justify" wrapText="1"/>
    </xf>
    <xf numFmtId="0" fontId="44" fillId="0" borderId="21" xfId="0" applyFont="1" applyBorder="1" applyAlignment="1">
      <alignment horizontal="justify" vertical="center" wrapText="1"/>
    </xf>
    <xf numFmtId="2" fontId="44" fillId="0" borderId="21" xfId="0" applyNumberFormat="1" applyFont="1" applyBorder="1" applyAlignment="1">
      <alignment horizontal="center" vertical="center"/>
    </xf>
    <xf numFmtId="0" fontId="40" fillId="28" borderId="21" xfId="0" applyFont="1" applyFill="1" applyBorder="1" applyAlignment="1">
      <alignment vertical="center"/>
    </xf>
    <xf numFmtId="0" fontId="38" fillId="28" borderId="21" xfId="0" applyFont="1" applyFill="1" applyBorder="1"/>
    <xf numFmtId="0" fontId="38" fillId="0" borderId="22" xfId="0" applyFont="1" applyBorder="1" applyAlignment="1">
      <alignment horizontal="left" vertical="top" wrapText="1"/>
    </xf>
    <xf numFmtId="0" fontId="43" fillId="0" borderId="21" xfId="0" applyFont="1" applyBorder="1" applyAlignment="1">
      <alignment horizontal="justify" vertical="center" wrapText="1"/>
    </xf>
    <xf numFmtId="0" fontId="44" fillId="0" borderId="21" xfId="0" applyFont="1" applyBorder="1" applyAlignment="1">
      <alignment vertical="top" wrapText="1"/>
    </xf>
    <xf numFmtId="12" fontId="41" fillId="0" borderId="21" xfId="0" applyNumberFormat="1" applyFont="1" applyBorder="1"/>
    <xf numFmtId="0" fontId="41" fillId="0" borderId="21" xfId="0" applyFont="1" applyBorder="1" applyAlignment="1">
      <alignment vertical="center" wrapText="1"/>
    </xf>
    <xf numFmtId="0" fontId="41" fillId="0" borderId="21" xfId="0" applyFont="1" applyBorder="1" applyAlignment="1">
      <alignment horizontal="justify" vertical="center" wrapText="1"/>
    </xf>
    <xf numFmtId="0" fontId="47" fillId="0" borderId="21" xfId="0" applyFont="1" applyBorder="1" applyAlignment="1">
      <alignment horizontal="justify" vertical="justify" wrapText="1"/>
    </xf>
    <xf numFmtId="0" fontId="54" fillId="0" borderId="21" xfId="0" applyFont="1" applyBorder="1" applyAlignment="1">
      <alignment horizontal="center" vertical="top" wrapText="1"/>
    </xf>
    <xf numFmtId="2" fontId="47" fillId="0" borderId="21" xfId="0" applyNumberFormat="1" applyFont="1" applyBorder="1" applyAlignment="1">
      <alignment horizontal="center" vertical="center" shrinkToFit="1"/>
    </xf>
    <xf numFmtId="0" fontId="43" fillId="0" borderId="21" xfId="0" applyFont="1" applyBorder="1" applyAlignment="1">
      <alignment horizontal="center" vertical="center"/>
    </xf>
    <xf numFmtId="0" fontId="43" fillId="0" borderId="35" xfId="0" applyFont="1" applyBorder="1" applyAlignment="1">
      <alignment horizontal="center" vertical="center"/>
    </xf>
    <xf numFmtId="2" fontId="55" fillId="0" borderId="25" xfId="0" applyNumberFormat="1" applyFont="1" applyBorder="1" applyAlignment="1">
      <alignment horizontal="right" vertical="center" shrinkToFit="1"/>
    </xf>
    <xf numFmtId="2" fontId="42" fillId="0" borderId="25" xfId="0" applyNumberFormat="1" applyFont="1" applyBorder="1" applyAlignment="1">
      <alignment horizontal="right" vertical="center" shrinkToFit="1"/>
    </xf>
    <xf numFmtId="2" fontId="42" fillId="0" borderId="25" xfId="0" applyNumberFormat="1" applyFont="1" applyBorder="1" applyAlignment="1">
      <alignment horizontal="right" vertical="center"/>
    </xf>
    <xf numFmtId="4" fontId="42" fillId="0" borderId="36" xfId="0" applyNumberFormat="1" applyFont="1" applyBorder="1" applyAlignment="1">
      <alignment horizontal="right" vertical="center"/>
    </xf>
    <xf numFmtId="0" fontId="39" fillId="28" borderId="21" xfId="0" applyFont="1" applyFill="1" applyBorder="1" applyAlignment="1">
      <alignment horizontal="justify" vertical="top" wrapText="1"/>
    </xf>
    <xf numFmtId="173" fontId="42" fillId="30" borderId="22" xfId="0" applyNumberFormat="1" applyFont="1" applyFill="1" applyBorder="1" applyAlignment="1">
      <alignment horizontal="center" vertical="top" wrapText="1"/>
    </xf>
    <xf numFmtId="173" fontId="40" fillId="30" borderId="21" xfId="0" applyNumberFormat="1" applyFont="1" applyFill="1" applyBorder="1" applyAlignment="1">
      <alignment horizontal="center" vertical="top" wrapText="1"/>
    </xf>
    <xf numFmtId="0" fontId="40" fillId="30" borderId="21" xfId="0" applyFont="1" applyFill="1" applyBorder="1" applyAlignment="1">
      <alignment horizontal="justify" vertical="top" wrapText="1"/>
    </xf>
    <xf numFmtId="173" fontId="40" fillId="30" borderId="0" xfId="0" applyNumberFormat="1" applyFont="1" applyFill="1" applyAlignment="1">
      <alignment horizontal="center" vertical="center" wrapText="1"/>
    </xf>
    <xf numFmtId="0" fontId="42" fillId="0" borderId="21" xfId="0" applyFont="1" applyBorder="1" applyAlignment="1">
      <alignment vertical="center" shrinkToFit="1"/>
    </xf>
    <xf numFmtId="0" fontId="38" fillId="30" borderId="21" xfId="0" applyFont="1" applyFill="1" applyBorder="1" applyAlignment="1">
      <alignment horizontal="justify" vertical="center" wrapText="1"/>
    </xf>
    <xf numFmtId="0" fontId="38" fillId="30" borderId="21" xfId="0" applyFont="1" applyFill="1" applyBorder="1" applyAlignment="1">
      <alignment horizontal="justify" vertical="justify"/>
    </xf>
    <xf numFmtId="0" fontId="54" fillId="29" borderId="21" xfId="0" applyFont="1" applyFill="1" applyBorder="1" applyAlignment="1">
      <alignment horizontal="left" vertical="top" wrapText="1"/>
    </xf>
    <xf numFmtId="2" fontId="38" fillId="0" borderId="21" xfId="0" applyNumberFormat="1" applyFont="1" applyBorder="1" applyAlignment="1">
      <alignment horizontal="right" vertical="top" shrinkToFit="1"/>
    </xf>
    <xf numFmtId="2" fontId="38" fillId="0" borderId="21" xfId="0" applyNumberFormat="1" applyFont="1" applyBorder="1" applyAlignment="1">
      <alignment horizontal="right" shrinkToFit="1"/>
    </xf>
    <xf numFmtId="2" fontId="40" fillId="0" borderId="21" xfId="0" applyNumberFormat="1" applyFont="1" applyBorder="1" applyAlignment="1">
      <alignment horizontal="right" vertical="top" shrinkToFit="1"/>
    </xf>
    <xf numFmtId="170" fontId="38" fillId="0" borderId="21" xfId="0" applyNumberFormat="1" applyFont="1" applyBorder="1" applyAlignment="1">
      <alignment horizontal="right" vertical="top" shrinkToFit="1"/>
    </xf>
    <xf numFmtId="0" fontId="43" fillId="0" borderId="0" xfId="0" applyFont="1"/>
    <xf numFmtId="0" fontId="43" fillId="0" borderId="0" xfId="0" applyFont="1" applyAlignment="1">
      <alignment horizontal="justify" vertical="top" wrapText="1"/>
    </xf>
    <xf numFmtId="49" fontId="44" fillId="0" borderId="21" xfId="0" applyNumberFormat="1" applyFont="1" applyBorder="1" applyAlignment="1">
      <alignment horizontal="center" vertical="top" shrinkToFit="1"/>
    </xf>
    <xf numFmtId="2" fontId="38" fillId="30" borderId="21" xfId="0" applyNumberFormat="1" applyFont="1" applyFill="1" applyBorder="1" applyAlignment="1">
      <alignment horizontal="center" vertical="top" wrapText="1"/>
    </xf>
    <xf numFmtId="0" fontId="40" fillId="0" borderId="0" xfId="0" applyFont="1" applyAlignment="1">
      <alignment horizontal="left" vertical="top"/>
    </xf>
    <xf numFmtId="0" fontId="38" fillId="0" borderId="0" xfId="0" applyFont="1" applyAlignment="1">
      <alignment horizontal="left" vertical="center" wrapText="1"/>
    </xf>
    <xf numFmtId="0" fontId="43" fillId="0" borderId="0" xfId="0" applyFont="1" applyAlignment="1">
      <alignment horizontal="left"/>
    </xf>
    <xf numFmtId="0" fontId="42" fillId="0" borderId="0" xfId="0" applyFont="1" applyAlignment="1">
      <alignment horizontal="center" vertical="top" wrapText="1"/>
    </xf>
    <xf numFmtId="0" fontId="42" fillId="0" borderId="33" xfId="0" applyFont="1" applyBorder="1" applyAlignment="1">
      <alignment horizontal="center" vertical="center" wrapText="1"/>
    </xf>
    <xf numFmtId="0" fontId="40" fillId="0" borderId="23" xfId="0" applyFont="1" applyBorder="1" applyAlignment="1">
      <alignment vertical="center" wrapText="1"/>
    </xf>
    <xf numFmtId="0" fontId="47" fillId="0" borderId="23" xfId="0" applyFont="1" applyBorder="1" applyAlignment="1">
      <alignment horizontal="center" vertical="center" wrapText="1"/>
    </xf>
    <xf numFmtId="0" fontId="44" fillId="0" borderId="21" xfId="0" applyFont="1" applyBorder="1" applyAlignment="1">
      <alignment horizontal="center" vertical="top" wrapText="1"/>
    </xf>
    <xf numFmtId="172" fontId="71" fillId="0" borderId="0" xfId="0" applyNumberFormat="1" applyFont="1" applyAlignment="1">
      <alignment horizontal="center" vertical="top" wrapText="1"/>
    </xf>
    <xf numFmtId="172" fontId="53" fillId="0" borderId="0" xfId="0" applyNumberFormat="1" applyFont="1" applyAlignment="1">
      <alignment horizontal="center" vertical="top" wrapText="1"/>
    </xf>
    <xf numFmtId="0" fontId="42" fillId="0" borderId="0" xfId="0" applyFont="1" applyAlignment="1">
      <alignment horizontal="center" vertical="center" wrapText="1"/>
    </xf>
    <xf numFmtId="0" fontId="40" fillId="0" borderId="0" xfId="0" applyFont="1" applyAlignment="1">
      <alignment horizontal="center" vertical="center"/>
    </xf>
    <xf numFmtId="172" fontId="51" fillId="0" borderId="21" xfId="0" applyNumberFormat="1" applyFont="1" applyBorder="1" applyAlignment="1">
      <alignment horizontal="justify" vertical="top" wrapText="1"/>
    </xf>
    <xf numFmtId="172" fontId="43" fillId="0" borderId="21" xfId="0" applyNumberFormat="1" applyFont="1" applyBorder="1" applyAlignment="1">
      <alignment horizontal="center" vertical="top" wrapText="1"/>
    </xf>
    <xf numFmtId="172" fontId="51" fillId="0" borderId="0" xfId="0" applyNumberFormat="1" applyFont="1" applyAlignment="1">
      <alignment horizontal="justify" vertical="top" wrapText="1"/>
    </xf>
    <xf numFmtId="172" fontId="43" fillId="0" borderId="0" xfId="0" applyNumberFormat="1" applyFont="1" applyAlignment="1">
      <alignment horizontal="center" vertical="top" wrapText="1"/>
    </xf>
    <xf numFmtId="0" fontId="71" fillId="0" borderId="0" xfId="0" applyFont="1" applyAlignment="1">
      <alignment horizontal="center" vertical="top" wrapText="1"/>
    </xf>
    <xf numFmtId="0" fontId="46" fillId="0" borderId="0" xfId="0" applyFont="1" applyAlignment="1">
      <alignment horizontal="center" vertical="center"/>
    </xf>
    <xf numFmtId="174" fontId="43" fillId="0" borderId="0" xfId="0" applyNumberFormat="1" applyFont="1" applyAlignment="1">
      <alignment horizontal="center" vertical="top" wrapText="1"/>
    </xf>
    <xf numFmtId="172" fontId="42" fillId="0" borderId="0" xfId="0" applyNumberFormat="1" applyFont="1" applyAlignment="1">
      <alignment horizontal="center" vertical="top" wrapText="1"/>
    </xf>
    <xf numFmtId="172" fontId="41" fillId="0" borderId="21" xfId="0" applyNumberFormat="1" applyFont="1" applyBorder="1" applyAlignment="1">
      <alignment horizontal="justify" vertical="top" wrapText="1"/>
    </xf>
    <xf numFmtId="172" fontId="41" fillId="0" borderId="0" xfId="0" applyNumberFormat="1" applyFont="1" applyAlignment="1">
      <alignment horizontal="justify" vertical="top" wrapText="1"/>
    </xf>
    <xf numFmtId="172" fontId="43" fillId="27" borderId="21" xfId="0" applyNumberFormat="1" applyFont="1" applyFill="1" applyBorder="1" applyAlignment="1">
      <alignment horizontal="center" vertical="top" wrapText="1"/>
    </xf>
    <xf numFmtId="0" fontId="75" fillId="0" borderId="0" xfId="69" applyFont="1" applyAlignment="1">
      <alignment vertical="top"/>
    </xf>
    <xf numFmtId="0" fontId="38" fillId="0" borderId="0" xfId="0" applyFont="1" applyAlignment="1">
      <alignment horizontal="center" vertical="center"/>
    </xf>
    <xf numFmtId="0" fontId="38" fillId="0" borderId="32" xfId="0" applyFont="1" applyBorder="1" applyAlignment="1">
      <alignment horizontal="justify" vertical="justify"/>
    </xf>
    <xf numFmtId="0" fontId="38" fillId="0" borderId="38" xfId="0" applyFont="1" applyBorder="1" applyAlignment="1">
      <alignment horizontal="justify" vertical="justify" wrapText="1"/>
    </xf>
    <xf numFmtId="0" fontId="38" fillId="0" borderId="32" xfId="0" applyFont="1" applyBorder="1" applyAlignment="1">
      <alignment horizontal="justify" vertical="justify" wrapText="1"/>
    </xf>
    <xf numFmtId="0" fontId="60" fillId="0" borderId="0" xfId="69" applyFont="1" applyAlignment="1">
      <alignment horizontal="center" vertical="top"/>
    </xf>
    <xf numFmtId="0" fontId="38" fillId="0" borderId="8" xfId="0" applyFont="1" applyBorder="1" applyAlignment="1">
      <alignment horizontal="center" vertical="center" wrapText="1"/>
    </xf>
    <xf numFmtId="0" fontId="38" fillId="0" borderId="8" xfId="0" applyFont="1" applyBorder="1" applyAlignment="1">
      <alignment horizontal="center" vertical="center"/>
    </xf>
    <xf numFmtId="0" fontId="38" fillId="0" borderId="8" xfId="0" applyFont="1" applyBorder="1"/>
    <xf numFmtId="0" fontId="38" fillId="0" borderId="8" xfId="0" applyFont="1" applyBorder="1" applyAlignment="1">
      <alignment horizontal="left" vertical="center" wrapText="1"/>
    </xf>
    <xf numFmtId="2" fontId="38" fillId="0" borderId="8" xfId="0" applyNumberFormat="1" applyFont="1" applyBorder="1" applyAlignment="1">
      <alignment horizontal="center" vertical="center"/>
    </xf>
    <xf numFmtId="2" fontId="38" fillId="32" borderId="8" xfId="0" applyNumberFormat="1" applyFont="1" applyFill="1" applyBorder="1" applyAlignment="1">
      <alignment horizontal="center" vertical="center"/>
    </xf>
    <xf numFmtId="0" fontId="38" fillId="0" borderId="8" xfId="0" applyFont="1" applyBorder="1" applyAlignment="1">
      <alignment horizontal="left"/>
    </xf>
    <xf numFmtId="2" fontId="38" fillId="28" borderId="8" xfId="0" applyNumberFormat="1" applyFont="1" applyFill="1" applyBorder="1" applyAlignment="1">
      <alignment horizontal="center" vertical="center"/>
    </xf>
    <xf numFmtId="2" fontId="38" fillId="31" borderId="8" xfId="0" applyNumberFormat="1" applyFont="1" applyFill="1" applyBorder="1" applyAlignment="1">
      <alignment horizontal="center" vertical="center"/>
    </xf>
    <xf numFmtId="2" fontId="38" fillId="33" borderId="8" xfId="0" applyNumberFormat="1" applyFont="1" applyFill="1" applyBorder="1" applyAlignment="1">
      <alignment horizontal="center" vertical="center"/>
    </xf>
    <xf numFmtId="2" fontId="40" fillId="0" borderId="8" xfId="0" applyNumberFormat="1" applyFont="1" applyBorder="1" applyAlignment="1">
      <alignment horizontal="center" vertical="center"/>
    </xf>
    <xf numFmtId="170" fontId="43" fillId="0" borderId="21" xfId="0" applyNumberFormat="1" applyFont="1" applyBorder="1" applyAlignment="1">
      <alignment horizontal="center" vertical="center" shrinkToFit="1"/>
    </xf>
    <xf numFmtId="2" fontId="43" fillId="30" borderId="21" xfId="0" applyNumberFormat="1" applyFont="1" applyFill="1" applyBorder="1" applyAlignment="1">
      <alignment horizontal="center" vertical="center" shrinkToFit="1"/>
    </xf>
    <xf numFmtId="0" fontId="40" fillId="30" borderId="21" xfId="0" applyFont="1" applyFill="1" applyBorder="1" applyAlignment="1">
      <alignment horizontal="justify" vertical="justify" wrapText="1"/>
    </xf>
    <xf numFmtId="0" fontId="38" fillId="28" borderId="21" xfId="0" applyFont="1" applyFill="1" applyBorder="1" applyAlignment="1">
      <alignment horizontal="justify" vertical="justify" wrapText="1"/>
    </xf>
    <xf numFmtId="0" fontId="38" fillId="0" borderId="21" xfId="0" applyFont="1" applyBorder="1" applyAlignment="1">
      <alignment horizontal="left" vertical="top" wrapText="1"/>
    </xf>
    <xf numFmtId="2" fontId="40" fillId="0" borderId="21" xfId="0" applyNumberFormat="1" applyFont="1" applyBorder="1" applyAlignment="1">
      <alignment horizontal="left" vertical="top" wrapText="1"/>
    </xf>
    <xf numFmtId="0" fontId="41" fillId="0" borderId="21" xfId="0" applyFont="1" applyBorder="1" applyAlignment="1">
      <alignment horizontal="justify" vertical="justify" wrapText="1"/>
    </xf>
    <xf numFmtId="1" fontId="38" fillId="0" borderId="21" xfId="0" applyNumberFormat="1" applyFont="1" applyBorder="1" applyAlignment="1">
      <alignment horizontal="center" vertical="top"/>
    </xf>
    <xf numFmtId="1" fontId="40" fillId="0" borderId="21" xfId="0" applyNumberFormat="1" applyFont="1" applyBorder="1" applyAlignment="1">
      <alignment horizontal="center" vertical="justify" wrapText="1"/>
    </xf>
    <xf numFmtId="1" fontId="38" fillId="0" borderId="0" xfId="0" applyNumberFormat="1" applyFont="1" applyAlignment="1">
      <alignment horizontal="center"/>
    </xf>
    <xf numFmtId="1" fontId="38" fillId="0" borderId="38" xfId="0" applyNumberFormat="1" applyFont="1" applyBorder="1" applyAlignment="1">
      <alignment horizontal="center" vertical="justify" wrapText="1"/>
    </xf>
    <xf numFmtId="1" fontId="38" fillId="0" borderId="21" xfId="0" applyNumberFormat="1" applyFont="1" applyBorder="1" applyAlignment="1">
      <alignment horizontal="center" vertical="justify" wrapText="1"/>
    </xf>
    <xf numFmtId="1" fontId="38" fillId="0" borderId="21" xfId="0" applyNumberFormat="1" applyFont="1" applyBorder="1" applyAlignment="1">
      <alignment horizontal="center"/>
    </xf>
    <xf numFmtId="1" fontId="38" fillId="28" borderId="21" xfId="0" applyNumberFormat="1" applyFont="1" applyFill="1" applyBorder="1" applyAlignment="1">
      <alignment horizontal="center"/>
    </xf>
    <xf numFmtId="1" fontId="40" fillId="0" borderId="21" xfId="0" applyNumberFormat="1" applyFont="1" applyBorder="1" applyAlignment="1">
      <alignment horizontal="center" vertical="top" wrapText="1"/>
    </xf>
    <xf numFmtId="1" fontId="43" fillId="0" borderId="21" xfId="0" applyNumberFormat="1" applyFont="1" applyBorder="1" applyAlignment="1">
      <alignment horizontal="center" vertical="justify" wrapText="1"/>
    </xf>
    <xf numFmtId="0" fontId="43" fillId="0" borderId="21" xfId="0" applyFont="1" applyBorder="1" applyAlignment="1">
      <alignment vertical="center" wrapText="1"/>
    </xf>
    <xf numFmtId="0" fontId="42" fillId="0" borderId="21" xfId="0" applyFont="1" applyBorder="1" applyAlignment="1">
      <alignment horizontal="center" vertical="top" shrinkToFit="1"/>
    </xf>
    <xf numFmtId="0" fontId="40" fillId="28" borderId="21" xfId="0" applyFont="1" applyFill="1" applyBorder="1" applyAlignment="1">
      <alignment horizontal="justify" vertical="top" wrapText="1"/>
    </xf>
    <xf numFmtId="0" fontId="38" fillId="28" borderId="21" xfId="0" applyFont="1" applyFill="1" applyBorder="1" applyAlignment="1">
      <alignment horizontal="justify" vertical="top" wrapText="1"/>
    </xf>
    <xf numFmtId="0" fontId="43" fillId="28" borderId="21" xfId="0" applyFont="1" applyFill="1" applyBorder="1" applyAlignment="1">
      <alignment horizontal="left" vertical="top" wrapText="1"/>
    </xf>
    <xf numFmtId="2" fontId="7" fillId="0" borderId="0" xfId="0" applyNumberFormat="1" applyFont="1"/>
    <xf numFmtId="0" fontId="54" fillId="28" borderId="21" xfId="0" applyFont="1" applyFill="1" applyBorder="1" applyAlignment="1">
      <alignment horizontal="left" vertical="top" wrapText="1"/>
    </xf>
    <xf numFmtId="0" fontId="38" fillId="34" borderId="21" xfId="0" applyFont="1" applyFill="1" applyBorder="1" applyAlignment="1">
      <alignment vertical="center"/>
    </xf>
    <xf numFmtId="0" fontId="40" fillId="0" borderId="32" xfId="0" applyFont="1" applyBorder="1" applyAlignment="1">
      <alignment horizontal="left" vertical="top" wrapText="1"/>
    </xf>
    <xf numFmtId="2" fontId="38" fillId="30" borderId="21" xfId="0" applyNumberFormat="1" applyFont="1" applyFill="1" applyBorder="1" applyAlignment="1">
      <alignment vertical="top" shrinkToFit="1"/>
    </xf>
    <xf numFmtId="2" fontId="43" fillId="0" borderId="21" xfId="0" applyNumberFormat="1" applyFont="1" applyBorder="1" applyAlignment="1">
      <alignment vertical="top" shrinkToFit="1"/>
    </xf>
    <xf numFmtId="2" fontId="43" fillId="30" borderId="21" xfId="0" applyNumberFormat="1" applyFont="1" applyFill="1" applyBorder="1" applyAlignment="1">
      <alignment vertical="top" shrinkToFit="1"/>
    </xf>
    <xf numFmtId="176" fontId="38" fillId="0" borderId="21" xfId="0" applyNumberFormat="1" applyFont="1" applyBorder="1" applyAlignment="1">
      <alignment horizontal="center" vertical="top" shrinkToFit="1"/>
    </xf>
    <xf numFmtId="10" fontId="38" fillId="0" borderId="21" xfId="79" applyNumberFormat="1" applyFont="1" applyBorder="1" applyAlignment="1">
      <alignment horizontal="center" vertical="top" shrinkToFit="1"/>
    </xf>
    <xf numFmtId="2" fontId="42" fillId="0" borderId="21" xfId="0" applyNumberFormat="1" applyFont="1" applyBorder="1" applyAlignment="1">
      <alignment horizontal="center" vertical="top" shrinkToFit="1"/>
    </xf>
    <xf numFmtId="2" fontId="38" fillId="27" borderId="21" xfId="0" applyNumberFormat="1" applyFont="1" applyFill="1" applyBorder="1" applyAlignment="1">
      <alignment horizontal="center" vertical="top" shrinkToFit="1"/>
    </xf>
    <xf numFmtId="172" fontId="71" fillId="0" borderId="21" xfId="0" applyNumberFormat="1" applyFont="1" applyBorder="1" applyAlignment="1">
      <alignment horizontal="center" vertical="top" shrinkToFit="1"/>
    </xf>
    <xf numFmtId="174" fontId="43" fillId="0" borderId="21" xfId="0" applyNumberFormat="1" applyFont="1" applyBorder="1" applyAlignment="1">
      <alignment horizontal="center" vertical="top" shrinkToFit="1"/>
    </xf>
    <xf numFmtId="172" fontId="43" fillId="0" borderId="21" xfId="0" applyNumberFormat="1" applyFont="1" applyBorder="1" applyAlignment="1">
      <alignment horizontal="center" vertical="top" shrinkToFit="1"/>
    </xf>
    <xf numFmtId="174" fontId="43" fillId="27" borderId="21" xfId="0" applyNumberFormat="1" applyFont="1" applyFill="1" applyBorder="1" applyAlignment="1">
      <alignment horizontal="center" vertical="top" shrinkToFit="1"/>
    </xf>
    <xf numFmtId="178" fontId="43" fillId="27" borderId="21" xfId="0" applyNumberFormat="1" applyFont="1" applyFill="1" applyBorder="1" applyAlignment="1">
      <alignment horizontal="center" vertical="top" shrinkToFit="1"/>
    </xf>
    <xf numFmtId="0" fontId="54" fillId="31" borderId="21" xfId="0" applyFont="1" applyFill="1" applyBorder="1" applyAlignment="1">
      <alignment horizontal="left" vertical="top" wrapText="1"/>
    </xf>
    <xf numFmtId="2" fontId="38" fillId="30" borderId="21" xfId="0" applyNumberFormat="1" applyFont="1" applyFill="1" applyBorder="1" applyAlignment="1">
      <alignment horizontal="center" vertical="center" shrinkToFit="1"/>
    </xf>
    <xf numFmtId="0" fontId="54" fillId="30" borderId="21" xfId="0" applyFont="1" applyFill="1" applyBorder="1" applyAlignment="1">
      <alignment horizontal="left" vertical="top" wrapText="1"/>
    </xf>
    <xf numFmtId="0" fontId="38" fillId="30" borderId="0" xfId="0" applyFont="1" applyFill="1" applyAlignment="1">
      <alignment horizontal="center" vertical="center"/>
    </xf>
    <xf numFmtId="0" fontId="38" fillId="30" borderId="0" xfId="0" applyFont="1" applyFill="1"/>
    <xf numFmtId="2" fontId="42" fillId="30" borderId="21" xfId="0" applyNumberFormat="1" applyFont="1" applyFill="1" applyBorder="1" applyAlignment="1">
      <alignment horizontal="center" vertical="center" shrinkToFit="1"/>
    </xf>
    <xf numFmtId="2" fontId="38" fillId="30" borderId="32" xfId="0" applyNumberFormat="1" applyFont="1" applyFill="1" applyBorder="1" applyAlignment="1">
      <alignment horizontal="center" vertical="center"/>
    </xf>
    <xf numFmtId="172" fontId="42" fillId="30" borderId="21" xfId="0" applyNumberFormat="1" applyFont="1" applyFill="1" applyBorder="1" applyAlignment="1">
      <alignment horizontal="center" vertical="top" shrinkToFit="1"/>
    </xf>
    <xf numFmtId="2" fontId="38" fillId="30" borderId="0" xfId="0" applyNumberFormat="1" applyFont="1" applyFill="1"/>
    <xf numFmtId="0" fontId="54" fillId="0" borderId="21" xfId="0" applyFont="1" applyBorder="1" applyAlignment="1">
      <alignment horizontal="left" vertical="top" wrapText="1"/>
    </xf>
    <xf numFmtId="0" fontId="38" fillId="30" borderId="0" xfId="0" applyFont="1" applyFill="1" applyAlignment="1">
      <alignment vertical="top"/>
    </xf>
    <xf numFmtId="2" fontId="49" fillId="30" borderId="32" xfId="0" applyNumberFormat="1" applyFont="1" applyFill="1" applyBorder="1" applyAlignment="1">
      <alignment horizontal="right" vertical="top"/>
    </xf>
    <xf numFmtId="2" fontId="60" fillId="0" borderId="21" xfId="0" applyNumberFormat="1" applyFont="1" applyBorder="1" applyAlignment="1">
      <alignment horizontal="center" vertical="center" shrinkToFit="1"/>
    </xf>
    <xf numFmtId="2" fontId="55" fillId="0" borderId="21" xfId="0" applyNumberFormat="1" applyFont="1" applyBorder="1" applyAlignment="1">
      <alignment horizontal="center" vertical="center" shrinkToFit="1"/>
    </xf>
    <xf numFmtId="2" fontId="60" fillId="0" borderId="21" xfId="0" applyNumberFormat="1" applyFont="1" applyBorder="1" applyAlignment="1">
      <alignment horizontal="center" vertical="center"/>
    </xf>
    <xf numFmtId="2" fontId="43" fillId="0" borderId="35" xfId="0" applyNumberFormat="1" applyFont="1" applyBorder="1" applyAlignment="1">
      <alignment horizontal="center" vertical="center"/>
    </xf>
    <xf numFmtId="0" fontId="75" fillId="0" borderId="0" xfId="69" applyFont="1" applyAlignment="1">
      <alignment horizontal="center" vertical="top"/>
    </xf>
    <xf numFmtId="0" fontId="40" fillId="0" borderId="34" xfId="0" applyFont="1" applyBorder="1" applyAlignment="1">
      <alignment horizontal="left" vertical="top" wrapText="1"/>
    </xf>
    <xf numFmtId="1" fontId="40" fillId="0" borderId="21" xfId="0" applyNumberFormat="1" applyFont="1" applyBorder="1" applyAlignment="1">
      <alignment horizontal="center" vertical="center"/>
    </xf>
    <xf numFmtId="2" fontId="41" fillId="0" borderId="21" xfId="0" applyNumberFormat="1" applyFont="1" applyBorder="1" applyAlignment="1">
      <alignment horizontal="center" vertical="center"/>
    </xf>
    <xf numFmtId="2" fontId="41" fillId="0" borderId="21" xfId="0" applyNumberFormat="1" applyFont="1" applyBorder="1" applyAlignment="1">
      <alignment horizontal="center" vertical="top" wrapText="1"/>
    </xf>
    <xf numFmtId="172" fontId="41" fillId="0" borderId="21" xfId="0" applyNumberFormat="1" applyFont="1" applyBorder="1" applyAlignment="1">
      <alignment horizontal="left" vertical="top" wrapText="1"/>
    </xf>
    <xf numFmtId="1" fontId="38" fillId="0" borderId="21" xfId="0" applyNumberFormat="1" applyFont="1" applyBorder="1" applyAlignment="1">
      <alignment horizontal="center" vertical="center" wrapText="1"/>
    </xf>
    <xf numFmtId="1" fontId="61" fillId="0" borderId="35" xfId="0" applyNumberFormat="1" applyFont="1" applyBorder="1" applyAlignment="1">
      <alignment horizontal="center" vertical="center" wrapText="1"/>
    </xf>
    <xf numFmtId="1" fontId="75" fillId="0" borderId="0" xfId="69" applyNumberFormat="1" applyFont="1" applyAlignment="1">
      <alignment horizontal="center" vertical="top"/>
    </xf>
    <xf numFmtId="2" fontId="53" fillId="30" borderId="21" xfId="0" applyNumberFormat="1" applyFont="1" applyFill="1" applyBorder="1" applyAlignment="1">
      <alignment horizontal="center" vertical="center" shrinkToFit="1"/>
    </xf>
    <xf numFmtId="2" fontId="38" fillId="30" borderId="0" xfId="0" applyNumberFormat="1" applyFont="1" applyFill="1" applyAlignment="1">
      <alignment horizontal="center" vertical="center"/>
    </xf>
    <xf numFmtId="2" fontId="58" fillId="30" borderId="21" xfId="0" applyNumberFormat="1" applyFont="1" applyFill="1" applyBorder="1" applyAlignment="1">
      <alignment horizontal="center" vertical="center" shrinkToFit="1"/>
    </xf>
    <xf numFmtId="2" fontId="44" fillId="30" borderId="21" xfId="0" applyNumberFormat="1" applyFont="1" applyFill="1" applyBorder="1" applyAlignment="1">
      <alignment horizontal="center" vertical="center" shrinkToFit="1"/>
    </xf>
    <xf numFmtId="2" fontId="38" fillId="30" borderId="25" xfId="0" applyNumberFormat="1" applyFont="1" applyFill="1" applyBorder="1" applyAlignment="1">
      <alignment horizontal="right" vertical="center" shrinkToFit="1"/>
    </xf>
    <xf numFmtId="2" fontId="38" fillId="0" borderId="0" xfId="0" applyNumberFormat="1" applyFont="1" applyAlignment="1">
      <alignment horizontal="right"/>
    </xf>
    <xf numFmtId="0" fontId="75" fillId="0" borderId="0" xfId="69" applyFont="1" applyAlignment="1">
      <alignment horizontal="right" vertical="top"/>
    </xf>
    <xf numFmtId="0" fontId="54" fillId="0" borderId="21" xfId="0" applyFont="1" applyBorder="1" applyAlignment="1">
      <alignment horizontal="center" vertical="center" wrapText="1"/>
    </xf>
    <xf numFmtId="0" fontId="54" fillId="30" borderId="21" xfId="0" applyFont="1" applyFill="1" applyBorder="1" applyAlignment="1">
      <alignment horizontal="center" vertical="center" wrapText="1"/>
    </xf>
    <xf numFmtId="2" fontId="38" fillId="30" borderId="25" xfId="0" applyNumberFormat="1" applyFont="1" applyFill="1" applyBorder="1" applyAlignment="1">
      <alignment horizontal="center" vertical="center" shrinkToFit="1"/>
    </xf>
    <xf numFmtId="2" fontId="68" fillId="0" borderId="32" xfId="0" applyNumberFormat="1" applyFont="1" applyBorder="1" applyAlignment="1">
      <alignment horizontal="center" vertical="center"/>
    </xf>
    <xf numFmtId="2" fontId="42" fillId="0" borderId="35" xfId="0" applyNumberFormat="1" applyFont="1" applyBorder="1" applyAlignment="1">
      <alignment horizontal="right" vertical="center"/>
    </xf>
    <xf numFmtId="173" fontId="40" fillId="30" borderId="21" xfId="0" applyNumberFormat="1" applyFont="1" applyFill="1" applyBorder="1" applyAlignment="1">
      <alignment horizontal="center" vertical="top" shrinkToFit="1"/>
    </xf>
    <xf numFmtId="0" fontId="40" fillId="30" borderId="21" xfId="0" applyFont="1" applyFill="1" applyBorder="1" applyAlignment="1">
      <alignment horizontal="justify" vertical="top" shrinkToFit="1"/>
    </xf>
    <xf numFmtId="0" fontId="38" fillId="30" borderId="21" xfId="0" applyFont="1" applyFill="1" applyBorder="1" applyAlignment="1">
      <alignment horizontal="justify" vertical="top" wrapText="1"/>
    </xf>
    <xf numFmtId="0" fontId="43" fillId="30" borderId="21" xfId="0" applyFont="1" applyFill="1" applyBorder="1" applyAlignment="1">
      <alignment horizontal="left" vertical="top" wrapText="1"/>
    </xf>
    <xf numFmtId="0" fontId="38" fillId="30" borderId="21" xfId="71" applyFont="1" applyFill="1" applyBorder="1"/>
    <xf numFmtId="176" fontId="38" fillId="0" borderId="21" xfId="0" applyNumberFormat="1" applyFont="1" applyBorder="1" applyAlignment="1">
      <alignment horizontal="center" vertical="top" wrapText="1"/>
    </xf>
    <xf numFmtId="0" fontId="42" fillId="0" borderId="21" xfId="0" applyFont="1" applyBorder="1" applyAlignment="1">
      <alignment horizontal="justify" vertical="top" wrapText="1"/>
    </xf>
    <xf numFmtId="0" fontId="42" fillId="30" borderId="21" xfId="0" applyFont="1" applyFill="1" applyBorder="1" applyAlignment="1">
      <alignment horizontal="justify" vertical="top" wrapText="1"/>
    </xf>
    <xf numFmtId="2" fontId="38" fillId="0" borderId="8" xfId="0" applyNumberFormat="1" applyFont="1" applyBorder="1" applyAlignment="1">
      <alignment horizontal="center" vertical="center" wrapText="1"/>
    </xf>
    <xf numFmtId="0" fontId="40" fillId="0" borderId="28" xfId="0" applyFont="1" applyBorder="1" applyAlignment="1">
      <alignment horizontal="center" vertical="top" wrapText="1"/>
    </xf>
    <xf numFmtId="0" fontId="38" fillId="0" borderId="23" xfId="0" applyFont="1" applyBorder="1"/>
    <xf numFmtId="0" fontId="40" fillId="0" borderId="8" xfId="0" applyFont="1" applyBorder="1" applyAlignment="1">
      <alignment vertical="center" shrinkToFit="1"/>
    </xf>
    <xf numFmtId="0" fontId="40" fillId="0" borderId="8" xfId="0" applyFont="1" applyBorder="1" applyAlignment="1">
      <alignment horizontal="center" vertical="center" wrapText="1"/>
    </xf>
    <xf numFmtId="2" fontId="40" fillId="0" borderId="8" xfId="0" applyNumberFormat="1" applyFont="1" applyBorder="1" applyAlignment="1">
      <alignment horizontal="center" vertical="center" wrapText="1"/>
    </xf>
    <xf numFmtId="0" fontId="38" fillId="0" borderId="32" xfId="0" applyFont="1" applyBorder="1" applyAlignment="1">
      <alignment horizontal="center" vertical="center" wrapText="1"/>
    </xf>
    <xf numFmtId="0" fontId="38" fillId="0" borderId="21" xfId="0" applyFont="1" applyBorder="1" applyAlignment="1">
      <alignment horizontal="center" vertical="center" wrapText="1"/>
    </xf>
    <xf numFmtId="172" fontId="40" fillId="0" borderId="28" xfId="0" applyNumberFormat="1" applyFont="1" applyBorder="1" applyAlignment="1">
      <alignment horizontal="justify" vertical="top" wrapText="1"/>
    </xf>
    <xf numFmtId="2" fontId="44" fillId="27" borderId="28" xfId="0" applyNumberFormat="1" applyFont="1" applyFill="1" applyBorder="1" applyAlignment="1">
      <alignment horizontal="center" vertical="top" shrinkToFit="1"/>
    </xf>
    <xf numFmtId="2" fontId="38" fillId="0" borderId="28" xfId="0" applyNumberFormat="1" applyFont="1" applyBorder="1" applyAlignment="1">
      <alignment horizontal="center" vertical="top" wrapText="1"/>
    </xf>
    <xf numFmtId="2" fontId="38" fillId="28" borderId="21" xfId="0" applyNumberFormat="1" applyFont="1" applyFill="1" applyBorder="1"/>
    <xf numFmtId="2" fontId="38" fillId="0" borderId="28" xfId="0" applyNumberFormat="1" applyFont="1" applyBorder="1"/>
    <xf numFmtId="2" fontId="38" fillId="0" borderId="21" xfId="0" applyNumberFormat="1" applyFont="1" applyBorder="1" applyAlignment="1">
      <alignment horizontal="right" vertical="top" wrapText="1"/>
    </xf>
    <xf numFmtId="2" fontId="38" fillId="27" borderId="21" xfId="0" applyNumberFormat="1" applyFont="1" applyFill="1" applyBorder="1" applyAlignment="1">
      <alignment horizontal="center" vertical="top" wrapText="1"/>
    </xf>
    <xf numFmtId="2" fontId="40" fillId="0" borderId="21" xfId="0" applyNumberFormat="1" applyFont="1" applyBorder="1" applyAlignment="1">
      <alignment horizontal="right" vertical="top" wrapText="1"/>
    </xf>
    <xf numFmtId="2" fontId="56" fillId="0" borderId="21" xfId="0" applyNumberFormat="1" applyFont="1" applyBorder="1" applyAlignment="1">
      <alignment horizontal="center" vertical="top" wrapText="1"/>
    </xf>
    <xf numFmtId="2" fontId="40" fillId="0" borderId="21" xfId="0" applyNumberFormat="1" applyFont="1" applyBorder="1" applyAlignment="1">
      <alignment horizontal="center" vertical="center" wrapText="1"/>
    </xf>
    <xf numFmtId="2" fontId="47" fillId="30" borderId="21" xfId="0" applyNumberFormat="1" applyFont="1" applyFill="1" applyBorder="1" applyAlignment="1">
      <alignment horizontal="center" vertical="top" shrinkToFit="1"/>
    </xf>
    <xf numFmtId="2" fontId="40" fillId="30" borderId="21" xfId="0" applyNumberFormat="1" applyFont="1" applyFill="1" applyBorder="1" applyAlignment="1">
      <alignment horizontal="center" vertical="top" wrapText="1"/>
    </xf>
    <xf numFmtId="173" fontId="40" fillId="30" borderId="21" xfId="0" applyNumberFormat="1" applyFont="1" applyFill="1" applyBorder="1" applyAlignment="1">
      <alignment horizontal="center" vertical="center" wrapText="1"/>
    </xf>
    <xf numFmtId="2" fontId="40" fillId="30" borderId="21" xfId="0" applyNumberFormat="1" applyFont="1" applyFill="1" applyBorder="1" applyAlignment="1">
      <alignment horizontal="center" vertical="center" wrapText="1"/>
    </xf>
    <xf numFmtId="2" fontId="38" fillId="0" borderId="21" xfId="0" applyNumberFormat="1" applyFont="1" applyBorder="1" applyAlignment="1">
      <alignment horizontal="right"/>
    </xf>
    <xf numFmtId="2" fontId="43" fillId="27" borderId="21" xfId="0" applyNumberFormat="1" applyFont="1" applyFill="1" applyBorder="1" applyAlignment="1">
      <alignment horizontal="center" vertical="top" wrapText="1"/>
    </xf>
    <xf numFmtId="0" fontId="40" fillId="0" borderId="21" xfId="0" applyFont="1" applyBorder="1" applyAlignment="1">
      <alignment shrinkToFit="1"/>
    </xf>
    <xf numFmtId="0" fontId="40" fillId="0" borderId="21" xfId="0" applyFont="1" applyBorder="1"/>
    <xf numFmtId="2" fontId="38" fillId="28" borderId="21" xfId="0" applyNumberFormat="1" applyFont="1" applyFill="1" applyBorder="1" applyAlignment="1">
      <alignment horizontal="right" vertical="top" shrinkToFit="1"/>
    </xf>
    <xf numFmtId="2" fontId="40" fillId="30" borderId="21" xfId="0" applyNumberFormat="1" applyFont="1" applyFill="1" applyBorder="1" applyAlignment="1">
      <alignment horizontal="right" vertical="top" shrinkToFit="1"/>
    </xf>
    <xf numFmtId="173" fontId="40" fillId="30" borderId="21" xfId="0" applyNumberFormat="1" applyFont="1" applyFill="1" applyBorder="1" applyAlignment="1">
      <alignment horizontal="center" vertical="center" shrinkToFit="1"/>
    </xf>
    <xf numFmtId="0" fontId="51" fillId="30" borderId="21" xfId="0" applyFont="1" applyFill="1" applyBorder="1" applyAlignment="1">
      <alignment horizontal="justify" vertical="top" wrapText="1"/>
    </xf>
    <xf numFmtId="0" fontId="38" fillId="0" borderId="21" xfId="0" applyFont="1" applyBorder="1" applyAlignment="1">
      <alignment horizontal="center" vertical="center" shrinkToFit="1"/>
    </xf>
    <xf numFmtId="0" fontId="38" fillId="0" borderId="21" xfId="0" applyFont="1" applyBorder="1" applyAlignment="1">
      <alignment horizontal="center" vertical="center"/>
    </xf>
    <xf numFmtId="0" fontId="39" fillId="35" borderId="21" xfId="0" applyFont="1" applyFill="1" applyBorder="1" applyAlignment="1">
      <alignment horizontal="justify" vertical="top" wrapText="1"/>
    </xf>
    <xf numFmtId="2" fontId="38" fillId="35" borderId="21" xfId="0" applyNumberFormat="1" applyFont="1" applyFill="1" applyBorder="1" applyAlignment="1">
      <alignment horizontal="right" vertical="top" shrinkToFit="1"/>
    </xf>
    <xf numFmtId="0" fontId="43" fillId="0" borderId="37" xfId="0" applyFont="1" applyBorder="1" applyAlignment="1">
      <alignment horizontal="left" vertical="top"/>
    </xf>
    <xf numFmtId="0" fontId="43" fillId="0" borderId="38" xfId="0" applyFont="1" applyBorder="1" applyAlignment="1">
      <alignment horizontal="left" vertical="top"/>
    </xf>
    <xf numFmtId="0" fontId="43" fillId="0" borderId="32" xfId="0" applyFont="1" applyBorder="1" applyAlignment="1">
      <alignment horizontal="left" vertical="top"/>
    </xf>
    <xf numFmtId="2" fontId="43" fillId="0" borderId="38" xfId="0" applyNumberFormat="1" applyFont="1" applyBorder="1" applyAlignment="1">
      <alignment horizontal="left" vertical="top"/>
    </xf>
    <xf numFmtId="170" fontId="39" fillId="0" borderId="21" xfId="0" applyNumberFormat="1" applyFont="1" applyBorder="1" applyAlignment="1">
      <alignment horizontal="right" vertical="top" shrinkToFit="1"/>
    </xf>
    <xf numFmtId="170" fontId="40" fillId="0" borderId="21" xfId="0" applyNumberFormat="1" applyFont="1" applyBorder="1" applyAlignment="1">
      <alignment horizontal="right" vertical="center" shrinkToFit="1"/>
    </xf>
    <xf numFmtId="170" fontId="40" fillId="0" borderId="21" xfId="0" applyNumberFormat="1" applyFont="1" applyBorder="1" applyAlignment="1">
      <alignment horizontal="right" vertical="top" shrinkToFit="1"/>
    </xf>
    <xf numFmtId="170" fontId="40" fillId="30" borderId="21" xfId="0" applyNumberFormat="1" applyFont="1" applyFill="1" applyBorder="1" applyAlignment="1">
      <alignment horizontal="right" vertical="center" shrinkToFit="1"/>
    </xf>
    <xf numFmtId="170" fontId="40" fillId="30" borderId="21" xfId="0" applyNumberFormat="1" applyFont="1" applyFill="1" applyBorder="1" applyAlignment="1">
      <alignment horizontal="right" vertical="top" shrinkToFit="1"/>
    </xf>
    <xf numFmtId="170" fontId="38" fillId="0" borderId="21" xfId="0" applyNumberFormat="1" applyFont="1" applyBorder="1" applyAlignment="1">
      <alignment horizontal="right" vertical="center" shrinkToFit="1"/>
    </xf>
    <xf numFmtId="170" fontId="38" fillId="0" borderId="21" xfId="0" applyNumberFormat="1" applyFont="1" applyBorder="1" applyAlignment="1">
      <alignment horizontal="right" vertical="top" wrapText="1"/>
    </xf>
    <xf numFmtId="2" fontId="43" fillId="30" borderId="21" xfId="0" applyNumberFormat="1" applyFont="1" applyFill="1" applyBorder="1" applyAlignment="1">
      <alignment horizontal="right" vertical="top" wrapText="1"/>
    </xf>
    <xf numFmtId="2" fontId="38" fillId="28" borderId="21" xfId="0" applyNumberFormat="1" applyFont="1" applyFill="1" applyBorder="1" applyAlignment="1">
      <alignment horizontal="right" vertical="center" shrinkToFit="1"/>
    </xf>
    <xf numFmtId="2" fontId="38" fillId="27" borderId="21" xfId="0" applyNumberFormat="1" applyFont="1" applyFill="1" applyBorder="1" applyAlignment="1">
      <alignment horizontal="right" vertical="top" wrapText="1"/>
    </xf>
    <xf numFmtId="2" fontId="38" fillId="27" borderId="21" xfId="0" applyNumberFormat="1" applyFont="1" applyFill="1" applyBorder="1" applyAlignment="1">
      <alignment horizontal="right" vertical="top" shrinkToFit="1"/>
    </xf>
    <xf numFmtId="2" fontId="40" fillId="0" borderId="21" xfId="0" applyNumberFormat="1" applyFont="1" applyBorder="1" applyAlignment="1">
      <alignment horizontal="right" vertical="center" shrinkToFit="1"/>
    </xf>
    <xf numFmtId="2" fontId="40" fillId="30" borderId="21" xfId="0" applyNumberFormat="1" applyFont="1" applyFill="1" applyBorder="1" applyAlignment="1">
      <alignment horizontal="right" vertical="center" shrinkToFit="1"/>
    </xf>
    <xf numFmtId="2" fontId="38" fillId="0" borderId="21" xfId="0" applyNumberFormat="1" applyFont="1" applyBorder="1" applyAlignment="1">
      <alignment horizontal="right" vertical="top"/>
    </xf>
    <xf numFmtId="2" fontId="38" fillId="0" borderId="21" xfId="0" applyNumberFormat="1" applyFont="1" applyBorder="1" applyAlignment="1">
      <alignment horizontal="right" vertical="center" shrinkToFit="1"/>
    </xf>
    <xf numFmtId="2" fontId="38" fillId="0" borderId="21" xfId="0" applyNumberFormat="1" applyFont="1" applyBorder="1" applyAlignment="1">
      <alignment horizontal="right" vertical="center"/>
    </xf>
    <xf numFmtId="2" fontId="40" fillId="0" borderId="21" xfId="0" applyNumberFormat="1" applyFont="1" applyBorder="1" applyAlignment="1">
      <alignment horizontal="right" vertical="center"/>
    </xf>
    <xf numFmtId="2" fontId="42" fillId="0" borderId="21" xfId="0" applyNumberFormat="1" applyFont="1" applyBorder="1" applyAlignment="1">
      <alignment horizontal="right" vertical="center"/>
    </xf>
    <xf numFmtId="2" fontId="38" fillId="0" borderId="8" xfId="0" applyNumberFormat="1" applyFont="1" applyBorder="1" applyAlignment="1">
      <alignment horizontal="right" vertical="center"/>
    </xf>
    <xf numFmtId="2" fontId="38" fillId="0" borderId="21" xfId="0" applyNumberFormat="1" applyFont="1" applyBorder="1" applyAlignment="1">
      <alignment horizontal="right" vertical="center" wrapText="1"/>
    </xf>
    <xf numFmtId="2" fontId="61" fillId="0" borderId="35" xfId="0" applyNumberFormat="1" applyFont="1" applyBorder="1" applyAlignment="1">
      <alignment horizontal="right" vertical="center" wrapText="1"/>
    </xf>
    <xf numFmtId="2" fontId="75" fillId="0" borderId="0" xfId="69" applyNumberFormat="1" applyFont="1" applyAlignment="1">
      <alignment horizontal="right" vertical="top"/>
    </xf>
    <xf numFmtId="2" fontId="38" fillId="0" borderId="0" xfId="0" applyNumberFormat="1" applyFont="1" applyAlignment="1">
      <alignment vertical="top"/>
    </xf>
    <xf numFmtId="2" fontId="43" fillId="0" borderId="28" xfId="0" applyNumberFormat="1" applyFont="1" applyBorder="1" applyAlignment="1">
      <alignment horizontal="right" vertical="center" shrinkToFit="1"/>
    </xf>
    <xf numFmtId="2" fontId="43" fillId="0" borderId="21" xfId="0" applyNumberFormat="1" applyFont="1" applyBorder="1" applyAlignment="1">
      <alignment horizontal="right" vertical="center" shrinkToFit="1"/>
    </xf>
    <xf numFmtId="2" fontId="53" fillId="30" borderId="21" xfId="0" applyNumberFormat="1" applyFont="1" applyFill="1" applyBorder="1" applyAlignment="1">
      <alignment horizontal="right" vertical="center" shrinkToFit="1"/>
    </xf>
    <xf numFmtId="2" fontId="43" fillId="30" borderId="21" xfId="0" applyNumberFormat="1" applyFont="1" applyFill="1" applyBorder="1" applyAlignment="1">
      <alignment horizontal="right" vertical="center" shrinkToFit="1"/>
    </xf>
    <xf numFmtId="2" fontId="42" fillId="0" borderId="21" xfId="0" applyNumberFormat="1" applyFont="1" applyBorder="1" applyAlignment="1">
      <alignment horizontal="right" vertical="center" shrinkToFit="1"/>
    </xf>
    <xf numFmtId="2" fontId="43" fillId="0" borderId="21" xfId="0" applyNumberFormat="1" applyFont="1" applyBorder="1" applyAlignment="1">
      <alignment horizontal="right" shrinkToFit="1"/>
    </xf>
    <xf numFmtId="2" fontId="42" fillId="30" borderId="21" xfId="0" applyNumberFormat="1" applyFont="1" applyFill="1" applyBorder="1" applyAlignment="1">
      <alignment horizontal="right" vertical="center" shrinkToFit="1"/>
    </xf>
    <xf numFmtId="2" fontId="44" fillId="0" borderId="21" xfId="0" applyNumberFormat="1" applyFont="1" applyBorder="1" applyAlignment="1">
      <alignment horizontal="right" vertical="center" shrinkToFit="1"/>
    </xf>
    <xf numFmtId="2" fontId="43" fillId="0" borderId="21" xfId="0" applyNumberFormat="1" applyFont="1" applyBorder="1" applyAlignment="1">
      <alignment horizontal="right" vertical="top" shrinkToFit="1"/>
    </xf>
    <xf numFmtId="2" fontId="58" fillId="30" borderId="21" xfId="0" applyNumberFormat="1" applyFont="1" applyFill="1" applyBorder="1" applyAlignment="1">
      <alignment horizontal="right" vertical="center" shrinkToFit="1"/>
    </xf>
    <xf numFmtId="2" fontId="38" fillId="0" borderId="0" xfId="0" applyNumberFormat="1" applyFont="1" applyAlignment="1">
      <alignment horizontal="right" vertical="top"/>
    </xf>
    <xf numFmtId="2" fontId="44" fillId="30" borderId="21" xfId="0" applyNumberFormat="1" applyFont="1" applyFill="1" applyBorder="1" applyAlignment="1">
      <alignment horizontal="right" vertical="center" shrinkToFit="1"/>
    </xf>
    <xf numFmtId="2" fontId="47" fillId="0" borderId="21" xfId="0" applyNumberFormat="1" applyFont="1" applyBorder="1" applyAlignment="1">
      <alignment horizontal="right" vertical="center" shrinkToFit="1"/>
    </xf>
    <xf numFmtId="2" fontId="43" fillId="0" borderId="35" xfId="0" applyNumberFormat="1" applyFont="1" applyBorder="1" applyAlignment="1">
      <alignment horizontal="right" vertical="center"/>
    </xf>
    <xf numFmtId="2" fontId="43" fillId="0" borderId="0" xfId="0" applyNumberFormat="1" applyFont="1" applyAlignment="1">
      <alignment horizontal="right"/>
    </xf>
    <xf numFmtId="0" fontId="43" fillId="0" borderId="0" xfId="0" applyFont="1" applyAlignment="1">
      <alignment horizontal="center"/>
    </xf>
    <xf numFmtId="0" fontId="43" fillId="0" borderId="21" xfId="0" applyFont="1" applyBorder="1" applyAlignment="1">
      <alignment horizontal="center" vertical="top"/>
    </xf>
    <xf numFmtId="0" fontId="43" fillId="0" borderId="21" xfId="0" applyFont="1" applyBorder="1" applyAlignment="1">
      <alignment horizontal="justify" vertical="top"/>
    </xf>
    <xf numFmtId="170" fontId="43" fillId="0" borderId="21" xfId="0" applyNumberFormat="1" applyFont="1" applyBorder="1" applyAlignment="1">
      <alignment horizontal="right" vertical="top"/>
    </xf>
    <xf numFmtId="2" fontId="43" fillId="0" borderId="21" xfId="0" applyNumberFormat="1" applyFont="1" applyBorder="1" applyAlignment="1">
      <alignment horizontal="right" vertical="top"/>
    </xf>
    <xf numFmtId="0" fontId="43" fillId="0" borderId="21" xfId="0" applyFont="1" applyBorder="1"/>
    <xf numFmtId="2" fontId="43" fillId="0" borderId="21" xfId="0" applyNumberFormat="1" applyFont="1" applyBorder="1"/>
    <xf numFmtId="1" fontId="43" fillId="0" borderId="0" xfId="0" applyNumberFormat="1" applyFont="1" applyAlignment="1">
      <alignment horizontal="center"/>
    </xf>
    <xf numFmtId="2" fontId="43" fillId="0" borderId="0" xfId="0" applyNumberFormat="1" applyFont="1" applyAlignment="1">
      <alignment horizontal="left"/>
    </xf>
    <xf numFmtId="2" fontId="38" fillId="0" borderId="25" xfId="0" applyNumberFormat="1" applyFont="1" applyBorder="1" applyAlignment="1">
      <alignment horizontal="right" vertical="center" shrinkToFit="1"/>
    </xf>
    <xf numFmtId="0" fontId="38" fillId="0" borderId="0" xfId="0" applyFont="1" applyAlignment="1">
      <alignment horizontal="left" vertical="top" wrapText="1"/>
    </xf>
    <xf numFmtId="2" fontId="42" fillId="0" borderId="0" xfId="0" applyNumberFormat="1" applyFont="1" applyAlignment="1">
      <alignment horizontal="right" vertical="center"/>
    </xf>
    <xf numFmtId="2" fontId="43" fillId="0" borderId="0" xfId="0" applyNumberFormat="1" applyFont="1" applyAlignment="1">
      <alignment horizontal="right" vertical="center" shrinkToFit="1"/>
    </xf>
    <xf numFmtId="2" fontId="38" fillId="0" borderId="0" xfId="0" applyNumberFormat="1" applyFont="1" applyAlignment="1">
      <alignment horizontal="right" vertical="center" shrinkToFit="1"/>
    </xf>
    <xf numFmtId="0" fontId="49" fillId="0" borderId="22" xfId="0" applyFont="1" applyBorder="1" applyAlignment="1">
      <alignment horizontal="center" vertical="top"/>
    </xf>
    <xf numFmtId="0" fontId="40" fillId="0" borderId="22" xfId="0" applyFont="1" applyBorder="1" applyAlignment="1">
      <alignment horizontal="center" vertical="top" wrapText="1"/>
    </xf>
    <xf numFmtId="0" fontId="43" fillId="28" borderId="21" xfId="0" applyFont="1" applyFill="1" applyBorder="1" applyAlignment="1">
      <alignment horizontal="center" vertical="top" wrapText="1"/>
    </xf>
    <xf numFmtId="0" fontId="40" fillId="0" borderId="34" xfId="0" applyFont="1" applyBorder="1" applyAlignment="1">
      <alignment horizontal="center" vertical="top" wrapText="1"/>
    </xf>
    <xf numFmtId="0" fontId="38" fillId="0" borderId="0" xfId="0" applyFont="1" applyAlignment="1">
      <alignment horizontal="center"/>
    </xf>
    <xf numFmtId="0" fontId="43" fillId="0" borderId="21" xfId="0" applyFont="1" applyBorder="1" applyAlignment="1">
      <alignment vertical="center"/>
    </xf>
    <xf numFmtId="172" fontId="40" fillId="0" borderId="24" xfId="0" applyNumberFormat="1" applyFont="1" applyBorder="1" applyAlignment="1">
      <alignment horizontal="right" vertical="center" wrapText="1"/>
    </xf>
    <xf numFmtId="172" fontId="38" fillId="0" borderId="0" xfId="0" applyNumberFormat="1" applyFont="1" applyAlignment="1">
      <alignment horizontal="right" vertical="top" wrapText="1"/>
    </xf>
    <xf numFmtId="170" fontId="43" fillId="0" borderId="21" xfId="0" applyNumberFormat="1" applyFont="1" applyBorder="1" applyAlignment="1">
      <alignment horizontal="center" vertical="center"/>
    </xf>
    <xf numFmtId="0" fontId="38" fillId="0" borderId="0" xfId="0" applyFont="1" applyAlignment="1">
      <alignment wrapText="1"/>
    </xf>
    <xf numFmtId="0" fontId="38" fillId="0" borderId="0" xfId="76" applyFont="1" applyProtection="1">
      <protection hidden="1"/>
    </xf>
    <xf numFmtId="0" fontId="40" fillId="0" borderId="8" xfId="76" applyFont="1" applyBorder="1" applyAlignment="1" applyProtection="1">
      <alignment horizontal="center" vertical="center" wrapText="1"/>
      <protection hidden="1"/>
    </xf>
    <xf numFmtId="0" fontId="38" fillId="0" borderId="0" xfId="76" applyFont="1" applyAlignment="1" applyProtection="1">
      <alignment horizontal="center" vertical="center"/>
      <protection hidden="1"/>
    </xf>
    <xf numFmtId="0" fontId="38" fillId="0" borderId="0" xfId="76" applyFont="1" applyAlignment="1" applyProtection="1">
      <alignment vertical="top"/>
      <protection hidden="1"/>
    </xf>
    <xf numFmtId="0" fontId="59" fillId="0" borderId="0" xfId="76" applyFont="1" applyAlignment="1" applyProtection="1">
      <alignment vertical="top"/>
      <protection hidden="1"/>
    </xf>
    <xf numFmtId="0" fontId="67" fillId="0" borderId="0" xfId="67" applyFont="1" applyAlignment="1" applyProtection="1">
      <alignment horizontal="center" vertical="center"/>
      <protection hidden="1"/>
    </xf>
    <xf numFmtId="0" fontId="38" fillId="0" borderId="0" xfId="67" applyFont="1" applyAlignment="1" applyProtection="1">
      <alignment vertical="top"/>
      <protection hidden="1"/>
    </xf>
    <xf numFmtId="0" fontId="67" fillId="0" borderId="0" xfId="67" applyFont="1" applyAlignment="1" applyProtection="1">
      <alignment vertical="top"/>
      <protection hidden="1"/>
    </xf>
    <xf numFmtId="2" fontId="52" fillId="0" borderId="0" xfId="67" applyNumberFormat="1" applyFont="1" applyAlignment="1" applyProtection="1">
      <alignment vertical="top"/>
      <protection hidden="1"/>
    </xf>
    <xf numFmtId="1" fontId="52" fillId="0" borderId="0" xfId="67" applyNumberFormat="1" applyFont="1" applyAlignment="1" applyProtection="1">
      <alignment vertical="top"/>
      <protection hidden="1"/>
    </xf>
    <xf numFmtId="0" fontId="40" fillId="0" borderId="0" xfId="76" applyFont="1" applyAlignment="1" applyProtection="1">
      <alignment horizontal="center" vertical="top"/>
      <protection hidden="1"/>
    </xf>
    <xf numFmtId="0" fontId="40" fillId="0" borderId="0" xfId="76" applyFont="1" applyAlignment="1" applyProtection="1">
      <alignment horizontal="left" vertical="top"/>
      <protection hidden="1"/>
    </xf>
    <xf numFmtId="0" fontId="40" fillId="0" borderId="0" xfId="76" applyFont="1" applyAlignment="1" applyProtection="1">
      <alignment vertical="top"/>
      <protection hidden="1"/>
    </xf>
    <xf numFmtId="0" fontId="40" fillId="0" borderId="0" xfId="67" applyFont="1" applyAlignment="1" applyProtection="1">
      <alignment horizontal="center"/>
      <protection hidden="1"/>
    </xf>
    <xf numFmtId="0" fontId="40" fillId="0" borderId="0" xfId="76" applyFont="1" applyProtection="1">
      <protection hidden="1"/>
    </xf>
    <xf numFmtId="0" fontId="40" fillId="0" borderId="0" xfId="76" applyFont="1" applyAlignment="1" applyProtection="1">
      <alignment horizontal="center"/>
      <protection hidden="1"/>
    </xf>
    <xf numFmtId="0" fontId="52" fillId="0" borderId="0" xfId="0" applyFont="1" applyAlignment="1">
      <alignment horizontal="center" wrapText="1"/>
    </xf>
    <xf numFmtId="0" fontId="38" fillId="0" borderId="0" xfId="75" applyFont="1"/>
    <xf numFmtId="0" fontId="66" fillId="0" borderId="0" xfId="75" applyFont="1" applyAlignment="1">
      <alignment horizontal="center" vertical="top" wrapText="1"/>
    </xf>
    <xf numFmtId="0" fontId="70" fillId="0" borderId="0" xfId="75" applyFont="1" applyAlignment="1">
      <alignment horizontal="center" vertical="top"/>
    </xf>
    <xf numFmtId="0" fontId="59" fillId="0" borderId="8" xfId="75" applyFont="1" applyBorder="1" applyAlignment="1">
      <alignment horizontal="center"/>
    </xf>
    <xf numFmtId="0" fontId="59" fillId="0" borderId="0" xfId="75" applyFont="1" applyAlignment="1">
      <alignment horizontal="center"/>
    </xf>
    <xf numFmtId="2" fontId="59" fillId="35" borderId="8" xfId="75" applyNumberFormat="1" applyFont="1" applyFill="1" applyBorder="1"/>
    <xf numFmtId="2" fontId="59" fillId="35" borderId="8" xfId="68" applyNumberFormat="1" applyFont="1" applyFill="1" applyBorder="1"/>
    <xf numFmtId="2" fontId="38" fillId="35" borderId="0" xfId="0" applyNumberFormat="1" applyFont="1" applyFill="1"/>
    <xf numFmtId="170" fontId="38" fillId="0" borderId="0" xfId="0" applyNumberFormat="1" applyFont="1"/>
    <xf numFmtId="2" fontId="59" fillId="36" borderId="8" xfId="75" applyNumberFormat="1" applyFont="1" applyFill="1" applyBorder="1"/>
    <xf numFmtId="2" fontId="59" fillId="36" borderId="8" xfId="68" applyNumberFormat="1" applyFont="1" applyFill="1" applyBorder="1"/>
    <xf numFmtId="2" fontId="59" fillId="0" borderId="0" xfId="68" applyNumberFormat="1" applyFont="1"/>
    <xf numFmtId="2" fontId="59" fillId="32" borderId="8" xfId="75" applyNumberFormat="1" applyFont="1" applyFill="1" applyBorder="1"/>
    <xf numFmtId="2" fontId="59" fillId="32" borderId="8" xfId="68" applyNumberFormat="1" applyFont="1" applyFill="1" applyBorder="1"/>
    <xf numFmtId="2" fontId="59" fillId="31" borderId="8" xfId="75" applyNumberFormat="1" applyFont="1" applyFill="1" applyBorder="1"/>
    <xf numFmtId="2" fontId="59" fillId="30" borderId="8" xfId="68" applyNumberFormat="1" applyFont="1" applyFill="1" applyBorder="1"/>
    <xf numFmtId="2" fontId="59" fillId="37" borderId="8" xfId="75" applyNumberFormat="1" applyFont="1" applyFill="1" applyBorder="1"/>
    <xf numFmtId="2" fontId="59" fillId="38" borderId="8" xfId="68" applyNumberFormat="1" applyFont="1" applyFill="1" applyBorder="1"/>
    <xf numFmtId="2" fontId="59" fillId="28" borderId="8" xfId="68" applyNumberFormat="1" applyFont="1" applyFill="1" applyBorder="1"/>
    <xf numFmtId="0" fontId="59" fillId="0" borderId="0" xfId="75" applyFont="1"/>
    <xf numFmtId="1" fontId="38" fillId="0" borderId="0" xfId="0" applyNumberFormat="1" applyFont="1" applyAlignment="1">
      <alignment horizontal="center" vertical="center"/>
    </xf>
    <xf numFmtId="0" fontId="67" fillId="0" borderId="22" xfId="76" applyFont="1" applyBorder="1" applyAlignment="1" applyProtection="1">
      <alignment horizontal="center" vertical="top" wrapText="1"/>
      <protection hidden="1"/>
    </xf>
    <xf numFmtId="0" fontId="38" fillId="0" borderId="21" xfId="76" applyFont="1" applyBorder="1" applyAlignment="1" applyProtection="1">
      <alignment horizontal="justify" vertical="top" wrapText="1"/>
      <protection hidden="1"/>
    </xf>
    <xf numFmtId="0" fontId="43" fillId="0" borderId="21" xfId="76" applyFont="1" applyBorder="1" applyAlignment="1" applyProtection="1">
      <alignment horizontal="center" vertical="center" wrapText="1"/>
      <protection hidden="1"/>
    </xf>
    <xf numFmtId="2" fontId="38" fillId="0" borderId="21" xfId="76" applyNumberFormat="1" applyFont="1" applyBorder="1" applyAlignment="1" applyProtection="1">
      <alignment horizontal="center" vertical="center" wrapText="1"/>
      <protection hidden="1"/>
    </xf>
    <xf numFmtId="2" fontId="67" fillId="0" borderId="25" xfId="76" applyNumberFormat="1" applyFont="1" applyBorder="1" applyAlignment="1" applyProtection="1">
      <alignment horizontal="right" vertical="center" wrapText="1"/>
      <protection hidden="1"/>
    </xf>
    <xf numFmtId="0" fontId="38" fillId="0" borderId="21" xfId="76" applyFont="1" applyBorder="1" applyAlignment="1" applyProtection="1">
      <alignment horizontal="center" vertical="center" wrapText="1"/>
      <protection hidden="1"/>
    </xf>
    <xf numFmtId="0" fontId="67" fillId="0" borderId="34" xfId="76" applyFont="1" applyBorder="1" applyAlignment="1" applyProtection="1">
      <alignment horizontal="center" vertical="center"/>
      <protection hidden="1"/>
    </xf>
    <xf numFmtId="0" fontId="40" fillId="0" borderId="35" xfId="76" applyFont="1" applyBorder="1" applyAlignment="1" applyProtection="1">
      <alignment horizontal="right" vertical="center" wrapText="1"/>
      <protection hidden="1"/>
    </xf>
    <xf numFmtId="2" fontId="52" fillId="0" borderId="36" xfId="76" applyNumberFormat="1" applyFont="1" applyBorder="1" applyAlignment="1" applyProtection="1">
      <alignment vertical="center"/>
      <protection hidden="1"/>
    </xf>
    <xf numFmtId="0" fontId="67" fillId="0" borderId="27" xfId="76" applyFont="1" applyBorder="1" applyAlignment="1" applyProtection="1">
      <alignment horizontal="center" vertical="top" wrapText="1"/>
      <protection hidden="1"/>
    </xf>
    <xf numFmtId="0" fontId="38" fillId="0" borderId="28" xfId="76" applyFont="1" applyBorder="1" applyAlignment="1" applyProtection="1">
      <alignment horizontal="justify" vertical="top" wrapText="1"/>
      <protection hidden="1"/>
    </xf>
    <xf numFmtId="2" fontId="38" fillId="0" borderId="28" xfId="76" applyNumberFormat="1" applyFont="1" applyBorder="1" applyAlignment="1" applyProtection="1">
      <alignment horizontal="center" vertical="center" wrapText="1"/>
      <protection hidden="1"/>
    </xf>
    <xf numFmtId="2" fontId="43" fillId="0" borderId="0" xfId="0" applyNumberFormat="1" applyFont="1" applyAlignment="1">
      <alignment horizontal="center"/>
    </xf>
    <xf numFmtId="0" fontId="67" fillId="0" borderId="0" xfId="76" applyFont="1" applyAlignment="1" applyProtection="1">
      <alignment horizontal="center" vertical="top"/>
      <protection hidden="1"/>
    </xf>
    <xf numFmtId="0" fontId="40" fillId="0" borderId="0" xfId="76" applyFont="1" applyAlignment="1" applyProtection="1">
      <alignment horizontal="right" vertical="center" wrapText="1"/>
      <protection hidden="1"/>
    </xf>
    <xf numFmtId="0" fontId="52" fillId="0" borderId="0" xfId="76" applyFont="1" applyAlignment="1" applyProtection="1">
      <alignment horizontal="right" vertical="center" wrapText="1"/>
      <protection hidden="1"/>
    </xf>
    <xf numFmtId="1" fontId="52" fillId="0" borderId="0" xfId="76" applyNumberFormat="1" applyFont="1" applyAlignment="1" applyProtection="1">
      <alignment vertical="center"/>
      <protection hidden="1"/>
    </xf>
    <xf numFmtId="2" fontId="52" fillId="0" borderId="0" xfId="76" applyNumberFormat="1" applyFont="1" applyAlignment="1" applyProtection="1">
      <alignment vertical="center"/>
      <protection hidden="1"/>
    </xf>
    <xf numFmtId="0" fontId="40" fillId="0" borderId="27" xfId="0" applyFont="1" applyBorder="1" applyAlignment="1">
      <alignment horizontal="center" vertical="top" wrapText="1"/>
    </xf>
    <xf numFmtId="0" fontId="43" fillId="0" borderId="0" xfId="0" applyFont="1" applyAlignment="1">
      <alignment horizontal="center" vertical="top" wrapText="1"/>
    </xf>
    <xf numFmtId="2" fontId="64" fillId="0" borderId="21" xfId="0" applyNumberFormat="1" applyFont="1" applyBorder="1" applyAlignment="1">
      <alignment horizontal="right" vertical="center" shrinkToFit="1"/>
    </xf>
    <xf numFmtId="0" fontId="38" fillId="0" borderId="32" xfId="0" applyFont="1" applyBorder="1" applyAlignment="1">
      <alignment horizontal="center" vertical="top" wrapText="1"/>
    </xf>
    <xf numFmtId="2" fontId="64" fillId="0" borderId="25" xfId="0" applyNumberFormat="1" applyFont="1" applyBorder="1" applyAlignment="1">
      <alignment horizontal="right" vertical="top" shrinkToFit="1"/>
    </xf>
    <xf numFmtId="0" fontId="40" fillId="0" borderId="32" xfId="0" applyFont="1" applyBorder="1" applyAlignment="1">
      <alignment horizontal="center" vertical="top" wrapText="1"/>
    </xf>
    <xf numFmtId="172" fontId="38" fillId="0" borderId="21" xfId="0" applyNumberFormat="1" applyFont="1" applyBorder="1" applyAlignment="1">
      <alignment horizontal="left" vertical="top" wrapText="1"/>
    </xf>
    <xf numFmtId="0" fontId="43" fillId="0" borderId="32" xfId="0" applyFont="1" applyBorder="1" applyAlignment="1">
      <alignment horizontal="center" vertical="top" wrapText="1"/>
    </xf>
    <xf numFmtId="0" fontId="59" fillId="0" borderId="0" xfId="76" applyFont="1" applyAlignment="1" applyProtection="1">
      <alignment vertical="center"/>
      <protection hidden="1"/>
    </xf>
    <xf numFmtId="1" fontId="59" fillId="0" borderId="0" xfId="76" applyNumberFormat="1" applyFont="1" applyAlignment="1" applyProtection="1">
      <alignment vertical="center"/>
      <protection hidden="1"/>
    </xf>
    <xf numFmtId="0" fontId="38" fillId="0" borderId="0" xfId="0" applyFont="1" applyAlignment="1">
      <alignment vertical="center"/>
    </xf>
    <xf numFmtId="0" fontId="38" fillId="0" borderId="0" xfId="0" applyFont="1" applyAlignment="1">
      <alignment horizontal="left" vertical="center"/>
    </xf>
    <xf numFmtId="2" fontId="38" fillId="0" borderId="0" xfId="0" applyNumberFormat="1" applyFont="1" applyAlignment="1">
      <alignment horizontal="left" vertical="center"/>
    </xf>
    <xf numFmtId="2" fontId="38" fillId="0" borderId="0" xfId="0" applyNumberFormat="1" applyFont="1" applyAlignment="1">
      <alignment vertical="center"/>
    </xf>
    <xf numFmtId="2" fontId="38" fillId="0" borderId="0" xfId="0" applyNumberFormat="1" applyFont="1" applyAlignment="1">
      <alignment horizontal="right" vertical="center"/>
    </xf>
    <xf numFmtId="2" fontId="40" fillId="0" borderId="0" xfId="0" applyNumberFormat="1" applyFont="1" applyAlignment="1">
      <alignment vertical="center"/>
    </xf>
    <xf numFmtId="0" fontId="40" fillId="0" borderId="22" xfId="0" applyFont="1" applyBorder="1" applyAlignment="1">
      <alignment horizontal="center" vertical="center" wrapText="1"/>
    </xf>
    <xf numFmtId="2" fontId="38" fillId="0" borderId="21" xfId="0" applyNumberFormat="1" applyFont="1" applyBorder="1" applyAlignment="1">
      <alignment horizontal="center" vertical="center" wrapText="1"/>
    </xf>
    <xf numFmtId="2" fontId="38" fillId="0" borderId="21" xfId="0" applyNumberFormat="1" applyFont="1" applyBorder="1" applyAlignment="1">
      <alignment vertical="center" wrapText="1"/>
    </xf>
    <xf numFmtId="2" fontId="49" fillId="0" borderId="25" xfId="0" applyNumberFormat="1" applyFont="1" applyBorder="1" applyAlignment="1">
      <alignment horizontal="right" vertical="center"/>
    </xf>
    <xf numFmtId="0" fontId="40" fillId="0" borderId="39" xfId="0" applyFont="1" applyBorder="1" applyAlignment="1">
      <alignment horizontal="center" vertical="top" wrapText="1"/>
    </xf>
    <xf numFmtId="2" fontId="38" fillId="0" borderId="0" xfId="0" applyNumberFormat="1" applyFont="1" applyAlignment="1">
      <alignment horizontal="right" vertical="center" wrapText="1"/>
    </xf>
    <xf numFmtId="2" fontId="81" fillId="0" borderId="25" xfId="0" applyNumberFormat="1" applyFont="1" applyBorder="1" applyAlignment="1">
      <alignment horizontal="right" vertical="center"/>
    </xf>
    <xf numFmtId="2" fontId="40" fillId="0" borderId="25" xfId="0" applyNumberFormat="1" applyFont="1" applyBorder="1" applyAlignment="1">
      <alignment horizontal="right" vertical="center" shrinkToFit="1"/>
    </xf>
    <xf numFmtId="0" fontId="44" fillId="0" borderId="0" xfId="0" applyFont="1" applyAlignment="1">
      <alignment horizontal="center" vertical="top"/>
    </xf>
    <xf numFmtId="0" fontId="44" fillId="0" borderId="0" xfId="0" applyFont="1" applyAlignment="1">
      <alignment horizontal="center"/>
    </xf>
    <xf numFmtId="4" fontId="40" fillId="0" borderId="0" xfId="0" applyNumberFormat="1" applyFont="1" applyAlignment="1">
      <alignment horizontal="right" vertical="center"/>
    </xf>
    <xf numFmtId="2" fontId="40" fillId="0" borderId="0" xfId="0" applyNumberFormat="1" applyFont="1" applyAlignment="1">
      <alignment horizontal="right" vertical="center"/>
    </xf>
    <xf numFmtId="0" fontId="67" fillId="0" borderId="33" xfId="76" applyFont="1" applyBorder="1" applyAlignment="1" applyProtection="1">
      <alignment horizontal="center" vertical="top" wrapText="1"/>
      <protection hidden="1"/>
    </xf>
    <xf numFmtId="0" fontId="38" fillId="0" borderId="23" xfId="76" applyFont="1" applyBorder="1" applyAlignment="1" applyProtection="1">
      <alignment horizontal="justify" vertical="top" wrapText="1"/>
      <protection hidden="1"/>
    </xf>
    <xf numFmtId="0" fontId="43" fillId="0" borderId="23" xfId="76" applyFont="1" applyBorder="1" applyAlignment="1" applyProtection="1">
      <alignment horizontal="center" vertical="center" wrapText="1"/>
      <protection hidden="1"/>
    </xf>
    <xf numFmtId="2" fontId="38" fillId="0" borderId="23" xfId="76" applyNumberFormat="1" applyFont="1" applyBorder="1" applyAlignment="1" applyProtection="1">
      <alignment horizontal="center" vertical="center" wrapText="1"/>
      <protection hidden="1"/>
    </xf>
    <xf numFmtId="2" fontId="67" fillId="0" borderId="24" xfId="76" applyNumberFormat="1" applyFont="1" applyBorder="1" applyAlignment="1" applyProtection="1">
      <alignment horizontal="right" vertical="center" wrapText="1"/>
      <protection hidden="1"/>
    </xf>
    <xf numFmtId="2" fontId="40" fillId="0" borderId="35" xfId="0" applyNumberFormat="1" applyFont="1" applyBorder="1" applyAlignment="1">
      <alignment horizontal="right" vertical="center"/>
    </xf>
    <xf numFmtId="0" fontId="67" fillId="0" borderId="0" xfId="76" applyFont="1" applyAlignment="1" applyProtection="1">
      <alignment horizontal="center" vertical="center"/>
      <protection hidden="1"/>
    </xf>
    <xf numFmtId="1" fontId="67" fillId="0" borderId="25" xfId="76" applyNumberFormat="1" applyFont="1" applyBorder="1" applyAlignment="1" applyProtection="1">
      <alignment horizontal="right" vertical="center" wrapText="1"/>
      <protection hidden="1"/>
    </xf>
    <xf numFmtId="1" fontId="52" fillId="0" borderId="36" xfId="76" applyNumberFormat="1" applyFont="1" applyBorder="1" applyAlignment="1" applyProtection="1">
      <alignment vertical="center"/>
      <protection hidden="1"/>
    </xf>
    <xf numFmtId="0" fontId="38" fillId="0" borderId="28" xfId="76" applyFont="1" applyBorder="1" applyAlignment="1" applyProtection="1">
      <alignment horizontal="center" vertical="center" wrapText="1"/>
      <protection hidden="1"/>
    </xf>
    <xf numFmtId="1" fontId="67" fillId="0" borderId="29" xfId="76" applyNumberFormat="1" applyFont="1" applyBorder="1" applyAlignment="1" applyProtection="1">
      <alignment horizontal="right" vertical="center" wrapText="1"/>
      <protection hidden="1"/>
    </xf>
    <xf numFmtId="0" fontId="38" fillId="0" borderId="0" xfId="0" applyFont="1" applyAlignment="1">
      <alignment vertical="center" wrapText="1"/>
    </xf>
    <xf numFmtId="0" fontId="38" fillId="0" borderId="0" xfId="76" applyFont="1" applyAlignment="1" applyProtection="1">
      <alignment vertical="center"/>
      <protection hidden="1"/>
    </xf>
    <xf numFmtId="173" fontId="43" fillId="0" borderId="22" xfId="0" applyNumberFormat="1" applyFont="1" applyBorder="1" applyAlignment="1">
      <alignment horizontal="center" vertical="top" wrapText="1"/>
    </xf>
    <xf numFmtId="0" fontId="42" fillId="0" borderId="22" xfId="0" applyFont="1" applyBorder="1" applyAlignment="1">
      <alignment horizontal="center" vertical="top" wrapText="1"/>
    </xf>
    <xf numFmtId="2" fontId="38" fillId="30" borderId="25" xfId="0" applyNumberFormat="1" applyFont="1" applyFill="1" applyBorder="1" applyAlignment="1">
      <alignment horizontal="right" vertical="top" shrinkToFit="1"/>
    </xf>
    <xf numFmtId="2" fontId="40" fillId="30" borderId="25" xfId="0" applyNumberFormat="1" applyFont="1" applyFill="1" applyBorder="1" applyAlignment="1">
      <alignment horizontal="right" vertical="top" shrinkToFit="1"/>
    </xf>
    <xf numFmtId="0" fontId="43" fillId="0" borderId="22" xfId="0" applyFont="1" applyBorder="1" applyAlignment="1">
      <alignment horizontal="center" vertical="top" wrapText="1"/>
    </xf>
    <xf numFmtId="2" fontId="38" fillId="0" borderId="25" xfId="0" applyNumberFormat="1" applyFont="1" applyBorder="1" applyAlignment="1">
      <alignment horizontal="right" shrinkToFit="1"/>
    </xf>
    <xf numFmtId="0" fontId="38" fillId="0" borderId="25" xfId="0" applyFont="1" applyBorder="1" applyAlignment="1">
      <alignment horizontal="right" shrinkToFit="1"/>
    </xf>
    <xf numFmtId="2" fontId="38" fillId="28" borderId="25" xfId="0" applyNumberFormat="1" applyFont="1" applyFill="1" applyBorder="1" applyAlignment="1">
      <alignment horizontal="right" vertical="top" shrinkToFit="1"/>
    </xf>
    <xf numFmtId="0" fontId="54" fillId="0" borderId="22" xfId="0" applyFont="1" applyBorder="1" applyAlignment="1">
      <alignment horizontal="center" vertical="top" wrapText="1"/>
    </xf>
    <xf numFmtId="0" fontId="44" fillId="0" borderId="22" xfId="0" applyFont="1" applyBorder="1" applyAlignment="1">
      <alignment vertical="top" wrapText="1"/>
    </xf>
    <xf numFmtId="2" fontId="51" fillId="0" borderId="25" xfId="0" applyNumberFormat="1" applyFont="1" applyBorder="1" applyAlignment="1">
      <alignment horizontal="right" vertical="top" shrinkToFit="1"/>
    </xf>
    <xf numFmtId="0" fontId="43" fillId="0" borderId="22" xfId="0" applyFont="1" applyBorder="1" applyAlignment="1">
      <alignment horizontal="center" vertical="top"/>
    </xf>
    <xf numFmtId="172" fontId="38" fillId="0" borderId="25" xfId="0" applyNumberFormat="1" applyFont="1" applyBorder="1" applyAlignment="1">
      <alignment horizontal="right" vertical="top" shrinkToFit="1"/>
    </xf>
    <xf numFmtId="172" fontId="53" fillId="0" borderId="25" xfId="0" applyNumberFormat="1" applyFont="1" applyBorder="1" applyAlignment="1">
      <alignment horizontal="right" vertical="top" shrinkToFit="1"/>
    </xf>
    <xf numFmtId="0" fontId="46" fillId="0" borderId="22" xfId="0" applyFont="1" applyBorder="1" applyAlignment="1">
      <alignment horizontal="center" vertical="center"/>
    </xf>
    <xf numFmtId="172" fontId="43" fillId="0" borderId="25" xfId="0" applyNumberFormat="1" applyFont="1" applyBorder="1" applyAlignment="1">
      <alignment horizontal="right" vertical="top" shrinkToFit="1"/>
    </xf>
    <xf numFmtId="0" fontId="38" fillId="0" borderId="22" xfId="0" applyFont="1" applyBorder="1" applyAlignment="1">
      <alignment horizontal="center" vertical="center"/>
    </xf>
    <xf numFmtId="0" fontId="38" fillId="0" borderId="22" xfId="0" applyFont="1" applyBorder="1"/>
    <xf numFmtId="0" fontId="43" fillId="0" borderId="21" xfId="0" applyFont="1" applyBorder="1" applyAlignment="1">
      <alignment horizontal="center"/>
    </xf>
    <xf numFmtId="0" fontId="38" fillId="0" borderId="32" xfId="71" applyFont="1" applyBorder="1"/>
    <xf numFmtId="0" fontId="38" fillId="30" borderId="32" xfId="71" applyFont="1" applyFill="1" applyBorder="1"/>
    <xf numFmtId="0" fontId="38" fillId="0" borderId="32" xfId="0" applyFont="1" applyBorder="1"/>
    <xf numFmtId="0" fontId="38" fillId="0" borderId="28" xfId="71" applyFont="1" applyBorder="1"/>
    <xf numFmtId="0" fontId="44" fillId="27" borderId="21" xfId="0" applyFont="1" applyFill="1" applyBorder="1" applyAlignment="1">
      <alignment horizontal="center" vertical="top" shrinkToFit="1"/>
    </xf>
    <xf numFmtId="2" fontId="40" fillId="27" borderId="21" xfId="0" applyNumberFormat="1" applyFont="1" applyFill="1" applyBorder="1" applyAlignment="1">
      <alignment horizontal="center" vertical="top" shrinkToFit="1"/>
    </xf>
    <xf numFmtId="2" fontId="40" fillId="27" borderId="25" xfId="0" applyNumberFormat="1" applyFont="1" applyFill="1" applyBorder="1" applyAlignment="1">
      <alignment horizontal="right" vertical="top" shrinkToFit="1"/>
    </xf>
    <xf numFmtId="173" fontId="43" fillId="27" borderId="0" xfId="0" applyNumberFormat="1" applyFont="1" applyFill="1" applyAlignment="1">
      <alignment horizontal="left" vertical="center" wrapText="1"/>
    </xf>
    <xf numFmtId="0" fontId="38" fillId="34" borderId="21" xfId="0" applyFont="1" applyFill="1" applyBorder="1" applyAlignment="1">
      <alignment horizontal="justify" vertical="top" wrapText="1"/>
    </xf>
    <xf numFmtId="2" fontId="44" fillId="34" borderId="21" xfId="0" applyNumberFormat="1" applyFont="1" applyFill="1" applyBorder="1" applyAlignment="1">
      <alignment horizontal="center" vertical="top" shrinkToFit="1"/>
    </xf>
    <xf numFmtId="2" fontId="38" fillId="34" borderId="21" xfId="0" applyNumberFormat="1" applyFont="1" applyFill="1" applyBorder="1" applyAlignment="1">
      <alignment horizontal="center" vertical="top" shrinkToFit="1"/>
    </xf>
    <xf numFmtId="2" fontId="38" fillId="34" borderId="25" xfId="0" applyNumberFormat="1" applyFont="1" applyFill="1" applyBorder="1" applyAlignment="1">
      <alignment horizontal="right" vertical="top" shrinkToFit="1"/>
    </xf>
    <xf numFmtId="173" fontId="43" fillId="27" borderId="22" xfId="0" applyNumberFormat="1" applyFont="1" applyFill="1" applyBorder="1" applyAlignment="1">
      <alignment horizontal="center" vertical="top" wrapText="1"/>
    </xf>
    <xf numFmtId="2" fontId="42" fillId="27" borderId="0" xfId="0" applyNumberFormat="1" applyFont="1" applyFill="1" applyAlignment="1">
      <alignment horizontal="left"/>
    </xf>
    <xf numFmtId="0" fontId="43" fillId="27" borderId="0" xfId="0" applyFont="1" applyFill="1" applyAlignment="1">
      <alignment horizontal="left"/>
    </xf>
    <xf numFmtId="173" fontId="42" fillId="27" borderId="0" xfId="0" applyNumberFormat="1" applyFont="1" applyFill="1" applyAlignment="1">
      <alignment horizontal="left" vertical="center" wrapText="1"/>
    </xf>
    <xf numFmtId="172" fontId="42" fillId="27" borderId="0" xfId="0" applyNumberFormat="1" applyFont="1" applyFill="1" applyAlignment="1">
      <alignment horizontal="left" vertical="center" wrapText="1"/>
    </xf>
    <xf numFmtId="0" fontId="40" fillId="27" borderId="0" xfId="0" applyFont="1" applyFill="1" applyAlignment="1">
      <alignment horizontal="left" vertical="top"/>
    </xf>
    <xf numFmtId="0" fontId="38" fillId="27" borderId="0" xfId="0" applyFont="1" applyFill="1" applyAlignment="1">
      <alignment horizontal="left" vertical="center" wrapText="1"/>
    </xf>
    <xf numFmtId="0" fontId="43" fillId="27" borderId="0" xfId="0" applyFont="1" applyFill="1" applyAlignment="1">
      <alignment horizontal="left" vertical="top" wrapText="1"/>
    </xf>
    <xf numFmtId="173" fontId="40" fillId="27" borderId="0" xfId="0" applyNumberFormat="1" applyFont="1" applyFill="1" applyAlignment="1">
      <alignment horizontal="center" vertical="center" wrapText="1"/>
    </xf>
    <xf numFmtId="0" fontId="42" fillId="27" borderId="0" xfId="0" applyFont="1" applyFill="1" applyAlignment="1">
      <alignment horizontal="left"/>
    </xf>
    <xf numFmtId="2" fontId="42" fillId="27" borderId="0" xfId="0" applyNumberFormat="1" applyFont="1" applyFill="1" applyAlignment="1">
      <alignment horizontal="left" vertical="top" wrapText="1"/>
    </xf>
    <xf numFmtId="0" fontId="71" fillId="27" borderId="0" xfId="0" applyFont="1" applyFill="1" applyAlignment="1">
      <alignment horizontal="left"/>
    </xf>
    <xf numFmtId="172" fontId="42" fillId="27" borderId="0" xfId="0" applyNumberFormat="1" applyFont="1" applyFill="1" applyAlignment="1">
      <alignment horizontal="left" vertical="top" wrapText="1"/>
    </xf>
    <xf numFmtId="0" fontId="42" fillId="27" borderId="0" xfId="0" applyFont="1" applyFill="1" applyAlignment="1">
      <alignment horizontal="left" vertical="center" wrapText="1"/>
    </xf>
    <xf numFmtId="0" fontId="71" fillId="27" borderId="0" xfId="0" applyFont="1" applyFill="1" applyAlignment="1">
      <alignment horizontal="left" vertical="top" wrapText="1"/>
    </xf>
    <xf numFmtId="2" fontId="71" fillId="27" borderId="0" xfId="0" applyNumberFormat="1" applyFont="1" applyFill="1" applyAlignment="1">
      <alignment horizontal="left" vertical="top" wrapText="1"/>
    </xf>
    <xf numFmtId="0" fontId="38" fillId="27" borderId="0" xfId="0" applyFont="1" applyFill="1" applyAlignment="1">
      <alignment horizontal="left"/>
    </xf>
    <xf numFmtId="2" fontId="40" fillId="39" borderId="25" xfId="0" applyNumberFormat="1" applyFont="1" applyFill="1" applyBorder="1" applyAlignment="1">
      <alignment horizontal="right" vertical="top" shrinkToFit="1"/>
    </xf>
    <xf numFmtId="173" fontId="42" fillId="27" borderId="22" xfId="0" applyNumberFormat="1" applyFont="1" applyFill="1" applyBorder="1" applyAlignment="1">
      <alignment horizontal="center" vertical="top" wrapText="1"/>
    </xf>
    <xf numFmtId="0" fontId="40" fillId="27" borderId="21" xfId="0" applyFont="1" applyFill="1" applyBorder="1" applyAlignment="1">
      <alignment horizontal="justify" vertical="top" wrapText="1"/>
    </xf>
    <xf numFmtId="2" fontId="38" fillId="27" borderId="21" xfId="0" applyNumberFormat="1" applyFont="1" applyFill="1" applyBorder="1" applyAlignment="1">
      <alignment vertical="top" shrinkToFit="1"/>
    </xf>
    <xf numFmtId="2" fontId="38" fillId="27" borderId="25" xfId="0" applyNumberFormat="1" applyFont="1" applyFill="1" applyBorder="1" applyAlignment="1">
      <alignment horizontal="right" vertical="top" shrinkToFit="1"/>
    </xf>
    <xf numFmtId="0" fontId="38" fillId="27" borderId="0" xfId="0" applyFont="1" applyFill="1" applyAlignment="1">
      <alignment horizontal="justify" vertical="top" wrapText="1"/>
    </xf>
    <xf numFmtId="2" fontId="38" fillId="0" borderId="21" xfId="0" applyNumberFormat="1" applyFont="1" applyBorder="1" applyAlignment="1">
      <alignment horizontal="center" vertical="top" wrapText="1" shrinkToFit="1"/>
    </xf>
    <xf numFmtId="2" fontId="40" fillId="27" borderId="21" xfId="0" applyNumberFormat="1" applyFont="1" applyFill="1" applyBorder="1" applyAlignment="1">
      <alignment vertical="top" shrinkToFit="1"/>
    </xf>
    <xf numFmtId="0" fontId="40" fillId="27" borderId="0" xfId="0" applyFont="1" applyFill="1"/>
    <xf numFmtId="0" fontId="47" fillId="0" borderId="22" xfId="0" applyFont="1" applyBorder="1" applyAlignment="1">
      <alignment vertical="top" wrapText="1"/>
    </xf>
    <xf numFmtId="172" fontId="38" fillId="27" borderId="21" xfId="0" applyNumberFormat="1" applyFont="1" applyFill="1" applyBorder="1" applyAlignment="1">
      <alignment horizontal="justify" vertical="top" shrinkToFit="1"/>
    </xf>
    <xf numFmtId="0" fontId="40" fillId="27" borderId="25" xfId="0" applyFont="1" applyFill="1" applyBorder="1" applyAlignment="1">
      <alignment horizontal="right" vertical="top" shrinkToFit="1"/>
    </xf>
    <xf numFmtId="2" fontId="47" fillId="27" borderId="21" xfId="0" applyNumberFormat="1" applyFont="1" applyFill="1" applyBorder="1" applyAlignment="1">
      <alignment horizontal="center" vertical="top" shrinkToFit="1"/>
    </xf>
    <xf numFmtId="2" fontId="40" fillId="27" borderId="21" xfId="0" applyNumberFormat="1" applyFont="1" applyFill="1" applyBorder="1" applyAlignment="1">
      <alignment horizontal="right" vertical="top" shrinkToFit="1"/>
    </xf>
    <xf numFmtId="170" fontId="40" fillId="0" borderId="8" xfId="0" applyNumberFormat="1" applyFont="1" applyBorder="1" applyAlignment="1">
      <alignment horizontal="center" vertical="center" wrapText="1"/>
    </xf>
    <xf numFmtId="170" fontId="38" fillId="0" borderId="8" xfId="0" applyNumberFormat="1" applyFont="1" applyBorder="1" applyAlignment="1">
      <alignment horizontal="center" vertical="center" wrapText="1"/>
    </xf>
    <xf numFmtId="170" fontId="38" fillId="0" borderId="28" xfId="0" applyNumberFormat="1" applyFont="1" applyBorder="1" applyAlignment="1">
      <alignment horizontal="center" vertical="top" wrapText="1"/>
    </xf>
    <xf numFmtId="170" fontId="40" fillId="0" borderId="28" xfId="0" applyNumberFormat="1" applyFont="1" applyBorder="1"/>
    <xf numFmtId="170" fontId="38" fillId="0" borderId="21" xfId="0" applyNumberFormat="1" applyFont="1" applyBorder="1" applyAlignment="1">
      <alignment horizontal="center" vertical="top" wrapText="1"/>
    </xf>
    <xf numFmtId="170" fontId="40" fillId="0" borderId="21" xfId="0" applyNumberFormat="1" applyFont="1" applyBorder="1" applyAlignment="1">
      <alignment horizontal="center" vertical="top" wrapText="1"/>
    </xf>
    <xf numFmtId="170" fontId="40" fillId="30" borderId="21" xfId="0" applyNumberFormat="1" applyFont="1" applyFill="1" applyBorder="1" applyAlignment="1">
      <alignment horizontal="right" vertical="top" wrapText="1"/>
    </xf>
    <xf numFmtId="170" fontId="40" fillId="0" borderId="21" xfId="0" applyNumberFormat="1" applyFont="1" applyBorder="1" applyAlignment="1">
      <alignment horizontal="right" vertical="top" wrapText="1"/>
    </xf>
    <xf numFmtId="170" fontId="38" fillId="30" borderId="21" xfId="0" applyNumberFormat="1" applyFont="1" applyFill="1" applyBorder="1" applyAlignment="1">
      <alignment horizontal="right" vertical="top" shrinkToFit="1"/>
    </xf>
    <xf numFmtId="170" fontId="43" fillId="0" borderId="21" xfId="0" applyNumberFormat="1" applyFont="1" applyBorder="1"/>
    <xf numFmtId="170" fontId="38" fillId="0" borderId="28" xfId="0" applyNumberFormat="1" applyFont="1" applyBorder="1"/>
    <xf numFmtId="170" fontId="38" fillId="0" borderId="21" xfId="0" applyNumberFormat="1" applyFont="1" applyBorder="1"/>
    <xf numFmtId="170" fontId="40" fillId="0" borderId="21" xfId="0" applyNumberFormat="1" applyFont="1" applyBorder="1" applyAlignment="1">
      <alignment horizontal="center" vertical="center" wrapText="1"/>
    </xf>
    <xf numFmtId="170" fontId="40" fillId="30" borderId="21" xfId="0" applyNumberFormat="1" applyFont="1" applyFill="1" applyBorder="1" applyAlignment="1">
      <alignment horizontal="center" vertical="center" wrapText="1"/>
    </xf>
    <xf numFmtId="0" fontId="40" fillId="0" borderId="21" xfId="0" applyFont="1" applyBorder="1" applyAlignment="1">
      <alignment horizontal="left" vertical="center" shrinkToFit="1"/>
    </xf>
    <xf numFmtId="0" fontId="38" fillId="0" borderId="21" xfId="0" applyFont="1" applyBorder="1" applyAlignment="1">
      <alignment horizontal="left" vertical="center" wrapText="1"/>
    </xf>
    <xf numFmtId="0" fontId="38" fillId="0" borderId="21" xfId="0" applyFont="1" applyBorder="1" applyAlignment="1">
      <alignment horizontal="left" vertical="center" shrinkToFit="1"/>
    </xf>
    <xf numFmtId="2" fontId="38" fillId="0" borderId="21" xfId="0" applyNumberFormat="1" applyFont="1" applyBorder="1" applyAlignment="1">
      <alignment horizontal="left" vertical="center" shrinkToFit="1"/>
    </xf>
    <xf numFmtId="170" fontId="38" fillId="0" borderId="21" xfId="0" applyNumberFormat="1" applyFont="1" applyBorder="1" applyAlignment="1">
      <alignment horizontal="left" vertical="center" shrinkToFit="1"/>
    </xf>
    <xf numFmtId="0" fontId="38" fillId="0" borderId="21" xfId="0" applyFont="1" applyBorder="1" applyAlignment="1">
      <alignment horizontal="left" vertical="center"/>
    </xf>
    <xf numFmtId="2" fontId="38" fillId="35" borderId="21" xfId="0" applyNumberFormat="1" applyFont="1" applyFill="1" applyBorder="1" applyAlignment="1">
      <alignment horizontal="right" vertical="center" shrinkToFit="1"/>
    </xf>
    <xf numFmtId="2" fontId="40" fillId="0" borderId="21" xfId="0" applyNumberFormat="1" applyFont="1" applyBorder="1" applyAlignment="1">
      <alignment vertical="center" shrinkToFit="1"/>
    </xf>
    <xf numFmtId="170" fontId="40" fillId="27" borderId="21" xfId="0" applyNumberFormat="1" applyFont="1" applyFill="1" applyBorder="1" applyAlignment="1">
      <alignment horizontal="right" vertical="top" shrinkToFit="1"/>
    </xf>
    <xf numFmtId="1" fontId="38" fillId="0" borderId="8" xfId="0" applyNumberFormat="1" applyFont="1" applyBorder="1" applyAlignment="1">
      <alignment horizontal="center" vertical="center" shrinkToFit="1"/>
    </xf>
    <xf numFmtId="1" fontId="40" fillId="0" borderId="8" xfId="0" applyNumberFormat="1" applyFont="1" applyBorder="1" applyAlignment="1">
      <alignment horizontal="center" vertical="center" shrinkToFit="1"/>
    </xf>
    <xf numFmtId="1" fontId="38" fillId="0" borderId="32" xfId="0" applyNumberFormat="1" applyFont="1" applyBorder="1" applyAlignment="1">
      <alignment horizontal="center" vertical="center" wrapText="1"/>
    </xf>
    <xf numFmtId="0" fontId="40" fillId="0" borderId="8" xfId="0" applyFont="1" applyBorder="1" applyAlignment="1">
      <alignment horizontal="center" vertical="center" wrapText="1" shrinkToFit="1"/>
    </xf>
    <xf numFmtId="0" fontId="42" fillId="0" borderId="27" xfId="0" applyFont="1" applyBorder="1" applyAlignment="1">
      <alignment horizontal="center" vertical="center" wrapText="1"/>
    </xf>
    <xf numFmtId="0" fontId="40" fillId="0" borderId="22" xfId="0" applyFont="1" applyBorder="1" applyAlignment="1">
      <alignment horizontal="center" vertical="center" wrapText="1" shrinkToFit="1"/>
    </xf>
    <xf numFmtId="2" fontId="40" fillId="34" borderId="25" xfId="0" applyNumberFormat="1" applyFont="1" applyFill="1" applyBorder="1" applyAlignment="1">
      <alignment horizontal="right" vertical="top" shrinkToFit="1"/>
    </xf>
    <xf numFmtId="2" fontId="44" fillId="30" borderId="21" xfId="0" applyNumberFormat="1" applyFont="1" applyFill="1" applyBorder="1" applyAlignment="1">
      <alignment horizontal="center" vertical="top" shrinkToFit="1"/>
    </xf>
    <xf numFmtId="2" fontId="38" fillId="30" borderId="21" xfId="0" applyNumberFormat="1" applyFont="1" applyFill="1" applyBorder="1" applyAlignment="1">
      <alignment horizontal="center" vertical="top" shrinkToFit="1"/>
    </xf>
    <xf numFmtId="172" fontId="42" fillId="0" borderId="25" xfId="0" applyNumberFormat="1" applyFont="1" applyBorder="1" applyAlignment="1">
      <alignment horizontal="right" vertical="top" shrinkToFit="1"/>
    </xf>
    <xf numFmtId="172" fontId="38" fillId="0" borderId="25" xfId="0" applyNumberFormat="1" applyFont="1" applyBorder="1" applyAlignment="1">
      <alignment horizontal="right" shrinkToFit="1"/>
    </xf>
    <xf numFmtId="2" fontId="43" fillId="0" borderId="21" xfId="0" applyNumberFormat="1" applyFont="1" applyBorder="1" applyAlignment="1">
      <alignment horizontal="center" vertical="top" wrapText="1"/>
    </xf>
    <xf numFmtId="2" fontId="40" fillId="0" borderId="21" xfId="0" applyNumberFormat="1" applyFont="1" applyBorder="1" applyAlignment="1">
      <alignment horizontal="center" vertical="top" wrapText="1"/>
    </xf>
    <xf numFmtId="2" fontId="38" fillId="30" borderId="21" xfId="0" applyNumberFormat="1" applyFont="1" applyFill="1" applyBorder="1" applyAlignment="1">
      <alignment horizontal="right" vertical="top" shrinkToFit="1"/>
    </xf>
    <xf numFmtId="1" fontId="38" fillId="0" borderId="21" xfId="0" applyNumberFormat="1" applyFont="1" applyBorder="1" applyAlignment="1">
      <alignment horizontal="right" vertical="top" shrinkToFit="1"/>
    </xf>
    <xf numFmtId="1" fontId="38" fillId="0" borderId="21" xfId="0" applyNumberFormat="1" applyFont="1" applyBorder="1" applyAlignment="1">
      <alignment horizontal="center" vertical="top" shrinkToFit="1"/>
    </xf>
    <xf numFmtId="1" fontId="38" fillId="0" borderId="21" xfId="0" applyNumberFormat="1" applyFont="1" applyBorder="1" applyAlignment="1">
      <alignment horizontal="center" vertical="center" shrinkToFit="1"/>
    </xf>
    <xf numFmtId="1" fontId="38" fillId="0" borderId="21" xfId="71" applyNumberFormat="1" applyFont="1" applyBorder="1" applyAlignment="1">
      <alignment horizontal="center"/>
    </xf>
    <xf numFmtId="1" fontId="38" fillId="0" borderId="28" xfId="71" applyNumberFormat="1" applyFont="1" applyBorder="1" applyAlignment="1">
      <alignment horizontal="center"/>
    </xf>
    <xf numFmtId="1" fontId="43" fillId="0" borderId="21" xfId="0" applyNumberFormat="1" applyFont="1" applyBorder="1" applyAlignment="1">
      <alignment horizontal="center"/>
    </xf>
    <xf numFmtId="0" fontId="38" fillId="27" borderId="21" xfId="0" applyFont="1" applyFill="1" applyBorder="1" applyAlignment="1">
      <alignment horizontal="justify" vertical="top" wrapText="1"/>
    </xf>
    <xf numFmtId="173" fontId="38" fillId="27" borderId="0" xfId="0" applyNumberFormat="1" applyFont="1" applyFill="1" applyAlignment="1">
      <alignment horizontal="center" vertical="center" wrapText="1"/>
    </xf>
    <xf numFmtId="0" fontId="42" fillId="0" borderId="22" xfId="0" applyFont="1" applyBorder="1" applyAlignment="1">
      <alignment horizontal="center" vertical="center" wrapText="1"/>
    </xf>
    <xf numFmtId="0" fontId="51" fillId="0" borderId="22" xfId="0" applyFont="1" applyBorder="1" applyAlignment="1">
      <alignment horizontal="center" vertical="center" wrapText="1" shrinkToFit="1"/>
    </xf>
    <xf numFmtId="0" fontId="86" fillId="27" borderId="23" xfId="0" applyFont="1" applyFill="1" applyBorder="1"/>
    <xf numFmtId="0" fontId="86" fillId="27" borderId="21" xfId="0" applyFont="1" applyFill="1" applyBorder="1"/>
    <xf numFmtId="0" fontId="85" fillId="27" borderId="22" xfId="0" applyFont="1" applyFill="1" applyBorder="1" applyAlignment="1">
      <alignment horizontal="center" vertical="center" wrapText="1" shrinkToFit="1"/>
    </xf>
    <xf numFmtId="0" fontId="85" fillId="27" borderId="21" xfId="0" applyFont="1" applyFill="1" applyBorder="1" applyAlignment="1">
      <alignment vertical="center" shrinkToFit="1"/>
    </xf>
    <xf numFmtId="0" fontId="85" fillId="27" borderId="21" xfId="0" applyFont="1" applyFill="1" applyBorder="1" applyAlignment="1">
      <alignment horizontal="center" vertical="center" wrapText="1"/>
    </xf>
    <xf numFmtId="0" fontId="86" fillId="27" borderId="21" xfId="0" applyFont="1" applyFill="1" applyBorder="1" applyAlignment="1">
      <alignment horizontal="center" vertical="center" wrapText="1"/>
    </xf>
    <xf numFmtId="2" fontId="85" fillId="27" borderId="21" xfId="0" applyNumberFormat="1" applyFont="1" applyFill="1" applyBorder="1" applyAlignment="1">
      <alignment horizontal="center" vertical="center" wrapText="1"/>
    </xf>
    <xf numFmtId="170" fontId="85" fillId="27" borderId="21" xfId="0" applyNumberFormat="1" applyFont="1" applyFill="1" applyBorder="1" applyAlignment="1">
      <alignment horizontal="center" vertical="center" wrapText="1"/>
    </xf>
    <xf numFmtId="170" fontId="86" fillId="27" borderId="21" xfId="0" applyNumberFormat="1" applyFont="1" applyFill="1" applyBorder="1" applyAlignment="1">
      <alignment horizontal="center" vertical="center" wrapText="1"/>
    </xf>
    <xf numFmtId="2" fontId="86" fillId="27" borderId="21" xfId="0" applyNumberFormat="1" applyFont="1" applyFill="1" applyBorder="1" applyAlignment="1">
      <alignment horizontal="center" vertical="center" wrapText="1"/>
    </xf>
    <xf numFmtId="2" fontId="85" fillId="27" borderId="21" xfId="0" applyNumberFormat="1" applyFont="1" applyFill="1" applyBorder="1" applyAlignment="1">
      <alignment vertical="center" wrapText="1"/>
    </xf>
    <xf numFmtId="1" fontId="86" fillId="27" borderId="22" xfId="0" applyNumberFormat="1" applyFont="1" applyFill="1" applyBorder="1" applyAlignment="1">
      <alignment horizontal="center" vertical="center" shrinkToFit="1"/>
    </xf>
    <xf numFmtId="1" fontId="85" fillId="27" borderId="21" xfId="0" applyNumberFormat="1" applyFont="1" applyFill="1" applyBorder="1" applyAlignment="1">
      <alignment horizontal="center" vertical="center" shrinkToFit="1"/>
    </xf>
    <xf numFmtId="1" fontId="86" fillId="27" borderId="21" xfId="0" applyNumberFormat="1" applyFont="1" applyFill="1" applyBorder="1" applyAlignment="1">
      <alignment horizontal="center" vertical="center" shrinkToFit="1"/>
    </xf>
    <xf numFmtId="1" fontId="86" fillId="27" borderId="21" xfId="0" applyNumberFormat="1" applyFont="1" applyFill="1" applyBorder="1" applyAlignment="1">
      <alignment horizontal="center" vertical="center" wrapText="1"/>
    </xf>
    <xf numFmtId="0" fontId="85" fillId="27" borderId="22" xfId="0" applyFont="1" applyFill="1" applyBorder="1" applyAlignment="1">
      <alignment horizontal="center" vertical="center" wrapText="1"/>
    </xf>
    <xf numFmtId="0" fontId="85" fillId="27" borderId="21" xfId="0" applyFont="1" applyFill="1" applyBorder="1" applyAlignment="1">
      <alignment horizontal="center" vertical="top" wrapText="1"/>
    </xf>
    <xf numFmtId="172" fontId="85" fillId="27" borderId="21" xfId="0" applyNumberFormat="1" applyFont="1" applyFill="1" applyBorder="1" applyAlignment="1">
      <alignment horizontal="justify" vertical="top" wrapText="1"/>
    </xf>
    <xf numFmtId="2" fontId="86" fillId="27" borderId="21" xfId="0" applyNumberFormat="1" applyFont="1" applyFill="1" applyBorder="1" applyAlignment="1">
      <alignment horizontal="center" vertical="top" wrapText="1"/>
    </xf>
    <xf numFmtId="170" fontId="86" fillId="27" borderId="21" xfId="0" applyNumberFormat="1" applyFont="1" applyFill="1" applyBorder="1" applyAlignment="1">
      <alignment horizontal="center" vertical="top" wrapText="1"/>
    </xf>
    <xf numFmtId="170" fontId="86" fillId="27" borderId="21" xfId="0" applyNumberFormat="1" applyFont="1" applyFill="1" applyBorder="1"/>
    <xf numFmtId="2" fontId="86" fillId="27" borderId="21" xfId="0" applyNumberFormat="1" applyFont="1" applyFill="1" applyBorder="1"/>
    <xf numFmtId="0" fontId="85" fillId="27" borderId="21" xfId="0" applyFont="1" applyFill="1" applyBorder="1" applyAlignment="1">
      <alignment vertical="center" wrapText="1"/>
    </xf>
    <xf numFmtId="0" fontId="86" fillId="27" borderId="22" xfId="0" applyFont="1" applyFill="1" applyBorder="1" applyAlignment="1">
      <alignment horizontal="center" vertical="center"/>
    </xf>
    <xf numFmtId="0" fontId="86" fillId="27" borderId="21" xfId="0" applyFont="1" applyFill="1" applyBorder="1" applyAlignment="1">
      <alignment horizontal="justify" vertical="top" wrapText="1"/>
    </xf>
    <xf numFmtId="0" fontId="86" fillId="27" borderId="21" xfId="0" applyFont="1" applyFill="1" applyBorder="1" applyAlignment="1">
      <alignment horizontal="center" vertical="center"/>
    </xf>
    <xf numFmtId="0" fontId="86" fillId="27" borderId="21" xfId="0" applyFont="1" applyFill="1" applyBorder="1" applyAlignment="1">
      <alignment vertical="center"/>
    </xf>
    <xf numFmtId="172" fontId="86" fillId="27" borderId="21" xfId="0" applyNumberFormat="1" applyFont="1" applyFill="1" applyBorder="1" applyAlignment="1">
      <alignment horizontal="justify" vertical="top" wrapText="1"/>
    </xf>
    <xf numFmtId="2" fontId="86" fillId="27" borderId="21" xfId="0" applyNumberFormat="1" applyFont="1" applyFill="1" applyBorder="1" applyAlignment="1">
      <alignment horizontal="right" vertical="top" wrapText="1"/>
    </xf>
    <xf numFmtId="173" fontId="85" fillId="27" borderId="21" xfId="0" applyNumberFormat="1" applyFont="1" applyFill="1" applyBorder="1" applyAlignment="1">
      <alignment horizontal="center" vertical="top" wrapText="1"/>
    </xf>
    <xf numFmtId="0" fontId="85" fillId="27" borderId="21" xfId="0" applyFont="1" applyFill="1" applyBorder="1" applyAlignment="1">
      <alignment horizontal="justify" vertical="top" wrapText="1"/>
    </xf>
    <xf numFmtId="2" fontId="85" fillId="27" borderId="21" xfId="0" applyNumberFormat="1" applyFont="1" applyFill="1" applyBorder="1" applyAlignment="1">
      <alignment horizontal="center" vertical="top" wrapText="1"/>
    </xf>
    <xf numFmtId="173" fontId="85" fillId="27" borderId="21" xfId="0" applyNumberFormat="1" applyFont="1" applyFill="1" applyBorder="1" applyAlignment="1">
      <alignment horizontal="center" vertical="center" wrapText="1"/>
    </xf>
    <xf numFmtId="170" fontId="85" fillId="27" borderId="21" xfId="0" applyNumberFormat="1" applyFont="1" applyFill="1" applyBorder="1" applyAlignment="1">
      <alignment horizontal="right" vertical="top" wrapText="1"/>
    </xf>
    <xf numFmtId="0" fontId="85" fillId="27" borderId="21" xfId="0" applyFont="1" applyFill="1" applyBorder="1" applyAlignment="1">
      <alignment horizontal="center" vertical="top" shrinkToFit="1"/>
    </xf>
    <xf numFmtId="2" fontId="86" fillId="27" borderId="21" xfId="0" applyNumberFormat="1" applyFont="1" applyFill="1" applyBorder="1" applyAlignment="1">
      <alignment horizontal="right" vertical="top" shrinkToFit="1"/>
    </xf>
    <xf numFmtId="170" fontId="86" fillId="27" borderId="21" xfId="0" applyNumberFormat="1" applyFont="1" applyFill="1" applyBorder="1" applyAlignment="1">
      <alignment horizontal="right" vertical="top" shrinkToFit="1"/>
    </xf>
    <xf numFmtId="170" fontId="85" fillId="27" borderId="21" xfId="0" applyNumberFormat="1" applyFont="1" applyFill="1" applyBorder="1" applyAlignment="1">
      <alignment horizontal="right" vertical="top" shrinkToFit="1"/>
    </xf>
    <xf numFmtId="0" fontId="86" fillId="27" borderId="21" xfId="0" applyFont="1" applyFill="1" applyBorder="1" applyAlignment="1">
      <alignment shrinkToFit="1"/>
    </xf>
    <xf numFmtId="2" fontId="85" fillId="27" borderId="21" xfId="0" applyNumberFormat="1" applyFont="1" applyFill="1" applyBorder="1" applyAlignment="1">
      <alignment horizontal="right" vertical="top" shrinkToFit="1"/>
    </xf>
    <xf numFmtId="0" fontId="86" fillId="27" borderId="21" xfId="0" applyFont="1" applyFill="1" applyBorder="1" applyAlignment="1">
      <alignment horizontal="center" vertical="top" shrinkToFit="1"/>
    </xf>
    <xf numFmtId="2" fontId="85" fillId="27" borderId="21" xfId="0" applyNumberFormat="1" applyFont="1" applyFill="1" applyBorder="1" applyAlignment="1">
      <alignment horizontal="center" vertical="top" shrinkToFit="1"/>
    </xf>
    <xf numFmtId="0" fontId="85" fillId="27" borderId="21" xfId="0" applyFont="1" applyFill="1" applyBorder="1" applyAlignment="1">
      <alignment shrinkToFit="1"/>
    </xf>
    <xf numFmtId="0" fontId="85" fillId="27" borderId="21" xfId="0" applyFont="1" applyFill="1" applyBorder="1"/>
    <xf numFmtId="2" fontId="86" fillId="27" borderId="21" xfId="0" applyNumberFormat="1" applyFont="1" applyFill="1" applyBorder="1" applyAlignment="1">
      <alignment horizontal="center" vertical="top" shrinkToFit="1"/>
    </xf>
    <xf numFmtId="2" fontId="86" fillId="27" borderId="21" xfId="0" applyNumberFormat="1" applyFont="1" applyFill="1" applyBorder="1" applyAlignment="1">
      <alignment vertical="top" shrinkToFit="1"/>
    </xf>
    <xf numFmtId="170" fontId="86" fillId="27" borderId="21" xfId="0" applyNumberFormat="1" applyFont="1" applyFill="1" applyBorder="1" applyAlignment="1">
      <alignment horizontal="center" vertical="top" shrinkToFit="1"/>
    </xf>
    <xf numFmtId="0" fontId="86" fillId="27" borderId="21" xfId="0" applyFont="1" applyFill="1" applyBorder="1" applyAlignment="1">
      <alignment horizontal="justify" vertical="top" shrinkToFit="1"/>
    </xf>
    <xf numFmtId="173" fontId="85" fillId="27" borderId="21" xfId="0" applyNumberFormat="1" applyFont="1" applyFill="1" applyBorder="1" applyAlignment="1">
      <alignment horizontal="center" vertical="top" shrinkToFit="1"/>
    </xf>
    <xf numFmtId="173" fontId="85" fillId="27" borderId="21" xfId="0" applyNumberFormat="1" applyFont="1" applyFill="1" applyBorder="1" applyAlignment="1">
      <alignment horizontal="center" vertical="center" shrinkToFit="1"/>
    </xf>
    <xf numFmtId="2" fontId="86" fillId="27" borderId="21" xfId="0" applyNumberFormat="1" applyFont="1" applyFill="1" applyBorder="1" applyAlignment="1">
      <alignment vertical="center"/>
    </xf>
    <xf numFmtId="0" fontId="85" fillId="27" borderId="21" xfId="0" applyFont="1" applyFill="1" applyBorder="1" applyAlignment="1">
      <alignment horizontal="left" vertical="center" shrinkToFit="1"/>
    </xf>
    <xf numFmtId="0" fontId="86" fillId="27" borderId="21" xfId="0" applyFont="1" applyFill="1" applyBorder="1" applyAlignment="1">
      <alignment horizontal="left" vertical="center" wrapText="1"/>
    </xf>
    <xf numFmtId="2" fontId="86" fillId="27" borderId="21" xfId="0" applyNumberFormat="1" applyFont="1" applyFill="1" applyBorder="1" applyAlignment="1">
      <alignment horizontal="left" vertical="center" shrinkToFit="1"/>
    </xf>
    <xf numFmtId="0" fontId="86" fillId="27" borderId="21" xfId="0" applyFont="1" applyFill="1" applyBorder="1" applyAlignment="1">
      <alignment horizontal="left" vertical="center" shrinkToFit="1"/>
    </xf>
    <xf numFmtId="0" fontId="86" fillId="27" borderId="21" xfId="0" applyFont="1" applyFill="1" applyBorder="1" applyAlignment="1">
      <alignment horizontal="left" vertical="center"/>
    </xf>
    <xf numFmtId="0" fontId="86" fillId="27" borderId="22" xfId="0" applyFont="1" applyFill="1" applyBorder="1" applyAlignment="1">
      <alignment horizontal="center" vertical="center" shrinkToFit="1"/>
    </xf>
    <xf numFmtId="0" fontId="86" fillId="27" borderId="21" xfId="0" applyFont="1" applyFill="1" applyBorder="1" applyAlignment="1">
      <alignment horizontal="center" vertical="top" wrapText="1"/>
    </xf>
    <xf numFmtId="170" fontId="86" fillId="28" borderId="21" xfId="0" applyNumberFormat="1" applyFont="1" applyFill="1" applyBorder="1"/>
    <xf numFmtId="2" fontId="86" fillId="28" borderId="21" xfId="0" applyNumberFormat="1" applyFont="1" applyFill="1" applyBorder="1" applyAlignment="1">
      <alignment vertical="center"/>
    </xf>
    <xf numFmtId="170" fontId="86" fillId="34" borderId="21" xfId="0" applyNumberFormat="1" applyFont="1" applyFill="1" applyBorder="1"/>
    <xf numFmtId="2" fontId="86" fillId="34" borderId="21" xfId="0" applyNumberFormat="1" applyFont="1" applyFill="1" applyBorder="1" applyAlignment="1">
      <alignment vertical="center"/>
    </xf>
    <xf numFmtId="170" fontId="85" fillId="28" borderId="21" xfId="0" applyNumberFormat="1" applyFont="1" applyFill="1" applyBorder="1" applyAlignment="1">
      <alignment horizontal="center" vertical="center"/>
    </xf>
    <xf numFmtId="170" fontId="85" fillId="34" borderId="21" xfId="0" applyNumberFormat="1" applyFont="1" applyFill="1" applyBorder="1" applyAlignment="1">
      <alignment horizontal="center" vertical="center"/>
    </xf>
    <xf numFmtId="170" fontId="85" fillId="27" borderId="21" xfId="0" applyNumberFormat="1" applyFont="1" applyFill="1" applyBorder="1" applyAlignment="1">
      <alignment horizontal="center" vertical="top" wrapText="1"/>
    </xf>
    <xf numFmtId="170" fontId="85" fillId="27" borderId="21" xfId="0" applyNumberFormat="1" applyFont="1" applyFill="1" applyBorder="1" applyAlignment="1">
      <alignment horizontal="center" vertical="top" shrinkToFit="1"/>
    </xf>
    <xf numFmtId="170" fontId="85" fillId="27" borderId="21" xfId="0" applyNumberFormat="1" applyFont="1" applyFill="1" applyBorder="1" applyAlignment="1">
      <alignment horizontal="center" vertical="center" shrinkToFit="1"/>
    </xf>
    <xf numFmtId="170" fontId="86" fillId="27" borderId="21" xfId="0" applyNumberFormat="1" applyFont="1" applyFill="1" applyBorder="1" applyAlignment="1">
      <alignment horizontal="center" vertical="center" shrinkToFit="1"/>
    </xf>
    <xf numFmtId="2" fontId="85" fillId="27" borderId="21" xfId="0" applyNumberFormat="1" applyFont="1" applyFill="1" applyBorder="1" applyAlignment="1">
      <alignment horizontal="center" vertical="center" shrinkToFit="1"/>
    </xf>
    <xf numFmtId="2" fontId="86" fillId="27" borderId="21" xfId="0" applyNumberFormat="1" applyFont="1" applyFill="1" applyBorder="1" applyAlignment="1">
      <alignment horizontal="center" vertical="center" shrinkToFit="1"/>
    </xf>
    <xf numFmtId="2" fontId="86" fillId="34" borderId="21" xfId="0" applyNumberFormat="1" applyFont="1" applyFill="1" applyBorder="1" applyAlignment="1">
      <alignment horizontal="center" vertical="top" wrapText="1"/>
    </xf>
    <xf numFmtId="0" fontId="86" fillId="27" borderId="21" xfId="0" applyFont="1" applyFill="1" applyBorder="1" applyAlignment="1">
      <alignment horizontal="center" vertical="center" shrinkToFit="1"/>
    </xf>
    <xf numFmtId="170" fontId="87" fillId="27" borderId="21" xfId="0" applyNumberFormat="1" applyFont="1" applyFill="1" applyBorder="1" applyAlignment="1">
      <alignment horizontal="center" vertical="center" shrinkToFit="1"/>
    </xf>
    <xf numFmtId="2" fontId="86" fillId="34" borderId="21" xfId="0" applyNumberFormat="1" applyFont="1" applyFill="1" applyBorder="1" applyAlignment="1">
      <alignment horizontal="center" vertical="center" shrinkToFit="1"/>
    </xf>
    <xf numFmtId="170" fontId="86" fillId="34" borderId="21" xfId="0" applyNumberFormat="1" applyFont="1" applyFill="1" applyBorder="1" applyAlignment="1">
      <alignment horizontal="center" vertical="center" shrinkToFit="1"/>
    </xf>
    <xf numFmtId="170" fontId="86" fillId="34" borderId="21" xfId="0" applyNumberFormat="1" applyFont="1" applyFill="1" applyBorder="1" applyAlignment="1">
      <alignment horizontal="center" vertical="center" wrapText="1"/>
    </xf>
    <xf numFmtId="2" fontId="86" fillId="27" borderId="21" xfId="0" applyNumberFormat="1" applyFont="1" applyFill="1" applyBorder="1" applyAlignment="1">
      <alignment vertical="center" shrinkToFit="1"/>
    </xf>
    <xf numFmtId="2" fontId="85" fillId="34" borderId="21" xfId="0" applyNumberFormat="1" applyFont="1" applyFill="1" applyBorder="1" applyAlignment="1">
      <alignment vertical="center"/>
    </xf>
    <xf numFmtId="2" fontId="86" fillId="34" borderId="21" xfId="0" applyNumberFormat="1" applyFont="1" applyFill="1" applyBorder="1" applyAlignment="1">
      <alignment vertical="center" shrinkToFit="1"/>
    </xf>
    <xf numFmtId="2" fontId="38" fillId="0" borderId="0" xfId="0" applyNumberFormat="1" applyFont="1" applyAlignment="1">
      <alignment horizontal="justify" vertical="top" wrapText="1"/>
    </xf>
    <xf numFmtId="2" fontId="40" fillId="0" borderId="21" xfId="0" applyNumberFormat="1" applyFont="1" applyBorder="1" applyAlignment="1">
      <alignment horizontal="center" vertical="top"/>
    </xf>
    <xf numFmtId="0" fontId="44" fillId="0" borderId="21" xfId="0" applyFont="1" applyBorder="1" applyAlignment="1">
      <alignment horizontal="center" vertical="top" shrinkToFit="1"/>
    </xf>
    <xf numFmtId="173" fontId="38" fillId="0" borderId="21" xfId="0" applyNumberFormat="1" applyFont="1" applyBorder="1" applyAlignment="1">
      <alignment horizontal="center" vertical="center" wrapText="1"/>
    </xf>
    <xf numFmtId="173" fontId="38" fillId="0" borderId="25" xfId="0" applyNumberFormat="1" applyFont="1" applyBorder="1" applyAlignment="1">
      <alignment horizontal="right" vertical="center" wrapText="1"/>
    </xf>
    <xf numFmtId="2" fontId="40" fillId="39" borderId="21" xfId="0" applyNumberFormat="1" applyFont="1" applyFill="1" applyBorder="1" applyAlignment="1">
      <alignment horizontal="right" vertical="top" shrinkToFit="1"/>
    </xf>
    <xf numFmtId="2" fontId="40" fillId="28" borderId="21" xfId="0" applyNumberFormat="1" applyFont="1" applyFill="1" applyBorder="1" applyAlignment="1">
      <alignment horizontal="right" vertical="top" shrinkToFit="1"/>
    </xf>
    <xf numFmtId="0" fontId="38" fillId="27" borderId="21" xfId="71" applyFont="1" applyFill="1" applyBorder="1"/>
    <xf numFmtId="0" fontId="38" fillId="27" borderId="32" xfId="71" applyFont="1" applyFill="1" applyBorder="1"/>
    <xf numFmtId="0" fontId="43" fillId="27" borderId="21" xfId="0" applyFont="1" applyFill="1" applyBorder="1" applyAlignment="1">
      <alignment horizontal="left" vertical="top" wrapText="1"/>
    </xf>
    <xf numFmtId="0" fontId="38" fillId="0" borderId="32" xfId="0" applyFont="1" applyBorder="1" applyAlignment="1">
      <alignment vertical="center"/>
    </xf>
    <xf numFmtId="0" fontId="38" fillId="0" borderId="21" xfId="0" applyFont="1" applyBorder="1" applyAlignment="1">
      <alignment vertical="center"/>
    </xf>
    <xf numFmtId="0" fontId="49" fillId="41" borderId="0" xfId="0" applyFont="1" applyFill="1" applyAlignment="1">
      <alignment horizontal="center"/>
    </xf>
    <xf numFmtId="0" fontId="50" fillId="41" borderId="0" xfId="0" applyFont="1" applyFill="1" applyAlignment="1">
      <alignment horizontal="center" wrapText="1"/>
    </xf>
    <xf numFmtId="2" fontId="51" fillId="41" borderId="8" xfId="0" applyNumberFormat="1" applyFont="1" applyFill="1" applyBorder="1" applyAlignment="1">
      <alignment horizontal="center" vertical="center"/>
    </xf>
    <xf numFmtId="1" fontId="38" fillId="41" borderId="33" xfId="0" applyNumberFormat="1" applyFont="1" applyFill="1" applyBorder="1" applyAlignment="1">
      <alignment horizontal="center" vertical="center" wrapText="1"/>
    </xf>
    <xf numFmtId="1" fontId="41" fillId="41" borderId="23" xfId="0" applyNumberFormat="1" applyFont="1" applyFill="1" applyBorder="1" applyAlignment="1">
      <alignment horizontal="center" vertical="center" wrapText="1"/>
    </xf>
    <xf numFmtId="1" fontId="38" fillId="41" borderId="23" xfId="0" applyNumberFormat="1" applyFont="1" applyFill="1" applyBorder="1" applyAlignment="1">
      <alignment horizontal="center" vertical="center"/>
    </xf>
    <xf numFmtId="1" fontId="38" fillId="41" borderId="24" xfId="0" applyNumberFormat="1" applyFont="1" applyFill="1" applyBorder="1" applyAlignment="1">
      <alignment horizontal="center" vertical="center"/>
    </xf>
    <xf numFmtId="1" fontId="38" fillId="41" borderId="26" xfId="0" applyNumberFormat="1" applyFont="1" applyFill="1" applyBorder="1" applyAlignment="1">
      <alignment horizontal="center" vertical="center"/>
    </xf>
    <xf numFmtId="1" fontId="38" fillId="41" borderId="8" xfId="0" applyNumberFormat="1" applyFont="1" applyFill="1" applyBorder="1" applyAlignment="1">
      <alignment horizontal="center" vertical="center"/>
    </xf>
    <xf numFmtId="1" fontId="38" fillId="41" borderId="33" xfId="0" applyNumberFormat="1" applyFont="1" applyFill="1" applyBorder="1" applyAlignment="1">
      <alignment horizontal="center" vertical="top" wrapText="1"/>
    </xf>
    <xf numFmtId="2" fontId="43" fillId="41" borderId="21" xfId="0" applyNumberFormat="1" applyFont="1" applyFill="1" applyBorder="1" applyAlignment="1">
      <alignment horizontal="center" vertical="center"/>
    </xf>
    <xf numFmtId="2" fontId="38" fillId="41" borderId="25" xfId="0" applyNumberFormat="1" applyFont="1" applyFill="1" applyBorder="1" applyAlignment="1">
      <alignment horizontal="center" vertical="center"/>
    </xf>
    <xf numFmtId="2" fontId="38" fillId="41" borderId="32" xfId="0" applyNumberFormat="1" applyFont="1" applyFill="1" applyBorder="1" applyAlignment="1">
      <alignment horizontal="center" vertical="center"/>
    </xf>
    <xf numFmtId="2" fontId="38" fillId="41" borderId="21" xfId="0" applyNumberFormat="1" applyFont="1" applyFill="1" applyBorder="1" applyAlignment="1">
      <alignment horizontal="center" vertical="center"/>
    </xf>
    <xf numFmtId="1" fontId="40" fillId="41" borderId="22" xfId="0" applyNumberFormat="1" applyFont="1" applyFill="1" applyBorder="1" applyAlignment="1">
      <alignment horizontal="center" vertical="top" wrapText="1"/>
    </xf>
    <xf numFmtId="2" fontId="42" fillId="41" borderId="21" xfId="0" applyNumberFormat="1" applyFont="1" applyFill="1" applyBorder="1" applyAlignment="1">
      <alignment vertical="center"/>
    </xf>
    <xf numFmtId="1" fontId="38" fillId="41" borderId="21" xfId="0" applyNumberFormat="1" applyFont="1" applyFill="1" applyBorder="1" applyAlignment="1">
      <alignment horizontal="center" vertical="center"/>
    </xf>
    <xf numFmtId="2" fontId="38" fillId="41" borderId="21" xfId="0" applyNumberFormat="1" applyFont="1" applyFill="1" applyBorder="1" applyAlignment="1">
      <alignment horizontal="justify" vertical="justify" wrapText="1"/>
    </xf>
    <xf numFmtId="2" fontId="43" fillId="41" borderId="21" xfId="0" applyNumberFormat="1" applyFont="1" applyFill="1" applyBorder="1" applyAlignment="1">
      <alignment vertical="center" shrinkToFit="1"/>
    </xf>
    <xf numFmtId="2" fontId="40" fillId="41" borderId="21" xfId="0" applyNumberFormat="1" applyFont="1" applyFill="1" applyBorder="1" applyAlignment="1">
      <alignment horizontal="center" vertical="center"/>
    </xf>
    <xf numFmtId="2" fontId="40" fillId="41" borderId="25" xfId="0" applyNumberFormat="1" applyFont="1" applyFill="1" applyBorder="1" applyAlignment="1">
      <alignment horizontal="center" vertical="center"/>
    </xf>
    <xf numFmtId="0" fontId="92" fillId="41" borderId="0" xfId="0" applyFont="1" applyFill="1" applyAlignment="1">
      <alignment vertical="top"/>
    </xf>
    <xf numFmtId="2" fontId="40" fillId="41" borderId="32" xfId="0" applyNumberFormat="1" applyFont="1" applyFill="1" applyBorder="1" applyAlignment="1">
      <alignment horizontal="center" vertical="center"/>
    </xf>
    <xf numFmtId="2" fontId="42" fillId="41" borderId="21" xfId="0" applyNumberFormat="1" applyFont="1" applyFill="1" applyBorder="1" applyAlignment="1">
      <alignment vertical="center" shrinkToFit="1"/>
    </xf>
    <xf numFmtId="2" fontId="40" fillId="41" borderId="21" xfId="0" applyNumberFormat="1" applyFont="1" applyFill="1" applyBorder="1" applyAlignment="1">
      <alignment horizontal="justify" vertical="justify" wrapText="1"/>
    </xf>
    <xf numFmtId="2" fontId="47" fillId="41" borderId="21" xfId="0" applyNumberFormat="1" applyFont="1" applyFill="1" applyBorder="1" applyAlignment="1">
      <alignment vertical="center"/>
    </xf>
    <xf numFmtId="2" fontId="40" fillId="41" borderId="21" xfId="0" applyNumberFormat="1" applyFont="1" applyFill="1" applyBorder="1" applyAlignment="1">
      <alignment horizontal="justify" vertical="justify"/>
    </xf>
    <xf numFmtId="1" fontId="38" fillId="41" borderId="21" xfId="0" applyNumberFormat="1" applyFont="1" applyFill="1" applyBorder="1" applyAlignment="1">
      <alignment horizontal="justify" vertical="justify" wrapText="1"/>
    </xf>
    <xf numFmtId="2" fontId="54" fillId="41" borderId="21" xfId="0" applyNumberFormat="1" applyFont="1" applyFill="1" applyBorder="1" applyAlignment="1">
      <alignment vertical="center"/>
    </xf>
    <xf numFmtId="2" fontId="44" fillId="41" borderId="21" xfId="0" applyNumberFormat="1" applyFont="1" applyFill="1" applyBorder="1" applyAlignment="1">
      <alignment vertical="center"/>
    </xf>
    <xf numFmtId="2" fontId="42" fillId="41" borderId="21" xfId="0" applyNumberFormat="1" applyFont="1" applyFill="1" applyBorder="1" applyAlignment="1">
      <alignment horizontal="center" vertical="center"/>
    </xf>
    <xf numFmtId="2" fontId="38" fillId="41" borderId="0" xfId="0" applyNumberFormat="1" applyFont="1" applyFill="1" applyAlignment="1">
      <alignment horizontal="center" vertical="center"/>
    </xf>
    <xf numFmtId="2" fontId="43" fillId="41" borderId="21" xfId="0" applyNumberFormat="1" applyFont="1" applyFill="1" applyBorder="1" applyAlignment="1">
      <alignment horizontal="justify" vertical="justify" wrapText="1"/>
    </xf>
    <xf numFmtId="1" fontId="38" fillId="41" borderId="21" xfId="0" applyNumberFormat="1" applyFont="1" applyFill="1" applyBorder="1" applyAlignment="1">
      <alignment horizontal="center" vertical="top"/>
    </xf>
    <xf numFmtId="2" fontId="38" fillId="41" borderId="21" xfId="0" applyNumberFormat="1" applyFont="1" applyFill="1" applyBorder="1" applyAlignment="1">
      <alignment horizontal="center" vertical="top"/>
    </xf>
    <xf numFmtId="1" fontId="38" fillId="41" borderId="21" xfId="0" applyNumberFormat="1" applyFont="1" applyFill="1" applyBorder="1" applyAlignment="1">
      <alignment vertical="top"/>
    </xf>
    <xf numFmtId="2" fontId="38" fillId="41" borderId="21" xfId="0" applyNumberFormat="1" applyFont="1" applyFill="1" applyBorder="1" applyAlignment="1">
      <alignment vertical="top"/>
    </xf>
    <xf numFmtId="2" fontId="54" fillId="41" borderId="21" xfId="0" applyNumberFormat="1" applyFont="1" applyFill="1" applyBorder="1" applyAlignment="1">
      <alignment horizontal="justify" vertical="justify" wrapText="1"/>
    </xf>
    <xf numFmtId="2" fontId="38" fillId="41" borderId="21" xfId="0" applyNumberFormat="1" applyFont="1" applyFill="1" applyBorder="1"/>
    <xf numFmtId="1" fontId="38" fillId="41" borderId="21" xfId="0" applyNumberFormat="1" applyFont="1" applyFill="1" applyBorder="1"/>
    <xf numFmtId="2" fontId="44" fillId="41" borderId="21" xfId="0" applyNumberFormat="1" applyFont="1" applyFill="1" applyBorder="1" applyAlignment="1">
      <alignment vertical="center" shrinkToFit="1"/>
    </xf>
    <xf numFmtId="1" fontId="40" fillId="41" borderId="21" xfId="0" applyNumberFormat="1" applyFont="1" applyFill="1" applyBorder="1" applyAlignment="1">
      <alignment horizontal="center" vertical="center"/>
    </xf>
    <xf numFmtId="2" fontId="44" fillId="41" borderId="21" xfId="0" applyNumberFormat="1" applyFont="1" applyFill="1" applyBorder="1" applyAlignment="1">
      <alignment horizontal="justify" vertical="justify" wrapText="1"/>
    </xf>
    <xf numFmtId="1" fontId="56" fillId="41" borderId="22" xfId="0" applyNumberFormat="1" applyFont="1" applyFill="1" applyBorder="1" applyAlignment="1">
      <alignment horizontal="center" vertical="top" wrapText="1"/>
    </xf>
    <xf numFmtId="1" fontId="54" fillId="41" borderId="21" xfId="0" applyNumberFormat="1" applyFont="1" applyFill="1" applyBorder="1" applyAlignment="1">
      <alignment horizontal="center" vertical="center"/>
    </xf>
    <xf numFmtId="2" fontId="54" fillId="41" borderId="21" xfId="0" applyNumberFormat="1" applyFont="1" applyFill="1" applyBorder="1" applyAlignment="1">
      <alignment horizontal="center" vertical="center"/>
    </xf>
    <xf numFmtId="2" fontId="54" fillId="41" borderId="32" xfId="0" applyNumberFormat="1" applyFont="1" applyFill="1" applyBorder="1" applyAlignment="1">
      <alignment horizontal="center" vertical="center"/>
    </xf>
    <xf numFmtId="1" fontId="42" fillId="41" borderId="22" xfId="0" applyNumberFormat="1" applyFont="1" applyFill="1" applyBorder="1" applyAlignment="1">
      <alignment horizontal="center" vertical="top" wrapText="1"/>
    </xf>
    <xf numFmtId="1" fontId="43" fillId="41" borderId="21" xfId="0" applyNumberFormat="1" applyFont="1" applyFill="1" applyBorder="1" applyAlignment="1">
      <alignment horizontal="justify" vertical="justify" wrapText="1"/>
    </xf>
    <xf numFmtId="2" fontId="43" fillId="41" borderId="21" xfId="0" applyNumberFormat="1" applyFont="1" applyFill="1" applyBorder="1" applyAlignment="1">
      <alignment vertical="top"/>
    </xf>
    <xf numFmtId="2" fontId="55" fillId="41" borderId="25" xfId="0" applyNumberFormat="1" applyFont="1" applyFill="1" applyBorder="1" applyAlignment="1">
      <alignment horizontal="right" vertical="top"/>
    </xf>
    <xf numFmtId="2" fontId="60" fillId="41" borderId="32" xfId="0" applyNumberFormat="1" applyFont="1" applyFill="1" applyBorder="1" applyAlignment="1">
      <alignment horizontal="right" vertical="top"/>
    </xf>
    <xf numFmtId="2" fontId="55" fillId="41" borderId="21" xfId="0" applyNumberFormat="1" applyFont="1" applyFill="1" applyBorder="1" applyAlignment="1">
      <alignment horizontal="right" vertical="top"/>
    </xf>
    <xf numFmtId="2" fontId="38" fillId="41" borderId="21" xfId="0" applyNumberFormat="1" applyFont="1" applyFill="1" applyBorder="1" applyAlignment="1">
      <alignment horizontal="center" vertical="top" wrapText="1"/>
    </xf>
    <xf numFmtId="2" fontId="42" fillId="41" borderId="25" xfId="0" applyNumberFormat="1" applyFont="1" applyFill="1" applyBorder="1" applyAlignment="1">
      <alignment horizontal="right" vertical="top"/>
    </xf>
    <xf numFmtId="2" fontId="59" fillId="41" borderId="32" xfId="0" applyNumberFormat="1" applyFont="1" applyFill="1" applyBorder="1" applyAlignment="1">
      <alignment horizontal="right" vertical="top"/>
    </xf>
    <xf numFmtId="0" fontId="38" fillId="41" borderId="0" xfId="0" applyFont="1" applyFill="1" applyAlignment="1">
      <alignment horizontal="center" vertical="top"/>
    </xf>
    <xf numFmtId="2" fontId="42" fillId="41" borderId="21" xfId="0" applyNumberFormat="1" applyFont="1" applyFill="1" applyBorder="1" applyAlignment="1">
      <alignment vertical="top"/>
    </xf>
    <xf numFmtId="1" fontId="40" fillId="41" borderId="34" xfId="0" applyNumberFormat="1" applyFont="1" applyFill="1" applyBorder="1" applyAlignment="1">
      <alignment horizontal="center" vertical="top" wrapText="1"/>
    </xf>
    <xf numFmtId="2" fontId="61" fillId="41" borderId="35" xfId="0" applyNumberFormat="1" applyFont="1" applyFill="1" applyBorder="1" applyAlignment="1">
      <alignment horizontal="center" vertical="top" wrapText="1"/>
    </xf>
    <xf numFmtId="1" fontId="61" fillId="41" borderId="35" xfId="0" applyNumberFormat="1" applyFont="1" applyFill="1" applyBorder="1" applyAlignment="1">
      <alignment horizontal="center" vertical="top" wrapText="1"/>
    </xf>
    <xf numFmtId="2" fontId="43" fillId="41" borderId="35" xfId="0" applyNumberFormat="1" applyFont="1" applyFill="1" applyBorder="1" applyAlignment="1">
      <alignment vertical="top"/>
    </xf>
    <xf numFmtId="2" fontId="42" fillId="41" borderId="36" xfId="0" applyNumberFormat="1" applyFont="1" applyFill="1" applyBorder="1" applyAlignment="1">
      <alignment horizontal="right" vertical="top"/>
    </xf>
    <xf numFmtId="1" fontId="61" fillId="41" borderId="0" xfId="0" applyNumberFormat="1" applyFont="1" applyFill="1" applyAlignment="1">
      <alignment vertical="top"/>
    </xf>
    <xf numFmtId="0" fontId="61" fillId="41" borderId="0" xfId="0" applyFont="1" applyFill="1" applyAlignment="1">
      <alignment horizontal="center" vertical="top"/>
    </xf>
    <xf numFmtId="0" fontId="38" fillId="41" borderId="0" xfId="0" applyFont="1" applyFill="1"/>
    <xf numFmtId="1" fontId="38" fillId="41" borderId="0" xfId="0" applyNumberFormat="1" applyFont="1" applyFill="1"/>
    <xf numFmtId="0" fontId="54" fillId="41" borderId="0" xfId="0" applyFont="1" applyFill="1"/>
    <xf numFmtId="0" fontId="43" fillId="41" borderId="0" xfId="0" applyFont="1" applyFill="1" applyAlignment="1">
      <alignment horizontal="center" vertical="top"/>
    </xf>
    <xf numFmtId="2" fontId="43" fillId="41" borderId="0" xfId="0" applyNumberFormat="1" applyFont="1" applyFill="1" applyAlignment="1">
      <alignment horizontal="center" vertical="top"/>
    </xf>
    <xf numFmtId="0" fontId="43" fillId="41" borderId="0" xfId="0" applyFont="1" applyFill="1" applyAlignment="1">
      <alignment vertical="top"/>
    </xf>
    <xf numFmtId="2" fontId="38" fillId="41" borderId="0" xfId="0" applyNumberFormat="1" applyFont="1" applyFill="1" applyAlignment="1">
      <alignment horizontal="center" vertical="top"/>
    </xf>
    <xf numFmtId="0" fontId="38" fillId="41" borderId="0" xfId="0" applyFont="1" applyFill="1" applyAlignment="1">
      <alignment vertical="top"/>
    </xf>
    <xf numFmtId="2" fontId="61" fillId="41" borderId="0" xfId="0" applyNumberFormat="1" applyFont="1" applyFill="1" applyAlignment="1">
      <alignment horizontal="center" vertical="top"/>
    </xf>
    <xf numFmtId="0" fontId="61" fillId="41" borderId="0" xfId="0" applyFont="1" applyFill="1" applyAlignment="1">
      <alignment vertical="top"/>
    </xf>
    <xf numFmtId="1" fontId="40" fillId="41" borderId="28" xfId="0" applyNumberFormat="1" applyFont="1" applyFill="1" applyBorder="1" applyAlignment="1">
      <alignment horizontal="center" vertical="top" wrapText="1"/>
    </xf>
    <xf numFmtId="0" fontId="40" fillId="41" borderId="0" xfId="0" applyFont="1" applyFill="1"/>
    <xf numFmtId="1" fontId="38" fillId="41" borderId="0" xfId="0" applyNumberFormat="1" applyFont="1" applyFill="1" applyAlignment="1">
      <alignment horizontal="left"/>
    </xf>
    <xf numFmtId="2" fontId="38" fillId="41" borderId="0" xfId="0" applyNumberFormat="1" applyFont="1" applyFill="1" applyAlignment="1">
      <alignment horizontal="left"/>
    </xf>
    <xf numFmtId="2" fontId="38" fillId="41" borderId="0" xfId="0" applyNumberFormat="1" applyFont="1" applyFill="1"/>
    <xf numFmtId="2" fontId="43" fillId="41" borderId="0" xfId="0" applyNumberFormat="1" applyFont="1" applyFill="1"/>
    <xf numFmtId="1" fontId="40" fillId="41" borderId="21" xfId="0" applyNumberFormat="1" applyFont="1" applyFill="1" applyBorder="1" applyAlignment="1">
      <alignment horizontal="center" vertical="top" wrapText="1"/>
    </xf>
    <xf numFmtId="1" fontId="94" fillId="41" borderId="21" xfId="69" applyNumberFormat="1" applyFont="1" applyFill="1" applyBorder="1" applyAlignment="1">
      <alignment horizontal="center" vertical="top"/>
    </xf>
    <xf numFmtId="0" fontId="94" fillId="41" borderId="0" xfId="69" applyFont="1" applyFill="1" applyAlignment="1">
      <alignment horizontal="center" vertical="top"/>
    </xf>
    <xf numFmtId="1" fontId="94" fillId="41" borderId="0" xfId="69" applyNumberFormat="1" applyFont="1" applyFill="1" applyAlignment="1">
      <alignment vertical="top"/>
    </xf>
    <xf numFmtId="0" fontId="94" fillId="41" borderId="0" xfId="69" applyFont="1" applyFill="1" applyAlignment="1">
      <alignment vertical="top"/>
    </xf>
    <xf numFmtId="1" fontId="94" fillId="41" borderId="0" xfId="69" applyNumberFormat="1" applyFont="1" applyFill="1" applyAlignment="1">
      <alignment horizontal="center" vertical="top"/>
    </xf>
    <xf numFmtId="1" fontId="38" fillId="41" borderId="0" xfId="0" applyNumberFormat="1" applyFont="1" applyFill="1" applyAlignment="1">
      <alignment horizontal="center"/>
    </xf>
    <xf numFmtId="2" fontId="40" fillId="42" borderId="21" xfId="0" applyNumberFormat="1" applyFont="1" applyFill="1" applyBorder="1" applyAlignment="1">
      <alignment horizontal="right" vertical="top" shrinkToFit="1"/>
    </xf>
    <xf numFmtId="2" fontId="40" fillId="42" borderId="25" xfId="0" applyNumberFormat="1" applyFont="1" applyFill="1" applyBorder="1" applyAlignment="1">
      <alignment horizontal="right" vertical="top" shrinkToFit="1"/>
    </xf>
    <xf numFmtId="173" fontId="43" fillId="41" borderId="22" xfId="0" applyNumberFormat="1" applyFont="1" applyFill="1" applyBorder="1" applyAlignment="1">
      <alignment horizontal="center" vertical="top" wrapText="1"/>
    </xf>
    <xf numFmtId="173" fontId="40" fillId="41" borderId="21" xfId="0" applyNumberFormat="1" applyFont="1" applyFill="1" applyBorder="1" applyAlignment="1">
      <alignment horizontal="center" vertical="top" wrapText="1"/>
    </xf>
    <xf numFmtId="0" fontId="38" fillId="41" borderId="21" xfId="0" applyFont="1" applyFill="1" applyBorder="1" applyAlignment="1">
      <alignment horizontal="justify" vertical="top" wrapText="1"/>
    </xf>
    <xf numFmtId="2" fontId="44" fillId="41" borderId="21" xfId="0" applyNumberFormat="1" applyFont="1" applyFill="1" applyBorder="1" applyAlignment="1">
      <alignment horizontal="center" vertical="top" shrinkToFit="1"/>
    </xf>
    <xf numFmtId="2" fontId="38" fillId="41" borderId="21" xfId="0" applyNumberFormat="1" applyFont="1" applyFill="1" applyBorder="1" applyAlignment="1">
      <alignment horizontal="center" vertical="top" shrinkToFit="1"/>
    </xf>
    <xf numFmtId="2" fontId="38" fillId="41" borderId="25" xfId="0" applyNumberFormat="1" applyFont="1" applyFill="1" applyBorder="1" applyAlignment="1">
      <alignment horizontal="right" vertical="top" shrinkToFit="1"/>
    </xf>
    <xf numFmtId="173" fontId="42" fillId="41" borderId="0" xfId="0" applyNumberFormat="1" applyFont="1" applyFill="1" applyAlignment="1">
      <alignment horizontal="left" vertical="center" wrapText="1"/>
    </xf>
    <xf numFmtId="0" fontId="38" fillId="41" borderId="0" xfId="0" applyFont="1" applyFill="1" applyAlignment="1">
      <alignment horizontal="justify" vertical="top" wrapText="1"/>
    </xf>
    <xf numFmtId="173" fontId="40" fillId="41" borderId="0" xfId="0" applyNumberFormat="1" applyFont="1" applyFill="1" applyAlignment="1">
      <alignment horizontal="center" vertical="center" wrapText="1"/>
    </xf>
    <xf numFmtId="181" fontId="40" fillId="41" borderId="0" xfId="0" applyNumberFormat="1" applyFont="1" applyFill="1" applyAlignment="1">
      <alignment horizontal="center" vertical="center" wrapText="1"/>
    </xf>
    <xf numFmtId="2" fontId="40" fillId="0" borderId="8" xfId="0" applyNumberFormat="1" applyFont="1" applyBorder="1" applyAlignment="1">
      <alignment horizontal="center" vertical="center" shrinkToFit="1"/>
    </xf>
    <xf numFmtId="173" fontId="40" fillId="43" borderId="21" xfId="0" applyNumberFormat="1" applyFont="1" applyFill="1" applyBorder="1" applyAlignment="1">
      <alignment horizontal="center" vertical="top" wrapText="1"/>
    </xf>
    <xf numFmtId="0" fontId="40" fillId="43" borderId="21" xfId="0" applyFont="1" applyFill="1" applyBorder="1" applyAlignment="1">
      <alignment vertical="top" shrinkToFit="1"/>
    </xf>
    <xf numFmtId="0" fontId="38" fillId="43" borderId="21" xfId="0" applyFont="1" applyFill="1" applyBorder="1" applyAlignment="1">
      <alignment vertical="top" shrinkToFit="1"/>
    </xf>
    <xf numFmtId="49" fontId="40" fillId="43" borderId="21" xfId="0" applyNumberFormat="1" applyFont="1" applyFill="1" applyBorder="1" applyAlignment="1">
      <alignment horizontal="center" vertical="top" wrapText="1"/>
    </xf>
    <xf numFmtId="172" fontId="38" fillId="0" borderId="21" xfId="0" applyNumberFormat="1" applyFont="1" applyBorder="1" applyAlignment="1">
      <alignment horizontal="center" vertical="center" wrapText="1"/>
    </xf>
    <xf numFmtId="172" fontId="38" fillId="34" borderId="21" xfId="0" applyNumberFormat="1" applyFont="1" applyFill="1" applyBorder="1" applyAlignment="1">
      <alignment horizontal="center" vertical="top" shrinkToFit="1"/>
    </xf>
    <xf numFmtId="172" fontId="40" fillId="0" borderId="21" xfId="0" applyNumberFormat="1" applyFont="1" applyBorder="1" applyAlignment="1">
      <alignment horizontal="right" vertical="top" shrinkToFit="1"/>
    </xf>
    <xf numFmtId="172" fontId="38" fillId="41" borderId="21" xfId="0" applyNumberFormat="1" applyFont="1" applyFill="1" applyBorder="1" applyAlignment="1">
      <alignment horizontal="center" vertical="top" shrinkToFit="1"/>
    </xf>
    <xf numFmtId="172" fontId="40" fillId="27" borderId="21" xfId="0" applyNumberFormat="1" applyFont="1" applyFill="1" applyBorder="1" applyAlignment="1">
      <alignment horizontal="center" vertical="top" shrinkToFit="1"/>
    </xf>
    <xf numFmtId="172" fontId="38" fillId="30" borderId="21" xfId="0" applyNumberFormat="1" applyFont="1" applyFill="1" applyBorder="1" applyAlignment="1">
      <alignment horizontal="center" vertical="top" shrinkToFit="1"/>
    </xf>
    <xf numFmtId="172" fontId="38" fillId="30" borderId="21" xfId="0" applyNumberFormat="1" applyFont="1" applyFill="1" applyBorder="1" applyAlignment="1">
      <alignment vertical="top" shrinkToFit="1"/>
    </xf>
    <xf numFmtId="172" fontId="40" fillId="30" borderId="21" xfId="0" applyNumberFormat="1" applyFont="1" applyFill="1" applyBorder="1" applyAlignment="1">
      <alignment horizontal="right" vertical="top" shrinkToFit="1"/>
    </xf>
    <xf numFmtId="172" fontId="43" fillId="0" borderId="21" xfId="0" applyNumberFormat="1" applyFont="1" applyBorder="1" applyAlignment="1">
      <alignment vertical="top" shrinkToFit="1"/>
    </xf>
    <xf numFmtId="172" fontId="43" fillId="30" borderId="21" xfId="0" applyNumberFormat="1" applyFont="1" applyFill="1" applyBorder="1" applyAlignment="1">
      <alignment vertical="top" shrinkToFit="1"/>
    </xf>
    <xf numFmtId="172" fontId="38" fillId="27" borderId="21" xfId="0" applyNumberFormat="1" applyFont="1" applyFill="1" applyBorder="1" applyAlignment="1">
      <alignment vertical="top" shrinkToFit="1"/>
    </xf>
    <xf numFmtId="172" fontId="51" fillId="0" borderId="21" xfId="0" applyNumberFormat="1" applyFont="1" applyBorder="1" applyAlignment="1">
      <alignment horizontal="center" vertical="top" shrinkToFit="1"/>
    </xf>
    <xf numFmtId="172" fontId="38" fillId="0" borderId="21" xfId="0" applyNumberFormat="1" applyFont="1" applyBorder="1" applyAlignment="1">
      <alignment shrinkToFit="1"/>
    </xf>
    <xf numFmtId="172" fontId="40" fillId="42" borderId="21" xfId="0" applyNumberFormat="1" applyFont="1" applyFill="1" applyBorder="1" applyAlignment="1">
      <alignment horizontal="right" vertical="top" shrinkToFit="1"/>
    </xf>
    <xf numFmtId="172" fontId="40" fillId="39" borderId="21" xfId="0" applyNumberFormat="1" applyFont="1" applyFill="1" applyBorder="1" applyAlignment="1">
      <alignment horizontal="right" vertical="top" shrinkToFit="1"/>
    </xf>
    <xf numFmtId="172" fontId="40" fillId="27" borderId="21" xfId="0" applyNumberFormat="1" applyFont="1" applyFill="1" applyBorder="1" applyAlignment="1">
      <alignment vertical="top" shrinkToFit="1"/>
    </xf>
    <xf numFmtId="172" fontId="38" fillId="0" borderId="21" xfId="0" applyNumberFormat="1" applyFont="1" applyBorder="1"/>
    <xf numFmtId="172" fontId="40" fillId="28" borderId="21" xfId="0" applyNumberFormat="1" applyFont="1" applyFill="1" applyBorder="1" applyAlignment="1">
      <alignment horizontal="right" vertical="top" shrinkToFit="1"/>
    </xf>
    <xf numFmtId="172" fontId="40" fillId="27" borderId="21" xfId="0" applyNumberFormat="1" applyFont="1" applyFill="1" applyBorder="1" applyAlignment="1">
      <alignment horizontal="right" vertical="top" shrinkToFit="1"/>
    </xf>
    <xf numFmtId="180" fontId="40" fillId="0" borderId="21" xfId="0" applyNumberFormat="1" applyFont="1" applyBorder="1" applyAlignment="1">
      <alignment horizontal="center" vertical="top" shrinkToFit="1"/>
    </xf>
    <xf numFmtId="177" fontId="54" fillId="0" borderId="21" xfId="0" applyNumberFormat="1" applyFont="1" applyBorder="1" applyAlignment="1">
      <alignment horizontal="center" vertical="top" wrapText="1"/>
    </xf>
    <xf numFmtId="180" fontId="56" fillId="0" borderId="21" xfId="0" applyNumberFormat="1" applyFont="1" applyBorder="1" applyAlignment="1">
      <alignment horizontal="center" vertical="top" shrinkToFit="1"/>
    </xf>
    <xf numFmtId="172" fontId="38" fillId="42" borderId="21" xfId="0" applyNumberFormat="1" applyFont="1" applyFill="1" applyBorder="1" applyAlignment="1">
      <alignment horizontal="center" vertical="top" shrinkToFit="1"/>
    </xf>
    <xf numFmtId="177" fontId="44" fillId="28" borderId="21" xfId="0" applyNumberFormat="1" applyFont="1" applyFill="1" applyBorder="1"/>
    <xf numFmtId="2" fontId="54" fillId="27" borderId="21" xfId="0" applyNumberFormat="1" applyFont="1" applyFill="1" applyBorder="1" applyAlignment="1">
      <alignment horizontal="center" vertical="top" wrapText="1"/>
    </xf>
    <xf numFmtId="0" fontId="38" fillId="0" borderId="21" xfId="0" applyFont="1" applyBorder="1" applyAlignment="1">
      <alignment horizontal="left" shrinkToFit="1"/>
    </xf>
    <xf numFmtId="170" fontId="38" fillId="0" borderId="21" xfId="0" applyNumberFormat="1" applyFont="1" applyBorder="1" applyAlignment="1">
      <alignment horizontal="center" vertical="center" wrapText="1"/>
    </xf>
    <xf numFmtId="1" fontId="38" fillId="0" borderId="21" xfId="0" applyNumberFormat="1" applyFont="1" applyBorder="1" applyAlignment="1">
      <alignment horizontal="right" vertical="center" shrinkToFit="1"/>
    </xf>
    <xf numFmtId="0" fontId="43" fillId="0" borderId="21" xfId="0" applyFont="1" applyBorder="1" applyAlignment="1">
      <alignment vertical="top" wrapText="1"/>
    </xf>
    <xf numFmtId="170" fontId="38" fillId="0" borderId="21" xfId="0" applyNumberFormat="1" applyFont="1" applyBorder="1" applyAlignment="1">
      <alignment horizontal="right" vertical="center" wrapText="1"/>
    </xf>
    <xf numFmtId="0" fontId="38" fillId="0" borderId="21" xfId="0" applyFont="1" applyBorder="1" applyAlignment="1">
      <alignment horizontal="right" vertical="center" shrinkToFit="1"/>
    </xf>
    <xf numFmtId="170" fontId="39" fillId="0" borderId="21" xfId="0" applyNumberFormat="1" applyFont="1" applyBorder="1" applyAlignment="1">
      <alignment horizontal="right" vertical="center" shrinkToFit="1"/>
    </xf>
    <xf numFmtId="2" fontId="43" fillId="0" borderId="21" xfId="0" applyNumberFormat="1" applyFont="1" applyBorder="1" applyAlignment="1">
      <alignment horizontal="right" vertical="center"/>
    </xf>
    <xf numFmtId="0" fontId="40" fillId="0" borderId="21" xfId="0" applyFont="1" applyBorder="1" applyAlignment="1">
      <alignment horizontal="right" vertical="center" shrinkToFit="1"/>
    </xf>
    <xf numFmtId="0" fontId="40" fillId="30" borderId="21" xfId="0" applyFont="1" applyFill="1" applyBorder="1" applyAlignment="1">
      <alignment horizontal="right" vertical="center" shrinkToFit="1"/>
    </xf>
    <xf numFmtId="170" fontId="40" fillId="27" borderId="21" xfId="0" applyNumberFormat="1" applyFont="1" applyFill="1" applyBorder="1" applyAlignment="1">
      <alignment horizontal="right" vertical="center" shrinkToFit="1"/>
    </xf>
    <xf numFmtId="2" fontId="40" fillId="27" borderId="21" xfId="0" applyNumberFormat="1" applyFont="1" applyFill="1" applyBorder="1" applyAlignment="1">
      <alignment horizontal="right" vertical="center" shrinkToFit="1"/>
    </xf>
    <xf numFmtId="172" fontId="38" fillId="41" borderId="21" xfId="0" applyNumberFormat="1" applyFont="1" applyFill="1" applyBorder="1" applyAlignment="1">
      <alignment horizontal="center" vertical="top"/>
    </xf>
    <xf numFmtId="0" fontId="38" fillId="41" borderId="21" xfId="0" applyFont="1" applyFill="1" applyBorder="1" applyAlignment="1">
      <alignment horizontal="center" vertical="top" wrapText="1"/>
    </xf>
    <xf numFmtId="0" fontId="38" fillId="41" borderId="21" xfId="0" applyFont="1" applyFill="1" applyBorder="1"/>
    <xf numFmtId="0" fontId="40" fillId="43" borderId="21" xfId="0" applyFont="1" applyFill="1" applyBorder="1" applyAlignment="1">
      <alignment horizontal="center" vertical="top" wrapText="1"/>
    </xf>
    <xf numFmtId="0" fontId="40" fillId="41" borderId="21" xfId="0" applyFont="1" applyFill="1" applyBorder="1" applyAlignment="1">
      <alignment horizontal="center" vertical="top" wrapText="1"/>
    </xf>
    <xf numFmtId="0" fontId="42" fillId="41" borderId="21" xfId="0" applyFont="1" applyFill="1" applyBorder="1" applyAlignment="1">
      <alignment horizontal="center" vertical="top" wrapText="1"/>
    </xf>
    <xf numFmtId="0" fontId="40" fillId="44" borderId="21" xfId="0" applyFont="1" applyFill="1" applyBorder="1" applyAlignment="1">
      <alignment horizontal="center" vertical="top" wrapText="1"/>
    </xf>
    <xf numFmtId="173" fontId="40" fillId="44" borderId="21" xfId="0" applyNumberFormat="1" applyFont="1" applyFill="1" applyBorder="1" applyAlignment="1">
      <alignment horizontal="center" vertical="top" wrapText="1"/>
    </xf>
    <xf numFmtId="0" fontId="38" fillId="43" borderId="21" xfId="0" applyFont="1" applyFill="1" applyBorder="1" applyAlignment="1">
      <alignment horizontal="center" vertical="top" shrinkToFit="1"/>
    </xf>
    <xf numFmtId="1" fontId="43" fillId="0" borderId="22" xfId="0" applyNumberFormat="1" applyFont="1" applyBorder="1" applyAlignment="1">
      <alignment horizontal="center" vertical="center" wrapText="1"/>
    </xf>
    <xf numFmtId="1" fontId="47" fillId="0" borderId="21" xfId="0" applyNumberFormat="1" applyFont="1" applyBorder="1" applyAlignment="1">
      <alignment horizontal="center" vertical="center" wrapText="1"/>
    </xf>
    <xf numFmtId="1" fontId="40" fillId="0" borderId="25" xfId="0" applyNumberFormat="1" applyFont="1" applyBorder="1" applyAlignment="1">
      <alignment horizontal="right" vertical="center" wrapText="1"/>
    </xf>
    <xf numFmtId="1" fontId="43" fillId="27" borderId="0" xfId="0" applyNumberFormat="1" applyFont="1" applyFill="1" applyAlignment="1">
      <alignment horizontal="left" vertical="center" wrapText="1"/>
    </xf>
    <xf numFmtId="1" fontId="43" fillId="0" borderId="0" xfId="0" applyNumberFormat="1" applyFont="1" applyAlignment="1">
      <alignment horizontal="left" vertical="center" wrapText="1"/>
    </xf>
    <xf numFmtId="1" fontId="38" fillId="0" borderId="0" xfId="0" applyNumberFormat="1" applyFont="1" applyAlignment="1">
      <alignment horizontal="center" vertical="center" wrapText="1"/>
    </xf>
    <xf numFmtId="2" fontId="38" fillId="0" borderId="25" xfId="0" applyNumberFormat="1" applyFont="1" applyBorder="1" applyAlignment="1">
      <alignment horizontal="center" vertical="top" shrinkToFit="1"/>
    </xf>
    <xf numFmtId="2" fontId="38" fillId="0" borderId="25" xfId="0" applyNumberFormat="1" applyFont="1" applyBorder="1"/>
    <xf numFmtId="172" fontId="42" fillId="0" borderId="21" xfId="0" applyNumberFormat="1" applyFont="1" applyBorder="1" applyAlignment="1">
      <alignment horizontal="center" vertical="top" wrapText="1"/>
    </xf>
    <xf numFmtId="172" fontId="71" fillId="0" borderId="21" xfId="0" applyNumberFormat="1" applyFont="1" applyBorder="1" applyAlignment="1">
      <alignment horizontal="center" vertical="top" wrapText="1"/>
    </xf>
    <xf numFmtId="172" fontId="100" fillId="0" borderId="21" xfId="0" applyNumberFormat="1" applyFont="1" applyBorder="1" applyAlignment="1">
      <alignment horizontal="justify" vertical="top" wrapText="1"/>
    </xf>
    <xf numFmtId="179" fontId="38" fillId="0" borderId="21" xfId="0" applyNumberFormat="1" applyFont="1" applyBorder="1" applyAlignment="1">
      <alignment horizontal="center" vertical="top" shrinkToFit="1"/>
    </xf>
    <xf numFmtId="9" fontId="38" fillId="0" borderId="21" xfId="0" applyNumberFormat="1" applyFont="1" applyBorder="1" applyAlignment="1">
      <alignment horizontal="center" vertical="top" shrinkToFit="1"/>
    </xf>
    <xf numFmtId="10" fontId="43" fillId="0" borderId="21" xfId="0" applyNumberFormat="1" applyFont="1" applyBorder="1" applyAlignment="1">
      <alignment horizontal="center" vertical="top" wrapText="1"/>
    </xf>
    <xf numFmtId="0" fontId="42" fillId="41" borderId="22" xfId="0" applyFont="1" applyFill="1" applyBorder="1" applyAlignment="1">
      <alignment horizontal="center" vertical="center" wrapText="1"/>
    </xf>
    <xf numFmtId="172" fontId="41" fillId="41" borderId="21" xfId="0" applyNumberFormat="1" applyFont="1" applyFill="1" applyBorder="1" applyAlignment="1">
      <alignment horizontal="justify" vertical="top" wrapText="1"/>
    </xf>
    <xf numFmtId="172" fontId="43" fillId="41" borderId="21" xfId="0" applyNumberFormat="1" applyFont="1" applyFill="1" applyBorder="1" applyAlignment="1">
      <alignment horizontal="center" vertical="top" wrapText="1"/>
    </xf>
    <xf numFmtId="172" fontId="38" fillId="41" borderId="25" xfId="0" applyNumberFormat="1" applyFont="1" applyFill="1" applyBorder="1" applyAlignment="1">
      <alignment horizontal="right" vertical="top" shrinkToFit="1"/>
    </xf>
    <xf numFmtId="0" fontId="38" fillId="41" borderId="22" xfId="0" applyFont="1" applyFill="1" applyBorder="1" applyAlignment="1">
      <alignment horizontal="center" vertical="center"/>
    </xf>
    <xf numFmtId="172" fontId="51" fillId="41" borderId="21" xfId="0" applyNumberFormat="1" applyFont="1" applyFill="1" applyBorder="1" applyAlignment="1">
      <alignment horizontal="justify" vertical="top" wrapText="1"/>
    </xf>
    <xf numFmtId="172" fontId="101" fillId="41" borderId="21" xfId="0" applyNumberFormat="1" applyFont="1" applyFill="1" applyBorder="1" applyAlignment="1">
      <alignment horizontal="justify" vertical="top" wrapText="1"/>
    </xf>
    <xf numFmtId="0" fontId="38" fillId="41" borderId="25" xfId="0" applyFont="1" applyFill="1" applyBorder="1" applyAlignment="1">
      <alignment horizontal="center" vertical="top" wrapText="1"/>
    </xf>
    <xf numFmtId="0" fontId="40" fillId="0" borderId="22" xfId="0" applyFont="1" applyBorder="1" applyAlignment="1">
      <alignment horizontal="center" vertical="center"/>
    </xf>
    <xf numFmtId="174" fontId="43" fillId="0" borderId="21" xfId="0" applyNumberFormat="1" applyFont="1" applyBorder="1" applyAlignment="1">
      <alignment horizontal="center" vertical="top" wrapText="1"/>
    </xf>
    <xf numFmtId="172" fontId="43" fillId="0" borderId="21" xfId="0" applyNumberFormat="1" applyFont="1" applyBorder="1" applyAlignment="1">
      <alignment horizontal="center" vertical="top"/>
    </xf>
    <xf numFmtId="172" fontId="43" fillId="0" borderId="21" xfId="0" applyNumberFormat="1" applyFont="1" applyBorder="1" applyAlignment="1">
      <alignment horizontal="justify" vertical="top" wrapText="1"/>
    </xf>
    <xf numFmtId="172" fontId="42" fillId="0" borderId="21" xfId="0" applyNumberFormat="1" applyFont="1" applyBorder="1" applyAlignment="1">
      <alignment horizontal="center" vertical="top"/>
    </xf>
    <xf numFmtId="172" fontId="43" fillId="0" borderId="21" xfId="0" applyNumberFormat="1" applyFont="1" applyBorder="1" applyAlignment="1">
      <alignment vertical="top" wrapText="1"/>
    </xf>
    <xf numFmtId="0" fontId="51" fillId="0" borderId="21" xfId="0" applyFont="1" applyBorder="1" applyAlignment="1">
      <alignment vertical="top"/>
    </xf>
    <xf numFmtId="10" fontId="42" fillId="0" borderId="21" xfId="0" applyNumberFormat="1" applyFont="1" applyBorder="1" applyAlignment="1">
      <alignment horizontal="center" vertical="top" wrapText="1"/>
    </xf>
    <xf numFmtId="172" fontId="38" fillId="0" borderId="21" xfId="0" applyNumberFormat="1" applyFont="1" applyBorder="1" applyAlignment="1">
      <alignment horizontal="right" vertical="top" shrinkToFit="1"/>
    </xf>
    <xf numFmtId="0" fontId="53" fillId="41" borderId="21" xfId="0" applyFont="1" applyFill="1" applyBorder="1" applyAlignment="1">
      <alignment horizontal="center" vertical="top" wrapText="1"/>
    </xf>
    <xf numFmtId="172" fontId="103" fillId="0" borderId="21" xfId="0" applyNumberFormat="1" applyFont="1" applyBorder="1" applyAlignment="1">
      <alignment horizontal="justify" vertical="top" wrapText="1"/>
    </xf>
    <xf numFmtId="172" fontId="71" fillId="0" borderId="21" xfId="0" applyNumberFormat="1" applyFont="1" applyBorder="1" applyAlignment="1">
      <alignment horizontal="center" vertical="top"/>
    </xf>
    <xf numFmtId="174" fontId="71" fillId="0" borderId="21" xfId="0" applyNumberFormat="1" applyFont="1" applyBorder="1" applyAlignment="1">
      <alignment horizontal="center" vertical="top" wrapText="1"/>
    </xf>
    <xf numFmtId="0" fontId="43" fillId="0" borderId="34" xfId="0" applyFont="1" applyBorder="1" applyAlignment="1">
      <alignment horizontal="center" vertical="center"/>
    </xf>
    <xf numFmtId="0" fontId="53" fillId="41" borderId="35" xfId="0" applyFont="1" applyFill="1" applyBorder="1" applyAlignment="1">
      <alignment horizontal="center" vertical="top" wrapText="1"/>
    </xf>
    <xf numFmtId="172" fontId="100" fillId="0" borderId="35" xfId="0" applyNumberFormat="1" applyFont="1" applyBorder="1" applyAlignment="1">
      <alignment horizontal="justify" vertical="top" wrapText="1"/>
    </xf>
    <xf numFmtId="172" fontId="71" fillId="0" borderId="35" xfId="0" applyNumberFormat="1" applyFont="1" applyBorder="1" applyAlignment="1">
      <alignment horizontal="center" vertical="top"/>
    </xf>
    <xf numFmtId="174" fontId="71" fillId="0" borderId="35" xfId="0" applyNumberFormat="1" applyFont="1" applyBorder="1" applyAlignment="1">
      <alignment horizontal="center" vertical="top" wrapText="1"/>
    </xf>
    <xf numFmtId="172" fontId="38" fillId="0" borderId="36" xfId="0" applyNumberFormat="1" applyFont="1" applyBorder="1" applyAlignment="1">
      <alignment horizontal="right" vertical="top" shrinkToFit="1"/>
    </xf>
    <xf numFmtId="0" fontId="66" fillId="0" borderId="43" xfId="75" applyFont="1" applyBorder="1" applyAlignment="1">
      <alignment horizontal="center" vertical="top"/>
    </xf>
    <xf numFmtId="0" fontId="66" fillId="0" borderId="44" xfId="75" applyFont="1" applyBorder="1" applyAlignment="1">
      <alignment horizontal="center" vertical="top"/>
    </xf>
    <xf numFmtId="0" fontId="0" fillId="43" borderId="0" xfId="0" applyFill="1"/>
    <xf numFmtId="0" fontId="38" fillId="0" borderId="8" xfId="0" applyFont="1" applyBorder="1" applyAlignment="1">
      <alignment vertical="top"/>
    </xf>
    <xf numFmtId="2" fontId="38" fillId="45" borderId="8" xfId="0" applyNumberFormat="1" applyFont="1" applyFill="1" applyBorder="1" applyAlignment="1">
      <alignment horizontal="center" vertical="center"/>
    </xf>
    <xf numFmtId="2" fontId="38" fillId="46" borderId="8" xfId="0" applyNumberFormat="1" applyFont="1" applyFill="1" applyBorder="1" applyAlignment="1">
      <alignment horizontal="center" vertical="center"/>
    </xf>
    <xf numFmtId="0" fontId="38" fillId="0" borderId="8" xfId="0" applyFont="1" applyBorder="1" applyAlignment="1">
      <alignment horizontal="left" wrapText="1"/>
    </xf>
    <xf numFmtId="0" fontId="38" fillId="0" borderId="43" xfId="0" applyFont="1" applyBorder="1"/>
    <xf numFmtId="2" fontId="38" fillId="33" borderId="43" xfId="0" applyNumberFormat="1" applyFont="1" applyFill="1" applyBorder="1" applyAlignment="1">
      <alignment horizontal="center" vertical="center"/>
    </xf>
    <xf numFmtId="2" fontId="38" fillId="47" borderId="8" xfId="0" applyNumberFormat="1" applyFont="1" applyFill="1" applyBorder="1" applyAlignment="1">
      <alignment horizontal="center" vertical="center"/>
    </xf>
    <xf numFmtId="2" fontId="38" fillId="48" borderId="8" xfId="0" applyNumberFormat="1" applyFont="1" applyFill="1" applyBorder="1" applyAlignment="1">
      <alignment horizontal="center" vertical="center"/>
    </xf>
    <xf numFmtId="2" fontId="38" fillId="49" borderId="8" xfId="0" applyNumberFormat="1" applyFont="1" applyFill="1" applyBorder="1" applyAlignment="1">
      <alignment horizontal="center" vertical="center"/>
    </xf>
    <xf numFmtId="2" fontId="38" fillId="50" borderId="8" xfId="0" applyNumberFormat="1" applyFont="1" applyFill="1" applyBorder="1" applyAlignment="1">
      <alignment horizontal="center" vertical="center"/>
    </xf>
    <xf numFmtId="2" fontId="0" fillId="0" borderId="0" xfId="0" applyNumberFormat="1"/>
    <xf numFmtId="2" fontId="38" fillId="0" borderId="43" xfId="0" applyNumberFormat="1" applyFont="1" applyBorder="1" applyAlignment="1">
      <alignment horizontal="center" vertical="center"/>
    </xf>
    <xf numFmtId="0" fontId="62" fillId="43" borderId="0" xfId="0" applyFont="1" applyFill="1"/>
    <xf numFmtId="0" fontId="104" fillId="43" borderId="0" xfId="0" applyFont="1" applyFill="1"/>
    <xf numFmtId="0" fontId="104" fillId="43" borderId="8" xfId="0" applyFont="1" applyFill="1" applyBorder="1" applyAlignment="1">
      <alignment horizontal="center" vertical="center" wrapText="1"/>
    </xf>
    <xf numFmtId="0" fontId="105" fillId="43" borderId="0" xfId="0" applyFont="1" applyFill="1"/>
    <xf numFmtId="2" fontId="38" fillId="51" borderId="8" xfId="0" applyNumberFormat="1" applyFont="1" applyFill="1" applyBorder="1" applyAlignment="1">
      <alignment horizontal="center" vertical="center"/>
    </xf>
    <xf numFmtId="0" fontId="106" fillId="0" borderId="0" xfId="0" applyFont="1" applyAlignment="1">
      <alignment horizontal="center"/>
    </xf>
    <xf numFmtId="2" fontId="106" fillId="0" borderId="21" xfId="0" applyNumberFormat="1" applyFont="1" applyBorder="1" applyAlignment="1">
      <alignment horizontal="right" vertical="top"/>
    </xf>
    <xf numFmtId="0" fontId="106" fillId="0" borderId="21" xfId="0" applyFont="1" applyBorder="1" applyAlignment="1">
      <alignment horizontal="center" vertical="top"/>
    </xf>
    <xf numFmtId="2" fontId="107" fillId="0" borderId="21" xfId="0" applyNumberFormat="1" applyFont="1" applyBorder="1" applyAlignment="1">
      <alignment horizontal="right" vertical="top"/>
    </xf>
    <xf numFmtId="2" fontId="106" fillId="0" borderId="21" xfId="59" applyNumberFormat="1" applyFont="1" applyBorder="1" applyAlignment="1">
      <alignment horizontal="right" vertical="top"/>
    </xf>
    <xf numFmtId="2" fontId="107" fillId="0" borderId="21" xfId="59" applyNumberFormat="1" applyFont="1" applyBorder="1" applyAlignment="1">
      <alignment horizontal="right" vertical="top"/>
    </xf>
    <xf numFmtId="2" fontId="106" fillId="0" borderId="0" xfId="59" applyNumberFormat="1" applyFont="1" applyAlignment="1">
      <alignment horizontal="right" vertical="top"/>
    </xf>
    <xf numFmtId="0" fontId="106" fillId="0" borderId="0" xfId="0" applyFont="1" applyAlignment="1">
      <alignment horizontal="center" wrapText="1"/>
    </xf>
    <xf numFmtId="2" fontId="106" fillId="0" borderId="8" xfId="0" applyNumberFormat="1" applyFont="1" applyBorder="1" applyAlignment="1">
      <alignment horizontal="center" vertical="center"/>
    </xf>
    <xf numFmtId="1" fontId="107" fillId="0" borderId="8" xfId="0" applyNumberFormat="1" applyFont="1" applyBorder="1" applyAlignment="1">
      <alignment horizontal="center" vertical="center" wrapText="1"/>
    </xf>
    <xf numFmtId="1" fontId="107" fillId="0" borderId="8" xfId="0" applyNumberFormat="1" applyFont="1" applyBorder="1" applyAlignment="1">
      <alignment horizontal="center" vertical="center"/>
    </xf>
    <xf numFmtId="0" fontId="106" fillId="0" borderId="23" xfId="0" applyFont="1" applyBorder="1" applyAlignment="1">
      <alignment horizontal="center" vertical="top" wrapText="1"/>
    </xf>
    <xf numFmtId="2" fontId="107" fillId="0" borderId="23" xfId="0" applyNumberFormat="1" applyFont="1" applyBorder="1" applyAlignment="1">
      <alignment horizontal="center" vertical="center"/>
    </xf>
    <xf numFmtId="0" fontId="106" fillId="0" borderId="28" xfId="0" applyFont="1" applyBorder="1" applyAlignment="1">
      <alignment horizontal="center" vertical="top" wrapText="1"/>
    </xf>
    <xf numFmtId="0" fontId="106" fillId="0" borderId="28" xfId="0" applyFont="1" applyBorder="1" applyAlignment="1">
      <alignment vertical="center"/>
    </xf>
    <xf numFmtId="0" fontId="106" fillId="0" borderId="28" xfId="0" applyFont="1" applyBorder="1" applyAlignment="1">
      <alignment horizontal="justify" vertical="justify" wrapText="1"/>
    </xf>
    <xf numFmtId="2" fontId="106" fillId="0" borderId="28" xfId="0" applyNumberFormat="1" applyFont="1" applyBorder="1" applyAlignment="1">
      <alignment horizontal="justify" vertical="justify" wrapText="1"/>
    </xf>
    <xf numFmtId="2" fontId="107" fillId="0" borderId="28" xfId="0" applyNumberFormat="1" applyFont="1" applyBorder="1" applyAlignment="1">
      <alignment horizontal="center" vertical="center"/>
    </xf>
    <xf numFmtId="0" fontId="106" fillId="0" borderId="21" xfId="0" applyFont="1" applyBorder="1" applyAlignment="1">
      <alignment horizontal="center" vertical="top" wrapText="1"/>
    </xf>
    <xf numFmtId="0" fontId="107" fillId="0" borderId="21" xfId="0" applyFont="1" applyBorder="1" applyAlignment="1">
      <alignment horizontal="justify" vertical="justify"/>
    </xf>
    <xf numFmtId="1" fontId="107" fillId="0" borderId="21" xfId="0" applyNumberFormat="1" applyFont="1" applyBorder="1" applyAlignment="1">
      <alignment horizontal="center" vertical="center"/>
    </xf>
    <xf numFmtId="2" fontId="107" fillId="0" borderId="21" xfId="0" applyNumberFormat="1" applyFont="1" applyBorder="1" applyAlignment="1">
      <alignment horizontal="center" vertical="center"/>
    </xf>
    <xf numFmtId="0" fontId="107" fillId="0" borderId="21" xfId="0" applyFont="1" applyBorder="1" applyAlignment="1">
      <alignment vertical="center" wrapText="1"/>
    </xf>
    <xf numFmtId="0" fontId="107" fillId="0" borderId="21" xfId="0" applyFont="1" applyBorder="1" applyAlignment="1">
      <alignment vertical="center"/>
    </xf>
    <xf numFmtId="2" fontId="106" fillId="0" borderId="0" xfId="0" applyNumberFormat="1" applyFont="1" applyAlignment="1">
      <alignment horizontal="center" vertical="center"/>
    </xf>
    <xf numFmtId="2" fontId="106" fillId="0" borderId="21" xfId="0" applyNumberFormat="1" applyFont="1" applyBorder="1" applyAlignment="1">
      <alignment horizontal="center" vertical="center"/>
    </xf>
    <xf numFmtId="2" fontId="106" fillId="43" borderId="21" xfId="0" applyNumberFormat="1" applyFont="1" applyFill="1" applyBorder="1" applyAlignment="1">
      <alignment horizontal="center" vertical="center"/>
    </xf>
    <xf numFmtId="0" fontId="107" fillId="0" borderId="0" xfId="0" applyFont="1" applyAlignment="1">
      <alignment vertical="top"/>
    </xf>
    <xf numFmtId="0" fontId="106" fillId="0" borderId="21" xfId="0" applyFont="1" applyBorder="1" applyAlignment="1">
      <alignment horizontal="justify" vertical="justify" shrinkToFit="1"/>
    </xf>
    <xf numFmtId="0" fontId="107" fillId="0" borderId="37" xfId="0" applyFont="1" applyBorder="1" applyAlignment="1">
      <alignment horizontal="justify" vertical="top" wrapText="1"/>
    </xf>
    <xf numFmtId="0" fontId="107" fillId="0" borderId="38" xfId="0" applyFont="1" applyBorder="1" applyAlignment="1">
      <alignment horizontal="justify" vertical="top" wrapText="1"/>
    </xf>
    <xf numFmtId="0" fontId="107" fillId="0" borderId="32" xfId="0" applyFont="1" applyBorder="1" applyAlignment="1">
      <alignment horizontal="justify" vertical="top" wrapText="1"/>
    </xf>
    <xf numFmtId="0" fontId="106" fillId="0" borderId="21" xfId="0" applyFont="1" applyBorder="1" applyAlignment="1">
      <alignment horizontal="justify" vertical="justify" wrapText="1"/>
    </xf>
    <xf numFmtId="0" fontId="107" fillId="0" borderId="21" xfId="0" applyFont="1" applyBorder="1" applyAlignment="1">
      <alignment horizontal="justify" vertical="justify" wrapText="1"/>
    </xf>
    <xf numFmtId="2" fontId="107" fillId="0" borderId="21" xfId="0" applyNumberFormat="1" applyFont="1" applyBorder="1" applyAlignment="1">
      <alignment horizontal="justify" vertical="justify" wrapText="1"/>
    </xf>
    <xf numFmtId="2" fontId="106" fillId="0" borderId="21" xfId="0" applyNumberFormat="1" applyFont="1" applyBorder="1" applyAlignment="1">
      <alignment horizontal="center" vertical="center" wrapText="1"/>
    </xf>
    <xf numFmtId="0" fontId="106" fillId="0" borderId="21" xfId="0" applyFont="1" applyBorder="1" applyAlignment="1">
      <alignment vertical="center" shrinkToFit="1"/>
    </xf>
    <xf numFmtId="0" fontId="107" fillId="0" borderId="21" xfId="0" applyFont="1" applyBorder="1" applyAlignment="1">
      <alignment vertical="center" shrinkToFit="1"/>
    </xf>
    <xf numFmtId="0" fontId="106" fillId="0" borderId="21" xfId="0" applyFont="1" applyBorder="1" applyAlignment="1">
      <alignment vertical="center"/>
    </xf>
    <xf numFmtId="1" fontId="106" fillId="0" borderId="21" xfId="0" applyNumberFormat="1" applyFont="1" applyBorder="1" applyAlignment="1">
      <alignment horizontal="center" vertical="center" wrapText="1"/>
    </xf>
    <xf numFmtId="2" fontId="107" fillId="0" borderId="0" xfId="0" applyNumberFormat="1" applyFont="1" applyAlignment="1">
      <alignment horizontal="center" vertical="center"/>
    </xf>
    <xf numFmtId="0" fontId="107" fillId="0" borderId="0" xfId="0" applyFont="1"/>
    <xf numFmtId="1" fontId="107" fillId="0" borderId="0" xfId="0" applyNumberFormat="1" applyFont="1"/>
    <xf numFmtId="0" fontId="107" fillId="0" borderId="37" xfId="0" applyFont="1" applyBorder="1" applyAlignment="1">
      <alignment horizontal="justify" vertical="justify" wrapText="1"/>
    </xf>
    <xf numFmtId="1" fontId="107" fillId="0" borderId="38" xfId="0" applyNumberFormat="1" applyFont="1" applyBorder="1" applyAlignment="1">
      <alignment horizontal="center" vertical="center"/>
    </xf>
    <xf numFmtId="2" fontId="107" fillId="0" borderId="38" xfId="0" applyNumberFormat="1" applyFont="1" applyBorder="1" applyAlignment="1">
      <alignment horizontal="center" vertical="center"/>
    </xf>
    <xf numFmtId="2" fontId="107" fillId="0" borderId="32" xfId="0" applyNumberFormat="1" applyFont="1" applyBorder="1" applyAlignment="1">
      <alignment horizontal="center" vertical="center"/>
    </xf>
    <xf numFmtId="0" fontId="106" fillId="0" borderId="37" xfId="0" applyFont="1" applyBorder="1" applyAlignment="1">
      <alignment horizontal="justify" vertical="top" wrapText="1"/>
    </xf>
    <xf numFmtId="0" fontId="107" fillId="0" borderId="21" xfId="0" applyFont="1" applyBorder="1" applyAlignment="1">
      <alignment horizontal="center" vertical="top" wrapText="1"/>
    </xf>
    <xf numFmtId="2" fontId="107" fillId="0" borderId="21" xfId="0" applyNumberFormat="1" applyFont="1" applyBorder="1" applyAlignment="1">
      <alignment horizontal="center" vertical="justify" wrapText="1"/>
    </xf>
    <xf numFmtId="2" fontId="106" fillId="0" borderId="21" xfId="0" applyNumberFormat="1" applyFont="1" applyBorder="1" applyAlignment="1">
      <alignment horizontal="justify" vertical="justify" wrapText="1"/>
    </xf>
    <xf numFmtId="0" fontId="106" fillId="0" borderId="21" xfId="0" applyFont="1" applyBorder="1" applyAlignment="1">
      <alignment horizontal="left" vertical="top"/>
    </xf>
    <xf numFmtId="0" fontId="107" fillId="0" borderId="38" xfId="0" applyFont="1" applyBorder="1" applyAlignment="1">
      <alignment vertical="top"/>
    </xf>
    <xf numFmtId="0" fontId="107" fillId="0" borderId="32" xfId="0" applyFont="1" applyBorder="1" applyAlignment="1">
      <alignment vertical="top"/>
    </xf>
    <xf numFmtId="0" fontId="107" fillId="0" borderId="21" xfId="0" applyFont="1" applyBorder="1"/>
    <xf numFmtId="2" fontId="107" fillId="0" borderId="21" xfId="0" applyNumberFormat="1" applyFont="1" applyBorder="1"/>
    <xf numFmtId="2" fontId="114" fillId="0" borderId="21" xfId="0" applyNumberFormat="1" applyFont="1" applyBorder="1" applyAlignment="1">
      <alignment horizontal="center" vertical="center"/>
    </xf>
    <xf numFmtId="1" fontId="106" fillId="0" borderId="21" xfId="0" applyNumberFormat="1" applyFont="1" applyBorder="1" applyAlignment="1">
      <alignment horizontal="center" vertical="center"/>
    </xf>
    <xf numFmtId="0" fontId="107" fillId="0" borderId="38" xfId="0" applyFont="1" applyBorder="1"/>
    <xf numFmtId="2" fontId="107" fillId="0" borderId="0" xfId="0" applyNumberFormat="1" applyFont="1"/>
    <xf numFmtId="0" fontId="106" fillId="0" borderId="21" xfId="0" applyFont="1" applyBorder="1" applyAlignment="1">
      <alignment horizontal="center" vertical="center" wrapText="1"/>
    </xf>
    <xf numFmtId="0" fontId="107" fillId="0" borderId="21" xfId="0" applyFont="1" applyBorder="1" applyAlignment="1">
      <alignment horizontal="justify" vertical="center" wrapText="1"/>
    </xf>
    <xf numFmtId="0" fontId="107" fillId="0" borderId="0" xfId="0" applyFont="1" applyAlignment="1">
      <alignment vertical="center"/>
    </xf>
    <xf numFmtId="0" fontId="106" fillId="0" borderId="37" xfId="0" applyFont="1" applyBorder="1" applyAlignment="1">
      <alignment horizontal="justify" vertical="justify" wrapText="1"/>
    </xf>
    <xf numFmtId="2" fontId="106" fillId="0" borderId="32" xfId="0" applyNumberFormat="1" applyFont="1" applyBorder="1" applyAlignment="1">
      <alignment horizontal="center" vertical="center"/>
    </xf>
    <xf numFmtId="0" fontId="106" fillId="41" borderId="21" xfId="0" applyFont="1" applyFill="1" applyBorder="1" applyAlignment="1">
      <alignment horizontal="center" vertical="top" wrapText="1"/>
    </xf>
    <xf numFmtId="2" fontId="107" fillId="41" borderId="21" xfId="0" applyNumberFormat="1" applyFont="1" applyFill="1" applyBorder="1" applyAlignment="1">
      <alignment horizontal="center" vertical="center"/>
    </xf>
    <xf numFmtId="0" fontId="107" fillId="41" borderId="0" xfId="0" applyFont="1" applyFill="1"/>
    <xf numFmtId="2" fontId="114" fillId="41" borderId="21" xfId="0" applyNumberFormat="1" applyFont="1" applyFill="1" applyBorder="1" applyAlignment="1">
      <alignment horizontal="center" vertical="center"/>
    </xf>
    <xf numFmtId="0" fontId="107" fillId="0" borderId="32" xfId="0" applyFont="1" applyBorder="1" applyAlignment="1">
      <alignment horizontal="center"/>
    </xf>
    <xf numFmtId="0" fontId="107" fillId="0" borderId="21" xfId="0" applyFont="1" applyBorder="1" applyAlignment="1">
      <alignment vertical="top"/>
    </xf>
    <xf numFmtId="2" fontId="107" fillId="0" borderId="21" xfId="0" applyNumberFormat="1" applyFont="1" applyBorder="1" applyAlignment="1">
      <alignment horizontal="center" vertical="top" wrapText="1"/>
    </xf>
    <xf numFmtId="2" fontId="107" fillId="0" borderId="21" xfId="0" applyNumberFormat="1" applyFont="1" applyBorder="1" applyAlignment="1">
      <alignment vertical="top" wrapText="1"/>
    </xf>
    <xf numFmtId="0" fontId="107" fillId="0" borderId="32" xfId="0" applyFont="1" applyBorder="1" applyAlignment="1">
      <alignment horizontal="justify" vertical="top"/>
    </xf>
    <xf numFmtId="0" fontId="107" fillId="0" borderId="21" xfId="0" applyFont="1" applyBorder="1" applyAlignment="1">
      <alignment horizontal="center" vertical="top"/>
    </xf>
    <xf numFmtId="1" fontId="107" fillId="0" borderId="21" xfId="0" applyNumberFormat="1" applyFont="1" applyBorder="1" applyAlignment="1">
      <alignment horizontal="center" vertical="top" wrapText="1"/>
    </xf>
    <xf numFmtId="0" fontId="106" fillId="0" borderId="21" xfId="59" applyFont="1" applyBorder="1" applyAlignment="1">
      <alignment horizontal="center" vertical="top" wrapText="1"/>
    </xf>
    <xf numFmtId="2" fontId="107" fillId="0" borderId="21" xfId="59" applyNumberFormat="1" applyFont="1" applyBorder="1" applyAlignment="1">
      <alignment horizontal="center" vertical="top" wrapText="1"/>
    </xf>
    <xf numFmtId="0" fontId="107" fillId="0" borderId="21" xfId="59" applyFont="1" applyBorder="1" applyAlignment="1">
      <alignment horizontal="center" vertical="top" wrapText="1"/>
    </xf>
    <xf numFmtId="0" fontId="107" fillId="0" borderId="0" xfId="59" applyFont="1" applyAlignment="1">
      <alignment vertical="top"/>
    </xf>
    <xf numFmtId="0" fontId="107" fillId="0" borderId="37" xfId="59" applyFont="1" applyBorder="1" applyAlignment="1">
      <alignment horizontal="justify" vertical="justify" wrapText="1"/>
    </xf>
    <xf numFmtId="0" fontId="107" fillId="0" borderId="21" xfId="59" applyFont="1" applyBorder="1" applyAlignment="1">
      <alignment vertical="top"/>
    </xf>
    <xf numFmtId="0" fontId="107" fillId="0" borderId="0" xfId="59" applyFont="1" applyAlignment="1">
      <alignment horizontal="center" vertical="top"/>
    </xf>
    <xf numFmtId="2" fontId="107" fillId="0" borderId="0" xfId="59" applyNumberFormat="1" applyFont="1" applyAlignment="1">
      <alignment horizontal="center" vertical="top"/>
    </xf>
    <xf numFmtId="172" fontId="107" fillId="0" borderId="21" xfId="59" applyNumberFormat="1" applyFont="1" applyBorder="1" applyAlignment="1">
      <alignment horizontal="center" vertical="top" wrapText="1"/>
    </xf>
    <xf numFmtId="1" fontId="107" fillId="0" borderId="21" xfId="59" applyNumberFormat="1" applyFont="1" applyBorder="1" applyAlignment="1">
      <alignment horizontal="center" vertical="top" wrapText="1"/>
    </xf>
    <xf numFmtId="2" fontId="107" fillId="0" borderId="21" xfId="59" applyNumberFormat="1" applyFont="1" applyBorder="1" applyAlignment="1">
      <alignment horizontal="center" vertical="center"/>
    </xf>
    <xf numFmtId="2" fontId="106" fillId="0" borderId="21" xfId="59" applyNumberFormat="1" applyFont="1" applyBorder="1" applyAlignment="1">
      <alignment horizontal="center" vertical="center"/>
    </xf>
    <xf numFmtId="0" fontId="107" fillId="0" borderId="21" xfId="59" applyFont="1" applyBorder="1" applyAlignment="1">
      <alignment horizontal="left" vertical="top" wrapText="1"/>
    </xf>
    <xf numFmtId="0" fontId="106" fillId="0" borderId="21" xfId="59" applyFont="1" applyBorder="1" applyAlignment="1">
      <alignment horizontal="left" vertical="top" wrapText="1"/>
    </xf>
    <xf numFmtId="0" fontId="107" fillId="0" borderId="37" xfId="59" applyFont="1" applyBorder="1" applyAlignment="1">
      <alignment horizontal="left" vertical="top" wrapText="1"/>
    </xf>
    <xf numFmtId="0" fontId="107" fillId="0" borderId="38" xfId="59" applyFont="1" applyBorder="1" applyAlignment="1">
      <alignment horizontal="left" vertical="top" wrapText="1"/>
    </xf>
    <xf numFmtId="0" fontId="107" fillId="0" borderId="32" xfId="59" applyFont="1" applyBorder="1" applyAlignment="1">
      <alignment horizontal="left" vertical="top" wrapText="1"/>
    </xf>
    <xf numFmtId="0" fontId="107" fillId="0" borderId="38" xfId="59" applyFont="1" applyBorder="1" applyAlignment="1">
      <alignment horizontal="justify" vertical="justify" wrapText="1"/>
    </xf>
    <xf numFmtId="0" fontId="107" fillId="0" borderId="32" xfId="59" applyFont="1" applyBorder="1" applyAlignment="1">
      <alignment horizontal="justify" vertical="justify" wrapText="1"/>
    </xf>
    <xf numFmtId="0" fontId="106" fillId="0" borderId="0" xfId="59" applyFont="1" applyAlignment="1">
      <alignment horizontal="center" vertical="top" wrapText="1"/>
    </xf>
    <xf numFmtId="0" fontId="107" fillId="0" borderId="0" xfId="59" applyFont="1" applyAlignment="1">
      <alignment horizontal="justify" vertical="justify" wrapText="1"/>
    </xf>
    <xf numFmtId="2" fontId="107" fillId="0" borderId="0" xfId="59" applyNumberFormat="1" applyFont="1" applyAlignment="1">
      <alignment horizontal="center" vertical="top" wrapText="1"/>
    </xf>
    <xf numFmtId="0" fontId="107" fillId="0" borderId="0" xfId="59" applyFont="1" applyAlignment="1">
      <alignment horizontal="center" vertical="top" wrapText="1"/>
    </xf>
    <xf numFmtId="182" fontId="106" fillId="43" borderId="8" xfId="0" applyNumberFormat="1" applyFont="1" applyFill="1" applyBorder="1" applyAlignment="1">
      <alignment vertical="center"/>
    </xf>
    <xf numFmtId="0" fontId="106" fillId="0" borderId="8" xfId="0" applyFont="1" applyBorder="1"/>
    <xf numFmtId="2" fontId="106" fillId="0" borderId="8" xfId="0" applyNumberFormat="1" applyFont="1" applyBorder="1"/>
    <xf numFmtId="2" fontId="106" fillId="0" borderId="26" xfId="0" applyNumberFormat="1" applyFont="1" applyBorder="1"/>
    <xf numFmtId="2" fontId="106" fillId="0" borderId="0" xfId="0" applyNumberFormat="1" applyFont="1"/>
    <xf numFmtId="0" fontId="106" fillId="0" borderId="0" xfId="0" applyFont="1"/>
    <xf numFmtId="182" fontId="106" fillId="0" borderId="0" xfId="0" applyNumberFormat="1" applyFont="1"/>
    <xf numFmtId="0" fontId="107" fillId="0" borderId="0" xfId="0" applyFont="1" applyAlignment="1">
      <alignment horizontal="center"/>
    </xf>
    <xf numFmtId="0" fontId="107" fillId="0" borderId="0" xfId="0" applyFont="1" applyAlignment="1">
      <alignment horizontal="left"/>
    </xf>
    <xf numFmtId="2" fontId="107" fillId="0" borderId="0" xfId="0" applyNumberFormat="1" applyFont="1" applyAlignment="1">
      <alignment horizontal="left"/>
    </xf>
    <xf numFmtId="0" fontId="108" fillId="0" borderId="0" xfId="70" applyFont="1" applyAlignment="1">
      <alignment horizontal="centerContinuous" vertical="top" wrapText="1"/>
    </xf>
    <xf numFmtId="0" fontId="107" fillId="0" borderId="0" xfId="70" applyFont="1" applyAlignment="1">
      <alignment horizontal="centerContinuous" vertical="top"/>
    </xf>
    <xf numFmtId="0" fontId="107" fillId="0" borderId="0" xfId="70" applyFont="1" applyAlignment="1">
      <alignment vertical="top"/>
    </xf>
    <xf numFmtId="0" fontId="106" fillId="0" borderId="0" xfId="70" applyFont="1" applyAlignment="1">
      <alignment horizontal="centerContinuous" vertical="top" wrapText="1"/>
    </xf>
    <xf numFmtId="0" fontId="106" fillId="0" borderId="0" xfId="70" applyFont="1" applyAlignment="1">
      <alignment vertical="top" wrapText="1"/>
    </xf>
    <xf numFmtId="0" fontId="107" fillId="0" borderId="0" xfId="66" applyFont="1" applyAlignment="1">
      <alignment vertical="top"/>
    </xf>
    <xf numFmtId="0" fontId="106" fillId="0" borderId="0" xfId="74" applyFont="1" applyAlignment="1">
      <alignment horizontal="center" vertical="top"/>
    </xf>
    <xf numFmtId="0" fontId="107" fillId="0" borderId="0" xfId="74" applyFont="1" applyAlignment="1">
      <alignment horizontal="center" vertical="top"/>
    </xf>
    <xf numFmtId="2" fontId="107" fillId="0" borderId="0" xfId="0" applyNumberFormat="1" applyFont="1" applyAlignment="1">
      <alignment horizontal="right" vertical="top"/>
    </xf>
    <xf numFmtId="0" fontId="107" fillId="0" borderId="0" xfId="74" applyFont="1" applyAlignment="1">
      <alignment vertical="top"/>
    </xf>
    <xf numFmtId="2" fontId="107" fillId="0" borderId="0" xfId="0" applyNumberFormat="1" applyFont="1" applyAlignment="1">
      <alignment vertical="top"/>
    </xf>
    <xf numFmtId="0" fontId="107" fillId="0" borderId="0" xfId="73" applyFont="1" applyAlignment="1">
      <alignment horizontal="center" vertical="top" wrapText="1"/>
    </xf>
    <xf numFmtId="0" fontId="106" fillId="0" borderId="0" xfId="70" applyFont="1" applyAlignment="1">
      <alignment vertical="top"/>
    </xf>
    <xf numFmtId="0" fontId="106" fillId="0" borderId="0" xfId="70" applyFont="1" applyAlignment="1">
      <alignment horizontal="center" vertical="top"/>
    </xf>
    <xf numFmtId="0" fontId="107" fillId="0" borderId="0" xfId="73" applyFont="1" applyAlignment="1">
      <alignment vertical="top"/>
    </xf>
    <xf numFmtId="0" fontId="107" fillId="0" borderId="0" xfId="70" applyFont="1" applyAlignment="1">
      <alignment horizontal="center" vertical="top"/>
    </xf>
    <xf numFmtId="0" fontId="106" fillId="0" borderId="0" xfId="70" applyFont="1" applyAlignment="1">
      <alignment horizontal="right" vertical="top"/>
    </xf>
    <xf numFmtId="0" fontId="107" fillId="0" borderId="0" xfId="72" applyFont="1" applyAlignment="1">
      <alignment horizontal="center" vertical="top" wrapText="1"/>
    </xf>
    <xf numFmtId="0" fontId="110" fillId="0" borderId="0" xfId="70" applyFont="1" applyAlignment="1">
      <alignment horizontal="centerContinuous" vertical="top" wrapText="1"/>
    </xf>
    <xf numFmtId="0" fontId="108" fillId="0" borderId="0" xfId="66" applyFont="1" applyAlignment="1">
      <alignment vertical="top"/>
    </xf>
    <xf numFmtId="0" fontId="106" fillId="0" borderId="0" xfId="66" applyFont="1" applyAlignment="1">
      <alignment vertical="top"/>
    </xf>
    <xf numFmtId="2" fontId="106" fillId="0" borderId="0" xfId="70" applyNumberFormat="1" applyFont="1" applyAlignment="1">
      <alignment horizontal="left" vertical="top"/>
    </xf>
    <xf numFmtId="0" fontId="107" fillId="0" borderId="0" xfId="0" applyFont="1" applyAlignment="1">
      <alignment horizontal="left" vertical="top" wrapText="1"/>
    </xf>
    <xf numFmtId="0" fontId="107" fillId="0" borderId="0" xfId="0" applyFont="1" applyAlignment="1">
      <alignment vertical="top" wrapText="1"/>
    </xf>
    <xf numFmtId="0" fontId="107" fillId="0" borderId="0" xfId="66" applyFont="1" applyAlignment="1">
      <alignment horizontal="centerContinuous" vertical="top"/>
    </xf>
    <xf numFmtId="0" fontId="106" fillId="0" borderId="0" xfId="66" applyFont="1" applyAlignment="1">
      <alignment horizontal="centerContinuous" vertical="top"/>
    </xf>
    <xf numFmtId="0" fontId="106" fillId="0" borderId="0" xfId="0" applyFont="1" applyAlignment="1">
      <alignment horizontal="left" vertical="top" wrapText="1"/>
    </xf>
    <xf numFmtId="2" fontId="111" fillId="0" borderId="21" xfId="0" applyNumberFormat="1" applyFont="1" applyBorder="1" applyAlignment="1">
      <alignment horizontal="center" vertical="center"/>
    </xf>
    <xf numFmtId="1" fontId="111" fillId="0" borderId="21" xfId="0" applyNumberFormat="1" applyFont="1" applyBorder="1" applyAlignment="1">
      <alignment horizontal="center" vertical="center"/>
    </xf>
    <xf numFmtId="2" fontId="107" fillId="41" borderId="0" xfId="0" applyNumberFormat="1" applyFont="1" applyFill="1"/>
    <xf numFmtId="0" fontId="107" fillId="41" borderId="38" xfId="0" applyFont="1" applyFill="1" applyBorder="1" applyAlignment="1">
      <alignment vertical="top"/>
    </xf>
    <xf numFmtId="0" fontId="107" fillId="41" borderId="32" xfId="0" applyFont="1" applyFill="1" applyBorder="1" applyAlignment="1">
      <alignment vertical="top"/>
    </xf>
    <xf numFmtId="2" fontId="99" fillId="0" borderId="21" xfId="0" applyNumberFormat="1" applyFont="1" applyBorder="1" applyAlignment="1">
      <alignment horizontal="center" vertical="center"/>
    </xf>
    <xf numFmtId="0" fontId="113" fillId="0" borderId="8" xfId="64" applyBorder="1"/>
    <xf numFmtId="0" fontId="113" fillId="0" borderId="8" xfId="64" applyBorder="1" applyAlignment="1">
      <alignment wrapText="1"/>
    </xf>
    <xf numFmtId="0" fontId="113" fillId="0" borderId="0" xfId="64"/>
    <xf numFmtId="0" fontId="62" fillId="0" borderId="21" xfId="0" applyFont="1" applyBorder="1" applyAlignment="1">
      <alignment horizontal="justify" vertical="justify"/>
    </xf>
    <xf numFmtId="0" fontId="62" fillId="0" borderId="21" xfId="0" applyFont="1" applyBorder="1" applyAlignment="1">
      <alignment vertical="center" wrapText="1"/>
    </xf>
    <xf numFmtId="0" fontId="62" fillId="0" borderId="21" xfId="0" applyFont="1" applyBorder="1" applyAlignment="1">
      <alignment vertical="center"/>
    </xf>
    <xf numFmtId="1" fontId="62" fillId="0" borderId="21" xfId="0" applyNumberFormat="1" applyFont="1" applyBorder="1" applyAlignment="1">
      <alignment horizontal="center" vertical="center"/>
    </xf>
    <xf numFmtId="2" fontId="62" fillId="0" borderId="21" xfId="0" applyNumberFormat="1" applyFont="1" applyBorder="1" applyAlignment="1">
      <alignment horizontal="center" vertical="center"/>
    </xf>
    <xf numFmtId="0" fontId="62" fillId="0" borderId="21" xfId="0" applyFont="1" applyBorder="1" applyAlignment="1">
      <alignment horizontal="justify" vertical="justify" wrapText="1"/>
    </xf>
    <xf numFmtId="0" fontId="62" fillId="0" borderId="21" xfId="0" applyFont="1" applyBorder="1" applyAlignment="1">
      <alignment vertical="center" shrinkToFit="1"/>
    </xf>
    <xf numFmtId="0" fontId="62" fillId="0" borderId="21" xfId="0" applyFont="1" applyBorder="1" applyAlignment="1">
      <alignment horizontal="justify" vertical="center" wrapText="1"/>
    </xf>
    <xf numFmtId="0" fontId="62" fillId="0" borderId="37" xfId="0" applyFont="1" applyBorder="1" applyAlignment="1">
      <alignment horizontal="justify" vertical="top" wrapText="1"/>
    </xf>
    <xf numFmtId="0" fontId="62" fillId="41" borderId="21" xfId="0" applyFont="1" applyFill="1" applyBorder="1" applyAlignment="1">
      <alignment vertical="center" wrapText="1"/>
    </xf>
    <xf numFmtId="1" fontId="62" fillId="41" borderId="21" xfId="0" applyNumberFormat="1" applyFont="1" applyFill="1" applyBorder="1" applyAlignment="1">
      <alignment horizontal="center" vertical="center"/>
    </xf>
    <xf numFmtId="2" fontId="62" fillId="41" borderId="21" xfId="0" applyNumberFormat="1" applyFont="1" applyFill="1" applyBorder="1" applyAlignment="1">
      <alignment horizontal="center" vertical="center"/>
    </xf>
    <xf numFmtId="2" fontId="107" fillId="0" borderId="0" xfId="0" applyNumberFormat="1" applyFont="1" applyAlignment="1">
      <alignment vertical="center"/>
    </xf>
    <xf numFmtId="2" fontId="107" fillId="0" borderId="0" xfId="59" applyNumberFormat="1" applyFont="1" applyAlignment="1">
      <alignment vertical="top"/>
    </xf>
    <xf numFmtId="0" fontId="107" fillId="0" borderId="0" xfId="0" applyFont="1" applyAlignment="1">
      <alignment horizontal="center" vertical="top" wrapText="1"/>
    </xf>
    <xf numFmtId="0" fontId="106" fillId="52" borderId="0" xfId="66" applyFont="1" applyFill="1" applyAlignment="1">
      <alignment vertical="top"/>
    </xf>
    <xf numFmtId="0" fontId="106" fillId="52" borderId="0" xfId="0" applyFont="1" applyFill="1" applyAlignment="1">
      <alignment horizontal="left" vertical="top" wrapText="1"/>
    </xf>
    <xf numFmtId="0" fontId="7" fillId="0" borderId="21" xfId="0" applyFont="1" applyBorder="1" applyAlignment="1">
      <alignment horizontal="justify" vertical="justify" wrapText="1"/>
    </xf>
    <xf numFmtId="0" fontId="106" fillId="46" borderId="0" xfId="66" applyFont="1" applyFill="1" applyAlignment="1">
      <alignment vertical="top"/>
    </xf>
    <xf numFmtId="0" fontId="106" fillId="46" borderId="0" xfId="0" applyFont="1" applyFill="1" applyAlignment="1">
      <alignment horizontal="left" vertical="top" wrapText="1"/>
    </xf>
    <xf numFmtId="170" fontId="107" fillId="0" borderId="21" xfId="0" applyNumberFormat="1" applyFont="1" applyBorder="1" applyAlignment="1">
      <alignment horizontal="center" vertical="center"/>
    </xf>
    <xf numFmtId="2" fontId="107" fillId="43" borderId="21" xfId="0" applyNumberFormat="1" applyFont="1" applyFill="1" applyBorder="1" applyAlignment="1">
      <alignment horizontal="center" vertical="center"/>
    </xf>
    <xf numFmtId="0" fontId="62" fillId="43" borderId="21" xfId="0" applyFont="1" applyFill="1" applyBorder="1" applyAlignment="1">
      <alignment horizontal="justify" vertical="justify" wrapText="1"/>
    </xf>
    <xf numFmtId="2" fontId="107" fillId="0" borderId="21" xfId="59" applyNumberFormat="1" applyFont="1" applyBorder="1" applyAlignment="1">
      <alignment vertical="top" wrapText="1"/>
    </xf>
    <xf numFmtId="2" fontId="107" fillId="0" borderId="21" xfId="59" applyNumberFormat="1" applyFont="1" applyBorder="1" applyAlignment="1">
      <alignment vertical="top"/>
    </xf>
    <xf numFmtId="2" fontId="106" fillId="0" borderId="0" xfId="59" applyNumberFormat="1" applyFont="1" applyAlignment="1">
      <alignment vertical="top"/>
    </xf>
    <xf numFmtId="0" fontId="107" fillId="41" borderId="0" xfId="64" applyFont="1" applyFill="1"/>
    <xf numFmtId="1" fontId="107" fillId="41" borderId="45" xfId="64" applyNumberFormat="1" applyFont="1" applyFill="1" applyBorder="1" applyAlignment="1">
      <alignment horizontal="center" vertical="top" wrapText="1"/>
    </xf>
    <xf numFmtId="1" fontId="107" fillId="41" borderId="45" xfId="59" applyNumberFormat="1" applyFont="1" applyFill="1" applyBorder="1" applyAlignment="1">
      <alignment horizontal="center" vertical="top" wrapText="1"/>
    </xf>
    <xf numFmtId="2" fontId="106" fillId="41" borderId="45" xfId="59" applyNumberFormat="1" applyFont="1" applyFill="1" applyBorder="1" applyAlignment="1">
      <alignment vertical="top"/>
    </xf>
    <xf numFmtId="2" fontId="107" fillId="41" borderId="45" xfId="59" applyNumberFormat="1" applyFont="1" applyFill="1" applyBorder="1" applyAlignment="1">
      <alignment horizontal="justify" vertical="top" wrapText="1"/>
    </xf>
    <xf numFmtId="2" fontId="107" fillId="41" borderId="45" xfId="59" applyNumberFormat="1" applyFont="1" applyFill="1" applyBorder="1" applyAlignment="1">
      <alignment horizontal="right" vertical="top"/>
    </xf>
    <xf numFmtId="170" fontId="107" fillId="41" borderId="45" xfId="59" applyNumberFormat="1" applyFont="1" applyFill="1" applyBorder="1" applyAlignment="1">
      <alignment vertical="top"/>
    </xf>
    <xf numFmtId="2" fontId="107" fillId="41" borderId="45" xfId="59" applyNumberFormat="1" applyFont="1" applyFill="1" applyBorder="1" applyAlignment="1">
      <alignment vertical="top"/>
    </xf>
    <xf numFmtId="2" fontId="107" fillId="41" borderId="45" xfId="64" applyNumberFormat="1" applyFont="1" applyFill="1" applyBorder="1" applyAlignment="1">
      <alignment horizontal="justify" vertical="top" wrapText="1"/>
    </xf>
    <xf numFmtId="2" fontId="106" fillId="41" borderId="45" xfId="59" applyNumberFormat="1" applyFont="1" applyFill="1" applyBorder="1" applyAlignment="1">
      <alignment horizontal="justify" vertical="top" wrapText="1"/>
    </xf>
    <xf numFmtId="2" fontId="107" fillId="41" borderId="45" xfId="64" applyNumberFormat="1" applyFont="1" applyFill="1" applyBorder="1" applyAlignment="1">
      <alignment vertical="top"/>
    </xf>
    <xf numFmtId="2" fontId="107" fillId="41" borderId="45" xfId="64" applyNumberFormat="1" applyFont="1" applyFill="1" applyBorder="1" applyAlignment="1">
      <alignment horizontal="right" vertical="top"/>
    </xf>
    <xf numFmtId="170" fontId="107" fillId="41" borderId="45" xfId="64" applyNumberFormat="1" applyFont="1" applyFill="1" applyBorder="1" applyAlignment="1">
      <alignment vertical="top"/>
    </xf>
    <xf numFmtId="2" fontId="107" fillId="41" borderId="45" xfId="64" applyNumberFormat="1" applyFont="1" applyFill="1" applyBorder="1" applyAlignment="1">
      <alignment vertical="top" wrapText="1"/>
    </xf>
    <xf numFmtId="2" fontId="106" fillId="41" borderId="45" xfId="64" applyNumberFormat="1" applyFont="1" applyFill="1" applyBorder="1" applyAlignment="1">
      <alignment horizontal="right" vertical="top"/>
    </xf>
    <xf numFmtId="170" fontId="106" fillId="41" borderId="45" xfId="64" applyNumberFormat="1" applyFont="1" applyFill="1" applyBorder="1" applyAlignment="1">
      <alignment vertical="top"/>
    </xf>
    <xf numFmtId="2" fontId="106" fillId="41" borderId="45" xfId="64" applyNumberFormat="1" applyFont="1" applyFill="1" applyBorder="1" applyAlignment="1">
      <alignment vertical="top"/>
    </xf>
    <xf numFmtId="1" fontId="107" fillId="43" borderId="21" xfId="0" applyNumberFormat="1" applyFont="1" applyFill="1" applyBorder="1" applyAlignment="1">
      <alignment horizontal="center" vertical="center"/>
    </xf>
    <xf numFmtId="1" fontId="107" fillId="0" borderId="32" xfId="0" applyNumberFormat="1" applyFont="1" applyBorder="1" applyAlignment="1">
      <alignment horizontal="center" vertical="center"/>
    </xf>
    <xf numFmtId="0" fontId="106" fillId="41" borderId="46" xfId="0" applyFont="1" applyFill="1" applyBorder="1" applyAlignment="1">
      <alignment horizontal="center" vertical="top" wrapText="1"/>
    </xf>
    <xf numFmtId="0" fontId="107" fillId="0" borderId="28" xfId="0" applyFont="1" applyBorder="1" applyAlignment="1">
      <alignment horizontal="justify" vertical="justify" wrapText="1"/>
    </xf>
    <xf numFmtId="0" fontId="106" fillId="41" borderId="0" xfId="0" applyFont="1" applyFill="1" applyAlignment="1">
      <alignment horizontal="center" vertical="top" wrapText="1"/>
    </xf>
    <xf numFmtId="0" fontId="106" fillId="0" borderId="0" xfId="0" applyFont="1" applyAlignment="1">
      <alignment horizontal="center" vertical="top" wrapText="1"/>
    </xf>
    <xf numFmtId="2" fontId="6" fillId="0" borderId="21" xfId="0" applyNumberFormat="1" applyFont="1" applyBorder="1" applyAlignment="1">
      <alignment horizontal="center" vertical="center"/>
    </xf>
    <xf numFmtId="2" fontId="107" fillId="43" borderId="0" xfId="0" applyNumberFormat="1" applyFont="1" applyFill="1"/>
    <xf numFmtId="182" fontId="107" fillId="0" borderId="0" xfId="0" applyNumberFormat="1" applyFont="1"/>
    <xf numFmtId="0" fontId="7" fillId="43" borderId="21" xfId="0" applyFont="1" applyFill="1" applyBorder="1" applyAlignment="1">
      <alignment horizontal="justify" vertical="justify" wrapText="1"/>
    </xf>
    <xf numFmtId="0" fontId="7" fillId="0" borderId="21" xfId="0" applyFont="1" applyBorder="1" applyAlignment="1">
      <alignment vertical="center" wrapText="1"/>
    </xf>
    <xf numFmtId="0" fontId="7" fillId="0" borderId="21" xfId="0" applyFont="1" applyBorder="1" applyAlignment="1">
      <alignment vertical="center" shrinkToFit="1"/>
    </xf>
    <xf numFmtId="170" fontId="62" fillId="41" borderId="21" xfId="0" applyNumberFormat="1" applyFont="1" applyFill="1" applyBorder="1" applyAlignment="1">
      <alignment horizontal="center" vertical="center"/>
    </xf>
    <xf numFmtId="0" fontId="107" fillId="0" borderId="37" xfId="59" applyFont="1" applyBorder="1" applyAlignment="1">
      <alignment vertical="top" wrapText="1"/>
    </xf>
    <xf numFmtId="0" fontId="107" fillId="0" borderId="38" xfId="59" applyFont="1" applyBorder="1" applyAlignment="1">
      <alignment vertical="top" wrapText="1"/>
    </xf>
    <xf numFmtId="0" fontId="107" fillId="0" borderId="32" xfId="59" applyFont="1" applyBorder="1" applyAlignment="1">
      <alignment vertical="top" wrapText="1"/>
    </xf>
    <xf numFmtId="0" fontId="106" fillId="0" borderId="0" xfId="0" applyFont="1" applyAlignment="1">
      <alignment horizontal="center" vertical="center"/>
    </xf>
    <xf numFmtId="0" fontId="107" fillId="0" borderId="37" xfId="0" applyFont="1" applyBorder="1" applyAlignment="1">
      <alignment vertical="center" wrapText="1"/>
    </xf>
    <xf numFmtId="2" fontId="107" fillId="41" borderId="32" xfId="0" applyNumberFormat="1" applyFont="1" applyFill="1" applyBorder="1" applyAlignment="1">
      <alignment horizontal="center" vertical="center"/>
    </xf>
    <xf numFmtId="2" fontId="107" fillId="43" borderId="0" xfId="0" applyNumberFormat="1" applyFont="1" applyFill="1" applyAlignment="1">
      <alignment horizontal="center" vertical="center"/>
    </xf>
    <xf numFmtId="0" fontId="62" fillId="0" borderId="37" xfId="0" applyFont="1" applyBorder="1" applyAlignment="1">
      <alignment vertical="center" shrinkToFit="1"/>
    </xf>
    <xf numFmtId="0" fontId="107" fillId="0" borderId="37" xfId="0" applyFont="1" applyBorder="1" applyAlignment="1">
      <alignment vertical="center" shrinkToFit="1"/>
    </xf>
    <xf numFmtId="2" fontId="106" fillId="43" borderId="0" xfId="0" applyNumberFormat="1" applyFont="1" applyFill="1" applyAlignment="1">
      <alignment horizontal="center" vertical="center"/>
    </xf>
    <xf numFmtId="0" fontId="62" fillId="0" borderId="37" xfId="0" applyFont="1" applyBorder="1" applyAlignment="1">
      <alignment vertical="center"/>
    </xf>
    <xf numFmtId="2" fontId="107" fillId="43" borderId="21" xfId="0" applyNumberFormat="1" applyFont="1" applyFill="1" applyBorder="1" applyAlignment="1">
      <alignment horizontal="justify" vertical="justify" wrapText="1"/>
    </xf>
    <xf numFmtId="182" fontId="106" fillId="43" borderId="0" xfId="0" applyNumberFormat="1" applyFont="1" applyFill="1" applyAlignment="1">
      <alignment vertical="center"/>
    </xf>
    <xf numFmtId="2" fontId="106" fillId="0" borderId="28" xfId="59" applyNumberFormat="1" applyFont="1" applyBorder="1" applyAlignment="1">
      <alignment horizontal="right" vertical="center"/>
    </xf>
    <xf numFmtId="2" fontId="106" fillId="0" borderId="47" xfId="59" applyNumberFormat="1" applyFont="1" applyBorder="1" applyAlignment="1">
      <alignment horizontal="right" vertical="center"/>
    </xf>
    <xf numFmtId="2" fontId="115" fillId="0" borderId="21" xfId="59" applyNumberFormat="1" applyFont="1" applyBorder="1" applyAlignment="1">
      <alignment horizontal="right" vertical="top"/>
    </xf>
    <xf numFmtId="0" fontId="107" fillId="0" borderId="0" xfId="59" applyFont="1" applyAlignment="1">
      <alignment horizontal="left" vertical="top"/>
    </xf>
    <xf numFmtId="0" fontId="38" fillId="53" borderId="21" xfId="0" applyFont="1" applyFill="1" applyBorder="1"/>
    <xf numFmtId="0" fontId="0" fillId="53" borderId="0" xfId="0" applyFill="1"/>
    <xf numFmtId="0" fontId="118" fillId="0" borderId="0" xfId="0" applyFont="1"/>
    <xf numFmtId="0" fontId="118" fillId="0" borderId="0" xfId="69" applyFont="1"/>
    <xf numFmtId="0" fontId="120" fillId="0" borderId="0" xfId="69" applyFont="1" applyAlignment="1">
      <alignment horizontal="center" vertical="center"/>
    </xf>
    <xf numFmtId="0" fontId="118" fillId="0" borderId="0" xfId="69" applyFont="1" applyAlignment="1">
      <alignment horizontal="center" vertical="top" wrapText="1"/>
    </xf>
    <xf numFmtId="0" fontId="118" fillId="0" borderId="0" xfId="69" applyFont="1" applyAlignment="1">
      <alignment vertical="center" wrapText="1"/>
    </xf>
    <xf numFmtId="0" fontId="118" fillId="0" borderId="0" xfId="69" applyFont="1" applyAlignment="1">
      <alignment horizontal="center" vertical="top"/>
    </xf>
    <xf numFmtId="0" fontId="118" fillId="0" borderId="0" xfId="69" applyFont="1" applyAlignment="1">
      <alignment vertical="top"/>
    </xf>
    <xf numFmtId="0" fontId="118" fillId="0" borderId="0" xfId="69" applyFont="1" applyAlignment="1">
      <alignment horizontal="center"/>
    </xf>
    <xf numFmtId="0" fontId="4" fillId="0" borderId="0" xfId="0" applyFont="1"/>
    <xf numFmtId="0" fontId="125" fillId="0" borderId="0" xfId="0" applyFont="1"/>
    <xf numFmtId="0" fontId="125" fillId="0" borderId="0" xfId="0" applyFont="1" applyAlignment="1">
      <alignment wrapText="1"/>
    </xf>
    <xf numFmtId="0" fontId="0" fillId="0" borderId="0" xfId="0" applyAlignment="1">
      <alignment wrapText="1"/>
    </xf>
    <xf numFmtId="0" fontId="123" fillId="0" borderId="8" xfId="94" applyFont="1" applyBorder="1" applyAlignment="1">
      <alignment horizontal="center" vertical="center"/>
    </xf>
    <xf numFmtId="0" fontId="128" fillId="0" borderId="8" xfId="94" applyFont="1" applyBorder="1" applyAlignment="1">
      <alignment horizontal="center" vertical="center"/>
    </xf>
    <xf numFmtId="0" fontId="128" fillId="0" borderId="8" xfId="94" applyFont="1" applyBorder="1" applyAlignment="1">
      <alignment horizontal="left" vertical="center"/>
    </xf>
    <xf numFmtId="0" fontId="123" fillId="0" borderId="8" xfId="94" applyFont="1" applyBorder="1" applyAlignment="1">
      <alignment horizontal="left" vertical="center"/>
    </xf>
    <xf numFmtId="2" fontId="123" fillId="0" borderId="8" xfId="94" applyNumberFormat="1" applyFont="1" applyBorder="1" applyAlignment="1">
      <alignment horizontal="right" vertical="center"/>
    </xf>
    <xf numFmtId="2" fontId="128" fillId="0" borderId="8" xfId="94" applyNumberFormat="1" applyFont="1" applyBorder="1" applyAlignment="1">
      <alignment horizontal="right" vertical="center"/>
    </xf>
    <xf numFmtId="0" fontId="129" fillId="0" borderId="0" xfId="94" applyFont="1"/>
    <xf numFmtId="0" fontId="96" fillId="0" borderId="0" xfId="94" applyFont="1"/>
    <xf numFmtId="0" fontId="131" fillId="0" borderId="0" xfId="94" applyFont="1"/>
    <xf numFmtId="0" fontId="133" fillId="54" borderId="8" xfId="63" applyFont="1" applyFill="1" applyBorder="1" applyAlignment="1">
      <alignment horizontal="center" vertical="center"/>
    </xf>
    <xf numFmtId="0" fontId="133" fillId="54" borderId="8" xfId="63" applyFont="1" applyFill="1" applyBorder="1" applyAlignment="1">
      <alignment horizontal="center" vertical="center" wrapText="1"/>
    </xf>
    <xf numFmtId="0" fontId="129" fillId="54" borderId="8" xfId="63" applyFont="1" applyFill="1" applyBorder="1" applyAlignment="1">
      <alignment horizontal="center" vertical="center"/>
    </xf>
    <xf numFmtId="0" fontId="129" fillId="54" borderId="26" xfId="63" applyFont="1" applyFill="1" applyBorder="1" applyAlignment="1">
      <alignment vertical="center" wrapText="1"/>
    </xf>
    <xf numFmtId="0" fontId="129" fillId="54" borderId="8" xfId="63" applyFont="1" applyFill="1" applyBorder="1" applyAlignment="1">
      <alignment vertical="center"/>
    </xf>
    <xf numFmtId="0" fontId="129" fillId="54" borderId="8" xfId="63" applyFont="1" applyFill="1" applyBorder="1" applyAlignment="1">
      <alignment horizontal="left" vertical="center"/>
    </xf>
    <xf numFmtId="2" fontId="129" fillId="54" borderId="8" xfId="63" applyNumberFormat="1" applyFont="1" applyFill="1" applyBorder="1" applyAlignment="1">
      <alignment horizontal="center" vertical="center"/>
    </xf>
    <xf numFmtId="2" fontId="129" fillId="54" borderId="8" xfId="63" applyNumberFormat="1" applyFont="1" applyFill="1" applyBorder="1" applyAlignment="1">
      <alignment vertical="center"/>
    </xf>
    <xf numFmtId="2" fontId="129" fillId="0" borderId="8" xfId="63" applyNumberFormat="1" applyFont="1" applyBorder="1" applyAlignment="1">
      <alignment horizontal="center" vertical="center"/>
    </xf>
    <xf numFmtId="0" fontId="129" fillId="0" borderId="8" xfId="63" applyFont="1" applyBorder="1" applyAlignment="1">
      <alignment horizontal="center" vertical="center"/>
    </xf>
    <xf numFmtId="0" fontId="118" fillId="54" borderId="8" xfId="0" applyFont="1" applyFill="1" applyBorder="1" applyAlignment="1">
      <alignment wrapText="1"/>
    </xf>
    <xf numFmtId="0" fontId="98" fillId="54" borderId="26" xfId="0" applyFont="1" applyFill="1" applyBorder="1" applyAlignment="1">
      <alignment vertical="top" wrapText="1"/>
    </xf>
    <xf numFmtId="170" fontId="129" fillId="54" borderId="8" xfId="63" applyNumberFormat="1" applyFont="1" applyFill="1" applyBorder="1" applyAlignment="1">
      <alignment horizontal="center" vertical="center"/>
    </xf>
    <xf numFmtId="0" fontId="129" fillId="54" borderId="48" xfId="63" applyFont="1" applyFill="1" applyBorder="1" applyAlignment="1">
      <alignment horizontal="center" vertical="center"/>
    </xf>
    <xf numFmtId="169" fontId="129" fillId="54" borderId="8" xfId="63" applyNumberFormat="1" applyFont="1" applyFill="1" applyBorder="1" applyAlignment="1">
      <alignment horizontal="center" vertical="center"/>
    </xf>
    <xf numFmtId="0" fontId="134" fillId="54" borderId="48" xfId="63" applyFont="1" applyFill="1" applyBorder="1" applyAlignment="1">
      <alignment vertical="center"/>
    </xf>
    <xf numFmtId="0" fontId="134" fillId="54" borderId="4" xfId="63" applyFont="1" applyFill="1" applyBorder="1" applyAlignment="1">
      <alignment horizontal="center" vertical="center"/>
    </xf>
    <xf numFmtId="0" fontId="134" fillId="54" borderId="26" xfId="63" applyFont="1" applyFill="1" applyBorder="1" applyAlignment="1">
      <alignment horizontal="center" vertical="center"/>
    </xf>
    <xf numFmtId="0" fontId="134" fillId="54" borderId="8" xfId="63" applyFont="1" applyFill="1" applyBorder="1" applyAlignment="1">
      <alignment horizontal="center" vertical="center"/>
    </xf>
    <xf numFmtId="0" fontId="129" fillId="54" borderId="0" xfId="63" applyFont="1" applyFill="1" applyAlignment="1">
      <alignment vertical="center"/>
    </xf>
    <xf numFmtId="0" fontId="129" fillId="54" borderId="4" xfId="63" applyFont="1" applyFill="1" applyBorder="1" applyAlignment="1">
      <alignment horizontal="center" vertical="center"/>
    </xf>
    <xf numFmtId="0" fontId="129" fillId="54" borderId="26" xfId="63" applyFont="1" applyFill="1" applyBorder="1" applyAlignment="1">
      <alignment horizontal="center" vertical="center"/>
    </xf>
    <xf numFmtId="0" fontId="129" fillId="54" borderId="8" xfId="63" applyFont="1" applyFill="1" applyBorder="1" applyAlignment="1">
      <alignment horizontal="left" vertical="center" wrapText="1"/>
    </xf>
    <xf numFmtId="0" fontId="129" fillId="54" borderId="8" xfId="63" applyFont="1" applyFill="1" applyBorder="1"/>
    <xf numFmtId="2" fontId="129" fillId="54" borderId="8" xfId="63" applyNumberFormat="1" applyFont="1" applyFill="1" applyBorder="1" applyAlignment="1">
      <alignment horizontal="center" vertical="center" wrapText="1"/>
    </xf>
    <xf numFmtId="0" fontId="129" fillId="54" borderId="48" xfId="63" applyFont="1" applyFill="1" applyBorder="1" applyAlignment="1">
      <alignment horizontal="justify" vertical="center" wrapText="1"/>
    </xf>
    <xf numFmtId="0" fontId="129" fillId="54" borderId="4" xfId="63" applyFont="1" applyFill="1" applyBorder="1" applyAlignment="1">
      <alignment horizontal="justify" vertical="center" wrapText="1"/>
    </xf>
    <xf numFmtId="0" fontId="129" fillId="54" borderId="8" xfId="63" applyFont="1" applyFill="1" applyBorder="1" applyAlignment="1">
      <alignment horizontal="center" vertical="center" wrapText="1"/>
    </xf>
    <xf numFmtId="0" fontId="129" fillId="54" borderId="8" xfId="63" applyFont="1" applyFill="1" applyBorder="1" applyAlignment="1">
      <alignment horizontal="left" vertical="top" wrapText="1"/>
    </xf>
    <xf numFmtId="0" fontId="133" fillId="54" borderId="8" xfId="63" applyFont="1" applyFill="1" applyBorder="1" applyAlignment="1">
      <alignment vertical="center"/>
    </xf>
    <xf numFmtId="2" fontId="129" fillId="0" borderId="8" xfId="63" applyNumberFormat="1" applyFont="1" applyBorder="1" applyAlignment="1">
      <alignment horizontal="center" vertical="center" wrapText="1"/>
    </xf>
    <xf numFmtId="0" fontId="96" fillId="0" borderId="0" xfId="0" applyFont="1"/>
    <xf numFmtId="0" fontId="117" fillId="0" borderId="0" xfId="0" applyFont="1"/>
    <xf numFmtId="0" fontId="118" fillId="54" borderId="0" xfId="58" applyFont="1" applyFill="1"/>
    <xf numFmtId="0" fontId="117" fillId="54" borderId="0" xfId="58" applyFont="1" applyFill="1"/>
    <xf numFmtId="0" fontId="96" fillId="54" borderId="48" xfId="63" applyFont="1" applyFill="1" applyBorder="1" applyAlignment="1">
      <alignment horizontal="justify" vertical="center" wrapText="1"/>
    </xf>
    <xf numFmtId="0" fontId="117" fillId="54" borderId="48" xfId="63" applyFont="1" applyFill="1" applyBorder="1" applyAlignment="1">
      <alignment horizontal="justify" vertical="center" wrapText="1"/>
    </xf>
    <xf numFmtId="0" fontId="133" fillId="54" borderId="8" xfId="63" applyFont="1" applyFill="1" applyBorder="1" applyAlignment="1">
      <alignment horizontal="left" vertical="center" wrapText="1"/>
    </xf>
    <xf numFmtId="0" fontId="129" fillId="54" borderId="48" xfId="63" applyFont="1" applyFill="1" applyBorder="1" applyAlignment="1">
      <alignment vertical="center"/>
    </xf>
    <xf numFmtId="0" fontId="129" fillId="54" borderId="4" xfId="63" applyFont="1" applyFill="1" applyBorder="1" applyAlignment="1">
      <alignment vertical="center"/>
    </xf>
    <xf numFmtId="0" fontId="133" fillId="54" borderId="48" xfId="63" applyFont="1" applyFill="1" applyBorder="1" applyAlignment="1">
      <alignment vertical="center"/>
    </xf>
    <xf numFmtId="2" fontId="133" fillId="54" borderId="8" xfId="63" applyNumberFormat="1" applyFont="1" applyFill="1" applyBorder="1" applyAlignment="1">
      <alignment horizontal="center" vertical="center" wrapText="1"/>
    </xf>
    <xf numFmtId="0" fontId="133" fillId="0" borderId="8" xfId="63" applyFont="1" applyBorder="1" applyAlignment="1">
      <alignment horizontal="center" vertical="center" wrapText="1"/>
    </xf>
    <xf numFmtId="0" fontId="129" fillId="0" borderId="48" xfId="63" applyFont="1" applyBorder="1" applyAlignment="1">
      <alignment horizontal="center" vertical="center"/>
    </xf>
    <xf numFmtId="0" fontId="129" fillId="0" borderId="4" xfId="63" applyFont="1" applyBorder="1" applyAlignment="1">
      <alignment horizontal="center" vertical="center"/>
    </xf>
    <xf numFmtId="0" fontId="129" fillId="0" borderId="26" xfId="63" applyFont="1" applyBorder="1" applyAlignment="1">
      <alignment horizontal="center" vertical="center"/>
    </xf>
    <xf numFmtId="0" fontId="123" fillId="0" borderId="8" xfId="84" applyFont="1" applyBorder="1" applyAlignment="1">
      <alignment horizontal="center" vertical="top"/>
    </xf>
    <xf numFmtId="2" fontId="123" fillId="0" borderId="0" xfId="84" applyNumberFormat="1" applyFont="1" applyAlignment="1">
      <alignment horizontal="center" vertical="top" wrapText="1"/>
    </xf>
    <xf numFmtId="0" fontId="123" fillId="0" borderId="0" xfId="84" applyFont="1" applyAlignment="1">
      <alignment horizontal="center" vertical="top"/>
    </xf>
    <xf numFmtId="2" fontId="128" fillId="0" borderId="0" xfId="84" applyNumberFormat="1" applyFont="1" applyAlignment="1">
      <alignment vertical="top"/>
    </xf>
    <xf numFmtId="0" fontId="123" fillId="0" borderId="8" xfId="84" applyFont="1" applyBorder="1" applyAlignment="1">
      <alignment vertical="top" wrapText="1"/>
    </xf>
    <xf numFmtId="2" fontId="123" fillId="0" borderId="8" xfId="84" applyNumberFormat="1" applyFont="1" applyBorder="1" applyAlignment="1">
      <alignment horizontal="center" vertical="top"/>
    </xf>
    <xf numFmtId="0" fontId="129" fillId="0" borderId="8" xfId="0" applyFont="1" applyBorder="1" applyAlignment="1">
      <alignment horizontal="center" vertical="center"/>
    </xf>
    <xf numFmtId="2" fontId="129" fillId="0" borderId="8" xfId="0" applyNumberFormat="1" applyFont="1" applyBorder="1" applyAlignment="1">
      <alignment horizontal="center" vertical="center"/>
    </xf>
    <xf numFmtId="0" fontId="130" fillId="0" borderId="8" xfId="63" applyFont="1" applyBorder="1"/>
    <xf numFmtId="2" fontId="133" fillId="0" borderId="8" xfId="63" applyNumberFormat="1" applyFont="1" applyBorder="1" applyAlignment="1">
      <alignment horizontal="center" vertical="center"/>
    </xf>
    <xf numFmtId="0" fontId="130" fillId="0" borderId="0" xfId="63" applyFont="1"/>
    <xf numFmtId="0" fontId="129" fillId="0" borderId="8" xfId="63" applyFont="1" applyBorder="1" applyAlignment="1">
      <alignment horizontal="left" vertical="center" wrapText="1"/>
    </xf>
    <xf numFmtId="0" fontId="133" fillId="0" borderId="8" xfId="63" applyFont="1" applyBorder="1" applyAlignment="1">
      <alignment horizontal="center" vertical="center"/>
    </xf>
    <xf numFmtId="178" fontId="98" fillId="0" borderId="8" xfId="79" applyNumberFormat="1" applyFont="1" applyFill="1" applyBorder="1" applyAlignment="1">
      <alignment horizontal="right" vertical="center" wrapText="1"/>
    </xf>
    <xf numFmtId="0" fontId="139" fillId="54" borderId="48" xfId="63" applyFont="1" applyFill="1" applyBorder="1" applyAlignment="1">
      <alignment horizontal="left" vertical="center"/>
    </xf>
    <xf numFmtId="0" fontId="129" fillId="0" borderId="0" xfId="94" applyFont="1" applyAlignment="1">
      <alignment vertical="top" wrapText="1"/>
    </xf>
    <xf numFmtId="0" fontId="129" fillId="0" borderId="0" xfId="94" applyFont="1" applyAlignment="1">
      <alignment horizontal="left" vertical="top" wrapText="1"/>
    </xf>
    <xf numFmtId="0" fontId="129" fillId="54" borderId="0" xfId="63" applyFont="1" applyFill="1" applyAlignment="1">
      <alignment horizontal="center" vertical="center"/>
    </xf>
    <xf numFmtId="0" fontId="133" fillId="54" borderId="0" xfId="63" applyFont="1" applyFill="1" applyAlignment="1">
      <alignment horizontal="center" vertical="center" wrapText="1"/>
    </xf>
    <xf numFmtId="0" fontId="129" fillId="54" borderId="0" xfId="63" applyFont="1" applyFill="1" applyAlignment="1">
      <alignment horizontal="center" vertical="center" wrapText="1"/>
    </xf>
    <xf numFmtId="2" fontId="133" fillId="54" borderId="0" xfId="63" applyNumberFormat="1" applyFont="1" applyFill="1" applyAlignment="1">
      <alignment horizontal="center" vertical="center" wrapText="1"/>
    </xf>
    <xf numFmtId="0" fontId="129" fillId="54" borderId="0" xfId="63" applyFont="1" applyFill="1" applyAlignment="1">
      <alignment horizontal="left" vertical="center"/>
    </xf>
    <xf numFmtId="0" fontId="116" fillId="0" borderId="21" xfId="0" applyFont="1" applyBorder="1"/>
    <xf numFmtId="0" fontId="417" fillId="0" borderId="0" xfId="0" applyFont="1"/>
    <xf numFmtId="2" fontId="416" fillId="43" borderId="8" xfId="94" applyNumberFormat="1" applyFont="1" applyFill="1" applyBorder="1" applyAlignment="1">
      <alignment horizontal="right" vertical="center"/>
    </xf>
    <xf numFmtId="0" fontId="141" fillId="0" borderId="21" xfId="16660" applyFont="1" applyBorder="1" applyAlignment="1">
      <alignment horizontal="left" vertical="top"/>
    </xf>
    <xf numFmtId="0" fontId="143" fillId="0" borderId="21" xfId="16660" applyFont="1" applyBorder="1" applyAlignment="1">
      <alignment horizontal="center"/>
    </xf>
    <xf numFmtId="2" fontId="143" fillId="0" borderId="21" xfId="16660" applyNumberFormat="1" applyFont="1" applyBorder="1" applyAlignment="1">
      <alignment horizontal="center"/>
    </xf>
    <xf numFmtId="170" fontId="143" fillId="0" borderId="21" xfId="16660" applyNumberFormat="1" applyFont="1" applyBorder="1" applyAlignment="1">
      <alignment horizontal="center"/>
    </xf>
    <xf numFmtId="2" fontId="141" fillId="0" borderId="59" xfId="16660" applyNumberFormat="1" applyFont="1" applyBorder="1" applyAlignment="1">
      <alignment horizontal="center" vertical="center"/>
    </xf>
    <xf numFmtId="2" fontId="141" fillId="0" borderId="46" xfId="16660" applyNumberFormat="1" applyFont="1" applyBorder="1" applyAlignment="1">
      <alignment horizontal="center" vertical="center"/>
    </xf>
    <xf numFmtId="0" fontId="143" fillId="0" borderId="21" xfId="16660" applyFont="1" applyBorder="1" applyAlignment="1">
      <alignment horizontal="justify" vertical="top" wrapText="1"/>
    </xf>
    <xf numFmtId="2" fontId="143" fillId="0" borderId="28" xfId="16660" applyNumberFormat="1" applyFont="1" applyBorder="1" applyAlignment="1">
      <alignment horizontal="center" vertical="center"/>
    </xf>
    <xf numFmtId="2" fontId="141" fillId="0" borderId="21" xfId="16660" applyNumberFormat="1" applyFont="1" applyBorder="1" applyAlignment="1">
      <alignment horizontal="center" vertical="center"/>
    </xf>
    <xf numFmtId="2" fontId="141" fillId="0" borderId="25" xfId="16660" applyNumberFormat="1" applyFont="1" applyBorder="1" applyAlignment="1">
      <alignment horizontal="right"/>
    </xf>
    <xf numFmtId="0" fontId="146" fillId="0" borderId="0" xfId="70" applyFont="1" applyAlignment="1">
      <alignment vertical="top"/>
    </xf>
    <xf numFmtId="0" fontId="145" fillId="0" borderId="0" xfId="70" applyFont="1" applyAlignment="1">
      <alignment vertical="top"/>
    </xf>
    <xf numFmtId="2" fontId="129" fillId="43" borderId="8" xfId="63" applyNumberFormat="1" applyFont="1" applyFill="1" applyBorder="1" applyAlignment="1">
      <alignment horizontal="center" vertical="center"/>
    </xf>
    <xf numFmtId="2" fontId="143" fillId="0" borderId="25" xfId="16660" applyNumberFormat="1" applyFont="1" applyBorder="1" applyAlignment="1">
      <alignment horizontal="right" vertical="center"/>
    </xf>
    <xf numFmtId="0" fontId="141" fillId="0" borderId="0" xfId="63" applyFont="1"/>
    <xf numFmtId="0" fontId="423" fillId="0" borderId="0" xfId="63" applyFont="1"/>
    <xf numFmtId="0" fontId="423" fillId="0" borderId="8" xfId="63" applyFont="1" applyBorder="1" applyAlignment="1">
      <alignment horizontal="center" vertical="center" wrapText="1"/>
    </xf>
    <xf numFmtId="0" fontId="422" fillId="0" borderId="0" xfId="95" applyFont="1" applyAlignment="1">
      <alignment horizontal="center" vertical="top" wrapText="1"/>
    </xf>
    <xf numFmtId="0" fontId="422" fillId="0" borderId="0" xfId="95" applyFont="1" applyAlignment="1">
      <alignment horizontal="center" vertical="top"/>
    </xf>
    <xf numFmtId="0" fontId="422" fillId="0" borderId="0" xfId="95" applyFont="1" applyAlignment="1">
      <alignment horizontal="center" vertical="center" wrapText="1"/>
    </xf>
    <xf numFmtId="0" fontId="422" fillId="0" borderId="0" xfId="95" applyFont="1" applyAlignment="1">
      <alignment horizontal="center" vertical="center"/>
    </xf>
    <xf numFmtId="0" fontId="423" fillId="0" borderId="0" xfId="95" applyFont="1" applyAlignment="1">
      <alignment horizontal="center" vertical="center"/>
    </xf>
    <xf numFmtId="2" fontId="422" fillId="0" borderId="0" xfId="95" applyNumberFormat="1" applyFont="1" applyAlignment="1">
      <alignment horizontal="center" vertical="center"/>
    </xf>
    <xf numFmtId="2" fontId="422" fillId="0" borderId="0" xfId="95" applyNumberFormat="1" applyFont="1" applyAlignment="1">
      <alignment horizontal="center" vertical="top"/>
    </xf>
    <xf numFmtId="2" fontId="422" fillId="0" borderId="0" xfId="95" applyNumberFormat="1" applyFont="1" applyAlignment="1">
      <alignment vertical="top" wrapText="1"/>
    </xf>
    <xf numFmtId="0" fontId="422" fillId="0" borderId="0" xfId="95" applyFont="1" applyAlignment="1">
      <alignment vertical="top"/>
    </xf>
    <xf numFmtId="2" fontId="422" fillId="0" borderId="0" xfId="95" applyNumberFormat="1" applyFont="1" applyAlignment="1">
      <alignment vertical="center" wrapText="1"/>
    </xf>
    <xf numFmtId="0" fontId="422" fillId="0" borderId="0" xfId="95" applyFont="1" applyAlignment="1">
      <alignment vertical="center"/>
    </xf>
    <xf numFmtId="2" fontId="422" fillId="0" borderId="0" xfId="95" applyNumberFormat="1" applyFont="1" applyAlignment="1">
      <alignment vertical="top"/>
    </xf>
    <xf numFmtId="0" fontId="422" fillId="0" borderId="0" xfId="95" applyFont="1"/>
    <xf numFmtId="2" fontId="422" fillId="0" borderId="0" xfId="95" applyNumberFormat="1" applyFont="1"/>
    <xf numFmtId="0" fontId="423" fillId="0" borderId="0" xfId="95" applyFont="1" applyAlignment="1">
      <alignment horizontal="center"/>
    </xf>
    <xf numFmtId="2" fontId="422" fillId="0" borderId="0" xfId="95" applyNumberFormat="1" applyFont="1" applyAlignment="1">
      <alignment vertical="center"/>
    </xf>
    <xf numFmtId="0" fontId="422" fillId="0" borderId="0" xfId="97" applyFont="1" applyAlignment="1">
      <alignment vertical="top"/>
    </xf>
    <xf numFmtId="2" fontId="422" fillId="0" borderId="0" xfId="97" applyNumberFormat="1" applyFont="1" applyAlignment="1">
      <alignment vertical="top"/>
    </xf>
    <xf numFmtId="0" fontId="422" fillId="0" borderId="0" xfId="97" applyFont="1" applyAlignment="1">
      <alignment vertical="center"/>
    </xf>
    <xf numFmtId="2" fontId="422" fillId="0" borderId="0" xfId="97" applyNumberFormat="1" applyFont="1" applyAlignment="1">
      <alignment vertical="center"/>
    </xf>
    <xf numFmtId="0" fontId="423" fillId="0" borderId="0" xfId="97" applyFont="1" applyAlignment="1">
      <alignment horizontal="center" vertical="center"/>
    </xf>
    <xf numFmtId="0" fontId="422" fillId="0" borderId="0" xfId="63" applyFont="1" applyAlignment="1">
      <alignment vertical="top"/>
    </xf>
    <xf numFmtId="0" fontId="422" fillId="0" borderId="0" xfId="63" applyFont="1"/>
    <xf numFmtId="0" fontId="422" fillId="0" borderId="0" xfId="63" applyFont="1" applyAlignment="1">
      <alignment horizontal="right"/>
    </xf>
    <xf numFmtId="0" fontId="141" fillId="0" borderId="8" xfId="63" applyFont="1" applyBorder="1" applyAlignment="1">
      <alignment horizontal="center"/>
    </xf>
    <xf numFmtId="0" fontId="141" fillId="0" borderId="8" xfId="63" applyFont="1" applyBorder="1" applyAlignment="1">
      <alignment horizontal="right"/>
    </xf>
    <xf numFmtId="0" fontId="423" fillId="0" borderId="8" xfId="95" applyFont="1" applyBorder="1" applyAlignment="1">
      <alignment horizontal="center" vertical="top" wrapText="1"/>
    </xf>
    <xf numFmtId="0" fontId="422" fillId="0" borderId="8" xfId="95" applyFont="1" applyBorder="1" applyAlignment="1">
      <alignment horizontal="center" vertical="top" wrapText="1"/>
    </xf>
    <xf numFmtId="0" fontId="422" fillId="0" borderId="8" xfId="95" applyFont="1" applyBorder="1" applyAlignment="1">
      <alignment horizontal="right" vertical="top" wrapText="1"/>
    </xf>
    <xf numFmtId="0" fontId="423" fillId="0" borderId="8" xfId="95" applyFont="1" applyBorder="1" applyAlignment="1">
      <alignment horizontal="center" vertical="center" wrapText="1"/>
    </xf>
    <xf numFmtId="0" fontId="424" fillId="0" borderId="8" xfId="95" applyFont="1" applyBorder="1" applyAlignment="1">
      <alignment horizontal="left" vertical="center" wrapText="1"/>
    </xf>
    <xf numFmtId="0" fontId="422" fillId="0" borderId="8" xfId="95" applyFont="1" applyBorder="1" applyAlignment="1">
      <alignment horizontal="left" vertical="center" wrapText="1"/>
    </xf>
    <xf numFmtId="0" fontId="422" fillId="0" borderId="8" xfId="95" applyFont="1" applyBorder="1" applyAlignment="1">
      <alignment horizontal="center" vertical="center" wrapText="1"/>
    </xf>
    <xf numFmtId="0" fontId="422" fillId="0" borderId="8" xfId="95" applyFont="1" applyBorder="1" applyAlignment="1">
      <alignment vertical="center" wrapText="1"/>
    </xf>
    <xf numFmtId="0" fontId="422" fillId="0" borderId="8" xfId="95" applyFont="1" applyBorder="1" applyAlignment="1">
      <alignment horizontal="right" vertical="center" wrapText="1"/>
    </xf>
    <xf numFmtId="2" fontId="422" fillId="0" borderId="8" xfId="95" applyNumberFormat="1" applyFont="1" applyBorder="1" applyAlignment="1">
      <alignment horizontal="center" vertical="center" wrapText="1"/>
    </xf>
    <xf numFmtId="0" fontId="423" fillId="0" borderId="8" xfId="95" applyFont="1" applyBorder="1" applyAlignment="1">
      <alignment horizontal="left" vertical="center" wrapText="1"/>
    </xf>
    <xf numFmtId="2" fontId="423" fillId="0" borderId="8" xfId="95" applyNumberFormat="1" applyFont="1" applyBorder="1" applyAlignment="1">
      <alignment horizontal="center" vertical="center" wrapText="1"/>
    </xf>
    <xf numFmtId="2" fontId="423" fillId="0" borderId="8" xfId="95" applyNumberFormat="1" applyFont="1" applyBorder="1" applyAlignment="1">
      <alignment horizontal="right" vertical="center" wrapText="1"/>
    </xf>
    <xf numFmtId="0" fontId="423" fillId="0" borderId="8" xfId="95" applyFont="1" applyBorder="1" applyAlignment="1">
      <alignment horizontal="right" vertical="center" wrapText="1"/>
    </xf>
    <xf numFmtId="0" fontId="423" fillId="0" borderId="8" xfId="95" applyFont="1" applyBorder="1" applyAlignment="1">
      <alignment horizontal="center" vertical="top"/>
    </xf>
    <xf numFmtId="0" fontId="423" fillId="0" borderId="8" xfId="95" applyFont="1" applyBorder="1" applyAlignment="1">
      <alignment horizontal="center" vertical="center"/>
    </xf>
    <xf numFmtId="2" fontId="422" fillId="0" borderId="8" xfId="95" applyNumberFormat="1" applyFont="1" applyBorder="1" applyAlignment="1">
      <alignment horizontal="right" vertical="center" wrapText="1"/>
    </xf>
    <xf numFmtId="170" fontId="422" fillId="0" borderId="8" xfId="95" applyNumberFormat="1" applyFont="1" applyBorder="1" applyAlignment="1">
      <alignment horizontal="center" vertical="center" wrapText="1"/>
    </xf>
    <xf numFmtId="0" fontId="424" fillId="0" borderId="8" xfId="95" applyFont="1" applyBorder="1" applyAlignment="1">
      <alignment horizontal="left" vertical="center"/>
    </xf>
    <xf numFmtId="2" fontId="422" fillId="0" borderId="8" xfId="95" quotePrefix="1" applyNumberFormat="1" applyFont="1" applyBorder="1" applyAlignment="1">
      <alignment horizontal="center" vertical="center" wrapText="1"/>
    </xf>
    <xf numFmtId="1" fontId="422" fillId="0" borderId="8" xfId="95" applyNumberFormat="1" applyFont="1" applyBorder="1" applyAlignment="1">
      <alignment horizontal="center" vertical="center" wrapText="1"/>
    </xf>
    <xf numFmtId="170" fontId="422" fillId="0" borderId="8" xfId="95" quotePrefix="1" applyNumberFormat="1" applyFont="1" applyBorder="1" applyAlignment="1">
      <alignment horizontal="center" vertical="center" wrapText="1"/>
    </xf>
    <xf numFmtId="0" fontId="422" fillId="0" borderId="8" xfId="96" applyFont="1" applyBorder="1" applyAlignment="1">
      <alignment horizontal="justify" vertical="center" wrapText="1"/>
    </xf>
    <xf numFmtId="2" fontId="422" fillId="0" borderId="8" xfId="96" applyNumberFormat="1" applyFont="1" applyBorder="1" applyAlignment="1">
      <alignment horizontal="justify" vertical="center" wrapText="1"/>
    </xf>
    <xf numFmtId="0" fontId="422" fillId="0" borderId="8" xfId="95" applyFont="1" applyBorder="1" applyAlignment="1">
      <alignment vertical="top" wrapText="1"/>
    </xf>
    <xf numFmtId="172" fontId="423" fillId="0" borderId="8" xfId="0" applyNumberFormat="1" applyFont="1" applyBorder="1" applyAlignment="1">
      <alignment horizontal="left" vertical="center" wrapText="1"/>
    </xf>
    <xf numFmtId="172" fontId="422" fillId="0" borderId="8" xfId="0" applyNumberFormat="1" applyFont="1" applyBorder="1" applyAlignment="1">
      <alignment horizontal="left" vertical="center" wrapText="1"/>
    </xf>
    <xf numFmtId="2" fontId="422" fillId="0" borderId="8" xfId="95" applyNumberFormat="1" applyFont="1" applyBorder="1" applyAlignment="1">
      <alignment horizontal="center" vertical="top" wrapText="1"/>
    </xf>
    <xf numFmtId="2" fontId="422" fillId="0" borderId="8" xfId="95" applyNumberFormat="1" applyFont="1" applyBorder="1" applyAlignment="1">
      <alignment horizontal="right" vertical="top" wrapText="1"/>
    </xf>
    <xf numFmtId="0" fontId="425" fillId="0" borderId="8" xfId="95" applyFont="1" applyBorder="1" applyAlignment="1">
      <alignment horizontal="justify" vertical="center" wrapText="1"/>
    </xf>
    <xf numFmtId="0" fontId="422" fillId="0" borderId="8" xfId="95" applyFont="1" applyBorder="1" applyAlignment="1">
      <alignment horizontal="justify" vertical="center" wrapText="1"/>
    </xf>
    <xf numFmtId="0" fontId="423" fillId="0" borderId="8" xfId="95" applyFont="1" applyBorder="1" applyAlignment="1">
      <alignment horizontal="left" vertical="top" wrapText="1"/>
    </xf>
    <xf numFmtId="2" fontId="423" fillId="0" borderId="8" xfId="95" applyNumberFormat="1" applyFont="1" applyBorder="1" applyAlignment="1">
      <alignment horizontal="right" vertical="top" wrapText="1"/>
    </xf>
    <xf numFmtId="0" fontId="423" fillId="0" borderId="8" xfId="95" applyFont="1" applyBorder="1" applyAlignment="1">
      <alignment horizontal="center"/>
    </xf>
    <xf numFmtId="172" fontId="423" fillId="0" borderId="8" xfId="0" applyNumberFormat="1" applyFont="1" applyBorder="1" applyAlignment="1">
      <alignment horizontal="left" wrapText="1"/>
    </xf>
    <xf numFmtId="172" fontId="422" fillId="0" borderId="8" xfId="0" applyNumberFormat="1" applyFont="1" applyBorder="1" applyAlignment="1">
      <alignment horizontal="left" wrapText="1"/>
    </xf>
    <xf numFmtId="0" fontId="423" fillId="0" borderId="8" xfId="95" applyFont="1" applyBorder="1" applyAlignment="1">
      <alignment horizontal="center" wrapText="1"/>
    </xf>
    <xf numFmtId="2" fontId="422" fillId="0" borderId="8" xfId="95" applyNumberFormat="1" applyFont="1" applyBorder="1" applyAlignment="1">
      <alignment horizontal="right" wrapText="1"/>
    </xf>
    <xf numFmtId="0" fontId="422" fillId="0" borderId="8" xfId="95" applyFont="1" applyBorder="1" applyAlignment="1">
      <alignment horizontal="right" wrapText="1"/>
    </xf>
    <xf numFmtId="0" fontId="422" fillId="0" borderId="8" xfId="95" applyFont="1" applyBorder="1" applyAlignment="1">
      <alignment horizontal="center" wrapText="1"/>
    </xf>
    <xf numFmtId="2" fontId="422" fillId="0" borderId="8" xfId="95" applyNumberFormat="1" applyFont="1" applyBorder="1" applyAlignment="1">
      <alignment horizontal="center" wrapText="1"/>
    </xf>
    <xf numFmtId="2" fontId="422" fillId="0" borderId="8" xfId="95" quotePrefix="1" applyNumberFormat="1" applyFont="1" applyBorder="1" applyAlignment="1">
      <alignment horizontal="center" wrapText="1"/>
    </xf>
    <xf numFmtId="0" fontId="423" fillId="0" borderId="8" xfId="95" applyFont="1" applyBorder="1" applyAlignment="1">
      <alignment horizontal="left" wrapText="1"/>
    </xf>
    <xf numFmtId="2" fontId="423" fillId="0" borderId="8" xfId="95" applyNumberFormat="1" applyFont="1" applyBorder="1" applyAlignment="1">
      <alignment horizontal="center" wrapText="1"/>
    </xf>
    <xf numFmtId="2" fontId="423" fillId="0" borderId="8" xfId="95" applyNumberFormat="1" applyFont="1" applyBorder="1" applyAlignment="1">
      <alignment horizontal="right" wrapText="1"/>
    </xf>
    <xf numFmtId="0" fontId="423" fillId="0" borderId="8" xfId="95" applyFont="1" applyBorder="1" applyAlignment="1">
      <alignment horizontal="right" wrapText="1"/>
    </xf>
    <xf numFmtId="0" fontId="423" fillId="0" borderId="8" xfId="97" applyFont="1" applyBorder="1" applyAlignment="1">
      <alignment horizontal="center" vertical="top"/>
    </xf>
    <xf numFmtId="2" fontId="422" fillId="0" borderId="8" xfId="97" applyNumberFormat="1" applyFont="1" applyBorder="1" applyAlignment="1">
      <alignment horizontal="center" vertical="top" wrapText="1"/>
    </xf>
    <xf numFmtId="2" fontId="422" fillId="0" borderId="8" xfId="97" applyNumberFormat="1" applyFont="1" applyBorder="1" applyAlignment="1">
      <alignment horizontal="right" vertical="top" wrapText="1"/>
    </xf>
    <xf numFmtId="0" fontId="423" fillId="0" borderId="8" xfId="97" applyFont="1" applyBorder="1" applyAlignment="1">
      <alignment horizontal="center" vertical="center"/>
    </xf>
    <xf numFmtId="0" fontId="422" fillId="0" borderId="8" xfId="97" applyFont="1" applyBorder="1" applyAlignment="1">
      <alignment horizontal="right" vertical="center" wrapText="1"/>
    </xf>
    <xf numFmtId="0" fontId="422" fillId="0" borderId="8" xfId="97" applyFont="1" applyBorder="1" applyAlignment="1">
      <alignment horizontal="center" vertical="center" wrapText="1"/>
    </xf>
    <xf numFmtId="2" fontId="422" fillId="0" borderId="8" xfId="97" quotePrefix="1" applyNumberFormat="1" applyFont="1" applyBorder="1" applyAlignment="1">
      <alignment horizontal="center" vertical="center" wrapText="1"/>
    </xf>
    <xf numFmtId="2" fontId="423" fillId="0" borderId="8" xfId="97" applyNumberFormat="1" applyFont="1" applyBorder="1" applyAlignment="1">
      <alignment horizontal="center" vertical="center" wrapText="1"/>
    </xf>
    <xf numFmtId="0" fontId="422" fillId="0" borderId="8" xfId="97" applyFont="1" applyBorder="1" applyAlignment="1">
      <alignment horizontal="left" vertical="center" wrapText="1"/>
    </xf>
    <xf numFmtId="2" fontId="422" fillId="0" borderId="8" xfId="97" applyNumberFormat="1" applyFont="1" applyBorder="1" applyAlignment="1">
      <alignment horizontal="center" vertical="center" wrapText="1"/>
    </xf>
    <xf numFmtId="2" fontId="422" fillId="0" borderId="8" xfId="97" applyNumberFormat="1" applyFont="1" applyBorder="1" applyAlignment="1">
      <alignment horizontal="right" vertical="center" wrapText="1"/>
    </xf>
    <xf numFmtId="0" fontId="422" fillId="0" borderId="8" xfId="0" applyFont="1" applyBorder="1"/>
    <xf numFmtId="0" fontId="423" fillId="0" borderId="8" xfId="97" applyFont="1" applyBorder="1" applyAlignment="1">
      <alignment horizontal="center" vertical="center" wrapText="1"/>
    </xf>
    <xf numFmtId="0" fontId="423" fillId="0" borderId="8" xfId="97" applyFont="1" applyBorder="1" applyAlignment="1">
      <alignment horizontal="right" vertical="center" wrapText="1"/>
    </xf>
    <xf numFmtId="0" fontId="423" fillId="0" borderId="8" xfId="96" applyFont="1" applyBorder="1" applyAlignment="1">
      <alignment horizontal="left" vertical="top" wrapText="1"/>
    </xf>
    <xf numFmtId="0" fontId="422" fillId="0" borderId="8" xfId="96" applyFont="1" applyBorder="1" applyAlignment="1">
      <alignment horizontal="left" vertical="top" wrapText="1"/>
    </xf>
    <xf numFmtId="0" fontId="423" fillId="0" borderId="8" xfId="97" applyFont="1" applyBorder="1" applyAlignment="1">
      <alignment horizontal="left" vertical="center" wrapText="1"/>
    </xf>
    <xf numFmtId="172" fontId="423" fillId="0" borderId="8" xfId="0" applyNumberFormat="1" applyFont="1" applyBorder="1" applyAlignment="1">
      <alignment vertical="top" wrapText="1"/>
    </xf>
    <xf numFmtId="172" fontId="422" fillId="0" borderId="8" xfId="0" applyNumberFormat="1" applyFont="1" applyBorder="1" applyAlignment="1">
      <alignment horizontal="left" vertical="top" wrapText="1"/>
    </xf>
    <xf numFmtId="172" fontId="423" fillId="0" borderId="8" xfId="0" applyNumberFormat="1" applyFont="1" applyBorder="1" applyAlignment="1">
      <alignment vertical="center" wrapText="1"/>
    </xf>
    <xf numFmtId="2" fontId="422" fillId="0" borderId="8" xfId="97" applyNumberFormat="1" applyFont="1" applyBorder="1" applyAlignment="1">
      <alignment horizontal="center" wrapText="1"/>
    </xf>
    <xf numFmtId="0" fontId="422" fillId="0" borderId="8" xfId="97" applyFont="1" applyBorder="1" applyAlignment="1">
      <alignment horizontal="right" vertical="top" wrapText="1"/>
    </xf>
    <xf numFmtId="2" fontId="423" fillId="0" borderId="8" xfId="97" applyNumberFormat="1" applyFont="1" applyBorder="1" applyAlignment="1">
      <alignment horizontal="right" vertical="center" wrapText="1"/>
    </xf>
    <xf numFmtId="2" fontId="423" fillId="0" borderId="8" xfId="97" applyNumberFormat="1" applyFont="1" applyBorder="1" applyAlignment="1">
      <alignment horizontal="center" vertical="top" wrapText="1"/>
    </xf>
    <xf numFmtId="0" fontId="422" fillId="0" borderId="0" xfId="95" applyFont="1" applyAlignment="1">
      <alignment horizontal="center"/>
    </xf>
    <xf numFmtId="2" fontId="422" fillId="0" borderId="0" xfId="95" applyNumberFormat="1" applyFont="1" applyAlignment="1">
      <alignment horizontal="right"/>
    </xf>
    <xf numFmtId="0" fontId="423" fillId="0" borderId="0" xfId="95" applyFont="1" applyAlignment="1">
      <alignment horizontal="center" vertical="top"/>
    </xf>
    <xf numFmtId="2" fontId="422" fillId="0" borderId="0" xfId="95" applyNumberFormat="1" applyFont="1" applyAlignment="1">
      <alignment horizontal="right" vertical="top"/>
    </xf>
    <xf numFmtId="0" fontId="423" fillId="0" borderId="0" xfId="63" applyFont="1" applyAlignment="1">
      <alignment horizontal="center" vertical="top"/>
    </xf>
    <xf numFmtId="0" fontId="422" fillId="0" borderId="0" xfId="63" applyFont="1" applyAlignment="1">
      <alignment horizontal="center" vertical="top"/>
    </xf>
    <xf numFmtId="2" fontId="422" fillId="0" borderId="0" xfId="63" applyNumberFormat="1" applyFont="1" applyAlignment="1">
      <alignment horizontal="right" vertical="top"/>
    </xf>
    <xf numFmtId="0" fontId="422" fillId="0" borderId="0" xfId="63" applyFont="1" applyAlignment="1">
      <alignment horizontal="center"/>
    </xf>
    <xf numFmtId="0" fontId="431" fillId="0" borderId="0" xfId="0" applyFont="1" applyAlignment="1">
      <alignment vertical="center"/>
    </xf>
    <xf numFmtId="2" fontId="431" fillId="0" borderId="21" xfId="0" applyNumberFormat="1" applyFont="1" applyBorder="1" applyAlignment="1">
      <alignment vertical="center" shrinkToFit="1"/>
    </xf>
    <xf numFmtId="170" fontId="431" fillId="0" borderId="21" xfId="0" applyNumberFormat="1" applyFont="1" applyBorder="1" applyAlignment="1">
      <alignment horizontal="center" vertical="center" wrapText="1"/>
    </xf>
    <xf numFmtId="2" fontId="431" fillId="0" borderId="21" xfId="0" applyNumberFormat="1" applyFont="1" applyBorder="1" applyAlignment="1">
      <alignment horizontal="center" vertical="center" wrapText="1"/>
    </xf>
    <xf numFmtId="0" fontId="430" fillId="0" borderId="21" xfId="0" applyFont="1" applyBorder="1" applyAlignment="1">
      <alignment vertical="center" shrinkToFit="1"/>
    </xf>
    <xf numFmtId="0" fontId="431" fillId="0" borderId="21" xfId="0" applyFont="1" applyBorder="1" applyAlignment="1">
      <alignment vertical="center" shrinkToFit="1"/>
    </xf>
    <xf numFmtId="0" fontId="431" fillId="0" borderId="21" xfId="0" applyFont="1" applyBorder="1" applyAlignment="1">
      <alignment horizontal="center" vertical="center" wrapText="1"/>
    </xf>
    <xf numFmtId="2" fontId="430" fillId="0" borderId="21" xfId="0" applyNumberFormat="1" applyFont="1" applyBorder="1" applyAlignment="1">
      <alignment vertical="center" shrinkToFit="1"/>
    </xf>
    <xf numFmtId="2" fontId="431" fillId="0" borderId="21" xfId="0" applyNumberFormat="1" applyFont="1" applyBorder="1" applyAlignment="1">
      <alignment vertical="center"/>
    </xf>
    <xf numFmtId="0" fontId="431" fillId="0" borderId="21" xfId="0" applyFont="1" applyBorder="1" applyAlignment="1">
      <alignment vertical="center"/>
    </xf>
    <xf numFmtId="0" fontId="431" fillId="0" borderId="21" xfId="0" applyFont="1" applyBorder="1" applyAlignment="1">
      <alignment vertical="center" wrapText="1"/>
    </xf>
    <xf numFmtId="0" fontId="430" fillId="0" borderId="21" xfId="0" applyFont="1" applyBorder="1" applyAlignment="1">
      <alignment vertical="center"/>
    </xf>
    <xf numFmtId="0" fontId="431" fillId="0" borderId="32" xfId="0" applyFont="1" applyBorder="1" applyAlignment="1">
      <alignment vertical="center" wrapText="1"/>
    </xf>
    <xf numFmtId="0" fontId="419" fillId="0" borderId="8" xfId="69" applyFont="1" applyBorder="1" applyAlignment="1">
      <alignment horizontal="center" vertical="center"/>
    </xf>
    <xf numFmtId="0" fontId="426" fillId="0" borderId="8" xfId="69" applyFont="1" applyBorder="1" applyAlignment="1">
      <alignment horizontal="center" vertical="center" wrapText="1"/>
    </xf>
    <xf numFmtId="171" fontId="419" fillId="0" borderId="8" xfId="69" applyNumberFormat="1" applyFont="1" applyBorder="1" applyAlignment="1">
      <alignment horizontal="center" vertical="top" wrapText="1"/>
    </xf>
    <xf numFmtId="0" fontId="422" fillId="0" borderId="8" xfId="69" applyFont="1" applyBorder="1" applyAlignment="1">
      <alignment vertical="center" shrinkToFit="1"/>
    </xf>
    <xf numFmtId="0" fontId="419" fillId="0" borderId="8" xfId="69" applyFont="1" applyBorder="1" applyAlignment="1">
      <alignment horizontal="center" vertical="center" shrinkToFit="1"/>
    </xf>
    <xf numFmtId="2" fontId="419" fillId="0" borderId="8" xfId="69" applyNumberFormat="1" applyFont="1" applyBorder="1" applyAlignment="1">
      <alignment horizontal="center" vertical="center" shrinkToFit="1"/>
    </xf>
    <xf numFmtId="0" fontId="419" fillId="0" borderId="8" xfId="69" applyFont="1" applyBorder="1" applyAlignment="1">
      <alignment horizontal="center" vertical="center" wrapText="1" shrinkToFit="1"/>
    </xf>
    <xf numFmtId="2" fontId="427" fillId="0" borderId="8" xfId="69" applyNumberFormat="1" applyFont="1" applyBorder="1" applyAlignment="1">
      <alignment horizontal="center" vertical="center" shrinkToFit="1"/>
    </xf>
    <xf numFmtId="0" fontId="433" fillId="0" borderId="8" xfId="69" applyFont="1" applyBorder="1" applyAlignment="1">
      <alignment vertical="center" shrinkToFit="1"/>
    </xf>
    <xf numFmtId="2" fontId="427" fillId="0" borderId="8" xfId="69" applyNumberFormat="1" applyFont="1" applyBorder="1" applyAlignment="1">
      <alignment horizontal="center" vertical="center" wrapText="1" shrinkToFit="1"/>
    </xf>
    <xf numFmtId="0" fontId="422" fillId="0" borderId="8" xfId="69" applyFont="1" applyBorder="1" applyAlignment="1">
      <alignment vertical="top" shrinkToFit="1"/>
    </xf>
    <xf numFmtId="0" fontId="422" fillId="0" borderId="8" xfId="69" applyFont="1" applyBorder="1" applyAlignment="1">
      <alignment vertical="center" wrapText="1" shrinkToFit="1"/>
    </xf>
    <xf numFmtId="2" fontId="432" fillId="0" borderId="8" xfId="69" applyNumberFormat="1" applyFont="1" applyBorder="1" applyAlignment="1">
      <alignment horizontal="center" vertical="center" shrinkToFit="1"/>
    </xf>
    <xf numFmtId="2" fontId="418" fillId="0" borderId="8" xfId="69" applyNumberFormat="1" applyFont="1" applyBorder="1" applyAlignment="1">
      <alignment horizontal="center" vertical="center" shrinkToFit="1"/>
    </xf>
    <xf numFmtId="172" fontId="422" fillId="0" borderId="8" xfId="0" applyNumberFormat="1" applyFont="1" applyBorder="1" applyAlignment="1">
      <alignment vertical="top" wrapText="1"/>
    </xf>
    <xf numFmtId="172" fontId="422" fillId="0" borderId="8" xfId="0" applyNumberFormat="1" applyFont="1" applyBorder="1" applyAlignment="1">
      <alignment vertical="top"/>
    </xf>
    <xf numFmtId="0" fontId="422" fillId="0" borderId="8" xfId="69" applyFont="1" applyBorder="1" applyAlignment="1">
      <alignment vertical="top"/>
    </xf>
    <xf numFmtId="0" fontId="419" fillId="0" borderId="0" xfId="69" applyFont="1" applyAlignment="1">
      <alignment vertical="top"/>
    </xf>
    <xf numFmtId="0" fontId="419" fillId="0" borderId="0" xfId="69" applyFont="1" applyAlignment="1">
      <alignment horizontal="center" vertical="top"/>
    </xf>
    <xf numFmtId="0" fontId="419" fillId="0" borderId="0" xfId="69" applyFont="1" applyAlignment="1">
      <alignment horizontal="center"/>
    </xf>
    <xf numFmtId="0" fontId="432" fillId="0" borderId="8" xfId="69" applyFont="1" applyBorder="1" applyAlignment="1">
      <alignment horizontal="center" vertical="center" shrinkToFit="1"/>
    </xf>
    <xf numFmtId="171" fontId="419" fillId="0" borderId="8" xfId="69" applyNumberFormat="1" applyFont="1" applyBorder="1" applyAlignment="1">
      <alignment horizontal="center" vertical="center" wrapText="1"/>
    </xf>
    <xf numFmtId="0" fontId="428" fillId="0" borderId="0" xfId="0" applyFont="1" applyAlignment="1">
      <alignment horizontal="center" vertical="center"/>
    </xf>
    <xf numFmtId="9" fontId="419" fillId="0" borderId="8" xfId="69" applyNumberFormat="1" applyFont="1" applyBorder="1" applyAlignment="1">
      <alignment horizontal="center" vertical="center"/>
    </xf>
    <xf numFmtId="2" fontId="419" fillId="0" borderId="8" xfId="69" applyNumberFormat="1" applyFont="1" applyBorder="1" applyAlignment="1">
      <alignment horizontal="center" vertical="center"/>
    </xf>
    <xf numFmtId="172" fontId="420" fillId="0" borderId="8" xfId="0" applyNumberFormat="1" applyFont="1" applyBorder="1" applyAlignment="1">
      <alignment horizontal="center" vertical="center"/>
    </xf>
    <xf numFmtId="178" fontId="419" fillId="0" borderId="8" xfId="69" applyNumberFormat="1" applyFont="1" applyBorder="1" applyAlignment="1">
      <alignment horizontal="center" vertical="center"/>
    </xf>
    <xf numFmtId="2" fontId="429" fillId="0" borderId="8" xfId="69" applyNumberFormat="1" applyFont="1" applyBorder="1" applyAlignment="1">
      <alignment horizontal="center" vertical="center"/>
    </xf>
    <xf numFmtId="0" fontId="419" fillId="0" borderId="0" xfId="69" applyFont="1" applyAlignment="1">
      <alignment horizontal="center" vertical="center"/>
    </xf>
    <xf numFmtId="9" fontId="429" fillId="0" borderId="8" xfId="69" applyNumberFormat="1" applyFont="1" applyBorder="1" applyAlignment="1">
      <alignment horizontal="center" vertical="center"/>
    </xf>
    <xf numFmtId="0" fontId="118" fillId="0" borderId="0" xfId="69" applyFont="1" applyAlignment="1">
      <alignment horizontal="center" vertical="center"/>
    </xf>
    <xf numFmtId="0" fontId="431" fillId="0" borderId="23" xfId="0" applyFont="1" applyBorder="1" applyAlignment="1">
      <alignment vertical="center"/>
    </xf>
    <xf numFmtId="2" fontId="431" fillId="0" borderId="28" xfId="0" applyNumberFormat="1" applyFont="1" applyBorder="1" applyAlignment="1">
      <alignment horizontal="center" vertical="center" wrapText="1"/>
    </xf>
    <xf numFmtId="170" fontId="431" fillId="0" borderId="28" xfId="0" applyNumberFormat="1" applyFont="1" applyBorder="1" applyAlignment="1">
      <alignment horizontal="center" vertical="center" wrapText="1"/>
    </xf>
    <xf numFmtId="0" fontId="436" fillId="0" borderId="21" xfId="0" applyFont="1" applyBorder="1" applyAlignment="1">
      <alignment vertical="center"/>
    </xf>
    <xf numFmtId="170" fontId="431" fillId="0" borderId="21" xfId="0" applyNumberFormat="1" applyFont="1" applyBorder="1" applyAlignment="1">
      <alignment horizontal="center" vertical="center"/>
    </xf>
    <xf numFmtId="0" fontId="364" fillId="0" borderId="0" xfId="0" applyFont="1" applyAlignment="1">
      <alignment vertical="center"/>
    </xf>
    <xf numFmtId="0" fontId="431" fillId="0" borderId="30" xfId="0" applyFont="1" applyBorder="1" applyAlignment="1">
      <alignment vertical="center"/>
    </xf>
    <xf numFmtId="0" fontId="431" fillId="0" borderId="32" xfId="0" applyFont="1" applyBorder="1" applyAlignment="1">
      <alignment vertical="center"/>
    </xf>
    <xf numFmtId="0" fontId="431" fillId="0" borderId="32" xfId="0" applyFont="1" applyBorder="1" applyAlignment="1">
      <alignment vertical="center" shrinkToFit="1"/>
    </xf>
    <xf numFmtId="0" fontId="430" fillId="0" borderId="32" xfId="0" applyFont="1" applyBorder="1" applyAlignment="1">
      <alignment vertical="center" shrinkToFit="1"/>
    </xf>
    <xf numFmtId="0" fontId="436" fillId="0" borderId="32" xfId="0" applyFont="1" applyBorder="1" applyAlignment="1">
      <alignment vertical="center"/>
    </xf>
    <xf numFmtId="0" fontId="431" fillId="0" borderId="28" xfId="0" applyFont="1" applyBorder="1" applyAlignment="1">
      <alignment horizontal="center" vertical="center" wrapText="1"/>
    </xf>
    <xf numFmtId="1" fontId="431" fillId="0" borderId="32" xfId="0" applyNumberFormat="1" applyFont="1" applyBorder="1" applyAlignment="1">
      <alignment vertical="center" wrapText="1"/>
    </xf>
    <xf numFmtId="1" fontId="431" fillId="0" borderId="21" xfId="0" applyNumberFormat="1" applyFont="1" applyBorder="1" applyAlignment="1">
      <alignment vertical="center" wrapText="1"/>
    </xf>
    <xf numFmtId="173" fontId="430" fillId="0" borderId="32" xfId="0" applyNumberFormat="1" applyFont="1" applyBorder="1" applyAlignment="1">
      <alignment vertical="center" wrapText="1"/>
    </xf>
    <xf numFmtId="173" fontId="430" fillId="0" borderId="21" xfId="0" applyNumberFormat="1" applyFont="1" applyBorder="1" applyAlignment="1">
      <alignment vertical="center" wrapText="1"/>
    </xf>
    <xf numFmtId="170" fontId="431" fillId="0" borderId="32" xfId="0" applyNumberFormat="1" applyFont="1" applyBorder="1" applyAlignment="1">
      <alignment vertical="center" shrinkToFit="1"/>
    </xf>
    <xf numFmtId="170" fontId="431" fillId="0" borderId="21" xfId="0" applyNumberFormat="1" applyFont="1" applyBorder="1" applyAlignment="1">
      <alignment vertical="center" shrinkToFit="1"/>
    </xf>
    <xf numFmtId="173" fontId="430" fillId="0" borderId="32" xfId="0" applyNumberFormat="1" applyFont="1" applyBorder="1" applyAlignment="1">
      <alignment vertical="center" shrinkToFit="1"/>
    </xf>
    <xf numFmtId="172" fontId="430" fillId="0" borderId="32" xfId="0" applyNumberFormat="1" applyFont="1" applyBorder="1" applyAlignment="1">
      <alignment vertical="center" shrinkToFit="1"/>
    </xf>
    <xf numFmtId="0" fontId="430" fillId="0" borderId="32" xfId="0" applyFont="1" applyBorder="1" applyAlignment="1">
      <alignment vertical="center" wrapText="1"/>
    </xf>
    <xf numFmtId="170" fontId="430" fillId="0" borderId="21" xfId="0" applyNumberFormat="1" applyFont="1" applyBorder="1" applyAlignment="1">
      <alignment vertical="center" shrinkToFit="1"/>
    </xf>
    <xf numFmtId="1" fontId="431" fillId="0" borderId="21" xfId="0" applyNumberFormat="1" applyFont="1" applyBorder="1" applyAlignment="1">
      <alignment vertical="center" shrinkToFit="1"/>
    </xf>
    <xf numFmtId="2" fontId="436" fillId="0" borderId="21" xfId="0" applyNumberFormat="1" applyFont="1" applyBorder="1" applyAlignment="1">
      <alignment vertical="center"/>
    </xf>
    <xf numFmtId="0" fontId="437" fillId="0" borderId="32" xfId="0" applyFont="1" applyBorder="1" applyAlignment="1">
      <alignment vertical="center" wrapText="1"/>
    </xf>
    <xf numFmtId="0" fontId="435" fillId="0" borderId="32" xfId="0" applyFont="1" applyBorder="1" applyAlignment="1">
      <alignment vertical="center" wrapText="1"/>
    </xf>
    <xf numFmtId="0" fontId="431" fillId="0" borderId="27" xfId="0" applyFont="1" applyBorder="1" applyAlignment="1">
      <alignment vertical="center" shrinkToFit="1"/>
    </xf>
    <xf numFmtId="0" fontId="430" fillId="0" borderId="28" xfId="0" applyFont="1" applyBorder="1" applyAlignment="1">
      <alignment vertical="center" wrapText="1"/>
    </xf>
    <xf numFmtId="0" fontId="431" fillId="0" borderId="28" xfId="0" applyFont="1" applyBorder="1" applyAlignment="1">
      <alignment vertical="center" wrapText="1"/>
    </xf>
    <xf numFmtId="0" fontId="431" fillId="0" borderId="22" xfId="0" applyFont="1" applyBorder="1" applyAlignment="1">
      <alignment vertical="center" shrinkToFit="1"/>
    </xf>
    <xf numFmtId="0" fontId="430" fillId="0" borderId="21" xfId="0" applyFont="1" applyBorder="1" applyAlignment="1">
      <alignment vertical="center" wrapText="1"/>
    </xf>
    <xf numFmtId="2" fontId="431" fillId="0" borderId="21" xfId="0" applyNumberFormat="1" applyFont="1" applyBorder="1" applyAlignment="1">
      <alignment horizontal="center" vertical="center"/>
    </xf>
    <xf numFmtId="2" fontId="431" fillId="0" borderId="28" xfId="0" applyNumberFormat="1" applyFont="1" applyBorder="1" applyAlignment="1">
      <alignment horizontal="center" vertical="center"/>
    </xf>
    <xf numFmtId="173" fontId="40" fillId="0" borderId="32" xfId="0" applyNumberFormat="1" applyFont="1" applyBorder="1" applyAlignment="1">
      <alignment horizontal="center" vertical="center" wrapText="1"/>
    </xf>
    <xf numFmtId="173" fontId="40" fillId="30" borderId="32" xfId="0" applyNumberFormat="1" applyFont="1" applyFill="1" applyBorder="1" applyAlignment="1">
      <alignment horizontal="center" vertical="center" wrapText="1"/>
    </xf>
    <xf numFmtId="0" fontId="38" fillId="0" borderId="32" xfId="0" applyFont="1" applyBorder="1" applyAlignment="1">
      <alignment shrinkToFit="1"/>
    </xf>
    <xf numFmtId="0" fontId="40" fillId="0" borderId="32" xfId="0" applyFont="1" applyBorder="1" applyAlignment="1">
      <alignment shrinkToFit="1"/>
    </xf>
    <xf numFmtId="170" fontId="38" fillId="0" borderId="32" xfId="0" applyNumberFormat="1" applyFont="1" applyBorder="1" applyAlignment="1">
      <alignment horizontal="right" vertical="top" shrinkToFit="1"/>
    </xf>
    <xf numFmtId="173" fontId="40" fillId="0" borderId="32" xfId="0" applyNumberFormat="1" applyFont="1" applyBorder="1" applyAlignment="1">
      <alignment horizontal="center" vertical="center" shrinkToFit="1"/>
    </xf>
    <xf numFmtId="173" fontId="40" fillId="30" borderId="32" xfId="0" applyNumberFormat="1" applyFont="1" applyFill="1" applyBorder="1" applyAlignment="1">
      <alignment horizontal="center" vertical="center" shrinkToFit="1"/>
    </xf>
    <xf numFmtId="0" fontId="38" fillId="0" borderId="32" xfId="0" applyFont="1" applyBorder="1" applyAlignment="1">
      <alignment horizontal="left" vertical="center" shrinkToFit="1"/>
    </xf>
    <xf numFmtId="0" fontId="116" fillId="0" borderId="32" xfId="0" applyFont="1" applyBorder="1" applyAlignment="1">
      <alignment shrinkToFit="1"/>
    </xf>
    <xf numFmtId="0" fontId="38" fillId="53" borderId="32" xfId="0" applyFont="1" applyFill="1" applyBorder="1" applyAlignment="1">
      <alignment shrinkToFit="1"/>
    </xf>
    <xf numFmtId="0" fontId="42" fillId="0" borderId="27" xfId="0" applyFont="1" applyBorder="1" applyAlignment="1">
      <alignment horizontal="center" vertical="top" wrapText="1"/>
    </xf>
    <xf numFmtId="0" fontId="38" fillId="43" borderId="28" xfId="0" applyFont="1" applyFill="1" applyBorder="1" applyAlignment="1">
      <alignment horizontal="center" vertical="top" shrinkToFit="1"/>
    </xf>
    <xf numFmtId="0" fontId="40" fillId="0" borderId="28" xfId="0" applyFont="1" applyBorder="1" applyAlignment="1">
      <alignment horizontal="justify" vertical="top" wrapText="1"/>
    </xf>
    <xf numFmtId="0" fontId="38" fillId="0" borderId="28" xfId="0" applyFont="1" applyBorder="1" applyAlignment="1">
      <alignment horizontal="right" vertical="center" shrinkToFit="1"/>
    </xf>
    <xf numFmtId="2" fontId="38" fillId="0" borderId="28" xfId="0" applyNumberFormat="1" applyFont="1" applyBorder="1" applyAlignment="1">
      <alignment horizontal="right" vertical="center" shrinkToFit="1"/>
    </xf>
    <xf numFmtId="170" fontId="38" fillId="0" borderId="28" xfId="0" applyNumberFormat="1" applyFont="1" applyBorder="1" applyAlignment="1">
      <alignment horizontal="right" vertical="center" shrinkToFit="1"/>
    </xf>
    <xf numFmtId="170" fontId="40" fillId="27" borderId="28" xfId="0" applyNumberFormat="1" applyFont="1" applyFill="1" applyBorder="1" applyAlignment="1">
      <alignment horizontal="right" vertical="center" shrinkToFit="1"/>
    </xf>
    <xf numFmtId="2" fontId="40" fillId="27" borderId="28" xfId="0" applyNumberFormat="1" applyFont="1" applyFill="1" applyBorder="1" applyAlignment="1">
      <alignment horizontal="right" vertical="center" shrinkToFit="1"/>
    </xf>
    <xf numFmtId="0" fontId="42" fillId="0" borderId="8" xfId="0" applyFont="1" applyBorder="1" applyAlignment="1">
      <alignment horizontal="center" vertical="center" wrapText="1"/>
    </xf>
    <xf numFmtId="0" fontId="40" fillId="0" borderId="8" xfId="0" applyFont="1" applyBorder="1" applyAlignment="1">
      <alignment horizontal="center" vertical="top" wrapText="1"/>
    </xf>
    <xf numFmtId="172" fontId="40" fillId="0" borderId="8" xfId="0" applyNumberFormat="1" applyFont="1" applyBorder="1" applyAlignment="1">
      <alignment horizontal="justify" vertical="top" wrapText="1"/>
    </xf>
    <xf numFmtId="2" fontId="44" fillId="0" borderId="8" xfId="0" applyNumberFormat="1" applyFont="1" applyBorder="1" applyAlignment="1">
      <alignment horizontal="center" vertical="top" shrinkToFit="1"/>
    </xf>
    <xf numFmtId="2" fontId="38" fillId="0" borderId="8" xfId="0" applyNumberFormat="1" applyFont="1" applyBorder="1" applyAlignment="1">
      <alignment horizontal="center" vertical="top" wrapText="1"/>
    </xf>
    <xf numFmtId="170" fontId="38" fillId="0" borderId="8" xfId="0" applyNumberFormat="1" applyFont="1" applyBorder="1" applyAlignment="1">
      <alignment horizontal="center" vertical="top" wrapText="1"/>
    </xf>
    <xf numFmtId="170" fontId="40" fillId="0" borderId="8" xfId="0" applyNumberFormat="1" applyFont="1" applyBorder="1"/>
    <xf numFmtId="170" fontId="38" fillId="0" borderId="8" xfId="0" applyNumberFormat="1" applyFont="1" applyBorder="1"/>
    <xf numFmtId="2" fontId="38" fillId="0" borderId="8" xfId="0" applyNumberFormat="1" applyFont="1" applyBorder="1"/>
    <xf numFmtId="0" fontId="43" fillId="0" borderId="8" xfId="0" applyFont="1" applyBorder="1" applyAlignment="1">
      <alignment horizontal="center" vertical="center"/>
    </xf>
    <xf numFmtId="0" fontId="38" fillId="0" borderId="8" xfId="0" applyFont="1" applyBorder="1" applyAlignment="1">
      <alignment horizontal="justify" vertical="top" wrapText="1"/>
    </xf>
    <xf numFmtId="177" fontId="44" fillId="0" borderId="8" xfId="0" applyNumberFormat="1" applyFont="1" applyBorder="1"/>
    <xf numFmtId="170" fontId="38" fillId="0" borderId="8" xfId="0" applyNumberFormat="1" applyFont="1" applyBorder="1" applyAlignment="1">
      <alignment horizontal="right" vertical="top" wrapText="1"/>
    </xf>
    <xf numFmtId="172" fontId="38" fillId="0" borderId="8" xfId="0" applyNumberFormat="1" applyFont="1" applyBorder="1" applyAlignment="1">
      <alignment horizontal="justify" vertical="top" wrapText="1"/>
    </xf>
    <xf numFmtId="2" fontId="43" fillId="0" borderId="8" xfId="0" applyNumberFormat="1" applyFont="1" applyBorder="1" applyAlignment="1">
      <alignment horizontal="center" vertical="top" wrapText="1"/>
    </xf>
    <xf numFmtId="2" fontId="38" fillId="0" borderId="8" xfId="0" applyNumberFormat="1" applyFont="1" applyBorder="1" applyAlignment="1">
      <alignment horizontal="right" vertical="top" wrapText="1"/>
    </xf>
    <xf numFmtId="2" fontId="40" fillId="0" borderId="8" xfId="0" applyNumberFormat="1" applyFont="1" applyBorder="1" applyAlignment="1">
      <alignment horizontal="right" vertical="top" wrapText="1"/>
    </xf>
    <xf numFmtId="173" fontId="42" fillId="0" borderId="8" xfId="0" applyNumberFormat="1" applyFont="1" applyBorder="1" applyAlignment="1">
      <alignment horizontal="center" vertical="top" wrapText="1"/>
    </xf>
    <xf numFmtId="173" fontId="40" fillId="0" borderId="8" xfId="0" applyNumberFormat="1" applyFont="1" applyBorder="1" applyAlignment="1">
      <alignment horizontal="center" vertical="top" wrapText="1"/>
    </xf>
    <xf numFmtId="0" fontId="40" fillId="0" borderId="8" xfId="0" applyFont="1" applyBorder="1" applyAlignment="1">
      <alignment horizontal="justify" vertical="top" wrapText="1"/>
    </xf>
    <xf numFmtId="2" fontId="47" fillId="0" borderId="8" xfId="0" applyNumberFormat="1" applyFont="1" applyBorder="1" applyAlignment="1">
      <alignment horizontal="center" vertical="top" shrinkToFit="1"/>
    </xf>
    <xf numFmtId="2" fontId="56" fillId="0" borderId="8" xfId="0" applyNumberFormat="1" applyFont="1" applyBorder="1" applyAlignment="1">
      <alignment horizontal="center" vertical="top" wrapText="1"/>
    </xf>
    <xf numFmtId="2" fontId="40" fillId="0" borderId="8" xfId="0" applyNumberFormat="1" applyFont="1" applyBorder="1" applyAlignment="1">
      <alignment horizontal="center" vertical="top" wrapText="1"/>
    </xf>
    <xf numFmtId="170" fontId="40" fillId="0" borderId="8" xfId="0" applyNumberFormat="1" applyFont="1" applyBorder="1" applyAlignment="1">
      <alignment horizontal="right" vertical="top" wrapText="1"/>
    </xf>
    <xf numFmtId="0" fontId="40" fillId="0" borderId="8" xfId="0" applyFont="1" applyBorder="1" applyAlignment="1">
      <alignment horizontal="center" vertical="top" shrinkToFit="1"/>
    </xf>
    <xf numFmtId="0" fontId="38" fillId="0" borderId="8" xfId="0" applyFont="1" applyBorder="1" applyAlignment="1">
      <alignment horizontal="center" vertical="top" wrapText="1"/>
    </xf>
    <xf numFmtId="2" fontId="38" fillId="0" borderId="8" xfId="0" applyNumberFormat="1" applyFont="1" applyBorder="1" applyAlignment="1">
      <alignment horizontal="right"/>
    </xf>
    <xf numFmtId="0" fontId="38" fillId="0" borderId="8" xfId="0" applyFont="1" applyBorder="1" applyAlignment="1">
      <alignment horizontal="center" vertical="center" shrinkToFit="1"/>
    </xf>
    <xf numFmtId="0" fontId="38" fillId="0" borderId="8" xfId="0" applyFont="1" applyBorder="1" applyAlignment="1">
      <alignment horizontal="center" vertical="top" shrinkToFit="1"/>
    </xf>
    <xf numFmtId="2" fontId="38" fillId="0" borderId="8" xfId="0" applyNumberFormat="1" applyFont="1" applyBorder="1" applyAlignment="1">
      <alignment horizontal="right" vertical="top" shrinkToFit="1"/>
    </xf>
    <xf numFmtId="170" fontId="38" fillId="0" borderId="8" xfId="0" applyNumberFormat="1" applyFont="1" applyBorder="1" applyAlignment="1">
      <alignment horizontal="right" vertical="top" shrinkToFit="1"/>
    </xf>
    <xf numFmtId="170" fontId="40" fillId="0" borderId="8" xfId="0" applyNumberFormat="1" applyFont="1" applyBorder="1" applyAlignment="1">
      <alignment horizontal="right" vertical="top" shrinkToFit="1"/>
    </xf>
    <xf numFmtId="2" fontId="38" fillId="0" borderId="8" xfId="0" applyNumberFormat="1" applyFont="1" applyBorder="1" applyAlignment="1">
      <alignment horizontal="right" shrinkToFit="1"/>
    </xf>
    <xf numFmtId="170" fontId="40" fillId="0" borderId="8" xfId="0" applyNumberFormat="1" applyFont="1" applyBorder="1" applyAlignment="1">
      <alignment horizontal="center" vertical="top" wrapText="1"/>
    </xf>
    <xf numFmtId="2" fontId="40" fillId="0" borderId="8" xfId="0" applyNumberFormat="1" applyFont="1" applyBorder="1" applyAlignment="1">
      <alignment horizontal="right" vertical="top" shrinkToFit="1"/>
    </xf>
    <xf numFmtId="2" fontId="54" fillId="0" borderId="8" xfId="0" applyNumberFormat="1" applyFont="1" applyBorder="1" applyAlignment="1">
      <alignment horizontal="center" vertical="top" wrapText="1"/>
    </xf>
    <xf numFmtId="0" fontId="42" fillId="0" borderId="8" xfId="0" applyFont="1" applyBorder="1" applyAlignment="1">
      <alignment horizontal="center" vertical="top" wrapText="1"/>
    </xf>
    <xf numFmtId="2" fontId="40" fillId="0" borderId="8" xfId="0" applyNumberFormat="1" applyFont="1" applyBorder="1" applyAlignment="1">
      <alignment horizontal="center" vertical="top" shrinkToFit="1"/>
    </xf>
    <xf numFmtId="2" fontId="38" fillId="0" borderId="8" xfId="0" applyNumberFormat="1" applyFont="1" applyBorder="1" applyAlignment="1">
      <alignment horizontal="center" vertical="top" shrinkToFit="1"/>
    </xf>
    <xf numFmtId="0" fontId="38" fillId="0" borderId="8" xfId="0" applyFont="1" applyBorder="1" applyAlignment="1">
      <alignment horizontal="right" vertical="center" shrinkToFit="1"/>
    </xf>
    <xf numFmtId="2" fontId="38" fillId="0" borderId="8" xfId="0" applyNumberFormat="1" applyFont="1" applyBorder="1" applyAlignment="1">
      <alignment horizontal="right" vertical="center" shrinkToFit="1"/>
    </xf>
    <xf numFmtId="170" fontId="38" fillId="0" borderId="8" xfId="0" applyNumberFormat="1" applyFont="1" applyBorder="1" applyAlignment="1">
      <alignment horizontal="right" vertical="center" shrinkToFit="1"/>
    </xf>
    <xf numFmtId="0" fontId="38" fillId="0" borderId="8" xfId="0" applyFont="1" applyBorder="1" applyAlignment="1">
      <alignment vertical="top" wrapText="1"/>
    </xf>
    <xf numFmtId="1" fontId="38" fillId="0" borderId="8" xfId="0" applyNumberFormat="1" applyFont="1" applyBorder="1" applyAlignment="1">
      <alignment horizontal="right" vertical="center" shrinkToFit="1"/>
    </xf>
    <xf numFmtId="0" fontId="43" fillId="0" borderId="8" xfId="0" applyFont="1" applyBorder="1" applyAlignment="1">
      <alignment vertical="top" wrapText="1"/>
    </xf>
    <xf numFmtId="0" fontId="38" fillId="0" borderId="8" xfId="0" applyFont="1" applyBorder="1" applyAlignment="1">
      <alignment horizontal="justify" vertical="top" shrinkToFit="1"/>
    </xf>
    <xf numFmtId="2" fontId="43" fillId="0" borderId="8" xfId="0" applyNumberFormat="1" applyFont="1" applyBorder="1" applyAlignment="1">
      <alignment horizontal="right" vertical="center"/>
    </xf>
    <xf numFmtId="2" fontId="40" fillId="0" borderId="8" xfId="0" applyNumberFormat="1" applyFont="1" applyBorder="1" applyAlignment="1">
      <alignment horizontal="right" vertical="center" shrinkToFit="1"/>
    </xf>
    <xf numFmtId="173" fontId="40" fillId="0" borderId="8" xfId="0" applyNumberFormat="1" applyFont="1" applyBorder="1" applyAlignment="1">
      <alignment horizontal="center" vertical="top" shrinkToFit="1"/>
    </xf>
    <xf numFmtId="0" fontId="40" fillId="0" borderId="8" xfId="0" applyFont="1" applyBorder="1" applyAlignment="1">
      <alignment horizontal="right" vertical="center" shrinkToFit="1"/>
    </xf>
    <xf numFmtId="170" fontId="40" fillId="0" borderId="8" xfId="0" applyNumberFormat="1" applyFont="1" applyBorder="1" applyAlignment="1">
      <alignment horizontal="right" vertical="center" shrinkToFit="1"/>
    </xf>
    <xf numFmtId="0" fontId="40" fillId="0" borderId="8" xfId="0" applyFont="1" applyBorder="1" applyAlignment="1">
      <alignment horizontal="left" vertical="center" shrinkToFit="1"/>
    </xf>
    <xf numFmtId="0" fontId="43" fillId="0" borderId="8" xfId="0" applyFont="1" applyBorder="1" applyAlignment="1">
      <alignment horizontal="left" vertical="top" wrapText="1"/>
    </xf>
    <xf numFmtId="0" fontId="38" fillId="0" borderId="8" xfId="0" applyFont="1" applyBorder="1" applyAlignment="1">
      <alignment horizontal="left" vertical="center" shrinkToFit="1"/>
    </xf>
    <xf numFmtId="2" fontId="38" fillId="0" borderId="8" xfId="0" applyNumberFormat="1" applyFont="1" applyBorder="1" applyAlignment="1">
      <alignment horizontal="left" vertical="center" shrinkToFit="1"/>
    </xf>
    <xf numFmtId="0" fontId="51" fillId="0" borderId="8" xfId="0" applyFont="1" applyBorder="1" applyAlignment="1">
      <alignment horizontal="justify" vertical="top" wrapText="1"/>
    </xf>
    <xf numFmtId="0" fontId="38" fillId="0" borderId="8" xfId="0" applyFont="1" applyBorder="1" applyAlignment="1">
      <alignment horizontal="justify" vertical="center" wrapText="1"/>
    </xf>
    <xf numFmtId="0" fontId="38" fillId="0" borderId="106" xfId="0" applyFont="1" applyBorder="1" applyAlignment="1">
      <alignment horizontal="center" vertical="center" shrinkToFit="1"/>
    </xf>
    <xf numFmtId="0" fontId="40" fillId="0" borderId="46" xfId="0" applyFont="1" applyBorder="1" applyAlignment="1">
      <alignment horizontal="center" vertical="top" wrapText="1"/>
    </xf>
    <xf numFmtId="0" fontId="38" fillId="0" borderId="46" xfId="0" applyFont="1" applyBorder="1" applyAlignment="1">
      <alignment horizontal="justify" vertical="top" wrapText="1"/>
    </xf>
    <xf numFmtId="0" fontId="38" fillId="0" borderId="46" xfId="0" applyFont="1" applyBorder="1" applyAlignment="1">
      <alignment horizontal="center" vertical="top" wrapText="1"/>
    </xf>
    <xf numFmtId="2" fontId="38" fillId="0" borderId="46" xfId="0" applyNumberFormat="1" applyFont="1" applyBorder="1" applyAlignment="1">
      <alignment horizontal="center" vertical="top" wrapText="1"/>
    </xf>
    <xf numFmtId="170" fontId="38" fillId="0" borderId="46" xfId="0" applyNumberFormat="1" applyFont="1" applyBorder="1" applyAlignment="1">
      <alignment horizontal="center" vertical="top" wrapText="1"/>
    </xf>
    <xf numFmtId="2" fontId="38" fillId="0" borderId="46" xfId="0" applyNumberFormat="1" applyFont="1" applyBorder="1"/>
    <xf numFmtId="0" fontId="38" fillId="0" borderId="27" xfId="0" applyFont="1" applyBorder="1" applyAlignment="1">
      <alignment horizontal="center" vertical="center" shrinkToFit="1"/>
    </xf>
    <xf numFmtId="0" fontId="38" fillId="0" borderId="28" xfId="0" applyFont="1" applyBorder="1" applyAlignment="1">
      <alignment horizontal="justify" vertical="top" wrapText="1"/>
    </xf>
    <xf numFmtId="0" fontId="38" fillId="0" borderId="28" xfId="0" applyFont="1" applyBorder="1" applyAlignment="1">
      <alignment horizontal="center" vertical="top" wrapText="1"/>
    </xf>
    <xf numFmtId="2" fontId="38" fillId="0" borderId="0" xfId="0" applyNumberFormat="1" applyFont="1" applyAlignment="1">
      <alignment horizontal="center" vertical="top" wrapText="1"/>
    </xf>
    <xf numFmtId="170" fontId="38" fillId="0" borderId="0" xfId="0" applyNumberFormat="1" applyFont="1" applyAlignment="1">
      <alignment horizontal="center" vertical="top" wrapText="1"/>
    </xf>
    <xf numFmtId="0" fontId="439" fillId="0" borderId="8" xfId="11637" applyFont="1" applyBorder="1" applyProtection="1">
      <alignment vertical="center"/>
      <protection hidden="1"/>
    </xf>
    <xf numFmtId="0" fontId="440" fillId="0" borderId="8" xfId="11637" applyFont="1" applyBorder="1" applyAlignment="1" applyProtection="1">
      <alignment horizontal="center" vertical="center"/>
      <protection hidden="1"/>
    </xf>
    <xf numFmtId="0" fontId="440" fillId="0" borderId="8" xfId="11637" applyFont="1" applyBorder="1" applyProtection="1">
      <alignment vertical="center"/>
      <protection hidden="1"/>
    </xf>
    <xf numFmtId="2" fontId="440" fillId="0" borderId="8" xfId="11637" applyNumberFormat="1" applyFont="1" applyBorder="1" applyAlignment="1" applyProtection="1">
      <alignment horizontal="center" vertical="center"/>
      <protection hidden="1"/>
    </xf>
    <xf numFmtId="178" fontId="440" fillId="0" borderId="8" xfId="11637" applyNumberFormat="1" applyFont="1" applyBorder="1" applyAlignment="1" applyProtection="1">
      <alignment horizontal="center" vertical="center"/>
      <protection hidden="1"/>
    </xf>
    <xf numFmtId="2" fontId="439" fillId="0" borderId="8" xfId="11637" applyNumberFormat="1" applyFont="1" applyBorder="1" applyAlignment="1" applyProtection="1">
      <alignment horizontal="center" vertical="center"/>
      <protection hidden="1"/>
    </xf>
    <xf numFmtId="0" fontId="439" fillId="0" borderId="8" xfId="11638" applyFont="1" applyBorder="1" applyAlignment="1" applyProtection="1">
      <alignment vertical="center"/>
      <protection hidden="1"/>
    </xf>
    <xf numFmtId="0" fontId="440" fillId="0" borderId="8" xfId="11638" applyFont="1" applyBorder="1" applyAlignment="1" applyProtection="1">
      <alignment vertical="center"/>
      <protection hidden="1"/>
    </xf>
    <xf numFmtId="0" fontId="440" fillId="0" borderId="8" xfId="11638" applyFont="1" applyBorder="1" applyAlignment="1" applyProtection="1">
      <alignment horizontal="center" vertical="center"/>
      <protection hidden="1"/>
    </xf>
    <xf numFmtId="2" fontId="440" fillId="0" borderId="8" xfId="11638" applyNumberFormat="1" applyFont="1" applyBorder="1" applyAlignment="1" applyProtection="1">
      <alignment horizontal="center" vertical="center"/>
      <protection hidden="1"/>
    </xf>
    <xf numFmtId="178" fontId="440" fillId="0" borderId="8" xfId="11638" applyNumberFormat="1" applyFont="1" applyBorder="1" applyAlignment="1" applyProtection="1">
      <alignment horizontal="center" vertical="center"/>
      <protection hidden="1"/>
    </xf>
    <xf numFmtId="2" fontId="439" fillId="0" borderId="8" xfId="11638" applyNumberFormat="1" applyFont="1" applyBorder="1" applyAlignment="1" applyProtection="1">
      <alignment horizontal="center" vertical="center"/>
      <protection hidden="1"/>
    </xf>
    <xf numFmtId="0" fontId="439" fillId="0" borderId="8" xfId="0" applyFont="1" applyBorder="1" applyAlignment="1">
      <alignment vertical="center" wrapText="1" shrinkToFit="1"/>
    </xf>
    <xf numFmtId="0" fontId="439" fillId="0" borderId="8" xfId="0" applyFont="1" applyBorder="1" applyAlignment="1">
      <alignment vertical="center" shrinkToFit="1"/>
    </xf>
    <xf numFmtId="0" fontId="439" fillId="0" borderId="8" xfId="0" applyFont="1" applyBorder="1" applyAlignment="1">
      <alignment vertical="center" wrapText="1"/>
    </xf>
    <xf numFmtId="0" fontId="440" fillId="0" borderId="8" xfId="0" applyFont="1" applyBorder="1" applyAlignment="1">
      <alignment horizontal="center" vertical="center" wrapText="1"/>
    </xf>
    <xf numFmtId="2" fontId="439" fillId="0" borderId="8" xfId="0" applyNumberFormat="1" applyFont="1" applyBorder="1" applyAlignment="1">
      <alignment horizontal="center" vertical="center" wrapText="1"/>
    </xf>
    <xf numFmtId="170" fontId="439" fillId="0" borderId="8" xfId="0" applyNumberFormat="1" applyFont="1" applyBorder="1" applyAlignment="1">
      <alignment horizontal="center" vertical="center" wrapText="1"/>
    </xf>
    <xf numFmtId="170" fontId="440" fillId="0" borderId="8" xfId="0" applyNumberFormat="1" applyFont="1" applyBorder="1" applyAlignment="1">
      <alignment horizontal="center" vertical="center" wrapText="1"/>
    </xf>
    <xf numFmtId="2" fontId="440" fillId="0" borderId="8" xfId="0" applyNumberFormat="1" applyFont="1" applyBorder="1" applyAlignment="1">
      <alignment horizontal="center" vertical="center" wrapText="1"/>
    </xf>
    <xf numFmtId="1" fontId="440" fillId="0" borderId="8" xfId="0" applyNumberFormat="1" applyFont="1" applyBorder="1" applyAlignment="1">
      <alignment vertical="center" shrinkToFit="1"/>
    </xf>
    <xf numFmtId="1" fontId="439" fillId="0" borderId="8" xfId="0" applyNumberFormat="1" applyFont="1" applyBorder="1" applyAlignment="1">
      <alignment vertical="center" shrinkToFit="1"/>
    </xf>
    <xf numFmtId="1" fontId="439" fillId="0" borderId="8" xfId="0" applyNumberFormat="1" applyFont="1" applyBorder="1" applyAlignment="1">
      <alignment horizontal="center" vertical="center" shrinkToFit="1"/>
    </xf>
    <xf numFmtId="172" fontId="439" fillId="0" borderId="8" xfId="0" applyNumberFormat="1" applyFont="1" applyBorder="1" applyAlignment="1">
      <alignment vertical="center" wrapText="1"/>
    </xf>
    <xf numFmtId="2" fontId="440" fillId="0" borderId="8" xfId="0" applyNumberFormat="1" applyFont="1" applyBorder="1" applyAlignment="1">
      <alignment horizontal="center" vertical="center" shrinkToFit="1"/>
    </xf>
    <xf numFmtId="170" fontId="439" fillId="0" borderId="8" xfId="0" applyNumberFormat="1" applyFont="1" applyBorder="1" applyAlignment="1">
      <alignment horizontal="center" vertical="center"/>
    </xf>
    <xf numFmtId="170" fontId="440" fillId="0" borderId="8" xfId="0" applyNumberFormat="1" applyFont="1" applyBorder="1" applyAlignment="1">
      <alignment horizontal="center" vertical="center"/>
    </xf>
    <xf numFmtId="2" fontId="440" fillId="0" borderId="8" xfId="0" applyNumberFormat="1" applyFont="1" applyBorder="1" applyAlignment="1">
      <alignment horizontal="center" vertical="center"/>
    </xf>
    <xf numFmtId="0" fontId="440" fillId="0" borderId="8" xfId="0" applyFont="1" applyBorder="1" applyAlignment="1">
      <alignment vertical="center"/>
    </xf>
    <xf numFmtId="0" fontId="440" fillId="0" borderId="8" xfId="0" applyFont="1" applyBorder="1" applyAlignment="1">
      <alignment vertical="center" wrapText="1"/>
    </xf>
    <xf numFmtId="177" fontId="440" fillId="0" borderId="8" xfId="0" applyNumberFormat="1" applyFont="1" applyBorder="1" applyAlignment="1">
      <alignment horizontal="center" vertical="center"/>
    </xf>
    <xf numFmtId="172" fontId="440" fillId="0" borderId="8" xfId="0" applyNumberFormat="1" applyFont="1" applyBorder="1" applyAlignment="1">
      <alignment vertical="center" wrapText="1"/>
    </xf>
    <xf numFmtId="173" fontId="439" fillId="0" borderId="8" xfId="0" applyNumberFormat="1" applyFont="1" applyBorder="1" applyAlignment="1">
      <alignment vertical="center" wrapText="1"/>
    </xf>
    <xf numFmtId="2" fontId="439" fillId="0" borderId="8" xfId="0" applyNumberFormat="1" applyFont="1" applyBorder="1" applyAlignment="1">
      <alignment horizontal="center" vertical="center" shrinkToFit="1"/>
    </xf>
    <xf numFmtId="0" fontId="440" fillId="0" borderId="8" xfId="0" applyFont="1" applyBorder="1" applyAlignment="1">
      <alignment vertical="center" shrinkToFit="1"/>
    </xf>
    <xf numFmtId="0" fontId="440" fillId="0" borderId="8" xfId="0" applyFont="1" applyBorder="1" applyAlignment="1">
      <alignment horizontal="center" vertical="center" shrinkToFit="1"/>
    </xf>
    <xf numFmtId="170" fontId="440" fillId="0" borderId="8" xfId="0" applyNumberFormat="1" applyFont="1" applyBorder="1" applyAlignment="1">
      <alignment horizontal="center" vertical="center" shrinkToFit="1"/>
    </xf>
    <xf numFmtId="170" fontId="439" fillId="0" borderId="8" xfId="0" applyNumberFormat="1" applyFont="1" applyBorder="1" applyAlignment="1">
      <alignment horizontal="center" vertical="center" shrinkToFit="1"/>
    </xf>
    <xf numFmtId="2" fontId="439" fillId="0" borderId="8" xfId="0" applyNumberFormat="1" applyFont="1" applyBorder="1" applyAlignment="1">
      <alignment vertical="center" shrinkToFit="1"/>
    </xf>
    <xf numFmtId="0" fontId="439" fillId="0" borderId="8" xfId="0" applyFont="1" applyBorder="1" applyAlignment="1">
      <alignment horizontal="center" vertical="center" shrinkToFit="1"/>
    </xf>
    <xf numFmtId="2" fontId="440" fillId="0" borderId="8" xfId="0" applyNumberFormat="1" applyFont="1" applyBorder="1" applyAlignment="1">
      <alignment vertical="center" shrinkToFit="1"/>
    </xf>
    <xf numFmtId="1" fontId="440" fillId="0" borderId="8" xfId="0" applyNumberFormat="1" applyFont="1" applyBorder="1" applyAlignment="1">
      <alignment horizontal="center" vertical="center" shrinkToFit="1"/>
    </xf>
    <xf numFmtId="173" fontId="439" fillId="0" borderId="8" xfId="0" applyNumberFormat="1" applyFont="1" applyBorder="1" applyAlignment="1">
      <alignment vertical="center" shrinkToFit="1"/>
    </xf>
    <xf numFmtId="0" fontId="440" fillId="0" borderId="8" xfId="11786" applyFont="1" applyBorder="1" applyAlignment="1">
      <alignment vertical="center"/>
    </xf>
    <xf numFmtId="0" fontId="440" fillId="0" borderId="8" xfId="11786" applyFont="1" applyBorder="1" applyAlignment="1">
      <alignment horizontal="center" vertical="center" wrapText="1"/>
    </xf>
    <xf numFmtId="170" fontId="440" fillId="0" borderId="8" xfId="11786" applyNumberFormat="1" applyFont="1" applyBorder="1" applyAlignment="1">
      <alignment horizontal="center" vertical="center"/>
    </xf>
    <xf numFmtId="2" fontId="440" fillId="0" borderId="8" xfId="11786" applyNumberFormat="1" applyFont="1" applyBorder="1" applyAlignment="1">
      <alignment horizontal="center" vertical="center"/>
    </xf>
    <xf numFmtId="0" fontId="440" fillId="0" borderId="8" xfId="11638" applyFont="1" applyBorder="1" applyAlignment="1">
      <alignment horizontal="center" vertical="center"/>
    </xf>
    <xf numFmtId="0" fontId="439" fillId="0" borderId="8" xfId="13853" applyFont="1" applyBorder="1" applyAlignment="1">
      <alignment vertical="center" wrapText="1"/>
    </xf>
    <xf numFmtId="0" fontId="440" fillId="0" borderId="8" xfId="11786" applyFont="1" applyBorder="1" applyAlignment="1">
      <alignment horizontal="center" vertical="center"/>
    </xf>
    <xf numFmtId="0" fontId="80" fillId="0" borderId="40" xfId="0" applyFont="1" applyBorder="1" applyAlignment="1">
      <alignment horizontal="center" vertical="top" wrapText="1"/>
    </xf>
    <xf numFmtId="172" fontId="82" fillId="0" borderId="40" xfId="0" applyNumberFormat="1" applyFont="1" applyBorder="1" applyAlignment="1">
      <alignment horizontal="justify" vertical="top" wrapText="1"/>
    </xf>
    <xf numFmtId="172" fontId="6" fillId="0" borderId="40" xfId="0" applyNumberFormat="1" applyFont="1" applyBorder="1" applyAlignment="1">
      <alignment horizontal="center" vertical="top" wrapText="1"/>
    </xf>
    <xf numFmtId="0" fontId="83" fillId="0" borderId="40" xfId="0" applyFont="1" applyBorder="1" applyAlignment="1">
      <alignment horizontal="justify" vertical="top" wrapText="1"/>
    </xf>
    <xf numFmtId="172" fontId="83" fillId="0" borderId="40" xfId="0" applyNumberFormat="1" applyFont="1" applyBorder="1" applyAlignment="1">
      <alignment horizontal="justify" vertical="top" wrapText="1"/>
    </xf>
    <xf numFmtId="0" fontId="6" fillId="0" borderId="40" xfId="0" applyFont="1" applyBorder="1" applyAlignment="1">
      <alignment horizontal="center" vertical="top" wrapText="1"/>
    </xf>
    <xf numFmtId="174" fontId="6" fillId="0" borderId="40" xfId="0" applyNumberFormat="1" applyFont="1" applyBorder="1" applyAlignment="1">
      <alignment horizontal="center" vertical="top" wrapText="1"/>
    </xf>
    <xf numFmtId="0" fontId="6" fillId="0" borderId="41" xfId="0" applyFont="1" applyBorder="1" applyAlignment="1">
      <alignment horizontal="center" vertical="top" wrapText="1"/>
    </xf>
    <xf numFmtId="0" fontId="82" fillId="0" borderId="40" xfId="0" applyFont="1" applyBorder="1" applyAlignment="1">
      <alignment horizontal="justify" vertical="top" wrapText="1"/>
    </xf>
    <xf numFmtId="0" fontId="38" fillId="0" borderId="0" xfId="0" applyFont="1" applyAlignment="1">
      <alignment vertical="top" wrapText="1"/>
    </xf>
    <xf numFmtId="0" fontId="4" fillId="0" borderId="0" xfId="0" applyFont="1" applyAlignment="1">
      <alignment vertical="center"/>
    </xf>
    <xf numFmtId="0" fontId="38" fillId="0" borderId="0" xfId="0" applyFont="1" applyAlignment="1">
      <alignment horizontal="left" vertical="top"/>
    </xf>
    <xf numFmtId="0" fontId="40" fillId="0" borderId="0" xfId="0" applyFont="1" applyAlignment="1">
      <alignment vertical="top" wrapText="1"/>
    </xf>
    <xf numFmtId="2" fontId="40" fillId="0" borderId="0" xfId="0" applyNumberFormat="1" applyFont="1" applyAlignment="1">
      <alignment vertical="top" wrapText="1"/>
    </xf>
    <xf numFmtId="0" fontId="38" fillId="0" borderId="8" xfId="0" applyFont="1" applyBorder="1" applyAlignment="1">
      <alignment horizontal="center" vertical="top"/>
    </xf>
    <xf numFmtId="2" fontId="38" fillId="0" borderId="8" xfId="0" applyNumberFormat="1" applyFont="1" applyBorder="1" applyAlignment="1">
      <alignment vertical="top" wrapText="1"/>
    </xf>
    <xf numFmtId="49" fontId="38" fillId="0" borderId="8" xfId="0" applyNumberFormat="1" applyFont="1" applyBorder="1" applyAlignment="1">
      <alignment horizontal="left" vertical="top" shrinkToFit="1"/>
    </xf>
    <xf numFmtId="2" fontId="38" fillId="0" borderId="8" xfId="0" applyNumberFormat="1" applyFont="1" applyBorder="1" applyAlignment="1">
      <alignment vertical="top" shrinkToFit="1"/>
    </xf>
    <xf numFmtId="0" fontId="40" fillId="0" borderId="8" xfId="0" applyFont="1" applyBorder="1" applyAlignment="1">
      <alignment horizontal="center" vertical="top"/>
    </xf>
    <xf numFmtId="0" fontId="40" fillId="0" borderId="8" xfId="0" applyFont="1" applyBorder="1" applyAlignment="1">
      <alignment vertical="top" wrapText="1"/>
    </xf>
    <xf numFmtId="2" fontId="40" fillId="0" borderId="8" xfId="0" applyNumberFormat="1" applyFont="1" applyBorder="1" applyAlignment="1">
      <alignment vertical="top" wrapText="1"/>
    </xf>
    <xf numFmtId="178" fontId="40" fillId="0" borderId="8" xfId="0" applyNumberFormat="1" applyFont="1" applyBorder="1" applyAlignment="1">
      <alignment horizontal="center" vertical="top" wrapText="1"/>
    </xf>
    <xf numFmtId="9" fontId="40" fillId="0" borderId="8" xfId="0" applyNumberFormat="1" applyFont="1" applyBorder="1" applyAlignment="1">
      <alignment horizontal="center" vertical="top" wrapText="1"/>
    </xf>
    <xf numFmtId="170" fontId="40" fillId="0" borderId="8" xfId="0" applyNumberFormat="1" applyFont="1" applyBorder="1" applyAlignment="1">
      <alignment vertical="top" wrapText="1"/>
    </xf>
    <xf numFmtId="0" fontId="70" fillId="0" borderId="8" xfId="0" applyFont="1" applyBorder="1" applyAlignment="1">
      <alignment horizontal="justify" vertical="top" wrapText="1"/>
    </xf>
    <xf numFmtId="0" fontId="38" fillId="0" borderId="8" xfId="0" quotePrefix="1" applyFont="1" applyBorder="1" applyAlignment="1">
      <alignment horizontal="justify" vertical="top" wrapText="1"/>
    </xf>
    <xf numFmtId="4" fontId="38" fillId="0" borderId="8" xfId="0" applyNumberFormat="1" applyFont="1" applyBorder="1" applyAlignment="1">
      <alignment horizontal="center" vertical="top" wrapText="1"/>
    </xf>
    <xf numFmtId="0" fontId="141" fillId="0" borderId="8" xfId="57" applyFont="1" applyBorder="1" applyAlignment="1">
      <alignment horizontal="center" vertical="top" wrapText="1"/>
    </xf>
    <xf numFmtId="0" fontId="141" fillId="0" borderId="8" xfId="57" applyFont="1" applyBorder="1" applyAlignment="1">
      <alignment horizontal="center" vertical="top"/>
    </xf>
    <xf numFmtId="0" fontId="144" fillId="0" borderId="8" xfId="57" applyFont="1" applyBorder="1" applyAlignment="1">
      <alignment horizontal="justify" vertical="top" wrapText="1"/>
    </xf>
    <xf numFmtId="0" fontId="143" fillId="0" borderId="8" xfId="57" applyFont="1" applyBorder="1" applyAlignment="1">
      <alignment horizontal="center" vertical="top" wrapText="1"/>
    </xf>
    <xf numFmtId="0" fontId="143" fillId="0" borderId="8" xfId="57" applyFont="1" applyBorder="1" applyAlignment="1">
      <alignment horizontal="justify" vertical="top" wrapText="1"/>
    </xf>
    <xf numFmtId="0" fontId="141" fillId="0" borderId="8" xfId="57" applyFont="1" applyBorder="1" applyAlignment="1">
      <alignment horizontal="justify" vertical="top" wrapText="1"/>
    </xf>
    <xf numFmtId="2" fontId="143" fillId="0" borderId="8" xfId="19411" applyNumberFormat="1" applyFont="1" applyBorder="1" applyAlignment="1">
      <alignment horizontal="center" vertical="top" wrapText="1"/>
    </xf>
    <xf numFmtId="2" fontId="38" fillId="0" borderId="8" xfId="0" applyNumberFormat="1" applyFont="1" applyBorder="1" applyAlignment="1">
      <alignment horizontal="right" vertical="top"/>
    </xf>
    <xf numFmtId="0" fontId="38" fillId="0" borderId="8" xfId="0" applyFont="1" applyBorder="1" applyAlignment="1">
      <alignment horizontal="left" vertical="top" shrinkToFit="1"/>
    </xf>
    <xf numFmtId="1" fontId="38" fillId="0" borderId="8" xfId="0" applyNumberFormat="1" applyFont="1" applyBorder="1" applyAlignment="1">
      <alignment horizontal="center"/>
    </xf>
    <xf numFmtId="4" fontId="38" fillId="0" borderId="8" xfId="0" applyNumberFormat="1" applyFont="1" applyBorder="1" applyAlignment="1">
      <alignment vertical="top" wrapText="1"/>
    </xf>
    <xf numFmtId="0" fontId="38" fillId="0" borderId="8" xfId="0" applyFont="1" applyBorder="1" applyAlignment="1">
      <alignment horizontal="left" vertical="top"/>
    </xf>
    <xf numFmtId="0" fontId="40" fillId="0" borderId="8" xfId="0" applyFont="1" applyBorder="1" applyAlignment="1">
      <alignment horizontal="left" vertical="top" wrapText="1"/>
    </xf>
    <xf numFmtId="0" fontId="38" fillId="0" borderId="8" xfId="0" applyFont="1" applyBorder="1" applyAlignment="1">
      <alignment horizontal="left" vertical="top" wrapText="1"/>
    </xf>
    <xf numFmtId="2" fontId="38" fillId="0" borderId="8" xfId="0" applyNumberFormat="1" applyFont="1" applyBorder="1" applyAlignment="1">
      <alignment vertical="top"/>
    </xf>
    <xf numFmtId="4" fontId="38" fillId="0" borderId="8" xfId="0" applyNumberFormat="1" applyFont="1" applyBorder="1" applyAlignment="1">
      <alignment vertical="top"/>
    </xf>
    <xf numFmtId="0" fontId="38" fillId="0" borderId="8" xfId="71" applyFont="1" applyBorder="1"/>
    <xf numFmtId="0" fontId="38" fillId="0" borderId="8" xfId="71" applyFont="1" applyBorder="1" applyAlignment="1">
      <alignment vertical="top" wrapText="1"/>
    </xf>
    <xf numFmtId="49" fontId="38" fillId="0" borderId="8" xfId="71" applyNumberFormat="1" applyFont="1" applyBorder="1" applyAlignment="1">
      <alignment horizontal="center"/>
    </xf>
    <xf numFmtId="49" fontId="38" fillId="0" borderId="8" xfId="71" applyNumberFormat="1" applyFont="1" applyBorder="1"/>
    <xf numFmtId="1" fontId="38" fillId="0" borderId="8" xfId="71" applyNumberFormat="1" applyFont="1" applyBorder="1" applyAlignment="1">
      <alignment horizontal="center"/>
    </xf>
    <xf numFmtId="49" fontId="38" fillId="0" borderId="8" xfId="71" applyNumberFormat="1" applyFont="1" applyBorder="1" applyAlignment="1">
      <alignment vertical="top"/>
    </xf>
    <xf numFmtId="0" fontId="38" fillId="0" borderId="8" xfId="71" applyFont="1" applyBorder="1" applyAlignment="1">
      <alignment vertical="top"/>
    </xf>
    <xf numFmtId="0" fontId="38" fillId="0" borderId="8" xfId="71" applyFont="1" applyBorder="1" applyAlignment="1">
      <alignment horizontal="justify" vertical="top" wrapText="1"/>
    </xf>
    <xf numFmtId="1" fontId="38" fillId="0" borderId="8" xfId="71" applyNumberFormat="1" applyFont="1" applyBorder="1" applyAlignment="1">
      <alignment vertical="top"/>
    </xf>
    <xf numFmtId="1" fontId="38" fillId="0" borderId="8" xfId="71" applyNumberFormat="1" applyFont="1" applyBorder="1" applyAlignment="1">
      <alignment horizontal="center" vertical="top"/>
    </xf>
    <xf numFmtId="2" fontId="38" fillId="0" borderId="8" xfId="71" applyNumberFormat="1" applyFont="1" applyBorder="1" applyAlignment="1">
      <alignment vertical="top"/>
    </xf>
    <xf numFmtId="2" fontId="38" fillId="0" borderId="8" xfId="71" applyNumberFormat="1" applyFont="1" applyBorder="1"/>
    <xf numFmtId="2" fontId="38" fillId="0" borderId="8" xfId="71" applyNumberFormat="1" applyFont="1" applyBorder="1" applyAlignment="1">
      <alignment horizontal="center"/>
    </xf>
    <xf numFmtId="1" fontId="38" fillId="0" borderId="8" xfId="71" applyNumberFormat="1" applyFont="1" applyBorder="1" applyAlignment="1">
      <alignment horizontal="right"/>
    </xf>
    <xf numFmtId="2" fontId="40" fillId="0" borderId="8" xfId="71" applyNumberFormat="1" applyFont="1" applyBorder="1"/>
    <xf numFmtId="49" fontId="38" fillId="0" borderId="8" xfId="71" applyNumberFormat="1" applyFont="1" applyBorder="1" applyAlignment="1">
      <alignment shrinkToFit="1"/>
    </xf>
    <xf numFmtId="1" fontId="38" fillId="0" borderId="8" xfId="71" applyNumberFormat="1" applyFont="1" applyBorder="1"/>
    <xf numFmtId="49" fontId="40" fillId="0" borderId="8" xfId="71" applyNumberFormat="1" applyFont="1" applyBorder="1"/>
    <xf numFmtId="49" fontId="38" fillId="0" borderId="8" xfId="71" applyNumberFormat="1" applyFont="1" applyBorder="1" applyAlignment="1">
      <alignment vertical="top" wrapText="1"/>
    </xf>
    <xf numFmtId="49" fontId="38" fillId="0" borderId="8" xfId="71" applyNumberFormat="1" applyFont="1" applyBorder="1" applyAlignment="1">
      <alignment horizontal="justify" vertical="top" wrapText="1"/>
    </xf>
    <xf numFmtId="1" fontId="38" fillId="0" borderId="8" xfId="71" applyNumberFormat="1" applyFont="1" applyBorder="1" applyAlignment="1">
      <alignment vertical="top" wrapText="1"/>
    </xf>
    <xf numFmtId="1" fontId="38" fillId="0" borderId="8" xfId="71" applyNumberFormat="1" applyFont="1" applyBorder="1" applyAlignment="1">
      <alignment horizontal="center" vertical="top" wrapText="1"/>
    </xf>
    <xf numFmtId="2" fontId="38" fillId="0" borderId="8" xfId="71" applyNumberFormat="1" applyFont="1" applyBorder="1" applyAlignment="1">
      <alignment vertical="top" wrapText="1"/>
    </xf>
    <xf numFmtId="0" fontId="38" fillId="0" borderId="8" xfId="71" applyFont="1" applyBorder="1" applyAlignment="1">
      <alignment horizontal="right"/>
    </xf>
    <xf numFmtId="0" fontId="40" fillId="0" borderId="8" xfId="71" applyFont="1" applyBorder="1"/>
    <xf numFmtId="0" fontId="38" fillId="0" borderId="8" xfId="71" applyFont="1" applyBorder="1" applyAlignment="1">
      <alignment wrapText="1"/>
    </xf>
    <xf numFmtId="49" fontId="40" fillId="0" borderId="8" xfId="71" applyNumberFormat="1" applyFont="1" applyBorder="1" applyAlignment="1">
      <alignment vertical="top"/>
    </xf>
    <xf numFmtId="0" fontId="43" fillId="0" borderId="8" xfId="0" applyFont="1" applyBorder="1" applyAlignment="1">
      <alignment horizontal="center" vertical="top" wrapText="1"/>
    </xf>
    <xf numFmtId="0" fontId="41" fillId="0" borderId="8" xfId="0" applyFont="1" applyBorder="1" applyAlignment="1">
      <alignment horizontal="justify" vertical="center" wrapText="1"/>
    </xf>
    <xf numFmtId="0" fontId="43" fillId="0" borderId="8" xfId="0" applyFont="1" applyBorder="1" applyAlignment="1">
      <alignment horizontal="center" vertical="center" wrapText="1"/>
    </xf>
    <xf numFmtId="2" fontId="38" fillId="0" borderId="8" xfId="71" applyNumberFormat="1" applyFont="1" applyBorder="1" applyAlignment="1">
      <alignment vertical="center"/>
    </xf>
    <xf numFmtId="0" fontId="41" fillId="0" borderId="8" xfId="0" applyFont="1" applyBorder="1" applyAlignment="1">
      <alignment horizontal="justify" vertical="top" wrapText="1"/>
    </xf>
    <xf numFmtId="9" fontId="43" fillId="0" borderId="8" xfId="79" applyFont="1" applyFill="1" applyBorder="1" applyAlignment="1">
      <alignment horizontal="center" vertical="top" wrapText="1"/>
    </xf>
    <xf numFmtId="9" fontId="38" fillId="0" borderId="8" xfId="79" applyFont="1" applyFill="1" applyBorder="1" applyAlignment="1">
      <alignment vertical="top"/>
    </xf>
    <xf numFmtId="0" fontId="40" fillId="0" borderId="8" xfId="71" applyFont="1" applyBorder="1" applyAlignment="1">
      <alignment horizontal="justify" vertical="top" wrapText="1"/>
    </xf>
    <xf numFmtId="0" fontId="38" fillId="0" borderId="8" xfId="71" applyFont="1" applyBorder="1" applyAlignment="1">
      <alignment horizontal="center" vertical="top" wrapText="1"/>
    </xf>
    <xf numFmtId="49" fontId="38" fillId="0" borderId="8" xfId="71" applyNumberFormat="1" applyFont="1" applyBorder="1" applyAlignment="1">
      <alignment horizontal="center" vertical="top"/>
    </xf>
    <xf numFmtId="2" fontId="38" fillId="0" borderId="8" xfId="71" applyNumberFormat="1" applyFont="1" applyBorder="1" applyAlignment="1">
      <alignment horizontal="center" vertical="top"/>
    </xf>
    <xf numFmtId="2" fontId="38" fillId="0" borderId="8" xfId="71" applyNumberFormat="1" applyFont="1" applyBorder="1" applyAlignment="1">
      <alignment horizontal="right" vertical="top"/>
    </xf>
    <xf numFmtId="0" fontId="38" fillId="0" borderId="8" xfId="71" applyFont="1" applyBorder="1" applyAlignment="1">
      <alignment horizontal="center" vertical="top"/>
    </xf>
    <xf numFmtId="2" fontId="40" fillId="0" borderId="8" xfId="71" applyNumberFormat="1" applyFont="1" applyBorder="1" applyAlignment="1">
      <alignment horizontal="right" vertical="top"/>
    </xf>
    <xf numFmtId="2" fontId="40" fillId="0" borderId="8" xfId="71" applyNumberFormat="1" applyFont="1" applyBorder="1" applyAlignment="1">
      <alignment horizontal="right"/>
    </xf>
    <xf numFmtId="2" fontId="38" fillId="0" borderId="8" xfId="71" applyNumberFormat="1" applyFont="1" applyBorder="1" applyAlignment="1">
      <alignment horizontal="justify" vertical="top" wrapText="1"/>
    </xf>
    <xf numFmtId="0" fontId="38" fillId="0" borderId="0" xfId="71" applyFont="1"/>
    <xf numFmtId="1" fontId="38" fillId="0" borderId="0" xfId="71" applyNumberFormat="1" applyFont="1" applyAlignment="1">
      <alignment horizontal="center"/>
    </xf>
    <xf numFmtId="0" fontId="98" fillId="0" borderId="8" xfId="0" applyFont="1" applyBorder="1" applyAlignment="1">
      <alignment horizontal="center" vertical="center" wrapText="1"/>
    </xf>
    <xf numFmtId="0" fontId="97" fillId="0" borderId="8" xfId="0" applyFont="1" applyBorder="1" applyAlignment="1">
      <alignment horizontal="left" vertical="center" wrapText="1"/>
    </xf>
    <xf numFmtId="2" fontId="98" fillId="0" borderId="8" xfId="0" applyNumberFormat="1" applyFont="1" applyBorder="1" applyAlignment="1">
      <alignment horizontal="right" vertical="center" wrapText="1"/>
    </xf>
    <xf numFmtId="0" fontId="98" fillId="0" borderId="8" xfId="0" applyFont="1" applyBorder="1" applyAlignment="1">
      <alignment horizontal="center" vertical="top" wrapText="1"/>
    </xf>
    <xf numFmtId="0" fontId="98" fillId="0" borderId="8" xfId="0" applyFont="1" applyBorder="1" applyAlignment="1">
      <alignment horizontal="justify" vertical="top" wrapText="1"/>
    </xf>
    <xf numFmtId="2" fontId="98" fillId="0" borderId="8" xfId="0" applyNumberFormat="1" applyFont="1" applyBorder="1" applyAlignment="1">
      <alignment horizontal="right" vertical="top" wrapText="1"/>
    </xf>
    <xf numFmtId="0" fontId="98" fillId="0" borderId="8" xfId="0" applyFont="1" applyBorder="1" applyAlignment="1">
      <alignment horizontal="center" vertical="center"/>
    </xf>
    <xf numFmtId="0" fontId="98" fillId="0" borderId="8" xfId="0" applyFont="1" applyBorder="1" applyAlignment="1">
      <alignment horizontal="left" vertical="center" wrapText="1"/>
    </xf>
    <xf numFmtId="2" fontId="98" fillId="0" borderId="8" xfId="0" applyNumberFormat="1" applyFont="1" applyBorder="1" applyAlignment="1">
      <alignment horizontal="left" vertical="center"/>
    </xf>
    <xf numFmtId="0" fontId="119" fillId="0" borderId="8" xfId="0" applyFont="1" applyBorder="1" applyAlignment="1">
      <alignment horizontal="center" vertical="center" wrapText="1"/>
    </xf>
    <xf numFmtId="0" fontId="119" fillId="0" borderId="8" xfId="0" applyFont="1" applyBorder="1" applyAlignment="1">
      <alignment horizontal="left" vertical="center" wrapText="1"/>
    </xf>
    <xf numFmtId="2" fontId="119" fillId="0" borderId="8" xfId="0" applyNumberFormat="1" applyFont="1" applyBorder="1" applyAlignment="1">
      <alignment horizontal="right" vertical="center" wrapText="1"/>
    </xf>
    <xf numFmtId="0" fontId="118" fillId="0" borderId="8" xfId="0" applyFont="1" applyBorder="1" applyAlignment="1">
      <alignment horizontal="center" vertical="top" wrapText="1"/>
    </xf>
    <xf numFmtId="0" fontId="98" fillId="0" borderId="8" xfId="0" applyFont="1" applyBorder="1" applyAlignment="1">
      <alignment horizontal="center" vertical="top"/>
    </xf>
    <xf numFmtId="0" fontId="98" fillId="0" borderId="8" xfId="0" applyFont="1" applyBorder="1" applyAlignment="1">
      <alignment horizontal="left" vertical="top" wrapText="1"/>
    </xf>
    <xf numFmtId="0" fontId="118" fillId="0" borderId="8" xfId="0" applyFont="1" applyBorder="1"/>
    <xf numFmtId="2" fontId="96" fillId="0" borderId="8" xfId="0" applyNumberFormat="1" applyFont="1" applyBorder="1" applyAlignment="1">
      <alignment wrapText="1"/>
    </xf>
    <xf numFmtId="0" fontId="96" fillId="0" borderId="8" xfId="0" applyFont="1" applyBorder="1" applyAlignment="1">
      <alignment horizontal="left" vertical="top" wrapText="1"/>
    </xf>
    <xf numFmtId="2" fontId="96" fillId="0" borderId="8" xfId="0" applyNumberFormat="1" applyFont="1" applyBorder="1" applyAlignment="1">
      <alignment horizontal="center" wrapText="1"/>
    </xf>
    <xf numFmtId="0" fontId="96" fillId="0" borderId="8" xfId="0" applyFont="1" applyBorder="1" applyAlignment="1" applyProtection="1">
      <alignment horizontal="left" vertical="top" wrapText="1"/>
      <protection hidden="1"/>
    </xf>
    <xf numFmtId="2" fontId="96" fillId="0" borderId="8" xfId="0" applyNumberFormat="1" applyFont="1" applyBorder="1" applyAlignment="1" applyProtection="1">
      <alignment horizontal="center" wrapText="1"/>
      <protection hidden="1"/>
    </xf>
    <xf numFmtId="2" fontId="96" fillId="0" borderId="8" xfId="0" applyNumberFormat="1" applyFont="1" applyBorder="1" applyAlignment="1" applyProtection="1">
      <alignment wrapText="1"/>
      <protection hidden="1"/>
    </xf>
    <xf numFmtId="177" fontId="96" fillId="0" borderId="8" xfId="0" applyNumberFormat="1" applyFont="1" applyBorder="1" applyAlignment="1">
      <alignment vertical="top" wrapText="1"/>
    </xf>
    <xf numFmtId="2" fontId="96" fillId="0" borderId="8" xfId="0" applyNumberFormat="1" applyFont="1" applyBorder="1" applyAlignment="1" applyProtection="1">
      <alignment vertical="top" wrapText="1"/>
      <protection hidden="1"/>
    </xf>
    <xf numFmtId="177" fontId="117" fillId="0" borderId="8" xfId="0" applyNumberFormat="1" applyFont="1" applyBorder="1" applyAlignment="1">
      <alignment wrapText="1"/>
    </xf>
    <xf numFmtId="0" fontId="96" fillId="0" borderId="8" xfId="0" applyFont="1" applyBorder="1" applyAlignment="1">
      <alignment horizontal="right" vertical="top" wrapText="1"/>
    </xf>
    <xf numFmtId="0" fontId="117" fillId="0" borderId="8" xfId="0" applyFont="1" applyBorder="1" applyAlignment="1">
      <alignment horizontal="center" vertical="top" wrapText="1"/>
    </xf>
    <xf numFmtId="177" fontId="96" fillId="0" borderId="8" xfId="0" applyNumberFormat="1" applyFont="1" applyBorder="1" applyAlignment="1">
      <alignment horizontal="justify" vertical="top" wrapText="1"/>
    </xf>
    <xf numFmtId="0" fontId="96" fillId="0" borderId="8" xfId="0" applyFont="1" applyBorder="1" applyAlignment="1">
      <alignment horizontal="justify" vertical="top" wrapText="1"/>
    </xf>
    <xf numFmtId="0" fontId="117" fillId="0" borderId="8" xfId="0" applyFont="1" applyBorder="1" applyAlignment="1">
      <alignment horizontal="justify" vertical="top" wrapText="1"/>
    </xf>
    <xf numFmtId="1" fontId="96" fillId="0" borderId="8" xfId="0" applyNumberFormat="1" applyFont="1" applyBorder="1" applyAlignment="1">
      <alignment horizontal="center" wrapText="1"/>
    </xf>
    <xf numFmtId="0" fontId="96" fillId="0" borderId="8" xfId="0" applyFont="1" applyBorder="1"/>
    <xf numFmtId="2" fontId="96" fillId="0" borderId="8" xfId="0" applyNumberFormat="1" applyFont="1" applyBorder="1"/>
    <xf numFmtId="2" fontId="117" fillId="0" borderId="8" xfId="0" applyNumberFormat="1" applyFont="1" applyBorder="1"/>
    <xf numFmtId="2" fontId="430" fillId="0" borderId="8" xfId="69" applyNumberFormat="1" applyFont="1" applyBorder="1" applyAlignment="1">
      <alignment horizontal="center" vertical="center" shrinkToFit="1"/>
    </xf>
    <xf numFmtId="0" fontId="423" fillId="0" borderId="0" xfId="95" applyFont="1"/>
    <xf numFmtId="0" fontId="129" fillId="0" borderId="0" xfId="63" applyFont="1" applyAlignment="1">
      <alignment horizontal="center" vertical="center"/>
    </xf>
    <xf numFmtId="0" fontId="133" fillId="0" borderId="0" xfId="63" applyFont="1" applyAlignment="1">
      <alignment horizontal="center" vertical="center"/>
    </xf>
    <xf numFmtId="2" fontId="133" fillId="0" borderId="0" xfId="63" applyNumberFormat="1" applyFont="1" applyAlignment="1">
      <alignment horizontal="center" vertical="center"/>
    </xf>
    <xf numFmtId="2" fontId="387" fillId="0" borderId="8" xfId="11636" applyNumberFormat="1" applyFont="1" applyBorder="1" applyAlignment="1" applyProtection="1">
      <alignment horizontal="left" vertical="top"/>
      <protection hidden="1"/>
    </xf>
    <xf numFmtId="49" fontId="38" fillId="0" borderId="8" xfId="71" applyNumberFormat="1" applyFont="1" applyBorder="1" applyAlignment="1">
      <alignment wrapText="1"/>
    </xf>
    <xf numFmtId="0" fontId="0" fillId="0" borderId="8" xfId="0" applyBorder="1"/>
    <xf numFmtId="0" fontId="441" fillId="0" borderId="8" xfId="95" applyFont="1" applyBorder="1" applyAlignment="1">
      <alignment horizontal="left" vertical="center" wrapText="1"/>
    </xf>
    <xf numFmtId="0" fontId="12" fillId="0" borderId="0" xfId="84" applyFont="1" applyAlignment="1">
      <alignment horizontal="left" vertical="top" wrapText="1"/>
    </xf>
    <xf numFmtId="0" fontId="27" fillId="0" borderId="0" xfId="84" applyFont="1" applyAlignment="1">
      <alignment horizontal="left" vertical="top" wrapText="1"/>
    </xf>
    <xf numFmtId="0" fontId="4" fillId="0" borderId="0" xfId="0" applyFont="1" applyAlignment="1">
      <alignment vertical="top"/>
    </xf>
    <xf numFmtId="0" fontId="4" fillId="0" borderId="0" xfId="0" applyFont="1" applyAlignment="1">
      <alignment vertical="center" wrapText="1"/>
    </xf>
    <xf numFmtId="0" fontId="423" fillId="0" borderId="0" xfId="95" applyFont="1" applyAlignment="1">
      <alignment horizontal="center" vertical="center" wrapText="1"/>
    </xf>
    <xf numFmtId="0" fontId="423" fillId="0" borderId="0" xfId="95" applyFont="1" applyAlignment="1">
      <alignment horizontal="left" vertical="center" wrapText="1"/>
    </xf>
    <xf numFmtId="2" fontId="423" fillId="0" borderId="0" xfId="95" applyNumberFormat="1" applyFont="1" applyAlignment="1">
      <alignment horizontal="center" vertical="center" wrapText="1"/>
    </xf>
    <xf numFmtId="2" fontId="423" fillId="0" borderId="0" xfId="95" applyNumberFormat="1" applyFont="1" applyAlignment="1">
      <alignment horizontal="right" vertical="center" wrapText="1"/>
    </xf>
    <xf numFmtId="0" fontId="442" fillId="0" borderId="8" xfId="0" applyFont="1" applyBorder="1"/>
    <xf numFmtId="0" fontId="442" fillId="43" borderId="8" xfId="0" applyFont="1" applyFill="1" applyBorder="1"/>
    <xf numFmtId="0" fontId="443" fillId="0" borderId="8" xfId="0" applyFont="1" applyBorder="1"/>
    <xf numFmtId="0" fontId="443" fillId="0" borderId="0" xfId="0" applyFont="1"/>
    <xf numFmtId="2" fontId="443" fillId="0" borderId="8" xfId="0" applyNumberFormat="1" applyFont="1" applyBorder="1"/>
    <xf numFmtId="0" fontId="444" fillId="0" borderId="0" xfId="70" applyFont="1" applyAlignment="1">
      <alignment horizontal="centerContinuous" vertical="top" wrapText="1"/>
    </xf>
    <xf numFmtId="0" fontId="445" fillId="0" borderId="0" xfId="70" applyFont="1" applyAlignment="1">
      <alignment horizontal="centerContinuous" vertical="top" wrapText="1"/>
    </xf>
    <xf numFmtId="0" fontId="443" fillId="0" borderId="0" xfId="70" applyFont="1" applyAlignment="1">
      <alignment horizontal="centerContinuous" vertical="top"/>
    </xf>
    <xf numFmtId="0" fontId="443" fillId="0" borderId="0" xfId="70" applyFont="1" applyAlignment="1">
      <alignment vertical="top"/>
    </xf>
    <xf numFmtId="0" fontId="446" fillId="0" borderId="0" xfId="70" applyFont="1" applyAlignment="1">
      <alignment horizontal="centerContinuous" vertical="top" wrapText="1"/>
    </xf>
    <xf numFmtId="0" fontId="447" fillId="0" borderId="0" xfId="70" applyFont="1" applyAlignment="1">
      <alignment horizontal="centerContinuous" vertical="top" wrapText="1"/>
    </xf>
    <xf numFmtId="0" fontId="447" fillId="0" borderId="0" xfId="70" applyFont="1" applyAlignment="1">
      <alignment vertical="top" wrapText="1"/>
    </xf>
    <xf numFmtId="0" fontId="448" fillId="0" borderId="0" xfId="66" applyFont="1" applyAlignment="1">
      <alignment vertical="top"/>
    </xf>
    <xf numFmtId="0" fontId="449" fillId="0" borderId="0" xfId="66" applyFont="1" applyAlignment="1">
      <alignment vertical="top"/>
    </xf>
    <xf numFmtId="0" fontId="442" fillId="0" borderId="0" xfId="66" applyFont="1" applyAlignment="1">
      <alignment vertical="top"/>
    </xf>
    <xf numFmtId="0" fontId="449" fillId="0" borderId="0" xfId="70" applyFont="1" applyAlignment="1">
      <alignment horizontal="right" vertical="top"/>
    </xf>
    <xf numFmtId="2" fontId="449" fillId="0" borderId="0" xfId="70" applyNumberFormat="1" applyFont="1" applyAlignment="1">
      <alignment horizontal="left" vertical="top"/>
    </xf>
    <xf numFmtId="0" fontId="442" fillId="0" borderId="0" xfId="70" applyFont="1" applyAlignment="1">
      <alignment vertical="top"/>
    </xf>
    <xf numFmtId="0" fontId="443" fillId="0" borderId="0" xfId="66" applyFont="1" applyAlignment="1">
      <alignment vertical="top"/>
    </xf>
    <xf numFmtId="0" fontId="447" fillId="0" borderId="0" xfId="74" applyFont="1" applyAlignment="1">
      <alignment horizontal="center" vertical="top"/>
    </xf>
    <xf numFmtId="0" fontId="443" fillId="0" borderId="0" xfId="74" applyFont="1" applyAlignment="1">
      <alignment horizontal="center" vertical="top"/>
    </xf>
    <xf numFmtId="0" fontId="451" fillId="0" borderId="0" xfId="0" applyFont="1" applyAlignment="1">
      <alignment horizontal="left" vertical="top" wrapText="1"/>
    </xf>
    <xf numFmtId="0" fontId="443" fillId="0" borderId="0" xfId="0" applyFont="1" applyAlignment="1">
      <alignment horizontal="center" vertical="top"/>
    </xf>
    <xf numFmtId="0" fontId="443" fillId="0" borderId="0" xfId="74" applyFont="1" applyAlignment="1">
      <alignment vertical="top"/>
    </xf>
    <xf numFmtId="2" fontId="443" fillId="0" borderId="0" xfId="0" applyNumberFormat="1" applyFont="1" applyAlignment="1">
      <alignment horizontal="right" vertical="top"/>
    </xf>
    <xf numFmtId="2" fontId="443" fillId="0" borderId="0" xfId="0" applyNumberFormat="1" applyFont="1" applyAlignment="1">
      <alignment horizontal="center" vertical="top"/>
    </xf>
    <xf numFmtId="0" fontId="443" fillId="0" borderId="0" xfId="0" applyFont="1" applyAlignment="1">
      <alignment vertical="top"/>
    </xf>
    <xf numFmtId="2" fontId="443" fillId="0" borderId="0" xfId="0" applyNumberFormat="1" applyFont="1" applyAlignment="1">
      <alignment vertical="top"/>
    </xf>
    <xf numFmtId="0" fontId="443" fillId="0" borderId="0" xfId="70" applyFont="1" applyAlignment="1">
      <alignment horizontal="center" vertical="top"/>
    </xf>
    <xf numFmtId="0" fontId="447" fillId="0" borderId="0" xfId="70" applyFont="1" applyAlignment="1">
      <alignment vertical="top"/>
    </xf>
    <xf numFmtId="0" fontId="447" fillId="0" borderId="0" xfId="70" applyFont="1" applyAlignment="1">
      <alignment horizontal="center" vertical="top"/>
    </xf>
    <xf numFmtId="0" fontId="447" fillId="0" borderId="8" xfId="57" applyFont="1" applyBorder="1" applyAlignment="1">
      <alignment vertical="center"/>
    </xf>
    <xf numFmtId="0" fontId="443" fillId="0" borderId="0" xfId="57" applyFont="1" applyAlignment="1">
      <alignment horizontal="center"/>
    </xf>
    <xf numFmtId="0" fontId="443" fillId="0" borderId="0" xfId="57" applyFont="1"/>
    <xf numFmtId="0" fontId="443" fillId="0" borderId="0" xfId="57" applyFont="1" applyAlignment="1">
      <alignment horizontal="center" wrapText="1"/>
    </xf>
    <xf numFmtId="0" fontId="443" fillId="0" borderId="8" xfId="57" applyFont="1" applyBorder="1" applyAlignment="1">
      <alignment horizontal="center" vertical="center" wrapText="1"/>
    </xf>
    <xf numFmtId="0" fontId="443" fillId="0" borderId="8" xfId="57" applyFont="1" applyBorder="1" applyAlignment="1">
      <alignment horizontal="center"/>
    </xf>
    <xf numFmtId="2" fontId="443" fillId="0" borderId="8" xfId="57" applyNumberFormat="1" applyFont="1" applyBorder="1" applyAlignment="1">
      <alignment horizontal="center" vertical="center"/>
    </xf>
    <xf numFmtId="1" fontId="443" fillId="0" borderId="8" xfId="57" applyNumberFormat="1" applyFont="1" applyBorder="1" applyAlignment="1">
      <alignment horizontal="center" vertical="center" wrapText="1"/>
    </xf>
    <xf numFmtId="1" fontId="443" fillId="0" borderId="8" xfId="57" applyNumberFormat="1" applyFont="1" applyBorder="1" applyAlignment="1">
      <alignment horizontal="center" vertical="center"/>
    </xf>
    <xf numFmtId="1" fontId="443" fillId="0" borderId="26" xfId="57" applyNumberFormat="1" applyFont="1" applyBorder="1" applyAlignment="1">
      <alignment horizontal="center" vertical="center"/>
    </xf>
    <xf numFmtId="0" fontId="443" fillId="0" borderId="8" xfId="57" applyFont="1" applyBorder="1" applyAlignment="1">
      <alignment horizontal="center" vertical="top" wrapText="1"/>
    </xf>
    <xf numFmtId="0" fontId="447" fillId="0" borderId="8" xfId="57" applyFont="1" applyBorder="1" applyAlignment="1">
      <alignment horizontal="left" vertical="top" wrapText="1"/>
    </xf>
    <xf numFmtId="1" fontId="447" fillId="0" borderId="8" xfId="57" applyNumberFormat="1" applyFont="1" applyBorder="1" applyAlignment="1">
      <alignment horizontal="center" vertical="center" wrapText="1"/>
    </xf>
    <xf numFmtId="1" fontId="443" fillId="0" borderId="15" xfId="57" applyNumberFormat="1" applyFont="1" applyBorder="1" applyAlignment="1">
      <alignment horizontal="center" vertical="center"/>
    </xf>
    <xf numFmtId="0" fontId="447" fillId="0" borderId="8" xfId="57" applyFont="1" applyBorder="1" applyAlignment="1">
      <alignment horizontal="justify" vertical="justify" wrapText="1"/>
    </xf>
    <xf numFmtId="2" fontId="443" fillId="0" borderId="30" xfId="57" applyNumberFormat="1" applyFont="1" applyBorder="1" applyAlignment="1">
      <alignment horizontal="center" vertical="center"/>
    </xf>
    <xf numFmtId="2" fontId="443" fillId="0" borderId="23" xfId="57" applyNumberFormat="1" applyFont="1" applyBorder="1" applyAlignment="1">
      <alignment horizontal="center" vertical="center"/>
    </xf>
    <xf numFmtId="2" fontId="447" fillId="0" borderId="8" xfId="57" applyNumberFormat="1" applyFont="1" applyBorder="1" applyAlignment="1">
      <alignment horizontal="justify" vertical="justify" wrapText="1"/>
    </xf>
    <xf numFmtId="2" fontId="443" fillId="0" borderId="31" xfId="57" applyNumberFormat="1" applyFont="1" applyBorder="1" applyAlignment="1">
      <alignment horizontal="center" vertical="center"/>
    </xf>
    <xf numFmtId="2" fontId="443" fillId="0" borderId="28" xfId="57" applyNumberFormat="1" applyFont="1" applyBorder="1" applyAlignment="1">
      <alignment horizontal="center" vertical="center"/>
    </xf>
    <xf numFmtId="0" fontId="443" fillId="0" borderId="8" xfId="57" applyFont="1" applyBorder="1" applyAlignment="1">
      <alignment horizontal="justify" vertical="justify"/>
    </xf>
    <xf numFmtId="2" fontId="443" fillId="0" borderId="32" xfId="57" applyNumberFormat="1" applyFont="1" applyBorder="1" applyAlignment="1">
      <alignment horizontal="center" vertical="center"/>
    </xf>
    <xf numFmtId="2" fontId="443" fillId="0" borderId="21" xfId="57" applyNumberFormat="1" applyFont="1" applyBorder="1" applyAlignment="1">
      <alignment horizontal="center" vertical="center"/>
    </xf>
    <xf numFmtId="0" fontId="443" fillId="0" borderId="8" xfId="57" applyFont="1" applyBorder="1" applyAlignment="1">
      <alignment vertical="center" wrapText="1"/>
    </xf>
    <xf numFmtId="0" fontId="443" fillId="0" borderId="8" xfId="57" applyFont="1" applyBorder="1" applyAlignment="1">
      <alignment horizontal="left" vertical="top"/>
    </xf>
    <xf numFmtId="0" fontId="443" fillId="0" borderId="8" xfId="57" applyFont="1" applyBorder="1" applyAlignment="1">
      <alignment vertical="center"/>
    </xf>
    <xf numFmtId="2" fontId="447" fillId="0" borderId="8" xfId="57" applyNumberFormat="1" applyFont="1" applyBorder="1" applyAlignment="1">
      <alignment horizontal="center" vertical="center"/>
    </xf>
    <xf numFmtId="0" fontId="443" fillId="0" borderId="8" xfId="57" applyFont="1" applyBorder="1" applyAlignment="1">
      <alignment horizontal="left" vertical="top" wrapText="1"/>
    </xf>
    <xf numFmtId="2" fontId="443" fillId="0" borderId="8" xfId="57" applyNumberFormat="1" applyFont="1" applyBorder="1" applyAlignment="1">
      <alignment horizontal="center" vertical="center" shrinkToFit="1"/>
    </xf>
    <xf numFmtId="2" fontId="443" fillId="0" borderId="8" xfId="57" applyNumberFormat="1" applyFont="1" applyBorder="1"/>
    <xf numFmtId="2" fontId="453" fillId="0" borderId="32" xfId="57" applyNumberFormat="1" applyFont="1" applyBorder="1" applyAlignment="1">
      <alignment horizontal="right" vertical="top"/>
    </xf>
    <xf numFmtId="0" fontId="443" fillId="0" borderId="0" xfId="57" applyFont="1" applyAlignment="1">
      <alignment vertical="top"/>
    </xf>
    <xf numFmtId="0" fontId="443" fillId="0" borderId="8" xfId="57" applyFont="1" applyBorder="1" applyAlignment="1">
      <alignment horizontal="justify" vertical="justify" wrapText="1"/>
    </xf>
    <xf numFmtId="0" fontId="443" fillId="0" borderId="0" xfId="57" applyFont="1" applyAlignment="1">
      <alignment horizontal="center" vertical="center"/>
    </xf>
    <xf numFmtId="2" fontId="443" fillId="0" borderId="0" xfId="57" applyNumberFormat="1" applyFont="1" applyAlignment="1">
      <alignment horizontal="center" vertical="center"/>
    </xf>
    <xf numFmtId="0" fontId="443" fillId="0" borderId="8" xfId="57" applyFont="1" applyBorder="1"/>
    <xf numFmtId="2" fontId="443" fillId="0" borderId="8" xfId="57" applyNumberFormat="1" applyFont="1" applyBorder="1" applyAlignment="1">
      <alignment horizontal="center"/>
    </xf>
    <xf numFmtId="169" fontId="443" fillId="0" borderId="8" xfId="57" applyNumberFormat="1" applyFont="1" applyBorder="1" applyAlignment="1">
      <alignment horizontal="center"/>
    </xf>
    <xf numFmtId="1" fontId="443" fillId="0" borderId="8" xfId="57" applyNumberFormat="1" applyFont="1" applyBorder="1" applyAlignment="1">
      <alignment horizontal="center"/>
    </xf>
    <xf numFmtId="2" fontId="454" fillId="0" borderId="8" xfId="57" applyNumberFormat="1" applyFont="1" applyBorder="1" applyAlignment="1">
      <alignment horizontal="center" vertical="center"/>
    </xf>
    <xf numFmtId="170" fontId="443" fillId="0" borderId="8" xfId="57" applyNumberFormat="1" applyFont="1" applyBorder="1" applyAlignment="1">
      <alignment horizontal="center" vertical="center"/>
    </xf>
    <xf numFmtId="0" fontId="454" fillId="0" borderId="8" xfId="57" applyFont="1" applyBorder="1"/>
    <xf numFmtId="0" fontId="443" fillId="0" borderId="8" xfId="57" applyFont="1" applyBorder="1" applyAlignment="1">
      <alignment vertical="center" shrinkToFit="1"/>
    </xf>
    <xf numFmtId="2" fontId="443" fillId="0" borderId="8" xfId="57" applyNumberFormat="1" applyFont="1" applyBorder="1" applyAlignment="1">
      <alignment horizontal="left" vertical="center"/>
    </xf>
    <xf numFmtId="2" fontId="443" fillId="0" borderId="8" xfId="57" applyNumberFormat="1" applyFont="1" applyBorder="1" applyAlignment="1">
      <alignment horizontal="justify" vertical="justify" wrapText="1"/>
    </xf>
    <xf numFmtId="2" fontId="447" fillId="0" borderId="21" xfId="57" applyNumberFormat="1" applyFont="1" applyBorder="1" applyAlignment="1">
      <alignment horizontal="center" vertical="center"/>
    </xf>
    <xf numFmtId="2" fontId="447" fillId="0" borderId="32" xfId="57" applyNumberFormat="1" applyFont="1" applyBorder="1" applyAlignment="1">
      <alignment horizontal="center" vertical="center"/>
    </xf>
    <xf numFmtId="0" fontId="443" fillId="0" borderId="8" xfId="57" applyFont="1" applyBorder="1" applyAlignment="1">
      <alignment horizontal="left"/>
    </xf>
    <xf numFmtId="2" fontId="443" fillId="0" borderId="8" xfId="57" applyNumberFormat="1" applyFont="1" applyBorder="1" applyAlignment="1">
      <alignment horizontal="left"/>
    </xf>
    <xf numFmtId="2" fontId="447" fillId="0" borderId="8" xfId="57" applyNumberFormat="1" applyFont="1" applyBorder="1" applyAlignment="1">
      <alignment horizontal="center" vertical="center" shrinkToFit="1"/>
    </xf>
    <xf numFmtId="0" fontId="447" fillId="0" borderId="8" xfId="57" applyFont="1" applyBorder="1" applyAlignment="1">
      <alignment vertical="center" shrinkToFit="1"/>
    </xf>
    <xf numFmtId="170" fontId="447" fillId="0" borderId="8" xfId="57" applyNumberFormat="1" applyFont="1" applyBorder="1" applyAlignment="1">
      <alignment horizontal="center" vertical="center"/>
    </xf>
    <xf numFmtId="2" fontId="443" fillId="0" borderId="32" xfId="57" applyNumberFormat="1" applyFont="1" applyBorder="1"/>
    <xf numFmtId="2" fontId="443" fillId="0" borderId="21" xfId="57" applyNumberFormat="1" applyFont="1" applyBorder="1"/>
    <xf numFmtId="0" fontId="443" fillId="0" borderId="8" xfId="57" applyFont="1" applyBorder="1" applyAlignment="1">
      <alignment horizontal="left" vertical="center" wrapText="1"/>
    </xf>
    <xf numFmtId="0" fontId="443" fillId="0" borderId="8" xfId="57" applyFont="1" applyBorder="1" applyAlignment="1">
      <alignment vertical="top"/>
    </xf>
    <xf numFmtId="0" fontId="455" fillId="0" borderId="8" xfId="57" applyFont="1" applyBorder="1" applyAlignment="1">
      <alignment horizontal="left" vertical="top" wrapText="1"/>
    </xf>
    <xf numFmtId="0" fontId="443" fillId="0" borderId="8" xfId="57" applyFont="1" applyBorder="1" applyAlignment="1">
      <alignment wrapText="1"/>
    </xf>
    <xf numFmtId="2" fontId="447" fillId="0" borderId="0" xfId="57" applyNumberFormat="1" applyFont="1" applyAlignment="1">
      <alignment horizontal="center" vertical="center"/>
    </xf>
    <xf numFmtId="1" fontId="447" fillId="0" borderId="8" xfId="57" applyNumberFormat="1" applyFont="1" applyBorder="1" applyAlignment="1">
      <alignment horizontal="center" vertical="center"/>
    </xf>
    <xf numFmtId="0" fontId="443" fillId="0" borderId="8" xfId="57" applyFont="1" applyBorder="1" applyAlignment="1">
      <alignment horizontal="left" vertical="center" shrinkToFit="1"/>
    </xf>
    <xf numFmtId="1" fontId="443" fillId="0" borderId="0" xfId="57" applyNumberFormat="1" applyFont="1" applyAlignment="1">
      <alignment horizontal="center" vertical="center"/>
    </xf>
    <xf numFmtId="0" fontId="456" fillId="0" borderId="8" xfId="57" applyFont="1" applyBorder="1" applyAlignment="1">
      <alignment horizontal="left" vertical="center" wrapText="1"/>
    </xf>
    <xf numFmtId="0" fontId="457" fillId="0" borderId="8" xfId="57" applyFont="1" applyBorder="1" applyAlignment="1">
      <alignment horizontal="left" vertical="center" wrapText="1"/>
    </xf>
    <xf numFmtId="2" fontId="455" fillId="0" borderId="8" xfId="57" applyNumberFormat="1" applyFont="1" applyBorder="1" applyAlignment="1">
      <alignment horizontal="right" vertical="top"/>
    </xf>
    <xf numFmtId="2" fontId="447" fillId="0" borderId="8" xfId="57" applyNumberFormat="1" applyFont="1" applyBorder="1" applyAlignment="1">
      <alignment horizontal="right" vertical="top"/>
    </xf>
    <xf numFmtId="2" fontId="447" fillId="0" borderId="32" xfId="57" applyNumberFormat="1" applyFont="1" applyBorder="1" applyAlignment="1">
      <alignment horizontal="right" vertical="top"/>
    </xf>
    <xf numFmtId="2" fontId="443" fillId="0" borderId="8" xfId="57" applyNumberFormat="1" applyFont="1" applyBorder="1" applyAlignment="1">
      <alignment horizontal="center" vertical="top" wrapText="1"/>
    </xf>
    <xf numFmtId="2" fontId="443" fillId="0" borderId="8" xfId="57" applyNumberFormat="1" applyFont="1" applyBorder="1" applyAlignment="1">
      <alignment vertical="top" wrapText="1"/>
    </xf>
    <xf numFmtId="2" fontId="453" fillId="0" borderId="8" xfId="57" applyNumberFormat="1" applyFont="1" applyBorder="1" applyAlignment="1">
      <alignment horizontal="right" vertical="top" shrinkToFit="1"/>
    </xf>
    <xf numFmtId="2" fontId="453" fillId="0" borderId="8" xfId="57" applyNumberFormat="1" applyFont="1" applyBorder="1" applyAlignment="1">
      <alignment horizontal="right" vertical="top"/>
    </xf>
    <xf numFmtId="2" fontId="443" fillId="0" borderId="8" xfId="57" applyNumberFormat="1" applyFont="1" applyBorder="1" applyAlignment="1">
      <alignment horizontal="right" vertical="top" shrinkToFit="1"/>
    </xf>
    <xf numFmtId="0" fontId="443" fillId="0" borderId="8" xfId="57" applyFont="1" applyBorder="1" applyAlignment="1">
      <alignment horizontal="left" vertical="center"/>
    </xf>
    <xf numFmtId="1" fontId="443" fillId="0" borderId="8" xfId="57" applyNumberFormat="1" applyFont="1" applyBorder="1" applyAlignment="1">
      <alignment horizontal="center" vertical="justify" wrapText="1"/>
    </xf>
    <xf numFmtId="0" fontId="454" fillId="0" borderId="8" xfId="57" applyFont="1" applyBorder="1" applyAlignment="1">
      <alignment vertical="top"/>
    </xf>
    <xf numFmtId="0" fontId="443" fillId="0" borderId="8" xfId="57" applyFont="1" applyBorder="1" applyAlignment="1">
      <alignment vertical="top" shrinkToFit="1"/>
    </xf>
    <xf numFmtId="2" fontId="455" fillId="0" borderId="8" xfId="57" applyNumberFormat="1" applyFont="1" applyBorder="1" applyAlignment="1">
      <alignment horizontal="right" vertical="center" shrinkToFit="1"/>
    </xf>
    <xf numFmtId="2" fontId="455" fillId="0" borderId="21" xfId="57" applyNumberFormat="1" applyFont="1" applyBorder="1" applyAlignment="1">
      <alignment horizontal="right" vertical="center" shrinkToFit="1"/>
    </xf>
    <xf numFmtId="2" fontId="453" fillId="0" borderId="8" xfId="57" applyNumberFormat="1" applyFont="1" applyBorder="1" applyAlignment="1">
      <alignment horizontal="center" vertical="center" shrinkToFit="1"/>
    </xf>
    <xf numFmtId="2" fontId="443" fillId="0" borderId="8" xfId="57" applyNumberFormat="1" applyFont="1" applyBorder="1" applyAlignment="1">
      <alignment horizontal="right" vertical="center" shrinkToFit="1"/>
    </xf>
    <xf numFmtId="2" fontId="443" fillId="0" borderId="32" xfId="57" applyNumberFormat="1" applyFont="1" applyBorder="1" applyAlignment="1">
      <alignment horizontal="right" vertical="top"/>
    </xf>
    <xf numFmtId="0" fontId="443" fillId="0" borderId="0" xfId="57" applyFont="1" applyAlignment="1">
      <alignment horizontal="center" vertical="top"/>
    </xf>
    <xf numFmtId="2" fontId="443" fillId="0" borderId="0" xfId="57" applyNumberFormat="1" applyFont="1" applyAlignment="1">
      <alignment horizontal="center" vertical="top"/>
    </xf>
    <xf numFmtId="1" fontId="454" fillId="0" borderId="8" xfId="57" applyNumberFormat="1" applyFont="1" applyBorder="1" applyAlignment="1">
      <alignment horizontal="center" vertical="center" wrapText="1"/>
    </xf>
    <xf numFmtId="0" fontId="443" fillId="0" borderId="8" xfId="57" applyFont="1" applyBorder="1" applyAlignment="1">
      <alignment horizontal="center" vertical="center"/>
    </xf>
    <xf numFmtId="2" fontId="453" fillId="0" borderId="8" xfId="57" applyNumberFormat="1" applyFont="1" applyBorder="1" applyAlignment="1">
      <alignment horizontal="center" vertical="center"/>
    </xf>
    <xf numFmtId="2" fontId="443" fillId="0" borderId="8" xfId="57" applyNumberFormat="1" applyFont="1" applyBorder="1" applyAlignment="1">
      <alignment horizontal="right" vertical="center"/>
    </xf>
    <xf numFmtId="2" fontId="458" fillId="0" borderId="8" xfId="57" applyNumberFormat="1" applyFont="1" applyBorder="1" applyAlignment="1">
      <alignment horizontal="center" vertical="center"/>
    </xf>
    <xf numFmtId="2" fontId="447" fillId="0" borderId="8" xfId="57" applyNumberFormat="1" applyFont="1" applyBorder="1" applyAlignment="1">
      <alignment horizontal="right" vertical="center"/>
    </xf>
    <xf numFmtId="2" fontId="447" fillId="0" borderId="8" xfId="57" applyNumberFormat="1" applyFont="1" applyBorder="1" applyAlignment="1">
      <alignment horizontal="right" vertical="center" shrinkToFit="1"/>
    </xf>
    <xf numFmtId="1" fontId="443" fillId="0" borderId="0" xfId="57" applyNumberFormat="1" applyFont="1" applyAlignment="1">
      <alignment vertical="top"/>
    </xf>
    <xf numFmtId="0" fontId="459" fillId="0" borderId="8" xfId="57" applyFont="1" applyBorder="1" applyAlignment="1">
      <alignment horizontal="center" vertical="top" wrapText="1"/>
    </xf>
    <xf numFmtId="0" fontId="460" fillId="0" borderId="8" xfId="57" applyFont="1" applyBorder="1" applyAlignment="1">
      <alignment horizontal="left" vertical="top" wrapText="1"/>
    </xf>
    <xf numFmtId="2" fontId="459" fillId="0" borderId="8" xfId="57" applyNumberFormat="1" applyFont="1" applyBorder="1" applyAlignment="1">
      <alignment horizontal="center" vertical="center"/>
    </xf>
    <xf numFmtId="2" fontId="459" fillId="0" borderId="32" xfId="57" applyNumberFormat="1" applyFont="1" applyBorder="1" applyAlignment="1">
      <alignment horizontal="center" vertical="center"/>
    </xf>
    <xf numFmtId="2" fontId="459" fillId="0" borderId="21" xfId="57" applyNumberFormat="1" applyFont="1" applyBorder="1" applyAlignment="1">
      <alignment horizontal="center" vertical="center"/>
    </xf>
    <xf numFmtId="0" fontId="459" fillId="0" borderId="0" xfId="57" applyFont="1"/>
    <xf numFmtId="2" fontId="460" fillId="0" borderId="8" xfId="57" applyNumberFormat="1" applyFont="1" applyBorder="1" applyAlignment="1">
      <alignment horizontal="center" vertical="center"/>
    </xf>
    <xf numFmtId="2" fontId="460" fillId="0" borderId="32" xfId="57" applyNumberFormat="1" applyFont="1" applyBorder="1" applyAlignment="1">
      <alignment horizontal="center" vertical="center"/>
    </xf>
    <xf numFmtId="2" fontId="460" fillId="0" borderId="21" xfId="57" applyNumberFormat="1" applyFont="1" applyBorder="1" applyAlignment="1">
      <alignment horizontal="center" vertical="center"/>
    </xf>
    <xf numFmtId="2" fontId="443" fillId="0" borderId="0" xfId="57" applyNumberFormat="1" applyFont="1"/>
    <xf numFmtId="2" fontId="454" fillId="0" borderId="8" xfId="57" applyNumberFormat="1" applyFont="1" applyBorder="1" applyAlignment="1">
      <alignment horizontal="center" vertical="top" wrapText="1"/>
    </xf>
    <xf numFmtId="2" fontId="443" fillId="0" borderId="8" xfId="57" applyNumberFormat="1" applyFont="1" applyBorder="1" applyAlignment="1">
      <alignment vertical="top"/>
    </xf>
    <xf numFmtId="1" fontId="443" fillId="0" borderId="8" xfId="57" applyNumberFormat="1" applyFont="1" applyBorder="1" applyAlignment="1">
      <alignment horizontal="center" vertical="top"/>
    </xf>
    <xf numFmtId="1" fontId="454" fillId="0" borderId="8" xfId="57" applyNumberFormat="1" applyFont="1" applyBorder="1" applyAlignment="1">
      <alignment horizontal="center" vertical="top" wrapText="1"/>
    </xf>
    <xf numFmtId="0" fontId="443" fillId="0" borderId="8" xfId="57" applyFont="1" applyBorder="1" applyAlignment="1">
      <alignment horizontal="center" vertical="top" shrinkToFit="1"/>
    </xf>
    <xf numFmtId="2" fontId="443" fillId="0" borderId="0" xfId="57" applyNumberFormat="1" applyFont="1" applyAlignment="1">
      <alignment horizontal="right" vertical="top"/>
    </xf>
    <xf numFmtId="172" fontId="443" fillId="0" borderId="8" xfId="57" applyNumberFormat="1" applyFont="1" applyBorder="1" applyAlignment="1">
      <alignment horizontal="center" vertical="top" wrapText="1"/>
    </xf>
    <xf numFmtId="1" fontId="443" fillId="0" borderId="8" xfId="57" applyNumberFormat="1" applyFont="1" applyBorder="1" applyAlignment="1">
      <alignment horizontal="center" vertical="top" wrapText="1"/>
    </xf>
    <xf numFmtId="2" fontId="447" fillId="0" borderId="8" xfId="57" applyNumberFormat="1" applyFont="1" applyBorder="1" applyAlignment="1">
      <alignment horizontal="left" vertical="center"/>
    </xf>
    <xf numFmtId="0" fontId="443" fillId="0" borderId="0" xfId="57" applyFont="1" applyAlignment="1">
      <alignment horizontal="center" vertical="top" wrapText="1"/>
    </xf>
    <xf numFmtId="0" fontId="443" fillId="0" borderId="0" xfId="19412" applyFont="1" applyAlignment="1">
      <alignment horizontal="center" vertical="top"/>
    </xf>
    <xf numFmtId="0" fontId="443" fillId="0" borderId="0" xfId="57" applyFont="1" applyAlignment="1">
      <alignment horizontal="left"/>
    </xf>
    <xf numFmtId="1" fontId="443" fillId="0" borderId="0" xfId="57" applyNumberFormat="1" applyFont="1" applyAlignment="1">
      <alignment horizontal="center"/>
    </xf>
    <xf numFmtId="2" fontId="443" fillId="0" borderId="0" xfId="57" applyNumberFormat="1" applyFont="1" applyAlignment="1">
      <alignment horizontal="left"/>
    </xf>
    <xf numFmtId="2" fontId="454" fillId="0" borderId="0" xfId="57" applyNumberFormat="1" applyFont="1"/>
    <xf numFmtId="2" fontId="443" fillId="0" borderId="0" xfId="57" applyNumberFormat="1" applyFont="1" applyAlignment="1">
      <alignment horizontal="center"/>
    </xf>
    <xf numFmtId="0" fontId="443" fillId="0" borderId="0" xfId="19412" applyFont="1" applyAlignment="1">
      <alignment vertical="top"/>
    </xf>
    <xf numFmtId="0" fontId="455" fillId="0" borderId="0" xfId="19412" applyFont="1" applyAlignment="1">
      <alignment horizontal="center" vertical="top"/>
    </xf>
    <xf numFmtId="0" fontId="453" fillId="0" borderId="0" xfId="19412" applyFont="1" applyAlignment="1">
      <alignment vertical="top"/>
    </xf>
    <xf numFmtId="1" fontId="453" fillId="0" borderId="0" xfId="19412" applyNumberFormat="1" applyFont="1" applyAlignment="1">
      <alignment horizontal="center" vertical="top"/>
    </xf>
    <xf numFmtId="0" fontId="447" fillId="0" borderId="0" xfId="19412" applyFont="1" applyAlignment="1">
      <alignment horizontal="center" vertical="top"/>
    </xf>
    <xf numFmtId="2" fontId="455" fillId="0" borderId="0" xfId="19412" applyNumberFormat="1" applyFont="1" applyAlignment="1">
      <alignment horizontal="center" vertical="top"/>
    </xf>
    <xf numFmtId="0" fontId="454" fillId="0" borderId="0" xfId="57" applyFont="1"/>
    <xf numFmtId="1" fontId="461" fillId="54" borderId="8" xfId="57" applyNumberFormat="1" applyFont="1" applyFill="1" applyBorder="1" applyAlignment="1">
      <alignment horizontal="center" vertical="center"/>
    </xf>
    <xf numFmtId="0" fontId="92" fillId="0" borderId="23" xfId="57" applyFont="1" applyBorder="1"/>
    <xf numFmtId="0" fontId="92" fillId="0" borderId="21" xfId="57" applyFont="1" applyBorder="1"/>
    <xf numFmtId="0" fontId="451" fillId="0" borderId="8" xfId="57" applyFont="1" applyBorder="1" applyAlignment="1">
      <alignment horizontal="center" vertical="center" wrapText="1" shrinkToFit="1"/>
    </xf>
    <xf numFmtId="0" fontId="451" fillId="0" borderId="8" xfId="57" applyFont="1" applyBorder="1" applyAlignment="1">
      <alignment vertical="center" shrinkToFit="1"/>
    </xf>
    <xf numFmtId="0" fontId="451" fillId="0" borderId="8" xfId="57" applyFont="1" applyBorder="1" applyAlignment="1">
      <alignment horizontal="center" vertical="center" wrapText="1"/>
    </xf>
    <xf numFmtId="0" fontId="92" fillId="0" borderId="8" xfId="57" applyFont="1" applyBorder="1" applyAlignment="1">
      <alignment horizontal="center" vertical="center" wrapText="1"/>
    </xf>
    <xf numFmtId="2" fontId="451" fillId="0" borderId="8" xfId="57" applyNumberFormat="1" applyFont="1" applyBorder="1" applyAlignment="1">
      <alignment horizontal="center" vertical="center" wrapText="1"/>
    </xf>
    <xf numFmtId="170" fontId="451" fillId="0" borderId="8" xfId="57" applyNumberFormat="1" applyFont="1" applyBorder="1" applyAlignment="1">
      <alignment horizontal="center" vertical="center" wrapText="1"/>
    </xf>
    <xf numFmtId="170" fontId="92" fillId="0" borderId="8" xfId="57" applyNumberFormat="1" applyFont="1" applyBorder="1" applyAlignment="1">
      <alignment horizontal="center" vertical="center" wrapText="1"/>
    </xf>
    <xf numFmtId="2" fontId="92" fillId="0" borderId="8" xfId="57" applyNumberFormat="1" applyFont="1" applyBorder="1" applyAlignment="1">
      <alignment horizontal="center" vertical="center" wrapText="1"/>
    </xf>
    <xf numFmtId="0" fontId="92" fillId="0" borderId="21" xfId="57" applyFont="1" applyBorder="1" applyAlignment="1">
      <alignment horizontal="center" vertical="center" wrapText="1"/>
    </xf>
    <xf numFmtId="1" fontId="92" fillId="0" borderId="8" xfId="57" applyNumberFormat="1" applyFont="1" applyBorder="1" applyAlignment="1">
      <alignment horizontal="center" vertical="center" shrinkToFit="1"/>
    </xf>
    <xf numFmtId="1" fontId="451" fillId="0" borderId="8" xfId="57" applyNumberFormat="1" applyFont="1" applyBorder="1" applyAlignment="1">
      <alignment horizontal="center" vertical="center" shrinkToFit="1"/>
    </xf>
    <xf numFmtId="2" fontId="451" fillId="0" borderId="8" xfId="57" applyNumberFormat="1" applyFont="1" applyBorder="1" applyAlignment="1">
      <alignment horizontal="center" vertical="center" shrinkToFit="1"/>
    </xf>
    <xf numFmtId="1" fontId="92" fillId="0" borderId="21" xfId="57" applyNumberFormat="1" applyFont="1" applyBorder="1" applyAlignment="1">
      <alignment horizontal="center" vertical="center" wrapText="1"/>
    </xf>
    <xf numFmtId="0" fontId="95" fillId="0" borderId="27" xfId="57" applyFont="1" applyBorder="1" applyAlignment="1">
      <alignment horizontal="center" vertical="center" wrapText="1"/>
    </xf>
    <xf numFmtId="0" fontId="451" fillId="0" borderId="28" xfId="57" applyFont="1" applyBorder="1" applyAlignment="1">
      <alignment horizontal="center" vertical="top" wrapText="1"/>
    </xf>
    <xf numFmtId="172" fontId="451" fillId="0" borderId="28" xfId="57" applyNumberFormat="1" applyFont="1" applyBorder="1" applyAlignment="1">
      <alignment horizontal="justify" vertical="top" wrapText="1"/>
    </xf>
    <xf numFmtId="2" fontId="462" fillId="27" borderId="28" xfId="57" applyNumberFormat="1" applyFont="1" applyFill="1" applyBorder="1" applyAlignment="1">
      <alignment horizontal="center" vertical="top" shrinkToFit="1"/>
    </xf>
    <xf numFmtId="2" fontId="92" fillId="0" borderId="28" xfId="57" applyNumberFormat="1" applyFont="1" applyBorder="1" applyAlignment="1">
      <alignment horizontal="center" vertical="top" wrapText="1"/>
    </xf>
    <xf numFmtId="170" fontId="92" fillId="0" borderId="28" xfId="57" applyNumberFormat="1" applyFont="1" applyBorder="1" applyAlignment="1">
      <alignment horizontal="center" vertical="top" wrapText="1"/>
    </xf>
    <xf numFmtId="170" fontId="451" fillId="0" borderId="28" xfId="57" applyNumberFormat="1" applyFont="1" applyBorder="1"/>
    <xf numFmtId="170" fontId="92" fillId="0" borderId="28" xfId="57" applyNumberFormat="1" applyFont="1" applyBorder="1"/>
    <xf numFmtId="2" fontId="92" fillId="28" borderId="21" xfId="57" applyNumberFormat="1" applyFont="1" applyFill="1" applyBorder="1"/>
    <xf numFmtId="2" fontId="92" fillId="0" borderId="28" xfId="57" applyNumberFormat="1" applyFont="1" applyBorder="1"/>
    <xf numFmtId="0" fontId="93" fillId="0" borderId="22" xfId="57" applyFont="1" applyBorder="1" applyAlignment="1">
      <alignment horizontal="center" vertical="center"/>
    </xf>
    <xf numFmtId="0" fontId="451" fillId="0" borderId="21" xfId="57" applyFont="1" applyBorder="1" applyAlignment="1">
      <alignment horizontal="center" vertical="top" wrapText="1"/>
    </xf>
    <xf numFmtId="0" fontId="92" fillId="0" borderId="21" xfId="57" applyFont="1" applyBorder="1" applyAlignment="1">
      <alignment horizontal="justify" vertical="top" wrapText="1"/>
    </xf>
    <xf numFmtId="2" fontId="462" fillId="27" borderId="21" xfId="57" applyNumberFormat="1" applyFont="1" applyFill="1" applyBorder="1" applyAlignment="1">
      <alignment horizontal="center" vertical="top" shrinkToFit="1"/>
    </xf>
    <xf numFmtId="2" fontId="92" fillId="0" borderId="21" xfId="57" applyNumberFormat="1" applyFont="1" applyBorder="1" applyAlignment="1">
      <alignment horizontal="center" vertical="top" wrapText="1"/>
    </xf>
    <xf numFmtId="170" fontId="92" fillId="0" borderId="21" xfId="57" applyNumberFormat="1" applyFont="1" applyBorder="1" applyAlignment="1">
      <alignment horizontal="center" vertical="top" wrapText="1"/>
    </xf>
    <xf numFmtId="177" fontId="462" fillId="28" borderId="21" xfId="57" applyNumberFormat="1" applyFont="1" applyFill="1" applyBorder="1"/>
    <xf numFmtId="2" fontId="92" fillId="0" borderId="21" xfId="57" applyNumberFormat="1" applyFont="1" applyBorder="1"/>
    <xf numFmtId="172" fontId="451" fillId="0" borderId="21" xfId="57" applyNumberFormat="1" applyFont="1" applyBorder="1" applyAlignment="1">
      <alignment horizontal="justify" vertical="top" wrapText="1"/>
    </xf>
    <xf numFmtId="170" fontId="92" fillId="0" borderId="21" xfId="57" applyNumberFormat="1" applyFont="1" applyBorder="1" applyAlignment="1">
      <alignment horizontal="right" vertical="top" wrapText="1"/>
    </xf>
    <xf numFmtId="170" fontId="92" fillId="0" borderId="21" xfId="57" applyNumberFormat="1" applyFont="1" applyBorder="1"/>
    <xf numFmtId="172" fontId="92" fillId="0" borderId="21" xfId="57" applyNumberFormat="1" applyFont="1" applyBorder="1" applyAlignment="1">
      <alignment horizontal="justify" vertical="top" wrapText="1"/>
    </xf>
    <xf numFmtId="2" fontId="93" fillId="0" borderId="21" xfId="57" applyNumberFormat="1" applyFont="1" applyBorder="1" applyAlignment="1">
      <alignment horizontal="center" vertical="top" wrapText="1"/>
    </xf>
    <xf numFmtId="2" fontId="92" fillId="0" borderId="21" xfId="57" applyNumberFormat="1" applyFont="1" applyBorder="1" applyAlignment="1">
      <alignment horizontal="right" vertical="top" wrapText="1"/>
    </xf>
    <xf numFmtId="2" fontId="462" fillId="0" borderId="21" xfId="57" applyNumberFormat="1" applyFont="1" applyBorder="1" applyAlignment="1">
      <alignment horizontal="center" vertical="top" shrinkToFit="1"/>
    </xf>
    <xf numFmtId="2" fontId="92" fillId="27" borderId="21" xfId="57" applyNumberFormat="1" applyFont="1" applyFill="1" applyBorder="1" applyAlignment="1">
      <alignment horizontal="center" vertical="top" wrapText="1"/>
    </xf>
    <xf numFmtId="2" fontId="451" fillId="0" borderId="21" xfId="57" applyNumberFormat="1" applyFont="1" applyBorder="1" applyAlignment="1">
      <alignment horizontal="right" vertical="top" wrapText="1"/>
    </xf>
    <xf numFmtId="173" fontId="95" fillId="0" borderId="22" xfId="57" applyNumberFormat="1" applyFont="1" applyBorder="1" applyAlignment="1">
      <alignment horizontal="center" vertical="top" wrapText="1"/>
    </xf>
    <xf numFmtId="173" fontId="451" fillId="0" borderId="21" xfId="57" applyNumberFormat="1" applyFont="1" applyBorder="1" applyAlignment="1">
      <alignment horizontal="center" vertical="top" wrapText="1"/>
    </xf>
    <xf numFmtId="0" fontId="451" fillId="0" borderId="21" xfId="57" applyFont="1" applyBorder="1" applyAlignment="1">
      <alignment horizontal="justify" vertical="top" wrapText="1"/>
    </xf>
    <xf numFmtId="2" fontId="463" fillId="0" borderId="21" xfId="57" applyNumberFormat="1" applyFont="1" applyBorder="1" applyAlignment="1">
      <alignment horizontal="center" vertical="top" shrinkToFit="1"/>
    </xf>
    <xf numFmtId="2" fontId="464" fillId="0" borderId="21" xfId="57" applyNumberFormat="1" applyFont="1" applyBorder="1" applyAlignment="1">
      <alignment horizontal="center" vertical="top" wrapText="1"/>
    </xf>
    <xf numFmtId="2" fontId="451" fillId="0" borderId="21" xfId="57" applyNumberFormat="1" applyFont="1" applyBorder="1" applyAlignment="1">
      <alignment horizontal="center" vertical="top" wrapText="1"/>
    </xf>
    <xf numFmtId="170" fontId="451" fillId="0" borderId="21" xfId="57" applyNumberFormat="1" applyFont="1" applyBorder="1" applyAlignment="1">
      <alignment horizontal="center" vertical="center" wrapText="1"/>
    </xf>
    <xf numFmtId="2" fontId="451" fillId="0" borderId="21" xfId="57" applyNumberFormat="1" applyFont="1" applyBorder="1" applyAlignment="1">
      <alignment horizontal="center" vertical="center" wrapText="1"/>
    </xf>
    <xf numFmtId="173" fontId="451" fillId="0" borderId="21" xfId="57" applyNumberFormat="1" applyFont="1" applyBorder="1" applyAlignment="1">
      <alignment horizontal="center" vertical="center" wrapText="1"/>
    </xf>
    <xf numFmtId="173" fontId="95" fillId="30" borderId="22" xfId="57" applyNumberFormat="1" applyFont="1" applyFill="1" applyBorder="1" applyAlignment="1">
      <alignment horizontal="center" vertical="top" wrapText="1"/>
    </xf>
    <xf numFmtId="173" fontId="451" fillId="30" borderId="21" xfId="57" applyNumberFormat="1" applyFont="1" applyFill="1" applyBorder="1" applyAlignment="1">
      <alignment horizontal="center" vertical="top" wrapText="1"/>
    </xf>
    <xf numFmtId="0" fontId="451" fillId="30" borderId="21" xfId="57" applyFont="1" applyFill="1" applyBorder="1" applyAlignment="1">
      <alignment horizontal="justify" vertical="top" wrapText="1"/>
    </xf>
    <xf numFmtId="2" fontId="463" fillId="30" borderId="21" xfId="57" applyNumberFormat="1" applyFont="1" applyFill="1" applyBorder="1" applyAlignment="1">
      <alignment horizontal="center" vertical="top" shrinkToFit="1"/>
    </xf>
    <xf numFmtId="2" fontId="451" fillId="30" borderId="21" xfId="57" applyNumberFormat="1" applyFont="1" applyFill="1" applyBorder="1" applyAlignment="1">
      <alignment horizontal="center" vertical="top" wrapText="1"/>
    </xf>
    <xf numFmtId="170" fontId="451" fillId="30" borderId="21" xfId="57" applyNumberFormat="1" applyFont="1" applyFill="1" applyBorder="1" applyAlignment="1">
      <alignment horizontal="right" vertical="top" wrapText="1"/>
    </xf>
    <xf numFmtId="2" fontId="451" fillId="30" borderId="21" xfId="57" applyNumberFormat="1" applyFont="1" applyFill="1" applyBorder="1" applyAlignment="1">
      <alignment horizontal="right" vertical="top" wrapText="1"/>
    </xf>
    <xf numFmtId="170" fontId="451" fillId="30" borderId="21" xfId="57" applyNumberFormat="1" applyFont="1" applyFill="1" applyBorder="1" applyAlignment="1">
      <alignment horizontal="center" vertical="center" wrapText="1"/>
    </xf>
    <xf numFmtId="2" fontId="451" fillId="30" borderId="21" xfId="57" applyNumberFormat="1" applyFont="1" applyFill="1" applyBorder="1" applyAlignment="1">
      <alignment horizontal="center" vertical="center" wrapText="1"/>
    </xf>
    <xf numFmtId="173" fontId="451" fillId="30" borderId="21" xfId="57" applyNumberFormat="1" applyFont="1" applyFill="1" applyBorder="1" applyAlignment="1">
      <alignment horizontal="center" vertical="center" wrapText="1"/>
    </xf>
    <xf numFmtId="0" fontId="451" fillId="0" borderId="22" xfId="57" applyFont="1" applyBorder="1" applyAlignment="1">
      <alignment horizontal="center" vertical="center" wrapText="1" shrinkToFit="1"/>
    </xf>
    <xf numFmtId="0" fontId="451" fillId="0" borderId="21" xfId="57" applyFont="1" applyBorder="1" applyAlignment="1">
      <alignment horizontal="center" vertical="top" shrinkToFit="1"/>
    </xf>
    <xf numFmtId="0" fontId="92" fillId="0" borderId="21" xfId="57" applyFont="1" applyBorder="1" applyAlignment="1">
      <alignment horizontal="center" vertical="top" wrapText="1"/>
    </xf>
    <xf numFmtId="2" fontId="92" fillId="27" borderId="21" xfId="57" applyNumberFormat="1" applyFont="1" applyFill="1" applyBorder="1" applyAlignment="1">
      <alignment horizontal="right" vertical="top" wrapText="1"/>
    </xf>
    <xf numFmtId="170" fontId="451" fillId="0" borderId="21" xfId="57" applyNumberFormat="1" applyFont="1" applyBorder="1" applyAlignment="1">
      <alignment horizontal="right" vertical="top" wrapText="1"/>
    </xf>
    <xf numFmtId="2" fontId="92" fillId="0" borderId="21" xfId="57" applyNumberFormat="1" applyFont="1" applyBorder="1" applyAlignment="1">
      <alignment horizontal="right"/>
    </xf>
    <xf numFmtId="0" fontId="92" fillId="0" borderId="22" xfId="57" applyFont="1" applyBorder="1" applyAlignment="1">
      <alignment horizontal="center" vertical="center" shrinkToFit="1"/>
    </xf>
    <xf numFmtId="0" fontId="92" fillId="0" borderId="21" xfId="57" applyFont="1" applyBorder="1" applyAlignment="1">
      <alignment horizontal="center" vertical="top" shrinkToFit="1"/>
    </xf>
    <xf numFmtId="2" fontId="92" fillId="27" borderId="21" xfId="57" applyNumberFormat="1" applyFont="1" applyFill="1" applyBorder="1" applyAlignment="1">
      <alignment horizontal="right" vertical="top" shrinkToFit="1"/>
    </xf>
    <xf numFmtId="170" fontId="92" fillId="0" borderId="21" xfId="57" applyNumberFormat="1" applyFont="1" applyBorder="1" applyAlignment="1">
      <alignment horizontal="right" vertical="top" shrinkToFit="1"/>
    </xf>
    <xf numFmtId="170" fontId="451" fillId="0" borderId="21" xfId="57" applyNumberFormat="1" applyFont="1" applyBorder="1" applyAlignment="1">
      <alignment horizontal="right" vertical="top" shrinkToFit="1"/>
    </xf>
    <xf numFmtId="2" fontId="92" fillId="0" borderId="21" xfId="57" applyNumberFormat="1" applyFont="1" applyBorder="1" applyAlignment="1">
      <alignment horizontal="right" vertical="top" shrinkToFit="1"/>
    </xf>
    <xf numFmtId="2" fontId="92" fillId="0" borderId="21" xfId="57" applyNumberFormat="1" applyFont="1" applyBorder="1" applyAlignment="1">
      <alignment horizontal="right" shrinkToFit="1"/>
    </xf>
    <xf numFmtId="170" fontId="451" fillId="0" borderId="21" xfId="57" applyNumberFormat="1" applyFont="1" applyBorder="1" applyAlignment="1">
      <alignment horizontal="center" vertical="top" wrapText="1"/>
    </xf>
    <xf numFmtId="2" fontId="451" fillId="0" borderId="21" xfId="57" applyNumberFormat="1" applyFont="1" applyBorder="1" applyAlignment="1">
      <alignment horizontal="right" vertical="top" shrinkToFit="1"/>
    </xf>
    <xf numFmtId="2" fontId="92" fillId="30" borderId="21" xfId="57" applyNumberFormat="1" applyFont="1" applyFill="1" applyBorder="1" applyAlignment="1">
      <alignment horizontal="right" vertical="top" shrinkToFit="1"/>
    </xf>
    <xf numFmtId="2" fontId="465" fillId="27" borderId="21" xfId="57" applyNumberFormat="1" applyFont="1" applyFill="1" applyBorder="1" applyAlignment="1">
      <alignment horizontal="center" vertical="top" wrapText="1"/>
    </xf>
    <xf numFmtId="170" fontId="92" fillId="30" borderId="21" xfId="57" applyNumberFormat="1" applyFont="1" applyFill="1" applyBorder="1" applyAlignment="1">
      <alignment horizontal="right" vertical="top" shrinkToFit="1"/>
    </xf>
    <xf numFmtId="170" fontId="451" fillId="30" borderId="21" xfId="57" applyNumberFormat="1" applyFont="1" applyFill="1" applyBorder="1" applyAlignment="1">
      <alignment horizontal="right" vertical="top" shrinkToFit="1"/>
    </xf>
    <xf numFmtId="2" fontId="451" fillId="30" borderId="21" xfId="57" applyNumberFormat="1" applyFont="1" applyFill="1" applyBorder="1" applyAlignment="1">
      <alignment horizontal="right" vertical="top" shrinkToFit="1"/>
    </xf>
    <xf numFmtId="0" fontId="95" fillId="0" borderId="22" xfId="57" applyFont="1" applyBorder="1" applyAlignment="1">
      <alignment horizontal="center" vertical="top" wrapText="1"/>
    </xf>
    <xf numFmtId="0" fontId="92" fillId="28" borderId="21" xfId="57" applyFont="1" applyFill="1" applyBorder="1" applyAlignment="1">
      <alignment horizontal="center" vertical="top" shrinkToFit="1"/>
    </xf>
    <xf numFmtId="0" fontId="451" fillId="0" borderId="22" xfId="57" applyFont="1" applyBorder="1" applyAlignment="1">
      <alignment horizontal="center" vertical="top" shrinkToFit="1"/>
    </xf>
    <xf numFmtId="2" fontId="451" fillId="0" borderId="21" xfId="57" applyNumberFormat="1" applyFont="1" applyBorder="1" applyAlignment="1">
      <alignment horizontal="center" vertical="top" shrinkToFit="1"/>
    </xf>
    <xf numFmtId="0" fontId="451" fillId="0" borderId="21" xfId="57" applyFont="1" applyBorder="1"/>
    <xf numFmtId="2" fontId="92" fillId="0" borderId="21" xfId="57" applyNumberFormat="1" applyFont="1" applyBorder="1" applyAlignment="1">
      <alignment horizontal="center" vertical="top" shrinkToFit="1"/>
    </xf>
    <xf numFmtId="0" fontId="92" fillId="0" borderId="21" xfId="57" applyFont="1" applyBorder="1" applyAlignment="1">
      <alignment horizontal="right" vertical="center" shrinkToFit="1"/>
    </xf>
    <xf numFmtId="2" fontId="92" fillId="0" borderId="21" xfId="57" applyNumberFormat="1" applyFont="1" applyBorder="1" applyAlignment="1">
      <alignment horizontal="right" vertical="center" shrinkToFit="1"/>
    </xf>
    <xf numFmtId="170" fontId="92" fillId="0" borderId="21" xfId="57" applyNumberFormat="1" applyFont="1" applyBorder="1" applyAlignment="1">
      <alignment horizontal="right" vertical="center" shrinkToFit="1"/>
    </xf>
    <xf numFmtId="2" fontId="92" fillId="28" borderId="21" xfId="57" applyNumberFormat="1" applyFont="1" applyFill="1" applyBorder="1" applyAlignment="1">
      <alignment horizontal="right" vertical="center" shrinkToFit="1"/>
    </xf>
    <xf numFmtId="170" fontId="466" fillId="0" borderId="21" xfId="57" applyNumberFormat="1" applyFont="1" applyBorder="1" applyAlignment="1">
      <alignment horizontal="right" vertical="center" shrinkToFit="1"/>
    </xf>
    <xf numFmtId="0" fontId="92" fillId="0" borderId="21" xfId="57" applyFont="1" applyBorder="1" applyAlignment="1">
      <alignment vertical="top" wrapText="1"/>
    </xf>
    <xf numFmtId="1" fontId="92" fillId="0" borderId="21" xfId="57" applyNumberFormat="1" applyFont="1" applyBorder="1" applyAlignment="1">
      <alignment horizontal="right" vertical="center" shrinkToFit="1"/>
    </xf>
    <xf numFmtId="0" fontId="93" fillId="0" borderId="21" xfId="57" applyFont="1" applyBorder="1" applyAlignment="1">
      <alignment vertical="top" wrapText="1"/>
    </xf>
    <xf numFmtId="2" fontId="92" fillId="27" borderId="21" xfId="57" applyNumberFormat="1" applyFont="1" applyFill="1" applyBorder="1" applyAlignment="1">
      <alignment horizontal="right" vertical="center" shrinkToFit="1"/>
    </xf>
    <xf numFmtId="2" fontId="92" fillId="35" borderId="21" xfId="57" applyNumberFormat="1" applyFont="1" applyFill="1" applyBorder="1" applyAlignment="1">
      <alignment horizontal="right" vertical="center" shrinkToFit="1"/>
    </xf>
    <xf numFmtId="0" fontId="92" fillId="0" borderId="21" xfId="57" applyFont="1" applyBorder="1" applyAlignment="1">
      <alignment horizontal="justify" vertical="top" shrinkToFit="1"/>
    </xf>
    <xf numFmtId="2" fontId="93" fillId="0" borderId="21" xfId="57" applyNumberFormat="1" applyFont="1" applyBorder="1" applyAlignment="1">
      <alignment horizontal="right" vertical="center"/>
    </xf>
    <xf numFmtId="2" fontId="451" fillId="0" borderId="21" xfId="57" applyNumberFormat="1" applyFont="1" applyBorder="1" applyAlignment="1">
      <alignment horizontal="right" vertical="center" shrinkToFit="1"/>
    </xf>
    <xf numFmtId="173" fontId="451" fillId="0" borderId="21" xfId="57" applyNumberFormat="1" applyFont="1" applyBorder="1" applyAlignment="1">
      <alignment horizontal="center" vertical="top" shrinkToFit="1"/>
    </xf>
    <xf numFmtId="0" fontId="451" fillId="0" borderId="21" xfId="57" applyFont="1" applyBorder="1" applyAlignment="1">
      <alignment horizontal="right" vertical="center" shrinkToFit="1"/>
    </xf>
    <xf numFmtId="170" fontId="451" fillId="0" borderId="21" xfId="57" applyNumberFormat="1" applyFont="1" applyBorder="1" applyAlignment="1">
      <alignment horizontal="right" vertical="center" shrinkToFit="1"/>
    </xf>
    <xf numFmtId="173" fontId="451" fillId="30" borderId="21" xfId="57" applyNumberFormat="1" applyFont="1" applyFill="1" applyBorder="1" applyAlignment="1">
      <alignment horizontal="center" vertical="top" shrinkToFit="1"/>
    </xf>
    <xf numFmtId="0" fontId="451" fillId="30" borderId="21" xfId="57" applyFont="1" applyFill="1" applyBorder="1" applyAlignment="1">
      <alignment horizontal="right" vertical="center" shrinkToFit="1"/>
    </xf>
    <xf numFmtId="2" fontId="451" fillId="30" borderId="21" xfId="57" applyNumberFormat="1" applyFont="1" applyFill="1" applyBorder="1" applyAlignment="1">
      <alignment horizontal="right" vertical="center" shrinkToFit="1"/>
    </xf>
    <xf numFmtId="170" fontId="451" fillId="30" borderId="21" xfId="57" applyNumberFormat="1" applyFont="1" applyFill="1" applyBorder="1" applyAlignment="1">
      <alignment horizontal="right" vertical="center" shrinkToFit="1"/>
    </xf>
    <xf numFmtId="0" fontId="451" fillId="0" borderId="21" xfId="57" applyFont="1" applyBorder="1" applyAlignment="1">
      <alignment horizontal="left" vertical="center" shrinkToFit="1"/>
    </xf>
    <xf numFmtId="0" fontId="93" fillId="0" borderId="21" xfId="57" applyFont="1" applyBorder="1" applyAlignment="1">
      <alignment horizontal="left" vertical="center" wrapText="1"/>
    </xf>
    <xf numFmtId="0" fontId="92" fillId="0" borderId="21" xfId="57" applyFont="1" applyBorder="1" applyAlignment="1">
      <alignment horizontal="left" vertical="center"/>
    </xf>
    <xf numFmtId="0" fontId="93" fillId="0" borderId="21" xfId="57" applyFont="1" applyBorder="1" applyAlignment="1">
      <alignment horizontal="left" vertical="top" wrapText="1"/>
    </xf>
    <xf numFmtId="0" fontId="92" fillId="0" borderId="21" xfId="57" applyFont="1" applyBorder="1" applyAlignment="1">
      <alignment horizontal="left" vertical="center" wrapText="1"/>
    </xf>
    <xf numFmtId="0" fontId="92" fillId="0" borderId="21" xfId="57" applyFont="1" applyBorder="1" applyAlignment="1">
      <alignment horizontal="left" vertical="center" shrinkToFit="1"/>
    </xf>
    <xf numFmtId="2" fontId="92" fillId="0" borderId="21" xfId="57" applyNumberFormat="1" applyFont="1" applyBorder="1" applyAlignment="1">
      <alignment horizontal="left" vertical="center" shrinkToFit="1"/>
    </xf>
    <xf numFmtId="0" fontId="456" fillId="30" borderId="21" xfId="57" applyFont="1" applyFill="1" applyBorder="1" applyAlignment="1">
      <alignment horizontal="justify" vertical="top" wrapText="1"/>
    </xf>
    <xf numFmtId="0" fontId="93" fillId="0" borderId="21" xfId="57" applyFont="1" applyBorder="1" applyAlignment="1">
      <alignment horizontal="justify" vertical="top" wrapText="1"/>
    </xf>
    <xf numFmtId="0" fontId="92" fillId="30" borderId="21" xfId="57" applyFont="1" applyFill="1" applyBorder="1" applyAlignment="1">
      <alignment horizontal="justify" vertical="top" wrapText="1"/>
    </xf>
    <xf numFmtId="2" fontId="451" fillId="27" borderId="21" xfId="57" applyNumberFormat="1" applyFont="1" applyFill="1" applyBorder="1" applyAlignment="1">
      <alignment horizontal="right" vertical="center" shrinkToFit="1"/>
    </xf>
    <xf numFmtId="2" fontId="92" fillId="0" borderId="21" xfId="57" applyNumberFormat="1" applyFont="1" applyBorder="1" applyAlignment="1">
      <alignment horizontal="right" vertical="center"/>
    </xf>
    <xf numFmtId="0" fontId="92" fillId="0" borderId="21" xfId="57" applyFont="1" applyBorder="1" applyAlignment="1">
      <alignment shrinkToFit="1"/>
    </xf>
    <xf numFmtId="0" fontId="92" fillId="0" borderId="21" xfId="57" applyFont="1" applyBorder="1" applyAlignment="1">
      <alignment horizontal="left" shrinkToFit="1"/>
    </xf>
    <xf numFmtId="0" fontId="92" fillId="0" borderId="21" xfId="57" applyFont="1" applyBorder="1" applyAlignment="1">
      <alignment horizontal="center" vertical="center"/>
    </xf>
    <xf numFmtId="0" fontId="466" fillId="35" borderId="21" xfId="57" applyFont="1" applyFill="1" applyBorder="1" applyAlignment="1">
      <alignment horizontal="justify" vertical="top" wrapText="1"/>
    </xf>
    <xf numFmtId="0" fontId="95" fillId="30" borderId="21" xfId="57" applyFont="1" applyFill="1" applyBorder="1" applyAlignment="1">
      <alignment horizontal="justify" vertical="top" wrapText="1"/>
    </xf>
    <xf numFmtId="2" fontId="92" fillId="29" borderId="21" xfId="57" applyNumberFormat="1" applyFont="1" applyFill="1" applyBorder="1" applyAlignment="1">
      <alignment horizontal="right" vertical="center" shrinkToFit="1"/>
    </xf>
    <xf numFmtId="0" fontId="95" fillId="0" borderId="21" xfId="57" applyFont="1" applyBorder="1" applyAlignment="1">
      <alignment horizontal="justify" vertical="top" wrapText="1"/>
    </xf>
    <xf numFmtId="0" fontId="93" fillId="0" borderId="21" xfId="57" applyFont="1" applyBorder="1"/>
    <xf numFmtId="0" fontId="467" fillId="183" borderId="8" xfId="0" applyFont="1" applyFill="1" applyBorder="1"/>
    <xf numFmtId="2" fontId="467" fillId="183" borderId="8" xfId="0" applyNumberFormat="1" applyFont="1" applyFill="1" applyBorder="1"/>
    <xf numFmtId="0" fontId="443" fillId="0" borderId="8" xfId="0" applyFont="1" applyBorder="1" applyAlignment="1">
      <alignment horizontal="center" vertical="center"/>
    </xf>
    <xf numFmtId="0" fontId="467" fillId="183" borderId="8" xfId="0" applyFont="1" applyFill="1" applyBorder="1" applyAlignment="1">
      <alignment horizontal="center" vertical="center"/>
    </xf>
    <xf numFmtId="2" fontId="467" fillId="183" borderId="8" xfId="0" applyNumberFormat="1" applyFont="1" applyFill="1" applyBorder="1" applyAlignment="1">
      <alignment horizontal="center" vertical="center"/>
    </xf>
    <xf numFmtId="0" fontId="443" fillId="0" borderId="0" xfId="0" applyFont="1" applyAlignment="1">
      <alignment horizontal="center" vertical="center"/>
    </xf>
    <xf numFmtId="2" fontId="443" fillId="0" borderId="8" xfId="0" applyNumberFormat="1" applyFont="1" applyBorder="1" applyAlignment="1">
      <alignment horizontal="center" vertical="center"/>
    </xf>
    <xf numFmtId="0" fontId="450" fillId="0" borderId="0" xfId="0" applyFont="1" applyAlignment="1">
      <alignment horizontal="justify" vertical="top" wrapText="1"/>
    </xf>
    <xf numFmtId="0" fontId="468" fillId="0" borderId="0" xfId="0" applyFont="1" applyAlignment="1">
      <alignment horizontal="left" vertical="top" wrapText="1"/>
    </xf>
    <xf numFmtId="0" fontId="449" fillId="0" borderId="0" xfId="66" applyFont="1" applyAlignment="1">
      <alignment horizontal="right" vertical="top"/>
    </xf>
    <xf numFmtId="0" fontId="449" fillId="0" borderId="0" xfId="70" applyFont="1" applyAlignment="1">
      <alignment horizontal="left" vertical="top"/>
    </xf>
    <xf numFmtId="0" fontId="470" fillId="0" borderId="14" xfId="19413" applyFont="1" applyBorder="1"/>
    <xf numFmtId="0" fontId="470" fillId="0" borderId="15" xfId="19413" applyFont="1" applyBorder="1"/>
    <xf numFmtId="0" fontId="470" fillId="0" borderId="16" xfId="19413" applyFont="1" applyBorder="1"/>
    <xf numFmtId="0" fontId="470" fillId="0" borderId="0" xfId="19413" applyFont="1"/>
    <xf numFmtId="0" fontId="470" fillId="0" borderId="17" xfId="19413" applyFont="1" applyBorder="1"/>
    <xf numFmtId="0" fontId="470" fillId="0" borderId="10" xfId="19413" applyFont="1" applyBorder="1"/>
    <xf numFmtId="0" fontId="471" fillId="0" borderId="0" xfId="19413" applyFont="1" applyAlignment="1">
      <alignment horizontal="center"/>
    </xf>
    <xf numFmtId="0" fontId="470" fillId="0" borderId="0" xfId="19413" applyFont="1" applyAlignment="1">
      <alignment horizontal="center"/>
    </xf>
    <xf numFmtId="0" fontId="473" fillId="0" borderId="0" xfId="19413" applyFont="1" applyAlignment="1">
      <alignment horizontal="center"/>
    </xf>
    <xf numFmtId="0" fontId="476" fillId="0" borderId="0" xfId="19413" applyFont="1" applyAlignment="1">
      <alignment horizontal="center" vertical="center" wrapText="1"/>
    </xf>
    <xf numFmtId="0" fontId="477" fillId="0" borderId="17" xfId="19413" applyFont="1" applyBorder="1"/>
    <xf numFmtId="0" fontId="477" fillId="0" borderId="0" xfId="19413" applyFont="1"/>
    <xf numFmtId="0" fontId="477" fillId="0" borderId="0" xfId="19413" applyFont="1" applyAlignment="1">
      <alignment horizontal="center" vertical="center" wrapText="1"/>
    </xf>
    <xf numFmtId="0" fontId="477" fillId="0" borderId="10" xfId="19413" applyFont="1" applyBorder="1"/>
    <xf numFmtId="0" fontId="477" fillId="0" borderId="0" xfId="19413" applyFont="1" applyAlignment="1">
      <alignment horizontal="right"/>
    </xf>
    <xf numFmtId="367" fontId="477" fillId="0" borderId="0" xfId="19413" applyNumberFormat="1" applyFont="1" applyAlignment="1">
      <alignment horizontal="right" wrapText="1"/>
    </xf>
    <xf numFmtId="0" fontId="477" fillId="0" borderId="0" xfId="19413" applyFont="1" applyAlignment="1">
      <alignment horizontal="center" wrapText="1"/>
    </xf>
    <xf numFmtId="0" fontId="477" fillId="0" borderId="17" xfId="19413" applyFont="1" applyBorder="1" applyAlignment="1">
      <alignment horizontal="center" vertical="center"/>
    </xf>
    <xf numFmtId="0" fontId="477" fillId="0" borderId="0" xfId="19413" applyFont="1" applyAlignment="1">
      <alignment horizontal="center" vertical="center"/>
    </xf>
    <xf numFmtId="0" fontId="477" fillId="0" borderId="10" xfId="19413" applyFont="1" applyBorder="1" applyAlignment="1">
      <alignment horizontal="center" vertical="center"/>
    </xf>
    <xf numFmtId="0" fontId="470" fillId="0" borderId="0" xfId="19413" applyFont="1" applyAlignment="1">
      <alignment horizontal="center" vertical="center"/>
    </xf>
    <xf numFmtId="0" fontId="473" fillId="0" borderId="17" xfId="19413" applyFont="1" applyBorder="1"/>
    <xf numFmtId="0" fontId="473" fillId="0" borderId="0" xfId="19413" applyFont="1"/>
    <xf numFmtId="0" fontId="473" fillId="0" borderId="10" xfId="19413" applyFont="1" applyBorder="1"/>
    <xf numFmtId="0" fontId="473" fillId="0" borderId="0" xfId="19413" applyFont="1" applyAlignment="1">
      <alignment horizontal="right"/>
    </xf>
    <xf numFmtId="0" fontId="479" fillId="0" borderId="0" xfId="19413" applyFont="1"/>
    <xf numFmtId="0" fontId="473" fillId="0" borderId="18" xfId="19413" applyFont="1" applyBorder="1"/>
    <xf numFmtId="0" fontId="473" fillId="0" borderId="19" xfId="19413" applyFont="1" applyBorder="1"/>
    <xf numFmtId="0" fontId="473" fillId="0" borderId="20" xfId="19413" applyFont="1" applyBorder="1"/>
    <xf numFmtId="0" fontId="473" fillId="0" borderId="55" xfId="19413" applyFont="1" applyBorder="1"/>
    <xf numFmtId="0" fontId="470" fillId="0" borderId="55" xfId="19413" applyFont="1" applyBorder="1"/>
    <xf numFmtId="0" fontId="470" fillId="0" borderId="56" xfId="19413" applyFont="1" applyBorder="1"/>
    <xf numFmtId="0" fontId="470" fillId="0" borderId="108" xfId="19413" applyFont="1" applyBorder="1"/>
    <xf numFmtId="0" fontId="470" fillId="0" borderId="57" xfId="19413" applyFont="1" applyBorder="1"/>
    <xf numFmtId="0" fontId="470" fillId="0" borderId="109" xfId="19413" applyFont="1" applyBorder="1"/>
    <xf numFmtId="0" fontId="480" fillId="0" borderId="0" xfId="19413" applyFont="1" applyAlignment="1">
      <alignment horizontal="center" vertical="center"/>
    </xf>
    <xf numFmtId="0" fontId="478" fillId="0" borderId="0" xfId="19413" applyFont="1" applyAlignment="1">
      <alignment horizontal="left" vertical="center"/>
    </xf>
    <xf numFmtId="176" fontId="443" fillId="0" borderId="8" xfId="57" applyNumberFormat="1" applyFont="1" applyBorder="1" applyAlignment="1">
      <alignment horizontal="center" vertical="center"/>
    </xf>
    <xf numFmtId="0" fontId="419" fillId="43" borderId="8" xfId="69" applyFont="1" applyFill="1" applyBorder="1" applyAlignment="1">
      <alignment horizontal="center" vertical="center"/>
    </xf>
    <xf numFmtId="0" fontId="419" fillId="43" borderId="0" xfId="69" applyFont="1" applyFill="1" applyAlignment="1">
      <alignment horizontal="center" vertical="center"/>
    </xf>
    <xf numFmtId="0" fontId="143" fillId="0" borderId="8" xfId="57" applyFont="1" applyBorder="1" applyAlignment="1">
      <alignment horizontal="left" vertical="top" wrapText="1"/>
    </xf>
    <xf numFmtId="2" fontId="419" fillId="54" borderId="8" xfId="69" applyNumberFormat="1" applyFont="1" applyFill="1" applyBorder="1" applyAlignment="1">
      <alignment horizontal="center" vertical="center" shrinkToFit="1"/>
    </xf>
    <xf numFmtId="2" fontId="419" fillId="54" borderId="8" xfId="69" applyNumberFormat="1" applyFont="1" applyFill="1" applyBorder="1" applyAlignment="1">
      <alignment horizontal="center" vertical="center"/>
    </xf>
    <xf numFmtId="0" fontId="419" fillId="54" borderId="8" xfId="69" applyFont="1" applyFill="1" applyBorder="1" applyAlignment="1">
      <alignment horizontal="center" vertical="center"/>
    </xf>
    <xf numFmtId="172" fontId="420" fillId="54" borderId="8" xfId="0" applyNumberFormat="1" applyFont="1" applyFill="1" applyBorder="1" applyAlignment="1">
      <alignment horizontal="center" vertical="center"/>
    </xf>
    <xf numFmtId="0" fontId="66" fillId="184" borderId="42" xfId="75" applyFont="1" applyFill="1" applyBorder="1" applyAlignment="1">
      <alignment horizontal="center" vertical="top"/>
    </xf>
    <xf numFmtId="0" fontId="98" fillId="185" borderId="0" xfId="75" applyFont="1" applyFill="1" applyAlignment="1">
      <alignment horizontal="center"/>
    </xf>
    <xf numFmtId="0" fontId="66" fillId="185" borderId="43" xfId="75" applyFont="1" applyFill="1" applyBorder="1" applyAlignment="1">
      <alignment horizontal="center" vertical="top"/>
    </xf>
    <xf numFmtId="0" fontId="426" fillId="54" borderId="8" xfId="69" applyFont="1" applyFill="1" applyBorder="1" applyAlignment="1">
      <alignment horizontal="center" vertical="center" wrapText="1"/>
    </xf>
    <xf numFmtId="171" fontId="419" fillId="54" borderId="8" xfId="69" applyNumberFormat="1" applyFont="1" applyFill="1" applyBorder="1" applyAlignment="1">
      <alignment horizontal="center" vertical="center" wrapText="1"/>
    </xf>
    <xf numFmtId="0" fontId="419" fillId="54" borderId="0" xfId="69" applyFont="1" applyFill="1" applyAlignment="1">
      <alignment horizontal="center" vertical="center"/>
    </xf>
    <xf numFmtId="0" fontId="118" fillId="54" borderId="0" xfId="69" applyFont="1" applyFill="1" applyAlignment="1">
      <alignment horizontal="center" vertical="center"/>
    </xf>
    <xf numFmtId="0" fontId="419" fillId="0" borderId="8" xfId="69" applyFont="1" applyBorder="1" applyAlignment="1">
      <alignment horizontal="centerContinuous" vertical="center"/>
    </xf>
    <xf numFmtId="0" fontId="118" fillId="0" borderId="8" xfId="69" applyFont="1" applyBorder="1" applyAlignment="1">
      <alignment horizontal="center" vertical="center"/>
    </xf>
    <xf numFmtId="0" fontId="418" fillId="0" borderId="8" xfId="69" applyFont="1" applyBorder="1" applyAlignment="1">
      <alignment vertical="center"/>
    </xf>
    <xf numFmtId="2" fontId="38" fillId="43" borderId="8" xfId="0" applyNumberFormat="1" applyFont="1" applyFill="1" applyBorder="1" applyAlignment="1">
      <alignment vertical="top" wrapText="1"/>
    </xf>
    <xf numFmtId="0" fontId="40" fillId="0" borderId="8" xfId="0" applyFont="1" applyBorder="1" applyAlignment="1">
      <alignment horizontal="left" vertical="top" shrinkToFit="1"/>
    </xf>
    <xf numFmtId="0" fontId="40" fillId="0" borderId="0" xfId="0" applyFont="1" applyAlignment="1">
      <alignment vertical="top"/>
    </xf>
    <xf numFmtId="0" fontId="143" fillId="0" borderId="8" xfId="57" applyFont="1" applyBorder="1" applyAlignment="1">
      <alignment vertical="top"/>
    </xf>
    <xf numFmtId="0" fontId="143" fillId="0" borderId="32" xfId="57" applyFont="1" applyBorder="1" applyAlignment="1">
      <alignment vertical="top"/>
    </xf>
    <xf numFmtId="0" fontId="143" fillId="0" borderId="8" xfId="57" applyFont="1" applyBorder="1" applyAlignment="1">
      <alignment horizontal="center" vertical="top"/>
    </xf>
    <xf numFmtId="2" fontId="143" fillId="0" borderId="8" xfId="57" applyNumberFormat="1" applyFont="1" applyBorder="1" applyAlignment="1">
      <alignment vertical="top"/>
    </xf>
    <xf numFmtId="4" fontId="143" fillId="0" borderId="8" xfId="57" applyNumberFormat="1" applyFont="1" applyBorder="1" applyAlignment="1">
      <alignment horizontal="center" vertical="top" wrapText="1"/>
    </xf>
    <xf numFmtId="0" fontId="143" fillId="0" borderId="8" xfId="19411" applyFont="1" applyBorder="1" applyAlignment="1">
      <alignment horizontal="right" vertical="top" wrapText="1"/>
    </xf>
    <xf numFmtId="9" fontId="143" fillId="0" borderId="8" xfId="19411" applyNumberFormat="1" applyFont="1" applyBorder="1" applyAlignment="1">
      <alignment horizontal="right" vertical="top" wrapText="1"/>
    </xf>
    <xf numFmtId="170" fontId="143" fillId="0" borderId="8" xfId="19411" applyNumberFormat="1" applyFont="1" applyBorder="1" applyAlignment="1">
      <alignment horizontal="right" vertical="top" wrapText="1"/>
    </xf>
    <xf numFmtId="2" fontId="143" fillId="0" borderId="8" xfId="19411" applyNumberFormat="1" applyFont="1" applyBorder="1" applyAlignment="1">
      <alignment vertical="top" wrapText="1"/>
    </xf>
    <xf numFmtId="0" fontId="141" fillId="0" borderId="8" xfId="19411" applyFont="1" applyBorder="1" applyAlignment="1">
      <alignment vertical="top"/>
    </xf>
    <xf numFmtId="178" fontId="143" fillId="0" borderId="8" xfId="19411" applyNumberFormat="1" applyFont="1" applyBorder="1" applyAlignment="1">
      <alignment horizontal="right" vertical="top" wrapText="1"/>
    </xf>
    <xf numFmtId="2" fontId="141" fillId="0" borderId="8" xfId="57" applyNumberFormat="1" applyFont="1" applyBorder="1" applyAlignment="1">
      <alignment vertical="top"/>
    </xf>
    <xf numFmtId="0" fontId="141" fillId="0" borderId="32" xfId="57" applyFont="1" applyBorder="1" applyAlignment="1">
      <alignment vertical="top"/>
    </xf>
    <xf numFmtId="0" fontId="143" fillId="0" borderId="0" xfId="57" applyFont="1" applyAlignment="1">
      <alignment vertical="top"/>
    </xf>
    <xf numFmtId="0" fontId="141" fillId="0" borderId="0" xfId="57" applyFont="1" applyAlignment="1">
      <alignment horizontal="center" vertical="top"/>
    </xf>
    <xf numFmtId="0" fontId="141" fillId="0" borderId="8" xfId="57" applyFont="1" applyBorder="1" applyAlignment="1">
      <alignment vertical="top"/>
    </xf>
    <xf numFmtId="0" fontId="143" fillId="0" borderId="8" xfId="57" applyFont="1" applyBorder="1" applyAlignment="1">
      <alignment horizontal="left" vertical="top"/>
    </xf>
    <xf numFmtId="2" fontId="143" fillId="0" borderId="8" xfId="57" applyNumberFormat="1" applyFont="1" applyBorder="1" applyAlignment="1">
      <alignment horizontal="center" vertical="top" wrapText="1"/>
    </xf>
    <xf numFmtId="2" fontId="143" fillId="0" borderId="8" xfId="19411" applyNumberFormat="1" applyFont="1" applyBorder="1" applyAlignment="1">
      <alignment horizontal="right" vertical="top" wrapText="1"/>
    </xf>
    <xf numFmtId="0" fontId="141" fillId="0" borderId="32" xfId="57" applyFont="1" applyBorder="1" applyAlignment="1">
      <alignment horizontal="center" vertical="top"/>
    </xf>
    <xf numFmtId="49" fontId="38" fillId="0" borderId="8" xfId="0" applyNumberFormat="1" applyFont="1" applyBorder="1" applyAlignment="1">
      <alignment horizontal="center" vertical="top" shrinkToFit="1"/>
    </xf>
    <xf numFmtId="2" fontId="40" fillId="0" borderId="8" xfId="0" applyNumberFormat="1" applyFont="1" applyBorder="1" applyAlignment="1">
      <alignment vertical="top"/>
    </xf>
    <xf numFmtId="49" fontId="43" fillId="0" borderId="8" xfId="0" applyNumberFormat="1" applyFont="1" applyBorder="1" applyAlignment="1">
      <alignment horizontal="left" vertical="top" wrapText="1" shrinkToFit="1"/>
    </xf>
    <xf numFmtId="49" fontId="38" fillId="0" borderId="8" xfId="0" applyNumberFormat="1" applyFont="1" applyBorder="1" applyAlignment="1">
      <alignment vertical="top"/>
    </xf>
    <xf numFmtId="1" fontId="38" fillId="0" borderId="8" xfId="0" applyNumberFormat="1" applyFont="1" applyBorder="1" applyAlignment="1">
      <alignment horizontal="center" vertical="top"/>
    </xf>
    <xf numFmtId="4" fontId="38" fillId="0" borderId="8" xfId="0" applyNumberFormat="1" applyFont="1" applyBorder="1" applyAlignment="1">
      <alignment horizontal="center" vertical="top"/>
    </xf>
    <xf numFmtId="2" fontId="38" fillId="0" borderId="8" xfId="0" applyNumberFormat="1" applyFont="1" applyBorder="1" applyAlignment="1">
      <alignment horizontal="center" vertical="top"/>
    </xf>
    <xf numFmtId="0" fontId="40" fillId="0" borderId="0" xfId="0" applyFont="1" applyAlignment="1">
      <alignment horizontal="left" vertical="top" shrinkToFit="1"/>
    </xf>
    <xf numFmtId="0" fontId="38" fillId="0" borderId="0" xfId="0" applyFont="1" applyAlignment="1">
      <alignment horizontal="left" vertical="top" shrinkToFit="1"/>
    </xf>
    <xf numFmtId="2" fontId="40" fillId="0" borderId="0" xfId="0" applyNumberFormat="1" applyFont="1" applyAlignment="1">
      <alignment horizontal="center" vertical="top"/>
    </xf>
    <xf numFmtId="2" fontId="40" fillId="0" borderId="0" xfId="0" applyNumberFormat="1" applyFont="1" applyAlignment="1">
      <alignment vertical="top"/>
    </xf>
    <xf numFmtId="0" fontId="7" fillId="0" borderId="40" xfId="0" applyFont="1" applyBorder="1" applyAlignment="1">
      <alignment horizontal="center" vertical="top"/>
    </xf>
    <xf numFmtId="0" fontId="4" fillId="0" borderId="40" xfId="0" applyFont="1" applyBorder="1" applyAlignment="1">
      <alignment horizontal="center" vertical="top"/>
    </xf>
    <xf numFmtId="0" fontId="4" fillId="0" borderId="40" xfId="0" applyFont="1" applyBorder="1" applyAlignment="1">
      <alignment vertical="top"/>
    </xf>
    <xf numFmtId="0" fontId="83" fillId="0" borderId="40" xfId="0" applyFont="1" applyBorder="1" applyAlignment="1">
      <alignment vertical="top"/>
    </xf>
    <xf numFmtId="2" fontId="4" fillId="0" borderId="40" xfId="0" applyNumberFormat="1" applyFont="1" applyBorder="1" applyAlignment="1">
      <alignment vertical="top"/>
    </xf>
    <xf numFmtId="0" fontId="83" fillId="0" borderId="40" xfId="0" applyFont="1" applyBorder="1" applyAlignment="1">
      <alignment horizontal="left" vertical="top"/>
    </xf>
    <xf numFmtId="2" fontId="38" fillId="43" borderId="8" xfId="0" applyNumberFormat="1" applyFont="1" applyFill="1" applyBorder="1" applyAlignment="1">
      <alignment vertical="top" shrinkToFit="1"/>
    </xf>
    <xf numFmtId="0" fontId="92" fillId="186" borderId="21" xfId="57" applyFont="1" applyFill="1" applyBorder="1" applyAlignment="1">
      <alignment horizontal="center" vertical="top" shrinkToFit="1"/>
    </xf>
    <xf numFmtId="2" fontId="93" fillId="43" borderId="21" xfId="57" applyNumberFormat="1" applyFont="1" applyFill="1" applyBorder="1" applyAlignment="1">
      <alignment horizontal="center" vertical="top" wrapText="1"/>
    </xf>
    <xf numFmtId="2" fontId="92" fillId="43" borderId="21" xfId="57" applyNumberFormat="1" applyFont="1" applyFill="1" applyBorder="1" applyAlignment="1">
      <alignment horizontal="right" vertical="top" shrinkToFit="1"/>
    </xf>
    <xf numFmtId="2" fontId="92" fillId="43" borderId="21" xfId="57" applyNumberFormat="1" applyFont="1" applyFill="1" applyBorder="1" applyAlignment="1">
      <alignment horizontal="right" vertical="center" shrinkToFit="1"/>
    </xf>
    <xf numFmtId="2" fontId="92" fillId="53" borderId="21" xfId="57" applyNumberFormat="1" applyFont="1" applyFill="1" applyBorder="1" applyAlignment="1">
      <alignment horizontal="right" vertical="center" shrinkToFit="1"/>
    </xf>
    <xf numFmtId="0" fontId="485" fillId="0" borderId="0" xfId="0" applyFont="1" applyAlignment="1">
      <alignment horizontal="left" vertical="center"/>
    </xf>
    <xf numFmtId="0" fontId="485" fillId="0" borderId="0" xfId="0" applyFont="1" applyAlignment="1">
      <alignment horizontal="center" vertical="center"/>
    </xf>
    <xf numFmtId="0" fontId="486" fillId="0" borderId="0" xfId="0" applyFont="1" applyAlignment="1">
      <alignment vertical="center"/>
    </xf>
    <xf numFmtId="0" fontId="485" fillId="0" borderId="0" xfId="0" applyFont="1" applyAlignment="1">
      <alignment horizontal="center" vertical="center" wrapText="1"/>
    </xf>
    <xf numFmtId="0" fontId="485" fillId="0" borderId="8" xfId="0" applyFont="1" applyBorder="1" applyAlignment="1">
      <alignment horizontal="center" vertical="center" wrapText="1"/>
    </xf>
    <xf numFmtId="0" fontId="485" fillId="0" borderId="8" xfId="0" applyFont="1" applyBorder="1" applyAlignment="1">
      <alignment vertical="center" wrapText="1"/>
    </xf>
    <xf numFmtId="172" fontId="485" fillId="0" borderId="8" xfId="0" applyNumberFormat="1" applyFont="1" applyBorder="1" applyAlignment="1">
      <alignment horizontal="center" vertical="center" wrapText="1"/>
    </xf>
    <xf numFmtId="172" fontId="485" fillId="0" borderId="8" xfId="0" applyNumberFormat="1" applyFont="1" applyBorder="1" applyAlignment="1">
      <alignment horizontal="right" vertical="center" wrapText="1"/>
    </xf>
    <xf numFmtId="0" fontId="486" fillId="0" borderId="0" xfId="0" applyFont="1" applyAlignment="1">
      <alignment horizontal="left" vertical="center" wrapText="1"/>
    </xf>
    <xf numFmtId="0" fontId="486" fillId="0" borderId="0" xfId="0" applyFont="1" applyAlignment="1">
      <alignment horizontal="center" vertical="center" wrapText="1"/>
    </xf>
    <xf numFmtId="1" fontId="486" fillId="0" borderId="8" xfId="0" applyNumberFormat="1" applyFont="1" applyBorder="1" applyAlignment="1">
      <alignment horizontal="center" vertical="center" wrapText="1"/>
    </xf>
    <xf numFmtId="1" fontId="485" fillId="0" borderId="8" xfId="0" applyNumberFormat="1" applyFont="1" applyBorder="1" applyAlignment="1">
      <alignment horizontal="center" vertical="center" wrapText="1"/>
    </xf>
    <xf numFmtId="1" fontId="485" fillId="0" borderId="8" xfId="0" applyNumberFormat="1" applyFont="1" applyBorder="1" applyAlignment="1">
      <alignment horizontal="right" vertical="center" wrapText="1"/>
    </xf>
    <xf numFmtId="1" fontId="486" fillId="0" borderId="0" xfId="0" applyNumberFormat="1" applyFont="1" applyAlignment="1">
      <alignment horizontal="left" vertical="center" wrapText="1"/>
    </xf>
    <xf numFmtId="1" fontId="486" fillId="0" borderId="0" xfId="0" applyNumberFormat="1" applyFont="1" applyAlignment="1">
      <alignment horizontal="center" vertical="center" wrapText="1"/>
    </xf>
    <xf numFmtId="173" fontId="485" fillId="0" borderId="8" xfId="0" applyNumberFormat="1" applyFont="1" applyBorder="1" applyAlignment="1">
      <alignment horizontal="center" vertical="center" wrapText="1"/>
    </xf>
    <xf numFmtId="0" fontId="485" fillId="0" borderId="8" xfId="0" applyFont="1" applyBorder="1" applyAlignment="1">
      <alignment horizontal="justify" vertical="center" wrapText="1"/>
    </xf>
    <xf numFmtId="0" fontId="486" fillId="0" borderId="8" xfId="0" applyFont="1" applyBorder="1" applyAlignment="1">
      <alignment horizontal="center" vertical="center" shrinkToFit="1"/>
    </xf>
    <xf numFmtId="173" fontId="486" fillId="0" borderId="8" xfId="0" applyNumberFormat="1" applyFont="1" applyBorder="1" applyAlignment="1">
      <alignment horizontal="center" vertical="center" wrapText="1"/>
    </xf>
    <xf numFmtId="172" fontId="486" fillId="0" borderId="8" xfId="0" applyNumberFormat="1" applyFont="1" applyBorder="1" applyAlignment="1">
      <alignment horizontal="center" vertical="center" wrapText="1"/>
    </xf>
    <xf numFmtId="173" fontId="486" fillId="0" borderId="8" xfId="0" applyNumberFormat="1" applyFont="1" applyBorder="1" applyAlignment="1">
      <alignment horizontal="right" vertical="center" wrapText="1"/>
    </xf>
    <xf numFmtId="0" fontId="486" fillId="0" borderId="0" xfId="0" applyFont="1" applyAlignment="1">
      <alignment horizontal="justify" vertical="center" wrapText="1"/>
    </xf>
    <xf numFmtId="173" fontId="486" fillId="0" borderId="0" xfId="0" applyNumberFormat="1" applyFont="1" applyAlignment="1">
      <alignment horizontal="center" vertical="center" wrapText="1"/>
    </xf>
    <xf numFmtId="0" fontId="486" fillId="0" borderId="8" xfId="0" applyFont="1" applyBorder="1" applyAlignment="1">
      <alignment horizontal="justify" vertical="center" wrapText="1"/>
    </xf>
    <xf numFmtId="2" fontId="486" fillId="0" borderId="8" xfId="0" applyNumberFormat="1" applyFont="1" applyBorder="1" applyAlignment="1">
      <alignment horizontal="center" vertical="center" shrinkToFit="1"/>
    </xf>
    <xf numFmtId="172" fontId="486" fillId="0" borderId="8" xfId="0" applyNumberFormat="1" applyFont="1" applyBorder="1" applyAlignment="1">
      <alignment horizontal="justify" vertical="center" shrinkToFit="1"/>
    </xf>
    <xf numFmtId="0" fontId="485" fillId="0" borderId="8" xfId="0" applyFont="1" applyBorder="1" applyAlignment="1">
      <alignment horizontal="right" vertical="center" shrinkToFit="1"/>
    </xf>
    <xf numFmtId="173" fontId="486" fillId="0" borderId="0" xfId="0" applyNumberFormat="1" applyFont="1" applyAlignment="1">
      <alignment horizontal="left" vertical="center" wrapText="1"/>
    </xf>
    <xf numFmtId="172" fontId="486" fillId="0" borderId="8" xfId="0" applyNumberFormat="1" applyFont="1" applyBorder="1" applyAlignment="1">
      <alignment horizontal="center" vertical="center" shrinkToFit="1"/>
    </xf>
    <xf numFmtId="2" fontId="486" fillId="0" borderId="8" xfId="0" applyNumberFormat="1" applyFont="1" applyBorder="1" applyAlignment="1">
      <alignment horizontal="right" vertical="center" shrinkToFit="1"/>
    </xf>
    <xf numFmtId="2" fontId="486" fillId="43" borderId="8" xfId="0" applyNumberFormat="1" applyFont="1" applyFill="1" applyBorder="1" applyAlignment="1">
      <alignment horizontal="center" vertical="center" shrinkToFit="1"/>
    </xf>
    <xf numFmtId="172" fontId="486" fillId="43" borderId="8" xfId="0" applyNumberFormat="1" applyFont="1" applyFill="1" applyBorder="1" applyAlignment="1">
      <alignment horizontal="center" vertical="center" shrinkToFit="1"/>
    </xf>
    <xf numFmtId="2" fontId="486" fillId="43" borderId="8" xfId="0" applyNumberFormat="1" applyFont="1" applyFill="1" applyBorder="1" applyAlignment="1">
      <alignment horizontal="right" vertical="center" shrinkToFit="1"/>
    </xf>
    <xf numFmtId="2" fontId="485" fillId="0" borderId="8" xfId="0" applyNumberFormat="1" applyFont="1" applyBorder="1" applyAlignment="1">
      <alignment horizontal="center" vertical="center" shrinkToFit="1"/>
    </xf>
    <xf numFmtId="180" fontId="485" fillId="0" borderId="8" xfId="0" applyNumberFormat="1" applyFont="1" applyBorder="1" applyAlignment="1">
      <alignment horizontal="center" vertical="center" shrinkToFit="1"/>
    </xf>
    <xf numFmtId="2" fontId="485" fillId="0" borderId="8" xfId="0" applyNumberFormat="1" applyFont="1" applyBorder="1" applyAlignment="1">
      <alignment horizontal="right" vertical="center" shrinkToFit="1"/>
    </xf>
    <xf numFmtId="173" fontId="485" fillId="0" borderId="0" xfId="0" applyNumberFormat="1" applyFont="1" applyAlignment="1">
      <alignment horizontal="left" vertical="center" wrapText="1"/>
    </xf>
    <xf numFmtId="173" fontId="485" fillId="0" borderId="0" xfId="0" applyNumberFormat="1" applyFont="1" applyAlignment="1">
      <alignment horizontal="center" vertical="center" wrapText="1"/>
    </xf>
    <xf numFmtId="172" fontId="485" fillId="0" borderId="8" xfId="0" applyNumberFormat="1" applyFont="1" applyBorder="1" applyAlignment="1">
      <alignment horizontal="right" vertical="center" shrinkToFit="1"/>
    </xf>
    <xf numFmtId="181" fontId="485" fillId="0" borderId="0" xfId="0" applyNumberFormat="1" applyFont="1" applyAlignment="1">
      <alignment horizontal="center" vertical="center" wrapText="1"/>
    </xf>
    <xf numFmtId="172" fontId="485" fillId="0" borderId="8" xfId="0" applyNumberFormat="1" applyFont="1" applyBorder="1" applyAlignment="1">
      <alignment horizontal="center" vertical="center" shrinkToFit="1"/>
    </xf>
    <xf numFmtId="2" fontId="485" fillId="0" borderId="0" xfId="0" applyNumberFormat="1" applyFont="1" applyAlignment="1">
      <alignment horizontal="left" vertical="center"/>
    </xf>
    <xf numFmtId="0" fontId="486" fillId="0" borderId="0" xfId="0" applyFont="1" applyAlignment="1">
      <alignment horizontal="left" vertical="center"/>
    </xf>
    <xf numFmtId="2" fontId="486" fillId="0" borderId="0" xfId="0" applyNumberFormat="1" applyFont="1" applyAlignment="1">
      <alignment horizontal="justify" vertical="center" wrapText="1"/>
    </xf>
    <xf numFmtId="0" fontId="486" fillId="0" borderId="8" xfId="0" applyFont="1" applyBorder="1" applyAlignment="1">
      <alignment horizontal="center" vertical="center" wrapText="1"/>
    </xf>
    <xf numFmtId="0" fontId="485" fillId="0" borderId="0" xfId="0" applyFont="1" applyAlignment="1">
      <alignment vertical="center"/>
    </xf>
    <xf numFmtId="2" fontId="486" fillId="0" borderId="0" xfId="0" applyNumberFormat="1" applyFont="1" applyAlignment="1">
      <alignment horizontal="left" vertical="center"/>
    </xf>
    <xf numFmtId="172" fontId="485" fillId="0" borderId="0" xfId="0" applyNumberFormat="1" applyFont="1" applyAlignment="1">
      <alignment horizontal="left" vertical="center" wrapText="1"/>
    </xf>
    <xf numFmtId="2" fontId="485" fillId="0" borderId="0" xfId="0" applyNumberFormat="1" applyFont="1" applyAlignment="1">
      <alignment horizontal="left" vertical="center" wrapText="1"/>
    </xf>
    <xf numFmtId="2" fontId="486" fillId="0" borderId="8" xfId="0" applyNumberFormat="1" applyFont="1" applyBorder="1" applyAlignment="1">
      <alignment vertical="center" shrinkToFit="1"/>
    </xf>
    <xf numFmtId="172" fontId="486" fillId="0" borderId="8" xfId="0" applyNumberFormat="1" applyFont="1" applyBorder="1" applyAlignment="1">
      <alignment vertical="center" shrinkToFit="1"/>
    </xf>
    <xf numFmtId="49" fontId="486" fillId="0" borderId="8" xfId="0" applyNumberFormat="1" applyFont="1" applyBorder="1" applyAlignment="1">
      <alignment horizontal="center" vertical="center" shrinkToFit="1"/>
    </xf>
    <xf numFmtId="170" fontId="486" fillId="0" borderId="8" xfId="0" applyNumberFormat="1" applyFont="1" applyBorder="1" applyAlignment="1">
      <alignment horizontal="center" vertical="center" wrapText="1"/>
    </xf>
    <xf numFmtId="2" fontId="486" fillId="0" borderId="8" xfId="0" applyNumberFormat="1" applyFont="1" applyBorder="1" applyAlignment="1">
      <alignment horizontal="center" vertical="center" wrapText="1"/>
    </xf>
    <xf numFmtId="2" fontId="485" fillId="0" borderId="8" xfId="0" applyNumberFormat="1" applyFont="1" applyBorder="1" applyAlignment="1">
      <alignment horizontal="center" vertical="center"/>
    </xf>
    <xf numFmtId="177" fontId="486" fillId="0" borderId="8" xfId="0" applyNumberFormat="1" applyFont="1" applyBorder="1" applyAlignment="1">
      <alignment horizontal="center" vertical="center" wrapText="1"/>
    </xf>
    <xf numFmtId="176" fontId="486" fillId="0" borderId="8" xfId="0" applyNumberFormat="1" applyFont="1" applyBorder="1" applyAlignment="1">
      <alignment horizontal="center" vertical="center" wrapText="1"/>
    </xf>
    <xf numFmtId="0" fontId="485" fillId="43" borderId="8" xfId="0" applyFont="1" applyFill="1" applyBorder="1" applyAlignment="1">
      <alignment vertical="top" wrapText="1"/>
    </xf>
    <xf numFmtId="0" fontId="485" fillId="43" borderId="8" xfId="0" applyFont="1" applyFill="1" applyBorder="1" applyAlignment="1">
      <alignment vertical="top" shrinkToFit="1"/>
    </xf>
    <xf numFmtId="0" fontId="485" fillId="0" borderId="8" xfId="0" applyFont="1" applyBorder="1" applyAlignment="1">
      <alignment horizontal="justify" vertical="top"/>
    </xf>
    <xf numFmtId="2" fontId="485" fillId="0" borderId="8" xfId="0" applyNumberFormat="1" applyFont="1" applyBorder="1" applyAlignment="1">
      <alignment horizontal="center" vertical="top" shrinkToFit="1"/>
    </xf>
    <xf numFmtId="172" fontId="485" fillId="0" borderId="8" xfId="0" applyNumberFormat="1" applyFont="1" applyBorder="1" applyAlignment="1">
      <alignment horizontal="center" vertical="top" shrinkToFit="1"/>
    </xf>
    <xf numFmtId="2" fontId="485" fillId="0" borderId="8" xfId="0" applyNumberFormat="1" applyFont="1" applyBorder="1" applyAlignment="1">
      <alignment horizontal="right" vertical="top" shrinkToFit="1"/>
    </xf>
    <xf numFmtId="0" fontId="486" fillId="0" borderId="0" xfId="0" applyFont="1" applyAlignment="1">
      <alignment horizontal="left" vertical="top" wrapText="1"/>
    </xf>
    <xf numFmtId="0" fontId="486" fillId="0" borderId="0" xfId="0" applyFont="1" applyAlignment="1">
      <alignment horizontal="justify" vertical="top" wrapText="1"/>
    </xf>
    <xf numFmtId="0" fontId="486" fillId="0" borderId="0" xfId="0" applyFont="1" applyAlignment="1">
      <alignment vertical="top"/>
    </xf>
    <xf numFmtId="0" fontId="486" fillId="0" borderId="8" xfId="0" applyFont="1" applyBorder="1" applyAlignment="1">
      <alignment vertical="center" wrapText="1"/>
    </xf>
    <xf numFmtId="0" fontId="486" fillId="0" borderId="8" xfId="0" applyFont="1" applyBorder="1" applyAlignment="1">
      <alignment vertical="center" shrinkToFit="1"/>
    </xf>
    <xf numFmtId="172" fontId="486" fillId="0" borderId="8" xfId="0" applyNumberFormat="1" applyFont="1" applyBorder="1" applyAlignment="1">
      <alignment vertical="center" wrapText="1"/>
    </xf>
    <xf numFmtId="0" fontId="485" fillId="0" borderId="8" xfId="0" applyFont="1" applyBorder="1" applyAlignment="1">
      <alignment horizontal="center" vertical="center"/>
    </xf>
    <xf numFmtId="172" fontId="486" fillId="0" borderId="32" xfId="0" applyNumberFormat="1" applyFont="1" applyBorder="1" applyAlignment="1">
      <alignment horizontal="left" vertical="center" wrapText="1"/>
    </xf>
    <xf numFmtId="0" fontId="486" fillId="0" borderId="8" xfId="0" applyFont="1" applyBorder="1" applyAlignment="1">
      <alignment horizontal="center" vertical="center"/>
    </xf>
    <xf numFmtId="172" fontId="485" fillId="0" borderId="8" xfId="0" applyNumberFormat="1" applyFont="1" applyBorder="1" applyAlignment="1">
      <alignment horizontal="justify" vertical="center" wrapText="1"/>
    </xf>
    <xf numFmtId="0" fontId="485" fillId="0" borderId="32" xfId="0" applyFont="1" applyBorder="1" applyAlignment="1">
      <alignment horizontal="center" vertical="center" wrapText="1"/>
    </xf>
    <xf numFmtId="172" fontId="486" fillId="0" borderId="8" xfId="0" applyNumberFormat="1" applyFont="1" applyBorder="1" applyAlignment="1">
      <alignment horizontal="justify" vertical="center" wrapText="1"/>
    </xf>
    <xf numFmtId="170" fontId="486" fillId="0" borderId="8" xfId="0" applyNumberFormat="1" applyFont="1" applyBorder="1" applyAlignment="1">
      <alignment horizontal="center" vertical="center" wrapText="1" shrinkToFit="1"/>
    </xf>
    <xf numFmtId="2" fontId="486" fillId="0" borderId="8" xfId="0" applyNumberFormat="1" applyFont="1" applyBorder="1" applyAlignment="1">
      <alignment horizontal="center" vertical="center" wrapText="1" shrinkToFit="1"/>
    </xf>
    <xf numFmtId="172" fontId="486" fillId="43" borderId="8" xfId="0" applyNumberFormat="1" applyFont="1" applyFill="1" applyBorder="1" applyAlignment="1">
      <alignment horizontal="center" vertical="center" wrapText="1"/>
    </xf>
    <xf numFmtId="0" fontId="485" fillId="0" borderId="41" xfId="0" applyFont="1" applyBorder="1" applyAlignment="1">
      <alignment horizontal="center" vertical="center" wrapText="1"/>
    </xf>
    <xf numFmtId="0" fontId="486" fillId="0" borderId="8" xfId="19411" applyFont="1" applyBorder="1" applyAlignment="1">
      <alignment horizontal="right" vertical="center" wrapText="1"/>
    </xf>
    <xf numFmtId="9" fontId="486" fillId="0" borderId="8" xfId="19411" applyNumberFormat="1" applyFont="1" applyBorder="1" applyAlignment="1">
      <alignment horizontal="center" vertical="center" wrapText="1"/>
    </xf>
    <xf numFmtId="170" fontId="486" fillId="0" borderId="8" xfId="19411" applyNumberFormat="1" applyFont="1" applyBorder="1" applyAlignment="1">
      <alignment horizontal="right" vertical="center" wrapText="1"/>
    </xf>
    <xf numFmtId="2" fontId="486" fillId="0" borderId="8" xfId="19411" applyNumberFormat="1" applyFont="1" applyBorder="1" applyAlignment="1">
      <alignment horizontal="center" vertical="center" wrapText="1"/>
    </xf>
    <xf numFmtId="2" fontId="486" fillId="0" borderId="8" xfId="19411" applyNumberFormat="1" applyFont="1" applyBorder="1" applyAlignment="1">
      <alignment vertical="center" wrapText="1"/>
    </xf>
    <xf numFmtId="172" fontId="486" fillId="0" borderId="8" xfId="0" applyNumberFormat="1" applyFont="1" applyBorder="1" applyAlignment="1">
      <alignment horizontal="left" vertical="center" wrapText="1"/>
    </xf>
    <xf numFmtId="172" fontId="486" fillId="53" borderId="8" xfId="0" applyNumberFormat="1" applyFont="1" applyFill="1" applyBorder="1" applyAlignment="1">
      <alignment horizontal="center" vertical="center" wrapText="1"/>
    </xf>
    <xf numFmtId="172" fontId="485" fillId="0" borderId="41" xfId="0" applyNumberFormat="1" applyFont="1" applyBorder="1" applyAlignment="1">
      <alignment horizontal="center" vertical="center" wrapText="1"/>
    </xf>
    <xf numFmtId="172" fontId="485" fillId="0" borderId="8" xfId="0" applyNumberFormat="1" applyFont="1" applyBorder="1" applyAlignment="1">
      <alignment horizontal="left" vertical="center"/>
    </xf>
    <xf numFmtId="178" fontId="486" fillId="0" borderId="8" xfId="19411" applyNumberFormat="1" applyFont="1" applyBorder="1" applyAlignment="1">
      <alignment horizontal="center" vertical="center" wrapText="1"/>
    </xf>
    <xf numFmtId="172" fontId="485" fillId="0" borderId="8" xfId="0" applyNumberFormat="1" applyFont="1" applyBorder="1" applyAlignment="1">
      <alignment vertical="center" wrapText="1"/>
    </xf>
    <xf numFmtId="172" fontId="485" fillId="0" borderId="32" xfId="0" applyNumberFormat="1" applyFont="1" applyBorder="1" applyAlignment="1">
      <alignment horizontal="center" vertical="center" wrapText="1"/>
    </xf>
    <xf numFmtId="0" fontId="485" fillId="0" borderId="8" xfId="0" applyFont="1" applyBorder="1" applyAlignment="1">
      <alignment vertical="center" shrinkToFit="1"/>
    </xf>
    <xf numFmtId="0" fontId="485" fillId="0" borderId="8" xfId="0" applyFont="1" applyBorder="1" applyAlignment="1">
      <alignment horizontal="justify" vertical="center"/>
    </xf>
    <xf numFmtId="49" fontId="485" fillId="0" borderId="8" xfId="0" applyNumberFormat="1" applyFont="1" applyBorder="1" applyAlignment="1">
      <alignment horizontal="center" vertical="center" wrapText="1"/>
    </xf>
    <xf numFmtId="0" fontId="486" fillId="0" borderId="8" xfId="0" applyFont="1" applyBorder="1" applyAlignment="1">
      <alignment horizontal="left" vertical="center" wrapText="1"/>
    </xf>
    <xf numFmtId="0" fontId="486" fillId="43" borderId="8" xfId="0" applyFont="1" applyFill="1" applyBorder="1" applyAlignment="1">
      <alignment horizontal="justify" vertical="center" wrapText="1"/>
    </xf>
    <xf numFmtId="172" fontId="486" fillId="53" borderId="8" xfId="0" applyNumberFormat="1" applyFont="1" applyFill="1" applyBorder="1" applyAlignment="1">
      <alignment vertical="center" shrinkToFit="1"/>
    </xf>
    <xf numFmtId="0" fontId="486" fillId="0" borderId="8" xfId="0" applyFont="1" applyBorder="1" applyAlignment="1">
      <alignment horizontal="right" vertical="center" shrinkToFit="1"/>
    </xf>
    <xf numFmtId="2" fontId="485" fillId="0" borderId="8" xfId="0" applyNumberFormat="1" applyFont="1" applyBorder="1" applyAlignment="1">
      <alignment horizontal="center" vertical="center" wrapText="1"/>
    </xf>
    <xf numFmtId="176" fontId="486" fillId="0" borderId="8" xfId="0" applyNumberFormat="1" applyFont="1" applyBorder="1" applyAlignment="1">
      <alignment horizontal="center" vertical="center" shrinkToFit="1"/>
    </xf>
    <xf numFmtId="172" fontId="486" fillId="43" borderId="8" xfId="0" applyNumberFormat="1" applyFont="1" applyFill="1" applyBorder="1" applyAlignment="1">
      <alignment vertical="center" shrinkToFit="1"/>
    </xf>
    <xf numFmtId="10" fontId="486" fillId="0" borderId="8" xfId="79" applyNumberFormat="1" applyFont="1" applyFill="1" applyBorder="1" applyAlignment="1">
      <alignment horizontal="center" vertical="center" shrinkToFit="1"/>
    </xf>
    <xf numFmtId="2" fontId="485" fillId="0" borderId="8" xfId="0" applyNumberFormat="1" applyFont="1" applyBorder="1" applyAlignment="1">
      <alignment vertical="center" shrinkToFit="1"/>
    </xf>
    <xf numFmtId="172" fontId="485" fillId="0" borderId="8" xfId="0" applyNumberFormat="1" applyFont="1" applyBorder="1" applyAlignment="1">
      <alignment vertical="center" shrinkToFit="1"/>
    </xf>
    <xf numFmtId="2" fontId="486" fillId="0" borderId="8" xfId="0" applyNumberFormat="1" applyFont="1" applyBorder="1" applyAlignment="1">
      <alignment vertical="center"/>
    </xf>
    <xf numFmtId="0" fontId="486" fillId="0" borderId="8" xfId="0" applyFont="1" applyBorder="1" applyAlignment="1">
      <alignment vertical="center"/>
    </xf>
    <xf numFmtId="172" fontId="486" fillId="0" borderId="8" xfId="0" applyNumberFormat="1" applyFont="1" applyBorder="1" applyAlignment="1">
      <alignment vertical="center"/>
    </xf>
    <xf numFmtId="2" fontId="486" fillId="0" borderId="21" xfId="0" applyNumberFormat="1" applyFont="1" applyBorder="1" applyAlignment="1">
      <alignment horizontal="center" vertical="center" shrinkToFit="1"/>
    </xf>
    <xf numFmtId="172" fontId="486" fillId="0" borderId="21" xfId="0" applyNumberFormat="1" applyFont="1" applyBorder="1" applyAlignment="1">
      <alignment horizontal="center" vertical="center" shrinkToFit="1"/>
    </xf>
    <xf numFmtId="2" fontId="486" fillId="0" borderId="25" xfId="0" applyNumberFormat="1" applyFont="1" applyBorder="1" applyAlignment="1">
      <alignment horizontal="right" vertical="center" shrinkToFit="1"/>
    </xf>
    <xf numFmtId="2" fontId="485" fillId="0" borderId="21" xfId="0" applyNumberFormat="1" applyFont="1" applyBorder="1" applyAlignment="1">
      <alignment horizontal="center" vertical="center" shrinkToFit="1"/>
    </xf>
    <xf numFmtId="180" fontId="485" fillId="0" borderId="21" xfId="0" applyNumberFormat="1" applyFont="1" applyBorder="1" applyAlignment="1">
      <alignment horizontal="center" vertical="center" shrinkToFit="1"/>
    </xf>
    <xf numFmtId="2" fontId="485" fillId="0" borderId="25" xfId="0" applyNumberFormat="1" applyFont="1" applyBorder="1" applyAlignment="1">
      <alignment horizontal="right" vertical="center" shrinkToFit="1"/>
    </xf>
    <xf numFmtId="172" fontId="485" fillId="0" borderId="21" xfId="0" applyNumberFormat="1" applyFont="1" applyBorder="1" applyAlignment="1">
      <alignment horizontal="right" vertical="center" shrinkToFit="1"/>
    </xf>
    <xf numFmtId="170" fontId="486" fillId="0" borderId="8" xfId="0" applyNumberFormat="1" applyFont="1" applyBorder="1" applyAlignment="1">
      <alignment horizontal="center" vertical="center" shrinkToFit="1"/>
    </xf>
    <xf numFmtId="0" fontId="485" fillId="0" borderId="32" xfId="0" applyFont="1" applyBorder="1" applyAlignment="1">
      <alignment horizontal="justify" vertical="center" wrapText="1"/>
    </xf>
    <xf numFmtId="172" fontId="485" fillId="0" borderId="21" xfId="0" applyNumberFormat="1" applyFont="1" applyBorder="1" applyAlignment="1">
      <alignment horizontal="center" vertical="center" shrinkToFit="1"/>
    </xf>
    <xf numFmtId="0" fontId="486" fillId="0" borderId="32" xfId="0" applyFont="1" applyBorder="1" applyAlignment="1">
      <alignment horizontal="justify" vertical="center" wrapText="1"/>
    </xf>
    <xf numFmtId="0" fontId="485" fillId="0" borderId="0" xfId="0" applyFont="1" applyAlignment="1">
      <alignment horizontal="left" vertical="center" wrapText="1"/>
    </xf>
    <xf numFmtId="172" fontId="486" fillId="0" borderId="0" xfId="0" applyNumberFormat="1" applyFont="1" applyAlignment="1">
      <alignment horizontal="center" vertical="center" wrapText="1"/>
    </xf>
    <xf numFmtId="172" fontId="485" fillId="0" borderId="0" xfId="0" applyNumberFormat="1" applyFont="1" applyAlignment="1">
      <alignment horizontal="center" vertical="center" wrapText="1"/>
    </xf>
    <xf numFmtId="172" fontId="485" fillId="0" borderId="0" xfId="0" applyNumberFormat="1" applyFont="1" applyAlignment="1">
      <alignment horizontal="justify" vertical="center" wrapText="1"/>
    </xf>
    <xf numFmtId="0" fontId="486" fillId="0" borderId="0" xfId="0" applyFont="1" applyAlignment="1">
      <alignment horizontal="center" vertical="center"/>
    </xf>
    <xf numFmtId="174" fontId="486" fillId="0" borderId="8" xfId="0" applyNumberFormat="1" applyFont="1" applyBorder="1" applyAlignment="1">
      <alignment horizontal="center" vertical="center" shrinkToFit="1"/>
    </xf>
    <xf numFmtId="174" fontId="486" fillId="0" borderId="0" xfId="0" applyNumberFormat="1" applyFont="1" applyAlignment="1">
      <alignment horizontal="center" vertical="center" wrapText="1"/>
    </xf>
    <xf numFmtId="172" fontId="486" fillId="0" borderId="0" xfId="0" applyNumberFormat="1" applyFont="1" applyAlignment="1">
      <alignment horizontal="justify" vertical="center" wrapText="1"/>
    </xf>
    <xf numFmtId="2" fontId="486" fillId="0" borderId="0" xfId="0" applyNumberFormat="1" applyFont="1" applyAlignment="1">
      <alignment horizontal="left" vertical="center" wrapText="1"/>
    </xf>
    <xf numFmtId="0" fontId="485" fillId="0" borderId="8" xfId="0" applyFont="1" applyBorder="1" applyAlignment="1">
      <alignment horizontal="center" vertical="center" wrapText="1" shrinkToFit="1"/>
    </xf>
    <xf numFmtId="172" fontId="486" fillId="0" borderId="8" xfId="0" applyNumberFormat="1" applyFont="1" applyBorder="1" applyAlignment="1">
      <alignment horizontal="right" vertical="center" shrinkToFit="1"/>
    </xf>
    <xf numFmtId="178" fontId="486" fillId="0" borderId="8" xfId="0" applyNumberFormat="1" applyFont="1" applyBorder="1" applyAlignment="1">
      <alignment horizontal="center" vertical="center" shrinkToFit="1"/>
    </xf>
    <xf numFmtId="0" fontId="485" fillId="0" borderId="8" xfId="0" applyFont="1" applyBorder="1" applyAlignment="1">
      <alignment horizontal="left" vertical="center" wrapText="1"/>
    </xf>
    <xf numFmtId="2" fontId="486" fillId="0" borderId="8" xfId="0" applyNumberFormat="1" applyFont="1" applyBorder="1" applyAlignment="1">
      <alignment horizontal="right" vertical="center" wrapText="1"/>
    </xf>
    <xf numFmtId="179" fontId="486" fillId="0" borderId="8" xfId="0" applyNumberFormat="1" applyFont="1" applyBorder="1" applyAlignment="1">
      <alignment horizontal="center" vertical="center" shrinkToFit="1"/>
    </xf>
    <xf numFmtId="9" fontId="486" fillId="0" borderId="8" xfId="0" applyNumberFormat="1" applyFont="1" applyBorder="1" applyAlignment="1">
      <alignment horizontal="center" vertical="center" shrinkToFit="1"/>
    </xf>
    <xf numFmtId="10" fontId="486" fillId="0" borderId="8" xfId="0" applyNumberFormat="1" applyFont="1" applyBorder="1" applyAlignment="1">
      <alignment horizontal="center" vertical="center" wrapText="1"/>
    </xf>
    <xf numFmtId="172" fontId="486" fillId="0" borderId="8" xfId="0" applyNumberFormat="1" applyFont="1" applyBorder="1" applyAlignment="1">
      <alignment horizontal="center" vertical="center"/>
    </xf>
    <xf numFmtId="174" fontId="486" fillId="0" borderId="8" xfId="0" applyNumberFormat="1" applyFont="1" applyBorder="1" applyAlignment="1">
      <alignment horizontal="center" vertical="center" wrapText="1"/>
    </xf>
    <xf numFmtId="172" fontId="485" fillId="0" borderId="8" xfId="0" applyNumberFormat="1" applyFont="1" applyBorder="1" applyAlignment="1">
      <alignment horizontal="center" vertical="center"/>
    </xf>
    <xf numFmtId="0" fontId="485" fillId="0" borderId="8" xfId="0" applyFont="1" applyBorder="1" applyAlignment="1">
      <alignment vertical="center"/>
    </xf>
    <xf numFmtId="10" fontId="485" fillId="0" borderId="8" xfId="0" applyNumberFormat="1" applyFont="1" applyBorder="1" applyAlignment="1">
      <alignment horizontal="center" vertical="center" wrapText="1"/>
    </xf>
    <xf numFmtId="172" fontId="486" fillId="0" borderId="8" xfId="0" applyNumberFormat="1" applyFont="1" applyBorder="1" applyAlignment="1">
      <alignment horizontal="right" vertical="center" wrapText="1"/>
    </xf>
    <xf numFmtId="0" fontId="486" fillId="0" borderId="8" xfId="0" applyFont="1" applyBorder="1" applyAlignment="1">
      <alignment horizontal="right" vertical="center" wrapText="1"/>
    </xf>
    <xf numFmtId="0" fontId="490" fillId="0" borderId="8" xfId="0" applyFont="1" applyBorder="1" applyAlignment="1">
      <alignment horizontal="center" vertical="top" wrapText="1"/>
    </xf>
    <xf numFmtId="173" fontId="485" fillId="0" borderId="8" xfId="0" applyNumberFormat="1" applyFont="1" applyBorder="1" applyAlignment="1">
      <alignment horizontal="center" vertical="top" wrapText="1"/>
    </xf>
    <xf numFmtId="0" fontId="485" fillId="0" borderId="8" xfId="0" applyFont="1" applyBorder="1" applyAlignment="1">
      <alignment horizontal="justify" vertical="top" wrapText="1"/>
    </xf>
    <xf numFmtId="2" fontId="491" fillId="0" borderId="8" xfId="0" applyNumberFormat="1" applyFont="1" applyBorder="1" applyAlignment="1">
      <alignment horizontal="center" vertical="top" shrinkToFit="1"/>
    </xf>
    <xf numFmtId="2" fontId="486" fillId="0" borderId="8" xfId="0" applyNumberFormat="1" applyFont="1" applyBorder="1" applyAlignment="1">
      <alignment horizontal="center" vertical="top" shrinkToFit="1"/>
    </xf>
    <xf numFmtId="172" fontId="486" fillId="0" borderId="8" xfId="0" applyNumberFormat="1" applyFont="1" applyBorder="1" applyAlignment="1">
      <alignment horizontal="center" vertical="top" shrinkToFit="1"/>
    </xf>
    <xf numFmtId="2" fontId="486" fillId="0" borderId="8" xfId="0" applyNumberFormat="1" applyFont="1" applyBorder="1" applyAlignment="1">
      <alignment horizontal="right" vertical="top" shrinkToFit="1"/>
    </xf>
    <xf numFmtId="173" fontId="492" fillId="0" borderId="8" xfId="0" applyNumberFormat="1" applyFont="1" applyBorder="1" applyAlignment="1">
      <alignment horizontal="center" vertical="top" wrapText="1"/>
    </xf>
    <xf numFmtId="0" fontId="486" fillId="0" borderId="8" xfId="0" applyFont="1" applyBorder="1" applyAlignment="1">
      <alignment horizontal="justify" vertical="top" wrapText="1"/>
    </xf>
    <xf numFmtId="172" fontId="486" fillId="43" borderId="8" xfId="0" applyNumberFormat="1" applyFont="1" applyFill="1" applyBorder="1" applyAlignment="1">
      <alignment horizontal="center" vertical="top" shrinkToFit="1"/>
    </xf>
    <xf numFmtId="173" fontId="490" fillId="0" borderId="8" xfId="0" applyNumberFormat="1" applyFont="1" applyBorder="1" applyAlignment="1">
      <alignment horizontal="center" vertical="top" wrapText="1"/>
    </xf>
    <xf numFmtId="2" fontId="493" fillId="0" borderId="8" xfId="0" applyNumberFormat="1" applyFont="1" applyBorder="1" applyAlignment="1">
      <alignment horizontal="center" vertical="top" shrinkToFit="1"/>
    </xf>
    <xf numFmtId="180" fontId="485" fillId="0" borderId="8" xfId="0" applyNumberFormat="1" applyFont="1" applyBorder="1" applyAlignment="1">
      <alignment horizontal="center" vertical="top" shrinkToFit="1"/>
    </xf>
    <xf numFmtId="172" fontId="485" fillId="0" borderId="8" xfId="0" applyNumberFormat="1" applyFont="1" applyBorder="1" applyAlignment="1">
      <alignment horizontal="right" vertical="top" shrinkToFit="1"/>
    </xf>
    <xf numFmtId="174" fontId="486" fillId="0" borderId="8" xfId="0" applyNumberFormat="1" applyFont="1" applyBorder="1" applyAlignment="1">
      <alignment vertical="center" wrapText="1"/>
    </xf>
    <xf numFmtId="2" fontId="486" fillId="0" borderId="8" xfId="0" applyNumberFormat="1" applyFont="1" applyBorder="1" applyAlignment="1">
      <alignment vertical="center" wrapText="1"/>
    </xf>
    <xf numFmtId="0" fontId="494" fillId="0" borderId="8" xfId="0" applyFont="1" applyBorder="1" applyAlignment="1">
      <alignment horizontal="justify" vertical="center" wrapText="1"/>
    </xf>
    <xf numFmtId="2" fontId="486" fillId="43" borderId="8" xfId="0" applyNumberFormat="1" applyFont="1" applyFill="1" applyBorder="1" applyAlignment="1">
      <alignment vertical="center" wrapText="1"/>
    </xf>
    <xf numFmtId="174" fontId="486" fillId="0" borderId="8" xfId="0" applyNumberFormat="1" applyFont="1" applyBorder="1" applyAlignment="1">
      <alignment horizontal="right" vertical="center" wrapText="1"/>
    </xf>
    <xf numFmtId="170" fontId="486" fillId="0" borderId="0" xfId="0" applyNumberFormat="1" applyFont="1" applyAlignment="1">
      <alignment horizontal="left" vertical="center"/>
    </xf>
    <xf numFmtId="1" fontId="486" fillId="0" borderId="8" xfId="16954" applyNumberFormat="1" applyFont="1" applyBorder="1" applyAlignment="1">
      <alignment horizontal="center" vertical="center" wrapText="1"/>
    </xf>
    <xf numFmtId="2" fontId="486" fillId="0" borderId="8" xfId="16954" applyNumberFormat="1" applyFont="1" applyBorder="1" applyAlignment="1">
      <alignment vertical="center"/>
    </xf>
    <xf numFmtId="2" fontId="486" fillId="0" borderId="8" xfId="16954" applyNumberFormat="1" applyFont="1" applyBorder="1" applyAlignment="1">
      <alignment horizontal="justify" vertical="center" wrapText="1"/>
    </xf>
    <xf numFmtId="2" fontId="486" fillId="0" borderId="8" xfId="16954" applyNumberFormat="1" applyFont="1" applyBorder="1" applyAlignment="1">
      <alignment horizontal="right" vertical="center"/>
    </xf>
    <xf numFmtId="170" fontId="486" fillId="0" borderId="8" xfId="16954" applyNumberFormat="1" applyFont="1" applyBorder="1" applyAlignment="1">
      <alignment vertical="center"/>
    </xf>
    <xf numFmtId="1" fontId="486" fillId="0" borderId="8" xfId="12496" applyNumberFormat="1" applyFont="1" applyBorder="1" applyAlignment="1">
      <alignment horizontal="center" vertical="center" wrapText="1"/>
    </xf>
    <xf numFmtId="2" fontId="486" fillId="0" borderId="8" xfId="16954" applyNumberFormat="1" applyFont="1" applyBorder="1" applyAlignment="1">
      <alignment vertical="center" wrapText="1"/>
    </xf>
    <xf numFmtId="2" fontId="485" fillId="0" borderId="8" xfId="16954" applyNumberFormat="1" applyFont="1" applyBorder="1" applyAlignment="1">
      <alignment horizontal="right" vertical="center"/>
    </xf>
    <xf numFmtId="170" fontId="485" fillId="0" borderId="8" xfId="16954" applyNumberFormat="1" applyFont="1" applyBorder="1" applyAlignment="1">
      <alignment vertical="center"/>
    </xf>
    <xf numFmtId="2" fontId="485" fillId="0" borderId="8" xfId="16954" applyNumberFormat="1" applyFont="1" applyBorder="1" applyAlignment="1">
      <alignment vertical="center"/>
    </xf>
    <xf numFmtId="2" fontId="485" fillId="0" borderId="8" xfId="12496" applyNumberFormat="1" applyFont="1" applyBorder="1" applyAlignment="1">
      <alignment horizontal="justify" vertical="center" wrapText="1"/>
    </xf>
    <xf numFmtId="0" fontId="486" fillId="0" borderId="8" xfId="0" applyFont="1" applyBorder="1" applyAlignment="1">
      <alignment horizontal="left" vertical="center"/>
    </xf>
    <xf numFmtId="170" fontId="486" fillId="0" borderId="8" xfId="0" applyNumberFormat="1" applyFont="1" applyBorder="1" applyAlignment="1">
      <alignment horizontal="right" vertical="center" wrapText="1"/>
    </xf>
    <xf numFmtId="2" fontId="486" fillId="0" borderId="8" xfId="0" applyNumberFormat="1" applyFont="1" applyBorder="1" applyAlignment="1">
      <alignment horizontal="left" vertical="center"/>
    </xf>
    <xf numFmtId="9" fontId="486" fillId="0" borderId="8" xfId="79" applyFont="1" applyFill="1" applyBorder="1" applyAlignment="1">
      <alignment horizontal="right" vertical="center" wrapText="1"/>
    </xf>
    <xf numFmtId="178" fontId="486" fillId="0" borderId="8" xfId="79" applyNumberFormat="1" applyFont="1" applyFill="1" applyBorder="1" applyAlignment="1">
      <alignment horizontal="right" vertical="center" wrapText="1"/>
    </xf>
    <xf numFmtId="0" fontId="485" fillId="0" borderId="8" xfId="0" applyFont="1" applyBorder="1" applyAlignment="1">
      <alignment horizontal="right" vertical="center"/>
    </xf>
    <xf numFmtId="2" fontId="485" fillId="0" borderId="8" xfId="0" applyNumberFormat="1" applyFont="1" applyBorder="1" applyAlignment="1">
      <alignment horizontal="right" vertical="center" wrapText="1"/>
    </xf>
    <xf numFmtId="0" fontId="486" fillId="0" borderId="38" xfId="0" applyFont="1" applyBorder="1" applyAlignment="1">
      <alignment vertical="center" wrapText="1"/>
    </xf>
    <xf numFmtId="0" fontId="486" fillId="0" borderId="32" xfId="0" applyFont="1" applyBorder="1" applyAlignment="1">
      <alignment vertical="center" wrapText="1"/>
    </xf>
    <xf numFmtId="4" fontId="486" fillId="0" borderId="8" xfId="0" applyNumberFormat="1" applyFont="1" applyBorder="1" applyAlignment="1">
      <alignment horizontal="justify" vertical="center" wrapText="1"/>
    </xf>
    <xf numFmtId="0" fontId="495" fillId="0" borderId="0" xfId="95" applyFont="1"/>
    <xf numFmtId="172" fontId="486" fillId="0" borderId="0" xfId="0" applyNumberFormat="1" applyFont="1" applyAlignment="1">
      <alignment horizontal="right" vertical="center" wrapText="1"/>
    </xf>
    <xf numFmtId="0" fontId="467" fillId="0" borderId="0" xfId="70" applyFont="1" applyAlignment="1">
      <alignment vertical="top"/>
    </xf>
    <xf numFmtId="0" fontId="107" fillId="0" borderId="0" xfId="0" applyFont="1" applyAlignment="1">
      <alignment horizontal="left" vertical="top" wrapText="1"/>
    </xf>
    <xf numFmtId="0" fontId="107" fillId="0" borderId="0" xfId="0" applyFont="1" applyAlignment="1">
      <alignment horizontal="justify" vertical="top" wrapText="1"/>
    </xf>
    <xf numFmtId="0" fontId="107" fillId="0" borderId="0" xfId="0" applyFont="1" applyAlignment="1">
      <alignment vertical="top"/>
    </xf>
    <xf numFmtId="0" fontId="107" fillId="0" borderId="0" xfId="74" applyFont="1" applyAlignment="1">
      <alignment horizontal="justify" vertical="top" wrapText="1"/>
    </xf>
    <xf numFmtId="0" fontId="107" fillId="0" borderId="0" xfId="0" applyFont="1" applyAlignment="1">
      <alignment horizontal="center" vertical="top" wrapText="1"/>
    </xf>
    <xf numFmtId="2" fontId="109" fillId="0" borderId="0" xfId="73" applyNumberFormat="1" applyFont="1" applyAlignment="1">
      <alignment horizontal="left" vertical="top" wrapText="1"/>
    </xf>
    <xf numFmtId="0" fontId="106" fillId="0" borderId="0" xfId="73" applyFont="1" applyAlignment="1">
      <alignment horizontal="left" vertical="top" wrapText="1"/>
    </xf>
    <xf numFmtId="0" fontId="107" fillId="46" borderId="0" xfId="0" applyFont="1" applyFill="1" applyAlignment="1">
      <alignment horizontal="left" vertical="top" wrapText="1"/>
    </xf>
    <xf numFmtId="2" fontId="107" fillId="0" borderId="0" xfId="0" applyNumberFormat="1" applyFont="1" applyAlignment="1">
      <alignment horizontal="left" vertical="top" wrapText="1"/>
    </xf>
    <xf numFmtId="0" fontId="107" fillId="41" borderId="37" xfId="0" applyFont="1" applyFill="1" applyBorder="1" applyAlignment="1">
      <alignment horizontal="justify" vertical="top" wrapText="1"/>
    </xf>
    <xf numFmtId="0" fontId="107" fillId="41" borderId="38" xfId="0" applyFont="1" applyFill="1" applyBorder="1" applyAlignment="1">
      <alignment vertical="top"/>
    </xf>
    <xf numFmtId="0" fontId="107" fillId="41" borderId="32" xfId="0" applyFont="1" applyFill="1" applyBorder="1" applyAlignment="1">
      <alignment vertical="top"/>
    </xf>
    <xf numFmtId="0" fontId="107" fillId="0" borderId="21" xfId="59" applyFont="1" applyBorder="1" applyAlignment="1">
      <alignment horizontal="left" vertical="top" wrapText="1"/>
    </xf>
    <xf numFmtId="0" fontId="107" fillId="0" borderId="37" xfId="59" applyFont="1" applyBorder="1" applyAlignment="1">
      <alignment horizontal="justify" vertical="justify" wrapText="1"/>
    </xf>
    <xf numFmtId="0" fontId="107" fillId="0" borderId="38" xfId="59" applyFont="1" applyBorder="1"/>
    <xf numFmtId="0" fontId="107" fillId="0" borderId="32" xfId="59" applyFont="1" applyBorder="1"/>
    <xf numFmtId="0" fontId="108" fillId="0" borderId="21" xfId="59" applyFont="1" applyBorder="1" applyAlignment="1">
      <alignment horizontal="center" vertical="top"/>
    </xf>
    <xf numFmtId="0" fontId="107" fillId="0" borderId="37" xfId="59" applyFont="1" applyBorder="1" applyAlignment="1">
      <alignment horizontal="justify" vertical="top" wrapText="1"/>
    </xf>
    <xf numFmtId="0" fontId="107" fillId="0" borderId="38" xfId="59" applyFont="1" applyBorder="1" applyAlignment="1">
      <alignment vertical="top"/>
    </xf>
    <xf numFmtId="0" fontId="107" fillId="0" borderId="32" xfId="59" applyFont="1" applyBorder="1" applyAlignment="1">
      <alignment vertical="top"/>
    </xf>
    <xf numFmtId="0" fontId="107" fillId="0" borderId="37" xfId="0" applyFont="1" applyBorder="1" applyAlignment="1">
      <alignment horizontal="justify" vertical="top" wrapText="1"/>
    </xf>
    <xf numFmtId="0" fontId="107" fillId="0" borderId="38" xfId="0" applyFont="1" applyBorder="1" applyAlignment="1">
      <alignment vertical="top"/>
    </xf>
    <xf numFmtId="0" fontId="107" fillId="0" borderId="32" xfId="0" applyFont="1" applyBorder="1" applyAlignment="1">
      <alignment vertical="top"/>
    </xf>
    <xf numFmtId="0" fontId="107" fillId="0" borderId="38" xfId="59" applyFont="1" applyBorder="1" applyAlignment="1">
      <alignment horizontal="justify" vertical="top" wrapText="1"/>
    </xf>
    <xf numFmtId="0" fontId="107" fillId="0" borderId="32" xfId="59" applyFont="1" applyBorder="1" applyAlignment="1">
      <alignment horizontal="justify" vertical="top" wrapText="1"/>
    </xf>
    <xf numFmtId="0" fontId="106" fillId="0" borderId="37" xfId="59" applyFont="1" applyBorder="1" applyAlignment="1">
      <alignment horizontal="justify" vertical="justify" wrapText="1"/>
    </xf>
    <xf numFmtId="0" fontId="106" fillId="0" borderId="38" xfId="59" applyFont="1" applyBorder="1" applyAlignment="1">
      <alignment horizontal="justify" vertical="justify" wrapText="1"/>
    </xf>
    <xf numFmtId="0" fontId="106" fillId="0" borderId="32" xfId="59" applyFont="1" applyBorder="1" applyAlignment="1">
      <alignment horizontal="justify" vertical="justify" wrapText="1"/>
    </xf>
    <xf numFmtId="0" fontId="106" fillId="0" borderId="37" xfId="0" applyFont="1" applyBorder="1" applyAlignment="1">
      <alignment horizontal="left" vertical="top" wrapText="1"/>
    </xf>
    <xf numFmtId="0" fontId="107" fillId="0" borderId="38" xfId="0" applyFont="1" applyBorder="1" applyAlignment="1">
      <alignment wrapText="1"/>
    </xf>
    <xf numFmtId="0" fontId="107" fillId="0" borderId="32" xfId="0" applyFont="1" applyBorder="1" applyAlignment="1">
      <alignment wrapText="1"/>
    </xf>
    <xf numFmtId="0" fontId="107" fillId="0" borderId="38" xfId="0" applyFont="1" applyBorder="1" applyAlignment="1">
      <alignment horizontal="justify" vertical="top" wrapText="1"/>
    </xf>
    <xf numFmtId="0" fontId="107" fillId="0" borderId="32" xfId="0" applyFont="1" applyBorder="1" applyAlignment="1">
      <alignment horizontal="justify" vertical="top" wrapText="1"/>
    </xf>
    <xf numFmtId="0" fontId="107" fillId="0" borderId="37" xfId="0" applyFont="1" applyBorder="1" applyAlignment="1">
      <alignment horizontal="justify" vertical="justify" wrapText="1"/>
    </xf>
    <xf numFmtId="0" fontId="107" fillId="0" borderId="38" xfId="0" applyFont="1" applyBorder="1"/>
    <xf numFmtId="0" fontId="107" fillId="0" borderId="32" xfId="0" applyFont="1" applyBorder="1"/>
    <xf numFmtId="0" fontId="108" fillId="0" borderId="21" xfId="0" applyFont="1" applyBorder="1" applyAlignment="1">
      <alignment horizontal="center" vertical="top"/>
    </xf>
    <xf numFmtId="0" fontId="107" fillId="0" borderId="37" xfId="0" applyFont="1" applyBorder="1" applyAlignment="1">
      <alignment horizontal="left" vertical="top" wrapText="1"/>
    </xf>
    <xf numFmtId="0" fontId="107" fillId="0" borderId="38" xfId="0" applyFont="1" applyBorder="1" applyAlignment="1">
      <alignment horizontal="left" vertical="top" wrapText="1"/>
    </xf>
    <xf numFmtId="0" fontId="107" fillId="0" borderId="32" xfId="0" applyFont="1" applyBorder="1" applyAlignment="1">
      <alignment horizontal="left" vertical="top" wrapText="1"/>
    </xf>
    <xf numFmtId="0" fontId="108" fillId="0" borderId="8" xfId="0" applyFont="1" applyBorder="1" applyAlignment="1">
      <alignment horizontal="center" wrapText="1"/>
    </xf>
    <xf numFmtId="0" fontId="107" fillId="0" borderId="8" xfId="0" applyFont="1" applyBorder="1"/>
    <xf numFmtId="0" fontId="106" fillId="0" borderId="42" xfId="0" applyFont="1" applyBorder="1" applyAlignment="1">
      <alignment horizontal="center" vertical="center" wrapText="1"/>
    </xf>
    <xf numFmtId="0" fontId="106" fillId="0" borderId="44" xfId="0" applyFont="1" applyBorder="1" applyAlignment="1">
      <alignment horizontal="center" vertical="center" wrapText="1"/>
    </xf>
    <xf numFmtId="0" fontId="106" fillId="0" borderId="48" xfId="0" applyFont="1" applyBorder="1" applyAlignment="1">
      <alignment horizontal="center"/>
    </xf>
    <xf numFmtId="0" fontId="106" fillId="0" borderId="4" xfId="0" applyFont="1" applyBorder="1" applyAlignment="1">
      <alignment horizontal="center"/>
    </xf>
    <xf numFmtId="0" fontId="106" fillId="0" borderId="26" xfId="0" applyFont="1" applyBorder="1" applyAlignment="1">
      <alignment horizontal="center"/>
    </xf>
    <xf numFmtId="1" fontId="107" fillId="0" borderId="48" xfId="0" applyNumberFormat="1" applyFont="1" applyBorder="1" applyAlignment="1">
      <alignment horizontal="center" vertical="center"/>
    </xf>
    <xf numFmtId="1" fontId="107" fillId="0" borderId="4" xfId="0" applyNumberFormat="1" applyFont="1" applyBorder="1" applyAlignment="1">
      <alignment horizontal="center" vertical="center"/>
    </xf>
    <xf numFmtId="1" fontId="107" fillId="0" borderId="26" xfId="0" applyNumberFormat="1" applyFont="1" applyBorder="1" applyAlignment="1">
      <alignment horizontal="center" vertical="center"/>
    </xf>
    <xf numFmtId="0" fontId="107" fillId="0" borderId="49" xfId="0" applyFont="1" applyBorder="1" applyAlignment="1">
      <alignment horizontal="justify" vertical="top" wrapText="1"/>
    </xf>
    <xf numFmtId="0" fontId="107" fillId="0" borderId="50" xfId="0" applyFont="1" applyBorder="1" applyAlignment="1">
      <alignment horizontal="justify" vertical="top" wrapText="1"/>
    </xf>
    <xf numFmtId="0" fontId="107" fillId="0" borderId="30" xfId="0" applyFont="1" applyBorder="1" applyAlignment="1">
      <alignment horizontal="justify" vertical="top" wrapText="1"/>
    </xf>
    <xf numFmtId="0" fontId="106" fillId="0" borderId="21" xfId="0" applyFont="1" applyBorder="1" applyAlignment="1">
      <alignment horizontal="left" vertical="top" wrapText="1"/>
    </xf>
    <xf numFmtId="0" fontId="106" fillId="0" borderId="48" xfId="0" applyFont="1" applyBorder="1" applyAlignment="1">
      <alignment horizontal="center" vertical="center" wrapText="1"/>
    </xf>
    <xf numFmtId="0" fontId="106" fillId="0" borderId="4" xfId="0" applyFont="1" applyBorder="1" applyAlignment="1">
      <alignment horizontal="center" vertical="center" wrapText="1"/>
    </xf>
    <xf numFmtId="0" fontId="106" fillId="0" borderId="26" xfId="0" applyFont="1" applyBorder="1" applyAlignment="1">
      <alignment horizontal="center" vertical="center" wrapText="1"/>
    </xf>
    <xf numFmtId="2" fontId="106" fillId="0" borderId="8" xfId="0" applyNumberFormat="1" applyFont="1" applyBorder="1" applyAlignment="1">
      <alignment horizontal="center" vertical="center" wrapText="1"/>
    </xf>
    <xf numFmtId="0" fontId="106" fillId="0" borderId="14" xfId="0" applyFont="1" applyBorder="1" applyAlignment="1">
      <alignment horizontal="center" vertical="center" wrapText="1"/>
    </xf>
    <xf numFmtId="0" fontId="106" fillId="0" borderId="15" xfId="0" applyFont="1" applyBorder="1" applyAlignment="1">
      <alignment horizontal="center" vertical="center" wrapText="1"/>
    </xf>
    <xf numFmtId="0" fontId="106" fillId="0" borderId="16" xfId="0" applyFont="1" applyBorder="1" applyAlignment="1">
      <alignment horizontal="center" vertical="center" wrapText="1"/>
    </xf>
    <xf numFmtId="0" fontId="106" fillId="0" borderId="18" xfId="0" applyFont="1" applyBorder="1" applyAlignment="1">
      <alignment horizontal="center" vertical="center" wrapText="1"/>
    </xf>
    <xf numFmtId="0" fontId="106" fillId="0" borderId="19" xfId="0" applyFont="1" applyBorder="1" applyAlignment="1">
      <alignment horizontal="center" vertical="center" wrapText="1"/>
    </xf>
    <xf numFmtId="0" fontId="106" fillId="0" borderId="20" xfId="0" applyFont="1" applyBorder="1" applyAlignment="1">
      <alignment horizontal="center" vertical="center" wrapText="1"/>
    </xf>
    <xf numFmtId="2" fontId="106" fillId="0" borderId="42" xfId="0" applyNumberFormat="1" applyFont="1" applyBorder="1" applyAlignment="1">
      <alignment horizontal="center" vertical="center" wrapText="1"/>
    </xf>
    <xf numFmtId="2" fontId="106" fillId="0" borderId="44" xfId="0" applyNumberFormat="1" applyFont="1" applyBorder="1" applyAlignment="1">
      <alignment horizontal="center" vertical="center" wrapText="1"/>
    </xf>
    <xf numFmtId="2" fontId="107" fillId="0" borderId="42" xfId="0" applyNumberFormat="1" applyFont="1" applyBorder="1" applyAlignment="1">
      <alignment horizontal="center" vertical="center" wrapText="1"/>
    </xf>
    <xf numFmtId="2" fontId="107" fillId="0" borderId="44" xfId="0" applyNumberFormat="1" applyFont="1" applyBorder="1" applyAlignment="1">
      <alignment horizontal="center" vertical="center" wrapText="1"/>
    </xf>
    <xf numFmtId="0" fontId="107" fillId="52" borderId="0" xfId="0" applyFont="1" applyFill="1" applyAlignment="1">
      <alignment horizontal="left" vertical="top" wrapText="1"/>
    </xf>
    <xf numFmtId="0" fontId="473" fillId="0" borderId="0" xfId="19413" applyFont="1" applyAlignment="1">
      <alignment horizontal="right" wrapText="1"/>
    </xf>
    <xf numFmtId="0" fontId="480" fillId="0" borderId="0" xfId="19413" applyFont="1" applyAlignment="1">
      <alignment horizontal="center" vertical="center" wrapText="1"/>
    </xf>
    <xf numFmtId="367" fontId="480" fillId="0" borderId="0" xfId="19413" applyNumberFormat="1" applyFont="1" applyAlignment="1">
      <alignment horizontal="center" vertical="center"/>
    </xf>
    <xf numFmtId="0" fontId="472" fillId="0" borderId="17" xfId="19413" applyFont="1" applyBorder="1" applyAlignment="1">
      <alignment horizontal="center" vertical="center"/>
    </xf>
    <xf numFmtId="0" fontId="472" fillId="0" borderId="0" xfId="19413" applyFont="1" applyAlignment="1">
      <alignment horizontal="center" vertical="center"/>
    </xf>
    <xf numFmtId="0" fontId="472" fillId="0" borderId="10" xfId="19413" applyFont="1" applyBorder="1" applyAlignment="1">
      <alignment horizontal="center" vertical="center"/>
    </xf>
    <xf numFmtId="0" fontId="474" fillId="0" borderId="17" xfId="19413" applyFont="1" applyBorder="1" applyAlignment="1">
      <alignment horizontal="center" vertical="center"/>
    </xf>
    <xf numFmtId="0" fontId="474" fillId="0" borderId="0" xfId="19413" applyFont="1" applyAlignment="1">
      <alignment horizontal="center" vertical="center"/>
    </xf>
    <xf numFmtId="0" fontId="474" fillId="0" borderId="10" xfId="19413" applyFont="1" applyBorder="1" applyAlignment="1">
      <alignment horizontal="center" vertical="center"/>
    </xf>
    <xf numFmtId="0" fontId="475" fillId="0" borderId="17" xfId="19413" applyFont="1" applyBorder="1" applyAlignment="1">
      <alignment horizontal="center" vertical="center"/>
    </xf>
    <xf numFmtId="0" fontId="475" fillId="0" borderId="0" xfId="19413" applyFont="1" applyAlignment="1">
      <alignment horizontal="center" vertical="center"/>
    </xf>
    <xf numFmtId="0" fontId="475" fillId="0" borderId="10" xfId="19413" applyFont="1" applyBorder="1" applyAlignment="1">
      <alignment horizontal="center" vertical="center"/>
    </xf>
    <xf numFmtId="0" fontId="476" fillId="0" borderId="17" xfId="19413" applyFont="1" applyBorder="1" applyAlignment="1">
      <alignment horizontal="center" vertical="center" wrapText="1"/>
    </xf>
    <xf numFmtId="0" fontId="476" fillId="0" borderId="0" xfId="19413" applyFont="1" applyAlignment="1">
      <alignment horizontal="center" vertical="center" wrapText="1"/>
    </xf>
    <xf numFmtId="0" fontId="476" fillId="0" borderId="10" xfId="19413" applyFont="1" applyBorder="1" applyAlignment="1">
      <alignment horizontal="center" vertical="center" wrapText="1"/>
    </xf>
    <xf numFmtId="0" fontId="478" fillId="0" borderId="0" xfId="19413" applyFont="1" applyAlignment="1">
      <alignment horizontal="right" vertical="center" wrapText="1"/>
    </xf>
    <xf numFmtId="2" fontId="478" fillId="0" borderId="0" xfId="19413" applyNumberFormat="1" applyFont="1" applyAlignment="1">
      <alignment vertical="center"/>
    </xf>
    <xf numFmtId="0" fontId="478" fillId="0" borderId="0" xfId="19413" applyFont="1" applyAlignment="1">
      <alignment vertical="center"/>
    </xf>
    <xf numFmtId="0" fontId="457" fillId="0" borderId="48" xfId="0" applyFont="1" applyBorder="1" applyAlignment="1">
      <alignment horizontal="center" vertical="center"/>
    </xf>
    <xf numFmtId="0" fontId="457" fillId="0" borderId="26" xfId="0" applyFont="1" applyBorder="1" applyAlignment="1">
      <alignment horizontal="center" vertical="center"/>
    </xf>
    <xf numFmtId="0" fontId="443" fillId="0" borderId="8" xfId="0" applyFont="1" applyBorder="1"/>
    <xf numFmtId="0" fontId="443" fillId="0" borderId="0" xfId="0" applyFont="1"/>
    <xf numFmtId="0" fontId="443" fillId="0" borderId="48" xfId="0" applyFont="1" applyBorder="1"/>
    <xf numFmtId="0" fontId="443" fillId="0" borderId="4" xfId="0" applyFont="1" applyBorder="1"/>
    <xf numFmtId="0" fontId="443" fillId="0" borderId="26" xfId="0" applyFont="1" applyBorder="1"/>
    <xf numFmtId="0" fontId="467" fillId="183" borderId="8" xfId="0" applyFont="1" applyFill="1" applyBorder="1"/>
    <xf numFmtId="0" fontId="128" fillId="0" borderId="0" xfId="94" applyFont="1" applyAlignment="1">
      <alignment horizontal="center" vertical="center"/>
    </xf>
    <xf numFmtId="0" fontId="132" fillId="0" borderId="0" xfId="94" applyFont="1" applyAlignment="1">
      <alignment horizontal="center"/>
    </xf>
    <xf numFmtId="0" fontId="128" fillId="0" borderId="48" xfId="94" applyFont="1" applyBorder="1" applyAlignment="1">
      <alignment horizontal="center" vertical="center"/>
    </xf>
    <xf numFmtId="0" fontId="128" fillId="0" borderId="4" xfId="94" applyFont="1" applyBorder="1" applyAlignment="1">
      <alignment horizontal="center" vertical="center"/>
    </xf>
    <xf numFmtId="0" fontId="128" fillId="0" borderId="26" xfId="94" applyFont="1" applyBorder="1" applyAlignment="1">
      <alignment horizontal="center" vertical="center"/>
    </xf>
    <xf numFmtId="0" fontId="127" fillId="0" borderId="48" xfId="94" applyFont="1" applyBorder="1" applyAlignment="1">
      <alignment horizontal="center" vertical="center" wrapText="1"/>
    </xf>
    <xf numFmtId="0" fontId="127" fillId="0" borderId="4" xfId="94" applyFont="1" applyBorder="1" applyAlignment="1">
      <alignment horizontal="center" vertical="center" wrapText="1"/>
    </xf>
    <xf numFmtId="0" fontId="128" fillId="0" borderId="8" xfId="94" applyFont="1" applyBorder="1" applyAlignment="1">
      <alignment horizontal="left" vertical="center"/>
    </xf>
    <xf numFmtId="0" fontId="123" fillId="0" borderId="8" xfId="94" applyFont="1" applyBorder="1" applyAlignment="1">
      <alignment horizontal="left" vertical="center"/>
    </xf>
    <xf numFmtId="0" fontId="130" fillId="0" borderId="0" xfId="94" applyFont="1" applyAlignment="1">
      <alignment horizontal="left"/>
    </xf>
    <xf numFmtId="0" fontId="129" fillId="0" borderId="0" xfId="94" applyFont="1" applyAlignment="1">
      <alignment horizontal="left" vertical="top" wrapText="1"/>
    </xf>
    <xf numFmtId="0" fontId="469" fillId="0" borderId="0" xfId="70" applyFont="1" applyAlignment="1">
      <alignment horizontal="center" vertical="top"/>
    </xf>
    <xf numFmtId="2" fontId="94" fillId="0" borderId="0" xfId="73" applyNumberFormat="1" applyFont="1" applyAlignment="1">
      <alignment horizontal="justify" vertical="top" wrapText="1"/>
    </xf>
    <xf numFmtId="0" fontId="94" fillId="0" borderId="0" xfId="0" applyFont="1" applyAlignment="1">
      <alignment horizontal="justify" vertical="top" wrapText="1"/>
    </xf>
    <xf numFmtId="0" fontId="94" fillId="0" borderId="0" xfId="0" applyFont="1" applyAlignment="1">
      <alignment horizontal="justify" vertical="top"/>
    </xf>
    <xf numFmtId="2" fontId="94" fillId="0" borderId="0" xfId="0" applyNumberFormat="1" applyFont="1" applyAlignment="1">
      <alignment horizontal="justify" vertical="top" wrapText="1"/>
    </xf>
    <xf numFmtId="0" fontId="92" fillId="0" borderId="0" xfId="0" applyFont="1" applyAlignment="1">
      <alignment horizontal="justify" vertical="top" wrapText="1"/>
    </xf>
    <xf numFmtId="0" fontId="92" fillId="0" borderId="0" xfId="0" applyFont="1" applyAlignment="1">
      <alignment horizontal="justify" vertical="top"/>
    </xf>
    <xf numFmtId="0" fontId="92" fillId="0" borderId="0" xfId="74" applyFont="1" applyAlignment="1">
      <alignment horizontal="justify" vertical="top" wrapText="1"/>
    </xf>
    <xf numFmtId="0" fontId="468" fillId="0" borderId="0" xfId="0" applyFont="1" applyAlignment="1">
      <alignment horizontal="justify" vertical="top" wrapText="1"/>
    </xf>
    <xf numFmtId="0" fontId="442" fillId="0" borderId="0" xfId="0" applyFont="1" applyAlignment="1">
      <alignment horizontal="center" vertical="top" wrapText="1"/>
    </xf>
    <xf numFmtId="0" fontId="468" fillId="0" borderId="0" xfId="0" applyFont="1" applyAlignment="1">
      <alignment horizontal="left" vertical="top" wrapText="1"/>
    </xf>
    <xf numFmtId="0" fontId="452" fillId="0" borderId="0" xfId="66" applyFont="1" applyAlignment="1">
      <alignment horizontal="center" vertical="center"/>
    </xf>
    <xf numFmtId="2" fontId="443" fillId="0" borderId="8" xfId="57" applyNumberFormat="1" applyFont="1" applyBorder="1" applyAlignment="1">
      <alignment horizontal="center" vertical="center" wrapText="1"/>
    </xf>
    <xf numFmtId="1" fontId="443" fillId="0" borderId="8" xfId="57" applyNumberFormat="1" applyFont="1" applyBorder="1" applyAlignment="1">
      <alignment horizontal="center" vertical="center"/>
    </xf>
    <xf numFmtId="0" fontId="445" fillId="0" borderId="8" xfId="57" applyFont="1" applyBorder="1" applyAlignment="1">
      <alignment horizontal="center" vertical="center" wrapText="1"/>
    </xf>
    <xf numFmtId="0" fontId="447" fillId="0" borderId="8" xfId="57" applyFont="1" applyBorder="1" applyAlignment="1">
      <alignment vertical="center"/>
    </xf>
    <xf numFmtId="0" fontId="447" fillId="0" borderId="8" xfId="57" applyFont="1" applyBorder="1" applyAlignment="1">
      <alignment horizontal="center" vertical="center" wrapText="1"/>
    </xf>
    <xf numFmtId="0" fontId="443" fillId="0" borderId="8" xfId="57" applyFont="1" applyBorder="1" applyAlignment="1">
      <alignment horizontal="center" vertical="center" wrapText="1"/>
    </xf>
    <xf numFmtId="0" fontId="443" fillId="0" borderId="8" xfId="57" applyFont="1" applyBorder="1" applyAlignment="1">
      <alignment horizontal="center" vertical="center" textRotation="90" wrapText="1"/>
    </xf>
    <xf numFmtId="0" fontId="443" fillId="0" borderId="8" xfId="57" applyFont="1" applyBorder="1" applyAlignment="1">
      <alignment horizontal="center"/>
    </xf>
    <xf numFmtId="1" fontId="447" fillId="0" borderId="8" xfId="57" applyNumberFormat="1" applyFont="1" applyBorder="1" applyAlignment="1">
      <alignment horizontal="center" vertical="center" wrapText="1"/>
    </xf>
    <xf numFmtId="0" fontId="447" fillId="0" borderId="8" xfId="57" applyFont="1" applyBorder="1" applyAlignment="1">
      <alignment horizontal="justify" vertical="justify" wrapText="1"/>
    </xf>
    <xf numFmtId="0" fontId="447" fillId="0" borderId="8" xfId="57" applyFont="1" applyBorder="1" applyAlignment="1">
      <alignment horizontal="left" vertical="top" wrapText="1"/>
    </xf>
    <xf numFmtId="0" fontId="443" fillId="0" borderId="8" xfId="57" applyFont="1" applyBorder="1" applyAlignment="1">
      <alignment horizontal="left" vertical="top" wrapText="1"/>
    </xf>
    <xf numFmtId="2" fontId="443" fillId="0" borderId="26" xfId="57" applyNumberFormat="1" applyFont="1" applyBorder="1" applyAlignment="1">
      <alignment horizontal="center" vertical="center" wrapText="1"/>
    </xf>
    <xf numFmtId="0" fontId="443" fillId="0" borderId="8" xfId="57" applyFont="1" applyBorder="1" applyAlignment="1">
      <alignment horizontal="justify" vertical="top" wrapText="1"/>
    </xf>
    <xf numFmtId="0" fontId="443" fillId="0" borderId="8" xfId="57" applyFont="1" applyBorder="1" applyAlignment="1">
      <alignment horizontal="justify" vertical="justify" wrapText="1"/>
    </xf>
    <xf numFmtId="0" fontId="443" fillId="0" borderId="8" xfId="57" applyFont="1" applyBorder="1"/>
    <xf numFmtId="0" fontId="443" fillId="0" borderId="8" xfId="57" applyFont="1" applyBorder="1" applyAlignment="1">
      <alignment vertical="top"/>
    </xf>
    <xf numFmtId="0" fontId="455" fillId="0" borderId="8" xfId="57" applyFont="1" applyBorder="1" applyAlignment="1">
      <alignment horizontal="left" vertical="top" wrapText="1"/>
    </xf>
    <xf numFmtId="0" fontId="443" fillId="0" borderId="8" xfId="57" applyFont="1" applyBorder="1" applyAlignment="1">
      <alignment wrapText="1"/>
    </xf>
    <xf numFmtId="0" fontId="455" fillId="0" borderId="8" xfId="57" applyFont="1" applyBorder="1" applyAlignment="1">
      <alignment horizontal="left" vertical="center" wrapText="1"/>
    </xf>
    <xf numFmtId="172" fontId="443" fillId="0" borderId="8" xfId="57" applyNumberFormat="1" applyFont="1" applyBorder="1" applyAlignment="1">
      <alignment horizontal="left" vertical="top" wrapText="1"/>
    </xf>
    <xf numFmtId="172" fontId="443" fillId="0" borderId="48" xfId="57" applyNumberFormat="1" applyFont="1" applyBorder="1" applyAlignment="1">
      <alignment horizontal="left" vertical="top" wrapText="1"/>
    </xf>
    <xf numFmtId="172" fontId="443" fillId="0" borderId="4" xfId="57" applyNumberFormat="1" applyFont="1" applyBorder="1" applyAlignment="1">
      <alignment horizontal="left" vertical="top" wrapText="1"/>
    </xf>
    <xf numFmtId="172" fontId="443" fillId="0" borderId="26" xfId="57" applyNumberFormat="1" applyFont="1" applyBorder="1" applyAlignment="1">
      <alignment horizontal="left" vertical="top" wrapText="1"/>
    </xf>
    <xf numFmtId="0" fontId="443" fillId="0" borderId="8" xfId="57" applyFont="1" applyBorder="1" applyAlignment="1">
      <alignment horizontal="left" vertical="justify" wrapText="1"/>
    </xf>
    <xf numFmtId="0" fontId="447" fillId="0" borderId="48" xfId="57" applyFont="1" applyBorder="1" applyAlignment="1">
      <alignment horizontal="center" vertical="center" wrapText="1"/>
    </xf>
    <xf numFmtId="0" fontId="447" fillId="0" borderId="4" xfId="57" applyFont="1" applyBorder="1" applyAlignment="1">
      <alignment horizontal="center" vertical="center" wrapText="1"/>
    </xf>
    <xf numFmtId="0" fontId="447" fillId="0" borderId="26" xfId="57" applyFont="1" applyBorder="1" applyAlignment="1">
      <alignment horizontal="center" vertical="center" wrapText="1"/>
    </xf>
    <xf numFmtId="0" fontId="422" fillId="0" borderId="8" xfId="96" applyFont="1" applyBorder="1" applyAlignment="1">
      <alignment horizontal="left" vertical="top" wrapText="1"/>
    </xf>
    <xf numFmtId="0" fontId="423" fillId="0" borderId="0" xfId="95" applyFont="1" applyAlignment="1">
      <alignment horizontal="center"/>
    </xf>
    <xf numFmtId="2" fontId="422" fillId="0" borderId="8" xfId="96" applyNumberFormat="1" applyFont="1" applyBorder="1" applyAlignment="1">
      <alignment horizontal="left" vertical="top" wrapText="1"/>
    </xf>
    <xf numFmtId="172" fontId="422" fillId="0" borderId="8" xfId="0" applyNumberFormat="1" applyFont="1" applyBorder="1" applyAlignment="1">
      <alignment horizontal="left" vertical="top" wrapText="1"/>
    </xf>
    <xf numFmtId="0" fontId="422" fillId="0" borderId="8" xfId="97" applyFont="1" applyBorder="1" applyAlignment="1">
      <alignment horizontal="left" vertical="top" wrapText="1"/>
    </xf>
    <xf numFmtId="2" fontId="422" fillId="0" borderId="48" xfId="97" quotePrefix="1" applyNumberFormat="1" applyFont="1" applyBorder="1" applyAlignment="1">
      <alignment horizontal="center" vertical="center" wrapText="1"/>
    </xf>
    <xf numFmtId="2" fontId="422" fillId="0" borderId="4" xfId="97" quotePrefix="1" applyNumberFormat="1" applyFont="1" applyBorder="1" applyAlignment="1">
      <alignment horizontal="center" vertical="center" wrapText="1"/>
    </xf>
    <xf numFmtId="2" fontId="422" fillId="0" borderId="26" xfId="97" quotePrefix="1" applyNumberFormat="1" applyFont="1" applyBorder="1" applyAlignment="1">
      <alignment horizontal="center" vertical="center" wrapText="1"/>
    </xf>
    <xf numFmtId="0" fontId="422" fillId="0" borderId="8" xfId="96" applyFont="1" applyBorder="1" applyAlignment="1">
      <alignment horizontal="justify" vertical="top" wrapText="1"/>
    </xf>
    <xf numFmtId="172" fontId="422" fillId="0" borderId="48" xfId="0" applyNumberFormat="1" applyFont="1" applyBorder="1" applyAlignment="1">
      <alignment horizontal="left" vertical="top" wrapText="1"/>
    </xf>
    <xf numFmtId="172" fontId="422" fillId="0" borderId="4" xfId="0" applyNumberFormat="1" applyFont="1" applyBorder="1" applyAlignment="1">
      <alignment horizontal="left" vertical="top" wrapText="1"/>
    </xf>
    <xf numFmtId="172" fontId="422" fillId="0" borderId="26" xfId="0" applyNumberFormat="1" applyFont="1" applyBorder="1" applyAlignment="1">
      <alignment horizontal="left" vertical="top" wrapText="1"/>
    </xf>
    <xf numFmtId="0" fontId="424" fillId="0" borderId="8" xfId="95" applyFont="1" applyBorder="1" applyAlignment="1">
      <alignment horizontal="left" vertical="center" wrapText="1"/>
    </xf>
    <xf numFmtId="0" fontId="422" fillId="0" borderId="8" xfId="95" applyFont="1" applyBorder="1" applyAlignment="1">
      <alignment horizontal="justify" vertical="top" wrapText="1"/>
    </xf>
    <xf numFmtId="0" fontId="423" fillId="0" borderId="8" xfId="63" applyFont="1" applyBorder="1" applyAlignment="1">
      <alignment horizontal="center" vertical="center" wrapText="1"/>
    </xf>
    <xf numFmtId="172" fontId="423" fillId="0" borderId="8" xfId="95" applyNumberFormat="1" applyFont="1" applyBorder="1" applyAlignment="1">
      <alignment horizontal="left" vertical="top" wrapText="1"/>
    </xf>
    <xf numFmtId="0" fontId="140" fillId="0" borderId="8" xfId="63" applyFont="1" applyBorder="1" applyAlignment="1">
      <alignment horizontal="center" vertical="center"/>
    </xf>
    <xf numFmtId="0" fontId="142" fillId="0" borderId="8" xfId="63" applyFont="1" applyBorder="1" applyAlignment="1">
      <alignment horizontal="center" vertical="center" wrapText="1"/>
    </xf>
    <xf numFmtId="0" fontId="423" fillId="0" borderId="8" xfId="63" applyFont="1" applyBorder="1" applyAlignment="1">
      <alignment horizontal="center" vertical="center"/>
    </xf>
    <xf numFmtId="0" fontId="107" fillId="0" borderId="0" xfId="0" applyFont="1" applyAlignment="1">
      <alignment horizontal="left"/>
    </xf>
    <xf numFmtId="0" fontId="107" fillId="0" borderId="37" xfId="59" applyFont="1" applyBorder="1" applyAlignment="1">
      <alignment vertical="top" wrapText="1"/>
    </xf>
    <xf numFmtId="0" fontId="107" fillId="0" borderId="38" xfId="59" applyFont="1" applyBorder="1" applyAlignment="1">
      <alignment vertical="top" wrapText="1"/>
    </xf>
    <xf numFmtId="0" fontId="107" fillId="0" borderId="32" xfId="59" applyFont="1" applyBorder="1" applyAlignment="1">
      <alignment vertical="top" wrapText="1"/>
    </xf>
    <xf numFmtId="0" fontId="62" fillId="0" borderId="37" xfId="0" applyFont="1" applyBorder="1" applyAlignment="1">
      <alignment horizontal="left" vertical="top" wrapText="1"/>
    </xf>
    <xf numFmtId="0" fontId="62" fillId="0" borderId="38" xfId="0" applyFont="1" applyBorder="1" applyAlignment="1">
      <alignment horizontal="left" vertical="top" wrapText="1"/>
    </xf>
    <xf numFmtId="0" fontId="62" fillId="0" borderId="32" xfId="0" applyFont="1" applyBorder="1" applyAlignment="1">
      <alignment horizontal="left" vertical="top" wrapText="1"/>
    </xf>
    <xf numFmtId="0" fontId="107" fillId="41" borderId="51" xfId="0" applyFont="1" applyFill="1" applyBorder="1" applyAlignment="1">
      <alignment horizontal="justify" vertical="top" wrapText="1"/>
    </xf>
    <xf numFmtId="0" fontId="108" fillId="0" borderId="8" xfId="0" applyFont="1" applyBorder="1" applyAlignment="1">
      <alignment horizontal="center" vertical="center" wrapText="1"/>
    </xf>
    <xf numFmtId="0" fontId="107" fillId="0" borderId="8" xfId="0" applyFont="1" applyBorder="1" applyAlignment="1">
      <alignment vertical="center"/>
    </xf>
    <xf numFmtId="0" fontId="107" fillId="0" borderId="37" xfId="59" applyFont="1" applyBorder="1" applyAlignment="1">
      <alignment horizontal="left" vertical="top" wrapText="1"/>
    </xf>
    <xf numFmtId="0" fontId="107" fillId="0" borderId="38" xfId="59" applyFont="1" applyBorder="1" applyAlignment="1">
      <alignment horizontal="left" vertical="top" wrapText="1"/>
    </xf>
    <xf numFmtId="0" fontId="107" fillId="0" borderId="32" xfId="59" applyFont="1" applyBorder="1" applyAlignment="1">
      <alignment horizontal="left" vertical="top" wrapText="1"/>
    </xf>
    <xf numFmtId="0" fontId="129" fillId="54" borderId="8" xfId="63" applyFont="1" applyFill="1" applyBorder="1" applyAlignment="1">
      <alignment vertical="center"/>
    </xf>
    <xf numFmtId="0" fontId="137" fillId="54" borderId="8" xfId="63" applyFont="1" applyFill="1" applyBorder="1" applyAlignment="1">
      <alignment horizontal="center" vertical="center"/>
    </xf>
    <xf numFmtId="0" fontId="127" fillId="54" borderId="48" xfId="63" applyFont="1" applyFill="1" applyBorder="1" applyAlignment="1">
      <alignment horizontal="center" vertical="center" wrapText="1"/>
    </xf>
    <xf numFmtId="0" fontId="127" fillId="54" borderId="4" xfId="63" applyFont="1" applyFill="1" applyBorder="1" applyAlignment="1">
      <alignment horizontal="center" vertical="center" wrapText="1"/>
    </xf>
    <xf numFmtId="0" fontId="127" fillId="54" borderId="26" xfId="63" applyFont="1" applyFill="1" applyBorder="1" applyAlignment="1">
      <alignment horizontal="center" vertical="center" wrapText="1"/>
    </xf>
    <xf numFmtId="0" fontId="133" fillId="54" borderId="8" xfId="63" applyFont="1" applyFill="1" applyBorder="1" applyAlignment="1">
      <alignment horizontal="center" vertical="center"/>
    </xf>
    <xf numFmtId="0" fontId="129" fillId="54" borderId="8" xfId="63" applyFont="1" applyFill="1" applyBorder="1" applyAlignment="1">
      <alignment horizontal="left" vertical="top" wrapText="1"/>
    </xf>
    <xf numFmtId="0" fontId="129" fillId="54" borderId="48" xfId="63" applyFont="1" applyFill="1" applyBorder="1" applyAlignment="1">
      <alignment horizontal="left" vertical="top" wrapText="1"/>
    </xf>
    <xf numFmtId="0" fontId="129" fillId="54" borderId="4" xfId="63" applyFont="1" applyFill="1" applyBorder="1" applyAlignment="1">
      <alignment horizontal="left" vertical="top" wrapText="1"/>
    </xf>
    <xf numFmtId="0" fontId="129" fillId="54" borderId="48" xfId="63" applyFont="1" applyFill="1" applyBorder="1" applyAlignment="1">
      <alignment horizontal="justify" vertical="center" wrapText="1"/>
    </xf>
    <xf numFmtId="0" fontId="129" fillId="54" borderId="4" xfId="63" applyFont="1" applyFill="1" applyBorder="1" applyAlignment="1">
      <alignment horizontal="justify" vertical="center" wrapText="1"/>
    </xf>
    <xf numFmtId="0" fontId="98" fillId="54" borderId="48" xfId="0" applyFont="1" applyFill="1" applyBorder="1" applyAlignment="1">
      <alignment horizontal="left" vertical="top" wrapText="1"/>
    </xf>
    <xf numFmtId="0" fontId="98" fillId="54" borderId="4" xfId="0" applyFont="1" applyFill="1" applyBorder="1" applyAlignment="1">
      <alignment horizontal="left" vertical="top" wrapText="1"/>
    </xf>
    <xf numFmtId="0" fontId="129" fillId="54" borderId="26" xfId="63" applyFont="1" applyFill="1" applyBorder="1" applyAlignment="1">
      <alignment horizontal="left" vertical="top" wrapText="1"/>
    </xf>
    <xf numFmtId="0" fontId="129" fillId="54" borderId="48" xfId="63" applyFont="1" applyFill="1" applyBorder="1" applyAlignment="1">
      <alignment horizontal="left" vertical="center"/>
    </xf>
    <xf numFmtId="0" fontId="129" fillId="54" borderId="4" xfId="63" applyFont="1" applyFill="1" applyBorder="1" applyAlignment="1">
      <alignment horizontal="left" vertical="center"/>
    </xf>
    <xf numFmtId="0" fontId="129" fillId="54" borderId="26" xfId="63" applyFont="1" applyFill="1" applyBorder="1" applyAlignment="1">
      <alignment horizontal="left" vertical="center"/>
    </xf>
    <xf numFmtId="0" fontId="98" fillId="54" borderId="26" xfId="0" applyFont="1" applyFill="1" applyBorder="1" applyAlignment="1">
      <alignment horizontal="left" vertical="top" wrapText="1"/>
    </xf>
    <xf numFmtId="0" fontId="129" fillId="54" borderId="48" xfId="93" applyFont="1" applyFill="1" applyBorder="1" applyAlignment="1">
      <alignment horizontal="left" vertical="top" wrapText="1"/>
    </xf>
    <xf numFmtId="0" fontId="129" fillId="54" borderId="4" xfId="93" applyFont="1" applyFill="1" applyBorder="1" applyAlignment="1">
      <alignment horizontal="left" vertical="top" wrapText="1"/>
    </xf>
    <xf numFmtId="0" fontId="129" fillId="54" borderId="26" xfId="93" applyFont="1" applyFill="1" applyBorder="1" applyAlignment="1">
      <alignment horizontal="left" vertical="top" wrapText="1"/>
    </xf>
    <xf numFmtId="0" fontId="129" fillId="0" borderId="48" xfId="63" applyFont="1" applyBorder="1" applyAlignment="1">
      <alignment horizontal="justify" vertical="center" wrapText="1"/>
    </xf>
    <xf numFmtId="0" fontId="129" fillId="0" borderId="4" xfId="63" applyFont="1" applyBorder="1" applyAlignment="1">
      <alignment horizontal="justify" vertical="center" wrapText="1"/>
    </xf>
    <xf numFmtId="0" fontId="129" fillId="54" borderId="48" xfId="63" applyFont="1" applyFill="1" applyBorder="1" applyAlignment="1">
      <alignment horizontal="left" vertical="center" wrapText="1"/>
    </xf>
    <xf numFmtId="0" fontId="129" fillId="54" borderId="4" xfId="63" applyFont="1" applyFill="1" applyBorder="1" applyAlignment="1">
      <alignment horizontal="left" vertical="center" wrapText="1"/>
    </xf>
    <xf numFmtId="0" fontId="129" fillId="54" borderId="26" xfId="63" applyFont="1" applyFill="1" applyBorder="1" applyAlignment="1">
      <alignment horizontal="left" vertical="center" wrapText="1"/>
    </xf>
    <xf numFmtId="0" fontId="129" fillId="54" borderId="48" xfId="63" applyFont="1" applyFill="1" applyBorder="1" applyAlignment="1">
      <alignment horizontal="center" vertical="center"/>
    </xf>
    <xf numFmtId="0" fontId="129" fillId="54" borderId="4" xfId="63" applyFont="1" applyFill="1" applyBorder="1" applyAlignment="1">
      <alignment horizontal="center" vertical="center"/>
    </xf>
    <xf numFmtId="0" fontId="129" fillId="54" borderId="26" xfId="63" applyFont="1" applyFill="1" applyBorder="1" applyAlignment="1">
      <alignment horizontal="center" vertical="center"/>
    </xf>
    <xf numFmtId="0" fontId="129" fillId="54" borderId="48" xfId="63" applyFont="1" applyFill="1" applyBorder="1" applyAlignment="1">
      <alignment horizontal="justify" vertical="top" wrapText="1"/>
    </xf>
    <xf numFmtId="0" fontId="129" fillId="54" borderId="4" xfId="63" applyFont="1" applyFill="1" applyBorder="1" applyAlignment="1">
      <alignment horizontal="justify" vertical="top" wrapText="1"/>
    </xf>
    <xf numFmtId="0" fontId="129" fillId="0" borderId="48" xfId="63" applyFont="1" applyBorder="1" applyAlignment="1">
      <alignment horizontal="left" vertical="top" wrapText="1"/>
    </xf>
    <xf numFmtId="0" fontId="129" fillId="0" borderId="4" xfId="63" applyFont="1" applyBorder="1" applyAlignment="1">
      <alignment horizontal="left" vertical="top" wrapText="1"/>
    </xf>
    <xf numFmtId="0" fontId="129" fillId="0" borderId="26" xfId="63" applyFont="1" applyBorder="1" applyAlignment="1">
      <alignment horizontal="left" vertical="top" wrapText="1"/>
    </xf>
    <xf numFmtId="0" fontId="96" fillId="0" borderId="48" xfId="63" applyFont="1" applyBorder="1" applyAlignment="1">
      <alignment horizontal="justify" vertical="top" wrapText="1"/>
    </xf>
    <xf numFmtId="0" fontId="129" fillId="0" borderId="4" xfId="63" applyFont="1" applyBorder="1" applyAlignment="1">
      <alignment horizontal="justify" vertical="top" wrapText="1"/>
    </xf>
    <xf numFmtId="0" fontId="96" fillId="0" borderId="48" xfId="63" applyFont="1" applyBorder="1" applyAlignment="1">
      <alignment horizontal="justify" vertical="center" wrapText="1"/>
    </xf>
    <xf numFmtId="0" fontId="129" fillId="0" borderId="8" xfId="63" applyFont="1" applyBorder="1" applyAlignment="1">
      <alignment horizontal="justify" vertical="center" wrapText="1"/>
    </xf>
    <xf numFmtId="0" fontId="129" fillId="0" borderId="8" xfId="63" applyFont="1" applyBorder="1" applyAlignment="1">
      <alignment horizontal="left" vertical="top" wrapText="1"/>
    </xf>
    <xf numFmtId="0" fontId="129" fillId="0" borderId="8" xfId="63" applyFont="1" applyBorder="1" applyAlignment="1">
      <alignment horizontal="left" vertical="center" wrapText="1"/>
    </xf>
    <xf numFmtId="0" fontId="129" fillId="0" borderId="8" xfId="0" applyFont="1" applyBorder="1" applyAlignment="1">
      <alignment horizontal="justify" vertical="center" wrapText="1"/>
    </xf>
    <xf numFmtId="0" fontId="423" fillId="0" borderId="14" xfId="95" applyFont="1" applyBorder="1"/>
    <xf numFmtId="0" fontId="423" fillId="0" borderId="15" xfId="95" applyFont="1" applyBorder="1"/>
    <xf numFmtId="0" fontId="423" fillId="0" borderId="16" xfId="95" applyFont="1" applyBorder="1"/>
    <xf numFmtId="0" fontId="423" fillId="0" borderId="18" xfId="95" applyFont="1" applyBorder="1"/>
    <xf numFmtId="0" fontId="423" fillId="0" borderId="19" xfId="95" applyFont="1" applyBorder="1"/>
    <xf numFmtId="0" fontId="423" fillId="0" borderId="20" xfId="95" applyFont="1" applyBorder="1"/>
    <xf numFmtId="0" fontId="133" fillId="0" borderId="8" xfId="63" applyFont="1" applyBorder="1" applyAlignment="1">
      <alignment horizontal="center" vertical="center"/>
    </xf>
    <xf numFmtId="0" fontId="137" fillId="0" borderId="8" xfId="63" applyFont="1" applyBorder="1" applyAlignment="1">
      <alignment horizontal="center" vertical="center" wrapText="1"/>
    </xf>
    <xf numFmtId="2" fontId="129" fillId="0" borderId="8" xfId="63" applyNumberFormat="1" applyFont="1" applyBorder="1" applyAlignment="1">
      <alignment horizontal="justify" vertical="center" wrapText="1"/>
    </xf>
    <xf numFmtId="0" fontId="123" fillId="0" borderId="8" xfId="84" applyFont="1" applyBorder="1" applyAlignment="1">
      <alignment horizontal="left" vertical="top" wrapText="1"/>
    </xf>
    <xf numFmtId="0" fontId="137" fillId="0" borderId="48" xfId="63" applyFont="1" applyBorder="1" applyAlignment="1">
      <alignment horizontal="center" vertical="center" wrapText="1"/>
    </xf>
    <xf numFmtId="0" fontId="137" fillId="0" borderId="4" xfId="63" applyFont="1" applyBorder="1" applyAlignment="1">
      <alignment horizontal="center" vertical="center" wrapText="1"/>
    </xf>
    <xf numFmtId="0" fontId="137" fillId="0" borderId="26" xfId="63" applyFont="1" applyBorder="1" applyAlignment="1">
      <alignment horizontal="center" vertical="center" wrapText="1"/>
    </xf>
    <xf numFmtId="2" fontId="129" fillId="0" borderId="48" xfId="63" applyNumberFormat="1" applyFont="1" applyBorder="1" applyAlignment="1">
      <alignment horizontal="justify" vertical="center" wrapText="1"/>
    </xf>
    <xf numFmtId="0" fontId="129" fillId="0" borderId="26" xfId="63" applyFont="1" applyBorder="1" applyAlignment="1">
      <alignment horizontal="justify" vertical="center" wrapText="1"/>
    </xf>
    <xf numFmtId="0" fontId="451" fillId="0" borderId="37" xfId="57" applyFont="1" applyBorder="1" applyAlignment="1">
      <alignment horizontal="center" vertical="top" wrapText="1"/>
    </xf>
    <xf numFmtId="0" fontId="451" fillId="0" borderId="38" xfId="57" applyFont="1" applyBorder="1" applyAlignment="1">
      <alignment horizontal="center" vertical="top" wrapText="1"/>
    </xf>
    <xf numFmtId="0" fontId="451" fillId="0" borderId="32" xfId="57" applyFont="1" applyBorder="1" applyAlignment="1">
      <alignment horizontal="center" vertical="top" wrapText="1"/>
    </xf>
    <xf numFmtId="0" fontId="92" fillId="0" borderId="37" xfId="57" applyFont="1" applyBorder="1" applyAlignment="1">
      <alignment horizontal="center" vertical="top" wrapText="1"/>
    </xf>
    <xf numFmtId="0" fontId="92" fillId="0" borderId="38" xfId="57" applyFont="1" applyBorder="1" applyAlignment="1">
      <alignment horizontal="center" vertical="top" wrapText="1"/>
    </xf>
    <xf numFmtId="0" fontId="92" fillId="0" borderId="32" xfId="57" applyFont="1" applyBorder="1" applyAlignment="1">
      <alignment horizontal="center" vertical="top" wrapText="1"/>
    </xf>
    <xf numFmtId="0" fontId="451" fillId="0" borderId="33" xfId="57" applyFont="1" applyBorder="1" applyAlignment="1">
      <alignment horizontal="center" vertical="center" wrapText="1"/>
    </xf>
    <xf numFmtId="0" fontId="92" fillId="0" borderId="23" xfId="57" applyFont="1" applyBorder="1" applyAlignment="1">
      <alignment horizontal="center" vertical="center" wrapText="1"/>
    </xf>
    <xf numFmtId="0" fontId="451" fillId="0" borderId="22" xfId="57" applyFont="1" applyBorder="1" applyAlignment="1">
      <alignment horizontal="center" vertical="center" wrapText="1" shrinkToFit="1"/>
    </xf>
    <xf numFmtId="0" fontId="92" fillId="0" borderId="21" xfId="57" applyFont="1" applyBorder="1" applyAlignment="1">
      <alignment horizontal="center" vertical="center" wrapText="1"/>
    </xf>
    <xf numFmtId="0" fontId="95" fillId="0" borderId="107" xfId="57" applyFont="1" applyBorder="1" applyAlignment="1">
      <alignment horizontal="center" vertical="top" wrapText="1"/>
    </xf>
    <xf numFmtId="0" fontId="95" fillId="0" borderId="32" xfId="57" applyFont="1" applyBorder="1" applyAlignment="1">
      <alignment horizontal="center" vertical="top" wrapText="1"/>
    </xf>
    <xf numFmtId="0" fontId="495" fillId="0" borderId="14" xfId="95" applyFont="1" applyBorder="1"/>
    <xf numFmtId="0" fontId="495" fillId="0" borderId="15" xfId="95" applyFont="1" applyBorder="1"/>
    <xf numFmtId="0" fontId="495" fillId="0" borderId="16" xfId="95" applyFont="1" applyBorder="1"/>
    <xf numFmtId="0" fontId="495" fillId="0" borderId="18" xfId="95" applyFont="1" applyBorder="1"/>
    <xf numFmtId="0" fontId="495" fillId="0" borderId="19" xfId="95" applyFont="1" applyBorder="1"/>
    <xf numFmtId="0" fontId="495" fillId="0" borderId="20" xfId="95" applyFont="1" applyBorder="1"/>
    <xf numFmtId="0" fontId="485" fillId="0" borderId="0" xfId="0" applyFont="1" applyAlignment="1">
      <alignment horizontal="center" vertical="center" wrapText="1"/>
    </xf>
    <xf numFmtId="0" fontId="484" fillId="0" borderId="8" xfId="0" applyFont="1" applyBorder="1" applyAlignment="1">
      <alignment horizontal="center" vertical="center" wrapText="1"/>
    </xf>
    <xf numFmtId="0" fontId="487" fillId="0" borderId="8" xfId="0" applyFont="1" applyBorder="1" applyAlignment="1">
      <alignment horizontal="center" vertical="center" wrapText="1"/>
    </xf>
    <xf numFmtId="172" fontId="486" fillId="0" borderId="8" xfId="0" applyNumberFormat="1" applyFont="1" applyBorder="1" applyAlignment="1">
      <alignment horizontal="center" vertical="center" wrapText="1"/>
    </xf>
    <xf numFmtId="0" fontId="485" fillId="0" borderId="8" xfId="0" applyFont="1" applyBorder="1" applyAlignment="1">
      <alignment horizontal="center" vertical="center" wrapText="1"/>
    </xf>
    <xf numFmtId="0" fontId="486" fillId="0" borderId="8" xfId="0" applyFont="1" applyBorder="1" applyAlignment="1">
      <alignment horizontal="left" vertical="center" wrapText="1"/>
    </xf>
    <xf numFmtId="0" fontId="486" fillId="0" borderId="8" xfId="0" applyFont="1" applyBorder="1" applyAlignment="1">
      <alignment horizontal="center" vertical="center" wrapText="1"/>
    </xf>
    <xf numFmtId="172" fontId="486" fillId="0" borderId="8" xfId="0" applyNumberFormat="1" applyFont="1" applyBorder="1" applyAlignment="1">
      <alignment horizontal="left" vertical="top" wrapText="1"/>
    </xf>
    <xf numFmtId="2" fontId="486" fillId="0" borderId="8" xfId="16954" applyNumberFormat="1" applyFont="1" applyBorder="1" applyAlignment="1">
      <alignment horizontal="left" vertical="center" wrapText="1"/>
    </xf>
    <xf numFmtId="0" fontId="440" fillId="0" borderId="8" xfId="11637" applyFont="1" applyBorder="1" applyAlignment="1" applyProtection="1">
      <alignment vertical="center" wrapText="1"/>
      <protection hidden="1"/>
    </xf>
    <xf numFmtId="0" fontId="431" fillId="0" borderId="37" xfId="0" applyFont="1" applyBorder="1" applyAlignment="1">
      <alignment vertical="center" wrapText="1"/>
    </xf>
    <xf numFmtId="0" fontId="431" fillId="0" borderId="38" xfId="0" applyFont="1" applyBorder="1" applyAlignment="1">
      <alignment vertical="center" wrapText="1"/>
    </xf>
    <xf numFmtId="0" fontId="431" fillId="0" borderId="32" xfId="0" applyFont="1" applyBorder="1" applyAlignment="1">
      <alignment vertical="center" wrapText="1"/>
    </xf>
    <xf numFmtId="0" fontId="438" fillId="0" borderId="48" xfId="0" applyFont="1" applyBorder="1" applyAlignment="1">
      <alignment horizontal="center" vertical="center" wrapText="1"/>
    </xf>
    <xf numFmtId="0" fontId="364" fillId="0" borderId="4" xfId="0" applyFont="1" applyBorder="1" applyAlignment="1">
      <alignment horizontal="center" vertical="center" wrapText="1"/>
    </xf>
    <xf numFmtId="0" fontId="364" fillId="0" borderId="26" xfId="0" applyFont="1" applyBorder="1" applyAlignment="1">
      <alignment horizontal="center" vertical="center" wrapText="1"/>
    </xf>
    <xf numFmtId="0" fontId="438" fillId="0" borderId="48" xfId="0" applyFont="1" applyBorder="1" applyAlignment="1">
      <alignment horizontal="center" vertical="center" wrapText="1" shrinkToFit="1"/>
    </xf>
    <xf numFmtId="0" fontId="40" fillId="0" borderId="33" xfId="0" applyFont="1" applyBorder="1" applyAlignment="1">
      <alignment horizontal="center" wrapText="1"/>
    </xf>
    <xf numFmtId="0" fontId="38" fillId="0" borderId="23" xfId="0" applyFont="1" applyBorder="1" applyAlignment="1">
      <alignment horizontal="center" wrapText="1"/>
    </xf>
    <xf numFmtId="0" fontId="40" fillId="0" borderId="22" xfId="0" applyFont="1" applyBorder="1" applyAlignment="1">
      <alignment horizontal="center" wrapText="1" shrinkToFit="1"/>
    </xf>
    <xf numFmtId="0" fontId="38" fillId="0" borderId="21" xfId="0" applyFont="1" applyBorder="1" applyAlignment="1">
      <alignment horizontal="center" wrapText="1"/>
    </xf>
    <xf numFmtId="0" fontId="38" fillId="0" borderId="0" xfId="0" applyFont="1" applyAlignment="1">
      <alignment horizontal="center" vertical="top" wrapText="1"/>
    </xf>
    <xf numFmtId="0" fontId="38" fillId="0" borderId="8" xfId="71" applyFont="1" applyBorder="1" applyAlignment="1">
      <alignment horizontal="justify" vertical="top" wrapText="1"/>
    </xf>
    <xf numFmtId="0" fontId="38" fillId="0" borderId="8" xfId="71" applyFont="1" applyBorder="1" applyAlignment="1">
      <alignment wrapText="1"/>
    </xf>
    <xf numFmtId="0" fontId="52" fillId="0" borderId="8" xfId="71" applyFont="1" applyBorder="1" applyAlignment="1">
      <alignment horizontal="center" vertical="top" wrapText="1"/>
    </xf>
    <xf numFmtId="0" fontId="67" fillId="0" borderId="8" xfId="0" applyFont="1" applyBorder="1" applyAlignment="1">
      <alignment wrapText="1"/>
    </xf>
    <xf numFmtId="49" fontId="40" fillId="0" borderId="8" xfId="71" applyNumberFormat="1" applyFont="1" applyBorder="1" applyAlignment="1">
      <alignment horizontal="center"/>
    </xf>
    <xf numFmtId="0" fontId="38" fillId="0" borderId="32" xfId="71" applyFont="1" applyBorder="1" applyAlignment="1">
      <alignment horizontal="justify" vertical="top" wrapText="1"/>
    </xf>
    <xf numFmtId="0" fontId="38" fillId="0" borderId="21" xfId="71" applyFont="1" applyBorder="1" applyAlignment="1">
      <alignment wrapText="1"/>
    </xf>
    <xf numFmtId="49" fontId="38" fillId="0" borderId="8" xfId="71" applyNumberFormat="1" applyFont="1" applyBorder="1" applyAlignment="1">
      <alignment horizontal="left" vertical="top" wrapText="1"/>
    </xf>
    <xf numFmtId="0" fontId="38" fillId="0" borderId="8" xfId="0" applyFont="1" applyBorder="1" applyAlignment="1">
      <alignment horizontal="left" vertical="top" wrapText="1"/>
    </xf>
    <xf numFmtId="0" fontId="98" fillId="0" borderId="8" xfId="0" applyFont="1" applyBorder="1" applyAlignment="1">
      <alignment horizontal="center" vertical="top" wrapText="1"/>
    </xf>
    <xf numFmtId="0" fontId="118" fillId="0" borderId="8" xfId="0" applyFont="1" applyBorder="1" applyAlignment="1">
      <alignment horizontal="center" vertical="top" wrapText="1"/>
    </xf>
    <xf numFmtId="0" fontId="98" fillId="0" borderId="8" xfId="0" applyFont="1" applyBorder="1" applyAlignment="1">
      <alignment horizontal="center" vertical="top"/>
    </xf>
    <xf numFmtId="0" fontId="118" fillId="0" borderId="8" xfId="0" applyFont="1" applyBorder="1" applyAlignment="1">
      <alignment horizontal="center" vertical="top"/>
    </xf>
    <xf numFmtId="0" fontId="96" fillId="0" borderId="8" xfId="0" applyFont="1" applyBorder="1" applyAlignment="1">
      <alignment horizontal="center" vertical="top" wrapText="1"/>
    </xf>
    <xf numFmtId="177" fontId="96" fillId="0" borderId="8" xfId="0" applyNumberFormat="1" applyFont="1" applyBorder="1" applyAlignment="1">
      <alignment horizontal="center" vertical="top" wrapText="1"/>
    </xf>
    <xf numFmtId="0" fontId="40" fillId="0" borderId="19" xfId="0" applyFont="1" applyBorder="1" applyAlignment="1">
      <alignment horizontal="center" vertical="top" wrapText="1"/>
    </xf>
    <xf numFmtId="0" fontId="40" fillId="0" borderId="0" xfId="0" applyFont="1" applyAlignment="1">
      <alignment horizontal="center" vertical="top" wrapText="1"/>
    </xf>
    <xf numFmtId="0" fontId="143" fillId="0" borderId="8" xfId="57" applyFont="1" applyBorder="1" applyAlignment="1">
      <alignment horizontal="left" vertical="top" wrapText="1"/>
    </xf>
    <xf numFmtId="0" fontId="143" fillId="0" borderId="8" xfId="57" applyFont="1" applyBorder="1" applyAlignment="1">
      <alignment horizontal="justify" vertical="top" wrapText="1"/>
    </xf>
    <xf numFmtId="0" fontId="143" fillId="0" borderId="8" xfId="57" applyFont="1" applyBorder="1" applyAlignment="1">
      <alignment horizontal="left" vertical="top"/>
    </xf>
    <xf numFmtId="0" fontId="426" fillId="0" borderId="42" xfId="69" applyFont="1" applyBorder="1" applyAlignment="1">
      <alignment horizontal="center" vertical="center" wrapText="1"/>
    </xf>
    <xf numFmtId="0" fontId="426" fillId="0" borderId="44" xfId="69" applyFont="1" applyBorder="1" applyAlignment="1">
      <alignment horizontal="center" vertical="center" wrapText="1"/>
    </xf>
    <xf numFmtId="0" fontId="483" fillId="0" borderId="19" xfId="69" applyFont="1" applyBorder="1" applyAlignment="1">
      <alignment horizontal="center" vertical="center"/>
    </xf>
    <xf numFmtId="0" fontId="423" fillId="0" borderId="17" xfId="95" applyFont="1" applyBorder="1"/>
    <xf numFmtId="0" fontId="423" fillId="0" borderId="0" xfId="95" applyFont="1"/>
    <xf numFmtId="0" fontId="423" fillId="0" borderId="8" xfId="69" applyFont="1" applyBorder="1" applyAlignment="1">
      <alignment horizontal="center" vertical="center" wrapText="1"/>
    </xf>
    <xf numFmtId="0" fontId="423" fillId="0" borderId="8" xfId="0" applyFont="1" applyBorder="1" applyAlignment="1">
      <alignment horizontal="center" vertical="center" wrapText="1"/>
    </xf>
    <xf numFmtId="0" fontId="426" fillId="0" borderId="8" xfId="69" applyFont="1" applyBorder="1" applyAlignment="1">
      <alignment horizontal="center" vertical="center" wrapText="1"/>
    </xf>
    <xf numFmtId="0" fontId="419" fillId="0" borderId="44" xfId="0" applyFont="1" applyBorder="1" applyAlignment="1">
      <alignment horizontal="center" vertical="center" wrapText="1"/>
    </xf>
    <xf numFmtId="0" fontId="106" fillId="41" borderId="45" xfId="64" applyFont="1" applyFill="1" applyBorder="1" applyAlignment="1">
      <alignment horizontal="center" vertical="center"/>
    </xf>
    <xf numFmtId="0" fontId="107" fillId="41" borderId="45" xfId="64" applyFont="1" applyFill="1" applyBorder="1" applyAlignment="1">
      <alignment horizontal="center" vertical="center" wrapText="1"/>
    </xf>
    <xf numFmtId="2" fontId="107" fillId="41" borderId="52" xfId="59" applyNumberFormat="1" applyFont="1" applyFill="1" applyBorder="1" applyAlignment="1">
      <alignment horizontal="left" vertical="top" wrapText="1"/>
    </xf>
    <xf numFmtId="2" fontId="107" fillId="41" borderId="53" xfId="59" applyNumberFormat="1" applyFont="1" applyFill="1" applyBorder="1" applyAlignment="1">
      <alignment horizontal="left" vertical="top" wrapText="1"/>
    </xf>
    <xf numFmtId="2" fontId="107" fillId="41" borderId="54" xfId="59" applyNumberFormat="1" applyFont="1" applyFill="1" applyBorder="1" applyAlignment="1">
      <alignment horizontal="left" vertical="top" wrapText="1"/>
    </xf>
    <xf numFmtId="2" fontId="107" fillId="41" borderId="52" xfId="64" applyNumberFormat="1" applyFont="1" applyFill="1" applyBorder="1" applyAlignment="1">
      <alignment horizontal="left" vertical="top" wrapText="1"/>
    </xf>
    <xf numFmtId="2" fontId="107" fillId="41" borderId="53" xfId="64" applyNumberFormat="1" applyFont="1" applyFill="1" applyBorder="1" applyAlignment="1">
      <alignment horizontal="left" vertical="top" wrapText="1"/>
    </xf>
    <xf numFmtId="2" fontId="107" fillId="41" borderId="54" xfId="64" applyNumberFormat="1" applyFont="1" applyFill="1" applyBorder="1" applyAlignment="1">
      <alignment horizontal="left" vertical="top" wrapText="1"/>
    </xf>
    <xf numFmtId="0" fontId="40" fillId="0" borderId="17" xfId="0" applyFont="1" applyBorder="1" applyAlignment="1">
      <alignment horizontal="center" wrapText="1"/>
    </xf>
    <xf numFmtId="0" fontId="40" fillId="0" borderId="0" xfId="0" applyFont="1" applyAlignment="1">
      <alignment horizontal="center" wrapText="1"/>
    </xf>
    <xf numFmtId="0" fontId="38" fillId="0" borderId="8" xfId="0" applyFont="1" applyBorder="1" applyAlignment="1">
      <alignment horizontal="center" vertical="center" wrapText="1"/>
    </xf>
    <xf numFmtId="0" fontId="38" fillId="0" borderId="8" xfId="0" applyFont="1" applyBorder="1" applyAlignment="1">
      <alignment wrapText="1"/>
    </xf>
    <xf numFmtId="0" fontId="42" fillId="0" borderId="17" xfId="0" applyFont="1" applyBorder="1" applyAlignment="1">
      <alignment horizontal="center" wrapText="1"/>
    </xf>
    <xf numFmtId="0" fontId="42" fillId="0" borderId="0" xfId="0" applyFont="1" applyAlignment="1">
      <alignment horizontal="center" wrapText="1"/>
    </xf>
    <xf numFmtId="2" fontId="51" fillId="41" borderId="8" xfId="0" applyNumberFormat="1" applyFont="1" applyFill="1" applyBorder="1" applyAlignment="1">
      <alignment horizontal="center" vertical="center" wrapText="1"/>
    </xf>
    <xf numFmtId="2" fontId="38" fillId="41" borderId="21" xfId="0" applyNumberFormat="1" applyFont="1" applyFill="1" applyBorder="1" applyAlignment="1">
      <alignment horizontal="justify" vertical="justify" wrapText="1"/>
    </xf>
    <xf numFmtId="2" fontId="38" fillId="41" borderId="21" xfId="0" applyNumberFormat="1" applyFont="1" applyFill="1" applyBorder="1"/>
    <xf numFmtId="2" fontId="95" fillId="41" borderId="21" xfId="0" applyNumberFormat="1" applyFont="1" applyFill="1" applyBorder="1" applyAlignment="1">
      <alignment horizontal="left" vertical="top" wrapText="1"/>
    </xf>
    <xf numFmtId="0" fontId="70" fillId="41" borderId="0" xfId="0" applyFont="1" applyFill="1" applyAlignment="1">
      <alignment horizontal="center" wrapText="1"/>
    </xf>
    <xf numFmtId="0" fontId="38" fillId="41" borderId="0" xfId="0" applyFont="1" applyFill="1"/>
    <xf numFmtId="0" fontId="40" fillId="41" borderId="19" xfId="0" applyFont="1" applyFill="1" applyBorder="1" applyAlignment="1">
      <alignment horizontal="center" wrapText="1"/>
    </xf>
    <xf numFmtId="2" fontId="38" fillId="41" borderId="42" xfId="0" applyNumberFormat="1" applyFont="1" applyFill="1" applyBorder="1" applyAlignment="1">
      <alignment horizontal="center" vertical="center" wrapText="1"/>
    </xf>
    <xf numFmtId="2" fontId="38" fillId="41" borderId="44" xfId="0" applyNumberFormat="1" applyFont="1" applyFill="1" applyBorder="1" applyAlignment="1">
      <alignment horizontal="center" vertical="center" wrapText="1"/>
    </xf>
    <xf numFmtId="2" fontId="93" fillId="41" borderId="21" xfId="0" applyNumberFormat="1" applyFont="1" applyFill="1" applyBorder="1" applyAlignment="1">
      <alignment horizontal="left" vertical="top" wrapText="1"/>
    </xf>
    <xf numFmtId="2" fontId="51" fillId="41" borderId="42" xfId="0" applyNumberFormat="1" applyFont="1" applyFill="1" applyBorder="1" applyAlignment="1">
      <alignment horizontal="center" vertical="center" wrapText="1"/>
    </xf>
    <xf numFmtId="2" fontId="51" fillId="41" borderId="44" xfId="0" applyNumberFormat="1" applyFont="1" applyFill="1" applyBorder="1" applyAlignment="1">
      <alignment horizontal="center" vertical="center" wrapText="1"/>
    </xf>
    <xf numFmtId="1" fontId="51" fillId="41" borderId="42" xfId="0" applyNumberFormat="1" applyFont="1" applyFill="1" applyBorder="1" applyAlignment="1">
      <alignment horizontal="center" vertical="center" wrapText="1"/>
    </xf>
    <xf numFmtId="1" fontId="51" fillId="41" borderId="44" xfId="0" applyNumberFormat="1" applyFont="1" applyFill="1" applyBorder="1" applyAlignment="1">
      <alignment horizontal="center" vertical="center" wrapText="1"/>
    </xf>
    <xf numFmtId="0" fontId="51" fillId="41" borderId="42" xfId="0" applyFont="1" applyFill="1" applyBorder="1" applyAlignment="1">
      <alignment horizontal="center" vertical="center" wrapText="1"/>
    </xf>
    <xf numFmtId="0" fontId="51" fillId="41" borderId="44" xfId="0" applyFont="1" applyFill="1" applyBorder="1" applyAlignment="1">
      <alignment horizontal="center" vertical="center" wrapText="1"/>
    </xf>
    <xf numFmtId="0" fontId="51" fillId="41" borderId="14" xfId="0" applyFont="1" applyFill="1" applyBorder="1" applyAlignment="1">
      <alignment horizontal="center" vertical="center" wrapText="1"/>
    </xf>
    <xf numFmtId="0" fontId="51" fillId="41" borderId="15" xfId="0" applyFont="1" applyFill="1" applyBorder="1" applyAlignment="1">
      <alignment horizontal="center" vertical="center" wrapText="1"/>
    </xf>
    <xf numFmtId="0" fontId="51" fillId="41" borderId="16" xfId="0" applyFont="1" applyFill="1" applyBorder="1" applyAlignment="1">
      <alignment horizontal="center" vertical="center" wrapText="1"/>
    </xf>
    <xf numFmtId="0" fontId="51" fillId="41" borderId="18" xfId="0" applyFont="1" applyFill="1" applyBorder="1" applyAlignment="1">
      <alignment horizontal="center" vertical="center" wrapText="1"/>
    </xf>
    <xf numFmtId="0" fontId="51" fillId="41" borderId="19" xfId="0" applyFont="1" applyFill="1" applyBorder="1" applyAlignment="1">
      <alignment horizontal="center" vertical="center" wrapText="1"/>
    </xf>
    <xf numFmtId="0" fontId="51" fillId="41" borderId="20" xfId="0" applyFont="1" applyFill="1" applyBorder="1" applyAlignment="1">
      <alignment horizontal="center" vertical="center" wrapText="1"/>
    </xf>
    <xf numFmtId="0" fontId="51" fillId="41" borderId="48" xfId="0" applyFont="1" applyFill="1" applyBorder="1" applyAlignment="1">
      <alignment horizontal="center"/>
    </xf>
    <xf numFmtId="0" fontId="51" fillId="41" borderId="4" xfId="0" applyFont="1" applyFill="1" applyBorder="1" applyAlignment="1">
      <alignment horizontal="center"/>
    </xf>
    <xf numFmtId="0" fontId="51" fillId="41" borderId="26" xfId="0" applyFont="1" applyFill="1" applyBorder="1" applyAlignment="1">
      <alignment horizontal="center"/>
    </xf>
    <xf numFmtId="1" fontId="38" fillId="41" borderId="23" xfId="0" applyNumberFormat="1" applyFont="1" applyFill="1" applyBorder="1" applyAlignment="1">
      <alignment horizontal="center" vertical="center"/>
    </xf>
    <xf numFmtId="2" fontId="41" fillId="41" borderId="21" xfId="0" applyNumberFormat="1" applyFont="1" applyFill="1" applyBorder="1" applyAlignment="1">
      <alignment horizontal="left" vertical="top" wrapText="1"/>
    </xf>
    <xf numFmtId="0" fontId="38" fillId="0" borderId="21" xfId="0" applyFont="1" applyBorder="1" applyAlignment="1">
      <alignment horizontal="left" vertical="top" wrapText="1"/>
    </xf>
    <xf numFmtId="0" fontId="38" fillId="0" borderId="21" xfId="0" applyFont="1" applyBorder="1" applyAlignment="1">
      <alignment horizontal="justify" vertical="justify" wrapText="1"/>
    </xf>
    <xf numFmtId="0" fontId="38" fillId="0" borderId="21" xfId="0" applyFont="1" applyBorder="1"/>
    <xf numFmtId="0" fontId="51" fillId="0" borderId="8" xfId="0" applyFont="1" applyBorder="1" applyAlignment="1">
      <alignment horizontal="center" vertical="center" wrapText="1"/>
    </xf>
    <xf numFmtId="0" fontId="57" fillId="0" borderId="21" xfId="0" applyFont="1" applyBorder="1" applyAlignment="1">
      <alignment horizontal="center" vertical="top"/>
    </xf>
    <xf numFmtId="2" fontId="51" fillId="0" borderId="8" xfId="0" applyNumberFormat="1" applyFont="1" applyBorder="1" applyAlignment="1">
      <alignment horizontal="right" vertical="center" wrapText="1"/>
    </xf>
    <xf numFmtId="1" fontId="38" fillId="0" borderId="8" xfId="0" applyNumberFormat="1" applyFont="1" applyBorder="1" applyAlignment="1">
      <alignment horizontal="center" vertical="center"/>
    </xf>
    <xf numFmtId="0" fontId="50" fillId="0" borderId="19" xfId="0" applyFont="1" applyBorder="1" applyAlignment="1">
      <alignment horizontal="center" wrapText="1"/>
    </xf>
    <xf numFmtId="0" fontId="70" fillId="0" borderId="0" xfId="0" applyFont="1" applyAlignment="1">
      <alignment horizontal="center" wrapText="1"/>
    </xf>
    <xf numFmtId="0" fontId="38" fillId="0" borderId="0" xfId="0" applyFont="1"/>
    <xf numFmtId="0" fontId="51" fillId="0" borderId="8" xfId="0" applyFont="1" applyBorder="1" applyAlignment="1">
      <alignment horizontal="center"/>
    </xf>
    <xf numFmtId="2" fontId="38" fillId="0" borderId="8" xfId="0" applyNumberFormat="1" applyFont="1" applyBorder="1" applyAlignment="1">
      <alignment horizontal="center" vertical="center" wrapText="1"/>
    </xf>
    <xf numFmtId="2" fontId="47" fillId="0" borderId="8" xfId="0" applyNumberFormat="1" applyFont="1" applyBorder="1" applyAlignment="1">
      <alignment horizontal="right" vertical="center" wrapText="1"/>
    </xf>
    <xf numFmtId="0" fontId="56" fillId="0" borderId="8" xfId="0" applyFont="1" applyBorder="1" applyAlignment="1">
      <alignment horizontal="center" vertical="center" wrapText="1"/>
    </xf>
    <xf numFmtId="172" fontId="41" fillId="0" borderId="21" xfId="0" applyNumberFormat="1" applyFont="1" applyBorder="1" applyAlignment="1">
      <alignment horizontal="left" vertical="top" wrapText="1"/>
    </xf>
    <xf numFmtId="172" fontId="51" fillId="0" borderId="21" xfId="0" applyNumberFormat="1" applyFont="1" applyBorder="1" applyAlignment="1">
      <alignment horizontal="left" vertical="top" wrapText="1"/>
    </xf>
    <xf numFmtId="2" fontId="40" fillId="0" borderId="8" xfId="0" applyNumberFormat="1" applyFont="1" applyBorder="1" applyAlignment="1">
      <alignment horizontal="right" vertical="center" wrapText="1"/>
    </xf>
    <xf numFmtId="0" fontId="40" fillId="0" borderId="8" xfId="0" applyFont="1" applyBorder="1" applyAlignment="1">
      <alignment horizontal="center" vertical="center" wrapText="1"/>
    </xf>
    <xf numFmtId="0" fontId="40" fillId="0" borderId="21" xfId="0" applyFont="1" applyBorder="1" applyAlignment="1">
      <alignment horizontal="center" vertical="center" wrapText="1"/>
    </xf>
    <xf numFmtId="172" fontId="38" fillId="0" borderId="21" xfId="0" applyNumberFormat="1" applyFont="1" applyBorder="1" applyAlignment="1">
      <alignment horizontal="left" vertical="top" wrapText="1"/>
    </xf>
    <xf numFmtId="172" fontId="40" fillId="0" borderId="0" xfId="0" applyNumberFormat="1" applyFont="1" applyAlignment="1">
      <alignment horizontal="left" vertical="top" wrapText="1"/>
    </xf>
    <xf numFmtId="0" fontId="52" fillId="0" borderId="19" xfId="0" applyFont="1" applyBorder="1" applyAlignment="1">
      <alignment horizontal="center" wrapText="1"/>
    </xf>
    <xf numFmtId="0" fontId="70" fillId="0" borderId="21" xfId="0" applyFont="1" applyBorder="1" applyAlignment="1">
      <alignment horizontal="center" vertical="top"/>
    </xf>
    <xf numFmtId="0" fontId="40" fillId="0" borderId="8" xfId="0" applyFont="1" applyBorder="1" applyAlignment="1">
      <alignment horizontal="center"/>
    </xf>
    <xf numFmtId="0" fontId="43" fillId="0" borderId="21" xfId="0" applyFont="1" applyBorder="1" applyAlignment="1">
      <alignment horizontal="left" vertical="top" wrapText="1"/>
    </xf>
    <xf numFmtId="0" fontId="40" fillId="0" borderId="21" xfId="0" applyFont="1" applyBorder="1" applyAlignment="1">
      <alignment horizontal="left" vertical="top" wrapText="1"/>
    </xf>
    <xf numFmtId="0" fontId="40" fillId="0" borderId="21" xfId="0" applyFont="1" applyBorder="1" applyAlignment="1">
      <alignment horizontal="justify" vertical="justify" wrapText="1"/>
    </xf>
    <xf numFmtId="0" fontId="38" fillId="0" borderId="28" xfId="0" applyFont="1" applyBorder="1" applyAlignment="1">
      <alignment horizontal="justify" vertical="justify" wrapText="1"/>
    </xf>
    <xf numFmtId="0" fontId="42" fillId="28" borderId="37" xfId="0" applyFont="1" applyFill="1" applyBorder="1" applyAlignment="1">
      <alignment vertical="center" wrapText="1"/>
    </xf>
    <xf numFmtId="0" fontId="38" fillId="28" borderId="38" xfId="0" applyFont="1" applyFill="1" applyBorder="1" applyAlignment="1">
      <alignment vertical="center" wrapText="1"/>
    </xf>
    <xf numFmtId="0" fontId="38" fillId="28" borderId="32" xfId="0" applyFont="1" applyFill="1" applyBorder="1" applyAlignment="1">
      <alignment vertical="center" wrapText="1"/>
    </xf>
    <xf numFmtId="0" fontId="70" fillId="0" borderId="19" xfId="0" applyFont="1" applyBorder="1" applyAlignment="1">
      <alignment horizontal="center" wrapText="1"/>
    </xf>
    <xf numFmtId="0" fontId="38" fillId="0" borderId="19" xfId="0" applyFont="1" applyBorder="1" applyAlignment="1">
      <alignment wrapText="1"/>
    </xf>
    <xf numFmtId="0" fontId="52" fillId="0" borderId="48" xfId="76" applyFont="1" applyBorder="1" applyAlignment="1" applyProtection="1">
      <alignment horizontal="center" vertical="top" wrapText="1"/>
      <protection hidden="1"/>
    </xf>
    <xf numFmtId="0" fontId="38" fillId="0" borderId="4" xfId="0" applyFont="1" applyBorder="1" applyAlignment="1">
      <alignment horizontal="center" vertical="top" wrapText="1"/>
    </xf>
    <xf numFmtId="0" fontId="38" fillId="0" borderId="26" xfId="0" applyFont="1" applyBorder="1" applyAlignment="1">
      <alignment horizontal="center" vertical="top" wrapText="1"/>
    </xf>
    <xf numFmtId="0" fontId="70" fillId="0" borderId="19" xfId="0" applyFont="1" applyBorder="1" applyAlignment="1">
      <alignment horizontal="center" vertical="center" wrapText="1"/>
    </xf>
    <xf numFmtId="0" fontId="38" fillId="0" borderId="19" xfId="0" applyFont="1" applyBorder="1" applyAlignment="1">
      <alignment vertical="center" wrapText="1"/>
    </xf>
    <xf numFmtId="0" fontId="47" fillId="28" borderId="37" xfId="0" applyFont="1" applyFill="1" applyBorder="1" applyAlignment="1">
      <alignment horizontal="justify" vertical="justify"/>
    </xf>
    <xf numFmtId="0" fontId="38" fillId="28" borderId="38" xfId="0" applyFont="1" applyFill="1" applyBorder="1" applyAlignment="1">
      <alignment horizontal="justify" vertical="justify"/>
    </xf>
    <xf numFmtId="0" fontId="38" fillId="28" borderId="32" xfId="0" applyFont="1" applyFill="1" applyBorder="1" applyAlignment="1">
      <alignment horizontal="justify" vertical="justify"/>
    </xf>
    <xf numFmtId="0" fontId="42" fillId="28" borderId="37" xfId="0" applyFont="1" applyFill="1" applyBorder="1" applyAlignment="1">
      <alignment horizontal="justify" vertical="justify" wrapText="1"/>
    </xf>
    <xf numFmtId="0" fontId="38" fillId="28" borderId="38" xfId="0" applyFont="1" applyFill="1" applyBorder="1" applyAlignment="1">
      <alignment horizontal="justify" vertical="justify" wrapText="1"/>
    </xf>
    <xf numFmtId="0" fontId="38" fillId="28" borderId="32" xfId="0" applyFont="1" applyFill="1" applyBorder="1" applyAlignment="1">
      <alignment horizontal="justify" vertical="justify" wrapText="1"/>
    </xf>
    <xf numFmtId="0" fontId="38" fillId="0" borderId="37" xfId="0" applyFont="1" applyBorder="1" applyAlignment="1">
      <alignment horizontal="justify" vertical="top" wrapText="1"/>
    </xf>
    <xf numFmtId="0" fontId="38" fillId="0" borderId="38" xfId="0" applyFont="1" applyBorder="1" applyAlignment="1">
      <alignment horizontal="justify" vertical="top" wrapText="1"/>
    </xf>
    <xf numFmtId="0" fontId="38" fillId="0" borderId="32" xfId="0" applyFont="1" applyBorder="1" applyAlignment="1">
      <alignment horizontal="justify" vertical="top" wrapText="1"/>
    </xf>
    <xf numFmtId="0" fontId="40" fillId="0" borderId="37" xfId="0" applyFont="1" applyBorder="1" applyAlignment="1">
      <alignment horizontal="justify" vertical="justify"/>
    </xf>
    <xf numFmtId="0" fontId="38" fillId="0" borderId="38" xfId="0" applyFont="1" applyBorder="1" applyAlignment="1">
      <alignment horizontal="justify" vertical="justify"/>
    </xf>
    <xf numFmtId="0" fontId="38" fillId="0" borderId="32" xfId="0" applyFont="1" applyBorder="1" applyAlignment="1">
      <alignment horizontal="justify" vertical="justify"/>
    </xf>
    <xf numFmtId="0" fontId="38" fillId="0" borderId="37" xfId="0" applyFont="1" applyBorder="1" applyAlignment="1">
      <alignment horizontal="justify" vertical="justify" wrapText="1"/>
    </xf>
    <xf numFmtId="0" fontId="38" fillId="0" borderId="38" xfId="0" applyFont="1" applyBorder="1" applyAlignment="1">
      <alignment horizontal="justify" vertical="justify" wrapText="1"/>
    </xf>
    <xf numFmtId="0" fontId="38" fillId="0" borderId="32" xfId="0" applyFont="1" applyBorder="1" applyAlignment="1">
      <alignment horizontal="justify" vertical="justify" wrapText="1"/>
    </xf>
    <xf numFmtId="0" fontId="38" fillId="0" borderId="37" xfId="0" applyFont="1" applyBorder="1" applyAlignment="1">
      <alignment horizontal="left" vertical="top" wrapText="1"/>
    </xf>
    <xf numFmtId="0" fontId="38" fillId="0" borderId="38" xfId="0" applyFont="1" applyBorder="1" applyAlignment="1">
      <alignment horizontal="left" vertical="top" wrapText="1"/>
    </xf>
    <xf numFmtId="0" fontId="38" fillId="0" borderId="32" xfId="0" applyFont="1" applyBorder="1" applyAlignment="1">
      <alignment horizontal="left" vertical="top" wrapText="1"/>
    </xf>
    <xf numFmtId="0" fontId="42" fillId="0" borderId="21" xfId="0" applyFont="1" applyBorder="1" applyAlignment="1">
      <alignment horizontal="left" vertical="top" wrapText="1"/>
    </xf>
    <xf numFmtId="0" fontId="56" fillId="0" borderId="8" xfId="0" applyFont="1" applyBorder="1" applyAlignment="1">
      <alignment horizontal="center" vertical="center" textRotation="90" wrapText="1"/>
    </xf>
    <xf numFmtId="0" fontId="42" fillId="28" borderId="37" xfId="0" applyFont="1" applyFill="1" applyBorder="1" applyAlignment="1">
      <alignment horizontal="justify" vertical="justify"/>
    </xf>
    <xf numFmtId="0" fontId="41" fillId="0" borderId="21" xfId="0" applyFont="1" applyBorder="1" applyAlignment="1">
      <alignment horizontal="justify" vertical="justify" wrapText="1"/>
    </xf>
    <xf numFmtId="0" fontId="41" fillId="0" borderId="21" xfId="0" applyFont="1" applyBorder="1"/>
    <xf numFmtId="0" fontId="43" fillId="0" borderId="37" xfId="0" applyFont="1" applyBorder="1" applyAlignment="1">
      <alignment horizontal="left" vertical="top" wrapText="1"/>
    </xf>
    <xf numFmtId="0" fontId="43" fillId="0" borderId="38" xfId="0" applyFont="1" applyBorder="1" applyAlignment="1">
      <alignment horizontal="left" vertical="top" wrapText="1"/>
    </xf>
    <xf numFmtId="0" fontId="43" fillId="0" borderId="32" xfId="0" applyFont="1" applyBorder="1" applyAlignment="1">
      <alignment horizontal="left" vertical="top" wrapText="1"/>
    </xf>
    <xf numFmtId="0" fontId="47" fillId="28" borderId="37" xfId="0" applyFont="1" applyFill="1" applyBorder="1" applyAlignment="1">
      <alignment horizontal="justify" vertical="justify" wrapText="1"/>
    </xf>
    <xf numFmtId="2" fontId="51" fillId="0" borderId="8" xfId="0" applyNumberFormat="1" applyFont="1" applyBorder="1" applyAlignment="1">
      <alignment horizontal="center" vertical="center" wrapText="1"/>
    </xf>
    <xf numFmtId="2" fontId="44" fillId="0" borderId="8" xfId="0" applyNumberFormat="1" applyFont="1" applyBorder="1" applyAlignment="1">
      <alignment horizontal="center" vertical="center" wrapText="1"/>
    </xf>
    <xf numFmtId="2" fontId="51" fillId="0" borderId="26" xfId="0" applyNumberFormat="1" applyFont="1" applyBorder="1" applyAlignment="1">
      <alignment horizontal="center" vertical="center" wrapText="1"/>
    </xf>
    <xf numFmtId="2" fontId="47" fillId="0" borderId="8" xfId="0" applyNumberFormat="1" applyFont="1" applyBorder="1" applyAlignment="1">
      <alignment horizontal="center" vertical="center" wrapText="1"/>
    </xf>
    <xf numFmtId="0" fontId="55" fillId="0" borderId="21" xfId="0" applyFont="1" applyBorder="1" applyAlignment="1">
      <alignment horizontal="left" vertical="top" wrapText="1"/>
    </xf>
    <xf numFmtId="0" fontId="38" fillId="0" borderId="21" xfId="0" applyFont="1" applyBorder="1" applyAlignment="1">
      <alignment wrapText="1"/>
    </xf>
    <xf numFmtId="0" fontId="65" fillId="0" borderId="22" xfId="0" applyFont="1" applyBorder="1" applyAlignment="1">
      <alignment horizontal="center" wrapText="1" shrinkToFit="1"/>
    </xf>
    <xf numFmtId="0" fontId="61" fillId="0" borderId="21" xfId="0" applyFont="1" applyBorder="1" applyAlignment="1">
      <alignment horizontal="center" wrapText="1"/>
    </xf>
    <xf numFmtId="0" fontId="40" fillId="41" borderId="21" xfId="0" applyFont="1" applyFill="1" applyBorder="1" applyAlignment="1">
      <alignment horizontal="center" vertical="top" wrapText="1"/>
    </xf>
    <xf numFmtId="0" fontId="90" fillId="27" borderId="33" xfId="0" applyFont="1" applyFill="1" applyBorder="1" applyAlignment="1">
      <alignment horizontal="center" wrapText="1"/>
    </xf>
    <xf numFmtId="0" fontId="91" fillId="27" borderId="23" xfId="0" applyFont="1" applyFill="1" applyBorder="1"/>
    <xf numFmtId="0" fontId="88" fillId="27" borderId="22" xfId="0" applyFont="1" applyFill="1" applyBorder="1" applyAlignment="1">
      <alignment horizontal="center" wrapText="1" shrinkToFit="1"/>
    </xf>
    <xf numFmtId="0" fontId="89" fillId="27" borderId="21" xfId="0" applyFont="1" applyFill="1" applyBorder="1"/>
    <xf numFmtId="0" fontId="40" fillId="0" borderId="0" xfId="0" applyFont="1" applyAlignment="1">
      <alignment horizontal="center" wrapText="1" shrinkToFit="1"/>
    </xf>
    <xf numFmtId="0" fontId="38" fillId="0" borderId="0" xfId="0" applyFont="1" applyAlignment="1">
      <alignment wrapText="1"/>
    </xf>
    <xf numFmtId="0" fontId="65" fillId="0" borderId="0" xfId="0" applyFont="1" applyAlignment="1">
      <alignment horizontal="center" wrapText="1" shrinkToFit="1"/>
    </xf>
    <xf numFmtId="0" fontId="61" fillId="0" borderId="0" xfId="0" applyFont="1" applyAlignment="1">
      <alignment horizontal="center" wrapText="1"/>
    </xf>
    <xf numFmtId="0" fontId="38" fillId="0" borderId="0" xfId="0" applyFont="1" applyAlignment="1">
      <alignment horizontal="center" wrapText="1"/>
    </xf>
    <xf numFmtId="0" fontId="481" fillId="0" borderId="0" xfId="75" applyFont="1" applyAlignment="1">
      <alignment horizontal="center" wrapText="1"/>
    </xf>
    <xf numFmtId="0" fontId="482" fillId="0" borderId="0" xfId="0" applyFont="1" applyAlignment="1">
      <alignment horizontal="center" wrapText="1"/>
    </xf>
    <xf numFmtId="0" fontId="97" fillId="184" borderId="0" xfId="75" applyFont="1" applyFill="1" applyAlignment="1">
      <alignment horizontal="center" vertical="top" wrapText="1"/>
    </xf>
  </cellXfs>
  <cellStyles count="19414">
    <cellStyle name="-" xfId="100" xr:uid="{00000000-0005-0000-0000-000000000000}"/>
    <cellStyle name=" 1" xfId="101" xr:uid="{00000000-0005-0000-0000-000001000000}"/>
    <cellStyle name="&quot; W" xfId="102" xr:uid="{00000000-0005-0000-0000-000002000000}"/>
    <cellStyle name="&quot;%&quot; Format" xfId="103" xr:uid="{00000000-0005-0000-0000-000003000000}"/>
    <cellStyle name="%" xfId="104" xr:uid="{00000000-0005-0000-0000-000004000000}"/>
    <cellStyle name="******************************************" xfId="105" xr:uid="{00000000-0005-0000-0000-000005000000}"/>
    <cellStyle name="." xfId="106" xr:uid="{00000000-0005-0000-0000-000006000000}"/>
    <cellStyle name=":" xfId="107" xr:uid="{00000000-0005-0000-0000-000007000000}"/>
    <cellStyle name=": 2" xfId="108" xr:uid="{00000000-0005-0000-0000-000008000000}"/>
    <cellStyle name=":_Analysis - Hodariyat - 20.06.09" xfId="109" xr:uid="{00000000-0005-0000-0000-000009000000}"/>
    <cellStyle name=":_Analysis - Hodariyat - 20.06.09 2" xfId="110" xr:uid="{00000000-0005-0000-0000-00000A000000}"/>
    <cellStyle name=":_Analysis - Hodariyat - 20.06.09_Copy of Sheet Piling - Analysis" xfId="111" xr:uid="{00000000-0005-0000-0000-00000B000000}"/>
    <cellStyle name=":_Analysis - Hodariyat - 20.06.09_Copy of Sheet Piling - Analysis 2" xfId="112" xr:uid="{00000000-0005-0000-0000-00000C000000}"/>
    <cellStyle name=":_Analysis - hodariyat Bridge - 16.05.09" xfId="113" xr:uid="{00000000-0005-0000-0000-00000D000000}"/>
    <cellStyle name=":_Analysis - hodariyat Bridge - 16.05.09 2" xfId="114" xr:uid="{00000000-0005-0000-0000-00000E000000}"/>
    <cellStyle name=":_Analysis - hodariyat Bridge - 16.05.09_1" xfId="115" xr:uid="{00000000-0005-0000-0000-00000F000000}"/>
    <cellStyle name=":_Analysis - hodariyat Bridge - 16.05.09_1 2" xfId="116" xr:uid="{00000000-0005-0000-0000-000010000000}"/>
    <cellStyle name=":_Analysis - hodariyat Bridge - 16.05.09_1_Copy of Sheet Piling - Analysis" xfId="117" xr:uid="{00000000-0005-0000-0000-000011000000}"/>
    <cellStyle name=":_Analysis - hodariyat Bridge - 16.05.09_1_Copy of Sheet Piling - Analysis 2" xfId="118" xr:uid="{00000000-0005-0000-0000-000012000000}"/>
    <cellStyle name=":_Analysis - hodariyat Bridge - 16.05.09_1_Hodariyat Bridge (2)" xfId="119" xr:uid="{00000000-0005-0000-0000-000013000000}"/>
    <cellStyle name=":_Analysis - hodariyat Bridge - 16.05.09_1_Hodariyat Bridge (2) 2" xfId="120" xr:uid="{00000000-0005-0000-0000-000014000000}"/>
    <cellStyle name=":_Analysis - hodariyat Bridge - 16.05.09_1_Hodariyat Bridge (2)_Copy of Sheet Piling - Analysis" xfId="121" xr:uid="{00000000-0005-0000-0000-000015000000}"/>
    <cellStyle name=":_Analysis - hodariyat Bridge - 16.05.09_1_Hodariyat Bridge (2)_Copy of Sheet Piling - Analysis 2" xfId="122" xr:uid="{00000000-0005-0000-0000-000016000000}"/>
    <cellStyle name=":_Analysis - hodariyat Bridge - 16.05.09_Copy of Sheet Piling - Analysis" xfId="123" xr:uid="{00000000-0005-0000-0000-000017000000}"/>
    <cellStyle name=":_Analysis - hodariyat Bridge - 16.05.09_Copy of Sheet Piling - Analysis 2" xfId="124" xr:uid="{00000000-0005-0000-0000-000018000000}"/>
    <cellStyle name=":_Analysis-Road works" xfId="125" xr:uid="{00000000-0005-0000-0000-000019000000}"/>
    <cellStyle name=":_Analysis-Road works 2" xfId="126" xr:uid="{00000000-0005-0000-0000-00001A000000}"/>
    <cellStyle name=":_Analysis-Road works_Copy of Sheet Piling - Analysis" xfId="127" xr:uid="{00000000-0005-0000-0000-00001B000000}"/>
    <cellStyle name=":_Analysis-Road works_Copy of Sheet Piling - Analysis 2" xfId="128" xr:uid="{00000000-0005-0000-0000-00001C000000}"/>
    <cellStyle name=":_Analysis-Structures" xfId="129" xr:uid="{00000000-0005-0000-0000-00001D000000}"/>
    <cellStyle name=":_Analysis-Structures 2" xfId="130" xr:uid="{00000000-0005-0000-0000-00001E000000}"/>
    <cellStyle name=":_Analysis-Structures_Copy of Sheet Piling - Analysis" xfId="131" xr:uid="{00000000-0005-0000-0000-00001F000000}"/>
    <cellStyle name=":_Analysis-Structures_Copy of Sheet Piling - Analysis 2" xfId="132" xr:uid="{00000000-0005-0000-0000-000020000000}"/>
    <cellStyle name=":_Bridge-4-Arch-24 Month-10.03.09" xfId="133" xr:uid="{00000000-0005-0000-0000-000021000000}"/>
    <cellStyle name=":_Bridge-4-Arch-24 Month-10.03.09 2" xfId="134" xr:uid="{00000000-0005-0000-0000-000022000000}"/>
    <cellStyle name=":_pt cs comparision" xfId="135" xr:uid="{00000000-0005-0000-0000-000023000000}"/>
    <cellStyle name=":_pt cs comparision 2" xfId="136" xr:uid="{00000000-0005-0000-0000-000024000000}"/>
    <cellStyle name=":_To Client - Bridge 4" xfId="137" xr:uid="{00000000-0005-0000-0000-000025000000}"/>
    <cellStyle name=":_To Client - Bridge 4 2" xfId="138" xr:uid="{00000000-0005-0000-0000-000026000000}"/>
    <cellStyle name=";;;" xfId="139" xr:uid="{00000000-0005-0000-0000-000027000000}"/>
    <cellStyle name="??" xfId="140" xr:uid="{00000000-0005-0000-0000-000028000000}"/>
    <cellStyle name="??                          " xfId="141" xr:uid="{00000000-0005-0000-0000-000029000000}"/>
    <cellStyle name="?? [0.00]_laroux" xfId="142" xr:uid="{00000000-0005-0000-0000-00002A000000}"/>
    <cellStyle name="???? [0.00]_laroux" xfId="143" xr:uid="{00000000-0005-0000-0000-00002B000000}"/>
    <cellStyle name="????_laroux" xfId="144" xr:uid="{00000000-0005-0000-0000-00002C000000}"/>
    <cellStyle name="??[0]_770 Detail (2)_77" xfId="145" xr:uid="{00000000-0005-0000-0000-00002D000000}"/>
    <cellStyle name="??_#01 Akaska1" xfId="146" xr:uid="{00000000-0005-0000-0000-00002E000000}"/>
    <cellStyle name="?_x0001__x0017_?°_x0001_ÿÿÿ?ÿÿÿ??" xfId="147" xr:uid="{00000000-0005-0000-0000-00002F000000}"/>
    <cellStyle name="?_x0001__x0017_?°_x0001_ÿÿÿ?ÿÿÿ?? 1" xfId="148" xr:uid="{00000000-0005-0000-0000-000030000000}"/>
    <cellStyle name="?_x0001__x0017_?°_x0001_ÿÿÿ?ÿÿÿ?? 2" xfId="149" xr:uid="{00000000-0005-0000-0000-000031000000}"/>
    <cellStyle name="?_x0001__x0017_?°_x0001_ÿÿÿ?ÿÿÿ?? 3" xfId="150" xr:uid="{00000000-0005-0000-0000-000032000000}"/>
    <cellStyle name="?_x0001__x0017_?°_x0001_ÿÿÿ?ÿÿÿ?? 4" xfId="151" xr:uid="{00000000-0005-0000-0000-000033000000}"/>
    <cellStyle name="?_x0001__x0017_?°_x0001_ÿÿÿ?ÿÿÿ?? 5" xfId="152" xr:uid="{00000000-0005-0000-0000-000034000000}"/>
    <cellStyle name="?_x0001__x0017_?°_x0001_ÿÿÿ?ÿÿÿ??_BOQSummary Vedhas Sir" xfId="153" xr:uid="{00000000-0005-0000-0000-000035000000}"/>
    <cellStyle name="?Q\?1@" xfId="154" xr:uid="{00000000-0005-0000-0000-000036000000}"/>
    <cellStyle name="\" xfId="155" xr:uid="{00000000-0005-0000-0000-000037000000}"/>
    <cellStyle name="\ JY" xfId="156" xr:uid="{00000000-0005-0000-0000-000038000000}"/>
    <cellStyle name="\_bluebirdacdil13" xfId="157" xr:uid="{00000000-0005-0000-0000-000039000000}"/>
    <cellStyle name="\_data" xfId="158" xr:uid="{00000000-0005-0000-0000-00003A000000}"/>
    <cellStyle name="\_ecomps7w" xfId="159" xr:uid="{00000000-0005-0000-0000-00003B000000}"/>
    <cellStyle name="\_equitycomps8" xfId="160" xr:uid="{00000000-0005-0000-0000-00003C000000}"/>
    <cellStyle name="\_equitycomps9" xfId="161" xr:uid="{00000000-0005-0000-0000-00003D000000}"/>
    <cellStyle name="\_houston Isabel" xfId="162" xr:uid="{00000000-0005-0000-0000-00003E000000}"/>
    <cellStyle name="\_hybrid2" xfId="163" xr:uid="{00000000-0005-0000-0000-00003F000000}"/>
    <cellStyle name="\_ITXCcomps" xfId="164" xr:uid="{00000000-0005-0000-0000-000040000000}"/>
    <cellStyle name="\_newcomps16" xfId="165" xr:uid="{00000000-0005-0000-0000-000041000000}"/>
    <cellStyle name="\_ravenpitch3" xfId="166" xr:uid="{00000000-0005-0000-0000-000042000000}"/>
    <cellStyle name="\_ravenpitch32" xfId="167" xr:uid="{00000000-0005-0000-0000-000043000000}"/>
    <cellStyle name="_%(SignOnly)" xfId="168" xr:uid="{00000000-0005-0000-0000-000044000000}"/>
    <cellStyle name="_%(SignSpaceOnly)" xfId="169" xr:uid="{00000000-0005-0000-0000-000045000000}"/>
    <cellStyle name="_~3128996" xfId="170" xr:uid="{00000000-0005-0000-0000-000046000000}"/>
    <cellStyle name="_004 - Contract Review March-08" xfId="171" xr:uid="{00000000-0005-0000-0000-000047000000}"/>
    <cellStyle name="_004 ITC -  BHADRACHALAM, PSE 070207(Namrata)" xfId="172" xr:uid="{00000000-0005-0000-0000-000048000000}"/>
    <cellStyle name="_04th RA May'08 (2)" xfId="173" xr:uid="{00000000-0005-0000-0000-000049000000}"/>
    <cellStyle name="_05.08.12_BOQ HIAL" xfId="174" xr:uid="{00000000-0005-0000-0000-00004A000000}"/>
    <cellStyle name="_05th RA June - 2008" xfId="175" xr:uid="{00000000-0005-0000-0000-00004B000000}"/>
    <cellStyle name="_06  E - Pricing Schedule BMS-TMS" xfId="176" xr:uid="{00000000-0005-0000-0000-00004C000000}"/>
    <cellStyle name="_06  E - Pricing Schedule BMS-TMS_BLK-EST-BUILDING 1 - DLF MUMBAI MILLS-13-10-10" xfId="177" xr:uid="{00000000-0005-0000-0000-00004D000000}"/>
    <cellStyle name="_06  E - Pricing Schedule BMS-TMS_BLOCK EST - BASEMENT" xfId="178" xr:uid="{00000000-0005-0000-0000-00004E000000}"/>
    <cellStyle name="_06  E - Pricing Schedule BMS-TMS_BLOCK EST - BUILDING 1" xfId="179" xr:uid="{00000000-0005-0000-0000-00004F000000}"/>
    <cellStyle name="_06  E - Pricing Schedule BMS-TMS_BLOCK EST - BUILDING 2-TO STERLING" xfId="180" xr:uid="{00000000-0005-0000-0000-000050000000}"/>
    <cellStyle name="_06  E - Pricing Schedule BMS-TMS_BLOCK EST - BUILDING 3" xfId="181" xr:uid="{00000000-0005-0000-0000-000051000000}"/>
    <cellStyle name="_06  E - Pricing Schedule BMS-TMS_BLOCK EST - PODIUM -DLF" xfId="182" xr:uid="{00000000-0005-0000-0000-000052000000}"/>
    <cellStyle name="_06  E - Pricing Schedule BMS-TMS_BLOCK EST - PODIUM -MCGM" xfId="183" xr:uid="{00000000-0005-0000-0000-000053000000}"/>
    <cellStyle name="_06  E - Pricing Schedule BMS-TMS_BOQ" xfId="184" xr:uid="{00000000-0005-0000-0000-000054000000}"/>
    <cellStyle name="_06  E - Pricing Schedule BMS-TMS_FINAL-DE-RGIPT-12.02.2010-WITH RA MKT-1 April-A-Dt.27-01-11" xfId="185" xr:uid="{00000000-0005-0000-0000-000055000000}"/>
    <cellStyle name="_06  E - Pricing Schedule BMS-TMS_MEASUREMENT SHEET - ARCH - Priyanka" xfId="186" xr:uid="{00000000-0005-0000-0000-000056000000}"/>
    <cellStyle name="_06  E - Pricing Schedule BMS-TMS_MEASUREMENT-EXTERNAL DEVL" xfId="187" xr:uid="{00000000-0005-0000-0000-000057000000}"/>
    <cellStyle name="_06  E - Pricing Schedule BMS-TMS_PRELIMINARY TOTAL ESTIMATE - R2-11.01.11" xfId="188" xr:uid="{00000000-0005-0000-0000-000058000000}"/>
    <cellStyle name="_06  E - Pricing Schedule BMS-TMS_RA-MKT" xfId="189" xr:uid="{00000000-0005-0000-0000-000059000000}"/>
    <cellStyle name="_06  E - Pricing Schedule BMS-TMS_RCC -MAJOR- G+1)" xfId="190" xr:uid="{00000000-0005-0000-0000-00005A000000}"/>
    <cellStyle name="_15.02.11 Internal Work _BOQ_R0-FORMATED" xfId="191" xr:uid="{00000000-0005-0000-0000-00005B000000}"/>
    <cellStyle name="_17th &amp; final bill" xfId="192" xr:uid="{00000000-0005-0000-0000-00005C000000}"/>
    <cellStyle name="_1st Ra Bill -Feb-10@Magnolias-BUILD TEC " xfId="193" xr:uid="{00000000-0005-0000-0000-00005D000000}"/>
    <cellStyle name="_28-IBP I Commerz &amp; Hotel August 09 071009final" xfId="194" xr:uid="{00000000-0005-0000-0000-00005E000000}"/>
    <cellStyle name="_2ND PARK PLACE ANNUAL RETERN" xfId="195" xr:uid="{00000000-0005-0000-0000-00005F000000}"/>
    <cellStyle name="_3.05 retaining wall base" xfId="196" xr:uid="{00000000-0005-0000-0000-000060000000}"/>
    <cellStyle name="_3.1 June 08 " xfId="197" xr:uid="{00000000-0005-0000-0000-000061000000}"/>
    <cellStyle name="_3.2 June 08" xfId="198" xr:uid="{00000000-0005-0000-0000-000062000000}"/>
    <cellStyle name="_3550-Activation Fees" xfId="199" xr:uid="{00000000-0005-0000-0000-000063000000}"/>
    <cellStyle name="_4. Specimen signature list" xfId="200" xr:uid="{00000000-0005-0000-0000-000064000000}"/>
    <cellStyle name="_4. Specimen signature list_Book2" xfId="201" xr:uid="{00000000-0005-0000-0000-000065000000}"/>
    <cellStyle name="_4. Specimen signature list_Book2 2" xfId="202" xr:uid="{00000000-0005-0000-0000-000066000000}"/>
    <cellStyle name="_4th RA Bill-DEC-9 @ NTH-91-B L GUPTA" xfId="203" xr:uid="{00000000-0005-0000-0000-000067000000}"/>
    <cellStyle name="_4th RA Bill-DEC-9 @ NTH-91-B L GUPTA_Book2" xfId="204" xr:uid="{00000000-0005-0000-0000-000068000000}"/>
    <cellStyle name="_4th RA Bill-DEC-9 @ NTH-91-B L GUPTA_Book2 2" xfId="205" xr:uid="{00000000-0005-0000-0000-000069000000}"/>
    <cellStyle name="_5. Annexure I" xfId="206" xr:uid="{00000000-0005-0000-0000-00006A000000}"/>
    <cellStyle name="_5. Annexure I_Costing final 30.40 crore" xfId="207" xr:uid="{00000000-0005-0000-0000-00006B000000}"/>
    <cellStyle name="_5. Annexure I_Costing final 30.40 crore 2" xfId="208" xr:uid="{00000000-0005-0000-0000-00006C000000}"/>
    <cellStyle name="_6227 BOQ &amp; MEA.-13.03.09" xfId="209" xr:uid="{00000000-0005-0000-0000-00006D000000}"/>
    <cellStyle name="_6340_ BOQ_MEA. 09.03.09" xfId="210" xr:uid="{00000000-0005-0000-0000-00006E000000}"/>
    <cellStyle name="_6520_AREA_IBIS HOTEL AT NAVI MUMBAI - 02-04-09" xfId="211" xr:uid="{00000000-0005-0000-0000-00006F000000}"/>
    <cellStyle name="_8.  Note for billing errors" xfId="212" xr:uid="{00000000-0005-0000-0000-000070000000}"/>
    <cellStyle name="_8.  Note for billing errors_Book2" xfId="213" xr:uid="{00000000-0005-0000-0000-000071000000}"/>
    <cellStyle name="_8.  Note for billing errors_Book2 2" xfId="214" xr:uid="{00000000-0005-0000-0000-000072000000}"/>
    <cellStyle name="_Aalysis-Road works" xfId="215" xr:uid="{00000000-0005-0000-0000-000073000000}"/>
    <cellStyle name="_Abhimaani Vasathi Hotel - 25.09.07" xfId="216" xr:uid="{00000000-0005-0000-0000-000074000000}"/>
    <cellStyle name="_Abstract  Site Infra Buildings-15 Acres" xfId="217" xr:uid="{00000000-0005-0000-0000-000075000000}"/>
    <cellStyle name="_Academic ZCR Final -15-4-08 (version 1)" xfId="218" xr:uid="{00000000-0005-0000-0000-000076000000}"/>
    <cellStyle name="_Accounts Actual" xfId="219" xr:uid="{00000000-0005-0000-0000-000077000000}"/>
    <cellStyle name="_ACE- as per approved iocl" xfId="220" xr:uid="{00000000-0005-0000-0000-000078000000}"/>
    <cellStyle name="_ACE Summary all" xfId="221" xr:uid="{00000000-0005-0000-0000-000079000000}"/>
    <cellStyle name="_ACE TC-II Powai(E)-send to BNS-31-07-08" xfId="222" xr:uid="{00000000-0005-0000-0000-00007A000000}"/>
    <cellStyle name="_ACE Top sheet" xfId="223" xr:uid="{00000000-0005-0000-0000-00007B000000}"/>
    <cellStyle name="_ACE Top sheet-rev-19-03-08" xfId="224" xr:uid="{00000000-0005-0000-0000-00007C000000}"/>
    <cellStyle name="_Admin Head Wise Provisions" xfId="225" xr:uid="{00000000-0005-0000-0000-00007D000000}"/>
    <cellStyle name="_ADPL Site office" xfId="226" xr:uid="{00000000-0005-0000-0000-00007E000000}"/>
    <cellStyle name="_ADPL Site office_Cement reconcilation  up to Nov 2011" xfId="227" xr:uid="{00000000-0005-0000-0000-00007F000000}"/>
    <cellStyle name="_Aex (Revised) - Vishnu" xfId="228" xr:uid="{00000000-0005-0000-0000-000080000000}"/>
    <cellStyle name="_Amd-01 BOQ FOR SECTOR-91 STRUCTURE" xfId="229" xr:uid="{00000000-0005-0000-0000-000081000000}"/>
    <cellStyle name="_AMENDMENT REVISED(DEC09)" xfId="230" xr:uid="{00000000-0005-0000-0000-000082000000}"/>
    <cellStyle name="_analysis 06.04.06" xfId="231" xr:uid="{00000000-0005-0000-0000-000083000000}"/>
    <cellStyle name="_Analysis-R 842-4-11.04.09" xfId="232" xr:uid="{00000000-0005-0000-0000-000084000000}"/>
    <cellStyle name="_Analysis-Rev-09.02.09" xfId="233" xr:uid="{00000000-0005-0000-0000-000085000000}"/>
    <cellStyle name="_Analysis-Rev-09.02.09_Analysis - Hodariyat - 20.06.09" xfId="234" xr:uid="{00000000-0005-0000-0000-000086000000}"/>
    <cellStyle name="_Analysis-Rev-09.02.09_Analysis - hodariyat Bridge - 16.05.09" xfId="235" xr:uid="{00000000-0005-0000-0000-000087000000}"/>
    <cellStyle name="_Analysis-Rev-09.02.09_Analysis - hodariyat Bridge - 16.05.09_1" xfId="236" xr:uid="{00000000-0005-0000-0000-000088000000}"/>
    <cellStyle name="_Analysis-Rev-09.02.09_Analysis - hodariyat Bridge - 16.05.09_1_Hodariyat Bridge (2)" xfId="237" xr:uid="{00000000-0005-0000-0000-000089000000}"/>
    <cellStyle name="_Analysis-Rev-09.02.09_Analysis-Road works" xfId="238" xr:uid="{00000000-0005-0000-0000-00008A000000}"/>
    <cellStyle name="_Analysis-Rev-09.02.09_Analysis-Structures" xfId="239" xr:uid="{00000000-0005-0000-0000-00008B000000}"/>
    <cellStyle name="_Analysis-Rev-09.02.09_Copy of Sheet Piling - Analysis" xfId="240" xr:uid="{00000000-0005-0000-0000-00008C000000}"/>
    <cellStyle name="_Angsana" xfId="241" xr:uid="{00000000-0005-0000-0000-00008D000000}"/>
    <cellStyle name="_Annex to RA Bill 3 &amp;amp_ 3A1" xfId="242" xr:uid="{00000000-0005-0000-0000-00008E000000}"/>
    <cellStyle name="_Apollo - Final" xfId="243" xr:uid="{00000000-0005-0000-0000-00008F000000}"/>
    <cellStyle name="_April" xfId="244" xr:uid="{00000000-0005-0000-0000-000090000000}"/>
    <cellStyle name="_APRIL-MPR-SANTOSH" xfId="245" xr:uid="{00000000-0005-0000-0000-000091000000}"/>
    <cellStyle name="_Area Statement 0705017" xfId="246" xr:uid="{00000000-0005-0000-0000-000092000000}"/>
    <cellStyle name="_AS Carrier site -ZCR.xls(29.11.09)" xfId="247" xr:uid="{00000000-0005-0000-0000-000093000000}"/>
    <cellStyle name="_ASC Shuttering Qty" xfId="248" xr:uid="{00000000-0005-0000-0000-000094000000}"/>
    <cellStyle name="_Ascendas - AFAS, ACS &amp; EPABX - 14.11.06R5EST &amp; EXwork" xfId="249" xr:uid="{00000000-0005-0000-0000-000095000000}"/>
    <cellStyle name="_Ascendas 14.9.06 R1" xfId="250" xr:uid="{00000000-0005-0000-0000-000096000000}"/>
    <cellStyle name="_ASCENDAS -18.08.06" xfId="251" xr:uid="{00000000-0005-0000-0000-000097000000}"/>
    <cellStyle name="_Ascendas 21.9.06 R2" xfId="252" xr:uid="{00000000-0005-0000-0000-000098000000}"/>
    <cellStyle name="_Ascendas workings" xfId="253" xr:uid="{00000000-0005-0000-0000-000099000000}"/>
    <cellStyle name="_Ascendas workings_Cement reconcilation  up to Nov 2011" xfId="254" xr:uid="{00000000-0005-0000-0000-00009A000000}"/>
    <cellStyle name="_Ascendas workings_pl Scope vs Front" xfId="255" xr:uid="{00000000-0005-0000-0000-00009B000000}"/>
    <cellStyle name="_Ascendas workings_plama Labour Planned Vs Actual Status" xfId="256" xr:uid="{00000000-0005-0000-0000-00009C000000}"/>
    <cellStyle name="_Ascendas workings_Scope vs Front" xfId="257" xr:uid="{00000000-0005-0000-0000-00009D000000}"/>
    <cellStyle name="_aUDIT INSTA AS ON 30NOV'" xfId="258" xr:uid="{00000000-0005-0000-0000-00009E000000}"/>
    <cellStyle name="_August -  Lab Equipments" xfId="259" xr:uid="{00000000-0005-0000-0000-00009F000000}"/>
    <cellStyle name="_aurdra Engg - Afas &amp; Pa - 24.05.06" xfId="260" xr:uid="{00000000-0005-0000-0000-0000A0000000}"/>
    <cellStyle name="_AUSTIN" xfId="261" xr:uid="{00000000-0005-0000-0000-0000A1000000}"/>
    <cellStyle name="_Aztec" xfId="262" xr:uid="{00000000-0005-0000-0000-0000A2000000}"/>
    <cellStyle name="_Balance Sheet 4.1 Dec 08 " xfId="263" xr:uid="{00000000-0005-0000-0000-0000A3000000}"/>
    <cellStyle name="_Balance work Finishing BLD 1-2-DT projects" xfId="264" xr:uid="{00000000-0005-0000-0000-0000A4000000}"/>
    <cellStyle name="_Balance work Finishing BLD-4-5" xfId="265" xr:uid="{00000000-0005-0000-0000-0000A5000000}"/>
    <cellStyle name="_Balance work Structure BLD- (01+02+03)-DT Projects 29-06-10" xfId="266" xr:uid="{00000000-0005-0000-0000-0000A6000000}"/>
    <cellStyle name="_Balance work Structure BLD 4-5 BLG 29-06-10" xfId="267" xr:uid="{00000000-0005-0000-0000-0000A7000000}"/>
    <cellStyle name="_Basic Rates" xfId="268" xr:uid="{00000000-0005-0000-0000-0000A8000000}"/>
    <cellStyle name="_Battery Calculation" xfId="269" xr:uid="{00000000-0005-0000-0000-0000A9000000}"/>
    <cellStyle name="_BBS  SUB-STATION BUILDING" xfId="270" xr:uid="{00000000-0005-0000-0000-0000AA000000}"/>
    <cellStyle name="_BBS CMB BUILDING" xfId="271" xr:uid="{00000000-0005-0000-0000-0000AB000000}"/>
    <cellStyle name="_BBS HVAC BUILDING" xfId="272" xr:uid="{00000000-0005-0000-0000-0000AC000000}"/>
    <cellStyle name="_BBS IDC BLOCK" xfId="273" xr:uid="{00000000-0005-0000-0000-0000AD000000}"/>
    <cellStyle name="_BBS SUB-STATION BUILDING" xfId="274" xr:uid="{00000000-0005-0000-0000-0000AE000000}"/>
    <cellStyle name="_Belaire 3rd ra bill 20%" xfId="275" xr:uid="{00000000-0005-0000-0000-0000AF000000}"/>
    <cellStyle name="_Belaire 5th ra bill 80%" xfId="276" xr:uid="{00000000-0005-0000-0000-0000B0000000}"/>
    <cellStyle name="_Belaire Amendment -1" xfId="277" xr:uid="{00000000-0005-0000-0000-0000B1000000}"/>
    <cellStyle name="_BILLS OF QUANTITIS" xfId="278" xr:uid="{00000000-0005-0000-0000-0000B2000000}"/>
    <cellStyle name="_BLG Costing-29.08.08" xfId="279" xr:uid="{00000000-0005-0000-0000-0000B3000000}"/>
    <cellStyle name="_BLK-EST-BUILDING 1 - DLF MUMBAI MILLS-13-10-10" xfId="280" xr:uid="{00000000-0005-0000-0000-0000B4000000}"/>
    <cellStyle name="_BLOCK EST - BASEMENT" xfId="281" xr:uid="{00000000-0005-0000-0000-0000B5000000}"/>
    <cellStyle name="_BLOCK EST - BUILDING 1" xfId="282" xr:uid="{00000000-0005-0000-0000-0000B6000000}"/>
    <cellStyle name="_BLOCK EST - BUILDING 2-TO STERLING" xfId="283" xr:uid="{00000000-0005-0000-0000-0000B7000000}"/>
    <cellStyle name="_BLOCK EST - BUILDING 3" xfId="284" xr:uid="{00000000-0005-0000-0000-0000B8000000}"/>
    <cellStyle name="_BLOCK EST - PODIUM -DLF" xfId="285" xr:uid="{00000000-0005-0000-0000-0000B9000000}"/>
    <cellStyle name="_BLOCK EST - PODIUM -MCGM" xfId="286" xr:uid="{00000000-0005-0000-0000-0000BA000000}"/>
    <cellStyle name="_BLOCK ESTIMATE-09.05.08-PHASE-II-DPA" xfId="287" xr:uid="{00000000-0005-0000-0000-0000BB000000}"/>
    <cellStyle name="_Blue Horizon Final Offer" xfId="288" xr:uid="{00000000-0005-0000-0000-0000BC000000}"/>
    <cellStyle name="_BMS Enquiry Revenue tower" xfId="289" xr:uid="{00000000-0005-0000-0000-0000BD000000}"/>
    <cellStyle name="_BMS Format" xfId="290" xr:uid="{00000000-0005-0000-0000-0000BE000000}"/>
    <cellStyle name="_Bms General INR" xfId="291" xr:uid="{00000000-0005-0000-0000-0000BF000000}"/>
    <cellStyle name="_BOB - Mumbai 17.06.05" xfId="292" xr:uid="{00000000-0005-0000-0000-0000C0000000}"/>
    <cellStyle name="_Book1" xfId="293" xr:uid="{00000000-0005-0000-0000-0000C1000000}"/>
    <cellStyle name="_Book1 (15)" xfId="294" xr:uid="{00000000-0005-0000-0000-0000C2000000}"/>
    <cellStyle name="_Book1 (15) 2" xfId="295" xr:uid="{00000000-0005-0000-0000-0000C3000000}"/>
    <cellStyle name="_Book1 (15)_Item Rate Client Bill RA-7 Dec.10 (SBM Homes)" xfId="296" xr:uid="{00000000-0005-0000-0000-0000C4000000}"/>
    <cellStyle name="_Book1 (15)_Labour Camp Detail" xfId="297" xr:uid="{00000000-0005-0000-0000-0000C5000000}"/>
    <cellStyle name="_Book1 (2)" xfId="298" xr:uid="{00000000-0005-0000-0000-0000C6000000}"/>
    <cellStyle name="_Book1 (32)" xfId="299" xr:uid="{00000000-0005-0000-0000-0000C7000000}"/>
    <cellStyle name="_Book1 (39)" xfId="300" xr:uid="{00000000-0005-0000-0000-0000C8000000}"/>
    <cellStyle name="_Book1 (8)" xfId="301" xr:uid="{00000000-0005-0000-0000-0000C9000000}"/>
    <cellStyle name="_Book2" xfId="302" xr:uid="{00000000-0005-0000-0000-0000CA000000}"/>
    <cellStyle name="_BOQ" xfId="303" xr:uid="{00000000-0005-0000-0000-0000CB000000}"/>
    <cellStyle name="_BOQ  Sarojini  Nagar" xfId="304" xr:uid="{00000000-0005-0000-0000-0000CC000000}"/>
    <cellStyle name="_BOQ - Workings" xfId="305" xr:uid="{00000000-0005-0000-0000-0000CD000000}"/>
    <cellStyle name="_BOQ &amp; Meas 30-04-09" xfId="306" xr:uid="{00000000-0005-0000-0000-0000CE000000}"/>
    <cellStyle name="_BOQ -26-02-10" xfId="307" xr:uid="{00000000-0005-0000-0000-0000CF000000}"/>
    <cellStyle name="_BOQ 3 1" xfId="308" xr:uid="{00000000-0005-0000-0000-0000D0000000}"/>
    <cellStyle name="_BOQ CIVIL_final 15 3 11" xfId="309" xr:uid="{00000000-0005-0000-0000-0000D1000000}"/>
    <cellStyle name="_BOQ FOR HOTEL BLOCK - 18.10.08 - AHC" xfId="310" xr:uid="{00000000-0005-0000-0000-0000D2000000}"/>
    <cellStyle name="_BOQ FOR OFFICE LEVELS" xfId="311" xr:uid="{00000000-0005-0000-0000-0000D3000000}"/>
    <cellStyle name="_BOQ RATE" xfId="312" xr:uid="{00000000-0005-0000-0000-0000D4000000}"/>
    <cellStyle name="_BOQ WITH MEAS OF EXT BOQ-23.02.11 TO HSA" xfId="313" xr:uid="{00000000-0005-0000-0000-0000D5000000}"/>
    <cellStyle name="_BOQ WITH MEASUREMENT - CIVIL FINISHING WORK - 04.01.2008" xfId="314" xr:uid="{00000000-0005-0000-0000-0000D6000000}"/>
    <cellStyle name="_BOQ_Cement reconcilation  up to Nov 2011" xfId="315" xr:uid="{00000000-0005-0000-0000-0000D7000000}"/>
    <cellStyle name="_BOQ-Chennai Tech park -IBMS-18-04-07" xfId="316" xr:uid="{00000000-0005-0000-0000-0000D8000000}"/>
    <cellStyle name="_BOQ-IIT-SCPL-25.12.08" xfId="317" xr:uid="{00000000-0005-0000-0000-0000D9000000}"/>
    <cellStyle name="_BOQ-IIT-SCPL-R2-EXCLUING BLDG." xfId="318" xr:uid="{00000000-0005-0000-0000-0000DA000000}"/>
    <cellStyle name="_BOQ-IIT-SCPL-R3-for B2 Bldg.-external development" xfId="319" xr:uid="{00000000-0005-0000-0000-0000DB000000}"/>
    <cellStyle name="_BOQ-IIT-SCPL-R3-for B3 Bldg.-external development" xfId="320" xr:uid="{00000000-0005-0000-0000-0000DC000000}"/>
    <cellStyle name="_BOQ-IIT-SCPL-R5-for B2 Bldg.-external development-26.06.09" xfId="321" xr:uid="{00000000-0005-0000-0000-0000DD000000}"/>
    <cellStyle name="_BOQ-IIT-SCPL-R5-for B3 Bldg.-external development-26.06.09" xfId="322" xr:uid="{00000000-0005-0000-0000-0000DE000000}"/>
    <cellStyle name="_BOQ-IIT-SCPL-R6-for B3 Bldg.-external development-13.08.09" xfId="323" xr:uid="{00000000-0005-0000-0000-0000DF000000}"/>
    <cellStyle name="_BOQ-IIT-SCPL-REVISED-R2-FOR BLDG-as per various lvls" xfId="324" xr:uid="{00000000-0005-0000-0000-0000E0000000}"/>
    <cellStyle name="_BOQ-IIT-SCPL-REVISED-R3-FOR BLDG-2-as per various lvls" xfId="325" xr:uid="{00000000-0005-0000-0000-0000E1000000}"/>
    <cellStyle name="_BOQ-IIT-SCPL-REVISED-R5-FOR BLDG-2-as per various lvls-26.06.09" xfId="326" xr:uid="{00000000-0005-0000-0000-0000E2000000}"/>
    <cellStyle name="_BOQ-Paint  shop" xfId="327" xr:uid="{00000000-0005-0000-0000-0000E3000000}"/>
    <cellStyle name="_BOQ-Paint  shop_pl Scope vs Front" xfId="328" xr:uid="{00000000-0005-0000-0000-0000E4000000}"/>
    <cellStyle name="_BPCL - Mumbai HP  25.07.05 Email" xfId="329" xr:uid="{00000000-0005-0000-0000-0000E5000000}"/>
    <cellStyle name="_Break UP - Final" xfId="330" xr:uid="{00000000-0005-0000-0000-0000E6000000}"/>
    <cellStyle name="_budget forecast_rev1_dec'08 (3) (3)" xfId="331" xr:uid="{00000000-0005-0000-0000-0000E7000000}"/>
    <cellStyle name="_budget forecast_rev1_dec'08 (3) (3) 2" xfId="332" xr:uid="{00000000-0005-0000-0000-0000E8000000}"/>
    <cellStyle name="_budget forecast_rev1_dec'08 (3) (3)_Item Rate Client Bill RA-7 Dec.10 (SBM Homes)" xfId="333" xr:uid="{00000000-0005-0000-0000-0000E9000000}"/>
    <cellStyle name="_budget forecast_rev1_dec'08 (3) (3)_Labour Camp Detail" xfId="334" xr:uid="{00000000-0005-0000-0000-0000EA000000}"/>
    <cellStyle name="_budget noida mall _ structre and rough finish" xfId="335" xr:uid="{00000000-0005-0000-0000-0000EB000000}"/>
    <cellStyle name="_Budget sumaary updated up to Jan-08" xfId="336" xr:uid="{00000000-0005-0000-0000-0000EC000000}"/>
    <cellStyle name="_Budget sumaary updated up to Jan-08 2" xfId="337" xr:uid="{00000000-0005-0000-0000-0000ED000000}"/>
    <cellStyle name="_Budget sumaary updated up to Jan-08_Amend 2 DPL CONTRACT" xfId="338" xr:uid="{00000000-0005-0000-0000-0000EE000000}"/>
    <cellStyle name="_Budget sumaary updated up to Jan-08_Item Rate Client Bill RA-7 Dec.10 (SBM Homes)" xfId="339" xr:uid="{00000000-0005-0000-0000-0000EF000000}"/>
    <cellStyle name="_Budget sumaary updated up to Jan-08_Labour Camp Detail" xfId="340" xr:uid="{00000000-0005-0000-0000-0000F0000000}"/>
    <cellStyle name="_Budget_Elphinstone_updated_30 June 2009." xfId="341" xr:uid="{00000000-0005-0000-0000-0000F1000000}"/>
    <cellStyle name="_Budgets given by Biju for Business plan-08-09" xfId="342" xr:uid="{00000000-0005-0000-0000-0000F2000000}"/>
    <cellStyle name="_BUILTUP AREA-16-12-08 PD" xfId="343" xr:uid="{00000000-0005-0000-0000-0000F3000000}"/>
    <cellStyle name="_Bulk &amp; Steel Reconciliation (KC665) April'2010" xfId="344" xr:uid="{00000000-0005-0000-0000-0000F4000000}"/>
    <cellStyle name="_Business plan-08-09" xfId="345" xr:uid="{00000000-0005-0000-0000-0000F5000000}"/>
    <cellStyle name="_C&amp;H-24-09-07" xfId="346" xr:uid="{00000000-0005-0000-0000-0000F6000000}"/>
    <cellStyle name="_CA Campus" xfId="347" xr:uid="{00000000-0005-0000-0000-0000F7000000}"/>
    <cellStyle name="_Calcutta Airport Analysis 12-06-2008" xfId="348" xr:uid="{00000000-0005-0000-0000-0000F8000000}"/>
    <cellStyle name="_CANARA BANK281105" xfId="349" xr:uid="{00000000-0005-0000-0000-0000F9000000}"/>
    <cellStyle name="_certified santech bill-3" xfId="350" xr:uid="{00000000-0005-0000-0000-0000FA000000}"/>
    <cellStyle name="_Change Order" xfId="351" xr:uid="{00000000-0005-0000-0000-0000FB000000}"/>
    <cellStyle name="_Change Order TA" xfId="352" xr:uid="{00000000-0005-0000-0000-0000FC000000}"/>
    <cellStyle name="_Change Order TA_Book2" xfId="353" xr:uid="{00000000-0005-0000-0000-0000FD000000}"/>
    <cellStyle name="_Change Order TA_Book2 2" xfId="354" xr:uid="{00000000-0005-0000-0000-0000FE000000}"/>
    <cellStyle name="_Change Order_Book2" xfId="355" xr:uid="{00000000-0005-0000-0000-0000FF000000}"/>
    <cellStyle name="_Change Order_Book2 2" xfId="356" xr:uid="{00000000-0005-0000-0000-000000010000}"/>
    <cellStyle name="_CHANGES  in B-Block" xfId="357" xr:uid="{00000000-0005-0000-0000-000001010000}"/>
    <cellStyle name="_Charkop Finishing1" xfId="358" xr:uid="{00000000-0005-0000-0000-000002010000}"/>
    <cellStyle name="_chattishgarh road work analysis" xfId="359" xr:uid="{00000000-0005-0000-0000-000003010000}"/>
    <cellStyle name="_chattishgarh road work analysis_pl Scope vs Front" xfId="360" xr:uid="{00000000-0005-0000-0000-000004010000}"/>
    <cellStyle name="_Chennai IT Disallowed- (Jul- Jan 08)-final" xfId="361" xr:uid="{00000000-0005-0000-0000-000005010000}"/>
    <cellStyle name="_Chennai schedule of Quantities" xfId="362" xr:uid="{00000000-0005-0000-0000-000006010000}"/>
    <cellStyle name="_CIDCO-BC&amp;EH-SCHEDULE-A-13 E 2008" xfId="363" xr:uid="{00000000-0005-0000-0000-000007010000}"/>
    <cellStyle name="_Civil 09(1).01.09" xfId="364" xr:uid="{00000000-0005-0000-0000-000008010000}"/>
    <cellStyle name="_Civil BOQ" xfId="365" xr:uid="{00000000-0005-0000-0000-000009010000}"/>
    <cellStyle name="_CIVIL Work-ACE TC-II Powai(E)" xfId="366" xr:uid="{00000000-0005-0000-0000-00000A010000}"/>
    <cellStyle name="_Client Bill Details " xfId="367" xr:uid="{00000000-0005-0000-0000-00000B010000}"/>
    <cellStyle name="_Client sales -Hq review 16th Feb-06" xfId="368" xr:uid="{00000000-0005-0000-0000-00000C010000}"/>
    <cellStyle name="_Col.steel cal.-14.07.09" xfId="369" xr:uid="{00000000-0005-0000-0000-00000D010000}"/>
    <cellStyle name="_Comma" xfId="370" xr:uid="{00000000-0005-0000-0000-00000E010000}"/>
    <cellStyle name="_Comments &amp; Highlights-BMS-3-08-07" xfId="371" xr:uid="{00000000-0005-0000-0000-00000F010000}"/>
    <cellStyle name="_COMMERZ 2  3 CASH FLOW" xfId="372" xr:uid="{00000000-0005-0000-0000-000010010000}"/>
    <cellStyle name="_common folder report nov 08" xfId="373" xr:uid="{00000000-0005-0000-0000-000011010000}"/>
    <cellStyle name="_Comparative JNS" xfId="374" xr:uid="{00000000-0005-0000-0000-000012010000}"/>
    <cellStyle name="_Construction budget_Jul 2010" xfId="375" xr:uid="{00000000-0005-0000-0000-000013010000}"/>
    <cellStyle name="_contract boq DT " xfId="376" xr:uid="{00000000-0005-0000-0000-000014010000}"/>
    <cellStyle name="_Contract Review Jasola-April-08 13-05-2008" xfId="377" xr:uid="{00000000-0005-0000-0000-000015010000}"/>
    <cellStyle name="_Contract Review Jasola-May-08 11-06-2008" xfId="378" xr:uid="{00000000-0005-0000-0000-000016010000}"/>
    <cellStyle name="_Convergys India Service Ltd. , Hyderabad ( Working )" xfId="379" xr:uid="{00000000-0005-0000-0000-000017010000}"/>
    <cellStyle name="_Copy of  performance report Dec 08" xfId="380" xr:uid="{00000000-0005-0000-0000-000018010000}"/>
    <cellStyle name="_Copy of  performance report feb 09" xfId="381" xr:uid="{00000000-0005-0000-0000-000019010000}"/>
    <cellStyle name="_Copy of  performance report Jan 09" xfId="382" xr:uid="{00000000-0005-0000-0000-00001A010000}"/>
    <cellStyle name="_Copy of Business plan-08-09-Construction cost" xfId="383" xr:uid="{00000000-0005-0000-0000-00001B010000}"/>
    <cellStyle name="_Copy of Copy of concrete prod. report sep 08" xfId="384" xr:uid="{00000000-0005-0000-0000-00001C010000}"/>
    <cellStyle name="_Copy of fuel report sep 08" xfId="385" xr:uid="{00000000-0005-0000-0000-00001D010000}"/>
    <cellStyle name="_Copy of Fund Analysis" xfId="386" xr:uid="{00000000-0005-0000-0000-00001E010000}"/>
    <cellStyle name="_Copy of LOR STAFF-Surplus after 31-05-08" xfId="387" xr:uid="{00000000-0005-0000-0000-00001F010000}"/>
    <cellStyle name="_Copy of LOR STAFF-Surplus after 31-05-08 2" xfId="388" xr:uid="{00000000-0005-0000-0000-000020010000}"/>
    <cellStyle name="_Copy of LOR STAFF-Surplus after 31-05-08_Amend 2 DPL CONTRACT" xfId="389" xr:uid="{00000000-0005-0000-0000-000021010000}"/>
    <cellStyle name="_Copy of LOR STAFF-Surplus after 31-05-08_Item Rate Client Bill RA-7 Dec.10 (SBM Homes)" xfId="390" xr:uid="{00000000-0005-0000-0000-000022010000}"/>
    <cellStyle name="_Copy of LOR STAFF-Surplus after 31-05-08_Labour Camp Detail" xfId="391" xr:uid="{00000000-0005-0000-0000-000023010000}"/>
    <cellStyle name="_Copy of LOR STAFF-Surplus after 31-05-08_SBM School 6th RA Bill 09 Feb-10 Rev" xfId="392" xr:uid="{00000000-0005-0000-0000-000024010000}"/>
    <cellStyle name="_Copy of Monthly Progress Report  DLF Infocity - Chennai July 08 " xfId="393" xr:uid="{00000000-0005-0000-0000-000025010000}"/>
    <cellStyle name="_Copy of MPS_3 NEW" xfId="394" xr:uid="{00000000-0005-0000-0000-000026010000}"/>
    <cellStyle name="_Copy of MR OCT'08 IT Chennai" xfId="395" xr:uid="{00000000-0005-0000-0000-000027010000}"/>
    <cellStyle name="_Copy of Purchase report for the month of Aug'08 (4)" xfId="396" xr:uid="{00000000-0005-0000-0000-000028010000}"/>
    <cellStyle name="_Copy of Rate analysis concrete (WO Cement) adjusted" xfId="397" xr:uid="{00000000-0005-0000-0000-000029010000}"/>
    <cellStyle name="_Copy of Rec  Summary Dec-07" xfId="398" xr:uid="{00000000-0005-0000-0000-00002A010000}"/>
    <cellStyle name="_Copy of Rec  Summary Dec-07 2" xfId="399" xr:uid="{00000000-0005-0000-0000-00002B010000}"/>
    <cellStyle name="_Copy of Rec  Summary Dec-07_Item Rate Client Bill RA-7 Dec.10 (SBM Homes)" xfId="400" xr:uid="{00000000-0005-0000-0000-00002C010000}"/>
    <cellStyle name="_Copy of Rec  Summary Dec-07_Labour Camp Detail" xfId="401" xr:uid="{00000000-0005-0000-0000-00002D010000}"/>
    <cellStyle name="_Copy of Rec  Summary Dec-07_Material Reco March-2011 (Homes)" xfId="402" xr:uid="{00000000-0005-0000-0000-00002E010000}"/>
    <cellStyle name="_Copy of Rec  Summary Dec-07_Monthly Progress Report - MPR" xfId="403" xr:uid="{00000000-0005-0000-0000-00002F010000}"/>
    <cellStyle name="_Copy of Rec  Summary Dec-07_Monthly Progress Report - MPR VV" xfId="404" xr:uid="{00000000-0005-0000-0000-000030010000}"/>
    <cellStyle name="_Copy of Rec  Summary Dec-07_SAFETY RECORD FOR THE MONTH OF May,  2011 - MPR" xfId="405" xr:uid="{00000000-0005-0000-0000-000031010000}"/>
    <cellStyle name="_Copy of Rec  Summary Dec-07_SAFETY RECORD FOR THE MONTH OFApril, 2011 - MPR" xfId="406" xr:uid="{00000000-0005-0000-0000-000032010000}"/>
    <cellStyle name="_Copy of Rec  Summary Dec-07_Sectional Progress 1 July 09 onwards" xfId="407" xr:uid="{00000000-0005-0000-0000-000033010000}"/>
    <cellStyle name="_Copy of Rec  Summary Dec-07_Weekly Photos 1 July 09 onwards" xfId="408" xr:uid="{00000000-0005-0000-0000-000034010000}"/>
    <cellStyle name="_Copy of Rec  Summary Dec-07_WPR 26-1 Nov 2009" xfId="409" xr:uid="{00000000-0005-0000-0000-000035010000}"/>
    <cellStyle name="_Copy of Rec  Summary Dec-07_WPR Magnolias 2009" xfId="410" xr:uid="{00000000-0005-0000-0000-000036010000}"/>
    <cellStyle name="_Copy of Rec-Feb-08" xfId="411" xr:uid="{00000000-0005-0000-0000-000037010000}"/>
    <cellStyle name="_Copy of Rec-Feb-08_Material Reco March-2011 (Homes)" xfId="412" xr:uid="{00000000-0005-0000-0000-000038010000}"/>
    <cellStyle name="_Copy of Rec-Feb-08_Monthly Progress Report - MPR" xfId="413" xr:uid="{00000000-0005-0000-0000-000039010000}"/>
    <cellStyle name="_Copy of Rec-Feb-08_Monthly Progress Report - MPR VV" xfId="414" xr:uid="{00000000-0005-0000-0000-00003A010000}"/>
    <cellStyle name="_Copy of Rec-Feb-08_SAFETY RECORD FOR THE MONTH OF May,  2011 - MPR" xfId="415" xr:uid="{00000000-0005-0000-0000-00003B010000}"/>
    <cellStyle name="_Copy of Rec-Feb-08_SAFETY RECORD FOR THE MONTH OFApril, 2011 - MPR" xfId="416" xr:uid="{00000000-0005-0000-0000-00003C010000}"/>
    <cellStyle name="_Copy of Rec-Feb-08_Sectional Progress 1 July 09 onwards" xfId="417" xr:uid="{00000000-0005-0000-0000-00003D010000}"/>
    <cellStyle name="_Copy of Rec-Feb-08_Weekly Photos 1 July 09 onwards" xfId="418" xr:uid="{00000000-0005-0000-0000-00003E010000}"/>
    <cellStyle name="_Copy of Rec-Feb-08_WPR 26-1 Nov 2009" xfId="419" xr:uid="{00000000-0005-0000-0000-00003F010000}"/>
    <cellStyle name="_Copy of Rec-Feb-08_WPR Magnolias 2009" xfId="420" xr:uid="{00000000-0005-0000-0000-000040010000}"/>
    <cellStyle name="_Copy of Revised 1 aadarsh09.12.06" xfId="421" xr:uid="{00000000-0005-0000-0000-000041010000}"/>
    <cellStyle name="_Copy of urban wod ra.-14 SUBMITTED" xfId="422" xr:uid="{00000000-0005-0000-0000-000042010000}"/>
    <cellStyle name="_Copy of Vytilla Jan09_Cash flow" xfId="423" xr:uid="{00000000-0005-0000-0000-000043010000}"/>
    <cellStyle name="_CorrFinisTTPh10-10-11-123" xfId="424" xr:uid="{00000000-0005-0000-0000-000044010000}"/>
    <cellStyle name="_Cost allocation  budget 11.07" xfId="425" xr:uid="{00000000-0005-0000-0000-000045010000}"/>
    <cellStyle name="_Cost allocation  budget 11.07 2" xfId="426" xr:uid="{00000000-0005-0000-0000-000046010000}"/>
    <cellStyle name="_Cost allocation  budget 11.07_Item Rate Client Bill RA-7 Dec.10 (SBM Homes)" xfId="427" xr:uid="{00000000-0005-0000-0000-000047010000}"/>
    <cellStyle name="_Cost allocation  budget 11.07_Labour Camp Detail" xfId="428" xr:uid="{00000000-0005-0000-0000-000048010000}"/>
    <cellStyle name="_Cost code- KC 661" xfId="429" xr:uid="{00000000-0005-0000-0000-000049010000}"/>
    <cellStyle name="_Cost comp. as per LOI" xfId="430" xr:uid="{00000000-0005-0000-0000-00004A010000}"/>
    <cellStyle name="_Cost to be incurred Ajit" xfId="431" xr:uid="{00000000-0005-0000-0000-00004B010000}"/>
    <cellStyle name="_Crest workshop plan- MASONRY-Zone 3" xfId="432" xr:uid="{00000000-0005-0000-0000-00004C010000}"/>
    <cellStyle name="_Cumulative ACE- TC2" xfId="433" xr:uid="{00000000-0005-0000-0000-00004D010000}"/>
    <cellStyle name="_Currency" xfId="434" xr:uid="{00000000-0005-0000-0000-00004E010000}"/>
    <cellStyle name="_CurrencySpace" xfId="435" xr:uid="{00000000-0005-0000-0000-00004F010000}"/>
    <cellStyle name="_Cwip-July-05" xfId="436" xr:uid="{00000000-0005-0000-0000-000050010000}"/>
    <cellStyle name="_Depreciation Dinesh" xfId="437" xr:uid="{00000000-0005-0000-0000-000051010000}"/>
    <cellStyle name="_Detail of Rentals &amp; dismentling work at magnolias to complete the costplus contract" xfId="438" xr:uid="{00000000-0005-0000-0000-000052010000}"/>
    <cellStyle name="_Detail of Rentals &amp; dismentling work at magnolias to complete the costplus contract_Book2" xfId="439" xr:uid="{00000000-0005-0000-0000-000053010000}"/>
    <cellStyle name="_Detail of Rentals &amp; dismentling work at magnolias to complete the costplus contract_Book2 2" xfId="440" xr:uid="{00000000-0005-0000-0000-000054010000}"/>
    <cellStyle name="_DIAL Fire Station LMP STC" xfId="441" xr:uid="{00000000-0005-0000-0000-000055010000}"/>
    <cellStyle name="_DIAL Terminal T3 - Structure  final 12th Jul-07 for Client" xfId="442" xr:uid="{00000000-0005-0000-0000-000056010000}"/>
    <cellStyle name="_DIAL-Compressed air sys boq SMFS-24-08-07- LMP-WO taxes" xfId="443" xr:uid="{00000000-0005-0000-0000-000057010000}"/>
    <cellStyle name="_DIAL-Costworkings 4th Dec 2006" xfId="444" xr:uid="{00000000-0005-0000-0000-000058010000}"/>
    <cellStyle name="_dlf budget" xfId="445" xr:uid="{00000000-0005-0000-0000-000059010000}"/>
    <cellStyle name="_DRAFT BOQ" xfId="446" xr:uid="{00000000-0005-0000-0000-00005A010000}"/>
    <cellStyle name="_DRAFT BOQ OF GIRLS HOSTEL - 21.12.09" xfId="447" xr:uid="{00000000-0005-0000-0000-00005B010000}"/>
    <cellStyle name="_DRAFT BOQ-GLAZING-STAGE WISE-05.07.08-DVJ" xfId="448" xr:uid="{00000000-0005-0000-0000-00005C010000}"/>
    <cellStyle name="_Draft Budget - 15 Acre" xfId="449" xr:uid="{00000000-0005-0000-0000-00005D010000}"/>
    <cellStyle name="_Draft Budget - 15 Acre 2" xfId="450" xr:uid="{00000000-0005-0000-0000-00005E010000}"/>
    <cellStyle name="_Draft Budget - 15 Acre_Item Rate Client Bill RA-7 Dec.10 (SBM Homes)" xfId="451" xr:uid="{00000000-0005-0000-0000-00005F010000}"/>
    <cellStyle name="_Draft Budget - 15 Acre_Labour Camp Detail" xfId="452" xr:uid="{00000000-0005-0000-0000-000060010000}"/>
    <cellStyle name="_Drawing" xfId="453" xr:uid="{00000000-0005-0000-0000-000061010000}"/>
    <cellStyle name="_DRY CLADDING RATE ANALYSIS" xfId="454" xr:uid="{00000000-0005-0000-0000-000062010000}"/>
    <cellStyle name="_E &amp; G BLOCK CIVIL ABSTRACT 1" xfId="455" xr:uid="{00000000-0005-0000-0000-000063010000}"/>
    <cellStyle name="_EFC_221107 Rev1" xfId="456" xr:uid="{00000000-0005-0000-0000-000064010000}"/>
    <cellStyle name="_EKTA SALE COMP Incl Taxes R02 270310 " xfId="457" xr:uid="{00000000-0005-0000-0000-000065010000}"/>
    <cellStyle name="_Elanza Costing for Dec09(R-3)" xfId="458" xr:uid="{00000000-0005-0000-0000-000066010000}"/>
    <cellStyle name="_Elanza-finishing (Main)" xfId="459" xr:uid="{00000000-0005-0000-0000-000067010000}"/>
    <cellStyle name="_Elanza-main" xfId="460" xr:uid="{00000000-0005-0000-0000-000068010000}"/>
    <cellStyle name="_Electrical Offer Sent to Contracts (06.02.09)" xfId="461" xr:uid="{00000000-0005-0000-0000-000069010000}"/>
    <cellStyle name="_Electrical Work-summary" xfId="462" xr:uid="{00000000-0005-0000-0000-00006A010000}"/>
    <cellStyle name="_Elevated Ramp" xfId="463" xr:uid="{00000000-0005-0000-0000-00006B010000}"/>
    <cellStyle name="_Emaar Hyd IT Cost Reduction by reducing floor height 4.1 to 3.8 m" xfId="464" xr:uid="{00000000-0005-0000-0000-00006C010000}"/>
    <cellStyle name="_ESTIMATE" xfId="465" xr:uid="{00000000-0005-0000-0000-00006D010000}"/>
    <cellStyle name="_ESTIMATE - 25.07.08" xfId="466" xr:uid="{00000000-0005-0000-0000-00006E010000}"/>
    <cellStyle name="_ESTIMATE FOR GIRL'S HOSTEL BLOCK-25.12.09" xfId="467" xr:uid="{00000000-0005-0000-0000-00006F010000}"/>
    <cellStyle name="_ESTIMATE WITH MEASUREMENT SHEET - ARCH.-18.11.08-" xfId="468" xr:uid="{00000000-0005-0000-0000-000070010000}"/>
    <cellStyle name="_ESTIMATE-15.10.09" xfId="469" xr:uid="{00000000-0005-0000-0000-000071010000}"/>
    <cellStyle name="_ESTIMATE-29.08.08-CENTRAL PURCHASE STORE" xfId="470" xr:uid="{00000000-0005-0000-0000-000072010000}"/>
    <cellStyle name="_ESTIMATE-CANTEEN" xfId="471" xr:uid="{00000000-0005-0000-0000-000073010000}"/>
    <cellStyle name="_ESTIMATE-CANTEEN_ESTIMATE- RTC CREST ANNEX-20-02-10-SSA" xfId="472" xr:uid="{00000000-0005-0000-0000-000074010000}"/>
    <cellStyle name="_ESTIMATE-CANTEEN_RA_MKT_INTERIOR" xfId="473" xr:uid="{00000000-0005-0000-0000-000075010000}"/>
    <cellStyle name="_ESTIMATE-CANTEEN_RA-MKT" xfId="474" xr:uid="{00000000-0005-0000-0000-000076010000}"/>
    <cellStyle name="_ESTIMATE-CANTEEN_REV.EST" xfId="475" xr:uid="{00000000-0005-0000-0000-000077010000}"/>
    <cellStyle name="_ESTIMATE-CANTEEN_REV.ESTIMATE" xfId="476" xr:uid="{00000000-0005-0000-0000-000078010000}"/>
    <cellStyle name="_ESTIMATE-CLUB HOUSE PUNE-NIRMAL-15-07-10-R2" xfId="477" xr:uid="{00000000-0005-0000-0000-000079010000}"/>
    <cellStyle name="_Estimated costs_Vadodara" xfId="478" xr:uid="{00000000-0005-0000-0000-00007A010000}"/>
    <cellStyle name="_ESTIMATE-ESG-I-09.09.08" xfId="479" xr:uid="{00000000-0005-0000-0000-00007B010000}"/>
    <cellStyle name="_ESTIMATE-ESG-I-09.09.08_ESTIMATE- RTC CREST ANNEX-20-02-10-SSA" xfId="480" xr:uid="{00000000-0005-0000-0000-00007C010000}"/>
    <cellStyle name="_ESTIMATE-ESG-I-09.09.08_RA_MKT_INTERIOR" xfId="481" xr:uid="{00000000-0005-0000-0000-00007D010000}"/>
    <cellStyle name="_ESTIMATE-ESG-I-09.09.08_RA-MKT" xfId="482" xr:uid="{00000000-0005-0000-0000-00007E010000}"/>
    <cellStyle name="_ESTIMATE-ESG-I-09.09.08_REV.EST" xfId="483" xr:uid="{00000000-0005-0000-0000-00007F010000}"/>
    <cellStyle name="_ESTIMATE-ESG-I-09.09.08_REV.ESTIMATE" xfId="484" xr:uid="{00000000-0005-0000-0000-000080010000}"/>
    <cellStyle name="_ESTIMATE-LIBRARY" xfId="485" xr:uid="{00000000-0005-0000-0000-000081010000}"/>
    <cellStyle name="_ESTIMATE-LIBRARY_ESTIMATE- RTC CREST ANNEX-20-02-10-SSA" xfId="486" xr:uid="{00000000-0005-0000-0000-000082010000}"/>
    <cellStyle name="_ESTIMATE-LIBRARY_RA_MKT_INTERIOR" xfId="487" xr:uid="{00000000-0005-0000-0000-000083010000}"/>
    <cellStyle name="_ESTIMATE-LIBRARY_RA-MKT" xfId="488" xr:uid="{00000000-0005-0000-0000-000084010000}"/>
    <cellStyle name="_ESTIMATE-LIBRARY_REV.EST" xfId="489" xr:uid="{00000000-0005-0000-0000-000085010000}"/>
    <cellStyle name="_ESTIMATE-LIBRARY_REV.ESTIMATE" xfId="490" xr:uid="{00000000-0005-0000-0000-000086010000}"/>
    <cellStyle name="_ESTIMATE-RTC AND CRES ANNEX" xfId="491" xr:uid="{00000000-0005-0000-0000-000087010000}"/>
    <cellStyle name="_ESTIMATE-RTC AND CRES ANNEX_ESTIMATE- RTC CREST ANNEX-20-02-10-SSA" xfId="492" xr:uid="{00000000-0005-0000-0000-000088010000}"/>
    <cellStyle name="_ESTIMATE-RTC AND CRES ANNEX_RA_MKT_INTERIOR" xfId="493" xr:uid="{00000000-0005-0000-0000-000089010000}"/>
    <cellStyle name="_ESTIMATE-RTC AND CRES ANNEX_RA-MKT" xfId="494" xr:uid="{00000000-0005-0000-0000-00008A010000}"/>
    <cellStyle name="_ESTIMATE-RTC AND CRES ANNEX_REV.EST" xfId="495" xr:uid="{00000000-0005-0000-0000-00008B010000}"/>
    <cellStyle name="_ESTIMATE-RTC AND CRES ANNEX_REV.ESTIMATE" xfId="496" xr:uid="{00000000-0005-0000-0000-00008C010000}"/>
    <cellStyle name="_EST-SHORE PILING-24.09.10" xfId="497" xr:uid="{00000000-0005-0000-0000-00008D010000}"/>
    <cellStyle name="_ET_STYLE_NoName_00_" xfId="498" xr:uid="{00000000-0005-0000-0000-00008E010000}"/>
    <cellStyle name="_eta" xfId="499" xr:uid="{00000000-0005-0000-0000-00008F010000}"/>
    <cellStyle name="_ETA_RAB1_certified" xfId="500" xr:uid="{00000000-0005-0000-0000-000090010000}"/>
    <cellStyle name="_ETISALAT-FINISHING BOQ" xfId="501" xr:uid="{00000000-0005-0000-0000-000091010000}"/>
    <cellStyle name="_Euro" xfId="502" xr:uid="{00000000-0005-0000-0000-000092010000}"/>
    <cellStyle name="_Expenses_IWSL_3344_30 Nov 09" xfId="503" xr:uid="{00000000-0005-0000-0000-000093010000}"/>
    <cellStyle name="_Expenses_IWSL_3344_31 Dec 09" xfId="504" xr:uid="{00000000-0005-0000-0000-000094010000}"/>
    <cellStyle name="_ExPRESS GREENS  M-1A for contracts - schedule rates Jan 09 and As per Sec 90    " xfId="505" xr:uid="{00000000-0005-0000-0000-000095010000}"/>
    <cellStyle name="_External Works" xfId="506" xr:uid="{00000000-0005-0000-0000-000096010000}"/>
    <cellStyle name="_External Works BOQ's" xfId="507" xr:uid="{00000000-0005-0000-0000-000097010000}"/>
    <cellStyle name="_FINAL BASEMENT E beam &amp; slab" xfId="508" xr:uid="{00000000-0005-0000-0000-000098010000}"/>
    <cellStyle name="_final Budget 06.08.08" xfId="509" xr:uid="{00000000-0005-0000-0000-000099010000}"/>
    <cellStyle name="_FINAL ETA" xfId="510" xr:uid="{00000000-0005-0000-0000-00009A010000}"/>
    <cellStyle name="_Final Report-JUne 07" xfId="511" xr:uid="{00000000-0005-0000-0000-00009B010000}"/>
    <cellStyle name="_Final Report-JUne 07_Amend 2 DPL CONTRACT" xfId="512" xr:uid="{00000000-0005-0000-0000-00009C010000}"/>
    <cellStyle name="_Final VGN ZCR" xfId="513" xr:uid="{00000000-0005-0000-0000-00009D010000}"/>
    <cellStyle name="_Finishing (BOQ - Bld 01 &amp; 02)" xfId="514" xr:uid="{00000000-0005-0000-0000-00009E010000}"/>
    <cellStyle name="_FINISHING SCHEDULE-GURGAON-January-2009" xfId="515" xr:uid="{00000000-0005-0000-0000-00009F010000}"/>
    <cellStyle name="_Fire Alarm-REV-B-19-09-07-LMP-WO TAXES" xfId="516" xr:uid="{00000000-0005-0000-0000-0000A0010000}"/>
    <cellStyle name="_Fire Fighting Works" xfId="517" xr:uid="{00000000-0005-0000-0000-0000A1010000}"/>
    <cellStyle name="_Fire Protection-WO taxes" xfId="518" xr:uid="{00000000-0005-0000-0000-0000A2010000}"/>
    <cellStyle name="_Fixed Assets  30-09-2007 Final1" xfId="519" xr:uid="{00000000-0005-0000-0000-0000A3010000}"/>
    <cellStyle name="_Form 3cd" xfId="520" xr:uid="{00000000-0005-0000-0000-0000A4010000}"/>
    <cellStyle name="_Form 3cd_Bill Magnolias RA Bill No 38  Dec-09" xfId="521" xr:uid="{00000000-0005-0000-0000-0000A5010000}"/>
    <cellStyle name="_Form 3cd_Bill Magnolias RA Bill No 38 Dec-09" xfId="522" xr:uid="{00000000-0005-0000-0000-0000A6010000}"/>
    <cellStyle name="_Form 3cd_UPFRONT BILLING" xfId="523" xr:uid="{00000000-0005-0000-0000-0000A7010000}"/>
    <cellStyle name="_Formats-Utilisation" xfId="524" xr:uid="{00000000-0005-0000-0000-0000A8010000}"/>
    <cellStyle name="_FPA - Working" xfId="525" xr:uid="{00000000-0005-0000-0000-0000A9010000}"/>
    <cellStyle name="_FPA - Working_pl Scope vs Front" xfId="526" xr:uid="{00000000-0005-0000-0000-0000AA010000}"/>
    <cellStyle name="_Full  Contract  09.12.10. -" xfId="527" xr:uid="{00000000-0005-0000-0000-0000AB010000}"/>
    <cellStyle name="_Glaxo-Smithkline" xfId="528" xr:uid="{00000000-0005-0000-0000-0000AC010000}"/>
    <cellStyle name="_Global (Harayana) 16.11.05" xfId="529" xr:uid="{00000000-0005-0000-0000-0000AD010000}"/>
    <cellStyle name="_Global Hospital  - 16.10.07" xfId="530" xr:uid="{00000000-0005-0000-0000-0000AE010000}"/>
    <cellStyle name="_Google" xfId="531" xr:uid="{00000000-0005-0000-0000-0000AF010000}"/>
    <cellStyle name="_H P campus" xfId="532" xr:uid="{00000000-0005-0000-0000-0000B0010000}"/>
    <cellStyle name="_H.P. - Brigade Hul-Kul-Bills" xfId="533" xr:uid="{00000000-0005-0000-0000-0000B1010000}"/>
    <cellStyle name="_H.P. - Brigade Hul-Kul-Bills_Exora_Business_Park_Analysis_with_Cement_and_steel_KRRC_SNS 22.01.09" xfId="534" xr:uid="{00000000-0005-0000-0000-0000B2010000}"/>
    <cellStyle name="_Heading" xfId="535" xr:uid="{00000000-0005-0000-0000-0000B3010000}"/>
    <cellStyle name="_Highlight" xfId="536" xr:uid="{00000000-0005-0000-0000-0000B4010000}"/>
    <cellStyle name="_Himdri Budget" xfId="537" xr:uid="{00000000-0005-0000-0000-0000B5010000}"/>
    <cellStyle name="_HVAC -ACE_TC2" xfId="538" xr:uid="{00000000-0005-0000-0000-0000B6010000}"/>
    <cellStyle name="_HVAC BOQ_Final-ACE" xfId="539" xr:uid="{00000000-0005-0000-0000-0000B7010000}"/>
    <cellStyle name="_HVAC BOQ_TCII" xfId="540" xr:uid="{00000000-0005-0000-0000-0000B8010000}"/>
    <cellStyle name="_HVAC Work" xfId="541" xr:uid="{00000000-0005-0000-0000-0000B9010000}"/>
    <cellStyle name="_HYD AIRPORT -R2 - 08-09-05 - SOFT" xfId="542" xr:uid="{00000000-0005-0000-0000-0000BA010000}"/>
    <cellStyle name="_Hyderabad WO" xfId="543" xr:uid="{00000000-0005-0000-0000-0000BB010000}"/>
    <cellStyle name="_IBM Green Interior BOQ 11-02-09" xfId="544" xr:uid="{00000000-0005-0000-0000-0000BC010000}"/>
    <cellStyle name="_IBP I Hotel  Commerz" xfId="545" xr:uid="{00000000-0005-0000-0000-0000BD010000}"/>
    <cellStyle name="_Infocity - Chenna  1i (2)" xfId="546" xr:uid="{00000000-0005-0000-0000-0000BE010000}"/>
    <cellStyle name="_Infocity - Chenna  1i (2)1" xfId="547" xr:uid="{00000000-0005-0000-0000-0000BF010000}"/>
    <cellStyle name="_Infocity -Chennai January '09" xfId="548" xr:uid="{00000000-0005-0000-0000-0000C0010000}"/>
    <cellStyle name="_Infrastructure Budget - 25.03.08" xfId="549" xr:uid="{00000000-0005-0000-0000-0000C1010000}"/>
    <cellStyle name="_Infrastructure Budget - 25.03.08 2" xfId="550" xr:uid="{00000000-0005-0000-0000-0000C2010000}"/>
    <cellStyle name="_Infrastructure Budget - 25.03.08_Item Rate Client Bill RA-7 Dec.10 (SBM Homes)" xfId="551" xr:uid="{00000000-0005-0000-0000-0000C3010000}"/>
    <cellStyle name="_Infrastructure Budget - 25.03.08_Labour Camp Detail" xfId="552" xr:uid="{00000000-0005-0000-0000-0000C4010000}"/>
    <cellStyle name="_Integra T 28.12.05 " xfId="553" xr:uid="{00000000-0005-0000-0000-0000C5010000}"/>
    <cellStyle name="_Inter Unit" xfId="554" xr:uid="{00000000-0005-0000-0000-0000C6010000}"/>
    <cellStyle name="_Internal BOQ-22.07.09" xfId="555" xr:uid="{00000000-0005-0000-0000-0000C7010000}"/>
    <cellStyle name="_internalbudgets18-03-08" xfId="556" xr:uid="{00000000-0005-0000-0000-0000C8010000}"/>
    <cellStyle name="_IT Chennai" xfId="557" xr:uid="{00000000-0005-0000-0000-0000C9010000}"/>
    <cellStyle name="_IT Park - Sez - Hyderabad- Budget-28.01.2008" xfId="558" xr:uid="{00000000-0005-0000-0000-0000CA010000}"/>
    <cellStyle name="_ITC Tribeni 8 February 2007" xfId="559" xr:uid="{00000000-0005-0000-0000-0000CB010000}"/>
    <cellStyle name="_ITC Windsor Manor - 23.05.07" xfId="560" xr:uid="{00000000-0005-0000-0000-0000CC010000}"/>
    <cellStyle name="_ITC-FW Cost" xfId="561" xr:uid="{00000000-0005-0000-0000-0000CD010000}"/>
    <cellStyle name="_ITC-FW-Req 2" xfId="562" xr:uid="{00000000-0005-0000-0000-0000CE010000}"/>
    <cellStyle name="_Item Rate Bill RA-10 March 11 (Homes)" xfId="563" xr:uid="{00000000-0005-0000-0000-0000CF010000}"/>
    <cellStyle name="_Jasola Mar 07 RA Bill 110507" xfId="564" xr:uid="{00000000-0005-0000-0000-0000D0010000}"/>
    <cellStyle name="_Jasola RA Bill oct 07 071107" xfId="565" xr:uid="{00000000-0005-0000-0000-0000D1010000}"/>
    <cellStyle name="_Jasola RA Bill oct 07 071107 2" xfId="566" xr:uid="{00000000-0005-0000-0000-0000D2010000}"/>
    <cellStyle name="_Jasola RA Bill oct 07 071107_Amend 2 DPL CONTRACT" xfId="567" xr:uid="{00000000-0005-0000-0000-0000D3010000}"/>
    <cellStyle name="_Jasola RA Bill oct 07 071107_Item Rate Client Bill RA-7 Dec.10 (SBM Homes)" xfId="568" xr:uid="{00000000-0005-0000-0000-0000D4010000}"/>
    <cellStyle name="_Jasola RA Bill oct 07 071107_Labour Camp Detail" xfId="569" xr:uid="{00000000-0005-0000-0000-0000D5010000}"/>
    <cellStyle name="_JCR" xfId="570" xr:uid="{00000000-0005-0000-0000-0000D6010000}"/>
    <cellStyle name="_JCR JK Tyre - 1" xfId="571" xr:uid="{00000000-0005-0000-0000-0000D7010000}"/>
    <cellStyle name="_JIPMER Tender Workings" xfId="572" xr:uid="{00000000-0005-0000-0000-0000D8010000}"/>
    <cellStyle name="_Jipmer workings - Revised 15.06.06" xfId="573" xr:uid="{00000000-0005-0000-0000-0000D9010000}"/>
    <cellStyle name="_JK Tyre S1" xfId="574" xr:uid="{00000000-0005-0000-0000-0000DA010000}"/>
    <cellStyle name="_June" xfId="575" xr:uid="{00000000-0005-0000-0000-0000DB010000}"/>
    <cellStyle name="_kafex_RA_04" xfId="576" xr:uid="{00000000-0005-0000-0000-0000DC010000}"/>
    <cellStyle name="_KC 584 - BMTC Koramangala - ZCR Final" xfId="577" xr:uid="{00000000-0005-0000-0000-0000DD010000}"/>
    <cellStyle name="_KC644 ETC OH" xfId="578" xr:uid="{00000000-0005-0000-0000-0000DE010000}"/>
    <cellStyle name="_KC665 - PLAMA Developers ZCR Workings" xfId="579" xr:uid="{00000000-0005-0000-0000-0000DF010000}"/>
    <cellStyle name="_KCC-BALANCE QTY" xfId="580" xr:uid="{00000000-0005-0000-0000-0000E0010000}"/>
    <cellStyle name="_KFAEX__RAB-2-certified" xfId="581" xr:uid="{00000000-0005-0000-0000-0000E1010000}"/>
    <cellStyle name="_Kick of meeting Updated" xfId="582" xr:uid="{00000000-0005-0000-0000-0000E2010000}"/>
    <cellStyle name="_Kolkata - Cash flow 12th June-08 vrh" xfId="583" xr:uid="{00000000-0005-0000-0000-0000E3010000}"/>
    <cellStyle name="_kOLKATA OH - 12TH JUNE-08" xfId="584" xr:uid="{00000000-0005-0000-0000-0000E4010000}"/>
    <cellStyle name="_Kondli Fnl- 140808" xfId="585" xr:uid="{00000000-0005-0000-0000-0000E5010000}"/>
    <cellStyle name="_L &amp; T _ MYSORE_EXTERNAL WORKS_R1" xfId="586" xr:uid="{00000000-0005-0000-0000-0000E6010000}"/>
    <cellStyle name="_L &amp; T _ MYSORE_EXTERNAL WORKS_R1 OFFER 15.03.07" xfId="587" xr:uid="{00000000-0005-0000-0000-0000E7010000}"/>
    <cellStyle name="_L &amp; T Mysore_LIGHTING MANAGEMENT_BOQ addendum offer 21.03.07 (1)" xfId="588" xr:uid="{00000000-0005-0000-0000-0000E8010000}"/>
    <cellStyle name="_L&amp;T Executive Guest House -BOQmysore_ELEC_OFFER 20-2-07" xfId="589" xr:uid="{00000000-0005-0000-0000-0000E9010000}"/>
    <cellStyle name="_L&amp;T Sports Complex -BOQmysore_ELEC_OFFER 20-2-07" xfId="590" xr:uid="{00000000-0005-0000-0000-0000EA010000}"/>
    <cellStyle name="_L_T_Executive_Guest_House__BOQmysore_ELEC_14_2_07" xfId="591" xr:uid="{00000000-0005-0000-0000-0000EB010000}"/>
    <cellStyle name="_L_T_Executive_Guest_House__BOQmysore_ELEC_14_2_07 OFFER 15.03.07" xfId="592" xr:uid="{00000000-0005-0000-0000-0000EC010000}"/>
    <cellStyle name="_L_T_Sports_Complex__BOQmysore_ELEC_14_2_07" xfId="593" xr:uid="{00000000-0005-0000-0000-0000ED010000}"/>
    <cellStyle name="_L_T_Sports_Complex__BOQmysore_ELEC_14_2_07 OFFER 15.03.07" xfId="594" xr:uid="{00000000-0005-0000-0000-0000EE010000}"/>
    <cellStyle name="_Laird Working" xfId="595" xr:uid="{00000000-0005-0000-0000-0000EF010000}"/>
    <cellStyle name="_Laird Working_281210 EOT PLAMA" xfId="596" xr:uid="{00000000-0005-0000-0000-0000F0010000}"/>
    <cellStyle name="_Laird Working_Annexure - I Commencement Delays" xfId="597" xr:uid="{00000000-0005-0000-0000-0000F1010000}"/>
    <cellStyle name="_Laird Working_Cement reconcilation  up to Nov 2011" xfId="598" xr:uid="{00000000-0005-0000-0000-0000F2010000}"/>
    <cellStyle name="_Laird Working_pl Scope vs Front" xfId="599" xr:uid="{00000000-0005-0000-0000-0000F3010000}"/>
    <cellStyle name="_Last Budget Working  19.07.08" xfId="600" xr:uid="{00000000-0005-0000-0000-0000F4010000}"/>
    <cellStyle name="_latest milestones" xfId="601" xr:uid="{00000000-0005-0000-0000-0000F5010000}"/>
    <cellStyle name="_lemon tree BOQ" xfId="602" xr:uid="{00000000-0005-0000-0000-0000F6010000}"/>
    <cellStyle name="_Lift E&amp;G" xfId="603" xr:uid="{00000000-0005-0000-0000-0000F7010000}"/>
    <cellStyle name="_lintel " xfId="604" xr:uid="{00000000-0005-0000-0000-0000F8010000}"/>
    <cellStyle name="_List of requirements - Current Liab" xfId="605" xr:uid="{00000000-0005-0000-0000-0000F9010000}"/>
    <cellStyle name="_List of requirements - Current Liab_Bill Magnolias RA Bill No 38  Dec-09" xfId="606" xr:uid="{00000000-0005-0000-0000-0000FA010000}"/>
    <cellStyle name="_List of requirements - Current Liab_Bill Magnolias RA Bill No 38 Dec-09" xfId="607" xr:uid="{00000000-0005-0000-0000-0000FB010000}"/>
    <cellStyle name="_List of requirements - Current Liab_UPFRONT BILLING" xfId="608" xr:uid="{00000000-0005-0000-0000-0000FC010000}"/>
    <cellStyle name="_M &amp; E L+M dt 01.01.09" xfId="609" xr:uid="{00000000-0005-0000-0000-0000FD010000}"/>
    <cellStyle name="_Magnolias 2-07-10" xfId="610" xr:uid="{00000000-0005-0000-0000-0000FE010000}"/>
    <cellStyle name="_Mantri - Revised" xfId="611" xr:uid="{00000000-0005-0000-0000-0000FF010000}"/>
    <cellStyle name="_Mantri - Revised_Exora_Business_Park_Analysis_with_Cement_and_steel_KRRC_SNS 22.01.09" xfId="612" xr:uid="{00000000-0005-0000-0000-000000020000}"/>
    <cellStyle name="_March PO annex" xfId="613" xr:uid="{00000000-0005-0000-0000-000001020000}"/>
    <cellStyle name="_Material Reco (SBM Homes)" xfId="614" xr:uid="{00000000-0005-0000-0000-000002020000}"/>
    <cellStyle name="_Material Reco May-2011 (SBM Homes)" xfId="615" xr:uid="{00000000-0005-0000-0000-000003020000}"/>
    <cellStyle name="_Material Sheet Feb 11" xfId="616" xr:uid="{00000000-0005-0000-0000-000004020000}"/>
    <cellStyle name="_May" xfId="617" xr:uid="{00000000-0005-0000-0000-000005020000}"/>
    <cellStyle name="_May Photos" xfId="618" xr:uid="{00000000-0005-0000-0000-000006020000}"/>
    <cellStyle name="_mayank                     FINISHING SCHEDULE-GURGAON-January-2009" xfId="619" xr:uid="{00000000-0005-0000-0000-000007020000}"/>
    <cellStyle name="_M-BOOK BILL-6 (EXT)-Final" xfId="620" xr:uid="{00000000-0005-0000-0000-000008020000}"/>
    <cellStyle name="_MEAS OF FACADE - 20-07-11-h-chk" xfId="621" xr:uid="{00000000-0005-0000-0000-000009020000}"/>
    <cellStyle name="_Meas of glazing &amp; cladding -h-25.07.11-h-CHK" xfId="622" xr:uid="{00000000-0005-0000-0000-00000A020000}"/>
    <cellStyle name="_MEAS SHEET - MASONRY-MBP" xfId="623" xr:uid="{00000000-0005-0000-0000-00000B020000}"/>
    <cellStyle name="_MEAS SHEET -20-12-08- MASONRY-chk-FINAL" xfId="624" xr:uid="{00000000-0005-0000-0000-00000C020000}"/>
    <cellStyle name="_MEAS SHEET -25-12-08- Joinery-chk-P" xfId="625" xr:uid="{00000000-0005-0000-0000-00000D020000}"/>
    <cellStyle name="_MEAS. SHEET -26.04.08-JKP" xfId="626" xr:uid="{00000000-0005-0000-0000-00000E020000}"/>
    <cellStyle name="_MEAS. SHEET -26.04.08-JKP_ESTIMATE- RTC CREST ANNEX-20-02-10-SSA" xfId="627" xr:uid="{00000000-0005-0000-0000-00000F020000}"/>
    <cellStyle name="_MEAS. SHEET -26.04.08-JKP_RA_MKT_INTERIOR" xfId="628" xr:uid="{00000000-0005-0000-0000-000010020000}"/>
    <cellStyle name="_MEAS. SHEET -26.04.08-JKP_RA-MKT" xfId="629" xr:uid="{00000000-0005-0000-0000-000011020000}"/>
    <cellStyle name="_MEAS. SHEET -26.04.08-JKP_REV. BOQ-KNOWLEDGE CENTERl-09-01-10-AP" xfId="630" xr:uid="{00000000-0005-0000-0000-000012020000}"/>
    <cellStyle name="_MEAS. SHEET -26.04.08-JKP_REV.EST" xfId="631" xr:uid="{00000000-0005-0000-0000-000013020000}"/>
    <cellStyle name="_MEAS. SHEET -26.04.08-JKP_REV.ESTIMATE" xfId="632" xr:uid="{00000000-0005-0000-0000-000014020000}"/>
    <cellStyle name="_MEAS. SHEET -29-05-08-SJN" xfId="633" xr:uid="{00000000-0005-0000-0000-000015020000}"/>
    <cellStyle name="_MEAS. SHEET EXT DEV -30.05.08-JKP" xfId="634" xr:uid="{00000000-0005-0000-0000-000016020000}"/>
    <cellStyle name="_MEAS. SHEET EXT DEV -30.05.08-JKP_ESTIMATE- RTC CREST ANNEX-20-02-10-SSA" xfId="635" xr:uid="{00000000-0005-0000-0000-000017020000}"/>
    <cellStyle name="_MEAS. SHEET EXT DEV -30.05.08-JKP_RA_MKT_INTERIOR" xfId="636" xr:uid="{00000000-0005-0000-0000-000018020000}"/>
    <cellStyle name="_MEAS. SHEET EXT DEV -30.05.08-JKP_RA-MKT" xfId="637" xr:uid="{00000000-0005-0000-0000-000019020000}"/>
    <cellStyle name="_MEAS. SHEET EXT DEV -30.05.08-JKP_REV. BOQ-KNOWLEDGE CENTERl-09-01-10-AP" xfId="638" xr:uid="{00000000-0005-0000-0000-00001A020000}"/>
    <cellStyle name="_MEAS. SHEET EXT DEV -30.05.08-JKP_REV.EST" xfId="639" xr:uid="{00000000-0005-0000-0000-00001B020000}"/>
    <cellStyle name="_MEAS. SHEET EXT DEV -30.05.08-JKP_REV.ESTIMATE" xfId="640" xr:uid="{00000000-0005-0000-0000-00001C020000}"/>
    <cellStyle name="_MEAS. SHEET EXT DEV FOR PHASE I-II-09.05.08-JKP" xfId="641" xr:uid="{00000000-0005-0000-0000-00001D020000}"/>
    <cellStyle name="_MEAS. SHEET of 09.05.08-JKP" xfId="642" xr:uid="{00000000-0005-0000-0000-00001E020000}"/>
    <cellStyle name="_MEAS. SHEET of PHASE I-07.05.08" xfId="643" xr:uid="{00000000-0005-0000-0000-00001F020000}"/>
    <cellStyle name="_MEAS. SHEET of PHASE II-07.05.08-JKP" xfId="644" xr:uid="{00000000-0005-0000-0000-000020020000}"/>
    <cellStyle name="_MEAS. SHEET of PHASE II-07.05.08-JKP_ESTIMATE- RTC CREST ANNEX-20-02-10-SSA" xfId="645" xr:uid="{00000000-0005-0000-0000-000021020000}"/>
    <cellStyle name="_MEAS. SHEET of PHASE II-07.05.08-JKP_RA_MKT_INTERIOR" xfId="646" xr:uid="{00000000-0005-0000-0000-000022020000}"/>
    <cellStyle name="_MEAS. SHEET of PHASE II-07.05.08-JKP_RA-MKT" xfId="647" xr:uid="{00000000-0005-0000-0000-000023020000}"/>
    <cellStyle name="_MEAS. SHEET of PHASE II-07.05.08-JKP_REV. BOQ-KNOWLEDGE CENTERl-09-01-10-AP" xfId="648" xr:uid="{00000000-0005-0000-0000-000024020000}"/>
    <cellStyle name="_MEAS. SHEET of PHASE II-07.05.08-JKP_REV.EST" xfId="649" xr:uid="{00000000-0005-0000-0000-000025020000}"/>
    <cellStyle name="_MEAS. SHEET of PHASE II-07.05.08-JKP_REV.ESTIMATE" xfId="650" xr:uid="{00000000-0005-0000-0000-000026020000}"/>
    <cellStyle name="_MEAS. SHEET of Plot-2 Campus -2  5-07-08 P" xfId="651" xr:uid="{00000000-0005-0000-0000-000027020000}"/>
    <cellStyle name="_MEAS. SHEET of Plot-2 CAMPUS- I-5.07.08- B" xfId="652" xr:uid="{00000000-0005-0000-0000-000028020000}"/>
    <cellStyle name="_MEAS.-Fasade-25-04-11-h" xfId="653" xr:uid="{00000000-0005-0000-0000-000029020000}"/>
    <cellStyle name="_MEAS-FINISHING WORK.-18.01.2010-PD" xfId="654" xr:uid="{00000000-0005-0000-0000-00002A020000}"/>
    <cellStyle name="_MEASUREMENT SHEET - 09-09-08  PD" xfId="655" xr:uid="{00000000-0005-0000-0000-00002B020000}"/>
    <cellStyle name="_MEASUREMENT SHEET - 09-09-08  PD-Area Wise" xfId="656" xr:uid="{00000000-0005-0000-0000-00002C020000}"/>
    <cellStyle name="_MEASUREMENT SHEET - LIBRARY-CHECKED" xfId="657" xr:uid="{00000000-0005-0000-0000-00002D020000}"/>
    <cellStyle name="_MEASUREMENT SHEET - LIBRARY-CHECKED_ESTIMATE- RTC CREST ANNEX-20-02-10-SSA" xfId="658" xr:uid="{00000000-0005-0000-0000-00002E020000}"/>
    <cellStyle name="_MEASUREMENT SHEET - LIBRARY-CHECKED_RA_MKT_INTERIOR" xfId="659" xr:uid="{00000000-0005-0000-0000-00002F020000}"/>
    <cellStyle name="_MEASUREMENT SHEET - LIBRARY-CHECKED_RA-MKT" xfId="660" xr:uid="{00000000-0005-0000-0000-000030020000}"/>
    <cellStyle name="_MEASUREMENT SHEET - LIBRARY-CHECKED_REV.EST" xfId="661" xr:uid="{00000000-0005-0000-0000-000031020000}"/>
    <cellStyle name="_MEASUREMENT SHEET - LIBRARY-CHECKED_REV.ESTIMATE" xfId="662" xr:uid="{00000000-0005-0000-0000-000032020000}"/>
    <cellStyle name="_MEASUREMENT SHEET - MASONRY-S" xfId="663" xr:uid="{00000000-0005-0000-0000-000033020000}"/>
    <cellStyle name="_MEASUREMENT SHEET - RCC-  (14-5-11) -P" xfId="664" xr:uid="{00000000-0005-0000-0000-000034020000}"/>
    <cellStyle name="_MEASUREMENT SHEET - RCC- Neha (14-5-11)" xfId="665" xr:uid="{00000000-0005-0000-0000-000035020000}"/>
    <cellStyle name="_MEASUREMENT SHEET - Revised FINISHING - 6-8-2011 FINAL" xfId="666" xr:uid="{00000000-0005-0000-0000-000036020000}"/>
    <cellStyle name="_MEASUREMENT SHEET RCC - MP" xfId="667" xr:uid="{00000000-0005-0000-0000-000037020000}"/>
    <cellStyle name="_MEASUREMENT SHEET -ZONAL CANTEEN" xfId="668" xr:uid="{00000000-0005-0000-0000-000038020000}"/>
    <cellStyle name="_MEASUREMENT SHEET -ZONAL CANTEEN_ESTIMATE- RTC CREST ANNEX-20-02-10-SSA" xfId="669" xr:uid="{00000000-0005-0000-0000-000039020000}"/>
    <cellStyle name="_MEASUREMENT SHEET -ZONAL CANTEEN_RA_MKT_INTERIOR" xfId="670" xr:uid="{00000000-0005-0000-0000-00003A020000}"/>
    <cellStyle name="_MEASUREMENT SHEET -ZONAL CANTEEN_RA-MKT" xfId="671" xr:uid="{00000000-0005-0000-0000-00003B020000}"/>
    <cellStyle name="_MEASUREMENT SHEET -ZONAL CANTEEN_REV.EST" xfId="672" xr:uid="{00000000-0005-0000-0000-00003C020000}"/>
    <cellStyle name="_MEASUREMENT SHEET -ZONAL CANTEEN_REV.ESTIMATE" xfId="673" xr:uid="{00000000-0005-0000-0000-00003D020000}"/>
    <cellStyle name="_MEASUREMENT SHEET -ZONAL CANTEEN-Zone IV" xfId="674" xr:uid="{00000000-0005-0000-0000-00003E020000}"/>
    <cellStyle name="_MEASUREMENT SHEET -ZONAL CANTEEN-Zone IV_ESTIMATE- RTC CREST ANNEX-20-02-10-SSA" xfId="675" xr:uid="{00000000-0005-0000-0000-00003F020000}"/>
    <cellStyle name="_MEASUREMENT SHEET -ZONAL CANTEEN-Zone IV_RA_MKT_INTERIOR" xfId="676" xr:uid="{00000000-0005-0000-0000-000040020000}"/>
    <cellStyle name="_MEASUREMENT SHEET -ZONAL CANTEEN-Zone IV_RA-MKT" xfId="677" xr:uid="{00000000-0005-0000-0000-000041020000}"/>
    <cellStyle name="_MEASUREMENT SHEET -ZONAL CANTEEN-Zone IV_REV.EST" xfId="678" xr:uid="{00000000-0005-0000-0000-000042020000}"/>
    <cellStyle name="_MEASUREMENT SHEET -ZONAL CANTEEN-Zone IV_REV.ESTIMATE" xfId="679" xr:uid="{00000000-0005-0000-0000-000043020000}"/>
    <cellStyle name="_MEASUREMENT SHEET-26-11-09-PD" xfId="680" xr:uid="{00000000-0005-0000-0000-000044020000}"/>
    <cellStyle name="_Measurement_Reconciliation for April '08" xfId="681" xr:uid="{00000000-0005-0000-0000-000045020000}"/>
    <cellStyle name="_Measurement_Reconciliation for April '08_Amend 2 DPL CONTRACT" xfId="682" xr:uid="{00000000-0005-0000-0000-000046020000}"/>
    <cellStyle name="_Measurement_Reconciliation for April '08_Material Reco March-2011 (Homes)" xfId="683" xr:uid="{00000000-0005-0000-0000-000047020000}"/>
    <cellStyle name="_MEASUREMENT-EXTERNAL DEVL" xfId="684" xr:uid="{00000000-0005-0000-0000-000048020000}"/>
    <cellStyle name="_MERB-263-B" xfId="685" xr:uid="{00000000-0005-0000-0000-000049020000}"/>
    <cellStyle name="_MERB-263-B(Final Abstract)" xfId="686" xr:uid="{00000000-0005-0000-0000-00004A020000}"/>
    <cellStyle name="_Micron- Certified" xfId="687" xr:uid="{00000000-0005-0000-0000-00004B020000}"/>
    <cellStyle name="_Micron RAB-4 Certified" xfId="688" xr:uid="{00000000-0005-0000-0000-00004C020000}"/>
    <cellStyle name="_Micron RAB-5 Certified(Final-13-11-06)" xfId="689" xr:uid="{00000000-0005-0000-0000-00004D020000}"/>
    <cellStyle name="_Micron RAB-5Certified(Final)" xfId="690" xr:uid="{00000000-0005-0000-0000-00004E020000}"/>
    <cellStyle name="_MIS - Oct-06 asha" xfId="691" xr:uid="{00000000-0005-0000-0000-00004F020000}"/>
    <cellStyle name="_MIS May-06" xfId="692" xr:uid="{00000000-0005-0000-0000-000050020000}"/>
    <cellStyle name="_MIS May-06_Amend 2 DPL CONTRACT" xfId="693" xr:uid="{00000000-0005-0000-0000-000051020000}"/>
    <cellStyle name="_Misseleneous works" xfId="694" xr:uid="{00000000-0005-0000-0000-000052020000}"/>
    <cellStyle name="_Mobilisation Advance and advance to vendors_January 2009" xfId="695" xr:uid="{00000000-0005-0000-0000-000053020000}"/>
    <cellStyle name="_Mobilisation Advance and advance to vendors_January 2009_Budget_Elphinstone_updated_30 June 2009." xfId="696" xr:uid="{00000000-0005-0000-0000-000054020000}"/>
    <cellStyle name="_Mobilisation Advance and advance to vendors_January 2009_Rental Assumption - R3 - 251210" xfId="697" xr:uid="{00000000-0005-0000-0000-000055020000}"/>
    <cellStyle name="_Model for Cosolidated Monthly report" xfId="698" xr:uid="{00000000-0005-0000-0000-000056020000}"/>
    <cellStyle name="_Monthly Progress Report  DLF Infocity - Chennai August 08 " xfId="699" xr:uid="{00000000-0005-0000-0000-000057020000}"/>
    <cellStyle name="_Monthly Progress Report  DLF Infocity - Chennai December '08" xfId="700" xr:uid="{00000000-0005-0000-0000-000058020000}"/>
    <cellStyle name="_Monthly Progress Report  DLF Infocity - Chennai January '08" xfId="701" xr:uid="{00000000-0005-0000-0000-000059020000}"/>
    <cellStyle name="_Monthly Progress Report  DLF Infocity - Chennai January '09" xfId="702" xr:uid="{00000000-0005-0000-0000-00005A020000}"/>
    <cellStyle name="_Monthly Progress Report  DLF Infocity - Chennai November '08 " xfId="703" xr:uid="{00000000-0005-0000-0000-00005B020000}"/>
    <cellStyle name="_Monthly Progress Report  DLF Infocity - Chennai October '08 " xfId="704" xr:uid="{00000000-0005-0000-0000-00005C020000}"/>
    <cellStyle name="_Monthly Progress Report  DLF Infocity - Chennai September '08 " xfId="705" xr:uid="{00000000-0005-0000-0000-00005D020000}"/>
    <cellStyle name="_MPR AUGUST" xfId="706" xr:uid="{00000000-0005-0000-0000-00005E020000}"/>
    <cellStyle name="_MPR DLF INFOCITY CHENNAI JUNE '08" xfId="707" xr:uid="{00000000-0005-0000-0000-00005F020000}"/>
    <cellStyle name="_MPR JULY" xfId="708" xr:uid="{00000000-0005-0000-0000-000060020000}"/>
    <cellStyle name="_MPR SEPTEMBER 2008" xfId="709" xr:uid="{00000000-0005-0000-0000-000061020000}"/>
    <cellStyle name="_MPR1 as per June'08" xfId="710" xr:uid="{00000000-0005-0000-0000-000062020000}"/>
    <cellStyle name="_MPS_3 NEW" xfId="711" xr:uid="{00000000-0005-0000-0000-000063020000}"/>
    <cellStyle name="_MPS_3 PMO3" xfId="712" xr:uid="{00000000-0005-0000-0000-000064020000}"/>
    <cellStyle name="_MPS_3 SHARMA" xfId="713" xr:uid="{00000000-0005-0000-0000-000065020000}"/>
    <cellStyle name="_Multiple" xfId="714" xr:uid="{00000000-0005-0000-0000-000066020000}"/>
    <cellStyle name="_MultipleSpace" xfId="715" xr:uid="{00000000-0005-0000-0000-000067020000}"/>
    <cellStyle name="_NDPL Pile work" xfId="716" xr:uid="{00000000-0005-0000-0000-000068020000}"/>
    <cellStyle name="_New Formates" xfId="717" xr:uid="{00000000-0005-0000-0000-000069020000}"/>
    <cellStyle name="_New Formates kpmg" xfId="718" xr:uid="{00000000-0005-0000-0000-00006A020000}"/>
    <cellStyle name="_New Formates kpmg_Book2" xfId="719" xr:uid="{00000000-0005-0000-0000-00006B020000}"/>
    <cellStyle name="_New Formates kpmg_Book2 2" xfId="720" xr:uid="{00000000-0005-0000-0000-00006C020000}"/>
    <cellStyle name="_New Formates_Book2" xfId="721" xr:uid="{00000000-0005-0000-0000-00006D020000}"/>
    <cellStyle name="_New Formates_Book2 2" xfId="722" xr:uid="{00000000-0005-0000-0000-00006E020000}"/>
    <cellStyle name="_new master 2" xfId="723" xr:uid="{00000000-0005-0000-0000-00006F020000}"/>
    <cellStyle name="_New Microsoft Excel Worksheet (2)" xfId="724" xr:uid="{00000000-0005-0000-0000-000070020000}"/>
    <cellStyle name="_NTC- RA BILL OCT-2008" xfId="725" xr:uid="{00000000-0005-0000-0000-000071020000}"/>
    <cellStyle name="_NTC- RA BILL OCT-2008 2" xfId="726" xr:uid="{00000000-0005-0000-0000-000072020000}"/>
    <cellStyle name="_NTC- RA BILL OCT-2008_Item Rate Client Bill RA-7 Dec.10 (SBM Homes)" xfId="727" xr:uid="{00000000-0005-0000-0000-000073020000}"/>
    <cellStyle name="_NTC- RA BILL OCT-2008_Labour Camp Detail" xfId="728" xr:uid="{00000000-0005-0000-0000-000074020000}"/>
    <cellStyle name="_Oberoi RA Bill 20 June 08 060708" xfId="729" xr:uid="{00000000-0005-0000-0000-000075020000}"/>
    <cellStyle name="_Oberoi RA Bill 20 June 08 060708 2" xfId="730" xr:uid="{00000000-0005-0000-0000-000076020000}"/>
    <cellStyle name="_Oberoi RA Bill 20 June 08 060708_Item Rate Client Bill RA-7 Dec.10 (SBM Homes)" xfId="731" xr:uid="{00000000-0005-0000-0000-000077020000}"/>
    <cellStyle name="_Oberoi RA Bill 20 June 08 060708_Labour Camp Detail" xfId="732" xr:uid="{00000000-0005-0000-0000-000078020000}"/>
    <cellStyle name="_Oberoi Splendor 050609" xfId="733" xr:uid="{00000000-0005-0000-0000-000079020000}"/>
    <cellStyle name="_observation 15 acre" xfId="734" xr:uid="{00000000-0005-0000-0000-00007A020000}"/>
    <cellStyle name="_Ocwen - 1" xfId="735" xr:uid="{00000000-0005-0000-0000-00007B020000}"/>
    <cellStyle name="_Ocwen - Ñ" xfId="736" xr:uid="{00000000-0005-0000-0000-00007C020000}"/>
    <cellStyle name="_Offer_CTS_Siruseri_29-04-05" xfId="737" xr:uid="{00000000-0005-0000-0000-00007D020000}"/>
    <cellStyle name="_Offer-Ajanta Tourist-21-06-07-rev-PPT" xfId="738" xr:uid="{00000000-0005-0000-0000-00007E020000}"/>
    <cellStyle name="_office building-malik" xfId="739" xr:uid="{00000000-0005-0000-0000-00007F020000}"/>
    <cellStyle name="_OH cost-TC-II" xfId="740" xr:uid="{00000000-0005-0000-0000-000080020000}"/>
    <cellStyle name="_ONGC-KOLKATA-PRELIM-EST-06.01.09-AHC" xfId="741" xr:uid="{00000000-0005-0000-0000-000081020000}"/>
    <cellStyle name="_Oracle Model Final (With Additional Assets) - 5 Dec V8.0 (Recovered)" xfId="742" xr:uid="{00000000-0005-0000-0000-000082020000}"/>
    <cellStyle name="_OTIS RA-1 (Certified)Dated 02.06.06" xfId="743" xr:uid="{00000000-0005-0000-0000-000083020000}"/>
    <cellStyle name="_OTIS RA-1 final -Certified - Dated 08.06.06( R2)" xfId="744" xr:uid="{00000000-0005-0000-0000-000084020000}"/>
    <cellStyle name="_OTIS_RA_03" xfId="745" xr:uid="{00000000-0005-0000-0000-000085020000}"/>
    <cellStyle name="_OTIS_RA-02 c&amp;b certified" xfId="746" xr:uid="{00000000-0005-0000-0000-000086020000}"/>
    <cellStyle name="_OTIS_RA-03 c&amp;b certified" xfId="747" xr:uid="{00000000-0005-0000-0000-000087020000}"/>
    <cellStyle name="_Overheads" xfId="748" xr:uid="{00000000-0005-0000-0000-000088020000}"/>
    <cellStyle name="_P&amp;E Trail_1" xfId="749" xr:uid="{00000000-0005-0000-0000-000089020000}"/>
    <cellStyle name="_Package 3 - Analysis 26th Sep-05" xfId="750" xr:uid="{00000000-0005-0000-0000-00008A020000}"/>
    <cellStyle name="_pedestial in chiller room" xfId="751" xr:uid="{00000000-0005-0000-0000-00008B020000}"/>
    <cellStyle name="_Percent" xfId="752" xr:uid="{00000000-0005-0000-0000-00008C020000}"/>
    <cellStyle name="_PercentSpace" xfId="753" xr:uid="{00000000-0005-0000-0000-00008D020000}"/>
    <cellStyle name="_PHE offer" xfId="754" xr:uid="{00000000-0005-0000-0000-00008E020000}"/>
    <cellStyle name="_PHE offer for Show room at Bangalore" xfId="755" xr:uid="{00000000-0005-0000-0000-00008F020000}"/>
    <cellStyle name="_PHE Offer for Subramanya Temple" xfId="756" xr:uid="{00000000-0005-0000-0000-000090020000}"/>
    <cellStyle name="_PHE Offer for Subramanya Temple_pl Scope vs Front" xfId="757" xr:uid="{00000000-0005-0000-0000-000091020000}"/>
    <cellStyle name="_PHE Offer for Subramanya Temple_Scope vs Front" xfId="758" xr:uid="{00000000-0005-0000-0000-000092020000}"/>
    <cellStyle name="_PHE offer_281210 EOT PLAMA" xfId="759" xr:uid="{00000000-0005-0000-0000-000093020000}"/>
    <cellStyle name="_PHE offer_Annexure - I Commencement Delays" xfId="760" xr:uid="{00000000-0005-0000-0000-000094020000}"/>
    <cellStyle name="_PHE offer_Cement reconcilation  up to Nov 2011" xfId="761" xr:uid="{00000000-0005-0000-0000-000095020000}"/>
    <cellStyle name="_PHE offer_pl Scope vs Front" xfId="762" xr:uid="{00000000-0005-0000-0000-000096020000}"/>
    <cellStyle name="_Pithmpur Wrkng" xfId="763" xr:uid="{00000000-0005-0000-0000-000097020000}"/>
    <cellStyle name="_plant  equipment received details 30 07 08" xfId="764" xr:uid="{00000000-0005-0000-0000-000098020000}"/>
    <cellStyle name="_PLASTER-ATRECO-ADANI-11-06-10" xfId="765" xr:uid="{00000000-0005-0000-0000-000099020000}"/>
    <cellStyle name="_Plumbing Cost" xfId="766" xr:uid="{00000000-0005-0000-0000-00009A020000}"/>
    <cellStyle name="_PM06_Final_Rates" xfId="767" xr:uid="{00000000-0005-0000-0000-00009B020000}"/>
    <cellStyle name="_PO Highstreet Vadodara" xfId="768" xr:uid="{00000000-0005-0000-0000-00009C020000}"/>
    <cellStyle name="_POWER" xfId="769" xr:uid="{00000000-0005-0000-0000-00009D020000}"/>
    <cellStyle name="_PRELIMINARY TOTAL ESTIMATE - R2-11.01.11" xfId="770" xr:uid="{00000000-0005-0000-0000-00009E020000}"/>
    <cellStyle name="_Presentation Summary " xfId="771" xr:uid="{00000000-0005-0000-0000-00009F020000}"/>
    <cellStyle name="_Presentation Summary _Material Reco March-2011 (Homes)" xfId="772" xr:uid="{00000000-0005-0000-0000-0000A0020000}"/>
    <cellStyle name="_Presentation Summary _Monthly Progress Report - MPR" xfId="773" xr:uid="{00000000-0005-0000-0000-0000A1020000}"/>
    <cellStyle name="_Presentation Summary _Monthly Progress Report - MPR VV" xfId="774" xr:uid="{00000000-0005-0000-0000-0000A2020000}"/>
    <cellStyle name="_Presentation Summary _SAFETY RECORD FOR THE MONTH OF May,  2011 - MPR" xfId="775" xr:uid="{00000000-0005-0000-0000-0000A3020000}"/>
    <cellStyle name="_Presentation Summary _SAFETY RECORD FOR THE MONTH OFApril, 2011 - MPR" xfId="776" xr:uid="{00000000-0005-0000-0000-0000A4020000}"/>
    <cellStyle name="_Presentation Summary _Weekly Photos 1 July 09 onwards" xfId="777" xr:uid="{00000000-0005-0000-0000-0000A5020000}"/>
    <cellStyle name="_Presentation Summary _WPR 26-1 Nov 2009" xfId="778" xr:uid="{00000000-0005-0000-0000-0000A6020000}"/>
    <cellStyle name="_Presentation Summary _WPR Magnolias 2009" xfId="779" xr:uid="{00000000-0005-0000-0000-0000A7020000}"/>
    <cellStyle name="_Prestart" xfId="780" xr:uid="{00000000-0005-0000-0000-0000A8020000}"/>
    <cellStyle name="_Prestart-00-HO-FINAL-Approved" xfId="781" xr:uid="{00000000-0005-0000-0000-0000A9020000}"/>
    <cellStyle name="_Prestart-00-HO-FINAL-Approved_1 Costing -Tata Hs -11.05.11 T1&amp;T2-R2" xfId="782" xr:uid="{00000000-0005-0000-0000-0000AA020000}"/>
    <cellStyle name="_Prestart-00-HO-FINAL-Approved_1 Costing -Tata Hs -11.05.11 T1&amp;T2-R2 2" xfId="783" xr:uid="{00000000-0005-0000-0000-0000AB020000}"/>
    <cellStyle name="_Prestart-00-HO-FINAL-Approved_1 Costing_Krrish Prov Est- 27.01.11" xfId="784" xr:uid="{00000000-0005-0000-0000-0000AC020000}"/>
    <cellStyle name="_Prestart-00-HO-FINAL-Approved_2 Costing LS Cable 18.10.10" xfId="785" xr:uid="{00000000-0005-0000-0000-0000AD020000}"/>
    <cellStyle name="_Prestart-00-HO-FINAL-Approved_20 Costing -IREO UT 190310_1" xfId="786" xr:uid="{00000000-0005-0000-0000-0000AE020000}"/>
    <cellStyle name="_Prestart-00-HO-FINAL-Approved_25 Costing -IREO VV-I 25.11.10_1" xfId="787" xr:uid="{00000000-0005-0000-0000-0000AF020000}"/>
    <cellStyle name="_Prestart-00-HO-FINAL-Approved_25 Costing -IREO VV-I 25.11.10_1_Rev OffTop" xfId="788" xr:uid="{00000000-0005-0000-0000-0000B0020000}"/>
    <cellStyle name="_Prestart-00-HO-FINAL-Approved_4 Costing -IREO VV-I 18.12.10 PKR" xfId="789" xr:uid="{00000000-0005-0000-0000-0000B1020000}"/>
    <cellStyle name="_Prestart-00-HO-FINAL-Approved_5 DLF Horizon Center - 05.08.2011" xfId="790" xr:uid="{00000000-0005-0000-0000-0000B2020000}"/>
    <cellStyle name="_Prestart-00-HO-FINAL-Approved_5 DLF Horizon Center - 05.08.2011 2" xfId="791" xr:uid="{00000000-0005-0000-0000-0000B3020000}"/>
    <cellStyle name="_Prestart-00-HO-FINAL-Approved_6 Costing_Saint Gobain_ 15.10.09_ABH" xfId="792" xr:uid="{00000000-0005-0000-0000-0000B4020000}"/>
    <cellStyle name="_Prestart-00-HO-FINAL-Approved_6 Costing_Saint Gobain_ 15.10.09_ABH 2" xfId="793" xr:uid="{00000000-0005-0000-0000-0000B5020000}"/>
    <cellStyle name="_Prestart-00-HO-FINAL-Approved_Amend 2 DPL CONTRACT" xfId="794" xr:uid="{00000000-0005-0000-0000-0000B6020000}"/>
    <cellStyle name="_Prestart-00-HO-FINAL-Approved_BOQ -  Civil  Structural Works" xfId="795" xr:uid="{00000000-0005-0000-0000-0000B7020000}"/>
    <cellStyle name="_Prestart-00-HO-FINAL-Approved_BOQ -  Civil  Structural Works 2" xfId="796" xr:uid="{00000000-0005-0000-0000-0000B8020000}"/>
    <cellStyle name="_Prestart-00-HO-FINAL-Approved_BOQ - Finishing Works" xfId="797" xr:uid="{00000000-0005-0000-0000-0000B9020000}"/>
    <cellStyle name="_Prestart-00-HO-FINAL-Approved_BOQ - Finishing Works 2" xfId="798" xr:uid="{00000000-0005-0000-0000-0000BA020000}"/>
    <cellStyle name="_Prestart-00-HO-FINAL-Approved_Costing - NBCC- final costing after rebate" xfId="799" xr:uid="{00000000-0005-0000-0000-0000BB020000}"/>
    <cellStyle name="_Prestart-00-HO-FINAL-Approved_Costing final 30.40 crore" xfId="800" xr:uid="{00000000-0005-0000-0000-0000BC020000}"/>
    <cellStyle name="_Prestart-00-HO-FINAL-Approved_Costing final 30.40 crore 2" xfId="801" xr:uid="{00000000-0005-0000-0000-0000BD020000}"/>
    <cellStyle name="_Prestart-00-HO-FINAL-Approved_Costing_FDDI Rohtak submitted  23.07.09" xfId="802" xr:uid="{00000000-0005-0000-0000-0000BE020000}"/>
    <cellStyle name="_Prestart-00-HO-FINAL-Approved_EFP Costing BOQ 29.6.10" xfId="803" xr:uid="{00000000-0005-0000-0000-0000BF020000}"/>
    <cellStyle name="_Prestart-00-HO-FINAL-Approved_ITC _ Final Bid-140510" xfId="804" xr:uid="{00000000-0005-0000-0000-0000C0020000}"/>
    <cellStyle name="_Prestart-00-HO-FINAL-Approved_ITC _ Final Bid-140510 2" xfId="805" xr:uid="{00000000-0005-0000-0000-0000C1020000}"/>
    <cellStyle name="_Prestart-00-HO-FINAL-Approved_Item Rate Client Bill RA-7 Dec.10 (SBM Homes)" xfId="806" xr:uid="{00000000-0005-0000-0000-0000C2020000}"/>
    <cellStyle name="_Prestart-00-HO-FINAL-Approved_Labour Camp Detail" xfId="807" xr:uid="{00000000-0005-0000-0000-0000C3020000}"/>
    <cellStyle name="_Prestart-00-HO-FINAL-Approved_LHMC.01.2011" xfId="808" xr:uid="{00000000-0005-0000-0000-0000C4020000}"/>
    <cellStyle name="_Prestart-00-HO-FINAL-Approved_Material Reco March-2011 (Homes)" xfId="809" xr:uid="{00000000-0005-0000-0000-0000C5020000}"/>
    <cellStyle name="_Prestart-00-HO-FINAL-Approved_PMV Operators - MPR" xfId="810" xr:uid="{00000000-0005-0000-0000-0000C6020000}"/>
    <cellStyle name="_Prestart-00-HO-FINAL-Approved_PMV Status-Feb MPR" xfId="811" xr:uid="{00000000-0005-0000-0000-0000C7020000}"/>
    <cellStyle name="_Prestart-00-HO-FINAL-Approved_SAFETY RECORD FOR THE MONTH OF May,  2011 - MPR" xfId="812" xr:uid="{00000000-0005-0000-0000-0000C8020000}"/>
    <cellStyle name="_Prestart-00-HO-FINAL-Approved_SAFETY RECORD FOR THE MONTH OFApril, 2011 - MPR" xfId="813" xr:uid="{00000000-0005-0000-0000-0000C9020000}"/>
    <cellStyle name="_Prestart-00-HO-FINAL-Approved_SBM School 6th RA Bill 09 Feb-10 Rev" xfId="814" xr:uid="{00000000-0005-0000-0000-0000CA020000}"/>
    <cellStyle name="_Prestart-00-HO-FINAL-Approved_Sectional Progress 1 July 09 onwards" xfId="815" xr:uid="{00000000-0005-0000-0000-0000CB020000}"/>
    <cellStyle name="_Prestart-00-HO-FINAL-Approved_Shuttering Stock-28.02.2011" xfId="816" xr:uid="{00000000-0005-0000-0000-0000CC020000}"/>
    <cellStyle name="_Prestart-00-HO-FINAL-Approved_Sravanthi - Final Costing 210510" xfId="817" xr:uid="{00000000-0005-0000-0000-0000CD020000}"/>
    <cellStyle name="_Prestart-00-HO-FINAL-Approved_Sravanthi - Final Costing 210510 2" xfId="818" xr:uid="{00000000-0005-0000-0000-0000CE020000}"/>
    <cellStyle name="_Prestart-00-HO-FINAL-Approved_Weekly Photos 1 July 09 onwards" xfId="819" xr:uid="{00000000-0005-0000-0000-0000CF020000}"/>
    <cellStyle name="_Prestart-00-HO-FINAL-Approved_WPR 26-1 Nov 2009" xfId="820" xr:uid="{00000000-0005-0000-0000-0000D0020000}"/>
    <cellStyle name="_Prestart-00-HO-FINAL-Approved_WPR Magnolias 2009" xfId="821" xr:uid="{00000000-0005-0000-0000-0000D1020000}"/>
    <cellStyle name="_Prestige - HP Campus" xfId="822" xr:uid="{00000000-0005-0000-0000-0000D2020000}"/>
    <cellStyle name="_Prestige Corporate Office" xfId="823" xr:uid="{00000000-0005-0000-0000-0000D3020000}"/>
    <cellStyle name="_PRIME COST" xfId="824" xr:uid="{00000000-0005-0000-0000-0000D4020000}"/>
    <cellStyle name="_Programme for Jan'09" xfId="825" xr:uid="{00000000-0005-0000-0000-0000D5020000}"/>
    <cellStyle name="_Project costing 31032010=" xfId="826" xr:uid="{00000000-0005-0000-0000-0000D6020000}"/>
    <cellStyle name="_PSE HOSTEL BUILDING" xfId="827" xr:uid="{00000000-0005-0000-0000-0000D7020000}"/>
    <cellStyle name="_PSE_ITC_BHADRACHALAM_HO" xfId="828" xr:uid="{00000000-0005-0000-0000-0000D8020000}"/>
    <cellStyle name="_PTB &amp; PIER Final Workings" xfId="829" xr:uid="{00000000-0005-0000-0000-0000D9020000}"/>
    <cellStyle name="_PTB Workings" xfId="830" xr:uid="{00000000-0005-0000-0000-0000DA020000}"/>
    <cellStyle name="_Purchase report for the month of DEC - 2008" xfId="831" xr:uid="{00000000-0005-0000-0000-0000DB020000}"/>
    <cellStyle name="_Purchase report for the month of Feb - 2009" xfId="832" xr:uid="{00000000-0005-0000-0000-0000DC020000}"/>
    <cellStyle name="_Purchase report for the month of JAN - 2009" xfId="833" xr:uid="{00000000-0005-0000-0000-0000DD020000}"/>
    <cellStyle name="_Purchase report for the month of July" xfId="834" xr:uid="{00000000-0005-0000-0000-0000DE020000}"/>
    <cellStyle name="_Purchase report for the month of June" xfId="835" xr:uid="{00000000-0005-0000-0000-0000DF020000}"/>
    <cellStyle name="_Purchase report for the month of Nov - 2008" xfId="836" xr:uid="{00000000-0005-0000-0000-0000E0020000}"/>
    <cellStyle name="_Purchase report for the month of October" xfId="837" xr:uid="{00000000-0005-0000-0000-0000E1020000}"/>
    <cellStyle name="_Purchase report for the month of September" xfId="838" xr:uid="{00000000-0005-0000-0000-0000E2020000}"/>
    <cellStyle name="_QUALITY June 08" xfId="839" xr:uid="{00000000-0005-0000-0000-0000E3020000}"/>
    <cellStyle name="_Quantities per flat by AVY" xfId="840" xr:uid="{00000000-0005-0000-0000-0000E4020000}"/>
    <cellStyle name="_R block details-Budget" xfId="841" xr:uid="{00000000-0005-0000-0000-0000E5020000}"/>
    <cellStyle name="_R F I  LOG" xfId="842" xr:uid="{00000000-0005-0000-0000-0000E6020000}"/>
    <cellStyle name="_R(1).A_01_Santech(certified)" xfId="843" xr:uid="{00000000-0005-0000-0000-0000E7020000}"/>
    <cellStyle name="_R(1).A_01_Santech-final-certified" xfId="844" xr:uid="{00000000-0005-0000-0000-0000E8020000}"/>
    <cellStyle name="_R3_on_25.08.08_-__Option-II" xfId="845" xr:uid="{00000000-0005-0000-0000-0000E9020000}"/>
    <cellStyle name="_RA - BILL - 4 - certified" xfId="846" xr:uid="{00000000-0005-0000-0000-0000EA020000}"/>
    <cellStyle name="_RA Bill -03new" xfId="847" xr:uid="{00000000-0005-0000-0000-0000EB020000}"/>
    <cellStyle name="_RA BILL-02" xfId="848" xr:uid="{00000000-0005-0000-0000-0000EC020000}"/>
    <cellStyle name="_RA_01_KAFAX-CERTIFIED" xfId="849" xr:uid="{00000000-0005-0000-0000-0000ED020000}"/>
    <cellStyle name="_RA_01_KAFAX-final-certified" xfId="850" xr:uid="{00000000-0005-0000-0000-0000EE020000}"/>
    <cellStyle name="_ra-7 ADHOC" xfId="851" xr:uid="{00000000-0005-0000-0000-0000EF020000}"/>
    <cellStyle name="_ra-7 ADHOC_Book2" xfId="852" xr:uid="{00000000-0005-0000-0000-0000F0020000}"/>
    <cellStyle name="_ra-7 ADHOC_Book2 2" xfId="853" xr:uid="{00000000-0005-0000-0000-0000F1020000}"/>
    <cellStyle name="_rab-02" xfId="854" xr:uid="{00000000-0005-0000-0000-0000F2020000}"/>
    <cellStyle name="_rab-03" xfId="855" xr:uid="{00000000-0005-0000-0000-0000F3020000}"/>
    <cellStyle name="_RA-MKT" xfId="856" xr:uid="{00000000-0005-0000-0000-0000F4020000}"/>
    <cellStyle name="_Ranchi Package 2 - Workings" xfId="857" xr:uid="{00000000-0005-0000-0000-0000F5020000}"/>
    <cellStyle name="_Rate Analysis" xfId="858" xr:uid="{00000000-0005-0000-0000-0000F6020000}"/>
    <cellStyle name="_rcc &amp; shut april" xfId="859" xr:uid="{00000000-0005-0000-0000-0000F7020000}"/>
    <cellStyle name="_RCC-ROW HOUSE-17.05.08" xfId="860" xr:uid="{00000000-0005-0000-0000-0000F8020000}"/>
    <cellStyle name="_RCC-ROW HOUSE-17.05.08_ESTIMATE- RTC CREST ANNEX-20-02-10-SSA" xfId="861" xr:uid="{00000000-0005-0000-0000-0000F9020000}"/>
    <cellStyle name="_RCC-ROW HOUSE-17.05.08_RA_MKT_INTERIOR" xfId="862" xr:uid="{00000000-0005-0000-0000-0000FA020000}"/>
    <cellStyle name="_RCC-ROW HOUSE-17.05.08_RA-MKT" xfId="863" xr:uid="{00000000-0005-0000-0000-0000FB020000}"/>
    <cellStyle name="_RCC-ROW HOUSE-17.05.08_REV. BOQ-KNOWLEDGE CENTERl-09-01-10-AP" xfId="864" xr:uid="{00000000-0005-0000-0000-0000FC020000}"/>
    <cellStyle name="_RCC-ROW HOUSE-17.05.08_REV.EST" xfId="865" xr:uid="{00000000-0005-0000-0000-0000FD020000}"/>
    <cellStyle name="_RCC-ROW HOUSE-17.05.08_REV.ESTIMATE" xfId="866" xr:uid="{00000000-0005-0000-0000-0000FE020000}"/>
    <cellStyle name="_Rec  SUMMARY June-08" xfId="867" xr:uid="{00000000-0005-0000-0000-0000FF020000}"/>
    <cellStyle name="_Rec  SUMMARY June-08_Material Reco March-2011 (Homes)" xfId="868" xr:uid="{00000000-0005-0000-0000-000000030000}"/>
    <cellStyle name="_Rec  SUMMARY June-08_Monthly Progress Report - MPR" xfId="869" xr:uid="{00000000-0005-0000-0000-000001030000}"/>
    <cellStyle name="_Rec  SUMMARY June-08_Monthly Progress Report - MPR VV" xfId="870" xr:uid="{00000000-0005-0000-0000-000002030000}"/>
    <cellStyle name="_Rec  SUMMARY June-08_SAFETY RECORD FOR THE MONTH OF May,  2011 - MPR" xfId="871" xr:uid="{00000000-0005-0000-0000-000003030000}"/>
    <cellStyle name="_Rec  SUMMARY June-08_SAFETY RECORD FOR THE MONTH OFApril, 2011 - MPR" xfId="872" xr:uid="{00000000-0005-0000-0000-000004030000}"/>
    <cellStyle name="_Rec  SUMMARY June-08_Weekly Photos 1 July 09 onwards" xfId="873" xr:uid="{00000000-0005-0000-0000-000005030000}"/>
    <cellStyle name="_Rec  SUMMARY June-08_WPR 26-1 Nov 2009" xfId="874" xr:uid="{00000000-0005-0000-0000-000006030000}"/>
    <cellStyle name="_Rec  SUMMARY June-08_WPR Magnolias 2009" xfId="875" xr:uid="{00000000-0005-0000-0000-000007030000}"/>
    <cellStyle name="_rec apr08" xfId="876" xr:uid="{00000000-0005-0000-0000-000008030000}"/>
    <cellStyle name="_rec apr08_Material Reco March-2011 (Homes)" xfId="877" xr:uid="{00000000-0005-0000-0000-000009030000}"/>
    <cellStyle name="_rec apr08_Monthly Progress Report - MPR" xfId="878" xr:uid="{00000000-0005-0000-0000-00000A030000}"/>
    <cellStyle name="_rec apr08_Monthly Progress Report - MPR VV" xfId="879" xr:uid="{00000000-0005-0000-0000-00000B030000}"/>
    <cellStyle name="_rec apr08_SAFETY RECORD FOR THE MONTH OF May,  2011 - MPR" xfId="880" xr:uid="{00000000-0005-0000-0000-00000C030000}"/>
    <cellStyle name="_rec apr08_SAFETY RECORD FOR THE MONTH OFApril, 2011 - MPR" xfId="881" xr:uid="{00000000-0005-0000-0000-00000D030000}"/>
    <cellStyle name="_rec apr08_Sectional Progress 1 July 09 onwards" xfId="882" xr:uid="{00000000-0005-0000-0000-00000E030000}"/>
    <cellStyle name="_rec apr08_Weekly Photos 1 July 09 onwards" xfId="883" xr:uid="{00000000-0005-0000-0000-00000F030000}"/>
    <cellStyle name="_rec apr08_WPR 26-1 Nov 2009" xfId="884" xr:uid="{00000000-0005-0000-0000-000010030000}"/>
    <cellStyle name="_rec apr08_WPR Magnolias 2009" xfId="885" xr:uid="{00000000-0005-0000-0000-000011030000}"/>
    <cellStyle name="_Rec Summary Sep-2008" xfId="886" xr:uid="{00000000-0005-0000-0000-000012030000}"/>
    <cellStyle name="_Rec-jan-08" xfId="887" xr:uid="{00000000-0005-0000-0000-000013030000}"/>
    <cellStyle name="_Rec-jan-08 2" xfId="888" xr:uid="{00000000-0005-0000-0000-000014030000}"/>
    <cellStyle name="_Rec-jan-08_Item Rate Client Bill RA-7 Dec.10 (SBM Homes)" xfId="889" xr:uid="{00000000-0005-0000-0000-000015030000}"/>
    <cellStyle name="_Rec-jan-08_Labour Camp Detail" xfId="890" xr:uid="{00000000-0005-0000-0000-000016030000}"/>
    <cellStyle name="_Rec-jan-08_Material Reco March-2011 (Homes)" xfId="891" xr:uid="{00000000-0005-0000-0000-000017030000}"/>
    <cellStyle name="_Rec-jan-08_Monthly Progress Report - MPR" xfId="892" xr:uid="{00000000-0005-0000-0000-000018030000}"/>
    <cellStyle name="_Rec-jan-08_Monthly Progress Report - MPR VV" xfId="893" xr:uid="{00000000-0005-0000-0000-000019030000}"/>
    <cellStyle name="_Rec-jan-08_SAFETY RECORD FOR THE MONTH OF May,  2011 - MPR" xfId="894" xr:uid="{00000000-0005-0000-0000-00001A030000}"/>
    <cellStyle name="_Rec-jan-08_SAFETY RECORD FOR THE MONTH OFApril, 2011 - MPR" xfId="895" xr:uid="{00000000-0005-0000-0000-00001B030000}"/>
    <cellStyle name="_Rec-jan-08_Sectional Progress 1 July 09 onwards" xfId="896" xr:uid="{00000000-0005-0000-0000-00001C030000}"/>
    <cellStyle name="_Rec-jan-08_Weekly Photos 1 July 09 onwards" xfId="897" xr:uid="{00000000-0005-0000-0000-00001D030000}"/>
    <cellStyle name="_Rec-jan-08_WPR 26-1 Nov 2009" xfId="898" xr:uid="{00000000-0005-0000-0000-00001E030000}"/>
    <cellStyle name="_Rec-jan-08_WPR Magnolias 2009" xfId="899" xr:uid="{00000000-0005-0000-0000-00001F030000}"/>
    <cellStyle name="_RecoDiesel" xfId="900" xr:uid="{00000000-0005-0000-0000-000020030000}"/>
    <cellStyle name="_Recon  Sep-07" xfId="901" xr:uid="{00000000-0005-0000-0000-000021030000}"/>
    <cellStyle name="_Recon  Sep-07 2" xfId="902" xr:uid="{00000000-0005-0000-0000-000022030000}"/>
    <cellStyle name="_Recon  Sep-07_Item Rate Client Bill RA-7 Dec.10 (SBM Homes)" xfId="903" xr:uid="{00000000-0005-0000-0000-000023030000}"/>
    <cellStyle name="_Recon  Sep-07_Labour Camp Detail" xfId="904" xr:uid="{00000000-0005-0000-0000-000024030000}"/>
    <cellStyle name="_Recon  Sep-07_Material Reco March-2011 (Homes)" xfId="905" xr:uid="{00000000-0005-0000-0000-000025030000}"/>
    <cellStyle name="_Recon  Sep-07_Monthly Progress Report - MPR" xfId="906" xr:uid="{00000000-0005-0000-0000-000026030000}"/>
    <cellStyle name="_Recon  Sep-07_Monthly Progress Report - MPR VV" xfId="907" xr:uid="{00000000-0005-0000-0000-000027030000}"/>
    <cellStyle name="_Recon  Sep-07_SAFETY RECORD FOR THE MONTH OF May,  2011 - MPR" xfId="908" xr:uid="{00000000-0005-0000-0000-000028030000}"/>
    <cellStyle name="_Recon  Sep-07_SAFETY RECORD FOR THE MONTH OFApril, 2011 - MPR" xfId="909" xr:uid="{00000000-0005-0000-0000-000029030000}"/>
    <cellStyle name="_Recon  Sep-07_Sectional Progress 1 July 09 onwards" xfId="910" xr:uid="{00000000-0005-0000-0000-00002A030000}"/>
    <cellStyle name="_Recon  Sep-07_Weekly Photos 1 July 09 onwards" xfId="911" xr:uid="{00000000-0005-0000-0000-00002B030000}"/>
    <cellStyle name="_Recon  Sep-07_WPR 26-1 Nov 2009" xfId="912" xr:uid="{00000000-0005-0000-0000-00002C030000}"/>
    <cellStyle name="_Recon  Sep-07_WPR Magnolias 2009" xfId="913" xr:uid="{00000000-0005-0000-0000-00002D030000}"/>
    <cellStyle name="_recon August" xfId="914" xr:uid="{00000000-0005-0000-0000-00002E030000}"/>
    <cellStyle name="_recon August 2" xfId="915" xr:uid="{00000000-0005-0000-0000-00002F030000}"/>
    <cellStyle name="_recon August_Item Rate Client Bill RA-7 Dec.10 (SBM Homes)" xfId="916" xr:uid="{00000000-0005-0000-0000-000030030000}"/>
    <cellStyle name="_recon August_Labour Camp Detail" xfId="917" xr:uid="{00000000-0005-0000-0000-000031030000}"/>
    <cellStyle name="_recon August_Material Reco March-2011 (Homes)" xfId="918" xr:uid="{00000000-0005-0000-0000-000032030000}"/>
    <cellStyle name="_recon August_Monthly Progress Report - MPR" xfId="919" xr:uid="{00000000-0005-0000-0000-000033030000}"/>
    <cellStyle name="_recon August_Monthly Progress Report - MPR VV" xfId="920" xr:uid="{00000000-0005-0000-0000-000034030000}"/>
    <cellStyle name="_recon August_SAFETY RECORD FOR THE MONTH OF May,  2011 - MPR" xfId="921" xr:uid="{00000000-0005-0000-0000-000035030000}"/>
    <cellStyle name="_recon August_SAFETY RECORD FOR THE MONTH OFApril, 2011 - MPR" xfId="922" xr:uid="{00000000-0005-0000-0000-000036030000}"/>
    <cellStyle name="_recon August_Sectional Progress 1 July 09 onwards" xfId="923" xr:uid="{00000000-0005-0000-0000-000037030000}"/>
    <cellStyle name="_recon August_Weekly Photos 1 July 09 onwards" xfId="924" xr:uid="{00000000-0005-0000-0000-000038030000}"/>
    <cellStyle name="_recon August_WPR 26-1 Nov 2009" xfId="925" xr:uid="{00000000-0005-0000-0000-000039030000}"/>
    <cellStyle name="_recon August_WPR Magnolias 2009" xfId="926" xr:uid="{00000000-0005-0000-0000-00003A030000}"/>
    <cellStyle name="_recon june 07 Psummary" xfId="927" xr:uid="{00000000-0005-0000-0000-00003B030000}"/>
    <cellStyle name="_recon june 07 Psummary 2" xfId="928" xr:uid="{00000000-0005-0000-0000-00003C030000}"/>
    <cellStyle name="_recon june 07 Psummary_Item Rate Client Bill RA-7 Dec.10 (SBM Homes)" xfId="929" xr:uid="{00000000-0005-0000-0000-00003D030000}"/>
    <cellStyle name="_recon june 07 Psummary_Labour Camp Detail" xfId="930" xr:uid="{00000000-0005-0000-0000-00003E030000}"/>
    <cellStyle name="_recon june 07 Psummary_Material Reco March-2011 (Homes)" xfId="931" xr:uid="{00000000-0005-0000-0000-00003F030000}"/>
    <cellStyle name="_recon june 07 Psummary_Monthly Progress Report - MPR" xfId="932" xr:uid="{00000000-0005-0000-0000-000040030000}"/>
    <cellStyle name="_recon june 07 Psummary_Monthly Progress Report - MPR VV" xfId="933" xr:uid="{00000000-0005-0000-0000-000041030000}"/>
    <cellStyle name="_recon june 07 Psummary_SAFETY RECORD FOR THE MONTH OF May,  2011 - MPR" xfId="934" xr:uid="{00000000-0005-0000-0000-000042030000}"/>
    <cellStyle name="_recon june 07 Psummary_SAFETY RECORD FOR THE MONTH OFApril, 2011 - MPR" xfId="935" xr:uid="{00000000-0005-0000-0000-000043030000}"/>
    <cellStyle name="_recon june 07 Psummary_Sectional Progress 1 July 09 onwards" xfId="936" xr:uid="{00000000-0005-0000-0000-000044030000}"/>
    <cellStyle name="_recon june 07 Psummary_Weekly Photos 1 July 09 onwards" xfId="937" xr:uid="{00000000-0005-0000-0000-000045030000}"/>
    <cellStyle name="_recon june 07 Psummary_WPR 26-1 Nov 2009" xfId="938" xr:uid="{00000000-0005-0000-0000-000046030000}"/>
    <cellStyle name="_recon june 07 Psummary_WPR Magnolias 2009" xfId="939" xr:uid="{00000000-0005-0000-0000-000047030000}"/>
    <cellStyle name="_Reconciliation for June '08 (version 1)" xfId="940" xr:uid="{00000000-0005-0000-0000-000048030000}"/>
    <cellStyle name="_Reconciliation for May '08" xfId="941" xr:uid="{00000000-0005-0000-0000-000049030000}"/>
    <cellStyle name="_Reconciliation Steel Planning upto 29-03-08-QS" xfId="942" xr:uid="{00000000-0005-0000-0000-00004A030000}"/>
    <cellStyle name="_Reconciliation Steel Planning upto 30-09-07" xfId="943" xr:uid="{00000000-0005-0000-0000-00004B030000}"/>
    <cellStyle name="_Reconciliation Steel Planning upto 30-12-07" xfId="944" xr:uid="{00000000-0005-0000-0000-00004C030000}"/>
    <cellStyle name="_Reconciliation summary" xfId="945" xr:uid="{00000000-0005-0000-0000-00004D030000}"/>
    <cellStyle name="_Reconciliation upto June'08 (On Progress Qty.)" xfId="946" xr:uid="{00000000-0005-0000-0000-00004E030000}"/>
    <cellStyle name="_Reconciliation-Mar 08" xfId="947" xr:uid="{00000000-0005-0000-0000-00004F030000}"/>
    <cellStyle name="_reconcillation upto sep-08" xfId="948" xr:uid="{00000000-0005-0000-0000-000050030000}"/>
    <cellStyle name="_Reconsilation- Top Sheet June. 2008" xfId="949" xr:uid="{00000000-0005-0000-0000-000051030000}"/>
    <cellStyle name="_Report Summary Formats" xfId="950" xr:uid="{00000000-0005-0000-0000-000052030000}"/>
    <cellStyle name="_Reports for the month of April'10" xfId="951" xr:uid="{00000000-0005-0000-0000-000053030000}"/>
    <cellStyle name="_Reports for the Month of May'2010" xfId="952" xr:uid="{00000000-0005-0000-0000-000054030000}"/>
    <cellStyle name="_Res-Item Rate Analysis-r2_ RAP4" xfId="953" xr:uid="{00000000-0005-0000-0000-000055030000}"/>
    <cellStyle name="_Retaining Wall" xfId="954" xr:uid="{00000000-0005-0000-0000-000056030000}"/>
    <cellStyle name="_Retaining wall -E &amp; G checked" xfId="955" xr:uid="{00000000-0005-0000-0000-000057030000}"/>
    <cellStyle name="_REV DRAFT FINISHING BOQ WITH MEAS-2-12-09" xfId="956" xr:uid="{00000000-0005-0000-0000-000058030000}"/>
    <cellStyle name="_Rev-2(07(1).07.10)(1)" xfId="957" xr:uid="{00000000-0005-0000-0000-000059030000}"/>
    <cellStyle name="_REV-BOQ-BLDG-23-16.09.09" xfId="958" xr:uid="{00000000-0005-0000-0000-00005A030000}"/>
    <cellStyle name="_REV-ESTIMATE-BLDG-2-10.04.09" xfId="959" xr:uid="{00000000-0005-0000-0000-00005B030000}"/>
    <cellStyle name="_REV-ESTIMATE-BLDG-2-10.04.09_ESTIMATE- RTC CREST ANNEX-20-02-10-SSA" xfId="960" xr:uid="{00000000-0005-0000-0000-00005C030000}"/>
    <cellStyle name="_REV-ESTIMATE-BLDG-2-10.04.09_RA_MKT_INTERIOR" xfId="961" xr:uid="{00000000-0005-0000-0000-00005D030000}"/>
    <cellStyle name="_REV-ESTIMATE-BLDG-2-10.04.09_RA-MKT" xfId="962" xr:uid="{00000000-0005-0000-0000-00005E030000}"/>
    <cellStyle name="_REV-ESTIMATE-BLDG-2-10.04.09_REV.EST" xfId="963" xr:uid="{00000000-0005-0000-0000-00005F030000}"/>
    <cellStyle name="_REV-ESTIMATE-BLDG-2-10.04.09_REV.ESTIMATE" xfId="964" xr:uid="{00000000-0005-0000-0000-000060030000}"/>
    <cellStyle name="_REV-ESTIMATE-BLDG-3-10.04.09" xfId="965" xr:uid="{00000000-0005-0000-0000-000061030000}"/>
    <cellStyle name="_REV-ESTIMATE-BLDG-3-10.04.09_ESTIMATE- RTC CREST ANNEX-20-02-10-SSA" xfId="966" xr:uid="{00000000-0005-0000-0000-000062030000}"/>
    <cellStyle name="_REV-ESTIMATE-BLDG-3-10.04.09_RA_MKT_INTERIOR" xfId="967" xr:uid="{00000000-0005-0000-0000-000063030000}"/>
    <cellStyle name="_REV-ESTIMATE-BLDG-3-10.04.09_RA-MKT" xfId="968" xr:uid="{00000000-0005-0000-0000-000064030000}"/>
    <cellStyle name="_REV-ESTIMATE-BLDG-3-10.04.09_REV.EST" xfId="969" xr:uid="{00000000-0005-0000-0000-000065030000}"/>
    <cellStyle name="_REV-ESTIMATE-BLDG-3-10.04.09_REV.ESTIMATE" xfId="970" xr:uid="{00000000-0005-0000-0000-000066030000}"/>
    <cellStyle name="_REV-ESTIMATE-BLDG-3-10.04.09-formated" xfId="971" xr:uid="{00000000-0005-0000-0000-000067030000}"/>
    <cellStyle name="_Revised  Stone Flooring &amp; Cladding Contract(02.12)" xfId="972" xr:uid="{00000000-0005-0000-0000-000068030000}"/>
    <cellStyle name="_REvised BID - ICFAI(HKD)" xfId="973" xr:uid="{00000000-0005-0000-0000-000069030000}"/>
    <cellStyle name="_revised budget (2)" xfId="974" xr:uid="{00000000-0005-0000-0000-00006A030000}"/>
    <cellStyle name="_REVISED DRAFT BOQ-STRU-CIVIL FOR BUILDING A-06.10.08" xfId="975" xr:uid="{00000000-0005-0000-0000-00006B030000}"/>
    <cellStyle name="_REVISED DRAFT-BOQ-EST-19.03.08" xfId="976" xr:uid="{00000000-0005-0000-0000-00006C030000}"/>
    <cellStyle name="_Revised EST-30.08.08 as per all reduction old-ref" xfId="977" xr:uid="{00000000-0005-0000-0000-00006D030000}"/>
    <cellStyle name="_Revised EST-30.08.08 as per all reduction old-ref_ESTIMATE- RTC CREST ANNEX-20-02-10-SSA" xfId="978" xr:uid="{00000000-0005-0000-0000-00006E030000}"/>
    <cellStyle name="_Revised EST-30.08.08 as per all reduction old-ref_RA_MKT_INTERIOR" xfId="979" xr:uid="{00000000-0005-0000-0000-00006F030000}"/>
    <cellStyle name="_Revised EST-30.08.08 as per all reduction old-ref_RA-MKT" xfId="980" xr:uid="{00000000-0005-0000-0000-000070030000}"/>
    <cellStyle name="_Revised EST-30.08.08 as per all reduction old-ref_REV. BOQ-KNOWLEDGE CENTERl-09-01-10-AP" xfId="981" xr:uid="{00000000-0005-0000-0000-000071030000}"/>
    <cellStyle name="_Revised EST-30.08.08 as per all reduction old-ref_REV.EST" xfId="982" xr:uid="{00000000-0005-0000-0000-000072030000}"/>
    <cellStyle name="_Revised EST-30.08.08 as per all reduction old-ref_REV.ESTIMATE" xfId="983" xr:uid="{00000000-0005-0000-0000-000073030000}"/>
    <cellStyle name="_REVISED ESTIMATE CLUB HOUSE INTERIOR FINISHES-14.04.09" xfId="984" xr:uid="{00000000-0005-0000-0000-000074030000}"/>
    <cellStyle name="_Revised working on 20-9-08" xfId="985" xr:uid="{00000000-0005-0000-0000-000075030000}"/>
    <cellStyle name="_RMC DEBIT NOTE" xfId="986" xr:uid="{00000000-0005-0000-0000-000076030000}"/>
    <cellStyle name="_RM-Meeting" xfId="987" xr:uid="{00000000-0005-0000-0000-000077030000}"/>
    <cellStyle name="_RMZ  Futura" xfId="988" xr:uid="{00000000-0005-0000-0000-000078030000}"/>
    <cellStyle name="_RMZ - Zero Costing- 18.01.07 final" xfId="989" xr:uid="{00000000-0005-0000-0000-000079030000}"/>
    <cellStyle name="_RMZ - Zero Costing- 18.01.07 final_281210 EOT PLAMA" xfId="990" xr:uid="{00000000-0005-0000-0000-00007A030000}"/>
    <cellStyle name="_RMZ - Zero Costing- 18.01.07 final_Annexure - I Commencement Delays" xfId="991" xr:uid="{00000000-0005-0000-0000-00007B030000}"/>
    <cellStyle name="_RMZ - Zero Costing- 18.01.07 final_Cement reconcilation  up to Nov 2011" xfId="992" xr:uid="{00000000-0005-0000-0000-00007C030000}"/>
    <cellStyle name="_RMZ - Zero Costing- 18.01.07 final_pl Scope vs Front" xfId="993" xr:uid="{00000000-0005-0000-0000-00007D030000}"/>
    <cellStyle name="_RMZ Millinea (ACS, CCTV &amp; BMS) - 05.09.07R7(SiemensBMS)" xfId="994" xr:uid="{00000000-0005-0000-0000-00007E030000}"/>
    <cellStyle name="_RPM Report Working Sheet Nov'09" xfId="995" xr:uid="{00000000-0005-0000-0000-00007F030000}"/>
    <cellStyle name="_RTC Annex - MASONRY-Zone 3" xfId="996" xr:uid="{00000000-0005-0000-0000-000080030000}"/>
    <cellStyle name="_RTC Annex - MASONRY-Zone 3_ESTIMATE- RTC CREST ANNEX-20-02-10-SSA" xfId="997" xr:uid="{00000000-0005-0000-0000-000081030000}"/>
    <cellStyle name="_RTC Annex - MASONRY-Zone 3_RA_MKT_INTERIOR" xfId="998" xr:uid="{00000000-0005-0000-0000-000082030000}"/>
    <cellStyle name="_RTC Annex - MASONRY-Zone 3_RA-MKT" xfId="999" xr:uid="{00000000-0005-0000-0000-000083030000}"/>
    <cellStyle name="_RTC Annex - MASONRY-Zone 3_REV.EST" xfId="1000" xr:uid="{00000000-0005-0000-0000-000084030000}"/>
    <cellStyle name="_RTC Annex - MASONRY-Zone 3_REV.ESTIMATE" xfId="1001" xr:uid="{00000000-0005-0000-0000-000085030000}"/>
    <cellStyle name="_RTC Engg. Hall - MASONRY-Zone 3" xfId="1002" xr:uid="{00000000-0005-0000-0000-000086030000}"/>
    <cellStyle name="_RTC Engg. Hall - MASONRY-Zone 3_ESTIMATE- RTC CREST ANNEX-20-02-10-SSA" xfId="1003" xr:uid="{00000000-0005-0000-0000-000087030000}"/>
    <cellStyle name="_RTC Engg. Hall - MASONRY-Zone 3_RA_MKT_INTERIOR" xfId="1004" xr:uid="{00000000-0005-0000-0000-000088030000}"/>
    <cellStyle name="_RTC Engg. Hall - MASONRY-Zone 3_RA-MKT" xfId="1005" xr:uid="{00000000-0005-0000-0000-000089030000}"/>
    <cellStyle name="_RTC Engg. Hall - MASONRY-Zone 3_REV.EST" xfId="1006" xr:uid="{00000000-0005-0000-0000-00008A030000}"/>
    <cellStyle name="_RTC Engg. Hall - MASONRY-Zone 3_REV.ESTIMATE" xfId="1007" xr:uid="{00000000-0005-0000-0000-00008B030000}"/>
    <cellStyle name="_S.G. Software - BOQ" xfId="1008" xr:uid="{00000000-0005-0000-0000-00008C030000}"/>
    <cellStyle name="_S0-S10 - Final" xfId="1009" xr:uid="{00000000-0005-0000-0000-00008D030000}"/>
    <cellStyle name="_S1" xfId="1010" xr:uid="{00000000-0005-0000-0000-00008E030000}"/>
    <cellStyle name="_S1 PLAMA Commericial B'lore" xfId="1011" xr:uid="{00000000-0005-0000-0000-00008F030000}"/>
    <cellStyle name="_S1 PLAMA Residential B'lore" xfId="1012" xr:uid="{00000000-0005-0000-0000-000090030000}"/>
    <cellStyle name="_sana" xfId="1013" xr:uid="{00000000-0005-0000-0000-000091030000}"/>
    <cellStyle name="_sana_Book2" xfId="1014" xr:uid="{00000000-0005-0000-0000-000092030000}"/>
    <cellStyle name="_sana_Book2 2" xfId="1015" xr:uid="{00000000-0005-0000-0000-000093030000}"/>
    <cellStyle name="_Santech_bill_certified" xfId="1016" xr:uid="{00000000-0005-0000-0000-000094030000}"/>
    <cellStyle name="_Santech_M.Sheet-Abstract" xfId="1017" xr:uid="{00000000-0005-0000-0000-000095030000}"/>
    <cellStyle name="_SANTECH_RAB_2-CERTIFIED" xfId="1018" xr:uid="{00000000-0005-0000-0000-000096030000}"/>
    <cellStyle name="_Savoy (27 Oct 04)f Final" xfId="1019" xr:uid="{00000000-0005-0000-0000-000097030000}"/>
    <cellStyle name="_SC PAID AMOUNT-Up to July-08" xfId="1020" xr:uid="{00000000-0005-0000-0000-000098030000}"/>
    <cellStyle name="_Sch-Aug'05-Anjali D" xfId="1021" xr:uid="{00000000-0005-0000-0000-000099030000}"/>
    <cellStyle name="_section d - Tamouh Plot 2-3 Infra(Regional)-rev1-22.11.08(add6)" xfId="1022" xr:uid="{00000000-0005-0000-0000-00009A030000}"/>
    <cellStyle name="_section d - Tamouh Plot 2-3 Infra(Regional)-rev1-22.11.08(add6)_Analysis - Hodariyat - 20.06.09" xfId="1023" xr:uid="{00000000-0005-0000-0000-00009B030000}"/>
    <cellStyle name="_section d - Tamouh Plot 2-3 Infra(Regional)-rev1-22.11.08(add6)_Analysis - hodariyat Bridge - 16.05.09" xfId="1024" xr:uid="{00000000-0005-0000-0000-00009C030000}"/>
    <cellStyle name="_section d - Tamouh Plot 2-3 Infra(Regional)-rev1-22.11.08(add6)_Analysis - hodariyat Bridge - 16.05.09_1" xfId="1025" xr:uid="{00000000-0005-0000-0000-00009D030000}"/>
    <cellStyle name="_section d - Tamouh Plot 2-3 Infra(Regional)-rev1-22.11.08(add6)_Analysis - hodariyat Bridge - 16.05.09_1_Hodariyat Bridge (2)" xfId="1026" xr:uid="{00000000-0005-0000-0000-00009E030000}"/>
    <cellStyle name="_section d - Tamouh Plot 2-3 Infra(Regional)-rev1-22.11.08(add6)_Analysis-Road works" xfId="1027" xr:uid="{00000000-0005-0000-0000-00009F030000}"/>
    <cellStyle name="_section d - Tamouh Plot 2-3 Infra(Regional)-rev1-22.11.08(add6)_Analysis-Structures" xfId="1028" xr:uid="{00000000-0005-0000-0000-0000A0030000}"/>
    <cellStyle name="_section d - Tamouh Plot 2-3 Infra(Regional)-rev1-22.11.08(add6)_Copy of Sheet Piling - Analysis" xfId="1029" xr:uid="{00000000-0005-0000-0000-0000A1030000}"/>
    <cellStyle name="_Sector2&amp;3 - Regional - Post add1 - 09.02.09" xfId="1030" xr:uid="{00000000-0005-0000-0000-0000A2030000}"/>
    <cellStyle name="_Services Revised with POs" xfId="1031" xr:uid="{00000000-0005-0000-0000-0000A3030000}"/>
    <cellStyle name="_Sheet1" xfId="1032" xr:uid="{00000000-0005-0000-0000-0000A4030000}"/>
    <cellStyle name="_Sheet1_46RA Magnolias Item Rate Billing Abstract (new)" xfId="1033" xr:uid="{00000000-0005-0000-0000-0000A5030000}"/>
    <cellStyle name="_Sheet1_Bill Magnolias RA Bill No 38  Dec-09" xfId="1034" xr:uid="{00000000-0005-0000-0000-0000A6030000}"/>
    <cellStyle name="_Sheet1_Bill Magnolias RA Bill No 38 Dec-09" xfId="1035" xr:uid="{00000000-0005-0000-0000-0000A7030000}"/>
    <cellStyle name="_Sheet1_RA-3 Magnolias (Sep-10)" xfId="1036" xr:uid="{00000000-0005-0000-0000-0000A8030000}"/>
    <cellStyle name="_Sheet1_UPFRONT BILLING" xfId="1037" xr:uid="{00000000-0005-0000-0000-0000A9030000}"/>
    <cellStyle name="_Shell - Afas &amp; Pa - 23.05.06" xfId="1038" xr:uid="{00000000-0005-0000-0000-0000AA030000}"/>
    <cellStyle name="_SHELL'N'CORE_J1-IT PARKS-220108 - Compare from DLS" xfId="1039" xr:uid="{00000000-0005-0000-0000-0000AB030000}"/>
    <cellStyle name="_Shirdi" xfId="1040" xr:uid="{00000000-0005-0000-0000-0000AC030000}"/>
    <cellStyle name="_Siemens Worksheet" xfId="1041" xr:uid="{00000000-0005-0000-0000-0000AD030000}"/>
    <cellStyle name="_simplified temorary entranceto show flat" xfId="1042" xr:uid="{00000000-0005-0000-0000-0000AE030000}"/>
    <cellStyle name="_Single Line" xfId="1043" xr:uid="{00000000-0005-0000-0000-0000AF030000}"/>
    <cellStyle name="_Single Line_pl Scope vs Front" xfId="1044" xr:uid="{00000000-0005-0000-0000-0000B0030000}"/>
    <cellStyle name="_Site Sharing - Expense" xfId="1045" xr:uid="{00000000-0005-0000-0000-0000B1030000}"/>
    <cellStyle name="_Slab &amp; Beam" xfId="1046" xr:uid="{00000000-0005-0000-0000-0000B2030000}"/>
    <cellStyle name="_Sri Projectss  RA no-06 21. 03.10 to 16.04.10" xfId="1047" xr:uid="{00000000-0005-0000-0000-0000B3030000}"/>
    <cellStyle name="_Staff Cost Deduction June 08 Bill" xfId="1048" xr:uid="{00000000-0005-0000-0000-0000B4030000}"/>
    <cellStyle name="_Staff_Details_210509_w.o.new Job-r1" xfId="1049" xr:uid="{00000000-0005-0000-0000-0000B5030000}"/>
    <cellStyle name="_Staff_Details_210509_w.o.new Job-r1 2" xfId="1050" xr:uid="{00000000-0005-0000-0000-0000B6030000}"/>
    <cellStyle name="_Staff_Details_210509_w.o.new Job-r1_Item Rate Client Bill RA-7 Dec.10 (SBM Homes)" xfId="1051" xr:uid="{00000000-0005-0000-0000-0000B7030000}"/>
    <cellStyle name="_Staff_Details_210509_w.o.new Job-r1_Labour Camp Detail" xfId="1052" xr:uid="{00000000-0005-0000-0000-0000B8030000}"/>
    <cellStyle name="_staircase" xfId="1053" xr:uid="{00000000-0005-0000-0000-0000B9030000}"/>
    <cellStyle name="_Stone Flooring &amp; Cladding Contract" xfId="1054" xr:uid="{00000000-0005-0000-0000-0000BA030000}"/>
    <cellStyle name="_STRUCTURE(BLD-01-02-03)" xfId="1055" xr:uid="{00000000-0005-0000-0000-0000BB030000}"/>
    <cellStyle name="_SubHeading" xfId="1056" xr:uid="{00000000-0005-0000-0000-0000BC030000}"/>
    <cellStyle name="_Sumary Rec Mar-08 (2)" xfId="1057" xr:uid="{00000000-0005-0000-0000-0000BD030000}"/>
    <cellStyle name="_Sumary Rec Mar-08 (2)_Material Reco March-2011 (Homes)" xfId="1058" xr:uid="{00000000-0005-0000-0000-0000BE030000}"/>
    <cellStyle name="_Sumary Rec Mar-08 (2)_Monthly Progress Report - MPR" xfId="1059" xr:uid="{00000000-0005-0000-0000-0000BF030000}"/>
    <cellStyle name="_Sumary Rec Mar-08 (2)_Monthly Progress Report - MPR VV" xfId="1060" xr:uid="{00000000-0005-0000-0000-0000C0030000}"/>
    <cellStyle name="_Sumary Rec Mar-08 (2)_SAFETY RECORD FOR THE MONTH OF May,  2011 - MPR" xfId="1061" xr:uid="{00000000-0005-0000-0000-0000C1030000}"/>
    <cellStyle name="_Sumary Rec Mar-08 (2)_SAFETY RECORD FOR THE MONTH OFApril, 2011 - MPR" xfId="1062" xr:uid="{00000000-0005-0000-0000-0000C2030000}"/>
    <cellStyle name="_Sumary Rec Mar-08 (2)_Sectional Progress 1 July 09 onwards" xfId="1063" xr:uid="{00000000-0005-0000-0000-0000C3030000}"/>
    <cellStyle name="_Sumary Rec Mar-08 (2)_Weekly Photos 1 July 09 onwards" xfId="1064" xr:uid="{00000000-0005-0000-0000-0000C4030000}"/>
    <cellStyle name="_Sumary Rec Mar-08 (2)_WPR 26-1 Nov 2009" xfId="1065" xr:uid="{00000000-0005-0000-0000-0000C5030000}"/>
    <cellStyle name="_Sumary Rec Mar-08 (2)_WPR Magnolias 2009" xfId="1066" xr:uid="{00000000-0005-0000-0000-0000C6030000}"/>
    <cellStyle name="_Summary of Recon Nov-2007 (2)" xfId="1067" xr:uid="{00000000-0005-0000-0000-0000C7030000}"/>
    <cellStyle name="_Summary of Recon Nov-2007 (2) 2" xfId="1068" xr:uid="{00000000-0005-0000-0000-0000C8030000}"/>
    <cellStyle name="_Summary of Recon Nov-2007 (2)_Item Rate Client Bill RA-7 Dec.10 (SBM Homes)" xfId="1069" xr:uid="{00000000-0005-0000-0000-0000C9030000}"/>
    <cellStyle name="_Summary of Recon Nov-2007 (2)_Labour Camp Detail" xfId="1070" xr:uid="{00000000-0005-0000-0000-0000CA030000}"/>
    <cellStyle name="_Summary of Recon Nov-2007 (2)_Material Reco March-2011 (Homes)" xfId="1071" xr:uid="{00000000-0005-0000-0000-0000CB030000}"/>
    <cellStyle name="_Summary of Recon Nov-2007 (2)_Monthly Progress Report - MPR" xfId="1072" xr:uid="{00000000-0005-0000-0000-0000CC030000}"/>
    <cellStyle name="_Summary of Recon Nov-2007 (2)_Monthly Progress Report - MPR VV" xfId="1073" xr:uid="{00000000-0005-0000-0000-0000CD030000}"/>
    <cellStyle name="_Summary of Recon Nov-2007 (2)_SAFETY RECORD FOR THE MONTH OF May,  2011 - MPR" xfId="1074" xr:uid="{00000000-0005-0000-0000-0000CE030000}"/>
    <cellStyle name="_Summary of Recon Nov-2007 (2)_SAFETY RECORD FOR THE MONTH OFApril, 2011 - MPR" xfId="1075" xr:uid="{00000000-0005-0000-0000-0000CF030000}"/>
    <cellStyle name="_Summary of Recon Nov-2007 (2)_Sectional Progress 1 July 09 onwards" xfId="1076" xr:uid="{00000000-0005-0000-0000-0000D0030000}"/>
    <cellStyle name="_Summary of Recon Nov-2007 (2)_Weekly Photos 1 July 09 onwards" xfId="1077" xr:uid="{00000000-0005-0000-0000-0000D1030000}"/>
    <cellStyle name="_Summary of Recon Nov-2007 (2)_WPR 26-1 Nov 2009" xfId="1078" xr:uid="{00000000-0005-0000-0000-0000D2030000}"/>
    <cellStyle name="_Summary of Recon Nov-2007 (2)_WPR Magnolias 2009" xfId="1079" xr:uid="{00000000-0005-0000-0000-0000D3030000}"/>
    <cellStyle name="_SUMMARY OF ZONE-IV - 17.09.08" xfId="1080" xr:uid="{00000000-0005-0000-0000-0000D4030000}"/>
    <cellStyle name="_SUMMARY OF ZONE-IV - 17.09.08_ESTIMATE- RTC CREST ANNEX-20-02-10-SSA" xfId="1081" xr:uid="{00000000-0005-0000-0000-0000D5030000}"/>
    <cellStyle name="_SUMMARY OF ZONE-IV - 17.09.08_RA_MKT_INTERIOR" xfId="1082" xr:uid="{00000000-0005-0000-0000-0000D6030000}"/>
    <cellStyle name="_SUMMARY OF ZONE-IV - 17.09.08_RA-MKT" xfId="1083" xr:uid="{00000000-0005-0000-0000-0000D7030000}"/>
    <cellStyle name="_SUMMARY OF ZONE-IV - 17.09.08_REV.EST" xfId="1084" xr:uid="{00000000-0005-0000-0000-0000D8030000}"/>
    <cellStyle name="_SUMMARY OF ZONE-IV - 17.09.08_REV.ESTIMATE" xfId="1085" xr:uid="{00000000-0005-0000-0000-0000D9030000}"/>
    <cellStyle name="_SUMMARY Rec-0508" xfId="1086" xr:uid="{00000000-0005-0000-0000-0000DA030000}"/>
    <cellStyle name="_SUMMARY Rec-0508_Material Reco March-2011 (Homes)" xfId="1087" xr:uid="{00000000-0005-0000-0000-0000DB030000}"/>
    <cellStyle name="_SUMMARY Rec-0508_Monthly Progress Report - MPR" xfId="1088" xr:uid="{00000000-0005-0000-0000-0000DC030000}"/>
    <cellStyle name="_SUMMARY Rec-0508_Monthly Progress Report - MPR VV" xfId="1089" xr:uid="{00000000-0005-0000-0000-0000DD030000}"/>
    <cellStyle name="_SUMMARY Rec-0508_SAFETY RECORD FOR THE MONTH OF May,  2011 - MPR" xfId="1090" xr:uid="{00000000-0005-0000-0000-0000DE030000}"/>
    <cellStyle name="_SUMMARY Rec-0508_SAFETY RECORD FOR THE MONTH OFApril, 2011 - MPR" xfId="1091" xr:uid="{00000000-0005-0000-0000-0000DF030000}"/>
    <cellStyle name="_SUMMARY Rec-0508_Sectional Progress 1 July 09 onwards" xfId="1092" xr:uid="{00000000-0005-0000-0000-0000E0030000}"/>
    <cellStyle name="_SUMMARY Rec-0508_Weekly Photos 1 July 09 onwards" xfId="1093" xr:uid="{00000000-0005-0000-0000-0000E1030000}"/>
    <cellStyle name="_SUMMARY Rec-0508_WPR 26-1 Nov 2009" xfId="1094" xr:uid="{00000000-0005-0000-0000-0000E2030000}"/>
    <cellStyle name="_SUMMARY Rec-0508_WPR Magnolias 2009" xfId="1095" xr:uid="{00000000-0005-0000-0000-0000E3030000}"/>
    <cellStyle name="_Summary Rec-Mar-2008Dlf" xfId="1096" xr:uid="{00000000-0005-0000-0000-0000E4030000}"/>
    <cellStyle name="_Summary Rec-Mar-2008Dlf_Material Reco March-2011 (Homes)" xfId="1097" xr:uid="{00000000-0005-0000-0000-0000E5030000}"/>
    <cellStyle name="_Summary Rec-Mar-2008Dlf_Monthly Progress Report - MPR" xfId="1098" xr:uid="{00000000-0005-0000-0000-0000E6030000}"/>
    <cellStyle name="_Summary Rec-Mar-2008Dlf_Monthly Progress Report - MPR VV" xfId="1099" xr:uid="{00000000-0005-0000-0000-0000E7030000}"/>
    <cellStyle name="_Summary Rec-Mar-2008Dlf_SAFETY RECORD FOR THE MONTH OF May,  2011 - MPR" xfId="1100" xr:uid="{00000000-0005-0000-0000-0000E8030000}"/>
    <cellStyle name="_Summary Rec-Mar-2008Dlf_SAFETY RECORD FOR THE MONTH OFApril, 2011 - MPR" xfId="1101" xr:uid="{00000000-0005-0000-0000-0000E9030000}"/>
    <cellStyle name="_Summary Rec-Mar-2008Dlf_Sectional Progress 1 July 09 onwards" xfId="1102" xr:uid="{00000000-0005-0000-0000-0000EA030000}"/>
    <cellStyle name="_Summary Rec-Mar-2008Dlf_Weekly Photos 1 July 09 onwards" xfId="1103" xr:uid="{00000000-0005-0000-0000-0000EB030000}"/>
    <cellStyle name="_Summary Rec-Mar-2008Dlf_WPR 26-1 Nov 2009" xfId="1104" xr:uid="{00000000-0005-0000-0000-0000EC030000}"/>
    <cellStyle name="_Summary Rec-Mar-2008Dlf_WPR Magnolias 2009" xfId="1105" xr:uid="{00000000-0005-0000-0000-0000ED030000}"/>
    <cellStyle name="_SUMMARY-ZONE-I" xfId="1106" xr:uid="{00000000-0005-0000-0000-0000EE030000}"/>
    <cellStyle name="_SUMMARY-ZONE-I_ESTIMATE- RTC CREST ANNEX-20-02-10-SSA" xfId="1107" xr:uid="{00000000-0005-0000-0000-0000EF030000}"/>
    <cellStyle name="_SUMMARY-ZONE-I_RA_MKT_INTERIOR" xfId="1108" xr:uid="{00000000-0005-0000-0000-0000F0030000}"/>
    <cellStyle name="_SUMMARY-ZONE-I_RA-MKT" xfId="1109" xr:uid="{00000000-0005-0000-0000-0000F1030000}"/>
    <cellStyle name="_SUMMARY-ZONE-I_REV.EST" xfId="1110" xr:uid="{00000000-0005-0000-0000-0000F2030000}"/>
    <cellStyle name="_SUMMARY-ZONE-I_REV.ESTIMATE" xfId="1111" xr:uid="{00000000-0005-0000-0000-0000F3030000}"/>
    <cellStyle name="_SUMMARY-ZONE-IV" xfId="1112" xr:uid="{00000000-0005-0000-0000-0000F4030000}"/>
    <cellStyle name="_SUMMARY-ZONE-IV_ESTIMATE- RTC CREST ANNEX-20-02-10-SSA" xfId="1113" xr:uid="{00000000-0005-0000-0000-0000F5030000}"/>
    <cellStyle name="_SUMMARY-ZONE-IV_RA_MKT_INTERIOR" xfId="1114" xr:uid="{00000000-0005-0000-0000-0000F6030000}"/>
    <cellStyle name="_SUMMARY-ZONE-IV_RA-MKT" xfId="1115" xr:uid="{00000000-0005-0000-0000-0000F7030000}"/>
    <cellStyle name="_SUMMARY-ZONE-IV_REV.EST" xfId="1116" xr:uid="{00000000-0005-0000-0000-0000F8030000}"/>
    <cellStyle name="_SUMMARY-ZONE-IV_REV.ESTIMATE" xfId="1117" xr:uid="{00000000-0005-0000-0000-0000F9030000}"/>
    <cellStyle name="_Sunernagar finishing" xfId="1118" xr:uid="{00000000-0005-0000-0000-0000FA030000}"/>
    <cellStyle name="_Surplus Staff (3)" xfId="1119" xr:uid="{00000000-0005-0000-0000-0000FB030000}"/>
    <cellStyle name="_Surplus Staff (3) 2" xfId="1120" xr:uid="{00000000-0005-0000-0000-0000FC030000}"/>
    <cellStyle name="_Surplus Staff (3)_Item Rate Client Bill RA-7 Dec.10 (SBM Homes)" xfId="1121" xr:uid="{00000000-0005-0000-0000-0000FD030000}"/>
    <cellStyle name="_Surplus Staff (3)_Labour Camp Detail" xfId="1122" xr:uid="{00000000-0005-0000-0000-0000FE030000}"/>
    <cellStyle name="_suzlon, coimbatore" xfId="1123" xr:uid="{00000000-0005-0000-0000-0000FF030000}"/>
    <cellStyle name="_suzlon, coimbatore_281210 EOT PLAMA" xfId="1124" xr:uid="{00000000-0005-0000-0000-000000040000}"/>
    <cellStyle name="_suzlon, coimbatore_Annexure - I Commencement Delays" xfId="1125" xr:uid="{00000000-0005-0000-0000-000001040000}"/>
    <cellStyle name="_suzlon, coimbatore_Cement reconcilation  up to Nov 2011" xfId="1126" xr:uid="{00000000-0005-0000-0000-000002040000}"/>
    <cellStyle name="_suzlon, coimbatore_pl Scope vs Front" xfId="1127" xr:uid="{00000000-0005-0000-0000-000003040000}"/>
    <cellStyle name="_Table" xfId="1128" xr:uid="{00000000-0005-0000-0000-000004040000}"/>
    <cellStyle name="_TableHead" xfId="1129" xr:uid="{00000000-0005-0000-0000-000005040000}"/>
    <cellStyle name="_TableRowHead" xfId="1130" xr:uid="{00000000-0005-0000-0000-000006040000}"/>
    <cellStyle name="_TableSuperHead" xfId="1131" xr:uid="{00000000-0005-0000-0000-000007040000}"/>
    <cellStyle name="_Tax RMZ" xfId="1132" xr:uid="{00000000-0005-0000-0000-000008040000}"/>
    <cellStyle name="_TBP4-PSE_HO" xfId="1133" xr:uid="{00000000-0005-0000-0000-000009040000}"/>
    <cellStyle name="_TCG Software Park (Tender) - 01.11.07" xfId="1134" xr:uid="{00000000-0005-0000-0000-00000A040000}"/>
    <cellStyle name="_TCS Analysis -Revised 25th Aug-06-R1- Final Submitted" xfId="1135" xr:uid="{00000000-0005-0000-0000-00000B040000}"/>
    <cellStyle name="_TCS working" xfId="1136" xr:uid="{00000000-0005-0000-0000-00000C040000}"/>
    <cellStyle name="_TENDER RESULT MASTER FILE" xfId="1137" xr:uid="{00000000-0005-0000-0000-00000D040000}"/>
    <cellStyle name="_Tender result-Chn Cargo Ph-III" xfId="1138" xr:uid="{00000000-0005-0000-0000-00000E040000}"/>
    <cellStyle name="_Tender Workings" xfId="1139" xr:uid="{00000000-0005-0000-0000-00000F040000}"/>
    <cellStyle name="_Tender Workings - By HQ" xfId="1140" xr:uid="{00000000-0005-0000-0000-000010040000}"/>
    <cellStyle name="_Terex Single Line BOQ(1)" xfId="1141" xr:uid="{00000000-0005-0000-0000-000011040000}"/>
    <cellStyle name="_TG06_Final" xfId="1142" xr:uid="{00000000-0005-0000-0000-000012040000}"/>
    <cellStyle name="_TG06_Final_Rates" xfId="1143" xr:uid="{00000000-0005-0000-0000-000013040000}"/>
    <cellStyle name="_TM01" xfId="1144" xr:uid="{00000000-0005-0000-0000-000014040000}"/>
    <cellStyle name="_TM01_IICL1" xfId="1145" xr:uid="{00000000-0005-0000-0000-000015040000}"/>
    <cellStyle name="_TM01-7001" xfId="1146" xr:uid="{00000000-0005-0000-0000-000016040000}"/>
    <cellStyle name="_Total work Struc.&amp; Fini scope for BLD-03 Buid tec " xfId="1147" xr:uid="{00000000-0005-0000-0000-000017040000}"/>
    <cellStyle name="_TR01" xfId="1148" xr:uid="{00000000-0005-0000-0000-000018040000}"/>
    <cellStyle name="_TR01-3325" xfId="1149" xr:uid="{00000000-0005-0000-0000-000019040000}"/>
    <cellStyle name="_TR01-SREL" xfId="1150" xr:uid="{00000000-0005-0000-0000-00001A040000}"/>
    <cellStyle name="_Transferable Material VAT Liablity - SBM Homes (Sep-2010)" xfId="1151" xr:uid="{00000000-0005-0000-0000-00001B040000}"/>
    <cellStyle name="_TT Project Gist" xfId="1152" xr:uid="{00000000-0005-0000-0000-00001C040000}"/>
    <cellStyle name="_TX IO Current Calculation" xfId="1153" xr:uid="{00000000-0005-0000-0000-00001D040000}"/>
    <cellStyle name="_Typical Analysis Data" xfId="1154" xr:uid="{00000000-0005-0000-0000-00001E040000}"/>
    <cellStyle name="_Typical Analysis Data1" xfId="1155" xr:uid="{00000000-0005-0000-0000-00001F040000}"/>
    <cellStyle name="_UKMIS 1.2 July 08" xfId="1156" xr:uid="{00000000-0005-0000-0000-000020040000}"/>
    <cellStyle name="_UKMIS 2.1 July 08" xfId="1157" xr:uid="{00000000-0005-0000-0000-000021040000}"/>
    <cellStyle name="_utilisation report Aug 08" xfId="1158" xr:uid="{00000000-0005-0000-0000-000022040000}"/>
    <cellStyle name="_utilisation report july 08" xfId="1159" xr:uid="{00000000-0005-0000-0000-000023040000}"/>
    <cellStyle name="_utilisation report june 08" xfId="1160" xr:uid="{00000000-0005-0000-0000-000024040000}"/>
    <cellStyle name="_utilisation report sep 2008" xfId="1161" xr:uid="{00000000-0005-0000-0000-000025040000}"/>
    <cellStyle name="_VSNL Centre at BKC" xfId="1162" xr:uid="{00000000-0005-0000-0000-000026040000}"/>
    <cellStyle name="_Vysya Bank - Mittal Towers" xfId="1163" xr:uid="{00000000-0005-0000-0000-000027040000}"/>
    <cellStyle name="_Vytilla Dec 08" xfId="1164" xr:uid="{00000000-0005-0000-0000-000028040000}"/>
    <cellStyle name="_Whitefield Palms (BMS) - 20.07.07" xfId="1165" xr:uid="{00000000-0005-0000-0000-000029040000}"/>
    <cellStyle name="_WO break up month wise" xfId="1166" xr:uid="{00000000-0005-0000-0000-00002A040000}"/>
    <cellStyle name="_WO break up month wise 2" xfId="1167" xr:uid="{00000000-0005-0000-0000-00002B040000}"/>
    <cellStyle name="_WO break up month wise_Item Rate Client Bill RA-7 Dec.10 (SBM Homes)" xfId="1168" xr:uid="{00000000-0005-0000-0000-00002C040000}"/>
    <cellStyle name="_WO break up month wise_Labour Camp Detail" xfId="1169" xr:uid="{00000000-0005-0000-0000-00002D040000}"/>
    <cellStyle name="_Working" xfId="1170" xr:uid="{00000000-0005-0000-0000-00002E040000}"/>
    <cellStyle name="_Working micron Ext.Final" xfId="1171" xr:uid="{00000000-0005-0000-0000-00002F040000}"/>
    <cellStyle name="_Working- Rev03" xfId="1172" xr:uid="{00000000-0005-0000-0000-000030040000}"/>
    <cellStyle name="_Working- TRVM" xfId="1173" xr:uid="{00000000-0005-0000-0000-000031040000}"/>
    <cellStyle name="_working_WPCPL Rev 02 dt 101207" xfId="1174" xr:uid="{00000000-0005-0000-0000-000032040000}"/>
    <cellStyle name="_WPR- DLF INFOCITY CHENNAI - 13.08.07 TO 19.08.07" xfId="1175" xr:uid="{00000000-0005-0000-0000-000033040000}"/>
    <cellStyle name="_Wrking- (Old)- final" xfId="1176" xr:uid="{00000000-0005-0000-0000-000034040000}"/>
    <cellStyle name="_ZCR - RO Corrected 23-06-09" xfId="1177" xr:uid="{00000000-0005-0000-0000-000035040000}"/>
    <cellStyle name="_ZCR 630 - Blue Horizon - 06.09.2009.test" xfId="1178" xr:uid="{00000000-0005-0000-0000-000036040000}"/>
    <cellStyle name="_ZCR for ITC" xfId="1179" xr:uid="{00000000-0005-0000-0000-000037040000}"/>
    <cellStyle name="_ZCR for ITC_pl Scope vs Front" xfId="1180" xr:uid="{00000000-0005-0000-0000-000038040000}"/>
    <cellStyle name="_ZCR-KC512" xfId="1181" xr:uid="{00000000-0005-0000-0000-000039040000}"/>
    <cellStyle name="_Zero Cost General Workings  - 22.05.08 corrections" xfId="1182" xr:uid="{00000000-0005-0000-0000-00003A040000}"/>
    <cellStyle name="_Zero Cost- Olympia- Final" xfId="1183" xr:uid="{00000000-0005-0000-0000-00003B040000}"/>
    <cellStyle name="`GENERAL" xfId="1184" xr:uid="{00000000-0005-0000-0000-00003C040000}"/>
    <cellStyle name="£ BP" xfId="1185" xr:uid="{00000000-0005-0000-0000-00003D040000}"/>
    <cellStyle name="￡ BP" xfId="1186" xr:uid="{00000000-0005-0000-0000-00003E040000}"/>
    <cellStyle name="¤@¯Elaroux" xfId="1187" xr:uid="{00000000-0005-0000-0000-00003F040000}"/>
    <cellStyle name="¤@¯Elaroux 2" xfId="1188" xr:uid="{00000000-0005-0000-0000-000040040000}"/>
    <cellStyle name="¤@¯Elaroux 3" xfId="1189" xr:uid="{00000000-0005-0000-0000-000041040000}"/>
    <cellStyle name="¤@¯Elaroux 4" xfId="1190" xr:uid="{00000000-0005-0000-0000-000042040000}"/>
    <cellStyle name="¤d¤À¦E0]_laroux" xfId="1191" xr:uid="{00000000-0005-0000-0000-000043040000}"/>
    <cellStyle name="¤d¤À¦Elaroux" xfId="1192" xr:uid="{00000000-0005-0000-0000-000044040000}"/>
    <cellStyle name="¤d¤À¦Elaroux 2" xfId="1193" xr:uid="{00000000-0005-0000-0000-000045040000}"/>
    <cellStyle name="¤d¤À¦Elaroux 3" xfId="1194" xr:uid="{00000000-0005-0000-0000-000046040000}"/>
    <cellStyle name="¤d¤À¦Elaroux 4" xfId="1195" xr:uid="{00000000-0005-0000-0000-000047040000}"/>
    <cellStyle name="¥ JY" xfId="1196" xr:uid="{00000000-0005-0000-0000-000048040000}"/>
    <cellStyle name="•W€_4m stock" xfId="1197" xr:uid="{00000000-0005-0000-0000-000049040000}"/>
    <cellStyle name="•W_Electrical" xfId="1198" xr:uid="{00000000-0005-0000-0000-00004A040000}"/>
    <cellStyle name="_x001a_¨ " xfId="1199" xr:uid="{00000000-0005-0000-0000-00004B040000}"/>
    <cellStyle name="_x001a_¨_" xfId="1200" xr:uid="{00000000-0005-0000-0000-00004C040000}"/>
    <cellStyle name="0%" xfId="1201" xr:uid="{00000000-0005-0000-0000-00004D040000}"/>
    <cellStyle name="0,0_x000a__x000a_NA_x000a__x000a_" xfId="1202" xr:uid="{00000000-0005-0000-0000-00004E040000}"/>
    <cellStyle name="0,0_x000d__x000a_NA_x000d__x000a_" xfId="1203" xr:uid="{00000000-0005-0000-0000-00004F040000}"/>
    <cellStyle name="0,0_x000d__x000a_NA_x000d__x000a_ 2" xfId="1204" xr:uid="{00000000-0005-0000-0000-000050040000}"/>
    <cellStyle name="0.0%" xfId="1205" xr:uid="{00000000-0005-0000-0000-000051040000}"/>
    <cellStyle name="0.00%" xfId="1206" xr:uid="{00000000-0005-0000-0000-000052040000}"/>
    <cellStyle name="1" xfId="1207" xr:uid="{00000000-0005-0000-0000-000053040000}"/>
    <cellStyle name="1/100000" xfId="1208" xr:uid="{00000000-0005-0000-0000-000054040000}"/>
    <cellStyle name="1_German betas" xfId="1209" xr:uid="{00000000-0005-0000-0000-000055040000}"/>
    <cellStyle name="20% - Accent1" xfId="1" builtinId="30" customBuiltin="1"/>
    <cellStyle name="20% - Accent1 1" xfId="1210" xr:uid="{00000000-0005-0000-0000-000057040000}"/>
    <cellStyle name="20% - Accent1 1 1" xfId="1211" xr:uid="{00000000-0005-0000-0000-000058040000}"/>
    <cellStyle name="20% - Accent1 1 1 2" xfId="1212" xr:uid="{00000000-0005-0000-0000-000059040000}"/>
    <cellStyle name="20% - Accent1 1 2" xfId="1213" xr:uid="{00000000-0005-0000-0000-00005A040000}"/>
    <cellStyle name="20% - Accent1 10" xfId="1214" xr:uid="{00000000-0005-0000-0000-00005B040000}"/>
    <cellStyle name="20% - Accent1 10 2" xfId="1215" xr:uid="{00000000-0005-0000-0000-00005C040000}"/>
    <cellStyle name="20% - Accent1 10 3" xfId="1216" xr:uid="{00000000-0005-0000-0000-00005D040000}"/>
    <cellStyle name="20% - Accent1 10 4" xfId="1217" xr:uid="{00000000-0005-0000-0000-00005E040000}"/>
    <cellStyle name="20% - Accent1 10 5" xfId="1218" xr:uid="{00000000-0005-0000-0000-00005F040000}"/>
    <cellStyle name="20% - Accent1 10 6" xfId="1219" xr:uid="{00000000-0005-0000-0000-000060040000}"/>
    <cellStyle name="20% - Accent1 10 7" xfId="1220" xr:uid="{00000000-0005-0000-0000-000061040000}"/>
    <cellStyle name="20% - Accent1 10 8" xfId="1221" xr:uid="{00000000-0005-0000-0000-000062040000}"/>
    <cellStyle name="20% - Accent1 10 9" xfId="1222" xr:uid="{00000000-0005-0000-0000-000063040000}"/>
    <cellStyle name="20% - Accent1 11" xfId="1223" xr:uid="{00000000-0005-0000-0000-000064040000}"/>
    <cellStyle name="20% - Accent1 11 2" xfId="1224" xr:uid="{00000000-0005-0000-0000-000065040000}"/>
    <cellStyle name="20% - Accent1 11 3" xfId="1225" xr:uid="{00000000-0005-0000-0000-000066040000}"/>
    <cellStyle name="20% - Accent1 11 4" xfId="1226" xr:uid="{00000000-0005-0000-0000-000067040000}"/>
    <cellStyle name="20% - Accent1 12" xfId="1227" xr:uid="{00000000-0005-0000-0000-000068040000}"/>
    <cellStyle name="20% - Accent1 12 2" xfId="1228" xr:uid="{00000000-0005-0000-0000-000069040000}"/>
    <cellStyle name="20% - Accent1 12 3" xfId="1229" xr:uid="{00000000-0005-0000-0000-00006A040000}"/>
    <cellStyle name="20% - Accent1 12 4" xfId="1230" xr:uid="{00000000-0005-0000-0000-00006B040000}"/>
    <cellStyle name="20% - Accent1 13" xfId="1231" xr:uid="{00000000-0005-0000-0000-00006C040000}"/>
    <cellStyle name="20% - Accent1 13 2" xfId="1232" xr:uid="{00000000-0005-0000-0000-00006D040000}"/>
    <cellStyle name="20% - Accent1 14" xfId="1233" xr:uid="{00000000-0005-0000-0000-00006E040000}"/>
    <cellStyle name="20% - Accent1 14 2" xfId="1234" xr:uid="{00000000-0005-0000-0000-00006F040000}"/>
    <cellStyle name="20% - Accent1 15" xfId="1235" xr:uid="{00000000-0005-0000-0000-000070040000}"/>
    <cellStyle name="20% - Accent1 15 2" xfId="1236" xr:uid="{00000000-0005-0000-0000-000071040000}"/>
    <cellStyle name="20% - Accent1 16" xfId="1237" xr:uid="{00000000-0005-0000-0000-000072040000}"/>
    <cellStyle name="20% - Accent1 16 2" xfId="1238" xr:uid="{00000000-0005-0000-0000-000073040000}"/>
    <cellStyle name="20% - Accent1 17" xfId="1239" xr:uid="{00000000-0005-0000-0000-000074040000}"/>
    <cellStyle name="20% - Accent1 17 2" xfId="1240" xr:uid="{00000000-0005-0000-0000-000075040000}"/>
    <cellStyle name="20% - Accent1 18" xfId="1241" xr:uid="{00000000-0005-0000-0000-000076040000}"/>
    <cellStyle name="20% - Accent1 18 2" xfId="1242" xr:uid="{00000000-0005-0000-0000-000077040000}"/>
    <cellStyle name="20% - Accent1 19" xfId="1243" xr:uid="{00000000-0005-0000-0000-000078040000}"/>
    <cellStyle name="20% - Accent1 19 2" xfId="1244" xr:uid="{00000000-0005-0000-0000-000079040000}"/>
    <cellStyle name="20% - Accent1 2" xfId="1245" xr:uid="{00000000-0005-0000-0000-00007A040000}"/>
    <cellStyle name="20% - Accent1 2 10" xfId="1246" xr:uid="{00000000-0005-0000-0000-00007B040000}"/>
    <cellStyle name="20% - Accent1 2 10 2" xfId="1247" xr:uid="{00000000-0005-0000-0000-00007C040000}"/>
    <cellStyle name="20% - Accent1 2 11" xfId="1248" xr:uid="{00000000-0005-0000-0000-00007D040000}"/>
    <cellStyle name="20% - Accent1 2 2" xfId="1249" xr:uid="{00000000-0005-0000-0000-00007E040000}"/>
    <cellStyle name="20% - Accent1 2 2 2" xfId="1250" xr:uid="{00000000-0005-0000-0000-00007F040000}"/>
    <cellStyle name="20% - Accent1 2 2 3" xfId="1251" xr:uid="{00000000-0005-0000-0000-000080040000}"/>
    <cellStyle name="20% - Accent1 2 2 4" xfId="1252" xr:uid="{00000000-0005-0000-0000-000081040000}"/>
    <cellStyle name="20% - Accent1 2 3" xfId="1253" xr:uid="{00000000-0005-0000-0000-000082040000}"/>
    <cellStyle name="20% - Accent1 2 3 2" xfId="1254" xr:uid="{00000000-0005-0000-0000-000083040000}"/>
    <cellStyle name="20% - Accent1 2 4" xfId="1255" xr:uid="{00000000-0005-0000-0000-000084040000}"/>
    <cellStyle name="20% - Accent1 2 4 2" xfId="1256" xr:uid="{00000000-0005-0000-0000-000085040000}"/>
    <cellStyle name="20% - Accent1 2 5" xfId="1257" xr:uid="{00000000-0005-0000-0000-000086040000}"/>
    <cellStyle name="20% - Accent1 2 5 2" xfId="1258" xr:uid="{00000000-0005-0000-0000-000087040000}"/>
    <cellStyle name="20% - Accent1 2 6" xfId="1259" xr:uid="{00000000-0005-0000-0000-000088040000}"/>
    <cellStyle name="20% - Accent1 2 6 2" xfId="1260" xr:uid="{00000000-0005-0000-0000-000089040000}"/>
    <cellStyle name="20% - Accent1 2 7" xfId="1261" xr:uid="{00000000-0005-0000-0000-00008A040000}"/>
    <cellStyle name="20% - Accent1 2 7 2" xfId="1262" xr:uid="{00000000-0005-0000-0000-00008B040000}"/>
    <cellStyle name="20% - Accent1 2 8" xfId="1263" xr:uid="{00000000-0005-0000-0000-00008C040000}"/>
    <cellStyle name="20% - Accent1 2 8 2" xfId="1264" xr:uid="{00000000-0005-0000-0000-00008D040000}"/>
    <cellStyle name="20% - Accent1 2 9" xfId="1265" xr:uid="{00000000-0005-0000-0000-00008E040000}"/>
    <cellStyle name="20% - Accent1 2 9 2" xfId="1266" xr:uid="{00000000-0005-0000-0000-00008F040000}"/>
    <cellStyle name="20% - Accent1 2_B Block  Column LGF to UGF Lvl" xfId="1267" xr:uid="{00000000-0005-0000-0000-000090040000}"/>
    <cellStyle name="20% - Accent1 20" xfId="1268" xr:uid="{00000000-0005-0000-0000-000091040000}"/>
    <cellStyle name="20% - Accent1 20 2" xfId="1269" xr:uid="{00000000-0005-0000-0000-000092040000}"/>
    <cellStyle name="20% - Accent1 21" xfId="1270" xr:uid="{00000000-0005-0000-0000-000093040000}"/>
    <cellStyle name="20% - Accent1 21 2" xfId="1271" xr:uid="{00000000-0005-0000-0000-000094040000}"/>
    <cellStyle name="20% - Accent1 22" xfId="1272" xr:uid="{00000000-0005-0000-0000-000095040000}"/>
    <cellStyle name="20% - Accent1 23" xfId="1273" xr:uid="{00000000-0005-0000-0000-000096040000}"/>
    <cellStyle name="20% - Accent1 24" xfId="1274" xr:uid="{00000000-0005-0000-0000-000097040000}"/>
    <cellStyle name="20% - Accent1 25" xfId="1275" xr:uid="{00000000-0005-0000-0000-000098040000}"/>
    <cellStyle name="20% - Accent1 26" xfId="1276" xr:uid="{00000000-0005-0000-0000-000099040000}"/>
    <cellStyle name="20% - Accent1 27" xfId="1277" xr:uid="{00000000-0005-0000-0000-00009A040000}"/>
    <cellStyle name="20% - Accent1 28" xfId="1278" xr:uid="{00000000-0005-0000-0000-00009B040000}"/>
    <cellStyle name="20% - Accent1 29" xfId="1279" xr:uid="{00000000-0005-0000-0000-00009C040000}"/>
    <cellStyle name="20% - Accent1 3" xfId="1280" xr:uid="{00000000-0005-0000-0000-00009D040000}"/>
    <cellStyle name="20% - Accent1 3 2" xfId="1281" xr:uid="{00000000-0005-0000-0000-00009E040000}"/>
    <cellStyle name="20% - Accent1 3 2 2" xfId="1282" xr:uid="{00000000-0005-0000-0000-00009F040000}"/>
    <cellStyle name="20% - Accent1 3 3" xfId="1283" xr:uid="{00000000-0005-0000-0000-0000A0040000}"/>
    <cellStyle name="20% - Accent1 3 3 2" xfId="1284" xr:uid="{00000000-0005-0000-0000-0000A1040000}"/>
    <cellStyle name="20% - Accent1 3 4" xfId="1285" xr:uid="{00000000-0005-0000-0000-0000A2040000}"/>
    <cellStyle name="20% - Accent1 3 4 2" xfId="1286" xr:uid="{00000000-0005-0000-0000-0000A3040000}"/>
    <cellStyle name="20% - Accent1 3 5" xfId="1287" xr:uid="{00000000-0005-0000-0000-0000A4040000}"/>
    <cellStyle name="20% - Accent1 3 6" xfId="1288" xr:uid="{00000000-0005-0000-0000-0000A5040000}"/>
    <cellStyle name="20% - Accent1 3 7" xfId="1289" xr:uid="{00000000-0005-0000-0000-0000A6040000}"/>
    <cellStyle name="20% - Accent1 3 8" xfId="1290" xr:uid="{00000000-0005-0000-0000-0000A7040000}"/>
    <cellStyle name="20% - Accent1 3 9" xfId="1291" xr:uid="{00000000-0005-0000-0000-0000A8040000}"/>
    <cellStyle name="20% - Accent1 3_Sheet2" xfId="1292" xr:uid="{00000000-0005-0000-0000-0000A9040000}"/>
    <cellStyle name="20% - Accent1 30" xfId="1293" xr:uid="{00000000-0005-0000-0000-0000AA040000}"/>
    <cellStyle name="20% - Accent1 31" xfId="1294" xr:uid="{00000000-0005-0000-0000-0000AB040000}"/>
    <cellStyle name="20% - Accent1 32" xfId="1295" xr:uid="{00000000-0005-0000-0000-0000AC040000}"/>
    <cellStyle name="20% - Accent1 33" xfId="1296" xr:uid="{00000000-0005-0000-0000-0000AD040000}"/>
    <cellStyle name="20% - Accent1 34" xfId="1297" xr:uid="{00000000-0005-0000-0000-0000AE040000}"/>
    <cellStyle name="20% - Accent1 35" xfId="1298" xr:uid="{00000000-0005-0000-0000-0000AF040000}"/>
    <cellStyle name="20% - Accent1 36" xfId="1299" xr:uid="{00000000-0005-0000-0000-0000B0040000}"/>
    <cellStyle name="20% - Accent1 37" xfId="1300" xr:uid="{00000000-0005-0000-0000-0000B1040000}"/>
    <cellStyle name="20% - Accent1 38" xfId="1301" xr:uid="{00000000-0005-0000-0000-0000B2040000}"/>
    <cellStyle name="20% - Accent1 39" xfId="1302" xr:uid="{00000000-0005-0000-0000-0000B3040000}"/>
    <cellStyle name="20% - Accent1 4" xfId="1303" xr:uid="{00000000-0005-0000-0000-0000B4040000}"/>
    <cellStyle name="20% - Accent1 4 2" xfId="1304" xr:uid="{00000000-0005-0000-0000-0000B5040000}"/>
    <cellStyle name="20% - Accent1 4 3" xfId="1305" xr:uid="{00000000-0005-0000-0000-0000B6040000}"/>
    <cellStyle name="20% - Accent1 4 3 2" xfId="1306" xr:uid="{00000000-0005-0000-0000-0000B7040000}"/>
    <cellStyle name="20% - Accent1 4 4" xfId="1307" xr:uid="{00000000-0005-0000-0000-0000B8040000}"/>
    <cellStyle name="20% - Accent1 4 4 2" xfId="1308" xr:uid="{00000000-0005-0000-0000-0000B9040000}"/>
    <cellStyle name="20% - Accent1 4 5" xfId="1309" xr:uid="{00000000-0005-0000-0000-0000BA040000}"/>
    <cellStyle name="20% - Accent1 4 6" xfId="1310" xr:uid="{00000000-0005-0000-0000-0000BB040000}"/>
    <cellStyle name="20% - Accent1 4 7" xfId="1311" xr:uid="{00000000-0005-0000-0000-0000BC040000}"/>
    <cellStyle name="20% - Accent1 4 8" xfId="1312" xr:uid="{00000000-0005-0000-0000-0000BD040000}"/>
    <cellStyle name="20% - Accent1 4 9" xfId="1313" xr:uid="{00000000-0005-0000-0000-0000BE040000}"/>
    <cellStyle name="20% - Accent1 4_Sheet2" xfId="1314" xr:uid="{00000000-0005-0000-0000-0000BF040000}"/>
    <cellStyle name="20% - Accent1 5" xfId="1315" xr:uid="{00000000-0005-0000-0000-0000C0040000}"/>
    <cellStyle name="20% - Accent1 5 2" xfId="1316" xr:uid="{00000000-0005-0000-0000-0000C1040000}"/>
    <cellStyle name="20% - Accent1 5 2 2" xfId="1317" xr:uid="{00000000-0005-0000-0000-0000C2040000}"/>
    <cellStyle name="20% - Accent1 5 3" xfId="1318" xr:uid="{00000000-0005-0000-0000-0000C3040000}"/>
    <cellStyle name="20% - Accent1 5 3 2" xfId="1319" xr:uid="{00000000-0005-0000-0000-0000C4040000}"/>
    <cellStyle name="20% - Accent1 5 4" xfId="1320" xr:uid="{00000000-0005-0000-0000-0000C5040000}"/>
    <cellStyle name="20% - Accent1 5 4 2" xfId="1321" xr:uid="{00000000-0005-0000-0000-0000C6040000}"/>
    <cellStyle name="20% - Accent1 5 5" xfId="1322" xr:uid="{00000000-0005-0000-0000-0000C7040000}"/>
    <cellStyle name="20% - Accent1 5 6" xfId="1323" xr:uid="{00000000-0005-0000-0000-0000C8040000}"/>
    <cellStyle name="20% - Accent1 5 7" xfId="1324" xr:uid="{00000000-0005-0000-0000-0000C9040000}"/>
    <cellStyle name="20% - Accent1 5 8" xfId="1325" xr:uid="{00000000-0005-0000-0000-0000CA040000}"/>
    <cellStyle name="20% - Accent1 5 9" xfId="1326" xr:uid="{00000000-0005-0000-0000-0000CB040000}"/>
    <cellStyle name="20% - Accent1 5_Sheet2" xfId="1327" xr:uid="{00000000-0005-0000-0000-0000CC040000}"/>
    <cellStyle name="20% - Accent1 6" xfId="1328" xr:uid="{00000000-0005-0000-0000-0000CD040000}"/>
    <cellStyle name="20% - Accent1 6 2" xfId="1329" xr:uid="{00000000-0005-0000-0000-0000CE040000}"/>
    <cellStyle name="20% - Accent1 6 2 2" xfId="1330" xr:uid="{00000000-0005-0000-0000-0000CF040000}"/>
    <cellStyle name="20% - Accent1 6 3" xfId="1331" xr:uid="{00000000-0005-0000-0000-0000D0040000}"/>
    <cellStyle name="20% - Accent1 6 3 2" xfId="1332" xr:uid="{00000000-0005-0000-0000-0000D1040000}"/>
    <cellStyle name="20% - Accent1 6 4" xfId="1333" xr:uid="{00000000-0005-0000-0000-0000D2040000}"/>
    <cellStyle name="20% - Accent1 6 4 2" xfId="1334" xr:uid="{00000000-0005-0000-0000-0000D3040000}"/>
    <cellStyle name="20% - Accent1 6 5" xfId="1335" xr:uid="{00000000-0005-0000-0000-0000D4040000}"/>
    <cellStyle name="20% - Accent1 6 6" xfId="1336" xr:uid="{00000000-0005-0000-0000-0000D5040000}"/>
    <cellStyle name="20% - Accent1 6 7" xfId="1337" xr:uid="{00000000-0005-0000-0000-0000D6040000}"/>
    <cellStyle name="20% - Accent1 6 8" xfId="1338" xr:uid="{00000000-0005-0000-0000-0000D7040000}"/>
    <cellStyle name="20% - Accent1 6 9" xfId="1339" xr:uid="{00000000-0005-0000-0000-0000D8040000}"/>
    <cellStyle name="20% - Accent1 6_Sheet2" xfId="1340" xr:uid="{00000000-0005-0000-0000-0000D9040000}"/>
    <cellStyle name="20% - Accent1 7" xfId="1341" xr:uid="{00000000-0005-0000-0000-0000DA040000}"/>
    <cellStyle name="20% - Accent1 7 2" xfId="1342" xr:uid="{00000000-0005-0000-0000-0000DB040000}"/>
    <cellStyle name="20% - Accent1 7 2 2" xfId="1343" xr:uid="{00000000-0005-0000-0000-0000DC040000}"/>
    <cellStyle name="20% - Accent1 7 3" xfId="1344" xr:uid="{00000000-0005-0000-0000-0000DD040000}"/>
    <cellStyle name="20% - Accent1 7 3 2" xfId="1345" xr:uid="{00000000-0005-0000-0000-0000DE040000}"/>
    <cellStyle name="20% - Accent1 7 4" xfId="1346" xr:uid="{00000000-0005-0000-0000-0000DF040000}"/>
    <cellStyle name="20% - Accent1 7 4 2" xfId="1347" xr:uid="{00000000-0005-0000-0000-0000E0040000}"/>
    <cellStyle name="20% - Accent1 7 5" xfId="1348" xr:uid="{00000000-0005-0000-0000-0000E1040000}"/>
    <cellStyle name="20% - Accent1 7 6" xfId="1349" xr:uid="{00000000-0005-0000-0000-0000E2040000}"/>
    <cellStyle name="20% - Accent1 7 7" xfId="1350" xr:uid="{00000000-0005-0000-0000-0000E3040000}"/>
    <cellStyle name="20% - Accent1 7 8" xfId="1351" xr:uid="{00000000-0005-0000-0000-0000E4040000}"/>
    <cellStyle name="20% - Accent1 7 9" xfId="1352" xr:uid="{00000000-0005-0000-0000-0000E5040000}"/>
    <cellStyle name="20% - Accent1 7_Sheet2" xfId="1353" xr:uid="{00000000-0005-0000-0000-0000E6040000}"/>
    <cellStyle name="20% - Accent1 8" xfId="1354" xr:uid="{00000000-0005-0000-0000-0000E7040000}"/>
    <cellStyle name="20% - Accent1 8 2" xfId="1355" xr:uid="{00000000-0005-0000-0000-0000E8040000}"/>
    <cellStyle name="20% - Accent1 8 3" xfId="1356" xr:uid="{00000000-0005-0000-0000-0000E9040000}"/>
    <cellStyle name="20% - Accent1 8 4" xfId="1357" xr:uid="{00000000-0005-0000-0000-0000EA040000}"/>
    <cellStyle name="20% - Accent1 8 5" xfId="1358" xr:uid="{00000000-0005-0000-0000-0000EB040000}"/>
    <cellStyle name="20% - Accent1 8 6" xfId="1359" xr:uid="{00000000-0005-0000-0000-0000EC040000}"/>
    <cellStyle name="20% - Accent1 8 7" xfId="1360" xr:uid="{00000000-0005-0000-0000-0000ED040000}"/>
    <cellStyle name="20% - Accent1 8 8" xfId="1361" xr:uid="{00000000-0005-0000-0000-0000EE040000}"/>
    <cellStyle name="20% - Accent1 8 9" xfId="1362" xr:uid="{00000000-0005-0000-0000-0000EF040000}"/>
    <cellStyle name="20% - Accent1 8_Sheet2" xfId="1363" xr:uid="{00000000-0005-0000-0000-0000F0040000}"/>
    <cellStyle name="20% - Accent1 9" xfId="1364" xr:uid="{00000000-0005-0000-0000-0000F1040000}"/>
    <cellStyle name="20% - Accent1 9 2" xfId="1365" xr:uid="{00000000-0005-0000-0000-0000F2040000}"/>
    <cellStyle name="20% - Accent1 9 3" xfId="1366" xr:uid="{00000000-0005-0000-0000-0000F3040000}"/>
    <cellStyle name="20% - Accent1 9 4" xfId="1367" xr:uid="{00000000-0005-0000-0000-0000F4040000}"/>
    <cellStyle name="20% - Accent1 9 5" xfId="1368" xr:uid="{00000000-0005-0000-0000-0000F5040000}"/>
    <cellStyle name="20% - Accent1 9 6" xfId="1369" xr:uid="{00000000-0005-0000-0000-0000F6040000}"/>
    <cellStyle name="20% - Accent1 9 7" xfId="1370" xr:uid="{00000000-0005-0000-0000-0000F7040000}"/>
    <cellStyle name="20% - Accent1 9 8" xfId="1371" xr:uid="{00000000-0005-0000-0000-0000F8040000}"/>
    <cellStyle name="20% - Accent1 9 9" xfId="1372" xr:uid="{00000000-0005-0000-0000-0000F9040000}"/>
    <cellStyle name="20% - Accent2" xfId="2" builtinId="34" customBuiltin="1"/>
    <cellStyle name="20% - Accent2 1" xfId="1373" xr:uid="{00000000-0005-0000-0000-0000FB040000}"/>
    <cellStyle name="20% - Accent2 1 1" xfId="1374" xr:uid="{00000000-0005-0000-0000-0000FC040000}"/>
    <cellStyle name="20% - Accent2 1 1 2" xfId="1375" xr:uid="{00000000-0005-0000-0000-0000FD040000}"/>
    <cellStyle name="20% - Accent2 1 2" xfId="1376" xr:uid="{00000000-0005-0000-0000-0000FE040000}"/>
    <cellStyle name="20% - Accent2 10" xfId="1377" xr:uid="{00000000-0005-0000-0000-0000FF040000}"/>
    <cellStyle name="20% - Accent2 10 2" xfId="1378" xr:uid="{00000000-0005-0000-0000-000000050000}"/>
    <cellStyle name="20% - Accent2 10 3" xfId="1379" xr:uid="{00000000-0005-0000-0000-000001050000}"/>
    <cellStyle name="20% - Accent2 10 4" xfId="1380" xr:uid="{00000000-0005-0000-0000-000002050000}"/>
    <cellStyle name="20% - Accent2 10 5" xfId="1381" xr:uid="{00000000-0005-0000-0000-000003050000}"/>
    <cellStyle name="20% - Accent2 10 6" xfId="1382" xr:uid="{00000000-0005-0000-0000-000004050000}"/>
    <cellStyle name="20% - Accent2 10 7" xfId="1383" xr:uid="{00000000-0005-0000-0000-000005050000}"/>
    <cellStyle name="20% - Accent2 10 8" xfId="1384" xr:uid="{00000000-0005-0000-0000-000006050000}"/>
    <cellStyle name="20% - Accent2 10 9" xfId="1385" xr:uid="{00000000-0005-0000-0000-000007050000}"/>
    <cellStyle name="20% - Accent2 11" xfId="1386" xr:uid="{00000000-0005-0000-0000-000008050000}"/>
    <cellStyle name="20% - Accent2 11 2" xfId="1387" xr:uid="{00000000-0005-0000-0000-000009050000}"/>
    <cellStyle name="20% - Accent2 11 3" xfId="1388" xr:uid="{00000000-0005-0000-0000-00000A050000}"/>
    <cellStyle name="20% - Accent2 11 4" xfId="1389" xr:uid="{00000000-0005-0000-0000-00000B050000}"/>
    <cellStyle name="20% - Accent2 12" xfId="1390" xr:uid="{00000000-0005-0000-0000-00000C050000}"/>
    <cellStyle name="20% - Accent2 12 2" xfId="1391" xr:uid="{00000000-0005-0000-0000-00000D050000}"/>
    <cellStyle name="20% - Accent2 12 3" xfId="1392" xr:uid="{00000000-0005-0000-0000-00000E050000}"/>
    <cellStyle name="20% - Accent2 12 4" xfId="1393" xr:uid="{00000000-0005-0000-0000-00000F050000}"/>
    <cellStyle name="20% - Accent2 13" xfId="1394" xr:uid="{00000000-0005-0000-0000-000010050000}"/>
    <cellStyle name="20% - Accent2 13 2" xfId="1395" xr:uid="{00000000-0005-0000-0000-000011050000}"/>
    <cellStyle name="20% - Accent2 14" xfId="1396" xr:uid="{00000000-0005-0000-0000-000012050000}"/>
    <cellStyle name="20% - Accent2 14 2" xfId="1397" xr:uid="{00000000-0005-0000-0000-000013050000}"/>
    <cellStyle name="20% - Accent2 15" xfId="1398" xr:uid="{00000000-0005-0000-0000-000014050000}"/>
    <cellStyle name="20% - Accent2 15 2" xfId="1399" xr:uid="{00000000-0005-0000-0000-000015050000}"/>
    <cellStyle name="20% - Accent2 16" xfId="1400" xr:uid="{00000000-0005-0000-0000-000016050000}"/>
    <cellStyle name="20% - Accent2 16 2" xfId="1401" xr:uid="{00000000-0005-0000-0000-000017050000}"/>
    <cellStyle name="20% - Accent2 17" xfId="1402" xr:uid="{00000000-0005-0000-0000-000018050000}"/>
    <cellStyle name="20% - Accent2 17 2" xfId="1403" xr:uid="{00000000-0005-0000-0000-000019050000}"/>
    <cellStyle name="20% - Accent2 18" xfId="1404" xr:uid="{00000000-0005-0000-0000-00001A050000}"/>
    <cellStyle name="20% - Accent2 18 2" xfId="1405" xr:uid="{00000000-0005-0000-0000-00001B050000}"/>
    <cellStyle name="20% - Accent2 19" xfId="1406" xr:uid="{00000000-0005-0000-0000-00001C050000}"/>
    <cellStyle name="20% - Accent2 19 2" xfId="1407" xr:uid="{00000000-0005-0000-0000-00001D050000}"/>
    <cellStyle name="20% - Accent2 2" xfId="1408" xr:uid="{00000000-0005-0000-0000-00001E050000}"/>
    <cellStyle name="20% - Accent2 2 10" xfId="1409" xr:uid="{00000000-0005-0000-0000-00001F050000}"/>
    <cellStyle name="20% - Accent2 2 10 2" xfId="1410" xr:uid="{00000000-0005-0000-0000-000020050000}"/>
    <cellStyle name="20% - Accent2 2 11" xfId="1411" xr:uid="{00000000-0005-0000-0000-000021050000}"/>
    <cellStyle name="20% - Accent2 2 2" xfId="1412" xr:uid="{00000000-0005-0000-0000-000022050000}"/>
    <cellStyle name="20% - Accent2 2 2 2" xfId="1413" xr:uid="{00000000-0005-0000-0000-000023050000}"/>
    <cellStyle name="20% - Accent2 2 2 3" xfId="1414" xr:uid="{00000000-0005-0000-0000-000024050000}"/>
    <cellStyle name="20% - Accent2 2 2 4" xfId="1415" xr:uid="{00000000-0005-0000-0000-000025050000}"/>
    <cellStyle name="20% - Accent2 2 3" xfId="1416" xr:uid="{00000000-0005-0000-0000-000026050000}"/>
    <cellStyle name="20% - Accent2 2 3 2" xfId="1417" xr:uid="{00000000-0005-0000-0000-000027050000}"/>
    <cellStyle name="20% - Accent2 2 4" xfId="1418" xr:uid="{00000000-0005-0000-0000-000028050000}"/>
    <cellStyle name="20% - Accent2 2 4 2" xfId="1419" xr:uid="{00000000-0005-0000-0000-000029050000}"/>
    <cellStyle name="20% - Accent2 2 5" xfId="1420" xr:uid="{00000000-0005-0000-0000-00002A050000}"/>
    <cellStyle name="20% - Accent2 2 5 2" xfId="1421" xr:uid="{00000000-0005-0000-0000-00002B050000}"/>
    <cellStyle name="20% - Accent2 2 6" xfId="1422" xr:uid="{00000000-0005-0000-0000-00002C050000}"/>
    <cellStyle name="20% - Accent2 2 6 2" xfId="1423" xr:uid="{00000000-0005-0000-0000-00002D050000}"/>
    <cellStyle name="20% - Accent2 2 7" xfId="1424" xr:uid="{00000000-0005-0000-0000-00002E050000}"/>
    <cellStyle name="20% - Accent2 2 7 2" xfId="1425" xr:uid="{00000000-0005-0000-0000-00002F050000}"/>
    <cellStyle name="20% - Accent2 2 8" xfId="1426" xr:uid="{00000000-0005-0000-0000-000030050000}"/>
    <cellStyle name="20% - Accent2 2 8 2" xfId="1427" xr:uid="{00000000-0005-0000-0000-000031050000}"/>
    <cellStyle name="20% - Accent2 2 9" xfId="1428" xr:uid="{00000000-0005-0000-0000-000032050000}"/>
    <cellStyle name="20% - Accent2 2 9 2" xfId="1429" xr:uid="{00000000-0005-0000-0000-000033050000}"/>
    <cellStyle name="20% - Accent2 2_B Block  Column LGF to UGF Lvl" xfId="1430" xr:uid="{00000000-0005-0000-0000-000034050000}"/>
    <cellStyle name="20% - Accent2 20" xfId="1431" xr:uid="{00000000-0005-0000-0000-000035050000}"/>
    <cellStyle name="20% - Accent2 20 2" xfId="1432" xr:uid="{00000000-0005-0000-0000-000036050000}"/>
    <cellStyle name="20% - Accent2 21" xfId="1433" xr:uid="{00000000-0005-0000-0000-000037050000}"/>
    <cellStyle name="20% - Accent2 21 2" xfId="1434" xr:uid="{00000000-0005-0000-0000-000038050000}"/>
    <cellStyle name="20% - Accent2 22" xfId="1435" xr:uid="{00000000-0005-0000-0000-000039050000}"/>
    <cellStyle name="20% - Accent2 23" xfId="1436" xr:uid="{00000000-0005-0000-0000-00003A050000}"/>
    <cellStyle name="20% - Accent2 24" xfId="1437" xr:uid="{00000000-0005-0000-0000-00003B050000}"/>
    <cellStyle name="20% - Accent2 25" xfId="1438" xr:uid="{00000000-0005-0000-0000-00003C050000}"/>
    <cellStyle name="20% - Accent2 26" xfId="1439" xr:uid="{00000000-0005-0000-0000-00003D050000}"/>
    <cellStyle name="20% - Accent2 27" xfId="1440" xr:uid="{00000000-0005-0000-0000-00003E050000}"/>
    <cellStyle name="20% - Accent2 28" xfId="1441" xr:uid="{00000000-0005-0000-0000-00003F050000}"/>
    <cellStyle name="20% - Accent2 29" xfId="1442" xr:uid="{00000000-0005-0000-0000-000040050000}"/>
    <cellStyle name="20% - Accent2 3" xfId="1443" xr:uid="{00000000-0005-0000-0000-000041050000}"/>
    <cellStyle name="20% - Accent2 3 2" xfId="1444" xr:uid="{00000000-0005-0000-0000-000042050000}"/>
    <cellStyle name="20% - Accent2 3 2 2" xfId="1445" xr:uid="{00000000-0005-0000-0000-000043050000}"/>
    <cellStyle name="20% - Accent2 3 3" xfId="1446" xr:uid="{00000000-0005-0000-0000-000044050000}"/>
    <cellStyle name="20% - Accent2 3 3 2" xfId="1447" xr:uid="{00000000-0005-0000-0000-000045050000}"/>
    <cellStyle name="20% - Accent2 3 4" xfId="1448" xr:uid="{00000000-0005-0000-0000-000046050000}"/>
    <cellStyle name="20% - Accent2 3 4 2" xfId="1449" xr:uid="{00000000-0005-0000-0000-000047050000}"/>
    <cellStyle name="20% - Accent2 3 5" xfId="1450" xr:uid="{00000000-0005-0000-0000-000048050000}"/>
    <cellStyle name="20% - Accent2 3 6" xfId="1451" xr:uid="{00000000-0005-0000-0000-000049050000}"/>
    <cellStyle name="20% - Accent2 3 7" xfId="1452" xr:uid="{00000000-0005-0000-0000-00004A050000}"/>
    <cellStyle name="20% - Accent2 3 8" xfId="1453" xr:uid="{00000000-0005-0000-0000-00004B050000}"/>
    <cellStyle name="20% - Accent2 3 9" xfId="1454" xr:uid="{00000000-0005-0000-0000-00004C050000}"/>
    <cellStyle name="20% - Accent2 3_Sheet2" xfId="1455" xr:uid="{00000000-0005-0000-0000-00004D050000}"/>
    <cellStyle name="20% - Accent2 30" xfId="1456" xr:uid="{00000000-0005-0000-0000-00004E050000}"/>
    <cellStyle name="20% - Accent2 31" xfId="1457" xr:uid="{00000000-0005-0000-0000-00004F050000}"/>
    <cellStyle name="20% - Accent2 32" xfId="1458" xr:uid="{00000000-0005-0000-0000-000050050000}"/>
    <cellStyle name="20% - Accent2 33" xfId="1459" xr:uid="{00000000-0005-0000-0000-000051050000}"/>
    <cellStyle name="20% - Accent2 34" xfId="1460" xr:uid="{00000000-0005-0000-0000-000052050000}"/>
    <cellStyle name="20% - Accent2 35" xfId="1461" xr:uid="{00000000-0005-0000-0000-000053050000}"/>
    <cellStyle name="20% - Accent2 36" xfId="1462" xr:uid="{00000000-0005-0000-0000-000054050000}"/>
    <cellStyle name="20% - Accent2 37" xfId="1463" xr:uid="{00000000-0005-0000-0000-000055050000}"/>
    <cellStyle name="20% - Accent2 38" xfId="1464" xr:uid="{00000000-0005-0000-0000-000056050000}"/>
    <cellStyle name="20% - Accent2 39" xfId="1465" xr:uid="{00000000-0005-0000-0000-000057050000}"/>
    <cellStyle name="20% - Accent2 4" xfId="1466" xr:uid="{00000000-0005-0000-0000-000058050000}"/>
    <cellStyle name="20% - Accent2 4 2" xfId="1467" xr:uid="{00000000-0005-0000-0000-000059050000}"/>
    <cellStyle name="20% - Accent2 4 3" xfId="1468" xr:uid="{00000000-0005-0000-0000-00005A050000}"/>
    <cellStyle name="20% - Accent2 4 3 2" xfId="1469" xr:uid="{00000000-0005-0000-0000-00005B050000}"/>
    <cellStyle name="20% - Accent2 4 4" xfId="1470" xr:uid="{00000000-0005-0000-0000-00005C050000}"/>
    <cellStyle name="20% - Accent2 4 4 2" xfId="1471" xr:uid="{00000000-0005-0000-0000-00005D050000}"/>
    <cellStyle name="20% - Accent2 4 5" xfId="1472" xr:uid="{00000000-0005-0000-0000-00005E050000}"/>
    <cellStyle name="20% - Accent2 4 6" xfId="1473" xr:uid="{00000000-0005-0000-0000-00005F050000}"/>
    <cellStyle name="20% - Accent2 4 7" xfId="1474" xr:uid="{00000000-0005-0000-0000-000060050000}"/>
    <cellStyle name="20% - Accent2 4 8" xfId="1475" xr:uid="{00000000-0005-0000-0000-000061050000}"/>
    <cellStyle name="20% - Accent2 4 9" xfId="1476" xr:uid="{00000000-0005-0000-0000-000062050000}"/>
    <cellStyle name="20% - Accent2 4_Sheet2" xfId="1477" xr:uid="{00000000-0005-0000-0000-000063050000}"/>
    <cellStyle name="20% - Accent2 5" xfId="1478" xr:uid="{00000000-0005-0000-0000-000064050000}"/>
    <cellStyle name="20% - Accent2 5 2" xfId="1479" xr:uid="{00000000-0005-0000-0000-000065050000}"/>
    <cellStyle name="20% - Accent2 5 2 2" xfId="1480" xr:uid="{00000000-0005-0000-0000-000066050000}"/>
    <cellStyle name="20% - Accent2 5 3" xfId="1481" xr:uid="{00000000-0005-0000-0000-000067050000}"/>
    <cellStyle name="20% - Accent2 5 3 2" xfId="1482" xr:uid="{00000000-0005-0000-0000-000068050000}"/>
    <cellStyle name="20% - Accent2 5 4" xfId="1483" xr:uid="{00000000-0005-0000-0000-000069050000}"/>
    <cellStyle name="20% - Accent2 5 4 2" xfId="1484" xr:uid="{00000000-0005-0000-0000-00006A050000}"/>
    <cellStyle name="20% - Accent2 5 5" xfId="1485" xr:uid="{00000000-0005-0000-0000-00006B050000}"/>
    <cellStyle name="20% - Accent2 5 6" xfId="1486" xr:uid="{00000000-0005-0000-0000-00006C050000}"/>
    <cellStyle name="20% - Accent2 5 7" xfId="1487" xr:uid="{00000000-0005-0000-0000-00006D050000}"/>
    <cellStyle name="20% - Accent2 5 8" xfId="1488" xr:uid="{00000000-0005-0000-0000-00006E050000}"/>
    <cellStyle name="20% - Accent2 5 9" xfId="1489" xr:uid="{00000000-0005-0000-0000-00006F050000}"/>
    <cellStyle name="20% - Accent2 5_Sheet2" xfId="1490" xr:uid="{00000000-0005-0000-0000-000070050000}"/>
    <cellStyle name="20% - Accent2 6" xfId="1491" xr:uid="{00000000-0005-0000-0000-000071050000}"/>
    <cellStyle name="20% - Accent2 6 2" xfId="1492" xr:uid="{00000000-0005-0000-0000-000072050000}"/>
    <cellStyle name="20% - Accent2 6 2 2" xfId="1493" xr:uid="{00000000-0005-0000-0000-000073050000}"/>
    <cellStyle name="20% - Accent2 6 3" xfId="1494" xr:uid="{00000000-0005-0000-0000-000074050000}"/>
    <cellStyle name="20% - Accent2 6 3 2" xfId="1495" xr:uid="{00000000-0005-0000-0000-000075050000}"/>
    <cellStyle name="20% - Accent2 6 4" xfId="1496" xr:uid="{00000000-0005-0000-0000-000076050000}"/>
    <cellStyle name="20% - Accent2 6 4 2" xfId="1497" xr:uid="{00000000-0005-0000-0000-000077050000}"/>
    <cellStyle name="20% - Accent2 6 5" xfId="1498" xr:uid="{00000000-0005-0000-0000-000078050000}"/>
    <cellStyle name="20% - Accent2 6 6" xfId="1499" xr:uid="{00000000-0005-0000-0000-000079050000}"/>
    <cellStyle name="20% - Accent2 6 7" xfId="1500" xr:uid="{00000000-0005-0000-0000-00007A050000}"/>
    <cellStyle name="20% - Accent2 6 8" xfId="1501" xr:uid="{00000000-0005-0000-0000-00007B050000}"/>
    <cellStyle name="20% - Accent2 6 9" xfId="1502" xr:uid="{00000000-0005-0000-0000-00007C050000}"/>
    <cellStyle name="20% - Accent2 6_Sheet2" xfId="1503" xr:uid="{00000000-0005-0000-0000-00007D050000}"/>
    <cellStyle name="20% - Accent2 7" xfId="1504" xr:uid="{00000000-0005-0000-0000-00007E050000}"/>
    <cellStyle name="20% - Accent2 7 2" xfId="1505" xr:uid="{00000000-0005-0000-0000-00007F050000}"/>
    <cellStyle name="20% - Accent2 7 2 2" xfId="1506" xr:uid="{00000000-0005-0000-0000-000080050000}"/>
    <cellStyle name="20% - Accent2 7 3" xfId="1507" xr:uid="{00000000-0005-0000-0000-000081050000}"/>
    <cellStyle name="20% - Accent2 7 3 2" xfId="1508" xr:uid="{00000000-0005-0000-0000-000082050000}"/>
    <cellStyle name="20% - Accent2 7 4" xfId="1509" xr:uid="{00000000-0005-0000-0000-000083050000}"/>
    <cellStyle name="20% - Accent2 7 4 2" xfId="1510" xr:uid="{00000000-0005-0000-0000-000084050000}"/>
    <cellStyle name="20% - Accent2 7 5" xfId="1511" xr:uid="{00000000-0005-0000-0000-000085050000}"/>
    <cellStyle name="20% - Accent2 7 6" xfId="1512" xr:uid="{00000000-0005-0000-0000-000086050000}"/>
    <cellStyle name="20% - Accent2 7 7" xfId="1513" xr:uid="{00000000-0005-0000-0000-000087050000}"/>
    <cellStyle name="20% - Accent2 7 8" xfId="1514" xr:uid="{00000000-0005-0000-0000-000088050000}"/>
    <cellStyle name="20% - Accent2 7 9" xfId="1515" xr:uid="{00000000-0005-0000-0000-000089050000}"/>
    <cellStyle name="20% - Accent2 7_Sheet2" xfId="1516" xr:uid="{00000000-0005-0000-0000-00008A050000}"/>
    <cellStyle name="20% - Accent2 8" xfId="1517" xr:uid="{00000000-0005-0000-0000-00008B050000}"/>
    <cellStyle name="20% - Accent2 8 2" xfId="1518" xr:uid="{00000000-0005-0000-0000-00008C050000}"/>
    <cellStyle name="20% - Accent2 8 3" xfId="1519" xr:uid="{00000000-0005-0000-0000-00008D050000}"/>
    <cellStyle name="20% - Accent2 8 4" xfId="1520" xr:uid="{00000000-0005-0000-0000-00008E050000}"/>
    <cellStyle name="20% - Accent2 8 5" xfId="1521" xr:uid="{00000000-0005-0000-0000-00008F050000}"/>
    <cellStyle name="20% - Accent2 8 6" xfId="1522" xr:uid="{00000000-0005-0000-0000-000090050000}"/>
    <cellStyle name="20% - Accent2 8 7" xfId="1523" xr:uid="{00000000-0005-0000-0000-000091050000}"/>
    <cellStyle name="20% - Accent2 8 8" xfId="1524" xr:uid="{00000000-0005-0000-0000-000092050000}"/>
    <cellStyle name="20% - Accent2 8 9" xfId="1525" xr:uid="{00000000-0005-0000-0000-000093050000}"/>
    <cellStyle name="20% - Accent2 8_Sheet2" xfId="1526" xr:uid="{00000000-0005-0000-0000-000094050000}"/>
    <cellStyle name="20% - Accent2 9" xfId="1527" xr:uid="{00000000-0005-0000-0000-000095050000}"/>
    <cellStyle name="20% - Accent2 9 2" xfId="1528" xr:uid="{00000000-0005-0000-0000-000096050000}"/>
    <cellStyle name="20% - Accent2 9 3" xfId="1529" xr:uid="{00000000-0005-0000-0000-000097050000}"/>
    <cellStyle name="20% - Accent2 9 4" xfId="1530" xr:uid="{00000000-0005-0000-0000-000098050000}"/>
    <cellStyle name="20% - Accent2 9 5" xfId="1531" xr:uid="{00000000-0005-0000-0000-000099050000}"/>
    <cellStyle name="20% - Accent2 9 6" xfId="1532" xr:uid="{00000000-0005-0000-0000-00009A050000}"/>
    <cellStyle name="20% - Accent2 9 7" xfId="1533" xr:uid="{00000000-0005-0000-0000-00009B050000}"/>
    <cellStyle name="20% - Accent2 9 8" xfId="1534" xr:uid="{00000000-0005-0000-0000-00009C050000}"/>
    <cellStyle name="20% - Accent2 9 9" xfId="1535" xr:uid="{00000000-0005-0000-0000-00009D050000}"/>
    <cellStyle name="20% - Accent3" xfId="3" builtinId="38" customBuiltin="1"/>
    <cellStyle name="20% - Accent3 1" xfId="1536" xr:uid="{00000000-0005-0000-0000-00009F050000}"/>
    <cellStyle name="20% - Accent3 1 1" xfId="1537" xr:uid="{00000000-0005-0000-0000-0000A0050000}"/>
    <cellStyle name="20% - Accent3 1 1 2" xfId="1538" xr:uid="{00000000-0005-0000-0000-0000A1050000}"/>
    <cellStyle name="20% - Accent3 1 2" xfId="1539" xr:uid="{00000000-0005-0000-0000-0000A2050000}"/>
    <cellStyle name="20% - Accent3 1_Building_-_5-final_Price_Variation(1)" xfId="1540" xr:uid="{00000000-0005-0000-0000-0000A3050000}"/>
    <cellStyle name="20% - Accent3 10" xfId="1541" xr:uid="{00000000-0005-0000-0000-0000A4050000}"/>
    <cellStyle name="20% - Accent3 10 2" xfId="1542" xr:uid="{00000000-0005-0000-0000-0000A5050000}"/>
    <cellStyle name="20% - Accent3 10 3" xfId="1543" xr:uid="{00000000-0005-0000-0000-0000A6050000}"/>
    <cellStyle name="20% - Accent3 10 4" xfId="1544" xr:uid="{00000000-0005-0000-0000-0000A7050000}"/>
    <cellStyle name="20% - Accent3 10 5" xfId="1545" xr:uid="{00000000-0005-0000-0000-0000A8050000}"/>
    <cellStyle name="20% - Accent3 10 6" xfId="1546" xr:uid="{00000000-0005-0000-0000-0000A9050000}"/>
    <cellStyle name="20% - Accent3 10 7" xfId="1547" xr:uid="{00000000-0005-0000-0000-0000AA050000}"/>
    <cellStyle name="20% - Accent3 10 8" xfId="1548" xr:uid="{00000000-0005-0000-0000-0000AB050000}"/>
    <cellStyle name="20% - Accent3 10 9" xfId="1549" xr:uid="{00000000-0005-0000-0000-0000AC050000}"/>
    <cellStyle name="20% - Accent3 11" xfId="1550" xr:uid="{00000000-0005-0000-0000-0000AD050000}"/>
    <cellStyle name="20% - Accent3 11 2" xfId="1551" xr:uid="{00000000-0005-0000-0000-0000AE050000}"/>
    <cellStyle name="20% - Accent3 11 3" xfId="1552" xr:uid="{00000000-0005-0000-0000-0000AF050000}"/>
    <cellStyle name="20% - Accent3 11 4" xfId="1553" xr:uid="{00000000-0005-0000-0000-0000B0050000}"/>
    <cellStyle name="20% - Accent3 12" xfId="1554" xr:uid="{00000000-0005-0000-0000-0000B1050000}"/>
    <cellStyle name="20% - Accent3 12 2" xfId="1555" xr:uid="{00000000-0005-0000-0000-0000B2050000}"/>
    <cellStyle name="20% - Accent3 12 3" xfId="1556" xr:uid="{00000000-0005-0000-0000-0000B3050000}"/>
    <cellStyle name="20% - Accent3 12 4" xfId="1557" xr:uid="{00000000-0005-0000-0000-0000B4050000}"/>
    <cellStyle name="20% - Accent3 13" xfId="1558" xr:uid="{00000000-0005-0000-0000-0000B5050000}"/>
    <cellStyle name="20% - Accent3 13 2" xfId="1559" xr:uid="{00000000-0005-0000-0000-0000B6050000}"/>
    <cellStyle name="20% - Accent3 14" xfId="1560" xr:uid="{00000000-0005-0000-0000-0000B7050000}"/>
    <cellStyle name="20% - Accent3 14 2" xfId="1561" xr:uid="{00000000-0005-0000-0000-0000B8050000}"/>
    <cellStyle name="20% - Accent3 15" xfId="1562" xr:uid="{00000000-0005-0000-0000-0000B9050000}"/>
    <cellStyle name="20% - Accent3 15 2" xfId="1563" xr:uid="{00000000-0005-0000-0000-0000BA050000}"/>
    <cellStyle name="20% - Accent3 16" xfId="1564" xr:uid="{00000000-0005-0000-0000-0000BB050000}"/>
    <cellStyle name="20% - Accent3 16 2" xfId="1565" xr:uid="{00000000-0005-0000-0000-0000BC050000}"/>
    <cellStyle name="20% - Accent3 17" xfId="1566" xr:uid="{00000000-0005-0000-0000-0000BD050000}"/>
    <cellStyle name="20% - Accent3 17 2" xfId="1567" xr:uid="{00000000-0005-0000-0000-0000BE050000}"/>
    <cellStyle name="20% - Accent3 18" xfId="1568" xr:uid="{00000000-0005-0000-0000-0000BF050000}"/>
    <cellStyle name="20% - Accent3 18 2" xfId="1569" xr:uid="{00000000-0005-0000-0000-0000C0050000}"/>
    <cellStyle name="20% - Accent3 19" xfId="1570" xr:uid="{00000000-0005-0000-0000-0000C1050000}"/>
    <cellStyle name="20% - Accent3 19 2" xfId="1571" xr:uid="{00000000-0005-0000-0000-0000C2050000}"/>
    <cellStyle name="20% - Accent3 2" xfId="1572" xr:uid="{00000000-0005-0000-0000-0000C3050000}"/>
    <cellStyle name="20% - Accent3 2 10" xfId="1573" xr:uid="{00000000-0005-0000-0000-0000C4050000}"/>
    <cellStyle name="20% - Accent3 2 10 2" xfId="1574" xr:uid="{00000000-0005-0000-0000-0000C5050000}"/>
    <cellStyle name="20% - Accent3 2 11" xfId="1575" xr:uid="{00000000-0005-0000-0000-0000C6050000}"/>
    <cellStyle name="20% - Accent3 2 2" xfId="1576" xr:uid="{00000000-0005-0000-0000-0000C7050000}"/>
    <cellStyle name="20% - Accent3 2 2 2" xfId="1577" xr:uid="{00000000-0005-0000-0000-0000C8050000}"/>
    <cellStyle name="20% - Accent3 2 2 3" xfId="1578" xr:uid="{00000000-0005-0000-0000-0000C9050000}"/>
    <cellStyle name="20% - Accent3 2 2 4" xfId="1579" xr:uid="{00000000-0005-0000-0000-0000CA050000}"/>
    <cellStyle name="20% - Accent3 2 3" xfId="1580" xr:uid="{00000000-0005-0000-0000-0000CB050000}"/>
    <cellStyle name="20% - Accent3 2 3 2" xfId="1581" xr:uid="{00000000-0005-0000-0000-0000CC050000}"/>
    <cellStyle name="20% - Accent3 2 4" xfId="1582" xr:uid="{00000000-0005-0000-0000-0000CD050000}"/>
    <cellStyle name="20% - Accent3 2 4 2" xfId="1583" xr:uid="{00000000-0005-0000-0000-0000CE050000}"/>
    <cellStyle name="20% - Accent3 2 5" xfId="1584" xr:uid="{00000000-0005-0000-0000-0000CF050000}"/>
    <cellStyle name="20% - Accent3 2 5 2" xfId="1585" xr:uid="{00000000-0005-0000-0000-0000D0050000}"/>
    <cellStyle name="20% - Accent3 2 6" xfId="1586" xr:uid="{00000000-0005-0000-0000-0000D1050000}"/>
    <cellStyle name="20% - Accent3 2 6 2" xfId="1587" xr:uid="{00000000-0005-0000-0000-0000D2050000}"/>
    <cellStyle name="20% - Accent3 2 7" xfId="1588" xr:uid="{00000000-0005-0000-0000-0000D3050000}"/>
    <cellStyle name="20% - Accent3 2 7 2" xfId="1589" xr:uid="{00000000-0005-0000-0000-0000D4050000}"/>
    <cellStyle name="20% - Accent3 2 8" xfId="1590" xr:uid="{00000000-0005-0000-0000-0000D5050000}"/>
    <cellStyle name="20% - Accent3 2 8 2" xfId="1591" xr:uid="{00000000-0005-0000-0000-0000D6050000}"/>
    <cellStyle name="20% - Accent3 2 9" xfId="1592" xr:uid="{00000000-0005-0000-0000-0000D7050000}"/>
    <cellStyle name="20% - Accent3 2 9 2" xfId="1593" xr:uid="{00000000-0005-0000-0000-0000D8050000}"/>
    <cellStyle name="20% - Accent3 2_B Block  Column LGF to UGF Lvl" xfId="1594" xr:uid="{00000000-0005-0000-0000-0000D9050000}"/>
    <cellStyle name="20% - Accent3 20" xfId="1595" xr:uid="{00000000-0005-0000-0000-0000DA050000}"/>
    <cellStyle name="20% - Accent3 20 2" xfId="1596" xr:uid="{00000000-0005-0000-0000-0000DB050000}"/>
    <cellStyle name="20% - Accent3 21" xfId="1597" xr:uid="{00000000-0005-0000-0000-0000DC050000}"/>
    <cellStyle name="20% - Accent3 21 2" xfId="1598" xr:uid="{00000000-0005-0000-0000-0000DD050000}"/>
    <cellStyle name="20% - Accent3 22" xfId="1599" xr:uid="{00000000-0005-0000-0000-0000DE050000}"/>
    <cellStyle name="20% - Accent3 23" xfId="1600" xr:uid="{00000000-0005-0000-0000-0000DF050000}"/>
    <cellStyle name="20% - Accent3 24" xfId="1601" xr:uid="{00000000-0005-0000-0000-0000E0050000}"/>
    <cellStyle name="20% - Accent3 25" xfId="1602" xr:uid="{00000000-0005-0000-0000-0000E1050000}"/>
    <cellStyle name="20% - Accent3 26" xfId="1603" xr:uid="{00000000-0005-0000-0000-0000E2050000}"/>
    <cellStyle name="20% - Accent3 27" xfId="1604" xr:uid="{00000000-0005-0000-0000-0000E3050000}"/>
    <cellStyle name="20% - Accent3 28" xfId="1605" xr:uid="{00000000-0005-0000-0000-0000E4050000}"/>
    <cellStyle name="20% - Accent3 29" xfId="1606" xr:uid="{00000000-0005-0000-0000-0000E5050000}"/>
    <cellStyle name="20% - Accent3 3" xfId="1607" xr:uid="{00000000-0005-0000-0000-0000E6050000}"/>
    <cellStyle name="20% - Accent3 3 2" xfId="1608" xr:uid="{00000000-0005-0000-0000-0000E7050000}"/>
    <cellStyle name="20% - Accent3 3 2 2" xfId="1609" xr:uid="{00000000-0005-0000-0000-0000E8050000}"/>
    <cellStyle name="20% - Accent3 3 3" xfId="1610" xr:uid="{00000000-0005-0000-0000-0000E9050000}"/>
    <cellStyle name="20% - Accent3 3 3 2" xfId="1611" xr:uid="{00000000-0005-0000-0000-0000EA050000}"/>
    <cellStyle name="20% - Accent3 3 4" xfId="1612" xr:uid="{00000000-0005-0000-0000-0000EB050000}"/>
    <cellStyle name="20% - Accent3 3 4 2" xfId="1613" xr:uid="{00000000-0005-0000-0000-0000EC050000}"/>
    <cellStyle name="20% - Accent3 3 5" xfId="1614" xr:uid="{00000000-0005-0000-0000-0000ED050000}"/>
    <cellStyle name="20% - Accent3 3 6" xfId="1615" xr:uid="{00000000-0005-0000-0000-0000EE050000}"/>
    <cellStyle name="20% - Accent3 3 7" xfId="1616" xr:uid="{00000000-0005-0000-0000-0000EF050000}"/>
    <cellStyle name="20% - Accent3 3 8" xfId="1617" xr:uid="{00000000-0005-0000-0000-0000F0050000}"/>
    <cellStyle name="20% - Accent3 3 9" xfId="1618" xr:uid="{00000000-0005-0000-0000-0000F1050000}"/>
    <cellStyle name="20% - Accent3 3_Sheet2" xfId="1619" xr:uid="{00000000-0005-0000-0000-0000F2050000}"/>
    <cellStyle name="20% - Accent3 30" xfId="1620" xr:uid="{00000000-0005-0000-0000-0000F3050000}"/>
    <cellStyle name="20% - Accent3 31" xfId="1621" xr:uid="{00000000-0005-0000-0000-0000F4050000}"/>
    <cellStyle name="20% - Accent3 32" xfId="1622" xr:uid="{00000000-0005-0000-0000-0000F5050000}"/>
    <cellStyle name="20% - Accent3 33" xfId="1623" xr:uid="{00000000-0005-0000-0000-0000F6050000}"/>
    <cellStyle name="20% - Accent3 34" xfId="1624" xr:uid="{00000000-0005-0000-0000-0000F7050000}"/>
    <cellStyle name="20% - Accent3 35" xfId="1625" xr:uid="{00000000-0005-0000-0000-0000F8050000}"/>
    <cellStyle name="20% - Accent3 36" xfId="1626" xr:uid="{00000000-0005-0000-0000-0000F9050000}"/>
    <cellStyle name="20% - Accent3 37" xfId="1627" xr:uid="{00000000-0005-0000-0000-0000FA050000}"/>
    <cellStyle name="20% - Accent3 38" xfId="1628" xr:uid="{00000000-0005-0000-0000-0000FB050000}"/>
    <cellStyle name="20% - Accent3 39" xfId="1629" xr:uid="{00000000-0005-0000-0000-0000FC050000}"/>
    <cellStyle name="20% - Accent3 4" xfId="1630" xr:uid="{00000000-0005-0000-0000-0000FD050000}"/>
    <cellStyle name="20% - Accent3 4 2" xfId="1631" xr:uid="{00000000-0005-0000-0000-0000FE050000}"/>
    <cellStyle name="20% - Accent3 4 3" xfId="1632" xr:uid="{00000000-0005-0000-0000-0000FF050000}"/>
    <cellStyle name="20% - Accent3 4 3 2" xfId="1633" xr:uid="{00000000-0005-0000-0000-000000060000}"/>
    <cellStyle name="20% - Accent3 4 4" xfId="1634" xr:uid="{00000000-0005-0000-0000-000001060000}"/>
    <cellStyle name="20% - Accent3 4 4 2" xfId="1635" xr:uid="{00000000-0005-0000-0000-000002060000}"/>
    <cellStyle name="20% - Accent3 4 5" xfId="1636" xr:uid="{00000000-0005-0000-0000-000003060000}"/>
    <cellStyle name="20% - Accent3 4 6" xfId="1637" xr:uid="{00000000-0005-0000-0000-000004060000}"/>
    <cellStyle name="20% - Accent3 4 7" xfId="1638" xr:uid="{00000000-0005-0000-0000-000005060000}"/>
    <cellStyle name="20% - Accent3 4 8" xfId="1639" xr:uid="{00000000-0005-0000-0000-000006060000}"/>
    <cellStyle name="20% - Accent3 4 9" xfId="1640" xr:uid="{00000000-0005-0000-0000-000007060000}"/>
    <cellStyle name="20% - Accent3 4_Sheet2" xfId="1641" xr:uid="{00000000-0005-0000-0000-000008060000}"/>
    <cellStyle name="20% - Accent3 5" xfId="1642" xr:uid="{00000000-0005-0000-0000-000009060000}"/>
    <cellStyle name="20% - Accent3 5 2" xfId="1643" xr:uid="{00000000-0005-0000-0000-00000A060000}"/>
    <cellStyle name="20% - Accent3 5 2 2" xfId="1644" xr:uid="{00000000-0005-0000-0000-00000B060000}"/>
    <cellStyle name="20% - Accent3 5 3" xfId="1645" xr:uid="{00000000-0005-0000-0000-00000C060000}"/>
    <cellStyle name="20% - Accent3 5 3 2" xfId="1646" xr:uid="{00000000-0005-0000-0000-00000D060000}"/>
    <cellStyle name="20% - Accent3 5 4" xfId="1647" xr:uid="{00000000-0005-0000-0000-00000E060000}"/>
    <cellStyle name="20% - Accent3 5 4 2" xfId="1648" xr:uid="{00000000-0005-0000-0000-00000F060000}"/>
    <cellStyle name="20% - Accent3 5 5" xfId="1649" xr:uid="{00000000-0005-0000-0000-000010060000}"/>
    <cellStyle name="20% - Accent3 5 6" xfId="1650" xr:uid="{00000000-0005-0000-0000-000011060000}"/>
    <cellStyle name="20% - Accent3 5 7" xfId="1651" xr:uid="{00000000-0005-0000-0000-000012060000}"/>
    <cellStyle name="20% - Accent3 5 8" xfId="1652" xr:uid="{00000000-0005-0000-0000-000013060000}"/>
    <cellStyle name="20% - Accent3 5 9" xfId="1653" xr:uid="{00000000-0005-0000-0000-000014060000}"/>
    <cellStyle name="20% - Accent3 5_Sheet2" xfId="1654" xr:uid="{00000000-0005-0000-0000-000015060000}"/>
    <cellStyle name="20% - Accent3 6" xfId="1655" xr:uid="{00000000-0005-0000-0000-000016060000}"/>
    <cellStyle name="20% - Accent3 6 2" xfId="1656" xr:uid="{00000000-0005-0000-0000-000017060000}"/>
    <cellStyle name="20% - Accent3 6 2 2" xfId="1657" xr:uid="{00000000-0005-0000-0000-000018060000}"/>
    <cellStyle name="20% - Accent3 6 3" xfId="1658" xr:uid="{00000000-0005-0000-0000-000019060000}"/>
    <cellStyle name="20% - Accent3 6 3 2" xfId="1659" xr:uid="{00000000-0005-0000-0000-00001A060000}"/>
    <cellStyle name="20% - Accent3 6 4" xfId="1660" xr:uid="{00000000-0005-0000-0000-00001B060000}"/>
    <cellStyle name="20% - Accent3 6 4 2" xfId="1661" xr:uid="{00000000-0005-0000-0000-00001C060000}"/>
    <cellStyle name="20% - Accent3 6 5" xfId="1662" xr:uid="{00000000-0005-0000-0000-00001D060000}"/>
    <cellStyle name="20% - Accent3 6 6" xfId="1663" xr:uid="{00000000-0005-0000-0000-00001E060000}"/>
    <cellStyle name="20% - Accent3 6 7" xfId="1664" xr:uid="{00000000-0005-0000-0000-00001F060000}"/>
    <cellStyle name="20% - Accent3 6 8" xfId="1665" xr:uid="{00000000-0005-0000-0000-000020060000}"/>
    <cellStyle name="20% - Accent3 6 9" xfId="1666" xr:uid="{00000000-0005-0000-0000-000021060000}"/>
    <cellStyle name="20% - Accent3 6_Sheet2" xfId="1667" xr:uid="{00000000-0005-0000-0000-000022060000}"/>
    <cellStyle name="20% - Accent3 7" xfId="1668" xr:uid="{00000000-0005-0000-0000-000023060000}"/>
    <cellStyle name="20% - Accent3 7 2" xfId="1669" xr:uid="{00000000-0005-0000-0000-000024060000}"/>
    <cellStyle name="20% - Accent3 7 2 2" xfId="1670" xr:uid="{00000000-0005-0000-0000-000025060000}"/>
    <cellStyle name="20% - Accent3 7 3" xfId="1671" xr:uid="{00000000-0005-0000-0000-000026060000}"/>
    <cellStyle name="20% - Accent3 7 3 2" xfId="1672" xr:uid="{00000000-0005-0000-0000-000027060000}"/>
    <cellStyle name="20% - Accent3 7 4" xfId="1673" xr:uid="{00000000-0005-0000-0000-000028060000}"/>
    <cellStyle name="20% - Accent3 7 4 2" xfId="1674" xr:uid="{00000000-0005-0000-0000-000029060000}"/>
    <cellStyle name="20% - Accent3 7 5" xfId="1675" xr:uid="{00000000-0005-0000-0000-00002A060000}"/>
    <cellStyle name="20% - Accent3 7 6" xfId="1676" xr:uid="{00000000-0005-0000-0000-00002B060000}"/>
    <cellStyle name="20% - Accent3 7 7" xfId="1677" xr:uid="{00000000-0005-0000-0000-00002C060000}"/>
    <cellStyle name="20% - Accent3 7 8" xfId="1678" xr:uid="{00000000-0005-0000-0000-00002D060000}"/>
    <cellStyle name="20% - Accent3 7 9" xfId="1679" xr:uid="{00000000-0005-0000-0000-00002E060000}"/>
    <cellStyle name="20% - Accent3 7_Sheet2" xfId="1680" xr:uid="{00000000-0005-0000-0000-00002F060000}"/>
    <cellStyle name="20% - Accent3 8" xfId="1681" xr:uid="{00000000-0005-0000-0000-000030060000}"/>
    <cellStyle name="20% - Accent3 8 2" xfId="1682" xr:uid="{00000000-0005-0000-0000-000031060000}"/>
    <cellStyle name="20% - Accent3 8 3" xfId="1683" xr:uid="{00000000-0005-0000-0000-000032060000}"/>
    <cellStyle name="20% - Accent3 8 4" xfId="1684" xr:uid="{00000000-0005-0000-0000-000033060000}"/>
    <cellStyle name="20% - Accent3 8 5" xfId="1685" xr:uid="{00000000-0005-0000-0000-000034060000}"/>
    <cellStyle name="20% - Accent3 8 6" xfId="1686" xr:uid="{00000000-0005-0000-0000-000035060000}"/>
    <cellStyle name="20% - Accent3 8 7" xfId="1687" xr:uid="{00000000-0005-0000-0000-000036060000}"/>
    <cellStyle name="20% - Accent3 8 8" xfId="1688" xr:uid="{00000000-0005-0000-0000-000037060000}"/>
    <cellStyle name="20% - Accent3 8 9" xfId="1689" xr:uid="{00000000-0005-0000-0000-000038060000}"/>
    <cellStyle name="20% - Accent3 8_Sheet2" xfId="1690" xr:uid="{00000000-0005-0000-0000-000039060000}"/>
    <cellStyle name="20% - Accent3 9" xfId="1691" xr:uid="{00000000-0005-0000-0000-00003A060000}"/>
    <cellStyle name="20% - Accent3 9 2" xfId="1692" xr:uid="{00000000-0005-0000-0000-00003B060000}"/>
    <cellStyle name="20% - Accent3 9 3" xfId="1693" xr:uid="{00000000-0005-0000-0000-00003C060000}"/>
    <cellStyle name="20% - Accent3 9 4" xfId="1694" xr:uid="{00000000-0005-0000-0000-00003D060000}"/>
    <cellStyle name="20% - Accent3 9 5" xfId="1695" xr:uid="{00000000-0005-0000-0000-00003E060000}"/>
    <cellStyle name="20% - Accent3 9 6" xfId="1696" xr:uid="{00000000-0005-0000-0000-00003F060000}"/>
    <cellStyle name="20% - Accent3 9 7" xfId="1697" xr:uid="{00000000-0005-0000-0000-000040060000}"/>
    <cellStyle name="20% - Accent3 9 8" xfId="1698" xr:uid="{00000000-0005-0000-0000-000041060000}"/>
    <cellStyle name="20% - Accent3 9 9" xfId="1699" xr:uid="{00000000-0005-0000-0000-000042060000}"/>
    <cellStyle name="20% - Accent4" xfId="4" builtinId="42" customBuiltin="1"/>
    <cellStyle name="20% - Accent4 1" xfId="1700" xr:uid="{00000000-0005-0000-0000-000044060000}"/>
    <cellStyle name="20% - Accent4 1 1" xfId="1701" xr:uid="{00000000-0005-0000-0000-000045060000}"/>
    <cellStyle name="20% - Accent4 1 1 2" xfId="1702" xr:uid="{00000000-0005-0000-0000-000046060000}"/>
    <cellStyle name="20% - Accent4 1 2" xfId="1703" xr:uid="{00000000-0005-0000-0000-000047060000}"/>
    <cellStyle name="20% - Accent4 1_Building_-_5-final_Price_Variation(1)" xfId="1704" xr:uid="{00000000-0005-0000-0000-000048060000}"/>
    <cellStyle name="20% - Accent4 10" xfId="1705" xr:uid="{00000000-0005-0000-0000-000049060000}"/>
    <cellStyle name="20% - Accent4 10 2" xfId="1706" xr:uid="{00000000-0005-0000-0000-00004A060000}"/>
    <cellStyle name="20% - Accent4 10 3" xfId="1707" xr:uid="{00000000-0005-0000-0000-00004B060000}"/>
    <cellStyle name="20% - Accent4 10 4" xfId="1708" xr:uid="{00000000-0005-0000-0000-00004C060000}"/>
    <cellStyle name="20% - Accent4 10 5" xfId="1709" xr:uid="{00000000-0005-0000-0000-00004D060000}"/>
    <cellStyle name="20% - Accent4 10 6" xfId="1710" xr:uid="{00000000-0005-0000-0000-00004E060000}"/>
    <cellStyle name="20% - Accent4 10 7" xfId="1711" xr:uid="{00000000-0005-0000-0000-00004F060000}"/>
    <cellStyle name="20% - Accent4 10 8" xfId="1712" xr:uid="{00000000-0005-0000-0000-000050060000}"/>
    <cellStyle name="20% - Accent4 10 9" xfId="1713" xr:uid="{00000000-0005-0000-0000-000051060000}"/>
    <cellStyle name="20% - Accent4 11" xfId="1714" xr:uid="{00000000-0005-0000-0000-000052060000}"/>
    <cellStyle name="20% - Accent4 11 2" xfId="1715" xr:uid="{00000000-0005-0000-0000-000053060000}"/>
    <cellStyle name="20% - Accent4 11 3" xfId="1716" xr:uid="{00000000-0005-0000-0000-000054060000}"/>
    <cellStyle name="20% - Accent4 11 4" xfId="1717" xr:uid="{00000000-0005-0000-0000-000055060000}"/>
    <cellStyle name="20% - Accent4 12" xfId="1718" xr:uid="{00000000-0005-0000-0000-000056060000}"/>
    <cellStyle name="20% - Accent4 12 2" xfId="1719" xr:uid="{00000000-0005-0000-0000-000057060000}"/>
    <cellStyle name="20% - Accent4 12 3" xfId="1720" xr:uid="{00000000-0005-0000-0000-000058060000}"/>
    <cellStyle name="20% - Accent4 12 4" xfId="1721" xr:uid="{00000000-0005-0000-0000-000059060000}"/>
    <cellStyle name="20% - Accent4 13" xfId="1722" xr:uid="{00000000-0005-0000-0000-00005A060000}"/>
    <cellStyle name="20% - Accent4 13 2" xfId="1723" xr:uid="{00000000-0005-0000-0000-00005B060000}"/>
    <cellStyle name="20% - Accent4 14" xfId="1724" xr:uid="{00000000-0005-0000-0000-00005C060000}"/>
    <cellStyle name="20% - Accent4 14 2" xfId="1725" xr:uid="{00000000-0005-0000-0000-00005D060000}"/>
    <cellStyle name="20% - Accent4 15" xfId="1726" xr:uid="{00000000-0005-0000-0000-00005E060000}"/>
    <cellStyle name="20% - Accent4 15 2" xfId="1727" xr:uid="{00000000-0005-0000-0000-00005F060000}"/>
    <cellStyle name="20% - Accent4 16" xfId="1728" xr:uid="{00000000-0005-0000-0000-000060060000}"/>
    <cellStyle name="20% - Accent4 16 2" xfId="1729" xr:uid="{00000000-0005-0000-0000-000061060000}"/>
    <cellStyle name="20% - Accent4 17" xfId="1730" xr:uid="{00000000-0005-0000-0000-000062060000}"/>
    <cellStyle name="20% - Accent4 17 2" xfId="1731" xr:uid="{00000000-0005-0000-0000-000063060000}"/>
    <cellStyle name="20% - Accent4 18" xfId="1732" xr:uid="{00000000-0005-0000-0000-000064060000}"/>
    <cellStyle name="20% - Accent4 18 2" xfId="1733" xr:uid="{00000000-0005-0000-0000-000065060000}"/>
    <cellStyle name="20% - Accent4 19" xfId="1734" xr:uid="{00000000-0005-0000-0000-000066060000}"/>
    <cellStyle name="20% - Accent4 19 2" xfId="1735" xr:uid="{00000000-0005-0000-0000-000067060000}"/>
    <cellStyle name="20% - Accent4 2" xfId="1736" xr:uid="{00000000-0005-0000-0000-000068060000}"/>
    <cellStyle name="20% - Accent4 2 10" xfId="1737" xr:uid="{00000000-0005-0000-0000-000069060000}"/>
    <cellStyle name="20% - Accent4 2 10 2" xfId="1738" xr:uid="{00000000-0005-0000-0000-00006A060000}"/>
    <cellStyle name="20% - Accent4 2 11" xfId="1739" xr:uid="{00000000-0005-0000-0000-00006B060000}"/>
    <cellStyle name="20% - Accent4 2 2" xfId="1740" xr:uid="{00000000-0005-0000-0000-00006C060000}"/>
    <cellStyle name="20% - Accent4 2 2 2" xfId="1741" xr:uid="{00000000-0005-0000-0000-00006D060000}"/>
    <cellStyle name="20% - Accent4 2 2 3" xfId="1742" xr:uid="{00000000-0005-0000-0000-00006E060000}"/>
    <cellStyle name="20% - Accent4 2 2 4" xfId="1743" xr:uid="{00000000-0005-0000-0000-00006F060000}"/>
    <cellStyle name="20% - Accent4 2 3" xfId="1744" xr:uid="{00000000-0005-0000-0000-000070060000}"/>
    <cellStyle name="20% - Accent4 2 3 2" xfId="1745" xr:uid="{00000000-0005-0000-0000-000071060000}"/>
    <cellStyle name="20% - Accent4 2 4" xfId="1746" xr:uid="{00000000-0005-0000-0000-000072060000}"/>
    <cellStyle name="20% - Accent4 2 4 2" xfId="1747" xr:uid="{00000000-0005-0000-0000-000073060000}"/>
    <cellStyle name="20% - Accent4 2 5" xfId="1748" xr:uid="{00000000-0005-0000-0000-000074060000}"/>
    <cellStyle name="20% - Accent4 2 5 2" xfId="1749" xr:uid="{00000000-0005-0000-0000-000075060000}"/>
    <cellStyle name="20% - Accent4 2 6" xfId="1750" xr:uid="{00000000-0005-0000-0000-000076060000}"/>
    <cellStyle name="20% - Accent4 2 6 2" xfId="1751" xr:uid="{00000000-0005-0000-0000-000077060000}"/>
    <cellStyle name="20% - Accent4 2 7" xfId="1752" xr:uid="{00000000-0005-0000-0000-000078060000}"/>
    <cellStyle name="20% - Accent4 2 7 2" xfId="1753" xr:uid="{00000000-0005-0000-0000-000079060000}"/>
    <cellStyle name="20% - Accent4 2 8" xfId="1754" xr:uid="{00000000-0005-0000-0000-00007A060000}"/>
    <cellStyle name="20% - Accent4 2 8 2" xfId="1755" xr:uid="{00000000-0005-0000-0000-00007B060000}"/>
    <cellStyle name="20% - Accent4 2 9" xfId="1756" xr:uid="{00000000-0005-0000-0000-00007C060000}"/>
    <cellStyle name="20% - Accent4 2 9 2" xfId="1757" xr:uid="{00000000-0005-0000-0000-00007D060000}"/>
    <cellStyle name="20% - Accent4 2_B Block  Column LGF to UGF Lvl" xfId="1758" xr:uid="{00000000-0005-0000-0000-00007E060000}"/>
    <cellStyle name="20% - Accent4 20" xfId="1759" xr:uid="{00000000-0005-0000-0000-00007F060000}"/>
    <cellStyle name="20% - Accent4 20 2" xfId="1760" xr:uid="{00000000-0005-0000-0000-000080060000}"/>
    <cellStyle name="20% - Accent4 21" xfId="1761" xr:uid="{00000000-0005-0000-0000-000081060000}"/>
    <cellStyle name="20% - Accent4 21 2" xfId="1762" xr:uid="{00000000-0005-0000-0000-000082060000}"/>
    <cellStyle name="20% - Accent4 22" xfId="1763" xr:uid="{00000000-0005-0000-0000-000083060000}"/>
    <cellStyle name="20% - Accent4 23" xfId="1764" xr:uid="{00000000-0005-0000-0000-000084060000}"/>
    <cellStyle name="20% - Accent4 24" xfId="1765" xr:uid="{00000000-0005-0000-0000-000085060000}"/>
    <cellStyle name="20% - Accent4 25" xfId="1766" xr:uid="{00000000-0005-0000-0000-000086060000}"/>
    <cellStyle name="20% - Accent4 26" xfId="1767" xr:uid="{00000000-0005-0000-0000-000087060000}"/>
    <cellStyle name="20% - Accent4 27" xfId="1768" xr:uid="{00000000-0005-0000-0000-000088060000}"/>
    <cellStyle name="20% - Accent4 28" xfId="1769" xr:uid="{00000000-0005-0000-0000-000089060000}"/>
    <cellStyle name="20% - Accent4 29" xfId="1770" xr:uid="{00000000-0005-0000-0000-00008A060000}"/>
    <cellStyle name="20% - Accent4 3" xfId="1771" xr:uid="{00000000-0005-0000-0000-00008B060000}"/>
    <cellStyle name="20% - Accent4 3 2" xfId="1772" xr:uid="{00000000-0005-0000-0000-00008C060000}"/>
    <cellStyle name="20% - Accent4 3 2 2" xfId="1773" xr:uid="{00000000-0005-0000-0000-00008D060000}"/>
    <cellStyle name="20% - Accent4 3 3" xfId="1774" xr:uid="{00000000-0005-0000-0000-00008E060000}"/>
    <cellStyle name="20% - Accent4 3 3 2" xfId="1775" xr:uid="{00000000-0005-0000-0000-00008F060000}"/>
    <cellStyle name="20% - Accent4 3 4" xfId="1776" xr:uid="{00000000-0005-0000-0000-000090060000}"/>
    <cellStyle name="20% - Accent4 3 4 2" xfId="1777" xr:uid="{00000000-0005-0000-0000-000091060000}"/>
    <cellStyle name="20% - Accent4 3 5" xfId="1778" xr:uid="{00000000-0005-0000-0000-000092060000}"/>
    <cellStyle name="20% - Accent4 3 6" xfId="1779" xr:uid="{00000000-0005-0000-0000-000093060000}"/>
    <cellStyle name="20% - Accent4 3 7" xfId="1780" xr:uid="{00000000-0005-0000-0000-000094060000}"/>
    <cellStyle name="20% - Accent4 3 8" xfId="1781" xr:uid="{00000000-0005-0000-0000-000095060000}"/>
    <cellStyle name="20% - Accent4 3 9" xfId="1782" xr:uid="{00000000-0005-0000-0000-000096060000}"/>
    <cellStyle name="20% - Accent4 3_Sheet2" xfId="1783" xr:uid="{00000000-0005-0000-0000-000097060000}"/>
    <cellStyle name="20% - Accent4 30" xfId="1784" xr:uid="{00000000-0005-0000-0000-000098060000}"/>
    <cellStyle name="20% - Accent4 31" xfId="1785" xr:uid="{00000000-0005-0000-0000-000099060000}"/>
    <cellStyle name="20% - Accent4 32" xfId="1786" xr:uid="{00000000-0005-0000-0000-00009A060000}"/>
    <cellStyle name="20% - Accent4 33" xfId="1787" xr:uid="{00000000-0005-0000-0000-00009B060000}"/>
    <cellStyle name="20% - Accent4 34" xfId="1788" xr:uid="{00000000-0005-0000-0000-00009C060000}"/>
    <cellStyle name="20% - Accent4 35" xfId="1789" xr:uid="{00000000-0005-0000-0000-00009D060000}"/>
    <cellStyle name="20% - Accent4 36" xfId="1790" xr:uid="{00000000-0005-0000-0000-00009E060000}"/>
    <cellStyle name="20% - Accent4 37" xfId="1791" xr:uid="{00000000-0005-0000-0000-00009F060000}"/>
    <cellStyle name="20% - Accent4 38" xfId="1792" xr:uid="{00000000-0005-0000-0000-0000A0060000}"/>
    <cellStyle name="20% - Accent4 39" xfId="1793" xr:uid="{00000000-0005-0000-0000-0000A1060000}"/>
    <cellStyle name="20% - Accent4 4" xfId="1794" xr:uid="{00000000-0005-0000-0000-0000A2060000}"/>
    <cellStyle name="20% - Accent4 4 2" xfId="1795" xr:uid="{00000000-0005-0000-0000-0000A3060000}"/>
    <cellStyle name="20% - Accent4 4 3" xfId="1796" xr:uid="{00000000-0005-0000-0000-0000A4060000}"/>
    <cellStyle name="20% - Accent4 4 3 2" xfId="1797" xr:uid="{00000000-0005-0000-0000-0000A5060000}"/>
    <cellStyle name="20% - Accent4 4 4" xfId="1798" xr:uid="{00000000-0005-0000-0000-0000A6060000}"/>
    <cellStyle name="20% - Accent4 4 4 2" xfId="1799" xr:uid="{00000000-0005-0000-0000-0000A7060000}"/>
    <cellStyle name="20% - Accent4 4 5" xfId="1800" xr:uid="{00000000-0005-0000-0000-0000A8060000}"/>
    <cellStyle name="20% - Accent4 4 6" xfId="1801" xr:uid="{00000000-0005-0000-0000-0000A9060000}"/>
    <cellStyle name="20% - Accent4 4 7" xfId="1802" xr:uid="{00000000-0005-0000-0000-0000AA060000}"/>
    <cellStyle name="20% - Accent4 4 8" xfId="1803" xr:uid="{00000000-0005-0000-0000-0000AB060000}"/>
    <cellStyle name="20% - Accent4 4 9" xfId="1804" xr:uid="{00000000-0005-0000-0000-0000AC060000}"/>
    <cellStyle name="20% - Accent4 4_Sheet2" xfId="1805" xr:uid="{00000000-0005-0000-0000-0000AD060000}"/>
    <cellStyle name="20% - Accent4 5" xfId="1806" xr:uid="{00000000-0005-0000-0000-0000AE060000}"/>
    <cellStyle name="20% - Accent4 5 2" xfId="1807" xr:uid="{00000000-0005-0000-0000-0000AF060000}"/>
    <cellStyle name="20% - Accent4 5 2 2" xfId="1808" xr:uid="{00000000-0005-0000-0000-0000B0060000}"/>
    <cellStyle name="20% - Accent4 5 3" xfId="1809" xr:uid="{00000000-0005-0000-0000-0000B1060000}"/>
    <cellStyle name="20% - Accent4 5 3 2" xfId="1810" xr:uid="{00000000-0005-0000-0000-0000B2060000}"/>
    <cellStyle name="20% - Accent4 5 4" xfId="1811" xr:uid="{00000000-0005-0000-0000-0000B3060000}"/>
    <cellStyle name="20% - Accent4 5 4 2" xfId="1812" xr:uid="{00000000-0005-0000-0000-0000B4060000}"/>
    <cellStyle name="20% - Accent4 5 5" xfId="1813" xr:uid="{00000000-0005-0000-0000-0000B5060000}"/>
    <cellStyle name="20% - Accent4 5 6" xfId="1814" xr:uid="{00000000-0005-0000-0000-0000B6060000}"/>
    <cellStyle name="20% - Accent4 5 7" xfId="1815" xr:uid="{00000000-0005-0000-0000-0000B7060000}"/>
    <cellStyle name="20% - Accent4 5 8" xfId="1816" xr:uid="{00000000-0005-0000-0000-0000B8060000}"/>
    <cellStyle name="20% - Accent4 5 9" xfId="1817" xr:uid="{00000000-0005-0000-0000-0000B9060000}"/>
    <cellStyle name="20% - Accent4 5_Sheet2" xfId="1818" xr:uid="{00000000-0005-0000-0000-0000BA060000}"/>
    <cellStyle name="20% - Accent4 6" xfId="1819" xr:uid="{00000000-0005-0000-0000-0000BB060000}"/>
    <cellStyle name="20% - Accent4 6 2" xfId="1820" xr:uid="{00000000-0005-0000-0000-0000BC060000}"/>
    <cellStyle name="20% - Accent4 6 2 2" xfId="1821" xr:uid="{00000000-0005-0000-0000-0000BD060000}"/>
    <cellStyle name="20% - Accent4 6 3" xfId="1822" xr:uid="{00000000-0005-0000-0000-0000BE060000}"/>
    <cellStyle name="20% - Accent4 6 3 2" xfId="1823" xr:uid="{00000000-0005-0000-0000-0000BF060000}"/>
    <cellStyle name="20% - Accent4 6 4" xfId="1824" xr:uid="{00000000-0005-0000-0000-0000C0060000}"/>
    <cellStyle name="20% - Accent4 6 4 2" xfId="1825" xr:uid="{00000000-0005-0000-0000-0000C1060000}"/>
    <cellStyle name="20% - Accent4 6 5" xfId="1826" xr:uid="{00000000-0005-0000-0000-0000C2060000}"/>
    <cellStyle name="20% - Accent4 6 6" xfId="1827" xr:uid="{00000000-0005-0000-0000-0000C3060000}"/>
    <cellStyle name="20% - Accent4 6 7" xfId="1828" xr:uid="{00000000-0005-0000-0000-0000C4060000}"/>
    <cellStyle name="20% - Accent4 6 8" xfId="1829" xr:uid="{00000000-0005-0000-0000-0000C5060000}"/>
    <cellStyle name="20% - Accent4 6 9" xfId="1830" xr:uid="{00000000-0005-0000-0000-0000C6060000}"/>
    <cellStyle name="20% - Accent4 6_Sheet2" xfId="1831" xr:uid="{00000000-0005-0000-0000-0000C7060000}"/>
    <cellStyle name="20% - Accent4 7" xfId="1832" xr:uid="{00000000-0005-0000-0000-0000C8060000}"/>
    <cellStyle name="20% - Accent4 7 2" xfId="1833" xr:uid="{00000000-0005-0000-0000-0000C9060000}"/>
    <cellStyle name="20% - Accent4 7 2 2" xfId="1834" xr:uid="{00000000-0005-0000-0000-0000CA060000}"/>
    <cellStyle name="20% - Accent4 7 3" xfId="1835" xr:uid="{00000000-0005-0000-0000-0000CB060000}"/>
    <cellStyle name="20% - Accent4 7 3 2" xfId="1836" xr:uid="{00000000-0005-0000-0000-0000CC060000}"/>
    <cellStyle name="20% - Accent4 7 4" xfId="1837" xr:uid="{00000000-0005-0000-0000-0000CD060000}"/>
    <cellStyle name="20% - Accent4 7 4 2" xfId="1838" xr:uid="{00000000-0005-0000-0000-0000CE060000}"/>
    <cellStyle name="20% - Accent4 7 5" xfId="1839" xr:uid="{00000000-0005-0000-0000-0000CF060000}"/>
    <cellStyle name="20% - Accent4 7 6" xfId="1840" xr:uid="{00000000-0005-0000-0000-0000D0060000}"/>
    <cellStyle name="20% - Accent4 7 7" xfId="1841" xr:uid="{00000000-0005-0000-0000-0000D1060000}"/>
    <cellStyle name="20% - Accent4 7 8" xfId="1842" xr:uid="{00000000-0005-0000-0000-0000D2060000}"/>
    <cellStyle name="20% - Accent4 7 9" xfId="1843" xr:uid="{00000000-0005-0000-0000-0000D3060000}"/>
    <cellStyle name="20% - Accent4 7_Sheet2" xfId="1844" xr:uid="{00000000-0005-0000-0000-0000D4060000}"/>
    <cellStyle name="20% - Accent4 8" xfId="1845" xr:uid="{00000000-0005-0000-0000-0000D5060000}"/>
    <cellStyle name="20% - Accent4 8 2" xfId="1846" xr:uid="{00000000-0005-0000-0000-0000D6060000}"/>
    <cellStyle name="20% - Accent4 8 3" xfId="1847" xr:uid="{00000000-0005-0000-0000-0000D7060000}"/>
    <cellStyle name="20% - Accent4 8 4" xfId="1848" xr:uid="{00000000-0005-0000-0000-0000D8060000}"/>
    <cellStyle name="20% - Accent4 8 5" xfId="1849" xr:uid="{00000000-0005-0000-0000-0000D9060000}"/>
    <cellStyle name="20% - Accent4 8 6" xfId="1850" xr:uid="{00000000-0005-0000-0000-0000DA060000}"/>
    <cellStyle name="20% - Accent4 8 7" xfId="1851" xr:uid="{00000000-0005-0000-0000-0000DB060000}"/>
    <cellStyle name="20% - Accent4 8 8" xfId="1852" xr:uid="{00000000-0005-0000-0000-0000DC060000}"/>
    <cellStyle name="20% - Accent4 8 9" xfId="1853" xr:uid="{00000000-0005-0000-0000-0000DD060000}"/>
    <cellStyle name="20% - Accent4 8_Sheet2" xfId="1854" xr:uid="{00000000-0005-0000-0000-0000DE060000}"/>
    <cellStyle name="20% - Accent4 9" xfId="1855" xr:uid="{00000000-0005-0000-0000-0000DF060000}"/>
    <cellStyle name="20% - Accent4 9 2" xfId="1856" xr:uid="{00000000-0005-0000-0000-0000E0060000}"/>
    <cellStyle name="20% - Accent4 9 3" xfId="1857" xr:uid="{00000000-0005-0000-0000-0000E1060000}"/>
    <cellStyle name="20% - Accent4 9 4" xfId="1858" xr:uid="{00000000-0005-0000-0000-0000E2060000}"/>
    <cellStyle name="20% - Accent4 9 5" xfId="1859" xr:uid="{00000000-0005-0000-0000-0000E3060000}"/>
    <cellStyle name="20% - Accent4 9 6" xfId="1860" xr:uid="{00000000-0005-0000-0000-0000E4060000}"/>
    <cellStyle name="20% - Accent4 9 7" xfId="1861" xr:uid="{00000000-0005-0000-0000-0000E5060000}"/>
    <cellStyle name="20% - Accent4 9 8" xfId="1862" xr:uid="{00000000-0005-0000-0000-0000E6060000}"/>
    <cellStyle name="20% - Accent4 9 9" xfId="1863" xr:uid="{00000000-0005-0000-0000-0000E7060000}"/>
    <cellStyle name="20% - Accent5" xfId="5" builtinId="46" customBuiltin="1"/>
    <cellStyle name="20% - Accent5 1" xfId="1864" xr:uid="{00000000-0005-0000-0000-0000E9060000}"/>
    <cellStyle name="20% - Accent5 1 1" xfId="1865" xr:uid="{00000000-0005-0000-0000-0000EA060000}"/>
    <cellStyle name="20% - Accent5 1 1 2" xfId="1866" xr:uid="{00000000-0005-0000-0000-0000EB060000}"/>
    <cellStyle name="20% - Accent5 1 2" xfId="1867" xr:uid="{00000000-0005-0000-0000-0000EC060000}"/>
    <cellStyle name="20% - Accent5 1_Building_-_5-final_Price_Variation(1)" xfId="1868" xr:uid="{00000000-0005-0000-0000-0000ED060000}"/>
    <cellStyle name="20% - Accent5 10" xfId="1869" xr:uid="{00000000-0005-0000-0000-0000EE060000}"/>
    <cellStyle name="20% - Accent5 10 2" xfId="1870" xr:uid="{00000000-0005-0000-0000-0000EF060000}"/>
    <cellStyle name="20% - Accent5 10 3" xfId="1871" xr:uid="{00000000-0005-0000-0000-0000F0060000}"/>
    <cellStyle name="20% - Accent5 10 4" xfId="1872" xr:uid="{00000000-0005-0000-0000-0000F1060000}"/>
    <cellStyle name="20% - Accent5 10 5" xfId="1873" xr:uid="{00000000-0005-0000-0000-0000F2060000}"/>
    <cellStyle name="20% - Accent5 10 6" xfId="1874" xr:uid="{00000000-0005-0000-0000-0000F3060000}"/>
    <cellStyle name="20% - Accent5 10 7" xfId="1875" xr:uid="{00000000-0005-0000-0000-0000F4060000}"/>
    <cellStyle name="20% - Accent5 10 8" xfId="1876" xr:uid="{00000000-0005-0000-0000-0000F5060000}"/>
    <cellStyle name="20% - Accent5 10 9" xfId="1877" xr:uid="{00000000-0005-0000-0000-0000F6060000}"/>
    <cellStyle name="20% - Accent5 11" xfId="1878" xr:uid="{00000000-0005-0000-0000-0000F7060000}"/>
    <cellStyle name="20% - Accent5 11 2" xfId="1879" xr:uid="{00000000-0005-0000-0000-0000F8060000}"/>
    <cellStyle name="20% - Accent5 11 3" xfId="1880" xr:uid="{00000000-0005-0000-0000-0000F9060000}"/>
    <cellStyle name="20% - Accent5 11 4" xfId="1881" xr:uid="{00000000-0005-0000-0000-0000FA060000}"/>
    <cellStyle name="20% - Accent5 12" xfId="1882" xr:uid="{00000000-0005-0000-0000-0000FB060000}"/>
    <cellStyle name="20% - Accent5 12 2" xfId="1883" xr:uid="{00000000-0005-0000-0000-0000FC060000}"/>
    <cellStyle name="20% - Accent5 12 3" xfId="1884" xr:uid="{00000000-0005-0000-0000-0000FD060000}"/>
    <cellStyle name="20% - Accent5 12 4" xfId="1885" xr:uid="{00000000-0005-0000-0000-0000FE060000}"/>
    <cellStyle name="20% - Accent5 13" xfId="1886" xr:uid="{00000000-0005-0000-0000-0000FF060000}"/>
    <cellStyle name="20% - Accent5 13 2" xfId="1887" xr:uid="{00000000-0005-0000-0000-000000070000}"/>
    <cellStyle name="20% - Accent5 14" xfId="1888" xr:uid="{00000000-0005-0000-0000-000001070000}"/>
    <cellStyle name="20% - Accent5 14 2" xfId="1889" xr:uid="{00000000-0005-0000-0000-000002070000}"/>
    <cellStyle name="20% - Accent5 15" xfId="1890" xr:uid="{00000000-0005-0000-0000-000003070000}"/>
    <cellStyle name="20% - Accent5 15 2" xfId="1891" xr:uid="{00000000-0005-0000-0000-000004070000}"/>
    <cellStyle name="20% - Accent5 16" xfId="1892" xr:uid="{00000000-0005-0000-0000-000005070000}"/>
    <cellStyle name="20% - Accent5 16 2" xfId="1893" xr:uid="{00000000-0005-0000-0000-000006070000}"/>
    <cellStyle name="20% - Accent5 17" xfId="1894" xr:uid="{00000000-0005-0000-0000-000007070000}"/>
    <cellStyle name="20% - Accent5 17 2" xfId="1895" xr:uid="{00000000-0005-0000-0000-000008070000}"/>
    <cellStyle name="20% - Accent5 18" xfId="1896" xr:uid="{00000000-0005-0000-0000-000009070000}"/>
    <cellStyle name="20% - Accent5 18 2" xfId="1897" xr:uid="{00000000-0005-0000-0000-00000A070000}"/>
    <cellStyle name="20% - Accent5 19" xfId="1898" xr:uid="{00000000-0005-0000-0000-00000B070000}"/>
    <cellStyle name="20% - Accent5 19 2" xfId="1899" xr:uid="{00000000-0005-0000-0000-00000C070000}"/>
    <cellStyle name="20% - Accent5 2" xfId="1900" xr:uid="{00000000-0005-0000-0000-00000D070000}"/>
    <cellStyle name="20% - Accent5 2 10" xfId="1901" xr:uid="{00000000-0005-0000-0000-00000E070000}"/>
    <cellStyle name="20% - Accent5 2 10 2" xfId="1902" xr:uid="{00000000-0005-0000-0000-00000F070000}"/>
    <cellStyle name="20% - Accent5 2 11" xfId="1903" xr:uid="{00000000-0005-0000-0000-000010070000}"/>
    <cellStyle name="20% - Accent5 2 2" xfId="1904" xr:uid="{00000000-0005-0000-0000-000011070000}"/>
    <cellStyle name="20% - Accent5 2 2 2" xfId="1905" xr:uid="{00000000-0005-0000-0000-000012070000}"/>
    <cellStyle name="20% - Accent5 2 2 3" xfId="1906" xr:uid="{00000000-0005-0000-0000-000013070000}"/>
    <cellStyle name="20% - Accent5 2 2 4" xfId="1907" xr:uid="{00000000-0005-0000-0000-000014070000}"/>
    <cellStyle name="20% - Accent5 2 3" xfId="1908" xr:uid="{00000000-0005-0000-0000-000015070000}"/>
    <cellStyle name="20% - Accent5 2 3 2" xfId="1909" xr:uid="{00000000-0005-0000-0000-000016070000}"/>
    <cellStyle name="20% - Accent5 2 4" xfId="1910" xr:uid="{00000000-0005-0000-0000-000017070000}"/>
    <cellStyle name="20% - Accent5 2 4 2" xfId="1911" xr:uid="{00000000-0005-0000-0000-000018070000}"/>
    <cellStyle name="20% - Accent5 2 5" xfId="1912" xr:uid="{00000000-0005-0000-0000-000019070000}"/>
    <cellStyle name="20% - Accent5 2 5 2" xfId="1913" xr:uid="{00000000-0005-0000-0000-00001A070000}"/>
    <cellStyle name="20% - Accent5 2 6" xfId="1914" xr:uid="{00000000-0005-0000-0000-00001B070000}"/>
    <cellStyle name="20% - Accent5 2 6 2" xfId="1915" xr:uid="{00000000-0005-0000-0000-00001C070000}"/>
    <cellStyle name="20% - Accent5 2 7" xfId="1916" xr:uid="{00000000-0005-0000-0000-00001D070000}"/>
    <cellStyle name="20% - Accent5 2 7 2" xfId="1917" xr:uid="{00000000-0005-0000-0000-00001E070000}"/>
    <cellStyle name="20% - Accent5 2 8" xfId="1918" xr:uid="{00000000-0005-0000-0000-00001F070000}"/>
    <cellStyle name="20% - Accent5 2 8 2" xfId="1919" xr:uid="{00000000-0005-0000-0000-000020070000}"/>
    <cellStyle name="20% - Accent5 2 9" xfId="1920" xr:uid="{00000000-0005-0000-0000-000021070000}"/>
    <cellStyle name="20% - Accent5 2 9 2" xfId="1921" xr:uid="{00000000-0005-0000-0000-000022070000}"/>
    <cellStyle name="20% - Accent5 2_B Block  Column LGF to UGF Lvl" xfId="1922" xr:uid="{00000000-0005-0000-0000-000023070000}"/>
    <cellStyle name="20% - Accent5 20" xfId="1923" xr:uid="{00000000-0005-0000-0000-000024070000}"/>
    <cellStyle name="20% - Accent5 20 2" xfId="1924" xr:uid="{00000000-0005-0000-0000-000025070000}"/>
    <cellStyle name="20% - Accent5 21" xfId="1925" xr:uid="{00000000-0005-0000-0000-000026070000}"/>
    <cellStyle name="20% - Accent5 21 2" xfId="1926" xr:uid="{00000000-0005-0000-0000-000027070000}"/>
    <cellStyle name="20% - Accent5 22" xfId="1927" xr:uid="{00000000-0005-0000-0000-000028070000}"/>
    <cellStyle name="20% - Accent5 23" xfId="1928" xr:uid="{00000000-0005-0000-0000-000029070000}"/>
    <cellStyle name="20% - Accent5 24" xfId="1929" xr:uid="{00000000-0005-0000-0000-00002A070000}"/>
    <cellStyle name="20% - Accent5 25" xfId="1930" xr:uid="{00000000-0005-0000-0000-00002B070000}"/>
    <cellStyle name="20% - Accent5 26" xfId="1931" xr:uid="{00000000-0005-0000-0000-00002C070000}"/>
    <cellStyle name="20% - Accent5 27" xfId="1932" xr:uid="{00000000-0005-0000-0000-00002D070000}"/>
    <cellStyle name="20% - Accent5 28" xfId="1933" xr:uid="{00000000-0005-0000-0000-00002E070000}"/>
    <cellStyle name="20% - Accent5 29" xfId="1934" xr:uid="{00000000-0005-0000-0000-00002F070000}"/>
    <cellStyle name="20% - Accent5 3" xfId="1935" xr:uid="{00000000-0005-0000-0000-000030070000}"/>
    <cellStyle name="20% - Accent5 3 2" xfId="1936" xr:uid="{00000000-0005-0000-0000-000031070000}"/>
    <cellStyle name="20% - Accent5 3 2 2" xfId="1937" xr:uid="{00000000-0005-0000-0000-000032070000}"/>
    <cellStyle name="20% - Accent5 3 3" xfId="1938" xr:uid="{00000000-0005-0000-0000-000033070000}"/>
    <cellStyle name="20% - Accent5 3 3 2" xfId="1939" xr:uid="{00000000-0005-0000-0000-000034070000}"/>
    <cellStyle name="20% - Accent5 3 4" xfId="1940" xr:uid="{00000000-0005-0000-0000-000035070000}"/>
    <cellStyle name="20% - Accent5 3 4 2" xfId="1941" xr:uid="{00000000-0005-0000-0000-000036070000}"/>
    <cellStyle name="20% - Accent5 3 5" xfId="1942" xr:uid="{00000000-0005-0000-0000-000037070000}"/>
    <cellStyle name="20% - Accent5 3 6" xfId="1943" xr:uid="{00000000-0005-0000-0000-000038070000}"/>
    <cellStyle name="20% - Accent5 3 7" xfId="1944" xr:uid="{00000000-0005-0000-0000-000039070000}"/>
    <cellStyle name="20% - Accent5 3 8" xfId="1945" xr:uid="{00000000-0005-0000-0000-00003A070000}"/>
    <cellStyle name="20% - Accent5 3 9" xfId="1946" xr:uid="{00000000-0005-0000-0000-00003B070000}"/>
    <cellStyle name="20% - Accent5 3_Sheet2" xfId="1947" xr:uid="{00000000-0005-0000-0000-00003C070000}"/>
    <cellStyle name="20% - Accent5 30" xfId="1948" xr:uid="{00000000-0005-0000-0000-00003D070000}"/>
    <cellStyle name="20% - Accent5 31" xfId="1949" xr:uid="{00000000-0005-0000-0000-00003E070000}"/>
    <cellStyle name="20% - Accent5 32" xfId="1950" xr:uid="{00000000-0005-0000-0000-00003F070000}"/>
    <cellStyle name="20% - Accent5 33" xfId="1951" xr:uid="{00000000-0005-0000-0000-000040070000}"/>
    <cellStyle name="20% - Accent5 34" xfId="1952" xr:uid="{00000000-0005-0000-0000-000041070000}"/>
    <cellStyle name="20% - Accent5 35" xfId="1953" xr:uid="{00000000-0005-0000-0000-000042070000}"/>
    <cellStyle name="20% - Accent5 36" xfId="1954" xr:uid="{00000000-0005-0000-0000-000043070000}"/>
    <cellStyle name="20% - Accent5 37" xfId="1955" xr:uid="{00000000-0005-0000-0000-000044070000}"/>
    <cellStyle name="20% - Accent5 38" xfId="1956" xr:uid="{00000000-0005-0000-0000-000045070000}"/>
    <cellStyle name="20% - Accent5 39" xfId="1957" xr:uid="{00000000-0005-0000-0000-000046070000}"/>
    <cellStyle name="20% - Accent5 4" xfId="1958" xr:uid="{00000000-0005-0000-0000-000047070000}"/>
    <cellStyle name="20% - Accent5 4 2" xfId="1959" xr:uid="{00000000-0005-0000-0000-000048070000}"/>
    <cellStyle name="20% - Accent5 4 3" xfId="1960" xr:uid="{00000000-0005-0000-0000-000049070000}"/>
    <cellStyle name="20% - Accent5 4 3 2" xfId="1961" xr:uid="{00000000-0005-0000-0000-00004A070000}"/>
    <cellStyle name="20% - Accent5 4 4" xfId="1962" xr:uid="{00000000-0005-0000-0000-00004B070000}"/>
    <cellStyle name="20% - Accent5 4 4 2" xfId="1963" xr:uid="{00000000-0005-0000-0000-00004C070000}"/>
    <cellStyle name="20% - Accent5 4 5" xfId="1964" xr:uid="{00000000-0005-0000-0000-00004D070000}"/>
    <cellStyle name="20% - Accent5 4 6" xfId="1965" xr:uid="{00000000-0005-0000-0000-00004E070000}"/>
    <cellStyle name="20% - Accent5 4 7" xfId="1966" xr:uid="{00000000-0005-0000-0000-00004F070000}"/>
    <cellStyle name="20% - Accent5 4 8" xfId="1967" xr:uid="{00000000-0005-0000-0000-000050070000}"/>
    <cellStyle name="20% - Accent5 4 9" xfId="1968" xr:uid="{00000000-0005-0000-0000-000051070000}"/>
    <cellStyle name="20% - Accent5 4_Sheet2" xfId="1969" xr:uid="{00000000-0005-0000-0000-000052070000}"/>
    <cellStyle name="20% - Accent5 5" xfId="1970" xr:uid="{00000000-0005-0000-0000-000053070000}"/>
    <cellStyle name="20% - Accent5 5 2" xfId="1971" xr:uid="{00000000-0005-0000-0000-000054070000}"/>
    <cellStyle name="20% - Accent5 5 2 2" xfId="1972" xr:uid="{00000000-0005-0000-0000-000055070000}"/>
    <cellStyle name="20% - Accent5 5 3" xfId="1973" xr:uid="{00000000-0005-0000-0000-000056070000}"/>
    <cellStyle name="20% - Accent5 5 3 2" xfId="1974" xr:uid="{00000000-0005-0000-0000-000057070000}"/>
    <cellStyle name="20% - Accent5 5 4" xfId="1975" xr:uid="{00000000-0005-0000-0000-000058070000}"/>
    <cellStyle name="20% - Accent5 5 4 2" xfId="1976" xr:uid="{00000000-0005-0000-0000-000059070000}"/>
    <cellStyle name="20% - Accent5 5 5" xfId="1977" xr:uid="{00000000-0005-0000-0000-00005A070000}"/>
    <cellStyle name="20% - Accent5 5 6" xfId="1978" xr:uid="{00000000-0005-0000-0000-00005B070000}"/>
    <cellStyle name="20% - Accent5 5 7" xfId="1979" xr:uid="{00000000-0005-0000-0000-00005C070000}"/>
    <cellStyle name="20% - Accent5 5 8" xfId="1980" xr:uid="{00000000-0005-0000-0000-00005D070000}"/>
    <cellStyle name="20% - Accent5 5 9" xfId="1981" xr:uid="{00000000-0005-0000-0000-00005E070000}"/>
    <cellStyle name="20% - Accent5 5_Sheet2" xfId="1982" xr:uid="{00000000-0005-0000-0000-00005F070000}"/>
    <cellStyle name="20% - Accent5 6" xfId="1983" xr:uid="{00000000-0005-0000-0000-000060070000}"/>
    <cellStyle name="20% - Accent5 6 2" xfId="1984" xr:uid="{00000000-0005-0000-0000-000061070000}"/>
    <cellStyle name="20% - Accent5 6 2 2" xfId="1985" xr:uid="{00000000-0005-0000-0000-000062070000}"/>
    <cellStyle name="20% - Accent5 6 3" xfId="1986" xr:uid="{00000000-0005-0000-0000-000063070000}"/>
    <cellStyle name="20% - Accent5 6 3 2" xfId="1987" xr:uid="{00000000-0005-0000-0000-000064070000}"/>
    <cellStyle name="20% - Accent5 6 4" xfId="1988" xr:uid="{00000000-0005-0000-0000-000065070000}"/>
    <cellStyle name="20% - Accent5 6 4 2" xfId="1989" xr:uid="{00000000-0005-0000-0000-000066070000}"/>
    <cellStyle name="20% - Accent5 6 5" xfId="1990" xr:uid="{00000000-0005-0000-0000-000067070000}"/>
    <cellStyle name="20% - Accent5 6 6" xfId="1991" xr:uid="{00000000-0005-0000-0000-000068070000}"/>
    <cellStyle name="20% - Accent5 6 7" xfId="1992" xr:uid="{00000000-0005-0000-0000-000069070000}"/>
    <cellStyle name="20% - Accent5 6 8" xfId="1993" xr:uid="{00000000-0005-0000-0000-00006A070000}"/>
    <cellStyle name="20% - Accent5 6 9" xfId="1994" xr:uid="{00000000-0005-0000-0000-00006B070000}"/>
    <cellStyle name="20% - Accent5 6_Sheet2" xfId="1995" xr:uid="{00000000-0005-0000-0000-00006C070000}"/>
    <cellStyle name="20% - Accent5 7" xfId="1996" xr:uid="{00000000-0005-0000-0000-00006D070000}"/>
    <cellStyle name="20% - Accent5 7 2" xfId="1997" xr:uid="{00000000-0005-0000-0000-00006E070000}"/>
    <cellStyle name="20% - Accent5 7 2 2" xfId="1998" xr:uid="{00000000-0005-0000-0000-00006F070000}"/>
    <cellStyle name="20% - Accent5 7 3" xfId="1999" xr:uid="{00000000-0005-0000-0000-000070070000}"/>
    <cellStyle name="20% - Accent5 7 3 2" xfId="2000" xr:uid="{00000000-0005-0000-0000-000071070000}"/>
    <cellStyle name="20% - Accent5 7 4" xfId="2001" xr:uid="{00000000-0005-0000-0000-000072070000}"/>
    <cellStyle name="20% - Accent5 7 4 2" xfId="2002" xr:uid="{00000000-0005-0000-0000-000073070000}"/>
    <cellStyle name="20% - Accent5 7 5" xfId="2003" xr:uid="{00000000-0005-0000-0000-000074070000}"/>
    <cellStyle name="20% - Accent5 7 6" xfId="2004" xr:uid="{00000000-0005-0000-0000-000075070000}"/>
    <cellStyle name="20% - Accent5 7 7" xfId="2005" xr:uid="{00000000-0005-0000-0000-000076070000}"/>
    <cellStyle name="20% - Accent5 7 8" xfId="2006" xr:uid="{00000000-0005-0000-0000-000077070000}"/>
    <cellStyle name="20% - Accent5 7 9" xfId="2007" xr:uid="{00000000-0005-0000-0000-000078070000}"/>
    <cellStyle name="20% - Accent5 7_Sheet2" xfId="2008" xr:uid="{00000000-0005-0000-0000-000079070000}"/>
    <cellStyle name="20% - Accent5 8" xfId="2009" xr:uid="{00000000-0005-0000-0000-00007A070000}"/>
    <cellStyle name="20% - Accent5 8 2" xfId="2010" xr:uid="{00000000-0005-0000-0000-00007B070000}"/>
    <cellStyle name="20% - Accent5 8 3" xfId="2011" xr:uid="{00000000-0005-0000-0000-00007C070000}"/>
    <cellStyle name="20% - Accent5 8 4" xfId="2012" xr:uid="{00000000-0005-0000-0000-00007D070000}"/>
    <cellStyle name="20% - Accent5 8 5" xfId="2013" xr:uid="{00000000-0005-0000-0000-00007E070000}"/>
    <cellStyle name="20% - Accent5 8 6" xfId="2014" xr:uid="{00000000-0005-0000-0000-00007F070000}"/>
    <cellStyle name="20% - Accent5 8 7" xfId="2015" xr:uid="{00000000-0005-0000-0000-000080070000}"/>
    <cellStyle name="20% - Accent5 8 8" xfId="2016" xr:uid="{00000000-0005-0000-0000-000081070000}"/>
    <cellStyle name="20% - Accent5 8 9" xfId="2017" xr:uid="{00000000-0005-0000-0000-000082070000}"/>
    <cellStyle name="20% - Accent5 8_Sheet2" xfId="2018" xr:uid="{00000000-0005-0000-0000-000083070000}"/>
    <cellStyle name="20% - Accent5 9" xfId="2019" xr:uid="{00000000-0005-0000-0000-000084070000}"/>
    <cellStyle name="20% - Accent5 9 2" xfId="2020" xr:uid="{00000000-0005-0000-0000-000085070000}"/>
    <cellStyle name="20% - Accent5 9 3" xfId="2021" xr:uid="{00000000-0005-0000-0000-000086070000}"/>
    <cellStyle name="20% - Accent5 9 4" xfId="2022" xr:uid="{00000000-0005-0000-0000-000087070000}"/>
    <cellStyle name="20% - Accent5 9 5" xfId="2023" xr:uid="{00000000-0005-0000-0000-000088070000}"/>
    <cellStyle name="20% - Accent5 9 6" xfId="2024" xr:uid="{00000000-0005-0000-0000-000089070000}"/>
    <cellStyle name="20% - Accent5 9 7" xfId="2025" xr:uid="{00000000-0005-0000-0000-00008A070000}"/>
    <cellStyle name="20% - Accent5 9 8" xfId="2026" xr:uid="{00000000-0005-0000-0000-00008B070000}"/>
    <cellStyle name="20% - Accent5 9 9" xfId="2027" xr:uid="{00000000-0005-0000-0000-00008C070000}"/>
    <cellStyle name="20% - Accent6" xfId="6" builtinId="50" customBuiltin="1"/>
    <cellStyle name="20% - Accent6 1" xfId="2028" xr:uid="{00000000-0005-0000-0000-00008E070000}"/>
    <cellStyle name="20% - Accent6 1 1" xfId="2029" xr:uid="{00000000-0005-0000-0000-00008F070000}"/>
    <cellStyle name="20% - Accent6 1 1 2" xfId="2030" xr:uid="{00000000-0005-0000-0000-000090070000}"/>
    <cellStyle name="20% - Accent6 1 2" xfId="2031" xr:uid="{00000000-0005-0000-0000-000091070000}"/>
    <cellStyle name="20% - Accent6 1_Building_-_5-final_Price_Variation(1)" xfId="2032" xr:uid="{00000000-0005-0000-0000-000092070000}"/>
    <cellStyle name="20% - Accent6 10" xfId="2033" xr:uid="{00000000-0005-0000-0000-000093070000}"/>
    <cellStyle name="20% - Accent6 10 2" xfId="2034" xr:uid="{00000000-0005-0000-0000-000094070000}"/>
    <cellStyle name="20% - Accent6 10 3" xfId="2035" xr:uid="{00000000-0005-0000-0000-000095070000}"/>
    <cellStyle name="20% - Accent6 10 4" xfId="2036" xr:uid="{00000000-0005-0000-0000-000096070000}"/>
    <cellStyle name="20% - Accent6 10 5" xfId="2037" xr:uid="{00000000-0005-0000-0000-000097070000}"/>
    <cellStyle name="20% - Accent6 10 6" xfId="2038" xr:uid="{00000000-0005-0000-0000-000098070000}"/>
    <cellStyle name="20% - Accent6 10 7" xfId="2039" xr:uid="{00000000-0005-0000-0000-000099070000}"/>
    <cellStyle name="20% - Accent6 10 8" xfId="2040" xr:uid="{00000000-0005-0000-0000-00009A070000}"/>
    <cellStyle name="20% - Accent6 10 9" xfId="2041" xr:uid="{00000000-0005-0000-0000-00009B070000}"/>
    <cellStyle name="20% - Accent6 11" xfId="2042" xr:uid="{00000000-0005-0000-0000-00009C070000}"/>
    <cellStyle name="20% - Accent6 11 2" xfId="2043" xr:uid="{00000000-0005-0000-0000-00009D070000}"/>
    <cellStyle name="20% - Accent6 11 3" xfId="2044" xr:uid="{00000000-0005-0000-0000-00009E070000}"/>
    <cellStyle name="20% - Accent6 11 4" xfId="2045" xr:uid="{00000000-0005-0000-0000-00009F070000}"/>
    <cellStyle name="20% - Accent6 12" xfId="2046" xr:uid="{00000000-0005-0000-0000-0000A0070000}"/>
    <cellStyle name="20% - Accent6 12 2" xfId="2047" xr:uid="{00000000-0005-0000-0000-0000A1070000}"/>
    <cellStyle name="20% - Accent6 12 3" xfId="2048" xr:uid="{00000000-0005-0000-0000-0000A2070000}"/>
    <cellStyle name="20% - Accent6 12 4" xfId="2049" xr:uid="{00000000-0005-0000-0000-0000A3070000}"/>
    <cellStyle name="20% - Accent6 13" xfId="2050" xr:uid="{00000000-0005-0000-0000-0000A4070000}"/>
    <cellStyle name="20% - Accent6 13 2" xfId="2051" xr:uid="{00000000-0005-0000-0000-0000A5070000}"/>
    <cellStyle name="20% - Accent6 14" xfId="2052" xr:uid="{00000000-0005-0000-0000-0000A6070000}"/>
    <cellStyle name="20% - Accent6 14 2" xfId="2053" xr:uid="{00000000-0005-0000-0000-0000A7070000}"/>
    <cellStyle name="20% - Accent6 15" xfId="2054" xr:uid="{00000000-0005-0000-0000-0000A8070000}"/>
    <cellStyle name="20% - Accent6 15 2" xfId="2055" xr:uid="{00000000-0005-0000-0000-0000A9070000}"/>
    <cellStyle name="20% - Accent6 16" xfId="2056" xr:uid="{00000000-0005-0000-0000-0000AA070000}"/>
    <cellStyle name="20% - Accent6 16 2" xfId="2057" xr:uid="{00000000-0005-0000-0000-0000AB070000}"/>
    <cellStyle name="20% - Accent6 17" xfId="2058" xr:uid="{00000000-0005-0000-0000-0000AC070000}"/>
    <cellStyle name="20% - Accent6 17 2" xfId="2059" xr:uid="{00000000-0005-0000-0000-0000AD070000}"/>
    <cellStyle name="20% - Accent6 18" xfId="2060" xr:uid="{00000000-0005-0000-0000-0000AE070000}"/>
    <cellStyle name="20% - Accent6 18 2" xfId="2061" xr:uid="{00000000-0005-0000-0000-0000AF070000}"/>
    <cellStyle name="20% - Accent6 19" xfId="2062" xr:uid="{00000000-0005-0000-0000-0000B0070000}"/>
    <cellStyle name="20% - Accent6 19 2" xfId="2063" xr:uid="{00000000-0005-0000-0000-0000B1070000}"/>
    <cellStyle name="20% - Accent6 2" xfId="2064" xr:uid="{00000000-0005-0000-0000-0000B2070000}"/>
    <cellStyle name="20% - Accent6 2 10" xfId="2065" xr:uid="{00000000-0005-0000-0000-0000B3070000}"/>
    <cellStyle name="20% - Accent6 2 10 2" xfId="2066" xr:uid="{00000000-0005-0000-0000-0000B4070000}"/>
    <cellStyle name="20% - Accent6 2 11" xfId="2067" xr:uid="{00000000-0005-0000-0000-0000B5070000}"/>
    <cellStyle name="20% - Accent6 2 2" xfId="2068" xr:uid="{00000000-0005-0000-0000-0000B6070000}"/>
    <cellStyle name="20% - Accent6 2 2 2" xfId="2069" xr:uid="{00000000-0005-0000-0000-0000B7070000}"/>
    <cellStyle name="20% - Accent6 2 2 3" xfId="2070" xr:uid="{00000000-0005-0000-0000-0000B8070000}"/>
    <cellStyle name="20% - Accent6 2 2 4" xfId="2071" xr:uid="{00000000-0005-0000-0000-0000B9070000}"/>
    <cellStyle name="20% - Accent6 2 3" xfId="2072" xr:uid="{00000000-0005-0000-0000-0000BA070000}"/>
    <cellStyle name="20% - Accent6 2 3 2" xfId="2073" xr:uid="{00000000-0005-0000-0000-0000BB070000}"/>
    <cellStyle name="20% - Accent6 2 4" xfId="2074" xr:uid="{00000000-0005-0000-0000-0000BC070000}"/>
    <cellStyle name="20% - Accent6 2 4 2" xfId="2075" xr:uid="{00000000-0005-0000-0000-0000BD070000}"/>
    <cellStyle name="20% - Accent6 2 5" xfId="2076" xr:uid="{00000000-0005-0000-0000-0000BE070000}"/>
    <cellStyle name="20% - Accent6 2 5 2" xfId="2077" xr:uid="{00000000-0005-0000-0000-0000BF070000}"/>
    <cellStyle name="20% - Accent6 2 6" xfId="2078" xr:uid="{00000000-0005-0000-0000-0000C0070000}"/>
    <cellStyle name="20% - Accent6 2 6 2" xfId="2079" xr:uid="{00000000-0005-0000-0000-0000C1070000}"/>
    <cellStyle name="20% - Accent6 2 7" xfId="2080" xr:uid="{00000000-0005-0000-0000-0000C2070000}"/>
    <cellStyle name="20% - Accent6 2 7 2" xfId="2081" xr:uid="{00000000-0005-0000-0000-0000C3070000}"/>
    <cellStyle name="20% - Accent6 2 8" xfId="2082" xr:uid="{00000000-0005-0000-0000-0000C4070000}"/>
    <cellStyle name="20% - Accent6 2 8 2" xfId="2083" xr:uid="{00000000-0005-0000-0000-0000C5070000}"/>
    <cellStyle name="20% - Accent6 2 9" xfId="2084" xr:uid="{00000000-0005-0000-0000-0000C6070000}"/>
    <cellStyle name="20% - Accent6 2 9 2" xfId="2085" xr:uid="{00000000-0005-0000-0000-0000C7070000}"/>
    <cellStyle name="20% - Accent6 2_B Block  Column LGF to UGF Lvl" xfId="2086" xr:uid="{00000000-0005-0000-0000-0000C8070000}"/>
    <cellStyle name="20% - Accent6 20" xfId="2087" xr:uid="{00000000-0005-0000-0000-0000C9070000}"/>
    <cellStyle name="20% - Accent6 20 2" xfId="2088" xr:uid="{00000000-0005-0000-0000-0000CA070000}"/>
    <cellStyle name="20% - Accent6 21" xfId="2089" xr:uid="{00000000-0005-0000-0000-0000CB070000}"/>
    <cellStyle name="20% - Accent6 21 2" xfId="2090" xr:uid="{00000000-0005-0000-0000-0000CC070000}"/>
    <cellStyle name="20% - Accent6 22" xfId="2091" xr:uid="{00000000-0005-0000-0000-0000CD070000}"/>
    <cellStyle name="20% - Accent6 23" xfId="2092" xr:uid="{00000000-0005-0000-0000-0000CE070000}"/>
    <cellStyle name="20% - Accent6 24" xfId="2093" xr:uid="{00000000-0005-0000-0000-0000CF070000}"/>
    <cellStyle name="20% - Accent6 25" xfId="2094" xr:uid="{00000000-0005-0000-0000-0000D0070000}"/>
    <cellStyle name="20% - Accent6 26" xfId="2095" xr:uid="{00000000-0005-0000-0000-0000D1070000}"/>
    <cellStyle name="20% - Accent6 27" xfId="2096" xr:uid="{00000000-0005-0000-0000-0000D2070000}"/>
    <cellStyle name="20% - Accent6 28" xfId="2097" xr:uid="{00000000-0005-0000-0000-0000D3070000}"/>
    <cellStyle name="20% - Accent6 29" xfId="2098" xr:uid="{00000000-0005-0000-0000-0000D4070000}"/>
    <cellStyle name="20% - Accent6 3" xfId="2099" xr:uid="{00000000-0005-0000-0000-0000D5070000}"/>
    <cellStyle name="20% - Accent6 3 2" xfId="2100" xr:uid="{00000000-0005-0000-0000-0000D6070000}"/>
    <cellStyle name="20% - Accent6 3 2 2" xfId="2101" xr:uid="{00000000-0005-0000-0000-0000D7070000}"/>
    <cellStyle name="20% - Accent6 3 3" xfId="2102" xr:uid="{00000000-0005-0000-0000-0000D8070000}"/>
    <cellStyle name="20% - Accent6 3 3 2" xfId="2103" xr:uid="{00000000-0005-0000-0000-0000D9070000}"/>
    <cellStyle name="20% - Accent6 3 4" xfId="2104" xr:uid="{00000000-0005-0000-0000-0000DA070000}"/>
    <cellStyle name="20% - Accent6 3 4 2" xfId="2105" xr:uid="{00000000-0005-0000-0000-0000DB070000}"/>
    <cellStyle name="20% - Accent6 3 5" xfId="2106" xr:uid="{00000000-0005-0000-0000-0000DC070000}"/>
    <cellStyle name="20% - Accent6 3 6" xfId="2107" xr:uid="{00000000-0005-0000-0000-0000DD070000}"/>
    <cellStyle name="20% - Accent6 3 7" xfId="2108" xr:uid="{00000000-0005-0000-0000-0000DE070000}"/>
    <cellStyle name="20% - Accent6 3 8" xfId="2109" xr:uid="{00000000-0005-0000-0000-0000DF070000}"/>
    <cellStyle name="20% - Accent6 3 9" xfId="2110" xr:uid="{00000000-0005-0000-0000-0000E0070000}"/>
    <cellStyle name="20% - Accent6 3_Sheet2" xfId="2111" xr:uid="{00000000-0005-0000-0000-0000E1070000}"/>
    <cellStyle name="20% - Accent6 30" xfId="2112" xr:uid="{00000000-0005-0000-0000-0000E2070000}"/>
    <cellStyle name="20% - Accent6 31" xfId="2113" xr:uid="{00000000-0005-0000-0000-0000E3070000}"/>
    <cellStyle name="20% - Accent6 32" xfId="2114" xr:uid="{00000000-0005-0000-0000-0000E4070000}"/>
    <cellStyle name="20% - Accent6 33" xfId="2115" xr:uid="{00000000-0005-0000-0000-0000E5070000}"/>
    <cellStyle name="20% - Accent6 34" xfId="2116" xr:uid="{00000000-0005-0000-0000-0000E6070000}"/>
    <cellStyle name="20% - Accent6 35" xfId="2117" xr:uid="{00000000-0005-0000-0000-0000E7070000}"/>
    <cellStyle name="20% - Accent6 36" xfId="2118" xr:uid="{00000000-0005-0000-0000-0000E8070000}"/>
    <cellStyle name="20% - Accent6 37" xfId="2119" xr:uid="{00000000-0005-0000-0000-0000E9070000}"/>
    <cellStyle name="20% - Accent6 38" xfId="2120" xr:uid="{00000000-0005-0000-0000-0000EA070000}"/>
    <cellStyle name="20% - Accent6 39" xfId="2121" xr:uid="{00000000-0005-0000-0000-0000EB070000}"/>
    <cellStyle name="20% - Accent6 4" xfId="2122" xr:uid="{00000000-0005-0000-0000-0000EC070000}"/>
    <cellStyle name="20% - Accent6 4 2" xfId="2123" xr:uid="{00000000-0005-0000-0000-0000ED070000}"/>
    <cellStyle name="20% - Accent6 4 3" xfId="2124" xr:uid="{00000000-0005-0000-0000-0000EE070000}"/>
    <cellStyle name="20% - Accent6 4 3 2" xfId="2125" xr:uid="{00000000-0005-0000-0000-0000EF070000}"/>
    <cellStyle name="20% - Accent6 4 4" xfId="2126" xr:uid="{00000000-0005-0000-0000-0000F0070000}"/>
    <cellStyle name="20% - Accent6 4 4 2" xfId="2127" xr:uid="{00000000-0005-0000-0000-0000F1070000}"/>
    <cellStyle name="20% - Accent6 4 5" xfId="2128" xr:uid="{00000000-0005-0000-0000-0000F2070000}"/>
    <cellStyle name="20% - Accent6 4 6" xfId="2129" xr:uid="{00000000-0005-0000-0000-0000F3070000}"/>
    <cellStyle name="20% - Accent6 4 7" xfId="2130" xr:uid="{00000000-0005-0000-0000-0000F4070000}"/>
    <cellStyle name="20% - Accent6 4 8" xfId="2131" xr:uid="{00000000-0005-0000-0000-0000F5070000}"/>
    <cellStyle name="20% - Accent6 4 9" xfId="2132" xr:uid="{00000000-0005-0000-0000-0000F6070000}"/>
    <cellStyle name="20% - Accent6 4_Sheet2" xfId="2133" xr:uid="{00000000-0005-0000-0000-0000F7070000}"/>
    <cellStyle name="20% - Accent6 5" xfId="2134" xr:uid="{00000000-0005-0000-0000-0000F8070000}"/>
    <cellStyle name="20% - Accent6 5 2" xfId="2135" xr:uid="{00000000-0005-0000-0000-0000F9070000}"/>
    <cellStyle name="20% - Accent6 5 2 2" xfId="2136" xr:uid="{00000000-0005-0000-0000-0000FA070000}"/>
    <cellStyle name="20% - Accent6 5 3" xfId="2137" xr:uid="{00000000-0005-0000-0000-0000FB070000}"/>
    <cellStyle name="20% - Accent6 5 3 2" xfId="2138" xr:uid="{00000000-0005-0000-0000-0000FC070000}"/>
    <cellStyle name="20% - Accent6 5 4" xfId="2139" xr:uid="{00000000-0005-0000-0000-0000FD070000}"/>
    <cellStyle name="20% - Accent6 5 4 2" xfId="2140" xr:uid="{00000000-0005-0000-0000-0000FE070000}"/>
    <cellStyle name="20% - Accent6 5 5" xfId="2141" xr:uid="{00000000-0005-0000-0000-0000FF070000}"/>
    <cellStyle name="20% - Accent6 5 6" xfId="2142" xr:uid="{00000000-0005-0000-0000-000000080000}"/>
    <cellStyle name="20% - Accent6 5 7" xfId="2143" xr:uid="{00000000-0005-0000-0000-000001080000}"/>
    <cellStyle name="20% - Accent6 5 8" xfId="2144" xr:uid="{00000000-0005-0000-0000-000002080000}"/>
    <cellStyle name="20% - Accent6 5 9" xfId="2145" xr:uid="{00000000-0005-0000-0000-000003080000}"/>
    <cellStyle name="20% - Accent6 5_Sheet2" xfId="2146" xr:uid="{00000000-0005-0000-0000-000004080000}"/>
    <cellStyle name="20% - Accent6 6" xfId="2147" xr:uid="{00000000-0005-0000-0000-000005080000}"/>
    <cellStyle name="20% - Accent6 6 2" xfId="2148" xr:uid="{00000000-0005-0000-0000-000006080000}"/>
    <cellStyle name="20% - Accent6 6 2 2" xfId="2149" xr:uid="{00000000-0005-0000-0000-000007080000}"/>
    <cellStyle name="20% - Accent6 6 3" xfId="2150" xr:uid="{00000000-0005-0000-0000-000008080000}"/>
    <cellStyle name="20% - Accent6 6 3 2" xfId="2151" xr:uid="{00000000-0005-0000-0000-000009080000}"/>
    <cellStyle name="20% - Accent6 6 4" xfId="2152" xr:uid="{00000000-0005-0000-0000-00000A080000}"/>
    <cellStyle name="20% - Accent6 6 4 2" xfId="2153" xr:uid="{00000000-0005-0000-0000-00000B080000}"/>
    <cellStyle name="20% - Accent6 6 5" xfId="2154" xr:uid="{00000000-0005-0000-0000-00000C080000}"/>
    <cellStyle name="20% - Accent6 6 6" xfId="2155" xr:uid="{00000000-0005-0000-0000-00000D080000}"/>
    <cellStyle name="20% - Accent6 6 7" xfId="2156" xr:uid="{00000000-0005-0000-0000-00000E080000}"/>
    <cellStyle name="20% - Accent6 6 8" xfId="2157" xr:uid="{00000000-0005-0000-0000-00000F080000}"/>
    <cellStyle name="20% - Accent6 6 9" xfId="2158" xr:uid="{00000000-0005-0000-0000-000010080000}"/>
    <cellStyle name="20% - Accent6 6_Sheet2" xfId="2159" xr:uid="{00000000-0005-0000-0000-000011080000}"/>
    <cellStyle name="20% - Accent6 7" xfId="2160" xr:uid="{00000000-0005-0000-0000-000012080000}"/>
    <cellStyle name="20% - Accent6 7 2" xfId="2161" xr:uid="{00000000-0005-0000-0000-000013080000}"/>
    <cellStyle name="20% - Accent6 7 2 2" xfId="2162" xr:uid="{00000000-0005-0000-0000-000014080000}"/>
    <cellStyle name="20% - Accent6 7 3" xfId="2163" xr:uid="{00000000-0005-0000-0000-000015080000}"/>
    <cellStyle name="20% - Accent6 7 3 2" xfId="2164" xr:uid="{00000000-0005-0000-0000-000016080000}"/>
    <cellStyle name="20% - Accent6 7 4" xfId="2165" xr:uid="{00000000-0005-0000-0000-000017080000}"/>
    <cellStyle name="20% - Accent6 7 4 2" xfId="2166" xr:uid="{00000000-0005-0000-0000-000018080000}"/>
    <cellStyle name="20% - Accent6 7 5" xfId="2167" xr:uid="{00000000-0005-0000-0000-000019080000}"/>
    <cellStyle name="20% - Accent6 7 6" xfId="2168" xr:uid="{00000000-0005-0000-0000-00001A080000}"/>
    <cellStyle name="20% - Accent6 7 7" xfId="2169" xr:uid="{00000000-0005-0000-0000-00001B080000}"/>
    <cellStyle name="20% - Accent6 7 8" xfId="2170" xr:uid="{00000000-0005-0000-0000-00001C080000}"/>
    <cellStyle name="20% - Accent6 7 9" xfId="2171" xr:uid="{00000000-0005-0000-0000-00001D080000}"/>
    <cellStyle name="20% - Accent6 7_Sheet2" xfId="2172" xr:uid="{00000000-0005-0000-0000-00001E080000}"/>
    <cellStyle name="20% - Accent6 8" xfId="2173" xr:uid="{00000000-0005-0000-0000-00001F080000}"/>
    <cellStyle name="20% - Accent6 8 2" xfId="2174" xr:uid="{00000000-0005-0000-0000-000020080000}"/>
    <cellStyle name="20% - Accent6 8 3" xfId="2175" xr:uid="{00000000-0005-0000-0000-000021080000}"/>
    <cellStyle name="20% - Accent6 8 4" xfId="2176" xr:uid="{00000000-0005-0000-0000-000022080000}"/>
    <cellStyle name="20% - Accent6 8 5" xfId="2177" xr:uid="{00000000-0005-0000-0000-000023080000}"/>
    <cellStyle name="20% - Accent6 8 6" xfId="2178" xr:uid="{00000000-0005-0000-0000-000024080000}"/>
    <cellStyle name="20% - Accent6 8 7" xfId="2179" xr:uid="{00000000-0005-0000-0000-000025080000}"/>
    <cellStyle name="20% - Accent6 8 8" xfId="2180" xr:uid="{00000000-0005-0000-0000-000026080000}"/>
    <cellStyle name="20% - Accent6 8 9" xfId="2181" xr:uid="{00000000-0005-0000-0000-000027080000}"/>
    <cellStyle name="20% - Accent6 8_Sheet2" xfId="2182" xr:uid="{00000000-0005-0000-0000-000028080000}"/>
    <cellStyle name="20% - Accent6 9" xfId="2183" xr:uid="{00000000-0005-0000-0000-000029080000}"/>
    <cellStyle name="20% - Accent6 9 2" xfId="2184" xr:uid="{00000000-0005-0000-0000-00002A080000}"/>
    <cellStyle name="20% - Accent6 9 3" xfId="2185" xr:uid="{00000000-0005-0000-0000-00002B080000}"/>
    <cellStyle name="20% - Accent6 9 4" xfId="2186" xr:uid="{00000000-0005-0000-0000-00002C080000}"/>
    <cellStyle name="20% - Accent6 9 5" xfId="2187" xr:uid="{00000000-0005-0000-0000-00002D080000}"/>
    <cellStyle name="20% - Accent6 9 6" xfId="2188" xr:uid="{00000000-0005-0000-0000-00002E080000}"/>
    <cellStyle name="20% - Accent6 9 7" xfId="2189" xr:uid="{00000000-0005-0000-0000-00002F080000}"/>
    <cellStyle name="20% - Accent6 9 8" xfId="2190" xr:uid="{00000000-0005-0000-0000-000030080000}"/>
    <cellStyle name="20% - Accent6 9 9" xfId="2191" xr:uid="{00000000-0005-0000-0000-000031080000}"/>
    <cellStyle name="20% - Akzent1" xfId="2192" xr:uid="{00000000-0005-0000-0000-000032080000}"/>
    <cellStyle name="20% - Akzent2" xfId="2193" xr:uid="{00000000-0005-0000-0000-000033080000}"/>
    <cellStyle name="20% - Akzent3" xfId="2194" xr:uid="{00000000-0005-0000-0000-000034080000}"/>
    <cellStyle name="20% - Akzent4" xfId="2195" xr:uid="{00000000-0005-0000-0000-000035080000}"/>
    <cellStyle name="20% - Akzent5" xfId="2196" xr:uid="{00000000-0005-0000-0000-000036080000}"/>
    <cellStyle name="20% - Akzent6" xfId="2197" xr:uid="{00000000-0005-0000-0000-000037080000}"/>
    <cellStyle name="20% - Énfasis1" xfId="2198" xr:uid="{00000000-0005-0000-0000-000038080000}"/>
    <cellStyle name="20% - Énfasis2" xfId="2199" xr:uid="{00000000-0005-0000-0000-000039080000}"/>
    <cellStyle name="20% - Énfasis3" xfId="2200" xr:uid="{00000000-0005-0000-0000-00003A080000}"/>
    <cellStyle name="20% - Énfasis4" xfId="2201" xr:uid="{00000000-0005-0000-0000-00003B080000}"/>
    <cellStyle name="20% - Énfasis5" xfId="2202" xr:uid="{00000000-0005-0000-0000-00003C080000}"/>
    <cellStyle name="20% - Énfasis6" xfId="2203" xr:uid="{00000000-0005-0000-0000-00003D080000}"/>
    <cellStyle name="20% - 强调文字颜色 1" xfId="2204" xr:uid="{00000000-0005-0000-0000-00003E080000}"/>
    <cellStyle name="20% - 强调文字颜色 2" xfId="2205" xr:uid="{00000000-0005-0000-0000-00003F080000}"/>
    <cellStyle name="20% - 强调文字颜色 3" xfId="2206" xr:uid="{00000000-0005-0000-0000-000040080000}"/>
    <cellStyle name="20% - 强调文字颜色 4" xfId="2207" xr:uid="{00000000-0005-0000-0000-000041080000}"/>
    <cellStyle name="20% - 强调文字颜色 5" xfId="2208" xr:uid="{00000000-0005-0000-0000-000042080000}"/>
    <cellStyle name="20% - 强调文字颜色 6" xfId="2209" xr:uid="{00000000-0005-0000-0000-000043080000}"/>
    <cellStyle name="³f¹E[0]_laroux" xfId="2210" xr:uid="{00000000-0005-0000-0000-000044080000}"/>
    <cellStyle name="³f¹ô_laroux" xfId="2211" xr:uid="{00000000-0005-0000-0000-000045080000}"/>
    <cellStyle name="40% - Accent1" xfId="7" builtinId="31" customBuiltin="1"/>
    <cellStyle name="40% - Accent1 1" xfId="2212" xr:uid="{00000000-0005-0000-0000-000047080000}"/>
    <cellStyle name="40% - Accent1 1 1" xfId="2213" xr:uid="{00000000-0005-0000-0000-000048080000}"/>
    <cellStyle name="40% - Accent1 1 1 2" xfId="2214" xr:uid="{00000000-0005-0000-0000-000049080000}"/>
    <cellStyle name="40% - Accent1 1 2" xfId="2215" xr:uid="{00000000-0005-0000-0000-00004A080000}"/>
    <cellStyle name="40% - Accent1 10" xfId="2216" xr:uid="{00000000-0005-0000-0000-00004B080000}"/>
    <cellStyle name="40% - Accent1 10 2" xfId="2217" xr:uid="{00000000-0005-0000-0000-00004C080000}"/>
    <cellStyle name="40% - Accent1 10 3" xfId="2218" xr:uid="{00000000-0005-0000-0000-00004D080000}"/>
    <cellStyle name="40% - Accent1 10 4" xfId="2219" xr:uid="{00000000-0005-0000-0000-00004E080000}"/>
    <cellStyle name="40% - Accent1 10 5" xfId="2220" xr:uid="{00000000-0005-0000-0000-00004F080000}"/>
    <cellStyle name="40% - Accent1 10 6" xfId="2221" xr:uid="{00000000-0005-0000-0000-000050080000}"/>
    <cellStyle name="40% - Accent1 10 7" xfId="2222" xr:uid="{00000000-0005-0000-0000-000051080000}"/>
    <cellStyle name="40% - Accent1 10 8" xfId="2223" xr:uid="{00000000-0005-0000-0000-000052080000}"/>
    <cellStyle name="40% - Accent1 10 9" xfId="2224" xr:uid="{00000000-0005-0000-0000-000053080000}"/>
    <cellStyle name="40% - Accent1 11" xfId="2225" xr:uid="{00000000-0005-0000-0000-000054080000}"/>
    <cellStyle name="40% - Accent1 11 2" xfId="2226" xr:uid="{00000000-0005-0000-0000-000055080000}"/>
    <cellStyle name="40% - Accent1 11 3" xfId="2227" xr:uid="{00000000-0005-0000-0000-000056080000}"/>
    <cellStyle name="40% - Accent1 11 4" xfId="2228" xr:uid="{00000000-0005-0000-0000-000057080000}"/>
    <cellStyle name="40% - Accent1 12" xfId="2229" xr:uid="{00000000-0005-0000-0000-000058080000}"/>
    <cellStyle name="40% - Accent1 12 2" xfId="2230" xr:uid="{00000000-0005-0000-0000-000059080000}"/>
    <cellStyle name="40% - Accent1 12 3" xfId="2231" xr:uid="{00000000-0005-0000-0000-00005A080000}"/>
    <cellStyle name="40% - Accent1 12 4" xfId="2232" xr:uid="{00000000-0005-0000-0000-00005B080000}"/>
    <cellStyle name="40% - Accent1 13" xfId="2233" xr:uid="{00000000-0005-0000-0000-00005C080000}"/>
    <cellStyle name="40% - Accent1 13 2" xfId="2234" xr:uid="{00000000-0005-0000-0000-00005D080000}"/>
    <cellStyle name="40% - Accent1 14" xfId="2235" xr:uid="{00000000-0005-0000-0000-00005E080000}"/>
    <cellStyle name="40% - Accent1 14 2" xfId="2236" xr:uid="{00000000-0005-0000-0000-00005F080000}"/>
    <cellStyle name="40% - Accent1 15" xfId="2237" xr:uid="{00000000-0005-0000-0000-000060080000}"/>
    <cellStyle name="40% - Accent1 15 2" xfId="2238" xr:uid="{00000000-0005-0000-0000-000061080000}"/>
    <cellStyle name="40% - Accent1 16" xfId="2239" xr:uid="{00000000-0005-0000-0000-000062080000}"/>
    <cellStyle name="40% - Accent1 16 2" xfId="2240" xr:uid="{00000000-0005-0000-0000-000063080000}"/>
    <cellStyle name="40% - Accent1 17" xfId="2241" xr:uid="{00000000-0005-0000-0000-000064080000}"/>
    <cellStyle name="40% - Accent1 17 2" xfId="2242" xr:uid="{00000000-0005-0000-0000-000065080000}"/>
    <cellStyle name="40% - Accent1 18" xfId="2243" xr:uid="{00000000-0005-0000-0000-000066080000}"/>
    <cellStyle name="40% - Accent1 18 2" xfId="2244" xr:uid="{00000000-0005-0000-0000-000067080000}"/>
    <cellStyle name="40% - Accent1 19" xfId="2245" xr:uid="{00000000-0005-0000-0000-000068080000}"/>
    <cellStyle name="40% - Accent1 19 2" xfId="2246" xr:uid="{00000000-0005-0000-0000-000069080000}"/>
    <cellStyle name="40% - Accent1 2" xfId="2247" xr:uid="{00000000-0005-0000-0000-00006A080000}"/>
    <cellStyle name="40% - Accent1 2 10" xfId="2248" xr:uid="{00000000-0005-0000-0000-00006B080000}"/>
    <cellStyle name="40% - Accent1 2 10 2" xfId="2249" xr:uid="{00000000-0005-0000-0000-00006C080000}"/>
    <cellStyle name="40% - Accent1 2 11" xfId="2250" xr:uid="{00000000-0005-0000-0000-00006D080000}"/>
    <cellStyle name="40% - Accent1 2 2" xfId="2251" xr:uid="{00000000-0005-0000-0000-00006E080000}"/>
    <cellStyle name="40% - Accent1 2 2 2" xfId="2252" xr:uid="{00000000-0005-0000-0000-00006F080000}"/>
    <cellStyle name="40% - Accent1 2 2 3" xfId="2253" xr:uid="{00000000-0005-0000-0000-000070080000}"/>
    <cellStyle name="40% - Accent1 2 2 4" xfId="2254" xr:uid="{00000000-0005-0000-0000-000071080000}"/>
    <cellStyle name="40% - Accent1 2 3" xfId="2255" xr:uid="{00000000-0005-0000-0000-000072080000}"/>
    <cellStyle name="40% - Accent1 2 3 2" xfId="2256" xr:uid="{00000000-0005-0000-0000-000073080000}"/>
    <cellStyle name="40% - Accent1 2 4" xfId="2257" xr:uid="{00000000-0005-0000-0000-000074080000}"/>
    <cellStyle name="40% - Accent1 2 4 2" xfId="2258" xr:uid="{00000000-0005-0000-0000-000075080000}"/>
    <cellStyle name="40% - Accent1 2 5" xfId="2259" xr:uid="{00000000-0005-0000-0000-000076080000}"/>
    <cellStyle name="40% - Accent1 2 5 2" xfId="2260" xr:uid="{00000000-0005-0000-0000-000077080000}"/>
    <cellStyle name="40% - Accent1 2 6" xfId="2261" xr:uid="{00000000-0005-0000-0000-000078080000}"/>
    <cellStyle name="40% - Accent1 2 6 2" xfId="2262" xr:uid="{00000000-0005-0000-0000-000079080000}"/>
    <cellStyle name="40% - Accent1 2 7" xfId="2263" xr:uid="{00000000-0005-0000-0000-00007A080000}"/>
    <cellStyle name="40% - Accent1 2 7 2" xfId="2264" xr:uid="{00000000-0005-0000-0000-00007B080000}"/>
    <cellStyle name="40% - Accent1 2 8" xfId="2265" xr:uid="{00000000-0005-0000-0000-00007C080000}"/>
    <cellStyle name="40% - Accent1 2 8 2" xfId="2266" xr:uid="{00000000-0005-0000-0000-00007D080000}"/>
    <cellStyle name="40% - Accent1 2 9" xfId="2267" xr:uid="{00000000-0005-0000-0000-00007E080000}"/>
    <cellStyle name="40% - Accent1 2 9 2" xfId="2268" xr:uid="{00000000-0005-0000-0000-00007F080000}"/>
    <cellStyle name="40% - Accent1 2_B Block  Column LGF to UGF Lvl" xfId="2269" xr:uid="{00000000-0005-0000-0000-000080080000}"/>
    <cellStyle name="40% - Accent1 20" xfId="2270" xr:uid="{00000000-0005-0000-0000-000081080000}"/>
    <cellStyle name="40% - Accent1 20 2" xfId="2271" xr:uid="{00000000-0005-0000-0000-000082080000}"/>
    <cellStyle name="40% - Accent1 21" xfId="2272" xr:uid="{00000000-0005-0000-0000-000083080000}"/>
    <cellStyle name="40% - Accent1 21 2" xfId="2273" xr:uid="{00000000-0005-0000-0000-000084080000}"/>
    <cellStyle name="40% - Accent1 22" xfId="2274" xr:uid="{00000000-0005-0000-0000-000085080000}"/>
    <cellStyle name="40% - Accent1 23" xfId="2275" xr:uid="{00000000-0005-0000-0000-000086080000}"/>
    <cellStyle name="40% - Accent1 24" xfId="2276" xr:uid="{00000000-0005-0000-0000-000087080000}"/>
    <cellStyle name="40% - Accent1 25" xfId="2277" xr:uid="{00000000-0005-0000-0000-000088080000}"/>
    <cellStyle name="40% - Accent1 26" xfId="2278" xr:uid="{00000000-0005-0000-0000-000089080000}"/>
    <cellStyle name="40% - Accent1 27" xfId="2279" xr:uid="{00000000-0005-0000-0000-00008A080000}"/>
    <cellStyle name="40% - Accent1 28" xfId="2280" xr:uid="{00000000-0005-0000-0000-00008B080000}"/>
    <cellStyle name="40% - Accent1 29" xfId="2281" xr:uid="{00000000-0005-0000-0000-00008C080000}"/>
    <cellStyle name="40% - Accent1 3" xfId="2282" xr:uid="{00000000-0005-0000-0000-00008D080000}"/>
    <cellStyle name="40% - Accent1 3 2" xfId="2283" xr:uid="{00000000-0005-0000-0000-00008E080000}"/>
    <cellStyle name="40% - Accent1 3 2 2" xfId="2284" xr:uid="{00000000-0005-0000-0000-00008F080000}"/>
    <cellStyle name="40% - Accent1 3 3" xfId="2285" xr:uid="{00000000-0005-0000-0000-000090080000}"/>
    <cellStyle name="40% - Accent1 3 3 2" xfId="2286" xr:uid="{00000000-0005-0000-0000-000091080000}"/>
    <cellStyle name="40% - Accent1 3 4" xfId="2287" xr:uid="{00000000-0005-0000-0000-000092080000}"/>
    <cellStyle name="40% - Accent1 3 4 2" xfId="2288" xr:uid="{00000000-0005-0000-0000-000093080000}"/>
    <cellStyle name="40% - Accent1 3 5" xfId="2289" xr:uid="{00000000-0005-0000-0000-000094080000}"/>
    <cellStyle name="40% - Accent1 3 6" xfId="2290" xr:uid="{00000000-0005-0000-0000-000095080000}"/>
    <cellStyle name="40% - Accent1 3 7" xfId="2291" xr:uid="{00000000-0005-0000-0000-000096080000}"/>
    <cellStyle name="40% - Accent1 3 8" xfId="2292" xr:uid="{00000000-0005-0000-0000-000097080000}"/>
    <cellStyle name="40% - Accent1 3 9" xfId="2293" xr:uid="{00000000-0005-0000-0000-000098080000}"/>
    <cellStyle name="40% - Accent1 3_Sheet2" xfId="2294" xr:uid="{00000000-0005-0000-0000-000099080000}"/>
    <cellStyle name="40% - Accent1 30" xfId="2295" xr:uid="{00000000-0005-0000-0000-00009A080000}"/>
    <cellStyle name="40% - Accent1 31" xfId="2296" xr:uid="{00000000-0005-0000-0000-00009B080000}"/>
    <cellStyle name="40% - Accent1 32" xfId="2297" xr:uid="{00000000-0005-0000-0000-00009C080000}"/>
    <cellStyle name="40% - Accent1 33" xfId="2298" xr:uid="{00000000-0005-0000-0000-00009D080000}"/>
    <cellStyle name="40% - Accent1 34" xfId="2299" xr:uid="{00000000-0005-0000-0000-00009E080000}"/>
    <cellStyle name="40% - Accent1 35" xfId="2300" xr:uid="{00000000-0005-0000-0000-00009F080000}"/>
    <cellStyle name="40% - Accent1 36" xfId="2301" xr:uid="{00000000-0005-0000-0000-0000A0080000}"/>
    <cellStyle name="40% - Accent1 37" xfId="2302" xr:uid="{00000000-0005-0000-0000-0000A1080000}"/>
    <cellStyle name="40% - Accent1 38" xfId="2303" xr:uid="{00000000-0005-0000-0000-0000A2080000}"/>
    <cellStyle name="40% - Accent1 39" xfId="2304" xr:uid="{00000000-0005-0000-0000-0000A3080000}"/>
    <cellStyle name="40% - Accent1 4" xfId="2305" xr:uid="{00000000-0005-0000-0000-0000A4080000}"/>
    <cellStyle name="40% - Accent1 4 2" xfId="2306" xr:uid="{00000000-0005-0000-0000-0000A5080000}"/>
    <cellStyle name="40% - Accent1 4 3" xfId="2307" xr:uid="{00000000-0005-0000-0000-0000A6080000}"/>
    <cellStyle name="40% - Accent1 4 3 2" xfId="2308" xr:uid="{00000000-0005-0000-0000-0000A7080000}"/>
    <cellStyle name="40% - Accent1 4 4" xfId="2309" xr:uid="{00000000-0005-0000-0000-0000A8080000}"/>
    <cellStyle name="40% - Accent1 4 4 2" xfId="2310" xr:uid="{00000000-0005-0000-0000-0000A9080000}"/>
    <cellStyle name="40% - Accent1 4 5" xfId="2311" xr:uid="{00000000-0005-0000-0000-0000AA080000}"/>
    <cellStyle name="40% - Accent1 4 6" xfId="2312" xr:uid="{00000000-0005-0000-0000-0000AB080000}"/>
    <cellStyle name="40% - Accent1 4 7" xfId="2313" xr:uid="{00000000-0005-0000-0000-0000AC080000}"/>
    <cellStyle name="40% - Accent1 4 8" xfId="2314" xr:uid="{00000000-0005-0000-0000-0000AD080000}"/>
    <cellStyle name="40% - Accent1 4 9" xfId="2315" xr:uid="{00000000-0005-0000-0000-0000AE080000}"/>
    <cellStyle name="40% - Accent1 4_Sheet2" xfId="2316" xr:uid="{00000000-0005-0000-0000-0000AF080000}"/>
    <cellStyle name="40% - Accent1 5" xfId="2317" xr:uid="{00000000-0005-0000-0000-0000B0080000}"/>
    <cellStyle name="40% - Accent1 5 2" xfId="2318" xr:uid="{00000000-0005-0000-0000-0000B1080000}"/>
    <cellStyle name="40% - Accent1 5 2 2" xfId="2319" xr:uid="{00000000-0005-0000-0000-0000B2080000}"/>
    <cellStyle name="40% - Accent1 5 3" xfId="2320" xr:uid="{00000000-0005-0000-0000-0000B3080000}"/>
    <cellStyle name="40% - Accent1 5 3 2" xfId="2321" xr:uid="{00000000-0005-0000-0000-0000B4080000}"/>
    <cellStyle name="40% - Accent1 5 4" xfId="2322" xr:uid="{00000000-0005-0000-0000-0000B5080000}"/>
    <cellStyle name="40% - Accent1 5 4 2" xfId="2323" xr:uid="{00000000-0005-0000-0000-0000B6080000}"/>
    <cellStyle name="40% - Accent1 5 5" xfId="2324" xr:uid="{00000000-0005-0000-0000-0000B7080000}"/>
    <cellStyle name="40% - Accent1 5 6" xfId="2325" xr:uid="{00000000-0005-0000-0000-0000B8080000}"/>
    <cellStyle name="40% - Accent1 5 7" xfId="2326" xr:uid="{00000000-0005-0000-0000-0000B9080000}"/>
    <cellStyle name="40% - Accent1 5 8" xfId="2327" xr:uid="{00000000-0005-0000-0000-0000BA080000}"/>
    <cellStyle name="40% - Accent1 5 9" xfId="2328" xr:uid="{00000000-0005-0000-0000-0000BB080000}"/>
    <cellStyle name="40% - Accent1 5_Sheet2" xfId="2329" xr:uid="{00000000-0005-0000-0000-0000BC080000}"/>
    <cellStyle name="40% - Accent1 6" xfId="2330" xr:uid="{00000000-0005-0000-0000-0000BD080000}"/>
    <cellStyle name="40% - Accent1 6 2" xfId="2331" xr:uid="{00000000-0005-0000-0000-0000BE080000}"/>
    <cellStyle name="40% - Accent1 6 2 2" xfId="2332" xr:uid="{00000000-0005-0000-0000-0000BF080000}"/>
    <cellStyle name="40% - Accent1 6 3" xfId="2333" xr:uid="{00000000-0005-0000-0000-0000C0080000}"/>
    <cellStyle name="40% - Accent1 6 3 2" xfId="2334" xr:uid="{00000000-0005-0000-0000-0000C1080000}"/>
    <cellStyle name="40% - Accent1 6 4" xfId="2335" xr:uid="{00000000-0005-0000-0000-0000C2080000}"/>
    <cellStyle name="40% - Accent1 6 4 2" xfId="2336" xr:uid="{00000000-0005-0000-0000-0000C3080000}"/>
    <cellStyle name="40% - Accent1 6 5" xfId="2337" xr:uid="{00000000-0005-0000-0000-0000C4080000}"/>
    <cellStyle name="40% - Accent1 6 6" xfId="2338" xr:uid="{00000000-0005-0000-0000-0000C5080000}"/>
    <cellStyle name="40% - Accent1 6 7" xfId="2339" xr:uid="{00000000-0005-0000-0000-0000C6080000}"/>
    <cellStyle name="40% - Accent1 6 8" xfId="2340" xr:uid="{00000000-0005-0000-0000-0000C7080000}"/>
    <cellStyle name="40% - Accent1 6 9" xfId="2341" xr:uid="{00000000-0005-0000-0000-0000C8080000}"/>
    <cellStyle name="40% - Accent1 6_Sheet2" xfId="2342" xr:uid="{00000000-0005-0000-0000-0000C9080000}"/>
    <cellStyle name="40% - Accent1 7" xfId="2343" xr:uid="{00000000-0005-0000-0000-0000CA080000}"/>
    <cellStyle name="40% - Accent1 7 2" xfId="2344" xr:uid="{00000000-0005-0000-0000-0000CB080000}"/>
    <cellStyle name="40% - Accent1 7 2 2" xfId="2345" xr:uid="{00000000-0005-0000-0000-0000CC080000}"/>
    <cellStyle name="40% - Accent1 7 3" xfId="2346" xr:uid="{00000000-0005-0000-0000-0000CD080000}"/>
    <cellStyle name="40% - Accent1 7 3 2" xfId="2347" xr:uid="{00000000-0005-0000-0000-0000CE080000}"/>
    <cellStyle name="40% - Accent1 7 4" xfId="2348" xr:uid="{00000000-0005-0000-0000-0000CF080000}"/>
    <cellStyle name="40% - Accent1 7 4 2" xfId="2349" xr:uid="{00000000-0005-0000-0000-0000D0080000}"/>
    <cellStyle name="40% - Accent1 7 5" xfId="2350" xr:uid="{00000000-0005-0000-0000-0000D1080000}"/>
    <cellStyle name="40% - Accent1 7 6" xfId="2351" xr:uid="{00000000-0005-0000-0000-0000D2080000}"/>
    <cellStyle name="40% - Accent1 7 7" xfId="2352" xr:uid="{00000000-0005-0000-0000-0000D3080000}"/>
    <cellStyle name="40% - Accent1 7 8" xfId="2353" xr:uid="{00000000-0005-0000-0000-0000D4080000}"/>
    <cellStyle name="40% - Accent1 7 9" xfId="2354" xr:uid="{00000000-0005-0000-0000-0000D5080000}"/>
    <cellStyle name="40% - Accent1 7_Sheet2" xfId="2355" xr:uid="{00000000-0005-0000-0000-0000D6080000}"/>
    <cellStyle name="40% - Accent1 8" xfId="2356" xr:uid="{00000000-0005-0000-0000-0000D7080000}"/>
    <cellStyle name="40% - Accent1 8 2" xfId="2357" xr:uid="{00000000-0005-0000-0000-0000D8080000}"/>
    <cellStyle name="40% - Accent1 8 3" xfId="2358" xr:uid="{00000000-0005-0000-0000-0000D9080000}"/>
    <cellStyle name="40% - Accent1 8 4" xfId="2359" xr:uid="{00000000-0005-0000-0000-0000DA080000}"/>
    <cellStyle name="40% - Accent1 8 5" xfId="2360" xr:uid="{00000000-0005-0000-0000-0000DB080000}"/>
    <cellStyle name="40% - Accent1 8 6" xfId="2361" xr:uid="{00000000-0005-0000-0000-0000DC080000}"/>
    <cellStyle name="40% - Accent1 8 7" xfId="2362" xr:uid="{00000000-0005-0000-0000-0000DD080000}"/>
    <cellStyle name="40% - Accent1 8 8" xfId="2363" xr:uid="{00000000-0005-0000-0000-0000DE080000}"/>
    <cellStyle name="40% - Accent1 8 9" xfId="2364" xr:uid="{00000000-0005-0000-0000-0000DF080000}"/>
    <cellStyle name="40% - Accent1 8_Sheet2" xfId="2365" xr:uid="{00000000-0005-0000-0000-0000E0080000}"/>
    <cellStyle name="40% - Accent1 9" xfId="2366" xr:uid="{00000000-0005-0000-0000-0000E1080000}"/>
    <cellStyle name="40% - Accent1 9 2" xfId="2367" xr:uid="{00000000-0005-0000-0000-0000E2080000}"/>
    <cellStyle name="40% - Accent1 9 3" xfId="2368" xr:uid="{00000000-0005-0000-0000-0000E3080000}"/>
    <cellStyle name="40% - Accent1 9 4" xfId="2369" xr:uid="{00000000-0005-0000-0000-0000E4080000}"/>
    <cellStyle name="40% - Accent1 9 5" xfId="2370" xr:uid="{00000000-0005-0000-0000-0000E5080000}"/>
    <cellStyle name="40% - Accent1 9 6" xfId="2371" xr:uid="{00000000-0005-0000-0000-0000E6080000}"/>
    <cellStyle name="40% - Accent1 9 7" xfId="2372" xr:uid="{00000000-0005-0000-0000-0000E7080000}"/>
    <cellStyle name="40% - Accent1 9 8" xfId="2373" xr:uid="{00000000-0005-0000-0000-0000E8080000}"/>
    <cellStyle name="40% - Accent1 9 9" xfId="2374" xr:uid="{00000000-0005-0000-0000-0000E9080000}"/>
    <cellStyle name="40% - Accent2" xfId="8" builtinId="35" customBuiltin="1"/>
    <cellStyle name="40% - Accent2 1" xfId="2375" xr:uid="{00000000-0005-0000-0000-0000EB080000}"/>
    <cellStyle name="40% - Accent2 1 1" xfId="2376" xr:uid="{00000000-0005-0000-0000-0000EC080000}"/>
    <cellStyle name="40% - Accent2 1 1 2" xfId="2377" xr:uid="{00000000-0005-0000-0000-0000ED080000}"/>
    <cellStyle name="40% - Accent2 1 2" xfId="2378" xr:uid="{00000000-0005-0000-0000-0000EE080000}"/>
    <cellStyle name="40% - Accent2 10" xfId="2379" xr:uid="{00000000-0005-0000-0000-0000EF080000}"/>
    <cellStyle name="40% - Accent2 10 2" xfId="2380" xr:uid="{00000000-0005-0000-0000-0000F0080000}"/>
    <cellStyle name="40% - Accent2 10 3" xfId="2381" xr:uid="{00000000-0005-0000-0000-0000F1080000}"/>
    <cellStyle name="40% - Accent2 10 4" xfId="2382" xr:uid="{00000000-0005-0000-0000-0000F2080000}"/>
    <cellStyle name="40% - Accent2 10 5" xfId="2383" xr:uid="{00000000-0005-0000-0000-0000F3080000}"/>
    <cellStyle name="40% - Accent2 10 6" xfId="2384" xr:uid="{00000000-0005-0000-0000-0000F4080000}"/>
    <cellStyle name="40% - Accent2 10 7" xfId="2385" xr:uid="{00000000-0005-0000-0000-0000F5080000}"/>
    <cellStyle name="40% - Accent2 10 8" xfId="2386" xr:uid="{00000000-0005-0000-0000-0000F6080000}"/>
    <cellStyle name="40% - Accent2 10 9" xfId="2387" xr:uid="{00000000-0005-0000-0000-0000F7080000}"/>
    <cellStyle name="40% - Accent2 11" xfId="2388" xr:uid="{00000000-0005-0000-0000-0000F8080000}"/>
    <cellStyle name="40% - Accent2 11 2" xfId="2389" xr:uid="{00000000-0005-0000-0000-0000F9080000}"/>
    <cellStyle name="40% - Accent2 11 3" xfId="2390" xr:uid="{00000000-0005-0000-0000-0000FA080000}"/>
    <cellStyle name="40% - Accent2 11 4" xfId="2391" xr:uid="{00000000-0005-0000-0000-0000FB080000}"/>
    <cellStyle name="40% - Accent2 12" xfId="2392" xr:uid="{00000000-0005-0000-0000-0000FC080000}"/>
    <cellStyle name="40% - Accent2 12 2" xfId="2393" xr:uid="{00000000-0005-0000-0000-0000FD080000}"/>
    <cellStyle name="40% - Accent2 12 3" xfId="2394" xr:uid="{00000000-0005-0000-0000-0000FE080000}"/>
    <cellStyle name="40% - Accent2 12 4" xfId="2395" xr:uid="{00000000-0005-0000-0000-0000FF080000}"/>
    <cellStyle name="40% - Accent2 13" xfId="2396" xr:uid="{00000000-0005-0000-0000-000000090000}"/>
    <cellStyle name="40% - Accent2 13 2" xfId="2397" xr:uid="{00000000-0005-0000-0000-000001090000}"/>
    <cellStyle name="40% - Accent2 14" xfId="2398" xr:uid="{00000000-0005-0000-0000-000002090000}"/>
    <cellStyle name="40% - Accent2 14 2" xfId="2399" xr:uid="{00000000-0005-0000-0000-000003090000}"/>
    <cellStyle name="40% - Accent2 15" xfId="2400" xr:uid="{00000000-0005-0000-0000-000004090000}"/>
    <cellStyle name="40% - Accent2 15 2" xfId="2401" xr:uid="{00000000-0005-0000-0000-000005090000}"/>
    <cellStyle name="40% - Accent2 16" xfId="2402" xr:uid="{00000000-0005-0000-0000-000006090000}"/>
    <cellStyle name="40% - Accent2 16 2" xfId="2403" xr:uid="{00000000-0005-0000-0000-000007090000}"/>
    <cellStyle name="40% - Accent2 17" xfId="2404" xr:uid="{00000000-0005-0000-0000-000008090000}"/>
    <cellStyle name="40% - Accent2 17 2" xfId="2405" xr:uid="{00000000-0005-0000-0000-000009090000}"/>
    <cellStyle name="40% - Accent2 18" xfId="2406" xr:uid="{00000000-0005-0000-0000-00000A090000}"/>
    <cellStyle name="40% - Accent2 18 2" xfId="2407" xr:uid="{00000000-0005-0000-0000-00000B090000}"/>
    <cellStyle name="40% - Accent2 19" xfId="2408" xr:uid="{00000000-0005-0000-0000-00000C090000}"/>
    <cellStyle name="40% - Accent2 19 2" xfId="2409" xr:uid="{00000000-0005-0000-0000-00000D090000}"/>
    <cellStyle name="40% - Accent2 2" xfId="2410" xr:uid="{00000000-0005-0000-0000-00000E090000}"/>
    <cellStyle name="40% - Accent2 2 10" xfId="2411" xr:uid="{00000000-0005-0000-0000-00000F090000}"/>
    <cellStyle name="40% - Accent2 2 10 2" xfId="2412" xr:uid="{00000000-0005-0000-0000-000010090000}"/>
    <cellStyle name="40% - Accent2 2 11" xfId="2413" xr:uid="{00000000-0005-0000-0000-000011090000}"/>
    <cellStyle name="40% - Accent2 2 2" xfId="2414" xr:uid="{00000000-0005-0000-0000-000012090000}"/>
    <cellStyle name="40% - Accent2 2 2 2" xfId="2415" xr:uid="{00000000-0005-0000-0000-000013090000}"/>
    <cellStyle name="40% - Accent2 2 2 3" xfId="2416" xr:uid="{00000000-0005-0000-0000-000014090000}"/>
    <cellStyle name="40% - Accent2 2 2 4" xfId="2417" xr:uid="{00000000-0005-0000-0000-000015090000}"/>
    <cellStyle name="40% - Accent2 2 3" xfId="2418" xr:uid="{00000000-0005-0000-0000-000016090000}"/>
    <cellStyle name="40% - Accent2 2 3 2" xfId="2419" xr:uid="{00000000-0005-0000-0000-000017090000}"/>
    <cellStyle name="40% - Accent2 2 4" xfId="2420" xr:uid="{00000000-0005-0000-0000-000018090000}"/>
    <cellStyle name="40% - Accent2 2 4 2" xfId="2421" xr:uid="{00000000-0005-0000-0000-000019090000}"/>
    <cellStyle name="40% - Accent2 2 5" xfId="2422" xr:uid="{00000000-0005-0000-0000-00001A090000}"/>
    <cellStyle name="40% - Accent2 2 5 2" xfId="2423" xr:uid="{00000000-0005-0000-0000-00001B090000}"/>
    <cellStyle name="40% - Accent2 2 6" xfId="2424" xr:uid="{00000000-0005-0000-0000-00001C090000}"/>
    <cellStyle name="40% - Accent2 2 6 2" xfId="2425" xr:uid="{00000000-0005-0000-0000-00001D090000}"/>
    <cellStyle name="40% - Accent2 2 7" xfId="2426" xr:uid="{00000000-0005-0000-0000-00001E090000}"/>
    <cellStyle name="40% - Accent2 2 7 2" xfId="2427" xr:uid="{00000000-0005-0000-0000-00001F090000}"/>
    <cellStyle name="40% - Accent2 2 8" xfId="2428" xr:uid="{00000000-0005-0000-0000-000020090000}"/>
    <cellStyle name="40% - Accent2 2 8 2" xfId="2429" xr:uid="{00000000-0005-0000-0000-000021090000}"/>
    <cellStyle name="40% - Accent2 2 9" xfId="2430" xr:uid="{00000000-0005-0000-0000-000022090000}"/>
    <cellStyle name="40% - Accent2 2 9 2" xfId="2431" xr:uid="{00000000-0005-0000-0000-000023090000}"/>
    <cellStyle name="40% - Accent2 2_B Block  Column LGF to UGF Lvl" xfId="2432" xr:uid="{00000000-0005-0000-0000-000024090000}"/>
    <cellStyle name="40% - Accent2 20" xfId="2433" xr:uid="{00000000-0005-0000-0000-000025090000}"/>
    <cellStyle name="40% - Accent2 20 2" xfId="2434" xr:uid="{00000000-0005-0000-0000-000026090000}"/>
    <cellStyle name="40% - Accent2 21" xfId="2435" xr:uid="{00000000-0005-0000-0000-000027090000}"/>
    <cellStyle name="40% - Accent2 21 2" xfId="2436" xr:uid="{00000000-0005-0000-0000-000028090000}"/>
    <cellStyle name="40% - Accent2 22" xfId="2437" xr:uid="{00000000-0005-0000-0000-000029090000}"/>
    <cellStyle name="40% - Accent2 23" xfId="2438" xr:uid="{00000000-0005-0000-0000-00002A090000}"/>
    <cellStyle name="40% - Accent2 24" xfId="2439" xr:uid="{00000000-0005-0000-0000-00002B090000}"/>
    <cellStyle name="40% - Accent2 25" xfId="2440" xr:uid="{00000000-0005-0000-0000-00002C090000}"/>
    <cellStyle name="40% - Accent2 26" xfId="2441" xr:uid="{00000000-0005-0000-0000-00002D090000}"/>
    <cellStyle name="40% - Accent2 27" xfId="2442" xr:uid="{00000000-0005-0000-0000-00002E090000}"/>
    <cellStyle name="40% - Accent2 28" xfId="2443" xr:uid="{00000000-0005-0000-0000-00002F090000}"/>
    <cellStyle name="40% - Accent2 29" xfId="2444" xr:uid="{00000000-0005-0000-0000-000030090000}"/>
    <cellStyle name="40% - Accent2 3" xfId="2445" xr:uid="{00000000-0005-0000-0000-000031090000}"/>
    <cellStyle name="40% - Accent2 3 2" xfId="2446" xr:uid="{00000000-0005-0000-0000-000032090000}"/>
    <cellStyle name="40% - Accent2 3 2 2" xfId="2447" xr:uid="{00000000-0005-0000-0000-000033090000}"/>
    <cellStyle name="40% - Accent2 3 3" xfId="2448" xr:uid="{00000000-0005-0000-0000-000034090000}"/>
    <cellStyle name="40% - Accent2 3 3 2" xfId="2449" xr:uid="{00000000-0005-0000-0000-000035090000}"/>
    <cellStyle name="40% - Accent2 3 4" xfId="2450" xr:uid="{00000000-0005-0000-0000-000036090000}"/>
    <cellStyle name="40% - Accent2 3 4 2" xfId="2451" xr:uid="{00000000-0005-0000-0000-000037090000}"/>
    <cellStyle name="40% - Accent2 3 5" xfId="2452" xr:uid="{00000000-0005-0000-0000-000038090000}"/>
    <cellStyle name="40% - Accent2 3 6" xfId="2453" xr:uid="{00000000-0005-0000-0000-000039090000}"/>
    <cellStyle name="40% - Accent2 3 7" xfId="2454" xr:uid="{00000000-0005-0000-0000-00003A090000}"/>
    <cellStyle name="40% - Accent2 3 8" xfId="2455" xr:uid="{00000000-0005-0000-0000-00003B090000}"/>
    <cellStyle name="40% - Accent2 3 9" xfId="2456" xr:uid="{00000000-0005-0000-0000-00003C090000}"/>
    <cellStyle name="40% - Accent2 3_Sheet2" xfId="2457" xr:uid="{00000000-0005-0000-0000-00003D090000}"/>
    <cellStyle name="40% - Accent2 30" xfId="2458" xr:uid="{00000000-0005-0000-0000-00003E090000}"/>
    <cellStyle name="40% - Accent2 31" xfId="2459" xr:uid="{00000000-0005-0000-0000-00003F090000}"/>
    <cellStyle name="40% - Accent2 32" xfId="2460" xr:uid="{00000000-0005-0000-0000-000040090000}"/>
    <cellStyle name="40% - Accent2 33" xfId="2461" xr:uid="{00000000-0005-0000-0000-000041090000}"/>
    <cellStyle name="40% - Accent2 34" xfId="2462" xr:uid="{00000000-0005-0000-0000-000042090000}"/>
    <cellStyle name="40% - Accent2 35" xfId="2463" xr:uid="{00000000-0005-0000-0000-000043090000}"/>
    <cellStyle name="40% - Accent2 36" xfId="2464" xr:uid="{00000000-0005-0000-0000-000044090000}"/>
    <cellStyle name="40% - Accent2 37" xfId="2465" xr:uid="{00000000-0005-0000-0000-000045090000}"/>
    <cellStyle name="40% - Accent2 38" xfId="2466" xr:uid="{00000000-0005-0000-0000-000046090000}"/>
    <cellStyle name="40% - Accent2 39" xfId="2467" xr:uid="{00000000-0005-0000-0000-000047090000}"/>
    <cellStyle name="40% - Accent2 4" xfId="2468" xr:uid="{00000000-0005-0000-0000-000048090000}"/>
    <cellStyle name="40% - Accent2 4 2" xfId="2469" xr:uid="{00000000-0005-0000-0000-000049090000}"/>
    <cellStyle name="40% - Accent2 4 3" xfId="2470" xr:uid="{00000000-0005-0000-0000-00004A090000}"/>
    <cellStyle name="40% - Accent2 4 3 2" xfId="2471" xr:uid="{00000000-0005-0000-0000-00004B090000}"/>
    <cellStyle name="40% - Accent2 4 4" xfId="2472" xr:uid="{00000000-0005-0000-0000-00004C090000}"/>
    <cellStyle name="40% - Accent2 4 4 2" xfId="2473" xr:uid="{00000000-0005-0000-0000-00004D090000}"/>
    <cellStyle name="40% - Accent2 4 5" xfId="2474" xr:uid="{00000000-0005-0000-0000-00004E090000}"/>
    <cellStyle name="40% - Accent2 4 6" xfId="2475" xr:uid="{00000000-0005-0000-0000-00004F090000}"/>
    <cellStyle name="40% - Accent2 4 7" xfId="2476" xr:uid="{00000000-0005-0000-0000-000050090000}"/>
    <cellStyle name="40% - Accent2 4 8" xfId="2477" xr:uid="{00000000-0005-0000-0000-000051090000}"/>
    <cellStyle name="40% - Accent2 4 9" xfId="2478" xr:uid="{00000000-0005-0000-0000-000052090000}"/>
    <cellStyle name="40% - Accent2 4_Sheet2" xfId="2479" xr:uid="{00000000-0005-0000-0000-000053090000}"/>
    <cellStyle name="40% - Accent2 5" xfId="2480" xr:uid="{00000000-0005-0000-0000-000054090000}"/>
    <cellStyle name="40% - Accent2 5 2" xfId="2481" xr:uid="{00000000-0005-0000-0000-000055090000}"/>
    <cellStyle name="40% - Accent2 5 2 2" xfId="2482" xr:uid="{00000000-0005-0000-0000-000056090000}"/>
    <cellStyle name="40% - Accent2 5 3" xfId="2483" xr:uid="{00000000-0005-0000-0000-000057090000}"/>
    <cellStyle name="40% - Accent2 5 3 2" xfId="2484" xr:uid="{00000000-0005-0000-0000-000058090000}"/>
    <cellStyle name="40% - Accent2 5 4" xfId="2485" xr:uid="{00000000-0005-0000-0000-000059090000}"/>
    <cellStyle name="40% - Accent2 5 4 2" xfId="2486" xr:uid="{00000000-0005-0000-0000-00005A090000}"/>
    <cellStyle name="40% - Accent2 5 5" xfId="2487" xr:uid="{00000000-0005-0000-0000-00005B090000}"/>
    <cellStyle name="40% - Accent2 5 6" xfId="2488" xr:uid="{00000000-0005-0000-0000-00005C090000}"/>
    <cellStyle name="40% - Accent2 5 7" xfId="2489" xr:uid="{00000000-0005-0000-0000-00005D090000}"/>
    <cellStyle name="40% - Accent2 5 8" xfId="2490" xr:uid="{00000000-0005-0000-0000-00005E090000}"/>
    <cellStyle name="40% - Accent2 5 9" xfId="2491" xr:uid="{00000000-0005-0000-0000-00005F090000}"/>
    <cellStyle name="40% - Accent2 5_Sheet2" xfId="2492" xr:uid="{00000000-0005-0000-0000-000060090000}"/>
    <cellStyle name="40% - Accent2 6" xfId="2493" xr:uid="{00000000-0005-0000-0000-000061090000}"/>
    <cellStyle name="40% - Accent2 6 2" xfId="2494" xr:uid="{00000000-0005-0000-0000-000062090000}"/>
    <cellStyle name="40% - Accent2 6 2 2" xfId="2495" xr:uid="{00000000-0005-0000-0000-000063090000}"/>
    <cellStyle name="40% - Accent2 6 3" xfId="2496" xr:uid="{00000000-0005-0000-0000-000064090000}"/>
    <cellStyle name="40% - Accent2 6 3 2" xfId="2497" xr:uid="{00000000-0005-0000-0000-000065090000}"/>
    <cellStyle name="40% - Accent2 6 4" xfId="2498" xr:uid="{00000000-0005-0000-0000-000066090000}"/>
    <cellStyle name="40% - Accent2 6 4 2" xfId="2499" xr:uid="{00000000-0005-0000-0000-000067090000}"/>
    <cellStyle name="40% - Accent2 6 5" xfId="2500" xr:uid="{00000000-0005-0000-0000-000068090000}"/>
    <cellStyle name="40% - Accent2 6 6" xfId="2501" xr:uid="{00000000-0005-0000-0000-000069090000}"/>
    <cellStyle name="40% - Accent2 6 7" xfId="2502" xr:uid="{00000000-0005-0000-0000-00006A090000}"/>
    <cellStyle name="40% - Accent2 6 8" xfId="2503" xr:uid="{00000000-0005-0000-0000-00006B090000}"/>
    <cellStyle name="40% - Accent2 6 9" xfId="2504" xr:uid="{00000000-0005-0000-0000-00006C090000}"/>
    <cellStyle name="40% - Accent2 6_Sheet2" xfId="2505" xr:uid="{00000000-0005-0000-0000-00006D090000}"/>
    <cellStyle name="40% - Accent2 7" xfId="2506" xr:uid="{00000000-0005-0000-0000-00006E090000}"/>
    <cellStyle name="40% - Accent2 7 2" xfId="2507" xr:uid="{00000000-0005-0000-0000-00006F090000}"/>
    <cellStyle name="40% - Accent2 7 2 2" xfId="2508" xr:uid="{00000000-0005-0000-0000-000070090000}"/>
    <cellStyle name="40% - Accent2 7 3" xfId="2509" xr:uid="{00000000-0005-0000-0000-000071090000}"/>
    <cellStyle name="40% - Accent2 7 3 2" xfId="2510" xr:uid="{00000000-0005-0000-0000-000072090000}"/>
    <cellStyle name="40% - Accent2 7 4" xfId="2511" xr:uid="{00000000-0005-0000-0000-000073090000}"/>
    <cellStyle name="40% - Accent2 7 4 2" xfId="2512" xr:uid="{00000000-0005-0000-0000-000074090000}"/>
    <cellStyle name="40% - Accent2 7 5" xfId="2513" xr:uid="{00000000-0005-0000-0000-000075090000}"/>
    <cellStyle name="40% - Accent2 7 6" xfId="2514" xr:uid="{00000000-0005-0000-0000-000076090000}"/>
    <cellStyle name="40% - Accent2 7 7" xfId="2515" xr:uid="{00000000-0005-0000-0000-000077090000}"/>
    <cellStyle name="40% - Accent2 7 8" xfId="2516" xr:uid="{00000000-0005-0000-0000-000078090000}"/>
    <cellStyle name="40% - Accent2 7 9" xfId="2517" xr:uid="{00000000-0005-0000-0000-000079090000}"/>
    <cellStyle name="40% - Accent2 7_Sheet2" xfId="2518" xr:uid="{00000000-0005-0000-0000-00007A090000}"/>
    <cellStyle name="40% - Accent2 8" xfId="2519" xr:uid="{00000000-0005-0000-0000-00007B090000}"/>
    <cellStyle name="40% - Accent2 8 2" xfId="2520" xr:uid="{00000000-0005-0000-0000-00007C090000}"/>
    <cellStyle name="40% - Accent2 8 3" xfId="2521" xr:uid="{00000000-0005-0000-0000-00007D090000}"/>
    <cellStyle name="40% - Accent2 8 4" xfId="2522" xr:uid="{00000000-0005-0000-0000-00007E090000}"/>
    <cellStyle name="40% - Accent2 8 5" xfId="2523" xr:uid="{00000000-0005-0000-0000-00007F090000}"/>
    <cellStyle name="40% - Accent2 8 6" xfId="2524" xr:uid="{00000000-0005-0000-0000-000080090000}"/>
    <cellStyle name="40% - Accent2 8 7" xfId="2525" xr:uid="{00000000-0005-0000-0000-000081090000}"/>
    <cellStyle name="40% - Accent2 8 8" xfId="2526" xr:uid="{00000000-0005-0000-0000-000082090000}"/>
    <cellStyle name="40% - Accent2 8 9" xfId="2527" xr:uid="{00000000-0005-0000-0000-000083090000}"/>
    <cellStyle name="40% - Accent2 8_Sheet2" xfId="2528" xr:uid="{00000000-0005-0000-0000-000084090000}"/>
    <cellStyle name="40% - Accent2 9" xfId="2529" xr:uid="{00000000-0005-0000-0000-000085090000}"/>
    <cellStyle name="40% - Accent2 9 2" xfId="2530" xr:uid="{00000000-0005-0000-0000-000086090000}"/>
    <cellStyle name="40% - Accent2 9 3" xfId="2531" xr:uid="{00000000-0005-0000-0000-000087090000}"/>
    <cellStyle name="40% - Accent2 9 4" xfId="2532" xr:uid="{00000000-0005-0000-0000-000088090000}"/>
    <cellStyle name="40% - Accent2 9 5" xfId="2533" xr:uid="{00000000-0005-0000-0000-000089090000}"/>
    <cellStyle name="40% - Accent2 9 6" xfId="2534" xr:uid="{00000000-0005-0000-0000-00008A090000}"/>
    <cellStyle name="40% - Accent2 9 7" xfId="2535" xr:uid="{00000000-0005-0000-0000-00008B090000}"/>
    <cellStyle name="40% - Accent2 9 8" xfId="2536" xr:uid="{00000000-0005-0000-0000-00008C090000}"/>
    <cellStyle name="40% - Accent2 9 9" xfId="2537" xr:uid="{00000000-0005-0000-0000-00008D090000}"/>
    <cellStyle name="40% - Accent3" xfId="9" builtinId="39" customBuiltin="1"/>
    <cellStyle name="40% - Accent3 1" xfId="2538" xr:uid="{00000000-0005-0000-0000-00008F090000}"/>
    <cellStyle name="40% - Accent3 1 1" xfId="2539" xr:uid="{00000000-0005-0000-0000-000090090000}"/>
    <cellStyle name="40% - Accent3 1 1 2" xfId="2540" xr:uid="{00000000-0005-0000-0000-000091090000}"/>
    <cellStyle name="40% - Accent3 1 2" xfId="2541" xr:uid="{00000000-0005-0000-0000-000092090000}"/>
    <cellStyle name="40% - Accent3 10" xfId="2542" xr:uid="{00000000-0005-0000-0000-000093090000}"/>
    <cellStyle name="40% - Accent3 10 2" xfId="2543" xr:uid="{00000000-0005-0000-0000-000094090000}"/>
    <cellStyle name="40% - Accent3 10 3" xfId="2544" xr:uid="{00000000-0005-0000-0000-000095090000}"/>
    <cellStyle name="40% - Accent3 10 4" xfId="2545" xr:uid="{00000000-0005-0000-0000-000096090000}"/>
    <cellStyle name="40% - Accent3 10 5" xfId="2546" xr:uid="{00000000-0005-0000-0000-000097090000}"/>
    <cellStyle name="40% - Accent3 10 6" xfId="2547" xr:uid="{00000000-0005-0000-0000-000098090000}"/>
    <cellStyle name="40% - Accent3 10 7" xfId="2548" xr:uid="{00000000-0005-0000-0000-000099090000}"/>
    <cellStyle name="40% - Accent3 10 8" xfId="2549" xr:uid="{00000000-0005-0000-0000-00009A090000}"/>
    <cellStyle name="40% - Accent3 10 9" xfId="2550" xr:uid="{00000000-0005-0000-0000-00009B090000}"/>
    <cellStyle name="40% - Accent3 11" xfId="2551" xr:uid="{00000000-0005-0000-0000-00009C090000}"/>
    <cellStyle name="40% - Accent3 11 2" xfId="2552" xr:uid="{00000000-0005-0000-0000-00009D090000}"/>
    <cellStyle name="40% - Accent3 11 3" xfId="2553" xr:uid="{00000000-0005-0000-0000-00009E090000}"/>
    <cellStyle name="40% - Accent3 11 4" xfId="2554" xr:uid="{00000000-0005-0000-0000-00009F090000}"/>
    <cellStyle name="40% - Accent3 12" xfId="2555" xr:uid="{00000000-0005-0000-0000-0000A0090000}"/>
    <cellStyle name="40% - Accent3 12 2" xfId="2556" xr:uid="{00000000-0005-0000-0000-0000A1090000}"/>
    <cellStyle name="40% - Accent3 12 3" xfId="2557" xr:uid="{00000000-0005-0000-0000-0000A2090000}"/>
    <cellStyle name="40% - Accent3 12 4" xfId="2558" xr:uid="{00000000-0005-0000-0000-0000A3090000}"/>
    <cellStyle name="40% - Accent3 13" xfId="2559" xr:uid="{00000000-0005-0000-0000-0000A4090000}"/>
    <cellStyle name="40% - Accent3 13 2" xfId="2560" xr:uid="{00000000-0005-0000-0000-0000A5090000}"/>
    <cellStyle name="40% - Accent3 14" xfId="2561" xr:uid="{00000000-0005-0000-0000-0000A6090000}"/>
    <cellStyle name="40% - Accent3 14 2" xfId="2562" xr:uid="{00000000-0005-0000-0000-0000A7090000}"/>
    <cellStyle name="40% - Accent3 15" xfId="2563" xr:uid="{00000000-0005-0000-0000-0000A8090000}"/>
    <cellStyle name="40% - Accent3 15 2" xfId="2564" xr:uid="{00000000-0005-0000-0000-0000A9090000}"/>
    <cellStyle name="40% - Accent3 16" xfId="2565" xr:uid="{00000000-0005-0000-0000-0000AA090000}"/>
    <cellStyle name="40% - Accent3 16 2" xfId="2566" xr:uid="{00000000-0005-0000-0000-0000AB090000}"/>
    <cellStyle name="40% - Accent3 17" xfId="2567" xr:uid="{00000000-0005-0000-0000-0000AC090000}"/>
    <cellStyle name="40% - Accent3 17 2" xfId="2568" xr:uid="{00000000-0005-0000-0000-0000AD090000}"/>
    <cellStyle name="40% - Accent3 18" xfId="2569" xr:uid="{00000000-0005-0000-0000-0000AE090000}"/>
    <cellStyle name="40% - Accent3 18 2" xfId="2570" xr:uid="{00000000-0005-0000-0000-0000AF090000}"/>
    <cellStyle name="40% - Accent3 19" xfId="2571" xr:uid="{00000000-0005-0000-0000-0000B0090000}"/>
    <cellStyle name="40% - Accent3 19 2" xfId="2572" xr:uid="{00000000-0005-0000-0000-0000B1090000}"/>
    <cellStyle name="40% - Accent3 2" xfId="2573" xr:uid="{00000000-0005-0000-0000-0000B2090000}"/>
    <cellStyle name="40% - Accent3 2 10" xfId="2574" xr:uid="{00000000-0005-0000-0000-0000B3090000}"/>
    <cellStyle name="40% - Accent3 2 10 2" xfId="2575" xr:uid="{00000000-0005-0000-0000-0000B4090000}"/>
    <cellStyle name="40% - Accent3 2 11" xfId="2576" xr:uid="{00000000-0005-0000-0000-0000B5090000}"/>
    <cellStyle name="40% - Accent3 2 2" xfId="2577" xr:uid="{00000000-0005-0000-0000-0000B6090000}"/>
    <cellStyle name="40% - Accent3 2 2 2" xfId="2578" xr:uid="{00000000-0005-0000-0000-0000B7090000}"/>
    <cellStyle name="40% - Accent3 2 2 3" xfId="2579" xr:uid="{00000000-0005-0000-0000-0000B8090000}"/>
    <cellStyle name="40% - Accent3 2 2 4" xfId="2580" xr:uid="{00000000-0005-0000-0000-0000B9090000}"/>
    <cellStyle name="40% - Accent3 2 3" xfId="2581" xr:uid="{00000000-0005-0000-0000-0000BA090000}"/>
    <cellStyle name="40% - Accent3 2 3 2" xfId="2582" xr:uid="{00000000-0005-0000-0000-0000BB090000}"/>
    <cellStyle name="40% - Accent3 2 4" xfId="2583" xr:uid="{00000000-0005-0000-0000-0000BC090000}"/>
    <cellStyle name="40% - Accent3 2 4 2" xfId="2584" xr:uid="{00000000-0005-0000-0000-0000BD090000}"/>
    <cellStyle name="40% - Accent3 2 5" xfId="2585" xr:uid="{00000000-0005-0000-0000-0000BE090000}"/>
    <cellStyle name="40% - Accent3 2 5 2" xfId="2586" xr:uid="{00000000-0005-0000-0000-0000BF090000}"/>
    <cellStyle name="40% - Accent3 2 6" xfId="2587" xr:uid="{00000000-0005-0000-0000-0000C0090000}"/>
    <cellStyle name="40% - Accent3 2 6 2" xfId="2588" xr:uid="{00000000-0005-0000-0000-0000C1090000}"/>
    <cellStyle name="40% - Accent3 2 7" xfId="2589" xr:uid="{00000000-0005-0000-0000-0000C2090000}"/>
    <cellStyle name="40% - Accent3 2 7 2" xfId="2590" xr:uid="{00000000-0005-0000-0000-0000C3090000}"/>
    <cellStyle name="40% - Accent3 2 8" xfId="2591" xr:uid="{00000000-0005-0000-0000-0000C4090000}"/>
    <cellStyle name="40% - Accent3 2 8 2" xfId="2592" xr:uid="{00000000-0005-0000-0000-0000C5090000}"/>
    <cellStyle name="40% - Accent3 2 9" xfId="2593" xr:uid="{00000000-0005-0000-0000-0000C6090000}"/>
    <cellStyle name="40% - Accent3 2 9 2" xfId="2594" xr:uid="{00000000-0005-0000-0000-0000C7090000}"/>
    <cellStyle name="40% - Accent3 2_B Block  Column LGF to UGF Lvl" xfId="2595" xr:uid="{00000000-0005-0000-0000-0000C8090000}"/>
    <cellStyle name="40% - Accent3 20" xfId="2596" xr:uid="{00000000-0005-0000-0000-0000C9090000}"/>
    <cellStyle name="40% - Accent3 20 2" xfId="2597" xr:uid="{00000000-0005-0000-0000-0000CA090000}"/>
    <cellStyle name="40% - Accent3 21" xfId="2598" xr:uid="{00000000-0005-0000-0000-0000CB090000}"/>
    <cellStyle name="40% - Accent3 21 2" xfId="2599" xr:uid="{00000000-0005-0000-0000-0000CC090000}"/>
    <cellStyle name="40% - Accent3 22" xfId="2600" xr:uid="{00000000-0005-0000-0000-0000CD090000}"/>
    <cellStyle name="40% - Accent3 23" xfId="2601" xr:uid="{00000000-0005-0000-0000-0000CE090000}"/>
    <cellStyle name="40% - Accent3 24" xfId="2602" xr:uid="{00000000-0005-0000-0000-0000CF090000}"/>
    <cellStyle name="40% - Accent3 25" xfId="2603" xr:uid="{00000000-0005-0000-0000-0000D0090000}"/>
    <cellStyle name="40% - Accent3 26" xfId="2604" xr:uid="{00000000-0005-0000-0000-0000D1090000}"/>
    <cellStyle name="40% - Accent3 27" xfId="2605" xr:uid="{00000000-0005-0000-0000-0000D2090000}"/>
    <cellStyle name="40% - Accent3 28" xfId="2606" xr:uid="{00000000-0005-0000-0000-0000D3090000}"/>
    <cellStyle name="40% - Accent3 29" xfId="2607" xr:uid="{00000000-0005-0000-0000-0000D4090000}"/>
    <cellStyle name="40% - Accent3 3" xfId="2608" xr:uid="{00000000-0005-0000-0000-0000D5090000}"/>
    <cellStyle name="40% - Accent3 3 2" xfId="2609" xr:uid="{00000000-0005-0000-0000-0000D6090000}"/>
    <cellStyle name="40% - Accent3 3 2 2" xfId="2610" xr:uid="{00000000-0005-0000-0000-0000D7090000}"/>
    <cellStyle name="40% - Accent3 3 3" xfId="2611" xr:uid="{00000000-0005-0000-0000-0000D8090000}"/>
    <cellStyle name="40% - Accent3 3 3 2" xfId="2612" xr:uid="{00000000-0005-0000-0000-0000D9090000}"/>
    <cellStyle name="40% - Accent3 3 4" xfId="2613" xr:uid="{00000000-0005-0000-0000-0000DA090000}"/>
    <cellStyle name="40% - Accent3 3 4 2" xfId="2614" xr:uid="{00000000-0005-0000-0000-0000DB090000}"/>
    <cellStyle name="40% - Accent3 3 5" xfId="2615" xr:uid="{00000000-0005-0000-0000-0000DC090000}"/>
    <cellStyle name="40% - Accent3 3 6" xfId="2616" xr:uid="{00000000-0005-0000-0000-0000DD090000}"/>
    <cellStyle name="40% - Accent3 3 7" xfId="2617" xr:uid="{00000000-0005-0000-0000-0000DE090000}"/>
    <cellStyle name="40% - Accent3 3 8" xfId="2618" xr:uid="{00000000-0005-0000-0000-0000DF090000}"/>
    <cellStyle name="40% - Accent3 3 9" xfId="2619" xr:uid="{00000000-0005-0000-0000-0000E0090000}"/>
    <cellStyle name="40% - Accent3 3_Sheet2" xfId="2620" xr:uid="{00000000-0005-0000-0000-0000E1090000}"/>
    <cellStyle name="40% - Accent3 30" xfId="2621" xr:uid="{00000000-0005-0000-0000-0000E2090000}"/>
    <cellStyle name="40% - Accent3 31" xfId="2622" xr:uid="{00000000-0005-0000-0000-0000E3090000}"/>
    <cellStyle name="40% - Accent3 32" xfId="2623" xr:uid="{00000000-0005-0000-0000-0000E4090000}"/>
    <cellStyle name="40% - Accent3 33" xfId="2624" xr:uid="{00000000-0005-0000-0000-0000E5090000}"/>
    <cellStyle name="40% - Accent3 34" xfId="2625" xr:uid="{00000000-0005-0000-0000-0000E6090000}"/>
    <cellStyle name="40% - Accent3 35" xfId="2626" xr:uid="{00000000-0005-0000-0000-0000E7090000}"/>
    <cellStyle name="40% - Accent3 36" xfId="2627" xr:uid="{00000000-0005-0000-0000-0000E8090000}"/>
    <cellStyle name="40% - Accent3 37" xfId="2628" xr:uid="{00000000-0005-0000-0000-0000E9090000}"/>
    <cellStyle name="40% - Accent3 38" xfId="2629" xr:uid="{00000000-0005-0000-0000-0000EA090000}"/>
    <cellStyle name="40% - Accent3 39" xfId="2630" xr:uid="{00000000-0005-0000-0000-0000EB090000}"/>
    <cellStyle name="40% - Accent3 4" xfId="2631" xr:uid="{00000000-0005-0000-0000-0000EC090000}"/>
    <cellStyle name="40% - Accent3 4 2" xfId="2632" xr:uid="{00000000-0005-0000-0000-0000ED090000}"/>
    <cellStyle name="40% - Accent3 4 3" xfId="2633" xr:uid="{00000000-0005-0000-0000-0000EE090000}"/>
    <cellStyle name="40% - Accent3 4 3 2" xfId="2634" xr:uid="{00000000-0005-0000-0000-0000EF090000}"/>
    <cellStyle name="40% - Accent3 4 4" xfId="2635" xr:uid="{00000000-0005-0000-0000-0000F0090000}"/>
    <cellStyle name="40% - Accent3 4 4 2" xfId="2636" xr:uid="{00000000-0005-0000-0000-0000F1090000}"/>
    <cellStyle name="40% - Accent3 4 5" xfId="2637" xr:uid="{00000000-0005-0000-0000-0000F2090000}"/>
    <cellStyle name="40% - Accent3 4 6" xfId="2638" xr:uid="{00000000-0005-0000-0000-0000F3090000}"/>
    <cellStyle name="40% - Accent3 4 7" xfId="2639" xr:uid="{00000000-0005-0000-0000-0000F4090000}"/>
    <cellStyle name="40% - Accent3 4 8" xfId="2640" xr:uid="{00000000-0005-0000-0000-0000F5090000}"/>
    <cellStyle name="40% - Accent3 4 9" xfId="2641" xr:uid="{00000000-0005-0000-0000-0000F6090000}"/>
    <cellStyle name="40% - Accent3 4_Sheet2" xfId="2642" xr:uid="{00000000-0005-0000-0000-0000F7090000}"/>
    <cellStyle name="40% - Accent3 5" xfId="2643" xr:uid="{00000000-0005-0000-0000-0000F8090000}"/>
    <cellStyle name="40% - Accent3 5 2" xfId="2644" xr:uid="{00000000-0005-0000-0000-0000F9090000}"/>
    <cellStyle name="40% - Accent3 5 2 2" xfId="2645" xr:uid="{00000000-0005-0000-0000-0000FA090000}"/>
    <cellStyle name="40% - Accent3 5 3" xfId="2646" xr:uid="{00000000-0005-0000-0000-0000FB090000}"/>
    <cellStyle name="40% - Accent3 5 3 2" xfId="2647" xr:uid="{00000000-0005-0000-0000-0000FC090000}"/>
    <cellStyle name="40% - Accent3 5 4" xfId="2648" xr:uid="{00000000-0005-0000-0000-0000FD090000}"/>
    <cellStyle name="40% - Accent3 5 4 2" xfId="2649" xr:uid="{00000000-0005-0000-0000-0000FE090000}"/>
    <cellStyle name="40% - Accent3 5 5" xfId="2650" xr:uid="{00000000-0005-0000-0000-0000FF090000}"/>
    <cellStyle name="40% - Accent3 5 6" xfId="2651" xr:uid="{00000000-0005-0000-0000-0000000A0000}"/>
    <cellStyle name="40% - Accent3 5 7" xfId="2652" xr:uid="{00000000-0005-0000-0000-0000010A0000}"/>
    <cellStyle name="40% - Accent3 5 8" xfId="2653" xr:uid="{00000000-0005-0000-0000-0000020A0000}"/>
    <cellStyle name="40% - Accent3 5 9" xfId="2654" xr:uid="{00000000-0005-0000-0000-0000030A0000}"/>
    <cellStyle name="40% - Accent3 5_Sheet2" xfId="2655" xr:uid="{00000000-0005-0000-0000-0000040A0000}"/>
    <cellStyle name="40% - Accent3 6" xfId="2656" xr:uid="{00000000-0005-0000-0000-0000050A0000}"/>
    <cellStyle name="40% - Accent3 6 2" xfId="2657" xr:uid="{00000000-0005-0000-0000-0000060A0000}"/>
    <cellStyle name="40% - Accent3 6 2 2" xfId="2658" xr:uid="{00000000-0005-0000-0000-0000070A0000}"/>
    <cellStyle name="40% - Accent3 6 3" xfId="2659" xr:uid="{00000000-0005-0000-0000-0000080A0000}"/>
    <cellStyle name="40% - Accent3 6 3 2" xfId="2660" xr:uid="{00000000-0005-0000-0000-0000090A0000}"/>
    <cellStyle name="40% - Accent3 6 4" xfId="2661" xr:uid="{00000000-0005-0000-0000-00000A0A0000}"/>
    <cellStyle name="40% - Accent3 6 4 2" xfId="2662" xr:uid="{00000000-0005-0000-0000-00000B0A0000}"/>
    <cellStyle name="40% - Accent3 6 5" xfId="2663" xr:uid="{00000000-0005-0000-0000-00000C0A0000}"/>
    <cellStyle name="40% - Accent3 6 6" xfId="2664" xr:uid="{00000000-0005-0000-0000-00000D0A0000}"/>
    <cellStyle name="40% - Accent3 6 7" xfId="2665" xr:uid="{00000000-0005-0000-0000-00000E0A0000}"/>
    <cellStyle name="40% - Accent3 6 8" xfId="2666" xr:uid="{00000000-0005-0000-0000-00000F0A0000}"/>
    <cellStyle name="40% - Accent3 6 9" xfId="2667" xr:uid="{00000000-0005-0000-0000-0000100A0000}"/>
    <cellStyle name="40% - Accent3 6_Sheet2" xfId="2668" xr:uid="{00000000-0005-0000-0000-0000110A0000}"/>
    <cellStyle name="40% - Accent3 7" xfId="2669" xr:uid="{00000000-0005-0000-0000-0000120A0000}"/>
    <cellStyle name="40% - Accent3 7 2" xfId="2670" xr:uid="{00000000-0005-0000-0000-0000130A0000}"/>
    <cellStyle name="40% - Accent3 7 2 2" xfId="2671" xr:uid="{00000000-0005-0000-0000-0000140A0000}"/>
    <cellStyle name="40% - Accent3 7 3" xfId="2672" xr:uid="{00000000-0005-0000-0000-0000150A0000}"/>
    <cellStyle name="40% - Accent3 7 3 2" xfId="2673" xr:uid="{00000000-0005-0000-0000-0000160A0000}"/>
    <cellStyle name="40% - Accent3 7 4" xfId="2674" xr:uid="{00000000-0005-0000-0000-0000170A0000}"/>
    <cellStyle name="40% - Accent3 7 4 2" xfId="2675" xr:uid="{00000000-0005-0000-0000-0000180A0000}"/>
    <cellStyle name="40% - Accent3 7 5" xfId="2676" xr:uid="{00000000-0005-0000-0000-0000190A0000}"/>
    <cellStyle name="40% - Accent3 7 6" xfId="2677" xr:uid="{00000000-0005-0000-0000-00001A0A0000}"/>
    <cellStyle name="40% - Accent3 7 7" xfId="2678" xr:uid="{00000000-0005-0000-0000-00001B0A0000}"/>
    <cellStyle name="40% - Accent3 7 8" xfId="2679" xr:uid="{00000000-0005-0000-0000-00001C0A0000}"/>
    <cellStyle name="40% - Accent3 7 9" xfId="2680" xr:uid="{00000000-0005-0000-0000-00001D0A0000}"/>
    <cellStyle name="40% - Accent3 7_Sheet2" xfId="2681" xr:uid="{00000000-0005-0000-0000-00001E0A0000}"/>
    <cellStyle name="40% - Accent3 8" xfId="2682" xr:uid="{00000000-0005-0000-0000-00001F0A0000}"/>
    <cellStyle name="40% - Accent3 8 2" xfId="2683" xr:uid="{00000000-0005-0000-0000-0000200A0000}"/>
    <cellStyle name="40% - Accent3 8 3" xfId="2684" xr:uid="{00000000-0005-0000-0000-0000210A0000}"/>
    <cellStyle name="40% - Accent3 8 4" xfId="2685" xr:uid="{00000000-0005-0000-0000-0000220A0000}"/>
    <cellStyle name="40% - Accent3 8 5" xfId="2686" xr:uid="{00000000-0005-0000-0000-0000230A0000}"/>
    <cellStyle name="40% - Accent3 8 6" xfId="2687" xr:uid="{00000000-0005-0000-0000-0000240A0000}"/>
    <cellStyle name="40% - Accent3 8 7" xfId="2688" xr:uid="{00000000-0005-0000-0000-0000250A0000}"/>
    <cellStyle name="40% - Accent3 8 8" xfId="2689" xr:uid="{00000000-0005-0000-0000-0000260A0000}"/>
    <cellStyle name="40% - Accent3 8 9" xfId="2690" xr:uid="{00000000-0005-0000-0000-0000270A0000}"/>
    <cellStyle name="40% - Accent3 8_Sheet2" xfId="2691" xr:uid="{00000000-0005-0000-0000-0000280A0000}"/>
    <cellStyle name="40% - Accent3 9" xfId="2692" xr:uid="{00000000-0005-0000-0000-0000290A0000}"/>
    <cellStyle name="40% - Accent3 9 2" xfId="2693" xr:uid="{00000000-0005-0000-0000-00002A0A0000}"/>
    <cellStyle name="40% - Accent3 9 3" xfId="2694" xr:uid="{00000000-0005-0000-0000-00002B0A0000}"/>
    <cellStyle name="40% - Accent3 9 4" xfId="2695" xr:uid="{00000000-0005-0000-0000-00002C0A0000}"/>
    <cellStyle name="40% - Accent3 9 5" xfId="2696" xr:uid="{00000000-0005-0000-0000-00002D0A0000}"/>
    <cellStyle name="40% - Accent3 9 6" xfId="2697" xr:uid="{00000000-0005-0000-0000-00002E0A0000}"/>
    <cellStyle name="40% - Accent3 9 7" xfId="2698" xr:uid="{00000000-0005-0000-0000-00002F0A0000}"/>
    <cellStyle name="40% - Accent3 9 8" xfId="2699" xr:uid="{00000000-0005-0000-0000-0000300A0000}"/>
    <cellStyle name="40% - Accent3 9 9" xfId="2700" xr:uid="{00000000-0005-0000-0000-0000310A0000}"/>
    <cellStyle name="40% - Accent4" xfId="10" builtinId="43" customBuiltin="1"/>
    <cellStyle name="40% - Accent4 1" xfId="2701" xr:uid="{00000000-0005-0000-0000-0000330A0000}"/>
    <cellStyle name="40% - Accent4 1 1" xfId="2702" xr:uid="{00000000-0005-0000-0000-0000340A0000}"/>
    <cellStyle name="40% - Accent4 1 1 2" xfId="2703" xr:uid="{00000000-0005-0000-0000-0000350A0000}"/>
    <cellStyle name="40% - Accent4 1 2" xfId="2704" xr:uid="{00000000-0005-0000-0000-0000360A0000}"/>
    <cellStyle name="40% - Accent4 1_Building_-_5-final_Price_Variation(1)" xfId="2705" xr:uid="{00000000-0005-0000-0000-0000370A0000}"/>
    <cellStyle name="40% - Accent4 10" xfId="2706" xr:uid="{00000000-0005-0000-0000-0000380A0000}"/>
    <cellStyle name="40% - Accent4 10 2" xfId="2707" xr:uid="{00000000-0005-0000-0000-0000390A0000}"/>
    <cellStyle name="40% - Accent4 10 3" xfId="2708" xr:uid="{00000000-0005-0000-0000-00003A0A0000}"/>
    <cellStyle name="40% - Accent4 10 4" xfId="2709" xr:uid="{00000000-0005-0000-0000-00003B0A0000}"/>
    <cellStyle name="40% - Accent4 10 5" xfId="2710" xr:uid="{00000000-0005-0000-0000-00003C0A0000}"/>
    <cellStyle name="40% - Accent4 10 6" xfId="2711" xr:uid="{00000000-0005-0000-0000-00003D0A0000}"/>
    <cellStyle name="40% - Accent4 10 7" xfId="2712" xr:uid="{00000000-0005-0000-0000-00003E0A0000}"/>
    <cellStyle name="40% - Accent4 10 8" xfId="2713" xr:uid="{00000000-0005-0000-0000-00003F0A0000}"/>
    <cellStyle name="40% - Accent4 10 9" xfId="2714" xr:uid="{00000000-0005-0000-0000-0000400A0000}"/>
    <cellStyle name="40% - Accent4 11" xfId="2715" xr:uid="{00000000-0005-0000-0000-0000410A0000}"/>
    <cellStyle name="40% - Accent4 11 2" xfId="2716" xr:uid="{00000000-0005-0000-0000-0000420A0000}"/>
    <cellStyle name="40% - Accent4 11 3" xfId="2717" xr:uid="{00000000-0005-0000-0000-0000430A0000}"/>
    <cellStyle name="40% - Accent4 11 4" xfId="2718" xr:uid="{00000000-0005-0000-0000-0000440A0000}"/>
    <cellStyle name="40% - Accent4 12" xfId="2719" xr:uid="{00000000-0005-0000-0000-0000450A0000}"/>
    <cellStyle name="40% - Accent4 12 2" xfId="2720" xr:uid="{00000000-0005-0000-0000-0000460A0000}"/>
    <cellStyle name="40% - Accent4 12 3" xfId="2721" xr:uid="{00000000-0005-0000-0000-0000470A0000}"/>
    <cellStyle name="40% - Accent4 12 4" xfId="2722" xr:uid="{00000000-0005-0000-0000-0000480A0000}"/>
    <cellStyle name="40% - Accent4 13" xfId="2723" xr:uid="{00000000-0005-0000-0000-0000490A0000}"/>
    <cellStyle name="40% - Accent4 13 2" xfId="2724" xr:uid="{00000000-0005-0000-0000-00004A0A0000}"/>
    <cellStyle name="40% - Accent4 14" xfId="2725" xr:uid="{00000000-0005-0000-0000-00004B0A0000}"/>
    <cellStyle name="40% - Accent4 14 2" xfId="2726" xr:uid="{00000000-0005-0000-0000-00004C0A0000}"/>
    <cellStyle name="40% - Accent4 15" xfId="2727" xr:uid="{00000000-0005-0000-0000-00004D0A0000}"/>
    <cellStyle name="40% - Accent4 15 2" xfId="2728" xr:uid="{00000000-0005-0000-0000-00004E0A0000}"/>
    <cellStyle name="40% - Accent4 16" xfId="2729" xr:uid="{00000000-0005-0000-0000-00004F0A0000}"/>
    <cellStyle name="40% - Accent4 16 2" xfId="2730" xr:uid="{00000000-0005-0000-0000-0000500A0000}"/>
    <cellStyle name="40% - Accent4 17" xfId="2731" xr:uid="{00000000-0005-0000-0000-0000510A0000}"/>
    <cellStyle name="40% - Accent4 17 2" xfId="2732" xr:uid="{00000000-0005-0000-0000-0000520A0000}"/>
    <cellStyle name="40% - Accent4 18" xfId="2733" xr:uid="{00000000-0005-0000-0000-0000530A0000}"/>
    <cellStyle name="40% - Accent4 18 2" xfId="2734" xr:uid="{00000000-0005-0000-0000-0000540A0000}"/>
    <cellStyle name="40% - Accent4 19" xfId="2735" xr:uid="{00000000-0005-0000-0000-0000550A0000}"/>
    <cellStyle name="40% - Accent4 19 2" xfId="2736" xr:uid="{00000000-0005-0000-0000-0000560A0000}"/>
    <cellStyle name="40% - Accent4 2" xfId="2737" xr:uid="{00000000-0005-0000-0000-0000570A0000}"/>
    <cellStyle name="40% - Accent4 2 10" xfId="2738" xr:uid="{00000000-0005-0000-0000-0000580A0000}"/>
    <cellStyle name="40% - Accent4 2 10 2" xfId="2739" xr:uid="{00000000-0005-0000-0000-0000590A0000}"/>
    <cellStyle name="40% - Accent4 2 11" xfId="2740" xr:uid="{00000000-0005-0000-0000-00005A0A0000}"/>
    <cellStyle name="40% - Accent4 2 2" xfId="2741" xr:uid="{00000000-0005-0000-0000-00005B0A0000}"/>
    <cellStyle name="40% - Accent4 2 2 2" xfId="2742" xr:uid="{00000000-0005-0000-0000-00005C0A0000}"/>
    <cellStyle name="40% - Accent4 2 2 3" xfId="2743" xr:uid="{00000000-0005-0000-0000-00005D0A0000}"/>
    <cellStyle name="40% - Accent4 2 2 4" xfId="2744" xr:uid="{00000000-0005-0000-0000-00005E0A0000}"/>
    <cellStyle name="40% - Accent4 2 3" xfId="2745" xr:uid="{00000000-0005-0000-0000-00005F0A0000}"/>
    <cellStyle name="40% - Accent4 2 3 2" xfId="2746" xr:uid="{00000000-0005-0000-0000-0000600A0000}"/>
    <cellStyle name="40% - Accent4 2 4" xfId="2747" xr:uid="{00000000-0005-0000-0000-0000610A0000}"/>
    <cellStyle name="40% - Accent4 2 4 2" xfId="2748" xr:uid="{00000000-0005-0000-0000-0000620A0000}"/>
    <cellStyle name="40% - Accent4 2 5" xfId="2749" xr:uid="{00000000-0005-0000-0000-0000630A0000}"/>
    <cellStyle name="40% - Accent4 2 5 2" xfId="2750" xr:uid="{00000000-0005-0000-0000-0000640A0000}"/>
    <cellStyle name="40% - Accent4 2 6" xfId="2751" xr:uid="{00000000-0005-0000-0000-0000650A0000}"/>
    <cellStyle name="40% - Accent4 2 6 2" xfId="2752" xr:uid="{00000000-0005-0000-0000-0000660A0000}"/>
    <cellStyle name="40% - Accent4 2 7" xfId="2753" xr:uid="{00000000-0005-0000-0000-0000670A0000}"/>
    <cellStyle name="40% - Accent4 2 7 2" xfId="2754" xr:uid="{00000000-0005-0000-0000-0000680A0000}"/>
    <cellStyle name="40% - Accent4 2 8" xfId="2755" xr:uid="{00000000-0005-0000-0000-0000690A0000}"/>
    <cellStyle name="40% - Accent4 2 8 2" xfId="2756" xr:uid="{00000000-0005-0000-0000-00006A0A0000}"/>
    <cellStyle name="40% - Accent4 2 9" xfId="2757" xr:uid="{00000000-0005-0000-0000-00006B0A0000}"/>
    <cellStyle name="40% - Accent4 2 9 2" xfId="2758" xr:uid="{00000000-0005-0000-0000-00006C0A0000}"/>
    <cellStyle name="40% - Accent4 2_B Block  Column LGF to UGF Lvl" xfId="2759" xr:uid="{00000000-0005-0000-0000-00006D0A0000}"/>
    <cellStyle name="40% - Accent4 20" xfId="2760" xr:uid="{00000000-0005-0000-0000-00006E0A0000}"/>
    <cellStyle name="40% - Accent4 20 2" xfId="2761" xr:uid="{00000000-0005-0000-0000-00006F0A0000}"/>
    <cellStyle name="40% - Accent4 21" xfId="2762" xr:uid="{00000000-0005-0000-0000-0000700A0000}"/>
    <cellStyle name="40% - Accent4 21 2" xfId="2763" xr:uid="{00000000-0005-0000-0000-0000710A0000}"/>
    <cellStyle name="40% - Accent4 22" xfId="2764" xr:uid="{00000000-0005-0000-0000-0000720A0000}"/>
    <cellStyle name="40% - Accent4 23" xfId="2765" xr:uid="{00000000-0005-0000-0000-0000730A0000}"/>
    <cellStyle name="40% - Accent4 24" xfId="2766" xr:uid="{00000000-0005-0000-0000-0000740A0000}"/>
    <cellStyle name="40% - Accent4 25" xfId="2767" xr:uid="{00000000-0005-0000-0000-0000750A0000}"/>
    <cellStyle name="40% - Accent4 26" xfId="2768" xr:uid="{00000000-0005-0000-0000-0000760A0000}"/>
    <cellStyle name="40% - Accent4 27" xfId="2769" xr:uid="{00000000-0005-0000-0000-0000770A0000}"/>
    <cellStyle name="40% - Accent4 28" xfId="2770" xr:uid="{00000000-0005-0000-0000-0000780A0000}"/>
    <cellStyle name="40% - Accent4 29" xfId="2771" xr:uid="{00000000-0005-0000-0000-0000790A0000}"/>
    <cellStyle name="40% - Accent4 3" xfId="2772" xr:uid="{00000000-0005-0000-0000-00007A0A0000}"/>
    <cellStyle name="40% - Accent4 3 2" xfId="2773" xr:uid="{00000000-0005-0000-0000-00007B0A0000}"/>
    <cellStyle name="40% - Accent4 3 2 2" xfId="2774" xr:uid="{00000000-0005-0000-0000-00007C0A0000}"/>
    <cellStyle name="40% - Accent4 3 3" xfId="2775" xr:uid="{00000000-0005-0000-0000-00007D0A0000}"/>
    <cellStyle name="40% - Accent4 3 3 2" xfId="2776" xr:uid="{00000000-0005-0000-0000-00007E0A0000}"/>
    <cellStyle name="40% - Accent4 3 4" xfId="2777" xr:uid="{00000000-0005-0000-0000-00007F0A0000}"/>
    <cellStyle name="40% - Accent4 3 4 2" xfId="2778" xr:uid="{00000000-0005-0000-0000-0000800A0000}"/>
    <cellStyle name="40% - Accent4 3 5" xfId="2779" xr:uid="{00000000-0005-0000-0000-0000810A0000}"/>
    <cellStyle name="40% - Accent4 3 6" xfId="2780" xr:uid="{00000000-0005-0000-0000-0000820A0000}"/>
    <cellStyle name="40% - Accent4 3 7" xfId="2781" xr:uid="{00000000-0005-0000-0000-0000830A0000}"/>
    <cellStyle name="40% - Accent4 3 8" xfId="2782" xr:uid="{00000000-0005-0000-0000-0000840A0000}"/>
    <cellStyle name="40% - Accent4 3 9" xfId="2783" xr:uid="{00000000-0005-0000-0000-0000850A0000}"/>
    <cellStyle name="40% - Accent4 3_Sheet2" xfId="2784" xr:uid="{00000000-0005-0000-0000-0000860A0000}"/>
    <cellStyle name="40% - Accent4 30" xfId="2785" xr:uid="{00000000-0005-0000-0000-0000870A0000}"/>
    <cellStyle name="40% - Accent4 31" xfId="2786" xr:uid="{00000000-0005-0000-0000-0000880A0000}"/>
    <cellStyle name="40% - Accent4 32" xfId="2787" xr:uid="{00000000-0005-0000-0000-0000890A0000}"/>
    <cellStyle name="40% - Accent4 33" xfId="2788" xr:uid="{00000000-0005-0000-0000-00008A0A0000}"/>
    <cellStyle name="40% - Accent4 34" xfId="2789" xr:uid="{00000000-0005-0000-0000-00008B0A0000}"/>
    <cellStyle name="40% - Accent4 35" xfId="2790" xr:uid="{00000000-0005-0000-0000-00008C0A0000}"/>
    <cellStyle name="40% - Accent4 36" xfId="2791" xr:uid="{00000000-0005-0000-0000-00008D0A0000}"/>
    <cellStyle name="40% - Accent4 37" xfId="2792" xr:uid="{00000000-0005-0000-0000-00008E0A0000}"/>
    <cellStyle name="40% - Accent4 38" xfId="2793" xr:uid="{00000000-0005-0000-0000-00008F0A0000}"/>
    <cellStyle name="40% - Accent4 39" xfId="2794" xr:uid="{00000000-0005-0000-0000-0000900A0000}"/>
    <cellStyle name="40% - Accent4 4" xfId="2795" xr:uid="{00000000-0005-0000-0000-0000910A0000}"/>
    <cellStyle name="40% - Accent4 4 2" xfId="2796" xr:uid="{00000000-0005-0000-0000-0000920A0000}"/>
    <cellStyle name="40% - Accent4 4 3" xfId="2797" xr:uid="{00000000-0005-0000-0000-0000930A0000}"/>
    <cellStyle name="40% - Accent4 4 3 2" xfId="2798" xr:uid="{00000000-0005-0000-0000-0000940A0000}"/>
    <cellStyle name="40% - Accent4 4 4" xfId="2799" xr:uid="{00000000-0005-0000-0000-0000950A0000}"/>
    <cellStyle name="40% - Accent4 4 4 2" xfId="2800" xr:uid="{00000000-0005-0000-0000-0000960A0000}"/>
    <cellStyle name="40% - Accent4 4 5" xfId="2801" xr:uid="{00000000-0005-0000-0000-0000970A0000}"/>
    <cellStyle name="40% - Accent4 4 6" xfId="2802" xr:uid="{00000000-0005-0000-0000-0000980A0000}"/>
    <cellStyle name="40% - Accent4 4 7" xfId="2803" xr:uid="{00000000-0005-0000-0000-0000990A0000}"/>
    <cellStyle name="40% - Accent4 4 8" xfId="2804" xr:uid="{00000000-0005-0000-0000-00009A0A0000}"/>
    <cellStyle name="40% - Accent4 4 9" xfId="2805" xr:uid="{00000000-0005-0000-0000-00009B0A0000}"/>
    <cellStyle name="40% - Accent4 4_Sheet2" xfId="2806" xr:uid="{00000000-0005-0000-0000-00009C0A0000}"/>
    <cellStyle name="40% - Accent4 5" xfId="2807" xr:uid="{00000000-0005-0000-0000-00009D0A0000}"/>
    <cellStyle name="40% - Accent4 5 2" xfId="2808" xr:uid="{00000000-0005-0000-0000-00009E0A0000}"/>
    <cellStyle name="40% - Accent4 5 2 2" xfId="2809" xr:uid="{00000000-0005-0000-0000-00009F0A0000}"/>
    <cellStyle name="40% - Accent4 5 3" xfId="2810" xr:uid="{00000000-0005-0000-0000-0000A00A0000}"/>
    <cellStyle name="40% - Accent4 5 3 2" xfId="2811" xr:uid="{00000000-0005-0000-0000-0000A10A0000}"/>
    <cellStyle name="40% - Accent4 5 4" xfId="2812" xr:uid="{00000000-0005-0000-0000-0000A20A0000}"/>
    <cellStyle name="40% - Accent4 5 4 2" xfId="2813" xr:uid="{00000000-0005-0000-0000-0000A30A0000}"/>
    <cellStyle name="40% - Accent4 5 5" xfId="2814" xr:uid="{00000000-0005-0000-0000-0000A40A0000}"/>
    <cellStyle name="40% - Accent4 5 6" xfId="2815" xr:uid="{00000000-0005-0000-0000-0000A50A0000}"/>
    <cellStyle name="40% - Accent4 5 7" xfId="2816" xr:uid="{00000000-0005-0000-0000-0000A60A0000}"/>
    <cellStyle name="40% - Accent4 5 8" xfId="2817" xr:uid="{00000000-0005-0000-0000-0000A70A0000}"/>
    <cellStyle name="40% - Accent4 5 9" xfId="2818" xr:uid="{00000000-0005-0000-0000-0000A80A0000}"/>
    <cellStyle name="40% - Accent4 5_Sheet2" xfId="2819" xr:uid="{00000000-0005-0000-0000-0000A90A0000}"/>
    <cellStyle name="40% - Accent4 6" xfId="2820" xr:uid="{00000000-0005-0000-0000-0000AA0A0000}"/>
    <cellStyle name="40% - Accent4 6 2" xfId="2821" xr:uid="{00000000-0005-0000-0000-0000AB0A0000}"/>
    <cellStyle name="40% - Accent4 6 2 2" xfId="2822" xr:uid="{00000000-0005-0000-0000-0000AC0A0000}"/>
    <cellStyle name="40% - Accent4 6 3" xfId="2823" xr:uid="{00000000-0005-0000-0000-0000AD0A0000}"/>
    <cellStyle name="40% - Accent4 6 3 2" xfId="2824" xr:uid="{00000000-0005-0000-0000-0000AE0A0000}"/>
    <cellStyle name="40% - Accent4 6 4" xfId="2825" xr:uid="{00000000-0005-0000-0000-0000AF0A0000}"/>
    <cellStyle name="40% - Accent4 6 4 2" xfId="2826" xr:uid="{00000000-0005-0000-0000-0000B00A0000}"/>
    <cellStyle name="40% - Accent4 6 5" xfId="2827" xr:uid="{00000000-0005-0000-0000-0000B10A0000}"/>
    <cellStyle name="40% - Accent4 6 6" xfId="2828" xr:uid="{00000000-0005-0000-0000-0000B20A0000}"/>
    <cellStyle name="40% - Accent4 6 7" xfId="2829" xr:uid="{00000000-0005-0000-0000-0000B30A0000}"/>
    <cellStyle name="40% - Accent4 6 8" xfId="2830" xr:uid="{00000000-0005-0000-0000-0000B40A0000}"/>
    <cellStyle name="40% - Accent4 6 9" xfId="2831" xr:uid="{00000000-0005-0000-0000-0000B50A0000}"/>
    <cellStyle name="40% - Accent4 6_Sheet2" xfId="2832" xr:uid="{00000000-0005-0000-0000-0000B60A0000}"/>
    <cellStyle name="40% - Accent4 7" xfId="2833" xr:uid="{00000000-0005-0000-0000-0000B70A0000}"/>
    <cellStyle name="40% - Accent4 7 2" xfId="2834" xr:uid="{00000000-0005-0000-0000-0000B80A0000}"/>
    <cellStyle name="40% - Accent4 7 2 2" xfId="2835" xr:uid="{00000000-0005-0000-0000-0000B90A0000}"/>
    <cellStyle name="40% - Accent4 7 3" xfId="2836" xr:uid="{00000000-0005-0000-0000-0000BA0A0000}"/>
    <cellStyle name="40% - Accent4 7 3 2" xfId="2837" xr:uid="{00000000-0005-0000-0000-0000BB0A0000}"/>
    <cellStyle name="40% - Accent4 7 4" xfId="2838" xr:uid="{00000000-0005-0000-0000-0000BC0A0000}"/>
    <cellStyle name="40% - Accent4 7 4 2" xfId="2839" xr:uid="{00000000-0005-0000-0000-0000BD0A0000}"/>
    <cellStyle name="40% - Accent4 7 5" xfId="2840" xr:uid="{00000000-0005-0000-0000-0000BE0A0000}"/>
    <cellStyle name="40% - Accent4 7 6" xfId="2841" xr:uid="{00000000-0005-0000-0000-0000BF0A0000}"/>
    <cellStyle name="40% - Accent4 7 7" xfId="2842" xr:uid="{00000000-0005-0000-0000-0000C00A0000}"/>
    <cellStyle name="40% - Accent4 7 8" xfId="2843" xr:uid="{00000000-0005-0000-0000-0000C10A0000}"/>
    <cellStyle name="40% - Accent4 7 9" xfId="2844" xr:uid="{00000000-0005-0000-0000-0000C20A0000}"/>
    <cellStyle name="40% - Accent4 7_Sheet2" xfId="2845" xr:uid="{00000000-0005-0000-0000-0000C30A0000}"/>
    <cellStyle name="40% - Accent4 8" xfId="2846" xr:uid="{00000000-0005-0000-0000-0000C40A0000}"/>
    <cellStyle name="40% - Accent4 8 2" xfId="2847" xr:uid="{00000000-0005-0000-0000-0000C50A0000}"/>
    <cellStyle name="40% - Accent4 8 3" xfId="2848" xr:uid="{00000000-0005-0000-0000-0000C60A0000}"/>
    <cellStyle name="40% - Accent4 8 4" xfId="2849" xr:uid="{00000000-0005-0000-0000-0000C70A0000}"/>
    <cellStyle name="40% - Accent4 8 5" xfId="2850" xr:uid="{00000000-0005-0000-0000-0000C80A0000}"/>
    <cellStyle name="40% - Accent4 8 6" xfId="2851" xr:uid="{00000000-0005-0000-0000-0000C90A0000}"/>
    <cellStyle name="40% - Accent4 8 7" xfId="2852" xr:uid="{00000000-0005-0000-0000-0000CA0A0000}"/>
    <cellStyle name="40% - Accent4 8 8" xfId="2853" xr:uid="{00000000-0005-0000-0000-0000CB0A0000}"/>
    <cellStyle name="40% - Accent4 8 9" xfId="2854" xr:uid="{00000000-0005-0000-0000-0000CC0A0000}"/>
    <cellStyle name="40% - Accent4 8_Sheet2" xfId="2855" xr:uid="{00000000-0005-0000-0000-0000CD0A0000}"/>
    <cellStyle name="40% - Accent4 9" xfId="2856" xr:uid="{00000000-0005-0000-0000-0000CE0A0000}"/>
    <cellStyle name="40% - Accent4 9 2" xfId="2857" xr:uid="{00000000-0005-0000-0000-0000CF0A0000}"/>
    <cellStyle name="40% - Accent4 9 3" xfId="2858" xr:uid="{00000000-0005-0000-0000-0000D00A0000}"/>
    <cellStyle name="40% - Accent4 9 4" xfId="2859" xr:uid="{00000000-0005-0000-0000-0000D10A0000}"/>
    <cellStyle name="40% - Accent4 9 5" xfId="2860" xr:uid="{00000000-0005-0000-0000-0000D20A0000}"/>
    <cellStyle name="40% - Accent4 9 6" xfId="2861" xr:uid="{00000000-0005-0000-0000-0000D30A0000}"/>
    <cellStyle name="40% - Accent4 9 7" xfId="2862" xr:uid="{00000000-0005-0000-0000-0000D40A0000}"/>
    <cellStyle name="40% - Accent4 9 8" xfId="2863" xr:uid="{00000000-0005-0000-0000-0000D50A0000}"/>
    <cellStyle name="40% - Accent4 9 9" xfId="2864" xr:uid="{00000000-0005-0000-0000-0000D60A0000}"/>
    <cellStyle name="40% - Accent5" xfId="11" builtinId="47" customBuiltin="1"/>
    <cellStyle name="40% - Accent5 1" xfId="2865" xr:uid="{00000000-0005-0000-0000-0000D80A0000}"/>
    <cellStyle name="40% - Accent5 1 1" xfId="2866" xr:uid="{00000000-0005-0000-0000-0000D90A0000}"/>
    <cellStyle name="40% - Accent5 1 1 2" xfId="2867" xr:uid="{00000000-0005-0000-0000-0000DA0A0000}"/>
    <cellStyle name="40% - Accent5 1 2" xfId="2868" xr:uid="{00000000-0005-0000-0000-0000DB0A0000}"/>
    <cellStyle name="40% - Accent5 10" xfId="2869" xr:uid="{00000000-0005-0000-0000-0000DC0A0000}"/>
    <cellStyle name="40% - Accent5 10 2" xfId="2870" xr:uid="{00000000-0005-0000-0000-0000DD0A0000}"/>
    <cellStyle name="40% - Accent5 10 3" xfId="2871" xr:uid="{00000000-0005-0000-0000-0000DE0A0000}"/>
    <cellStyle name="40% - Accent5 10 4" xfId="2872" xr:uid="{00000000-0005-0000-0000-0000DF0A0000}"/>
    <cellStyle name="40% - Accent5 10 5" xfId="2873" xr:uid="{00000000-0005-0000-0000-0000E00A0000}"/>
    <cellStyle name="40% - Accent5 10 6" xfId="2874" xr:uid="{00000000-0005-0000-0000-0000E10A0000}"/>
    <cellStyle name="40% - Accent5 10 7" xfId="2875" xr:uid="{00000000-0005-0000-0000-0000E20A0000}"/>
    <cellStyle name="40% - Accent5 10 8" xfId="2876" xr:uid="{00000000-0005-0000-0000-0000E30A0000}"/>
    <cellStyle name="40% - Accent5 10 9" xfId="2877" xr:uid="{00000000-0005-0000-0000-0000E40A0000}"/>
    <cellStyle name="40% - Accent5 11" xfId="2878" xr:uid="{00000000-0005-0000-0000-0000E50A0000}"/>
    <cellStyle name="40% - Accent5 11 2" xfId="2879" xr:uid="{00000000-0005-0000-0000-0000E60A0000}"/>
    <cellStyle name="40% - Accent5 11 3" xfId="2880" xr:uid="{00000000-0005-0000-0000-0000E70A0000}"/>
    <cellStyle name="40% - Accent5 11 4" xfId="2881" xr:uid="{00000000-0005-0000-0000-0000E80A0000}"/>
    <cellStyle name="40% - Accent5 12" xfId="2882" xr:uid="{00000000-0005-0000-0000-0000E90A0000}"/>
    <cellStyle name="40% - Accent5 12 2" xfId="2883" xr:uid="{00000000-0005-0000-0000-0000EA0A0000}"/>
    <cellStyle name="40% - Accent5 12 3" xfId="2884" xr:uid="{00000000-0005-0000-0000-0000EB0A0000}"/>
    <cellStyle name="40% - Accent5 12 4" xfId="2885" xr:uid="{00000000-0005-0000-0000-0000EC0A0000}"/>
    <cellStyle name="40% - Accent5 13" xfId="2886" xr:uid="{00000000-0005-0000-0000-0000ED0A0000}"/>
    <cellStyle name="40% - Accent5 13 2" xfId="2887" xr:uid="{00000000-0005-0000-0000-0000EE0A0000}"/>
    <cellStyle name="40% - Accent5 14" xfId="2888" xr:uid="{00000000-0005-0000-0000-0000EF0A0000}"/>
    <cellStyle name="40% - Accent5 14 2" xfId="2889" xr:uid="{00000000-0005-0000-0000-0000F00A0000}"/>
    <cellStyle name="40% - Accent5 15" xfId="2890" xr:uid="{00000000-0005-0000-0000-0000F10A0000}"/>
    <cellStyle name="40% - Accent5 15 2" xfId="2891" xr:uid="{00000000-0005-0000-0000-0000F20A0000}"/>
    <cellStyle name="40% - Accent5 16" xfId="2892" xr:uid="{00000000-0005-0000-0000-0000F30A0000}"/>
    <cellStyle name="40% - Accent5 16 2" xfId="2893" xr:uid="{00000000-0005-0000-0000-0000F40A0000}"/>
    <cellStyle name="40% - Accent5 17" xfId="2894" xr:uid="{00000000-0005-0000-0000-0000F50A0000}"/>
    <cellStyle name="40% - Accent5 17 2" xfId="2895" xr:uid="{00000000-0005-0000-0000-0000F60A0000}"/>
    <cellStyle name="40% - Accent5 18" xfId="2896" xr:uid="{00000000-0005-0000-0000-0000F70A0000}"/>
    <cellStyle name="40% - Accent5 18 2" xfId="2897" xr:uid="{00000000-0005-0000-0000-0000F80A0000}"/>
    <cellStyle name="40% - Accent5 19" xfId="2898" xr:uid="{00000000-0005-0000-0000-0000F90A0000}"/>
    <cellStyle name="40% - Accent5 19 2" xfId="2899" xr:uid="{00000000-0005-0000-0000-0000FA0A0000}"/>
    <cellStyle name="40% - Accent5 2" xfId="2900" xr:uid="{00000000-0005-0000-0000-0000FB0A0000}"/>
    <cellStyle name="40% - Accent5 2 10" xfId="2901" xr:uid="{00000000-0005-0000-0000-0000FC0A0000}"/>
    <cellStyle name="40% - Accent5 2 10 2" xfId="2902" xr:uid="{00000000-0005-0000-0000-0000FD0A0000}"/>
    <cellStyle name="40% - Accent5 2 11" xfId="2903" xr:uid="{00000000-0005-0000-0000-0000FE0A0000}"/>
    <cellStyle name="40% - Accent5 2 2" xfId="2904" xr:uid="{00000000-0005-0000-0000-0000FF0A0000}"/>
    <cellStyle name="40% - Accent5 2 2 2" xfId="2905" xr:uid="{00000000-0005-0000-0000-0000000B0000}"/>
    <cellStyle name="40% - Accent5 2 2 3" xfId="2906" xr:uid="{00000000-0005-0000-0000-0000010B0000}"/>
    <cellStyle name="40% - Accent5 2 2 4" xfId="2907" xr:uid="{00000000-0005-0000-0000-0000020B0000}"/>
    <cellStyle name="40% - Accent5 2 3" xfId="2908" xr:uid="{00000000-0005-0000-0000-0000030B0000}"/>
    <cellStyle name="40% - Accent5 2 3 2" xfId="2909" xr:uid="{00000000-0005-0000-0000-0000040B0000}"/>
    <cellStyle name="40% - Accent5 2 4" xfId="2910" xr:uid="{00000000-0005-0000-0000-0000050B0000}"/>
    <cellStyle name="40% - Accent5 2 4 2" xfId="2911" xr:uid="{00000000-0005-0000-0000-0000060B0000}"/>
    <cellStyle name="40% - Accent5 2 5" xfId="2912" xr:uid="{00000000-0005-0000-0000-0000070B0000}"/>
    <cellStyle name="40% - Accent5 2 5 2" xfId="2913" xr:uid="{00000000-0005-0000-0000-0000080B0000}"/>
    <cellStyle name="40% - Accent5 2 6" xfId="2914" xr:uid="{00000000-0005-0000-0000-0000090B0000}"/>
    <cellStyle name="40% - Accent5 2 6 2" xfId="2915" xr:uid="{00000000-0005-0000-0000-00000A0B0000}"/>
    <cellStyle name="40% - Accent5 2 7" xfId="2916" xr:uid="{00000000-0005-0000-0000-00000B0B0000}"/>
    <cellStyle name="40% - Accent5 2 7 2" xfId="2917" xr:uid="{00000000-0005-0000-0000-00000C0B0000}"/>
    <cellStyle name="40% - Accent5 2 8" xfId="2918" xr:uid="{00000000-0005-0000-0000-00000D0B0000}"/>
    <cellStyle name="40% - Accent5 2 8 2" xfId="2919" xr:uid="{00000000-0005-0000-0000-00000E0B0000}"/>
    <cellStyle name="40% - Accent5 2 9" xfId="2920" xr:uid="{00000000-0005-0000-0000-00000F0B0000}"/>
    <cellStyle name="40% - Accent5 2 9 2" xfId="2921" xr:uid="{00000000-0005-0000-0000-0000100B0000}"/>
    <cellStyle name="40% - Accent5 2_B Block  Column LGF to UGF Lvl" xfId="2922" xr:uid="{00000000-0005-0000-0000-0000110B0000}"/>
    <cellStyle name="40% - Accent5 20" xfId="2923" xr:uid="{00000000-0005-0000-0000-0000120B0000}"/>
    <cellStyle name="40% - Accent5 20 2" xfId="2924" xr:uid="{00000000-0005-0000-0000-0000130B0000}"/>
    <cellStyle name="40% - Accent5 21" xfId="2925" xr:uid="{00000000-0005-0000-0000-0000140B0000}"/>
    <cellStyle name="40% - Accent5 21 2" xfId="2926" xr:uid="{00000000-0005-0000-0000-0000150B0000}"/>
    <cellStyle name="40% - Accent5 22" xfId="2927" xr:uid="{00000000-0005-0000-0000-0000160B0000}"/>
    <cellStyle name="40% - Accent5 23" xfId="2928" xr:uid="{00000000-0005-0000-0000-0000170B0000}"/>
    <cellStyle name="40% - Accent5 24" xfId="2929" xr:uid="{00000000-0005-0000-0000-0000180B0000}"/>
    <cellStyle name="40% - Accent5 25" xfId="2930" xr:uid="{00000000-0005-0000-0000-0000190B0000}"/>
    <cellStyle name="40% - Accent5 26" xfId="2931" xr:uid="{00000000-0005-0000-0000-00001A0B0000}"/>
    <cellStyle name="40% - Accent5 27" xfId="2932" xr:uid="{00000000-0005-0000-0000-00001B0B0000}"/>
    <cellStyle name="40% - Accent5 28" xfId="2933" xr:uid="{00000000-0005-0000-0000-00001C0B0000}"/>
    <cellStyle name="40% - Accent5 29" xfId="2934" xr:uid="{00000000-0005-0000-0000-00001D0B0000}"/>
    <cellStyle name="40% - Accent5 3" xfId="2935" xr:uid="{00000000-0005-0000-0000-00001E0B0000}"/>
    <cellStyle name="40% - Accent5 3 2" xfId="2936" xr:uid="{00000000-0005-0000-0000-00001F0B0000}"/>
    <cellStyle name="40% - Accent5 3 2 2" xfId="2937" xr:uid="{00000000-0005-0000-0000-0000200B0000}"/>
    <cellStyle name="40% - Accent5 3 3" xfId="2938" xr:uid="{00000000-0005-0000-0000-0000210B0000}"/>
    <cellStyle name="40% - Accent5 3 3 2" xfId="2939" xr:uid="{00000000-0005-0000-0000-0000220B0000}"/>
    <cellStyle name="40% - Accent5 3 4" xfId="2940" xr:uid="{00000000-0005-0000-0000-0000230B0000}"/>
    <cellStyle name="40% - Accent5 3 4 2" xfId="2941" xr:uid="{00000000-0005-0000-0000-0000240B0000}"/>
    <cellStyle name="40% - Accent5 3 5" xfId="2942" xr:uid="{00000000-0005-0000-0000-0000250B0000}"/>
    <cellStyle name="40% - Accent5 3 6" xfId="2943" xr:uid="{00000000-0005-0000-0000-0000260B0000}"/>
    <cellStyle name="40% - Accent5 3 7" xfId="2944" xr:uid="{00000000-0005-0000-0000-0000270B0000}"/>
    <cellStyle name="40% - Accent5 3 8" xfId="2945" xr:uid="{00000000-0005-0000-0000-0000280B0000}"/>
    <cellStyle name="40% - Accent5 3 9" xfId="2946" xr:uid="{00000000-0005-0000-0000-0000290B0000}"/>
    <cellStyle name="40% - Accent5 3_Sheet2" xfId="2947" xr:uid="{00000000-0005-0000-0000-00002A0B0000}"/>
    <cellStyle name="40% - Accent5 30" xfId="2948" xr:uid="{00000000-0005-0000-0000-00002B0B0000}"/>
    <cellStyle name="40% - Accent5 31" xfId="2949" xr:uid="{00000000-0005-0000-0000-00002C0B0000}"/>
    <cellStyle name="40% - Accent5 32" xfId="2950" xr:uid="{00000000-0005-0000-0000-00002D0B0000}"/>
    <cellStyle name="40% - Accent5 33" xfId="2951" xr:uid="{00000000-0005-0000-0000-00002E0B0000}"/>
    <cellStyle name="40% - Accent5 34" xfId="2952" xr:uid="{00000000-0005-0000-0000-00002F0B0000}"/>
    <cellStyle name="40% - Accent5 35" xfId="2953" xr:uid="{00000000-0005-0000-0000-0000300B0000}"/>
    <cellStyle name="40% - Accent5 36" xfId="2954" xr:uid="{00000000-0005-0000-0000-0000310B0000}"/>
    <cellStyle name="40% - Accent5 37" xfId="2955" xr:uid="{00000000-0005-0000-0000-0000320B0000}"/>
    <cellStyle name="40% - Accent5 38" xfId="2956" xr:uid="{00000000-0005-0000-0000-0000330B0000}"/>
    <cellStyle name="40% - Accent5 39" xfId="2957" xr:uid="{00000000-0005-0000-0000-0000340B0000}"/>
    <cellStyle name="40% - Accent5 4" xfId="2958" xr:uid="{00000000-0005-0000-0000-0000350B0000}"/>
    <cellStyle name="40% - Accent5 4 2" xfId="2959" xr:uid="{00000000-0005-0000-0000-0000360B0000}"/>
    <cellStyle name="40% - Accent5 4 3" xfId="2960" xr:uid="{00000000-0005-0000-0000-0000370B0000}"/>
    <cellStyle name="40% - Accent5 4 3 2" xfId="2961" xr:uid="{00000000-0005-0000-0000-0000380B0000}"/>
    <cellStyle name="40% - Accent5 4 4" xfId="2962" xr:uid="{00000000-0005-0000-0000-0000390B0000}"/>
    <cellStyle name="40% - Accent5 4 4 2" xfId="2963" xr:uid="{00000000-0005-0000-0000-00003A0B0000}"/>
    <cellStyle name="40% - Accent5 4 5" xfId="2964" xr:uid="{00000000-0005-0000-0000-00003B0B0000}"/>
    <cellStyle name="40% - Accent5 4 6" xfId="2965" xr:uid="{00000000-0005-0000-0000-00003C0B0000}"/>
    <cellStyle name="40% - Accent5 4 7" xfId="2966" xr:uid="{00000000-0005-0000-0000-00003D0B0000}"/>
    <cellStyle name="40% - Accent5 4 8" xfId="2967" xr:uid="{00000000-0005-0000-0000-00003E0B0000}"/>
    <cellStyle name="40% - Accent5 4 9" xfId="2968" xr:uid="{00000000-0005-0000-0000-00003F0B0000}"/>
    <cellStyle name="40% - Accent5 4_Sheet2" xfId="2969" xr:uid="{00000000-0005-0000-0000-0000400B0000}"/>
    <cellStyle name="40% - Accent5 5" xfId="2970" xr:uid="{00000000-0005-0000-0000-0000410B0000}"/>
    <cellStyle name="40% - Accent5 5 2" xfId="2971" xr:uid="{00000000-0005-0000-0000-0000420B0000}"/>
    <cellStyle name="40% - Accent5 5 2 2" xfId="2972" xr:uid="{00000000-0005-0000-0000-0000430B0000}"/>
    <cellStyle name="40% - Accent5 5 3" xfId="2973" xr:uid="{00000000-0005-0000-0000-0000440B0000}"/>
    <cellStyle name="40% - Accent5 5 3 2" xfId="2974" xr:uid="{00000000-0005-0000-0000-0000450B0000}"/>
    <cellStyle name="40% - Accent5 5 4" xfId="2975" xr:uid="{00000000-0005-0000-0000-0000460B0000}"/>
    <cellStyle name="40% - Accent5 5 4 2" xfId="2976" xr:uid="{00000000-0005-0000-0000-0000470B0000}"/>
    <cellStyle name="40% - Accent5 5 5" xfId="2977" xr:uid="{00000000-0005-0000-0000-0000480B0000}"/>
    <cellStyle name="40% - Accent5 5 6" xfId="2978" xr:uid="{00000000-0005-0000-0000-0000490B0000}"/>
    <cellStyle name="40% - Accent5 5 7" xfId="2979" xr:uid="{00000000-0005-0000-0000-00004A0B0000}"/>
    <cellStyle name="40% - Accent5 5 8" xfId="2980" xr:uid="{00000000-0005-0000-0000-00004B0B0000}"/>
    <cellStyle name="40% - Accent5 5 9" xfId="2981" xr:uid="{00000000-0005-0000-0000-00004C0B0000}"/>
    <cellStyle name="40% - Accent5 5_Sheet2" xfId="2982" xr:uid="{00000000-0005-0000-0000-00004D0B0000}"/>
    <cellStyle name="40% - Accent5 6" xfId="2983" xr:uid="{00000000-0005-0000-0000-00004E0B0000}"/>
    <cellStyle name="40% - Accent5 6 2" xfId="2984" xr:uid="{00000000-0005-0000-0000-00004F0B0000}"/>
    <cellStyle name="40% - Accent5 6 2 2" xfId="2985" xr:uid="{00000000-0005-0000-0000-0000500B0000}"/>
    <cellStyle name="40% - Accent5 6 3" xfId="2986" xr:uid="{00000000-0005-0000-0000-0000510B0000}"/>
    <cellStyle name="40% - Accent5 6 3 2" xfId="2987" xr:uid="{00000000-0005-0000-0000-0000520B0000}"/>
    <cellStyle name="40% - Accent5 6 4" xfId="2988" xr:uid="{00000000-0005-0000-0000-0000530B0000}"/>
    <cellStyle name="40% - Accent5 6 4 2" xfId="2989" xr:uid="{00000000-0005-0000-0000-0000540B0000}"/>
    <cellStyle name="40% - Accent5 6 5" xfId="2990" xr:uid="{00000000-0005-0000-0000-0000550B0000}"/>
    <cellStyle name="40% - Accent5 6 6" xfId="2991" xr:uid="{00000000-0005-0000-0000-0000560B0000}"/>
    <cellStyle name="40% - Accent5 6 7" xfId="2992" xr:uid="{00000000-0005-0000-0000-0000570B0000}"/>
    <cellStyle name="40% - Accent5 6 8" xfId="2993" xr:uid="{00000000-0005-0000-0000-0000580B0000}"/>
    <cellStyle name="40% - Accent5 6 9" xfId="2994" xr:uid="{00000000-0005-0000-0000-0000590B0000}"/>
    <cellStyle name="40% - Accent5 6_Sheet2" xfId="2995" xr:uid="{00000000-0005-0000-0000-00005A0B0000}"/>
    <cellStyle name="40% - Accent5 7" xfId="2996" xr:uid="{00000000-0005-0000-0000-00005B0B0000}"/>
    <cellStyle name="40% - Accent5 7 2" xfId="2997" xr:uid="{00000000-0005-0000-0000-00005C0B0000}"/>
    <cellStyle name="40% - Accent5 7 2 2" xfId="2998" xr:uid="{00000000-0005-0000-0000-00005D0B0000}"/>
    <cellStyle name="40% - Accent5 7 3" xfId="2999" xr:uid="{00000000-0005-0000-0000-00005E0B0000}"/>
    <cellStyle name="40% - Accent5 7 3 2" xfId="3000" xr:uid="{00000000-0005-0000-0000-00005F0B0000}"/>
    <cellStyle name="40% - Accent5 7 4" xfId="3001" xr:uid="{00000000-0005-0000-0000-0000600B0000}"/>
    <cellStyle name="40% - Accent5 7 4 2" xfId="3002" xr:uid="{00000000-0005-0000-0000-0000610B0000}"/>
    <cellStyle name="40% - Accent5 7 5" xfId="3003" xr:uid="{00000000-0005-0000-0000-0000620B0000}"/>
    <cellStyle name="40% - Accent5 7 6" xfId="3004" xr:uid="{00000000-0005-0000-0000-0000630B0000}"/>
    <cellStyle name="40% - Accent5 7 7" xfId="3005" xr:uid="{00000000-0005-0000-0000-0000640B0000}"/>
    <cellStyle name="40% - Accent5 7 8" xfId="3006" xr:uid="{00000000-0005-0000-0000-0000650B0000}"/>
    <cellStyle name="40% - Accent5 7 9" xfId="3007" xr:uid="{00000000-0005-0000-0000-0000660B0000}"/>
    <cellStyle name="40% - Accent5 7_Sheet2" xfId="3008" xr:uid="{00000000-0005-0000-0000-0000670B0000}"/>
    <cellStyle name="40% - Accent5 8" xfId="3009" xr:uid="{00000000-0005-0000-0000-0000680B0000}"/>
    <cellStyle name="40% - Accent5 8 2" xfId="3010" xr:uid="{00000000-0005-0000-0000-0000690B0000}"/>
    <cellStyle name="40% - Accent5 8 3" xfId="3011" xr:uid="{00000000-0005-0000-0000-00006A0B0000}"/>
    <cellStyle name="40% - Accent5 8 4" xfId="3012" xr:uid="{00000000-0005-0000-0000-00006B0B0000}"/>
    <cellStyle name="40% - Accent5 8 5" xfId="3013" xr:uid="{00000000-0005-0000-0000-00006C0B0000}"/>
    <cellStyle name="40% - Accent5 8 6" xfId="3014" xr:uid="{00000000-0005-0000-0000-00006D0B0000}"/>
    <cellStyle name="40% - Accent5 8 7" xfId="3015" xr:uid="{00000000-0005-0000-0000-00006E0B0000}"/>
    <cellStyle name="40% - Accent5 8 8" xfId="3016" xr:uid="{00000000-0005-0000-0000-00006F0B0000}"/>
    <cellStyle name="40% - Accent5 8 9" xfId="3017" xr:uid="{00000000-0005-0000-0000-0000700B0000}"/>
    <cellStyle name="40% - Accent5 8_Sheet2" xfId="3018" xr:uid="{00000000-0005-0000-0000-0000710B0000}"/>
    <cellStyle name="40% - Accent5 9" xfId="3019" xr:uid="{00000000-0005-0000-0000-0000720B0000}"/>
    <cellStyle name="40% - Accent5 9 2" xfId="3020" xr:uid="{00000000-0005-0000-0000-0000730B0000}"/>
    <cellStyle name="40% - Accent5 9 3" xfId="3021" xr:uid="{00000000-0005-0000-0000-0000740B0000}"/>
    <cellStyle name="40% - Accent5 9 4" xfId="3022" xr:uid="{00000000-0005-0000-0000-0000750B0000}"/>
    <cellStyle name="40% - Accent5 9 5" xfId="3023" xr:uid="{00000000-0005-0000-0000-0000760B0000}"/>
    <cellStyle name="40% - Accent5 9 6" xfId="3024" xr:uid="{00000000-0005-0000-0000-0000770B0000}"/>
    <cellStyle name="40% - Accent5 9 7" xfId="3025" xr:uid="{00000000-0005-0000-0000-0000780B0000}"/>
    <cellStyle name="40% - Accent5 9 8" xfId="3026" xr:uid="{00000000-0005-0000-0000-0000790B0000}"/>
    <cellStyle name="40% - Accent5 9 9" xfId="3027" xr:uid="{00000000-0005-0000-0000-00007A0B0000}"/>
    <cellStyle name="40% - Accent6" xfId="12" builtinId="51" customBuiltin="1"/>
    <cellStyle name="40% - Accent6 1" xfId="3028" xr:uid="{00000000-0005-0000-0000-00007C0B0000}"/>
    <cellStyle name="40% - Accent6 1 1" xfId="3029" xr:uid="{00000000-0005-0000-0000-00007D0B0000}"/>
    <cellStyle name="40% - Accent6 1 1 2" xfId="3030" xr:uid="{00000000-0005-0000-0000-00007E0B0000}"/>
    <cellStyle name="40% - Accent6 1 2" xfId="3031" xr:uid="{00000000-0005-0000-0000-00007F0B0000}"/>
    <cellStyle name="40% - Accent6 1_Building_-_5-final_Price_Variation(1)" xfId="3032" xr:uid="{00000000-0005-0000-0000-0000800B0000}"/>
    <cellStyle name="40% - Accent6 10" xfId="3033" xr:uid="{00000000-0005-0000-0000-0000810B0000}"/>
    <cellStyle name="40% - Accent6 10 2" xfId="3034" xr:uid="{00000000-0005-0000-0000-0000820B0000}"/>
    <cellStyle name="40% - Accent6 10 3" xfId="3035" xr:uid="{00000000-0005-0000-0000-0000830B0000}"/>
    <cellStyle name="40% - Accent6 10 4" xfId="3036" xr:uid="{00000000-0005-0000-0000-0000840B0000}"/>
    <cellStyle name="40% - Accent6 10 5" xfId="3037" xr:uid="{00000000-0005-0000-0000-0000850B0000}"/>
    <cellStyle name="40% - Accent6 10 6" xfId="3038" xr:uid="{00000000-0005-0000-0000-0000860B0000}"/>
    <cellStyle name="40% - Accent6 10 7" xfId="3039" xr:uid="{00000000-0005-0000-0000-0000870B0000}"/>
    <cellStyle name="40% - Accent6 10 8" xfId="3040" xr:uid="{00000000-0005-0000-0000-0000880B0000}"/>
    <cellStyle name="40% - Accent6 10 9" xfId="3041" xr:uid="{00000000-0005-0000-0000-0000890B0000}"/>
    <cellStyle name="40% - Accent6 11" xfId="3042" xr:uid="{00000000-0005-0000-0000-00008A0B0000}"/>
    <cellStyle name="40% - Accent6 11 2" xfId="3043" xr:uid="{00000000-0005-0000-0000-00008B0B0000}"/>
    <cellStyle name="40% - Accent6 11 3" xfId="3044" xr:uid="{00000000-0005-0000-0000-00008C0B0000}"/>
    <cellStyle name="40% - Accent6 11 4" xfId="3045" xr:uid="{00000000-0005-0000-0000-00008D0B0000}"/>
    <cellStyle name="40% - Accent6 12" xfId="3046" xr:uid="{00000000-0005-0000-0000-00008E0B0000}"/>
    <cellStyle name="40% - Accent6 12 2" xfId="3047" xr:uid="{00000000-0005-0000-0000-00008F0B0000}"/>
    <cellStyle name="40% - Accent6 12 3" xfId="3048" xr:uid="{00000000-0005-0000-0000-0000900B0000}"/>
    <cellStyle name="40% - Accent6 12 4" xfId="3049" xr:uid="{00000000-0005-0000-0000-0000910B0000}"/>
    <cellStyle name="40% - Accent6 13" xfId="3050" xr:uid="{00000000-0005-0000-0000-0000920B0000}"/>
    <cellStyle name="40% - Accent6 13 2" xfId="3051" xr:uid="{00000000-0005-0000-0000-0000930B0000}"/>
    <cellStyle name="40% - Accent6 14" xfId="3052" xr:uid="{00000000-0005-0000-0000-0000940B0000}"/>
    <cellStyle name="40% - Accent6 14 2" xfId="3053" xr:uid="{00000000-0005-0000-0000-0000950B0000}"/>
    <cellStyle name="40% - Accent6 15" xfId="3054" xr:uid="{00000000-0005-0000-0000-0000960B0000}"/>
    <cellStyle name="40% - Accent6 15 2" xfId="3055" xr:uid="{00000000-0005-0000-0000-0000970B0000}"/>
    <cellStyle name="40% - Accent6 16" xfId="3056" xr:uid="{00000000-0005-0000-0000-0000980B0000}"/>
    <cellStyle name="40% - Accent6 16 2" xfId="3057" xr:uid="{00000000-0005-0000-0000-0000990B0000}"/>
    <cellStyle name="40% - Accent6 17" xfId="3058" xr:uid="{00000000-0005-0000-0000-00009A0B0000}"/>
    <cellStyle name="40% - Accent6 17 2" xfId="3059" xr:uid="{00000000-0005-0000-0000-00009B0B0000}"/>
    <cellStyle name="40% - Accent6 18" xfId="3060" xr:uid="{00000000-0005-0000-0000-00009C0B0000}"/>
    <cellStyle name="40% - Accent6 18 2" xfId="3061" xr:uid="{00000000-0005-0000-0000-00009D0B0000}"/>
    <cellStyle name="40% - Accent6 19" xfId="3062" xr:uid="{00000000-0005-0000-0000-00009E0B0000}"/>
    <cellStyle name="40% - Accent6 19 2" xfId="3063" xr:uid="{00000000-0005-0000-0000-00009F0B0000}"/>
    <cellStyle name="40% - Accent6 2" xfId="3064" xr:uid="{00000000-0005-0000-0000-0000A00B0000}"/>
    <cellStyle name="40% - Accent6 2 10" xfId="3065" xr:uid="{00000000-0005-0000-0000-0000A10B0000}"/>
    <cellStyle name="40% - Accent6 2 10 2" xfId="3066" xr:uid="{00000000-0005-0000-0000-0000A20B0000}"/>
    <cellStyle name="40% - Accent6 2 11" xfId="3067" xr:uid="{00000000-0005-0000-0000-0000A30B0000}"/>
    <cellStyle name="40% - Accent6 2 2" xfId="3068" xr:uid="{00000000-0005-0000-0000-0000A40B0000}"/>
    <cellStyle name="40% - Accent6 2 2 2" xfId="3069" xr:uid="{00000000-0005-0000-0000-0000A50B0000}"/>
    <cellStyle name="40% - Accent6 2 2 3" xfId="3070" xr:uid="{00000000-0005-0000-0000-0000A60B0000}"/>
    <cellStyle name="40% - Accent6 2 2 4" xfId="3071" xr:uid="{00000000-0005-0000-0000-0000A70B0000}"/>
    <cellStyle name="40% - Accent6 2 3" xfId="3072" xr:uid="{00000000-0005-0000-0000-0000A80B0000}"/>
    <cellStyle name="40% - Accent6 2 3 2" xfId="3073" xr:uid="{00000000-0005-0000-0000-0000A90B0000}"/>
    <cellStyle name="40% - Accent6 2 4" xfId="3074" xr:uid="{00000000-0005-0000-0000-0000AA0B0000}"/>
    <cellStyle name="40% - Accent6 2 4 2" xfId="3075" xr:uid="{00000000-0005-0000-0000-0000AB0B0000}"/>
    <cellStyle name="40% - Accent6 2 5" xfId="3076" xr:uid="{00000000-0005-0000-0000-0000AC0B0000}"/>
    <cellStyle name="40% - Accent6 2 5 2" xfId="3077" xr:uid="{00000000-0005-0000-0000-0000AD0B0000}"/>
    <cellStyle name="40% - Accent6 2 6" xfId="3078" xr:uid="{00000000-0005-0000-0000-0000AE0B0000}"/>
    <cellStyle name="40% - Accent6 2 6 2" xfId="3079" xr:uid="{00000000-0005-0000-0000-0000AF0B0000}"/>
    <cellStyle name="40% - Accent6 2 7" xfId="3080" xr:uid="{00000000-0005-0000-0000-0000B00B0000}"/>
    <cellStyle name="40% - Accent6 2 7 2" xfId="3081" xr:uid="{00000000-0005-0000-0000-0000B10B0000}"/>
    <cellStyle name="40% - Accent6 2 8" xfId="3082" xr:uid="{00000000-0005-0000-0000-0000B20B0000}"/>
    <cellStyle name="40% - Accent6 2 8 2" xfId="3083" xr:uid="{00000000-0005-0000-0000-0000B30B0000}"/>
    <cellStyle name="40% - Accent6 2 9" xfId="3084" xr:uid="{00000000-0005-0000-0000-0000B40B0000}"/>
    <cellStyle name="40% - Accent6 2 9 2" xfId="3085" xr:uid="{00000000-0005-0000-0000-0000B50B0000}"/>
    <cellStyle name="40% - Accent6 2_B Block  Column LGF to UGF Lvl" xfId="3086" xr:uid="{00000000-0005-0000-0000-0000B60B0000}"/>
    <cellStyle name="40% - Accent6 20" xfId="3087" xr:uid="{00000000-0005-0000-0000-0000B70B0000}"/>
    <cellStyle name="40% - Accent6 20 2" xfId="3088" xr:uid="{00000000-0005-0000-0000-0000B80B0000}"/>
    <cellStyle name="40% - Accent6 21" xfId="3089" xr:uid="{00000000-0005-0000-0000-0000B90B0000}"/>
    <cellStyle name="40% - Accent6 21 2" xfId="3090" xr:uid="{00000000-0005-0000-0000-0000BA0B0000}"/>
    <cellStyle name="40% - Accent6 22" xfId="3091" xr:uid="{00000000-0005-0000-0000-0000BB0B0000}"/>
    <cellStyle name="40% - Accent6 23" xfId="3092" xr:uid="{00000000-0005-0000-0000-0000BC0B0000}"/>
    <cellStyle name="40% - Accent6 24" xfId="3093" xr:uid="{00000000-0005-0000-0000-0000BD0B0000}"/>
    <cellStyle name="40% - Accent6 25" xfId="3094" xr:uid="{00000000-0005-0000-0000-0000BE0B0000}"/>
    <cellStyle name="40% - Accent6 26" xfId="3095" xr:uid="{00000000-0005-0000-0000-0000BF0B0000}"/>
    <cellStyle name="40% - Accent6 27" xfId="3096" xr:uid="{00000000-0005-0000-0000-0000C00B0000}"/>
    <cellStyle name="40% - Accent6 28" xfId="3097" xr:uid="{00000000-0005-0000-0000-0000C10B0000}"/>
    <cellStyle name="40% - Accent6 29" xfId="3098" xr:uid="{00000000-0005-0000-0000-0000C20B0000}"/>
    <cellStyle name="40% - Accent6 3" xfId="3099" xr:uid="{00000000-0005-0000-0000-0000C30B0000}"/>
    <cellStyle name="40% - Accent6 3 2" xfId="3100" xr:uid="{00000000-0005-0000-0000-0000C40B0000}"/>
    <cellStyle name="40% - Accent6 3 2 2" xfId="3101" xr:uid="{00000000-0005-0000-0000-0000C50B0000}"/>
    <cellStyle name="40% - Accent6 3 3" xfId="3102" xr:uid="{00000000-0005-0000-0000-0000C60B0000}"/>
    <cellStyle name="40% - Accent6 3 3 2" xfId="3103" xr:uid="{00000000-0005-0000-0000-0000C70B0000}"/>
    <cellStyle name="40% - Accent6 3 4" xfId="3104" xr:uid="{00000000-0005-0000-0000-0000C80B0000}"/>
    <cellStyle name="40% - Accent6 3 4 2" xfId="3105" xr:uid="{00000000-0005-0000-0000-0000C90B0000}"/>
    <cellStyle name="40% - Accent6 3 5" xfId="3106" xr:uid="{00000000-0005-0000-0000-0000CA0B0000}"/>
    <cellStyle name="40% - Accent6 3 6" xfId="3107" xr:uid="{00000000-0005-0000-0000-0000CB0B0000}"/>
    <cellStyle name="40% - Accent6 3 7" xfId="3108" xr:uid="{00000000-0005-0000-0000-0000CC0B0000}"/>
    <cellStyle name="40% - Accent6 3 8" xfId="3109" xr:uid="{00000000-0005-0000-0000-0000CD0B0000}"/>
    <cellStyle name="40% - Accent6 3 9" xfId="3110" xr:uid="{00000000-0005-0000-0000-0000CE0B0000}"/>
    <cellStyle name="40% - Accent6 3_Sheet2" xfId="3111" xr:uid="{00000000-0005-0000-0000-0000CF0B0000}"/>
    <cellStyle name="40% - Accent6 30" xfId="3112" xr:uid="{00000000-0005-0000-0000-0000D00B0000}"/>
    <cellStyle name="40% - Accent6 31" xfId="3113" xr:uid="{00000000-0005-0000-0000-0000D10B0000}"/>
    <cellStyle name="40% - Accent6 32" xfId="3114" xr:uid="{00000000-0005-0000-0000-0000D20B0000}"/>
    <cellStyle name="40% - Accent6 33" xfId="3115" xr:uid="{00000000-0005-0000-0000-0000D30B0000}"/>
    <cellStyle name="40% - Accent6 34" xfId="3116" xr:uid="{00000000-0005-0000-0000-0000D40B0000}"/>
    <cellStyle name="40% - Accent6 35" xfId="3117" xr:uid="{00000000-0005-0000-0000-0000D50B0000}"/>
    <cellStyle name="40% - Accent6 36" xfId="3118" xr:uid="{00000000-0005-0000-0000-0000D60B0000}"/>
    <cellStyle name="40% - Accent6 37" xfId="3119" xr:uid="{00000000-0005-0000-0000-0000D70B0000}"/>
    <cellStyle name="40% - Accent6 38" xfId="3120" xr:uid="{00000000-0005-0000-0000-0000D80B0000}"/>
    <cellStyle name="40% - Accent6 39" xfId="3121" xr:uid="{00000000-0005-0000-0000-0000D90B0000}"/>
    <cellStyle name="40% - Accent6 4" xfId="3122" xr:uid="{00000000-0005-0000-0000-0000DA0B0000}"/>
    <cellStyle name="40% - Accent6 4 2" xfId="3123" xr:uid="{00000000-0005-0000-0000-0000DB0B0000}"/>
    <cellStyle name="40% - Accent6 4 3" xfId="3124" xr:uid="{00000000-0005-0000-0000-0000DC0B0000}"/>
    <cellStyle name="40% - Accent6 4 3 2" xfId="3125" xr:uid="{00000000-0005-0000-0000-0000DD0B0000}"/>
    <cellStyle name="40% - Accent6 4 4" xfId="3126" xr:uid="{00000000-0005-0000-0000-0000DE0B0000}"/>
    <cellStyle name="40% - Accent6 4 4 2" xfId="3127" xr:uid="{00000000-0005-0000-0000-0000DF0B0000}"/>
    <cellStyle name="40% - Accent6 4 5" xfId="3128" xr:uid="{00000000-0005-0000-0000-0000E00B0000}"/>
    <cellStyle name="40% - Accent6 4 6" xfId="3129" xr:uid="{00000000-0005-0000-0000-0000E10B0000}"/>
    <cellStyle name="40% - Accent6 4 7" xfId="3130" xr:uid="{00000000-0005-0000-0000-0000E20B0000}"/>
    <cellStyle name="40% - Accent6 4 8" xfId="3131" xr:uid="{00000000-0005-0000-0000-0000E30B0000}"/>
    <cellStyle name="40% - Accent6 4 9" xfId="3132" xr:uid="{00000000-0005-0000-0000-0000E40B0000}"/>
    <cellStyle name="40% - Accent6 4_Sheet2" xfId="3133" xr:uid="{00000000-0005-0000-0000-0000E50B0000}"/>
    <cellStyle name="40% - Accent6 5" xfId="3134" xr:uid="{00000000-0005-0000-0000-0000E60B0000}"/>
    <cellStyle name="40% - Accent6 5 2" xfId="3135" xr:uid="{00000000-0005-0000-0000-0000E70B0000}"/>
    <cellStyle name="40% - Accent6 5 2 2" xfId="3136" xr:uid="{00000000-0005-0000-0000-0000E80B0000}"/>
    <cellStyle name="40% - Accent6 5 3" xfId="3137" xr:uid="{00000000-0005-0000-0000-0000E90B0000}"/>
    <cellStyle name="40% - Accent6 5 3 2" xfId="3138" xr:uid="{00000000-0005-0000-0000-0000EA0B0000}"/>
    <cellStyle name="40% - Accent6 5 4" xfId="3139" xr:uid="{00000000-0005-0000-0000-0000EB0B0000}"/>
    <cellStyle name="40% - Accent6 5 4 2" xfId="3140" xr:uid="{00000000-0005-0000-0000-0000EC0B0000}"/>
    <cellStyle name="40% - Accent6 5 5" xfId="3141" xr:uid="{00000000-0005-0000-0000-0000ED0B0000}"/>
    <cellStyle name="40% - Accent6 5 6" xfId="3142" xr:uid="{00000000-0005-0000-0000-0000EE0B0000}"/>
    <cellStyle name="40% - Accent6 5 7" xfId="3143" xr:uid="{00000000-0005-0000-0000-0000EF0B0000}"/>
    <cellStyle name="40% - Accent6 5 8" xfId="3144" xr:uid="{00000000-0005-0000-0000-0000F00B0000}"/>
    <cellStyle name="40% - Accent6 5 9" xfId="3145" xr:uid="{00000000-0005-0000-0000-0000F10B0000}"/>
    <cellStyle name="40% - Accent6 5_Sheet2" xfId="3146" xr:uid="{00000000-0005-0000-0000-0000F20B0000}"/>
    <cellStyle name="40% - Accent6 6" xfId="3147" xr:uid="{00000000-0005-0000-0000-0000F30B0000}"/>
    <cellStyle name="40% - Accent6 6 2" xfId="3148" xr:uid="{00000000-0005-0000-0000-0000F40B0000}"/>
    <cellStyle name="40% - Accent6 6 2 2" xfId="3149" xr:uid="{00000000-0005-0000-0000-0000F50B0000}"/>
    <cellStyle name="40% - Accent6 6 3" xfId="3150" xr:uid="{00000000-0005-0000-0000-0000F60B0000}"/>
    <cellStyle name="40% - Accent6 6 3 2" xfId="3151" xr:uid="{00000000-0005-0000-0000-0000F70B0000}"/>
    <cellStyle name="40% - Accent6 6 4" xfId="3152" xr:uid="{00000000-0005-0000-0000-0000F80B0000}"/>
    <cellStyle name="40% - Accent6 6 4 2" xfId="3153" xr:uid="{00000000-0005-0000-0000-0000F90B0000}"/>
    <cellStyle name="40% - Accent6 6 5" xfId="3154" xr:uid="{00000000-0005-0000-0000-0000FA0B0000}"/>
    <cellStyle name="40% - Accent6 6 6" xfId="3155" xr:uid="{00000000-0005-0000-0000-0000FB0B0000}"/>
    <cellStyle name="40% - Accent6 6 7" xfId="3156" xr:uid="{00000000-0005-0000-0000-0000FC0B0000}"/>
    <cellStyle name="40% - Accent6 6 8" xfId="3157" xr:uid="{00000000-0005-0000-0000-0000FD0B0000}"/>
    <cellStyle name="40% - Accent6 6 9" xfId="3158" xr:uid="{00000000-0005-0000-0000-0000FE0B0000}"/>
    <cellStyle name="40% - Accent6 6_Sheet2" xfId="3159" xr:uid="{00000000-0005-0000-0000-0000FF0B0000}"/>
    <cellStyle name="40% - Accent6 7" xfId="3160" xr:uid="{00000000-0005-0000-0000-0000000C0000}"/>
    <cellStyle name="40% - Accent6 7 2" xfId="3161" xr:uid="{00000000-0005-0000-0000-0000010C0000}"/>
    <cellStyle name="40% - Accent6 7 2 2" xfId="3162" xr:uid="{00000000-0005-0000-0000-0000020C0000}"/>
    <cellStyle name="40% - Accent6 7 3" xfId="3163" xr:uid="{00000000-0005-0000-0000-0000030C0000}"/>
    <cellStyle name="40% - Accent6 7 3 2" xfId="3164" xr:uid="{00000000-0005-0000-0000-0000040C0000}"/>
    <cellStyle name="40% - Accent6 7 4" xfId="3165" xr:uid="{00000000-0005-0000-0000-0000050C0000}"/>
    <cellStyle name="40% - Accent6 7 4 2" xfId="3166" xr:uid="{00000000-0005-0000-0000-0000060C0000}"/>
    <cellStyle name="40% - Accent6 7 5" xfId="3167" xr:uid="{00000000-0005-0000-0000-0000070C0000}"/>
    <cellStyle name="40% - Accent6 7 6" xfId="3168" xr:uid="{00000000-0005-0000-0000-0000080C0000}"/>
    <cellStyle name="40% - Accent6 7 7" xfId="3169" xr:uid="{00000000-0005-0000-0000-0000090C0000}"/>
    <cellStyle name="40% - Accent6 7 8" xfId="3170" xr:uid="{00000000-0005-0000-0000-00000A0C0000}"/>
    <cellStyle name="40% - Accent6 7 9" xfId="3171" xr:uid="{00000000-0005-0000-0000-00000B0C0000}"/>
    <cellStyle name="40% - Accent6 7_Sheet2" xfId="3172" xr:uid="{00000000-0005-0000-0000-00000C0C0000}"/>
    <cellStyle name="40% - Accent6 8" xfId="3173" xr:uid="{00000000-0005-0000-0000-00000D0C0000}"/>
    <cellStyle name="40% - Accent6 8 2" xfId="3174" xr:uid="{00000000-0005-0000-0000-00000E0C0000}"/>
    <cellStyle name="40% - Accent6 8 3" xfId="3175" xr:uid="{00000000-0005-0000-0000-00000F0C0000}"/>
    <cellStyle name="40% - Accent6 8 4" xfId="3176" xr:uid="{00000000-0005-0000-0000-0000100C0000}"/>
    <cellStyle name="40% - Accent6 8 5" xfId="3177" xr:uid="{00000000-0005-0000-0000-0000110C0000}"/>
    <cellStyle name="40% - Accent6 8 6" xfId="3178" xr:uid="{00000000-0005-0000-0000-0000120C0000}"/>
    <cellStyle name="40% - Accent6 8 7" xfId="3179" xr:uid="{00000000-0005-0000-0000-0000130C0000}"/>
    <cellStyle name="40% - Accent6 8 8" xfId="3180" xr:uid="{00000000-0005-0000-0000-0000140C0000}"/>
    <cellStyle name="40% - Accent6 8 9" xfId="3181" xr:uid="{00000000-0005-0000-0000-0000150C0000}"/>
    <cellStyle name="40% - Accent6 8_Sheet2" xfId="3182" xr:uid="{00000000-0005-0000-0000-0000160C0000}"/>
    <cellStyle name="40% - Accent6 9" xfId="3183" xr:uid="{00000000-0005-0000-0000-0000170C0000}"/>
    <cellStyle name="40% - Accent6 9 2" xfId="3184" xr:uid="{00000000-0005-0000-0000-0000180C0000}"/>
    <cellStyle name="40% - Accent6 9 3" xfId="3185" xr:uid="{00000000-0005-0000-0000-0000190C0000}"/>
    <cellStyle name="40% - Accent6 9 4" xfId="3186" xr:uid="{00000000-0005-0000-0000-00001A0C0000}"/>
    <cellStyle name="40% - Accent6 9 5" xfId="3187" xr:uid="{00000000-0005-0000-0000-00001B0C0000}"/>
    <cellStyle name="40% - Accent6 9 6" xfId="3188" xr:uid="{00000000-0005-0000-0000-00001C0C0000}"/>
    <cellStyle name="40% - Accent6 9 7" xfId="3189" xr:uid="{00000000-0005-0000-0000-00001D0C0000}"/>
    <cellStyle name="40% - Accent6 9 8" xfId="3190" xr:uid="{00000000-0005-0000-0000-00001E0C0000}"/>
    <cellStyle name="40% - Accent6 9 9" xfId="3191" xr:uid="{00000000-0005-0000-0000-00001F0C0000}"/>
    <cellStyle name="40% - Akzent1" xfId="3192" xr:uid="{00000000-0005-0000-0000-0000200C0000}"/>
    <cellStyle name="40% - Akzent2" xfId="3193" xr:uid="{00000000-0005-0000-0000-0000210C0000}"/>
    <cellStyle name="40% - Akzent3" xfId="3194" xr:uid="{00000000-0005-0000-0000-0000220C0000}"/>
    <cellStyle name="40% - Akzent4" xfId="3195" xr:uid="{00000000-0005-0000-0000-0000230C0000}"/>
    <cellStyle name="40% - Akzent5" xfId="3196" xr:uid="{00000000-0005-0000-0000-0000240C0000}"/>
    <cellStyle name="40% - Akzent6" xfId="3197" xr:uid="{00000000-0005-0000-0000-0000250C0000}"/>
    <cellStyle name="40% - Énfasis1" xfId="3198" xr:uid="{00000000-0005-0000-0000-0000260C0000}"/>
    <cellStyle name="40% - Énfasis2" xfId="3199" xr:uid="{00000000-0005-0000-0000-0000270C0000}"/>
    <cellStyle name="40% - Énfasis3" xfId="3200" xr:uid="{00000000-0005-0000-0000-0000280C0000}"/>
    <cellStyle name="40% - Énfasis4" xfId="3201" xr:uid="{00000000-0005-0000-0000-0000290C0000}"/>
    <cellStyle name="40% - Énfasis5" xfId="3202" xr:uid="{00000000-0005-0000-0000-00002A0C0000}"/>
    <cellStyle name="40% - Énfasis6" xfId="3203" xr:uid="{00000000-0005-0000-0000-00002B0C0000}"/>
    <cellStyle name="40% - 强调文字颜色 1" xfId="3204" xr:uid="{00000000-0005-0000-0000-00002C0C0000}"/>
    <cellStyle name="40% - 强调文字颜色 2" xfId="3205" xr:uid="{00000000-0005-0000-0000-00002D0C0000}"/>
    <cellStyle name="40% - 强调文字颜色 3" xfId="3206" xr:uid="{00000000-0005-0000-0000-00002E0C0000}"/>
    <cellStyle name="40% - 强调文字颜色 4" xfId="3207" xr:uid="{00000000-0005-0000-0000-00002F0C0000}"/>
    <cellStyle name="40% - 强调文字颜色 5" xfId="3208" xr:uid="{00000000-0005-0000-0000-0000300C0000}"/>
    <cellStyle name="40% - 强调文字颜色 6" xfId="3209" xr:uid="{00000000-0005-0000-0000-0000310C0000}"/>
    <cellStyle name="413132" xfId="3210" xr:uid="{00000000-0005-0000-0000-0000320C0000}"/>
    <cellStyle name="413132 2" xfId="3211" xr:uid="{00000000-0005-0000-0000-0000330C0000}"/>
    <cellStyle name="413132_KC720 - JCR - Mar '11" xfId="3212" xr:uid="{00000000-0005-0000-0000-0000340C0000}"/>
    <cellStyle name="44" xfId="3213" xr:uid="{00000000-0005-0000-0000-0000350C0000}"/>
    <cellStyle name="4Decimal" xfId="3214" xr:uid="{00000000-0005-0000-0000-0000360C0000}"/>
    <cellStyle name="5" xfId="3215" xr:uid="{00000000-0005-0000-0000-0000370C0000}"/>
    <cellStyle name="5_001-R2-SPD-BOQ for Bridge4(ph1,ph2)-ren-22-01-09" xfId="3216" xr:uid="{00000000-0005-0000-0000-0000380C0000}"/>
    <cellStyle name="5_003-R0-PNSS-BOQ for Cable Stayed Bridge-csl-23.12.08" xfId="3217" xr:uid="{00000000-0005-0000-0000-0000390C0000}"/>
    <cellStyle name="5_003-R0-PNSS-BOQ for Cable Stayed Bridge-ren-22-01-09" xfId="3218" xr:uid="{00000000-0005-0000-0000-00003A0C0000}"/>
    <cellStyle name="5_003-R0-PNSS-BOQ for Cable Stayed Bridge-ren-22-01-09-1" xfId="3219" xr:uid="{00000000-0005-0000-0000-00003B0C0000}"/>
    <cellStyle name="5_Analysis - Hodariyat - 20.06.09" xfId="3220" xr:uid="{00000000-0005-0000-0000-00003C0C0000}"/>
    <cellStyle name="5_Analysis - hodariyat Bridge - 16.05.09" xfId="3221" xr:uid="{00000000-0005-0000-0000-00003D0C0000}"/>
    <cellStyle name="5_Analysis-Road works" xfId="3222" xr:uid="{00000000-0005-0000-0000-00003E0C0000}"/>
    <cellStyle name="5_Analysis-Structures" xfId="3223" xr:uid="{00000000-0005-0000-0000-00003F0C0000}"/>
    <cellStyle name="5_Bridge-3-Cable stay-Final 28.01.09" xfId="3224" xr:uid="{00000000-0005-0000-0000-0000400C0000}"/>
    <cellStyle name="5_Bridge-4-Arch-24 Month-10.03.09" xfId="3225" xr:uid="{00000000-0005-0000-0000-0000410C0000}"/>
    <cellStyle name="5_Cable Stay bridge workings-21.12.08" xfId="3226" xr:uid="{00000000-0005-0000-0000-0000420C0000}"/>
    <cellStyle name="5_CS reworked owith qty of 29.01.09" xfId="3227" xr:uid="{00000000-0005-0000-0000-0000430C0000}"/>
    <cellStyle name="5_pt cs comparision" xfId="3228" xr:uid="{00000000-0005-0000-0000-0000440C0000}"/>
    <cellStyle name="5_To Client - Bridge 4" xfId="3229" xr:uid="{00000000-0005-0000-0000-0000450C0000}"/>
    <cellStyle name="60% - Accent1" xfId="13" builtinId="32" customBuiltin="1"/>
    <cellStyle name="60% - Accent1 1" xfId="3230" xr:uid="{00000000-0005-0000-0000-0000470C0000}"/>
    <cellStyle name="60% - Accent1 1 1" xfId="3231" xr:uid="{00000000-0005-0000-0000-0000480C0000}"/>
    <cellStyle name="60% - Accent1 1_Building_-_5-final_Price_Variation(1)" xfId="3232" xr:uid="{00000000-0005-0000-0000-0000490C0000}"/>
    <cellStyle name="60% - Accent1 10" xfId="3233" xr:uid="{00000000-0005-0000-0000-00004A0C0000}"/>
    <cellStyle name="60% - Accent1 10 2" xfId="3234" xr:uid="{00000000-0005-0000-0000-00004B0C0000}"/>
    <cellStyle name="60% - Accent1 10 3" xfId="3235" xr:uid="{00000000-0005-0000-0000-00004C0C0000}"/>
    <cellStyle name="60% - Accent1 10 4" xfId="3236" xr:uid="{00000000-0005-0000-0000-00004D0C0000}"/>
    <cellStyle name="60% - Accent1 10 5" xfId="3237" xr:uid="{00000000-0005-0000-0000-00004E0C0000}"/>
    <cellStyle name="60% - Accent1 10 6" xfId="3238" xr:uid="{00000000-0005-0000-0000-00004F0C0000}"/>
    <cellStyle name="60% - Accent1 10 7" xfId="3239" xr:uid="{00000000-0005-0000-0000-0000500C0000}"/>
    <cellStyle name="60% - Accent1 10 8" xfId="3240" xr:uid="{00000000-0005-0000-0000-0000510C0000}"/>
    <cellStyle name="60% - Accent1 11" xfId="3241" xr:uid="{00000000-0005-0000-0000-0000520C0000}"/>
    <cellStyle name="60% - Accent1 11 2" xfId="3242" xr:uid="{00000000-0005-0000-0000-0000530C0000}"/>
    <cellStyle name="60% - Accent1 11 3" xfId="3243" xr:uid="{00000000-0005-0000-0000-0000540C0000}"/>
    <cellStyle name="60% - Accent1 11 4" xfId="3244" xr:uid="{00000000-0005-0000-0000-0000550C0000}"/>
    <cellStyle name="60% - Accent1 12" xfId="3245" xr:uid="{00000000-0005-0000-0000-0000560C0000}"/>
    <cellStyle name="60% - Accent1 12 2" xfId="3246" xr:uid="{00000000-0005-0000-0000-0000570C0000}"/>
    <cellStyle name="60% - Accent1 12 3" xfId="3247" xr:uid="{00000000-0005-0000-0000-0000580C0000}"/>
    <cellStyle name="60% - Accent1 12 4" xfId="3248" xr:uid="{00000000-0005-0000-0000-0000590C0000}"/>
    <cellStyle name="60% - Accent1 13" xfId="3249" xr:uid="{00000000-0005-0000-0000-00005A0C0000}"/>
    <cellStyle name="60% - Accent1 13 2" xfId="3250" xr:uid="{00000000-0005-0000-0000-00005B0C0000}"/>
    <cellStyle name="60% - Accent1 14" xfId="3251" xr:uid="{00000000-0005-0000-0000-00005C0C0000}"/>
    <cellStyle name="60% - Accent1 14 2" xfId="3252" xr:uid="{00000000-0005-0000-0000-00005D0C0000}"/>
    <cellStyle name="60% - Accent1 15" xfId="3253" xr:uid="{00000000-0005-0000-0000-00005E0C0000}"/>
    <cellStyle name="60% - Accent1 15 2" xfId="3254" xr:uid="{00000000-0005-0000-0000-00005F0C0000}"/>
    <cellStyle name="60% - Accent1 16" xfId="3255" xr:uid="{00000000-0005-0000-0000-0000600C0000}"/>
    <cellStyle name="60% - Accent1 16 2" xfId="3256" xr:uid="{00000000-0005-0000-0000-0000610C0000}"/>
    <cellStyle name="60% - Accent1 17" xfId="3257" xr:uid="{00000000-0005-0000-0000-0000620C0000}"/>
    <cellStyle name="60% - Accent1 17 2" xfId="3258" xr:uid="{00000000-0005-0000-0000-0000630C0000}"/>
    <cellStyle name="60% - Accent1 18" xfId="3259" xr:uid="{00000000-0005-0000-0000-0000640C0000}"/>
    <cellStyle name="60% - Accent1 18 2" xfId="3260" xr:uid="{00000000-0005-0000-0000-0000650C0000}"/>
    <cellStyle name="60% - Accent1 19" xfId="3261" xr:uid="{00000000-0005-0000-0000-0000660C0000}"/>
    <cellStyle name="60% - Accent1 19 2" xfId="3262" xr:uid="{00000000-0005-0000-0000-0000670C0000}"/>
    <cellStyle name="60% - Accent1 2" xfId="3263" xr:uid="{00000000-0005-0000-0000-0000680C0000}"/>
    <cellStyle name="60% - Accent1 2 10" xfId="3264" xr:uid="{00000000-0005-0000-0000-0000690C0000}"/>
    <cellStyle name="60% - Accent1 2 10 2" xfId="3265" xr:uid="{00000000-0005-0000-0000-00006A0C0000}"/>
    <cellStyle name="60% - Accent1 2 11" xfId="3266" xr:uid="{00000000-0005-0000-0000-00006B0C0000}"/>
    <cellStyle name="60% - Accent1 2 2" xfId="3267" xr:uid="{00000000-0005-0000-0000-00006C0C0000}"/>
    <cellStyle name="60% - Accent1 2 2 2" xfId="3268" xr:uid="{00000000-0005-0000-0000-00006D0C0000}"/>
    <cellStyle name="60% - Accent1 2 2 3" xfId="3269" xr:uid="{00000000-0005-0000-0000-00006E0C0000}"/>
    <cellStyle name="60% - Accent1 2 2 4" xfId="3270" xr:uid="{00000000-0005-0000-0000-00006F0C0000}"/>
    <cellStyle name="60% - Accent1 2 3" xfId="3271" xr:uid="{00000000-0005-0000-0000-0000700C0000}"/>
    <cellStyle name="60% - Accent1 2 3 2" xfId="3272" xr:uid="{00000000-0005-0000-0000-0000710C0000}"/>
    <cellStyle name="60% - Accent1 2 4" xfId="3273" xr:uid="{00000000-0005-0000-0000-0000720C0000}"/>
    <cellStyle name="60% - Accent1 2 4 2" xfId="3274" xr:uid="{00000000-0005-0000-0000-0000730C0000}"/>
    <cellStyle name="60% - Accent1 2 5" xfId="3275" xr:uid="{00000000-0005-0000-0000-0000740C0000}"/>
    <cellStyle name="60% - Accent1 2 5 2" xfId="3276" xr:uid="{00000000-0005-0000-0000-0000750C0000}"/>
    <cellStyle name="60% - Accent1 2 6" xfId="3277" xr:uid="{00000000-0005-0000-0000-0000760C0000}"/>
    <cellStyle name="60% - Accent1 2 6 2" xfId="3278" xr:uid="{00000000-0005-0000-0000-0000770C0000}"/>
    <cellStyle name="60% - Accent1 2 7" xfId="3279" xr:uid="{00000000-0005-0000-0000-0000780C0000}"/>
    <cellStyle name="60% - Accent1 2 7 2" xfId="3280" xr:uid="{00000000-0005-0000-0000-0000790C0000}"/>
    <cellStyle name="60% - Accent1 2 8" xfId="3281" xr:uid="{00000000-0005-0000-0000-00007A0C0000}"/>
    <cellStyle name="60% - Accent1 2 8 2" xfId="3282" xr:uid="{00000000-0005-0000-0000-00007B0C0000}"/>
    <cellStyle name="60% - Accent1 2 9" xfId="3283" xr:uid="{00000000-0005-0000-0000-00007C0C0000}"/>
    <cellStyle name="60% - Accent1 2 9 2" xfId="3284" xr:uid="{00000000-0005-0000-0000-00007D0C0000}"/>
    <cellStyle name="60% - Accent1 2_Block-F LGF POur-II BBS" xfId="3285" xr:uid="{00000000-0005-0000-0000-00007E0C0000}"/>
    <cellStyle name="60% - Accent1 20" xfId="3286" xr:uid="{00000000-0005-0000-0000-00007F0C0000}"/>
    <cellStyle name="60% - Accent1 20 2" xfId="3287" xr:uid="{00000000-0005-0000-0000-0000800C0000}"/>
    <cellStyle name="60% - Accent1 21" xfId="3288" xr:uid="{00000000-0005-0000-0000-0000810C0000}"/>
    <cellStyle name="60% - Accent1 21 2" xfId="3289" xr:uid="{00000000-0005-0000-0000-0000820C0000}"/>
    <cellStyle name="60% - Accent1 22" xfId="3290" xr:uid="{00000000-0005-0000-0000-0000830C0000}"/>
    <cellStyle name="60% - Accent1 23" xfId="3291" xr:uid="{00000000-0005-0000-0000-0000840C0000}"/>
    <cellStyle name="60% - Accent1 24" xfId="3292" xr:uid="{00000000-0005-0000-0000-0000850C0000}"/>
    <cellStyle name="60% - Accent1 25" xfId="3293" xr:uid="{00000000-0005-0000-0000-0000860C0000}"/>
    <cellStyle name="60% - Accent1 26" xfId="3294" xr:uid="{00000000-0005-0000-0000-0000870C0000}"/>
    <cellStyle name="60% - Accent1 27" xfId="3295" xr:uid="{00000000-0005-0000-0000-0000880C0000}"/>
    <cellStyle name="60% - Accent1 28" xfId="3296" xr:uid="{00000000-0005-0000-0000-0000890C0000}"/>
    <cellStyle name="60% - Accent1 29" xfId="3297" xr:uid="{00000000-0005-0000-0000-00008A0C0000}"/>
    <cellStyle name="60% - Accent1 3" xfId="3298" xr:uid="{00000000-0005-0000-0000-00008B0C0000}"/>
    <cellStyle name="60% - Accent1 3 2" xfId="3299" xr:uid="{00000000-0005-0000-0000-00008C0C0000}"/>
    <cellStyle name="60% - Accent1 3 2 2" xfId="3300" xr:uid="{00000000-0005-0000-0000-00008D0C0000}"/>
    <cellStyle name="60% - Accent1 3 3" xfId="3301" xr:uid="{00000000-0005-0000-0000-00008E0C0000}"/>
    <cellStyle name="60% - Accent1 3 3 2" xfId="3302" xr:uid="{00000000-0005-0000-0000-00008F0C0000}"/>
    <cellStyle name="60% - Accent1 3 4" xfId="3303" xr:uid="{00000000-0005-0000-0000-0000900C0000}"/>
    <cellStyle name="60% - Accent1 3 4 2" xfId="3304" xr:uid="{00000000-0005-0000-0000-0000910C0000}"/>
    <cellStyle name="60% - Accent1 3 5" xfId="3305" xr:uid="{00000000-0005-0000-0000-0000920C0000}"/>
    <cellStyle name="60% - Accent1 3 6" xfId="3306" xr:uid="{00000000-0005-0000-0000-0000930C0000}"/>
    <cellStyle name="60% - Accent1 3 7" xfId="3307" xr:uid="{00000000-0005-0000-0000-0000940C0000}"/>
    <cellStyle name="60% - Accent1 3 8" xfId="3308" xr:uid="{00000000-0005-0000-0000-0000950C0000}"/>
    <cellStyle name="60% - Accent1 3_Sheet2" xfId="3309" xr:uid="{00000000-0005-0000-0000-0000960C0000}"/>
    <cellStyle name="60% - Accent1 30" xfId="3310" xr:uid="{00000000-0005-0000-0000-0000970C0000}"/>
    <cellStyle name="60% - Accent1 31" xfId="3311" xr:uid="{00000000-0005-0000-0000-0000980C0000}"/>
    <cellStyle name="60% - Accent1 32" xfId="3312" xr:uid="{00000000-0005-0000-0000-0000990C0000}"/>
    <cellStyle name="60% - Accent1 33" xfId="3313" xr:uid="{00000000-0005-0000-0000-00009A0C0000}"/>
    <cellStyle name="60% - Accent1 34" xfId="3314" xr:uid="{00000000-0005-0000-0000-00009B0C0000}"/>
    <cellStyle name="60% - Accent1 35" xfId="3315" xr:uid="{00000000-0005-0000-0000-00009C0C0000}"/>
    <cellStyle name="60% - Accent1 36" xfId="3316" xr:uid="{00000000-0005-0000-0000-00009D0C0000}"/>
    <cellStyle name="60% - Accent1 37" xfId="3317" xr:uid="{00000000-0005-0000-0000-00009E0C0000}"/>
    <cellStyle name="60% - Accent1 38" xfId="3318" xr:uid="{00000000-0005-0000-0000-00009F0C0000}"/>
    <cellStyle name="60% - Accent1 39" xfId="3319" xr:uid="{00000000-0005-0000-0000-0000A00C0000}"/>
    <cellStyle name="60% - Accent1 4" xfId="3320" xr:uid="{00000000-0005-0000-0000-0000A10C0000}"/>
    <cellStyle name="60% - Accent1 4 2" xfId="3321" xr:uid="{00000000-0005-0000-0000-0000A20C0000}"/>
    <cellStyle name="60% - Accent1 4 3" xfId="3322" xr:uid="{00000000-0005-0000-0000-0000A30C0000}"/>
    <cellStyle name="60% - Accent1 4 3 2" xfId="3323" xr:uid="{00000000-0005-0000-0000-0000A40C0000}"/>
    <cellStyle name="60% - Accent1 4 4" xfId="3324" xr:uid="{00000000-0005-0000-0000-0000A50C0000}"/>
    <cellStyle name="60% - Accent1 4 4 2" xfId="3325" xr:uid="{00000000-0005-0000-0000-0000A60C0000}"/>
    <cellStyle name="60% - Accent1 4 5" xfId="3326" xr:uid="{00000000-0005-0000-0000-0000A70C0000}"/>
    <cellStyle name="60% - Accent1 4 6" xfId="3327" xr:uid="{00000000-0005-0000-0000-0000A80C0000}"/>
    <cellStyle name="60% - Accent1 4 7" xfId="3328" xr:uid="{00000000-0005-0000-0000-0000A90C0000}"/>
    <cellStyle name="60% - Accent1 4 8" xfId="3329" xr:uid="{00000000-0005-0000-0000-0000AA0C0000}"/>
    <cellStyle name="60% - Accent1 4_Sheet2" xfId="3330" xr:uid="{00000000-0005-0000-0000-0000AB0C0000}"/>
    <cellStyle name="60% - Accent1 5" xfId="3331" xr:uid="{00000000-0005-0000-0000-0000AC0C0000}"/>
    <cellStyle name="60% - Accent1 5 2" xfId="3332" xr:uid="{00000000-0005-0000-0000-0000AD0C0000}"/>
    <cellStyle name="60% - Accent1 5 2 2" xfId="3333" xr:uid="{00000000-0005-0000-0000-0000AE0C0000}"/>
    <cellStyle name="60% - Accent1 5 3" xfId="3334" xr:uid="{00000000-0005-0000-0000-0000AF0C0000}"/>
    <cellStyle name="60% - Accent1 5 3 2" xfId="3335" xr:uid="{00000000-0005-0000-0000-0000B00C0000}"/>
    <cellStyle name="60% - Accent1 5 4" xfId="3336" xr:uid="{00000000-0005-0000-0000-0000B10C0000}"/>
    <cellStyle name="60% - Accent1 5 4 2" xfId="3337" xr:uid="{00000000-0005-0000-0000-0000B20C0000}"/>
    <cellStyle name="60% - Accent1 5 5" xfId="3338" xr:uid="{00000000-0005-0000-0000-0000B30C0000}"/>
    <cellStyle name="60% - Accent1 5 6" xfId="3339" xr:uid="{00000000-0005-0000-0000-0000B40C0000}"/>
    <cellStyle name="60% - Accent1 5 7" xfId="3340" xr:uid="{00000000-0005-0000-0000-0000B50C0000}"/>
    <cellStyle name="60% - Accent1 5 8" xfId="3341" xr:uid="{00000000-0005-0000-0000-0000B60C0000}"/>
    <cellStyle name="60% - Accent1 5_Sheet2" xfId="3342" xr:uid="{00000000-0005-0000-0000-0000B70C0000}"/>
    <cellStyle name="60% - Accent1 6" xfId="3343" xr:uid="{00000000-0005-0000-0000-0000B80C0000}"/>
    <cellStyle name="60% - Accent1 6 2" xfId="3344" xr:uid="{00000000-0005-0000-0000-0000B90C0000}"/>
    <cellStyle name="60% - Accent1 6 2 2" xfId="3345" xr:uid="{00000000-0005-0000-0000-0000BA0C0000}"/>
    <cellStyle name="60% - Accent1 6 3" xfId="3346" xr:uid="{00000000-0005-0000-0000-0000BB0C0000}"/>
    <cellStyle name="60% - Accent1 6 3 2" xfId="3347" xr:uid="{00000000-0005-0000-0000-0000BC0C0000}"/>
    <cellStyle name="60% - Accent1 6 4" xfId="3348" xr:uid="{00000000-0005-0000-0000-0000BD0C0000}"/>
    <cellStyle name="60% - Accent1 6 4 2" xfId="3349" xr:uid="{00000000-0005-0000-0000-0000BE0C0000}"/>
    <cellStyle name="60% - Accent1 6 5" xfId="3350" xr:uid="{00000000-0005-0000-0000-0000BF0C0000}"/>
    <cellStyle name="60% - Accent1 6 6" xfId="3351" xr:uid="{00000000-0005-0000-0000-0000C00C0000}"/>
    <cellStyle name="60% - Accent1 6 7" xfId="3352" xr:uid="{00000000-0005-0000-0000-0000C10C0000}"/>
    <cellStyle name="60% - Accent1 6 8" xfId="3353" xr:uid="{00000000-0005-0000-0000-0000C20C0000}"/>
    <cellStyle name="60% - Accent1 6_Sheet2" xfId="3354" xr:uid="{00000000-0005-0000-0000-0000C30C0000}"/>
    <cellStyle name="60% - Accent1 7" xfId="3355" xr:uid="{00000000-0005-0000-0000-0000C40C0000}"/>
    <cellStyle name="60% - Accent1 7 2" xfId="3356" xr:uid="{00000000-0005-0000-0000-0000C50C0000}"/>
    <cellStyle name="60% - Accent1 7 2 2" xfId="3357" xr:uid="{00000000-0005-0000-0000-0000C60C0000}"/>
    <cellStyle name="60% - Accent1 7 3" xfId="3358" xr:uid="{00000000-0005-0000-0000-0000C70C0000}"/>
    <cellStyle name="60% - Accent1 7 3 2" xfId="3359" xr:uid="{00000000-0005-0000-0000-0000C80C0000}"/>
    <cellStyle name="60% - Accent1 7 4" xfId="3360" xr:uid="{00000000-0005-0000-0000-0000C90C0000}"/>
    <cellStyle name="60% - Accent1 7 4 2" xfId="3361" xr:uid="{00000000-0005-0000-0000-0000CA0C0000}"/>
    <cellStyle name="60% - Accent1 7 5" xfId="3362" xr:uid="{00000000-0005-0000-0000-0000CB0C0000}"/>
    <cellStyle name="60% - Accent1 7 6" xfId="3363" xr:uid="{00000000-0005-0000-0000-0000CC0C0000}"/>
    <cellStyle name="60% - Accent1 7 7" xfId="3364" xr:uid="{00000000-0005-0000-0000-0000CD0C0000}"/>
    <cellStyle name="60% - Accent1 7 8" xfId="3365" xr:uid="{00000000-0005-0000-0000-0000CE0C0000}"/>
    <cellStyle name="60% - Accent1 7_Sheet2" xfId="3366" xr:uid="{00000000-0005-0000-0000-0000CF0C0000}"/>
    <cellStyle name="60% - Accent1 8" xfId="3367" xr:uid="{00000000-0005-0000-0000-0000D00C0000}"/>
    <cellStyle name="60% - Accent1 8 2" xfId="3368" xr:uid="{00000000-0005-0000-0000-0000D10C0000}"/>
    <cellStyle name="60% - Accent1 8 3" xfId="3369" xr:uid="{00000000-0005-0000-0000-0000D20C0000}"/>
    <cellStyle name="60% - Accent1 8 4" xfId="3370" xr:uid="{00000000-0005-0000-0000-0000D30C0000}"/>
    <cellStyle name="60% - Accent1 8 5" xfId="3371" xr:uid="{00000000-0005-0000-0000-0000D40C0000}"/>
    <cellStyle name="60% - Accent1 8 6" xfId="3372" xr:uid="{00000000-0005-0000-0000-0000D50C0000}"/>
    <cellStyle name="60% - Accent1 8 7" xfId="3373" xr:uid="{00000000-0005-0000-0000-0000D60C0000}"/>
    <cellStyle name="60% - Accent1 8 8" xfId="3374" xr:uid="{00000000-0005-0000-0000-0000D70C0000}"/>
    <cellStyle name="60% - Accent1 8_Sheet2" xfId="3375" xr:uid="{00000000-0005-0000-0000-0000D80C0000}"/>
    <cellStyle name="60% - Accent1 9" xfId="3376" xr:uid="{00000000-0005-0000-0000-0000D90C0000}"/>
    <cellStyle name="60% - Accent1 9 2" xfId="3377" xr:uid="{00000000-0005-0000-0000-0000DA0C0000}"/>
    <cellStyle name="60% - Accent1 9 3" xfId="3378" xr:uid="{00000000-0005-0000-0000-0000DB0C0000}"/>
    <cellStyle name="60% - Accent1 9 4" xfId="3379" xr:uid="{00000000-0005-0000-0000-0000DC0C0000}"/>
    <cellStyle name="60% - Accent1 9 5" xfId="3380" xr:uid="{00000000-0005-0000-0000-0000DD0C0000}"/>
    <cellStyle name="60% - Accent1 9 6" xfId="3381" xr:uid="{00000000-0005-0000-0000-0000DE0C0000}"/>
    <cellStyle name="60% - Accent1 9 7" xfId="3382" xr:uid="{00000000-0005-0000-0000-0000DF0C0000}"/>
    <cellStyle name="60% - Accent1 9 8" xfId="3383" xr:uid="{00000000-0005-0000-0000-0000E00C0000}"/>
    <cellStyle name="60% - Accent2" xfId="14" builtinId="36" customBuiltin="1"/>
    <cellStyle name="60% - Accent2 1" xfId="3384" xr:uid="{00000000-0005-0000-0000-0000E20C0000}"/>
    <cellStyle name="60% - Accent2 1 1" xfId="3385" xr:uid="{00000000-0005-0000-0000-0000E30C0000}"/>
    <cellStyle name="60% - Accent2 10" xfId="3386" xr:uid="{00000000-0005-0000-0000-0000E40C0000}"/>
    <cellStyle name="60% - Accent2 10 2" xfId="3387" xr:uid="{00000000-0005-0000-0000-0000E50C0000}"/>
    <cellStyle name="60% - Accent2 10 3" xfId="3388" xr:uid="{00000000-0005-0000-0000-0000E60C0000}"/>
    <cellStyle name="60% - Accent2 10 4" xfId="3389" xr:uid="{00000000-0005-0000-0000-0000E70C0000}"/>
    <cellStyle name="60% - Accent2 10 5" xfId="3390" xr:uid="{00000000-0005-0000-0000-0000E80C0000}"/>
    <cellStyle name="60% - Accent2 10 6" xfId="3391" xr:uid="{00000000-0005-0000-0000-0000E90C0000}"/>
    <cellStyle name="60% - Accent2 10 7" xfId="3392" xr:uid="{00000000-0005-0000-0000-0000EA0C0000}"/>
    <cellStyle name="60% - Accent2 10 8" xfId="3393" xr:uid="{00000000-0005-0000-0000-0000EB0C0000}"/>
    <cellStyle name="60% - Accent2 11" xfId="3394" xr:uid="{00000000-0005-0000-0000-0000EC0C0000}"/>
    <cellStyle name="60% - Accent2 11 2" xfId="3395" xr:uid="{00000000-0005-0000-0000-0000ED0C0000}"/>
    <cellStyle name="60% - Accent2 11 3" xfId="3396" xr:uid="{00000000-0005-0000-0000-0000EE0C0000}"/>
    <cellStyle name="60% - Accent2 11 4" xfId="3397" xr:uid="{00000000-0005-0000-0000-0000EF0C0000}"/>
    <cellStyle name="60% - Accent2 12" xfId="3398" xr:uid="{00000000-0005-0000-0000-0000F00C0000}"/>
    <cellStyle name="60% - Accent2 12 2" xfId="3399" xr:uid="{00000000-0005-0000-0000-0000F10C0000}"/>
    <cellStyle name="60% - Accent2 12 3" xfId="3400" xr:uid="{00000000-0005-0000-0000-0000F20C0000}"/>
    <cellStyle name="60% - Accent2 12 4" xfId="3401" xr:uid="{00000000-0005-0000-0000-0000F30C0000}"/>
    <cellStyle name="60% - Accent2 13" xfId="3402" xr:uid="{00000000-0005-0000-0000-0000F40C0000}"/>
    <cellStyle name="60% - Accent2 13 2" xfId="3403" xr:uid="{00000000-0005-0000-0000-0000F50C0000}"/>
    <cellStyle name="60% - Accent2 14" xfId="3404" xr:uid="{00000000-0005-0000-0000-0000F60C0000}"/>
    <cellStyle name="60% - Accent2 14 2" xfId="3405" xr:uid="{00000000-0005-0000-0000-0000F70C0000}"/>
    <cellStyle name="60% - Accent2 15" xfId="3406" xr:uid="{00000000-0005-0000-0000-0000F80C0000}"/>
    <cellStyle name="60% - Accent2 15 2" xfId="3407" xr:uid="{00000000-0005-0000-0000-0000F90C0000}"/>
    <cellStyle name="60% - Accent2 16" xfId="3408" xr:uid="{00000000-0005-0000-0000-0000FA0C0000}"/>
    <cellStyle name="60% - Accent2 16 2" xfId="3409" xr:uid="{00000000-0005-0000-0000-0000FB0C0000}"/>
    <cellStyle name="60% - Accent2 17" xfId="3410" xr:uid="{00000000-0005-0000-0000-0000FC0C0000}"/>
    <cellStyle name="60% - Accent2 17 2" xfId="3411" xr:uid="{00000000-0005-0000-0000-0000FD0C0000}"/>
    <cellStyle name="60% - Accent2 18" xfId="3412" xr:uid="{00000000-0005-0000-0000-0000FE0C0000}"/>
    <cellStyle name="60% - Accent2 18 2" xfId="3413" xr:uid="{00000000-0005-0000-0000-0000FF0C0000}"/>
    <cellStyle name="60% - Accent2 19" xfId="3414" xr:uid="{00000000-0005-0000-0000-0000000D0000}"/>
    <cellStyle name="60% - Accent2 19 2" xfId="3415" xr:uid="{00000000-0005-0000-0000-0000010D0000}"/>
    <cellStyle name="60% - Accent2 2" xfId="3416" xr:uid="{00000000-0005-0000-0000-0000020D0000}"/>
    <cellStyle name="60% - Accent2 2 10" xfId="3417" xr:uid="{00000000-0005-0000-0000-0000030D0000}"/>
    <cellStyle name="60% - Accent2 2 10 2" xfId="3418" xr:uid="{00000000-0005-0000-0000-0000040D0000}"/>
    <cellStyle name="60% - Accent2 2 11" xfId="3419" xr:uid="{00000000-0005-0000-0000-0000050D0000}"/>
    <cellStyle name="60% - Accent2 2 2" xfId="3420" xr:uid="{00000000-0005-0000-0000-0000060D0000}"/>
    <cellStyle name="60% - Accent2 2 2 2" xfId="3421" xr:uid="{00000000-0005-0000-0000-0000070D0000}"/>
    <cellStyle name="60% - Accent2 2 2 3" xfId="3422" xr:uid="{00000000-0005-0000-0000-0000080D0000}"/>
    <cellStyle name="60% - Accent2 2 2 4" xfId="3423" xr:uid="{00000000-0005-0000-0000-0000090D0000}"/>
    <cellStyle name="60% - Accent2 2 3" xfId="3424" xr:uid="{00000000-0005-0000-0000-00000A0D0000}"/>
    <cellStyle name="60% - Accent2 2 3 2" xfId="3425" xr:uid="{00000000-0005-0000-0000-00000B0D0000}"/>
    <cellStyle name="60% - Accent2 2 4" xfId="3426" xr:uid="{00000000-0005-0000-0000-00000C0D0000}"/>
    <cellStyle name="60% - Accent2 2 4 2" xfId="3427" xr:uid="{00000000-0005-0000-0000-00000D0D0000}"/>
    <cellStyle name="60% - Accent2 2 5" xfId="3428" xr:uid="{00000000-0005-0000-0000-00000E0D0000}"/>
    <cellStyle name="60% - Accent2 2 5 2" xfId="3429" xr:uid="{00000000-0005-0000-0000-00000F0D0000}"/>
    <cellStyle name="60% - Accent2 2 6" xfId="3430" xr:uid="{00000000-0005-0000-0000-0000100D0000}"/>
    <cellStyle name="60% - Accent2 2 6 2" xfId="3431" xr:uid="{00000000-0005-0000-0000-0000110D0000}"/>
    <cellStyle name="60% - Accent2 2 7" xfId="3432" xr:uid="{00000000-0005-0000-0000-0000120D0000}"/>
    <cellStyle name="60% - Accent2 2 7 2" xfId="3433" xr:uid="{00000000-0005-0000-0000-0000130D0000}"/>
    <cellStyle name="60% - Accent2 2 8" xfId="3434" xr:uid="{00000000-0005-0000-0000-0000140D0000}"/>
    <cellStyle name="60% - Accent2 2 8 2" xfId="3435" xr:uid="{00000000-0005-0000-0000-0000150D0000}"/>
    <cellStyle name="60% - Accent2 2 9" xfId="3436" xr:uid="{00000000-0005-0000-0000-0000160D0000}"/>
    <cellStyle name="60% - Accent2 2 9 2" xfId="3437" xr:uid="{00000000-0005-0000-0000-0000170D0000}"/>
    <cellStyle name="60% - Accent2 2_Block-F LGF POur-II BBS" xfId="3438" xr:uid="{00000000-0005-0000-0000-0000180D0000}"/>
    <cellStyle name="60% - Accent2 20" xfId="3439" xr:uid="{00000000-0005-0000-0000-0000190D0000}"/>
    <cellStyle name="60% - Accent2 20 2" xfId="3440" xr:uid="{00000000-0005-0000-0000-00001A0D0000}"/>
    <cellStyle name="60% - Accent2 21" xfId="3441" xr:uid="{00000000-0005-0000-0000-00001B0D0000}"/>
    <cellStyle name="60% - Accent2 21 2" xfId="3442" xr:uid="{00000000-0005-0000-0000-00001C0D0000}"/>
    <cellStyle name="60% - Accent2 22" xfId="3443" xr:uid="{00000000-0005-0000-0000-00001D0D0000}"/>
    <cellStyle name="60% - Accent2 23" xfId="3444" xr:uid="{00000000-0005-0000-0000-00001E0D0000}"/>
    <cellStyle name="60% - Accent2 24" xfId="3445" xr:uid="{00000000-0005-0000-0000-00001F0D0000}"/>
    <cellStyle name="60% - Accent2 25" xfId="3446" xr:uid="{00000000-0005-0000-0000-0000200D0000}"/>
    <cellStyle name="60% - Accent2 26" xfId="3447" xr:uid="{00000000-0005-0000-0000-0000210D0000}"/>
    <cellStyle name="60% - Accent2 27" xfId="3448" xr:uid="{00000000-0005-0000-0000-0000220D0000}"/>
    <cellStyle name="60% - Accent2 28" xfId="3449" xr:uid="{00000000-0005-0000-0000-0000230D0000}"/>
    <cellStyle name="60% - Accent2 29" xfId="3450" xr:uid="{00000000-0005-0000-0000-0000240D0000}"/>
    <cellStyle name="60% - Accent2 3" xfId="3451" xr:uid="{00000000-0005-0000-0000-0000250D0000}"/>
    <cellStyle name="60% - Accent2 3 2" xfId="3452" xr:uid="{00000000-0005-0000-0000-0000260D0000}"/>
    <cellStyle name="60% - Accent2 3 2 2" xfId="3453" xr:uid="{00000000-0005-0000-0000-0000270D0000}"/>
    <cellStyle name="60% - Accent2 3 3" xfId="3454" xr:uid="{00000000-0005-0000-0000-0000280D0000}"/>
    <cellStyle name="60% - Accent2 3 3 2" xfId="3455" xr:uid="{00000000-0005-0000-0000-0000290D0000}"/>
    <cellStyle name="60% - Accent2 3 4" xfId="3456" xr:uid="{00000000-0005-0000-0000-00002A0D0000}"/>
    <cellStyle name="60% - Accent2 3 4 2" xfId="3457" xr:uid="{00000000-0005-0000-0000-00002B0D0000}"/>
    <cellStyle name="60% - Accent2 3 5" xfId="3458" xr:uid="{00000000-0005-0000-0000-00002C0D0000}"/>
    <cellStyle name="60% - Accent2 3 6" xfId="3459" xr:uid="{00000000-0005-0000-0000-00002D0D0000}"/>
    <cellStyle name="60% - Accent2 3 7" xfId="3460" xr:uid="{00000000-0005-0000-0000-00002E0D0000}"/>
    <cellStyle name="60% - Accent2 3 8" xfId="3461" xr:uid="{00000000-0005-0000-0000-00002F0D0000}"/>
    <cellStyle name="60% - Accent2 3_Sheet2" xfId="3462" xr:uid="{00000000-0005-0000-0000-0000300D0000}"/>
    <cellStyle name="60% - Accent2 30" xfId="3463" xr:uid="{00000000-0005-0000-0000-0000310D0000}"/>
    <cellStyle name="60% - Accent2 31" xfId="3464" xr:uid="{00000000-0005-0000-0000-0000320D0000}"/>
    <cellStyle name="60% - Accent2 32" xfId="3465" xr:uid="{00000000-0005-0000-0000-0000330D0000}"/>
    <cellStyle name="60% - Accent2 33" xfId="3466" xr:uid="{00000000-0005-0000-0000-0000340D0000}"/>
    <cellStyle name="60% - Accent2 34" xfId="3467" xr:uid="{00000000-0005-0000-0000-0000350D0000}"/>
    <cellStyle name="60% - Accent2 35" xfId="3468" xr:uid="{00000000-0005-0000-0000-0000360D0000}"/>
    <cellStyle name="60% - Accent2 36" xfId="3469" xr:uid="{00000000-0005-0000-0000-0000370D0000}"/>
    <cellStyle name="60% - Accent2 37" xfId="3470" xr:uid="{00000000-0005-0000-0000-0000380D0000}"/>
    <cellStyle name="60% - Accent2 38" xfId="3471" xr:uid="{00000000-0005-0000-0000-0000390D0000}"/>
    <cellStyle name="60% - Accent2 39" xfId="3472" xr:uid="{00000000-0005-0000-0000-00003A0D0000}"/>
    <cellStyle name="60% - Accent2 4" xfId="3473" xr:uid="{00000000-0005-0000-0000-00003B0D0000}"/>
    <cellStyle name="60% - Accent2 4 2" xfId="3474" xr:uid="{00000000-0005-0000-0000-00003C0D0000}"/>
    <cellStyle name="60% - Accent2 4 3" xfId="3475" xr:uid="{00000000-0005-0000-0000-00003D0D0000}"/>
    <cellStyle name="60% - Accent2 4 3 2" xfId="3476" xr:uid="{00000000-0005-0000-0000-00003E0D0000}"/>
    <cellStyle name="60% - Accent2 4 4" xfId="3477" xr:uid="{00000000-0005-0000-0000-00003F0D0000}"/>
    <cellStyle name="60% - Accent2 4 4 2" xfId="3478" xr:uid="{00000000-0005-0000-0000-0000400D0000}"/>
    <cellStyle name="60% - Accent2 4 5" xfId="3479" xr:uid="{00000000-0005-0000-0000-0000410D0000}"/>
    <cellStyle name="60% - Accent2 4 6" xfId="3480" xr:uid="{00000000-0005-0000-0000-0000420D0000}"/>
    <cellStyle name="60% - Accent2 4 7" xfId="3481" xr:uid="{00000000-0005-0000-0000-0000430D0000}"/>
    <cellStyle name="60% - Accent2 4 8" xfId="3482" xr:uid="{00000000-0005-0000-0000-0000440D0000}"/>
    <cellStyle name="60% - Accent2 4_Sheet2" xfId="3483" xr:uid="{00000000-0005-0000-0000-0000450D0000}"/>
    <cellStyle name="60% - Accent2 5" xfId="3484" xr:uid="{00000000-0005-0000-0000-0000460D0000}"/>
    <cellStyle name="60% - Accent2 5 2" xfId="3485" xr:uid="{00000000-0005-0000-0000-0000470D0000}"/>
    <cellStyle name="60% - Accent2 5 2 2" xfId="3486" xr:uid="{00000000-0005-0000-0000-0000480D0000}"/>
    <cellStyle name="60% - Accent2 5 3" xfId="3487" xr:uid="{00000000-0005-0000-0000-0000490D0000}"/>
    <cellStyle name="60% - Accent2 5 3 2" xfId="3488" xr:uid="{00000000-0005-0000-0000-00004A0D0000}"/>
    <cellStyle name="60% - Accent2 5 4" xfId="3489" xr:uid="{00000000-0005-0000-0000-00004B0D0000}"/>
    <cellStyle name="60% - Accent2 5 4 2" xfId="3490" xr:uid="{00000000-0005-0000-0000-00004C0D0000}"/>
    <cellStyle name="60% - Accent2 5 5" xfId="3491" xr:uid="{00000000-0005-0000-0000-00004D0D0000}"/>
    <cellStyle name="60% - Accent2 5 6" xfId="3492" xr:uid="{00000000-0005-0000-0000-00004E0D0000}"/>
    <cellStyle name="60% - Accent2 5 7" xfId="3493" xr:uid="{00000000-0005-0000-0000-00004F0D0000}"/>
    <cellStyle name="60% - Accent2 5 8" xfId="3494" xr:uid="{00000000-0005-0000-0000-0000500D0000}"/>
    <cellStyle name="60% - Accent2 5_Sheet2" xfId="3495" xr:uid="{00000000-0005-0000-0000-0000510D0000}"/>
    <cellStyle name="60% - Accent2 6" xfId="3496" xr:uid="{00000000-0005-0000-0000-0000520D0000}"/>
    <cellStyle name="60% - Accent2 6 2" xfId="3497" xr:uid="{00000000-0005-0000-0000-0000530D0000}"/>
    <cellStyle name="60% - Accent2 6 2 2" xfId="3498" xr:uid="{00000000-0005-0000-0000-0000540D0000}"/>
    <cellStyle name="60% - Accent2 6 3" xfId="3499" xr:uid="{00000000-0005-0000-0000-0000550D0000}"/>
    <cellStyle name="60% - Accent2 6 3 2" xfId="3500" xr:uid="{00000000-0005-0000-0000-0000560D0000}"/>
    <cellStyle name="60% - Accent2 6 4" xfId="3501" xr:uid="{00000000-0005-0000-0000-0000570D0000}"/>
    <cellStyle name="60% - Accent2 6 4 2" xfId="3502" xr:uid="{00000000-0005-0000-0000-0000580D0000}"/>
    <cellStyle name="60% - Accent2 6 5" xfId="3503" xr:uid="{00000000-0005-0000-0000-0000590D0000}"/>
    <cellStyle name="60% - Accent2 6 6" xfId="3504" xr:uid="{00000000-0005-0000-0000-00005A0D0000}"/>
    <cellStyle name="60% - Accent2 6 7" xfId="3505" xr:uid="{00000000-0005-0000-0000-00005B0D0000}"/>
    <cellStyle name="60% - Accent2 6 8" xfId="3506" xr:uid="{00000000-0005-0000-0000-00005C0D0000}"/>
    <cellStyle name="60% - Accent2 6_Sheet2" xfId="3507" xr:uid="{00000000-0005-0000-0000-00005D0D0000}"/>
    <cellStyle name="60% - Accent2 7" xfId="3508" xr:uid="{00000000-0005-0000-0000-00005E0D0000}"/>
    <cellStyle name="60% - Accent2 7 2" xfId="3509" xr:uid="{00000000-0005-0000-0000-00005F0D0000}"/>
    <cellStyle name="60% - Accent2 7 2 2" xfId="3510" xr:uid="{00000000-0005-0000-0000-0000600D0000}"/>
    <cellStyle name="60% - Accent2 7 3" xfId="3511" xr:uid="{00000000-0005-0000-0000-0000610D0000}"/>
    <cellStyle name="60% - Accent2 7 3 2" xfId="3512" xr:uid="{00000000-0005-0000-0000-0000620D0000}"/>
    <cellStyle name="60% - Accent2 7 4" xfId="3513" xr:uid="{00000000-0005-0000-0000-0000630D0000}"/>
    <cellStyle name="60% - Accent2 7 4 2" xfId="3514" xr:uid="{00000000-0005-0000-0000-0000640D0000}"/>
    <cellStyle name="60% - Accent2 7 5" xfId="3515" xr:uid="{00000000-0005-0000-0000-0000650D0000}"/>
    <cellStyle name="60% - Accent2 7 6" xfId="3516" xr:uid="{00000000-0005-0000-0000-0000660D0000}"/>
    <cellStyle name="60% - Accent2 7 7" xfId="3517" xr:uid="{00000000-0005-0000-0000-0000670D0000}"/>
    <cellStyle name="60% - Accent2 7 8" xfId="3518" xr:uid="{00000000-0005-0000-0000-0000680D0000}"/>
    <cellStyle name="60% - Accent2 7_Sheet2" xfId="3519" xr:uid="{00000000-0005-0000-0000-0000690D0000}"/>
    <cellStyle name="60% - Accent2 8" xfId="3520" xr:uid="{00000000-0005-0000-0000-00006A0D0000}"/>
    <cellStyle name="60% - Accent2 8 2" xfId="3521" xr:uid="{00000000-0005-0000-0000-00006B0D0000}"/>
    <cellStyle name="60% - Accent2 8 3" xfId="3522" xr:uid="{00000000-0005-0000-0000-00006C0D0000}"/>
    <cellStyle name="60% - Accent2 8 4" xfId="3523" xr:uid="{00000000-0005-0000-0000-00006D0D0000}"/>
    <cellStyle name="60% - Accent2 8 5" xfId="3524" xr:uid="{00000000-0005-0000-0000-00006E0D0000}"/>
    <cellStyle name="60% - Accent2 8 6" xfId="3525" xr:uid="{00000000-0005-0000-0000-00006F0D0000}"/>
    <cellStyle name="60% - Accent2 8 7" xfId="3526" xr:uid="{00000000-0005-0000-0000-0000700D0000}"/>
    <cellStyle name="60% - Accent2 8 8" xfId="3527" xr:uid="{00000000-0005-0000-0000-0000710D0000}"/>
    <cellStyle name="60% - Accent2 8_Sheet2" xfId="3528" xr:uid="{00000000-0005-0000-0000-0000720D0000}"/>
    <cellStyle name="60% - Accent2 9" xfId="3529" xr:uid="{00000000-0005-0000-0000-0000730D0000}"/>
    <cellStyle name="60% - Accent2 9 2" xfId="3530" xr:uid="{00000000-0005-0000-0000-0000740D0000}"/>
    <cellStyle name="60% - Accent2 9 3" xfId="3531" xr:uid="{00000000-0005-0000-0000-0000750D0000}"/>
    <cellStyle name="60% - Accent2 9 4" xfId="3532" xr:uid="{00000000-0005-0000-0000-0000760D0000}"/>
    <cellStyle name="60% - Accent2 9 5" xfId="3533" xr:uid="{00000000-0005-0000-0000-0000770D0000}"/>
    <cellStyle name="60% - Accent2 9 6" xfId="3534" xr:uid="{00000000-0005-0000-0000-0000780D0000}"/>
    <cellStyle name="60% - Accent2 9 7" xfId="3535" xr:uid="{00000000-0005-0000-0000-0000790D0000}"/>
    <cellStyle name="60% - Accent2 9 8" xfId="3536" xr:uid="{00000000-0005-0000-0000-00007A0D0000}"/>
    <cellStyle name="60% - Accent3" xfId="15" builtinId="40" customBuiltin="1"/>
    <cellStyle name="60% - Accent3 1" xfId="3537" xr:uid="{00000000-0005-0000-0000-00007C0D0000}"/>
    <cellStyle name="60% - Accent3 1 1" xfId="3538" xr:uid="{00000000-0005-0000-0000-00007D0D0000}"/>
    <cellStyle name="60% - Accent3 10" xfId="3539" xr:uid="{00000000-0005-0000-0000-00007E0D0000}"/>
    <cellStyle name="60% - Accent3 10 2" xfId="3540" xr:uid="{00000000-0005-0000-0000-00007F0D0000}"/>
    <cellStyle name="60% - Accent3 10 3" xfId="3541" xr:uid="{00000000-0005-0000-0000-0000800D0000}"/>
    <cellStyle name="60% - Accent3 10 4" xfId="3542" xr:uid="{00000000-0005-0000-0000-0000810D0000}"/>
    <cellStyle name="60% - Accent3 10 5" xfId="3543" xr:uid="{00000000-0005-0000-0000-0000820D0000}"/>
    <cellStyle name="60% - Accent3 10 6" xfId="3544" xr:uid="{00000000-0005-0000-0000-0000830D0000}"/>
    <cellStyle name="60% - Accent3 10 7" xfId="3545" xr:uid="{00000000-0005-0000-0000-0000840D0000}"/>
    <cellStyle name="60% - Accent3 10 8" xfId="3546" xr:uid="{00000000-0005-0000-0000-0000850D0000}"/>
    <cellStyle name="60% - Accent3 11" xfId="3547" xr:uid="{00000000-0005-0000-0000-0000860D0000}"/>
    <cellStyle name="60% - Accent3 11 2" xfId="3548" xr:uid="{00000000-0005-0000-0000-0000870D0000}"/>
    <cellStyle name="60% - Accent3 11 3" xfId="3549" xr:uid="{00000000-0005-0000-0000-0000880D0000}"/>
    <cellStyle name="60% - Accent3 11 4" xfId="3550" xr:uid="{00000000-0005-0000-0000-0000890D0000}"/>
    <cellStyle name="60% - Accent3 12" xfId="3551" xr:uid="{00000000-0005-0000-0000-00008A0D0000}"/>
    <cellStyle name="60% - Accent3 12 2" xfId="3552" xr:uid="{00000000-0005-0000-0000-00008B0D0000}"/>
    <cellStyle name="60% - Accent3 12 3" xfId="3553" xr:uid="{00000000-0005-0000-0000-00008C0D0000}"/>
    <cellStyle name="60% - Accent3 12 4" xfId="3554" xr:uid="{00000000-0005-0000-0000-00008D0D0000}"/>
    <cellStyle name="60% - Accent3 13" xfId="3555" xr:uid="{00000000-0005-0000-0000-00008E0D0000}"/>
    <cellStyle name="60% - Accent3 13 2" xfId="3556" xr:uid="{00000000-0005-0000-0000-00008F0D0000}"/>
    <cellStyle name="60% - Accent3 14" xfId="3557" xr:uid="{00000000-0005-0000-0000-0000900D0000}"/>
    <cellStyle name="60% - Accent3 14 2" xfId="3558" xr:uid="{00000000-0005-0000-0000-0000910D0000}"/>
    <cellStyle name="60% - Accent3 15" xfId="3559" xr:uid="{00000000-0005-0000-0000-0000920D0000}"/>
    <cellStyle name="60% - Accent3 15 2" xfId="3560" xr:uid="{00000000-0005-0000-0000-0000930D0000}"/>
    <cellStyle name="60% - Accent3 16" xfId="3561" xr:uid="{00000000-0005-0000-0000-0000940D0000}"/>
    <cellStyle name="60% - Accent3 16 2" xfId="3562" xr:uid="{00000000-0005-0000-0000-0000950D0000}"/>
    <cellStyle name="60% - Accent3 17" xfId="3563" xr:uid="{00000000-0005-0000-0000-0000960D0000}"/>
    <cellStyle name="60% - Accent3 17 2" xfId="3564" xr:uid="{00000000-0005-0000-0000-0000970D0000}"/>
    <cellStyle name="60% - Accent3 18" xfId="3565" xr:uid="{00000000-0005-0000-0000-0000980D0000}"/>
    <cellStyle name="60% - Accent3 18 2" xfId="3566" xr:uid="{00000000-0005-0000-0000-0000990D0000}"/>
    <cellStyle name="60% - Accent3 19" xfId="3567" xr:uid="{00000000-0005-0000-0000-00009A0D0000}"/>
    <cellStyle name="60% - Accent3 19 2" xfId="3568" xr:uid="{00000000-0005-0000-0000-00009B0D0000}"/>
    <cellStyle name="60% - Accent3 2" xfId="3569" xr:uid="{00000000-0005-0000-0000-00009C0D0000}"/>
    <cellStyle name="60% - Accent3 2 10" xfId="3570" xr:uid="{00000000-0005-0000-0000-00009D0D0000}"/>
    <cellStyle name="60% - Accent3 2 10 2" xfId="3571" xr:uid="{00000000-0005-0000-0000-00009E0D0000}"/>
    <cellStyle name="60% - Accent3 2 11" xfId="3572" xr:uid="{00000000-0005-0000-0000-00009F0D0000}"/>
    <cellStyle name="60% - Accent3 2 2" xfId="3573" xr:uid="{00000000-0005-0000-0000-0000A00D0000}"/>
    <cellStyle name="60% - Accent3 2 2 2" xfId="3574" xr:uid="{00000000-0005-0000-0000-0000A10D0000}"/>
    <cellStyle name="60% - Accent3 2 2 3" xfId="3575" xr:uid="{00000000-0005-0000-0000-0000A20D0000}"/>
    <cellStyle name="60% - Accent3 2 2 4" xfId="3576" xr:uid="{00000000-0005-0000-0000-0000A30D0000}"/>
    <cellStyle name="60% - Accent3 2 3" xfId="3577" xr:uid="{00000000-0005-0000-0000-0000A40D0000}"/>
    <cellStyle name="60% - Accent3 2 3 2" xfId="3578" xr:uid="{00000000-0005-0000-0000-0000A50D0000}"/>
    <cellStyle name="60% - Accent3 2 4" xfId="3579" xr:uid="{00000000-0005-0000-0000-0000A60D0000}"/>
    <cellStyle name="60% - Accent3 2 4 2" xfId="3580" xr:uid="{00000000-0005-0000-0000-0000A70D0000}"/>
    <cellStyle name="60% - Accent3 2 5" xfId="3581" xr:uid="{00000000-0005-0000-0000-0000A80D0000}"/>
    <cellStyle name="60% - Accent3 2 5 2" xfId="3582" xr:uid="{00000000-0005-0000-0000-0000A90D0000}"/>
    <cellStyle name="60% - Accent3 2 6" xfId="3583" xr:uid="{00000000-0005-0000-0000-0000AA0D0000}"/>
    <cellStyle name="60% - Accent3 2 6 2" xfId="3584" xr:uid="{00000000-0005-0000-0000-0000AB0D0000}"/>
    <cellStyle name="60% - Accent3 2 7" xfId="3585" xr:uid="{00000000-0005-0000-0000-0000AC0D0000}"/>
    <cellStyle name="60% - Accent3 2 7 2" xfId="3586" xr:uid="{00000000-0005-0000-0000-0000AD0D0000}"/>
    <cellStyle name="60% - Accent3 2 8" xfId="3587" xr:uid="{00000000-0005-0000-0000-0000AE0D0000}"/>
    <cellStyle name="60% - Accent3 2 8 2" xfId="3588" xr:uid="{00000000-0005-0000-0000-0000AF0D0000}"/>
    <cellStyle name="60% - Accent3 2 9" xfId="3589" xr:uid="{00000000-0005-0000-0000-0000B00D0000}"/>
    <cellStyle name="60% - Accent3 2 9 2" xfId="3590" xr:uid="{00000000-0005-0000-0000-0000B10D0000}"/>
    <cellStyle name="60% - Accent3 2_Block-F LGF POur-II BBS" xfId="3591" xr:uid="{00000000-0005-0000-0000-0000B20D0000}"/>
    <cellStyle name="60% - Accent3 20" xfId="3592" xr:uid="{00000000-0005-0000-0000-0000B30D0000}"/>
    <cellStyle name="60% - Accent3 20 2" xfId="3593" xr:uid="{00000000-0005-0000-0000-0000B40D0000}"/>
    <cellStyle name="60% - Accent3 21" xfId="3594" xr:uid="{00000000-0005-0000-0000-0000B50D0000}"/>
    <cellStyle name="60% - Accent3 21 2" xfId="3595" xr:uid="{00000000-0005-0000-0000-0000B60D0000}"/>
    <cellStyle name="60% - Accent3 22" xfId="3596" xr:uid="{00000000-0005-0000-0000-0000B70D0000}"/>
    <cellStyle name="60% - Accent3 23" xfId="3597" xr:uid="{00000000-0005-0000-0000-0000B80D0000}"/>
    <cellStyle name="60% - Accent3 24" xfId="3598" xr:uid="{00000000-0005-0000-0000-0000B90D0000}"/>
    <cellStyle name="60% - Accent3 25" xfId="3599" xr:uid="{00000000-0005-0000-0000-0000BA0D0000}"/>
    <cellStyle name="60% - Accent3 26" xfId="3600" xr:uid="{00000000-0005-0000-0000-0000BB0D0000}"/>
    <cellStyle name="60% - Accent3 27" xfId="3601" xr:uid="{00000000-0005-0000-0000-0000BC0D0000}"/>
    <cellStyle name="60% - Accent3 28" xfId="3602" xr:uid="{00000000-0005-0000-0000-0000BD0D0000}"/>
    <cellStyle name="60% - Accent3 29" xfId="3603" xr:uid="{00000000-0005-0000-0000-0000BE0D0000}"/>
    <cellStyle name="60% - Accent3 3" xfId="3604" xr:uid="{00000000-0005-0000-0000-0000BF0D0000}"/>
    <cellStyle name="60% - Accent3 3 2" xfId="3605" xr:uid="{00000000-0005-0000-0000-0000C00D0000}"/>
    <cellStyle name="60% - Accent3 3 2 2" xfId="3606" xr:uid="{00000000-0005-0000-0000-0000C10D0000}"/>
    <cellStyle name="60% - Accent3 3 3" xfId="3607" xr:uid="{00000000-0005-0000-0000-0000C20D0000}"/>
    <cellStyle name="60% - Accent3 3 3 2" xfId="3608" xr:uid="{00000000-0005-0000-0000-0000C30D0000}"/>
    <cellStyle name="60% - Accent3 3 4" xfId="3609" xr:uid="{00000000-0005-0000-0000-0000C40D0000}"/>
    <cellStyle name="60% - Accent3 3 4 2" xfId="3610" xr:uid="{00000000-0005-0000-0000-0000C50D0000}"/>
    <cellStyle name="60% - Accent3 3 5" xfId="3611" xr:uid="{00000000-0005-0000-0000-0000C60D0000}"/>
    <cellStyle name="60% - Accent3 3 6" xfId="3612" xr:uid="{00000000-0005-0000-0000-0000C70D0000}"/>
    <cellStyle name="60% - Accent3 3 7" xfId="3613" xr:uid="{00000000-0005-0000-0000-0000C80D0000}"/>
    <cellStyle name="60% - Accent3 3 8" xfId="3614" xr:uid="{00000000-0005-0000-0000-0000C90D0000}"/>
    <cellStyle name="60% - Accent3 3_Sheet2" xfId="3615" xr:uid="{00000000-0005-0000-0000-0000CA0D0000}"/>
    <cellStyle name="60% - Accent3 30" xfId="3616" xr:uid="{00000000-0005-0000-0000-0000CB0D0000}"/>
    <cellStyle name="60% - Accent3 31" xfId="3617" xr:uid="{00000000-0005-0000-0000-0000CC0D0000}"/>
    <cellStyle name="60% - Accent3 32" xfId="3618" xr:uid="{00000000-0005-0000-0000-0000CD0D0000}"/>
    <cellStyle name="60% - Accent3 33" xfId="3619" xr:uid="{00000000-0005-0000-0000-0000CE0D0000}"/>
    <cellStyle name="60% - Accent3 34" xfId="3620" xr:uid="{00000000-0005-0000-0000-0000CF0D0000}"/>
    <cellStyle name="60% - Accent3 35" xfId="3621" xr:uid="{00000000-0005-0000-0000-0000D00D0000}"/>
    <cellStyle name="60% - Accent3 36" xfId="3622" xr:uid="{00000000-0005-0000-0000-0000D10D0000}"/>
    <cellStyle name="60% - Accent3 37" xfId="3623" xr:uid="{00000000-0005-0000-0000-0000D20D0000}"/>
    <cellStyle name="60% - Accent3 38" xfId="3624" xr:uid="{00000000-0005-0000-0000-0000D30D0000}"/>
    <cellStyle name="60% - Accent3 39" xfId="3625" xr:uid="{00000000-0005-0000-0000-0000D40D0000}"/>
    <cellStyle name="60% - Accent3 4" xfId="3626" xr:uid="{00000000-0005-0000-0000-0000D50D0000}"/>
    <cellStyle name="60% - Accent3 4 2" xfId="3627" xr:uid="{00000000-0005-0000-0000-0000D60D0000}"/>
    <cellStyle name="60% - Accent3 4 3" xfId="3628" xr:uid="{00000000-0005-0000-0000-0000D70D0000}"/>
    <cellStyle name="60% - Accent3 4 3 2" xfId="3629" xr:uid="{00000000-0005-0000-0000-0000D80D0000}"/>
    <cellStyle name="60% - Accent3 4 4" xfId="3630" xr:uid="{00000000-0005-0000-0000-0000D90D0000}"/>
    <cellStyle name="60% - Accent3 4 4 2" xfId="3631" xr:uid="{00000000-0005-0000-0000-0000DA0D0000}"/>
    <cellStyle name="60% - Accent3 4 5" xfId="3632" xr:uid="{00000000-0005-0000-0000-0000DB0D0000}"/>
    <cellStyle name="60% - Accent3 4 6" xfId="3633" xr:uid="{00000000-0005-0000-0000-0000DC0D0000}"/>
    <cellStyle name="60% - Accent3 4 7" xfId="3634" xr:uid="{00000000-0005-0000-0000-0000DD0D0000}"/>
    <cellStyle name="60% - Accent3 4 8" xfId="3635" xr:uid="{00000000-0005-0000-0000-0000DE0D0000}"/>
    <cellStyle name="60% - Accent3 4_Sheet2" xfId="3636" xr:uid="{00000000-0005-0000-0000-0000DF0D0000}"/>
    <cellStyle name="60% - Accent3 5" xfId="3637" xr:uid="{00000000-0005-0000-0000-0000E00D0000}"/>
    <cellStyle name="60% - Accent3 5 2" xfId="3638" xr:uid="{00000000-0005-0000-0000-0000E10D0000}"/>
    <cellStyle name="60% - Accent3 5 2 2" xfId="3639" xr:uid="{00000000-0005-0000-0000-0000E20D0000}"/>
    <cellStyle name="60% - Accent3 5 3" xfId="3640" xr:uid="{00000000-0005-0000-0000-0000E30D0000}"/>
    <cellStyle name="60% - Accent3 5 3 2" xfId="3641" xr:uid="{00000000-0005-0000-0000-0000E40D0000}"/>
    <cellStyle name="60% - Accent3 5 4" xfId="3642" xr:uid="{00000000-0005-0000-0000-0000E50D0000}"/>
    <cellStyle name="60% - Accent3 5 4 2" xfId="3643" xr:uid="{00000000-0005-0000-0000-0000E60D0000}"/>
    <cellStyle name="60% - Accent3 5 5" xfId="3644" xr:uid="{00000000-0005-0000-0000-0000E70D0000}"/>
    <cellStyle name="60% - Accent3 5 6" xfId="3645" xr:uid="{00000000-0005-0000-0000-0000E80D0000}"/>
    <cellStyle name="60% - Accent3 5 7" xfId="3646" xr:uid="{00000000-0005-0000-0000-0000E90D0000}"/>
    <cellStyle name="60% - Accent3 5 8" xfId="3647" xr:uid="{00000000-0005-0000-0000-0000EA0D0000}"/>
    <cellStyle name="60% - Accent3 5_Sheet2" xfId="3648" xr:uid="{00000000-0005-0000-0000-0000EB0D0000}"/>
    <cellStyle name="60% - Accent3 6" xfId="3649" xr:uid="{00000000-0005-0000-0000-0000EC0D0000}"/>
    <cellStyle name="60% - Accent3 6 2" xfId="3650" xr:uid="{00000000-0005-0000-0000-0000ED0D0000}"/>
    <cellStyle name="60% - Accent3 6 2 2" xfId="3651" xr:uid="{00000000-0005-0000-0000-0000EE0D0000}"/>
    <cellStyle name="60% - Accent3 6 3" xfId="3652" xr:uid="{00000000-0005-0000-0000-0000EF0D0000}"/>
    <cellStyle name="60% - Accent3 6 3 2" xfId="3653" xr:uid="{00000000-0005-0000-0000-0000F00D0000}"/>
    <cellStyle name="60% - Accent3 6 4" xfId="3654" xr:uid="{00000000-0005-0000-0000-0000F10D0000}"/>
    <cellStyle name="60% - Accent3 6 4 2" xfId="3655" xr:uid="{00000000-0005-0000-0000-0000F20D0000}"/>
    <cellStyle name="60% - Accent3 6 5" xfId="3656" xr:uid="{00000000-0005-0000-0000-0000F30D0000}"/>
    <cellStyle name="60% - Accent3 6 6" xfId="3657" xr:uid="{00000000-0005-0000-0000-0000F40D0000}"/>
    <cellStyle name="60% - Accent3 6 7" xfId="3658" xr:uid="{00000000-0005-0000-0000-0000F50D0000}"/>
    <cellStyle name="60% - Accent3 6 8" xfId="3659" xr:uid="{00000000-0005-0000-0000-0000F60D0000}"/>
    <cellStyle name="60% - Accent3 6_Sheet2" xfId="3660" xr:uid="{00000000-0005-0000-0000-0000F70D0000}"/>
    <cellStyle name="60% - Accent3 7" xfId="3661" xr:uid="{00000000-0005-0000-0000-0000F80D0000}"/>
    <cellStyle name="60% - Accent3 7 2" xfId="3662" xr:uid="{00000000-0005-0000-0000-0000F90D0000}"/>
    <cellStyle name="60% - Accent3 7 2 2" xfId="3663" xr:uid="{00000000-0005-0000-0000-0000FA0D0000}"/>
    <cellStyle name="60% - Accent3 7 3" xfId="3664" xr:uid="{00000000-0005-0000-0000-0000FB0D0000}"/>
    <cellStyle name="60% - Accent3 7 3 2" xfId="3665" xr:uid="{00000000-0005-0000-0000-0000FC0D0000}"/>
    <cellStyle name="60% - Accent3 7 4" xfId="3666" xr:uid="{00000000-0005-0000-0000-0000FD0D0000}"/>
    <cellStyle name="60% - Accent3 7 4 2" xfId="3667" xr:uid="{00000000-0005-0000-0000-0000FE0D0000}"/>
    <cellStyle name="60% - Accent3 7 5" xfId="3668" xr:uid="{00000000-0005-0000-0000-0000FF0D0000}"/>
    <cellStyle name="60% - Accent3 7 6" xfId="3669" xr:uid="{00000000-0005-0000-0000-0000000E0000}"/>
    <cellStyle name="60% - Accent3 7 7" xfId="3670" xr:uid="{00000000-0005-0000-0000-0000010E0000}"/>
    <cellStyle name="60% - Accent3 7 8" xfId="3671" xr:uid="{00000000-0005-0000-0000-0000020E0000}"/>
    <cellStyle name="60% - Accent3 7_Sheet2" xfId="3672" xr:uid="{00000000-0005-0000-0000-0000030E0000}"/>
    <cellStyle name="60% - Accent3 8" xfId="3673" xr:uid="{00000000-0005-0000-0000-0000040E0000}"/>
    <cellStyle name="60% - Accent3 8 2" xfId="3674" xr:uid="{00000000-0005-0000-0000-0000050E0000}"/>
    <cellStyle name="60% - Accent3 8 3" xfId="3675" xr:uid="{00000000-0005-0000-0000-0000060E0000}"/>
    <cellStyle name="60% - Accent3 8 4" xfId="3676" xr:uid="{00000000-0005-0000-0000-0000070E0000}"/>
    <cellStyle name="60% - Accent3 8 5" xfId="3677" xr:uid="{00000000-0005-0000-0000-0000080E0000}"/>
    <cellStyle name="60% - Accent3 8 6" xfId="3678" xr:uid="{00000000-0005-0000-0000-0000090E0000}"/>
    <cellStyle name="60% - Accent3 8 7" xfId="3679" xr:uid="{00000000-0005-0000-0000-00000A0E0000}"/>
    <cellStyle name="60% - Accent3 8 8" xfId="3680" xr:uid="{00000000-0005-0000-0000-00000B0E0000}"/>
    <cellStyle name="60% - Accent3 8_Sheet2" xfId="3681" xr:uid="{00000000-0005-0000-0000-00000C0E0000}"/>
    <cellStyle name="60% - Accent3 9" xfId="3682" xr:uid="{00000000-0005-0000-0000-00000D0E0000}"/>
    <cellStyle name="60% - Accent3 9 2" xfId="3683" xr:uid="{00000000-0005-0000-0000-00000E0E0000}"/>
    <cellStyle name="60% - Accent3 9 3" xfId="3684" xr:uid="{00000000-0005-0000-0000-00000F0E0000}"/>
    <cellStyle name="60% - Accent3 9 4" xfId="3685" xr:uid="{00000000-0005-0000-0000-0000100E0000}"/>
    <cellStyle name="60% - Accent3 9 5" xfId="3686" xr:uid="{00000000-0005-0000-0000-0000110E0000}"/>
    <cellStyle name="60% - Accent3 9 6" xfId="3687" xr:uid="{00000000-0005-0000-0000-0000120E0000}"/>
    <cellStyle name="60% - Accent3 9 7" xfId="3688" xr:uid="{00000000-0005-0000-0000-0000130E0000}"/>
    <cellStyle name="60% - Accent3 9 8" xfId="3689" xr:uid="{00000000-0005-0000-0000-0000140E0000}"/>
    <cellStyle name="60% - Accent4" xfId="16" builtinId="44" customBuiltin="1"/>
    <cellStyle name="60% - Accent4 1" xfId="3690" xr:uid="{00000000-0005-0000-0000-0000160E0000}"/>
    <cellStyle name="60% - Accent4 1 1" xfId="3691" xr:uid="{00000000-0005-0000-0000-0000170E0000}"/>
    <cellStyle name="60% - Accent4 10" xfId="3692" xr:uid="{00000000-0005-0000-0000-0000180E0000}"/>
    <cellStyle name="60% - Accent4 10 2" xfId="3693" xr:uid="{00000000-0005-0000-0000-0000190E0000}"/>
    <cellStyle name="60% - Accent4 10 3" xfId="3694" xr:uid="{00000000-0005-0000-0000-00001A0E0000}"/>
    <cellStyle name="60% - Accent4 10 4" xfId="3695" xr:uid="{00000000-0005-0000-0000-00001B0E0000}"/>
    <cellStyle name="60% - Accent4 10 5" xfId="3696" xr:uid="{00000000-0005-0000-0000-00001C0E0000}"/>
    <cellStyle name="60% - Accent4 10 6" xfId="3697" xr:uid="{00000000-0005-0000-0000-00001D0E0000}"/>
    <cellStyle name="60% - Accent4 10 7" xfId="3698" xr:uid="{00000000-0005-0000-0000-00001E0E0000}"/>
    <cellStyle name="60% - Accent4 10 8" xfId="3699" xr:uid="{00000000-0005-0000-0000-00001F0E0000}"/>
    <cellStyle name="60% - Accent4 11" xfId="3700" xr:uid="{00000000-0005-0000-0000-0000200E0000}"/>
    <cellStyle name="60% - Accent4 11 2" xfId="3701" xr:uid="{00000000-0005-0000-0000-0000210E0000}"/>
    <cellStyle name="60% - Accent4 11 3" xfId="3702" xr:uid="{00000000-0005-0000-0000-0000220E0000}"/>
    <cellStyle name="60% - Accent4 11 4" xfId="3703" xr:uid="{00000000-0005-0000-0000-0000230E0000}"/>
    <cellStyle name="60% - Accent4 12" xfId="3704" xr:uid="{00000000-0005-0000-0000-0000240E0000}"/>
    <cellStyle name="60% - Accent4 12 2" xfId="3705" xr:uid="{00000000-0005-0000-0000-0000250E0000}"/>
    <cellStyle name="60% - Accent4 12 3" xfId="3706" xr:uid="{00000000-0005-0000-0000-0000260E0000}"/>
    <cellStyle name="60% - Accent4 12 4" xfId="3707" xr:uid="{00000000-0005-0000-0000-0000270E0000}"/>
    <cellStyle name="60% - Accent4 13" xfId="3708" xr:uid="{00000000-0005-0000-0000-0000280E0000}"/>
    <cellStyle name="60% - Accent4 13 2" xfId="3709" xr:uid="{00000000-0005-0000-0000-0000290E0000}"/>
    <cellStyle name="60% - Accent4 14" xfId="3710" xr:uid="{00000000-0005-0000-0000-00002A0E0000}"/>
    <cellStyle name="60% - Accent4 14 2" xfId="3711" xr:uid="{00000000-0005-0000-0000-00002B0E0000}"/>
    <cellStyle name="60% - Accent4 15" xfId="3712" xr:uid="{00000000-0005-0000-0000-00002C0E0000}"/>
    <cellStyle name="60% - Accent4 15 2" xfId="3713" xr:uid="{00000000-0005-0000-0000-00002D0E0000}"/>
    <cellStyle name="60% - Accent4 16" xfId="3714" xr:uid="{00000000-0005-0000-0000-00002E0E0000}"/>
    <cellStyle name="60% - Accent4 16 2" xfId="3715" xr:uid="{00000000-0005-0000-0000-00002F0E0000}"/>
    <cellStyle name="60% - Accent4 17" xfId="3716" xr:uid="{00000000-0005-0000-0000-0000300E0000}"/>
    <cellStyle name="60% - Accent4 17 2" xfId="3717" xr:uid="{00000000-0005-0000-0000-0000310E0000}"/>
    <cellStyle name="60% - Accent4 18" xfId="3718" xr:uid="{00000000-0005-0000-0000-0000320E0000}"/>
    <cellStyle name="60% - Accent4 18 2" xfId="3719" xr:uid="{00000000-0005-0000-0000-0000330E0000}"/>
    <cellStyle name="60% - Accent4 19" xfId="3720" xr:uid="{00000000-0005-0000-0000-0000340E0000}"/>
    <cellStyle name="60% - Accent4 19 2" xfId="3721" xr:uid="{00000000-0005-0000-0000-0000350E0000}"/>
    <cellStyle name="60% - Accent4 2" xfId="3722" xr:uid="{00000000-0005-0000-0000-0000360E0000}"/>
    <cellStyle name="60% - Accent4 2 10" xfId="3723" xr:uid="{00000000-0005-0000-0000-0000370E0000}"/>
    <cellStyle name="60% - Accent4 2 10 2" xfId="3724" xr:uid="{00000000-0005-0000-0000-0000380E0000}"/>
    <cellStyle name="60% - Accent4 2 11" xfId="3725" xr:uid="{00000000-0005-0000-0000-0000390E0000}"/>
    <cellStyle name="60% - Accent4 2 2" xfId="3726" xr:uid="{00000000-0005-0000-0000-00003A0E0000}"/>
    <cellStyle name="60% - Accent4 2 2 2" xfId="3727" xr:uid="{00000000-0005-0000-0000-00003B0E0000}"/>
    <cellStyle name="60% - Accent4 2 2 3" xfId="3728" xr:uid="{00000000-0005-0000-0000-00003C0E0000}"/>
    <cellStyle name="60% - Accent4 2 2 4" xfId="3729" xr:uid="{00000000-0005-0000-0000-00003D0E0000}"/>
    <cellStyle name="60% - Accent4 2 3" xfId="3730" xr:uid="{00000000-0005-0000-0000-00003E0E0000}"/>
    <cellStyle name="60% - Accent4 2 3 2" xfId="3731" xr:uid="{00000000-0005-0000-0000-00003F0E0000}"/>
    <cellStyle name="60% - Accent4 2 4" xfId="3732" xr:uid="{00000000-0005-0000-0000-0000400E0000}"/>
    <cellStyle name="60% - Accent4 2 4 2" xfId="3733" xr:uid="{00000000-0005-0000-0000-0000410E0000}"/>
    <cellStyle name="60% - Accent4 2 5" xfId="3734" xr:uid="{00000000-0005-0000-0000-0000420E0000}"/>
    <cellStyle name="60% - Accent4 2 5 2" xfId="3735" xr:uid="{00000000-0005-0000-0000-0000430E0000}"/>
    <cellStyle name="60% - Accent4 2 6" xfId="3736" xr:uid="{00000000-0005-0000-0000-0000440E0000}"/>
    <cellStyle name="60% - Accent4 2 6 2" xfId="3737" xr:uid="{00000000-0005-0000-0000-0000450E0000}"/>
    <cellStyle name="60% - Accent4 2 7" xfId="3738" xr:uid="{00000000-0005-0000-0000-0000460E0000}"/>
    <cellStyle name="60% - Accent4 2 7 2" xfId="3739" xr:uid="{00000000-0005-0000-0000-0000470E0000}"/>
    <cellStyle name="60% - Accent4 2 8" xfId="3740" xr:uid="{00000000-0005-0000-0000-0000480E0000}"/>
    <cellStyle name="60% - Accent4 2 8 2" xfId="3741" xr:uid="{00000000-0005-0000-0000-0000490E0000}"/>
    <cellStyle name="60% - Accent4 2 9" xfId="3742" xr:uid="{00000000-0005-0000-0000-00004A0E0000}"/>
    <cellStyle name="60% - Accent4 2 9 2" xfId="3743" xr:uid="{00000000-0005-0000-0000-00004B0E0000}"/>
    <cellStyle name="60% - Accent4 2_Block-F LGF POur-II BBS" xfId="3744" xr:uid="{00000000-0005-0000-0000-00004C0E0000}"/>
    <cellStyle name="60% - Accent4 20" xfId="3745" xr:uid="{00000000-0005-0000-0000-00004D0E0000}"/>
    <cellStyle name="60% - Accent4 20 2" xfId="3746" xr:uid="{00000000-0005-0000-0000-00004E0E0000}"/>
    <cellStyle name="60% - Accent4 21" xfId="3747" xr:uid="{00000000-0005-0000-0000-00004F0E0000}"/>
    <cellStyle name="60% - Accent4 21 2" xfId="3748" xr:uid="{00000000-0005-0000-0000-0000500E0000}"/>
    <cellStyle name="60% - Accent4 22" xfId="3749" xr:uid="{00000000-0005-0000-0000-0000510E0000}"/>
    <cellStyle name="60% - Accent4 23" xfId="3750" xr:uid="{00000000-0005-0000-0000-0000520E0000}"/>
    <cellStyle name="60% - Accent4 24" xfId="3751" xr:uid="{00000000-0005-0000-0000-0000530E0000}"/>
    <cellStyle name="60% - Accent4 25" xfId="3752" xr:uid="{00000000-0005-0000-0000-0000540E0000}"/>
    <cellStyle name="60% - Accent4 26" xfId="3753" xr:uid="{00000000-0005-0000-0000-0000550E0000}"/>
    <cellStyle name="60% - Accent4 27" xfId="3754" xr:uid="{00000000-0005-0000-0000-0000560E0000}"/>
    <cellStyle name="60% - Accent4 28" xfId="3755" xr:uid="{00000000-0005-0000-0000-0000570E0000}"/>
    <cellStyle name="60% - Accent4 29" xfId="3756" xr:uid="{00000000-0005-0000-0000-0000580E0000}"/>
    <cellStyle name="60% - Accent4 3" xfId="3757" xr:uid="{00000000-0005-0000-0000-0000590E0000}"/>
    <cellStyle name="60% - Accent4 3 2" xfId="3758" xr:uid="{00000000-0005-0000-0000-00005A0E0000}"/>
    <cellStyle name="60% - Accent4 3 2 2" xfId="3759" xr:uid="{00000000-0005-0000-0000-00005B0E0000}"/>
    <cellStyle name="60% - Accent4 3 3" xfId="3760" xr:uid="{00000000-0005-0000-0000-00005C0E0000}"/>
    <cellStyle name="60% - Accent4 3 3 2" xfId="3761" xr:uid="{00000000-0005-0000-0000-00005D0E0000}"/>
    <cellStyle name="60% - Accent4 3 4" xfId="3762" xr:uid="{00000000-0005-0000-0000-00005E0E0000}"/>
    <cellStyle name="60% - Accent4 3 4 2" xfId="3763" xr:uid="{00000000-0005-0000-0000-00005F0E0000}"/>
    <cellStyle name="60% - Accent4 3 5" xfId="3764" xr:uid="{00000000-0005-0000-0000-0000600E0000}"/>
    <cellStyle name="60% - Accent4 3 6" xfId="3765" xr:uid="{00000000-0005-0000-0000-0000610E0000}"/>
    <cellStyle name="60% - Accent4 3 7" xfId="3766" xr:uid="{00000000-0005-0000-0000-0000620E0000}"/>
    <cellStyle name="60% - Accent4 3 8" xfId="3767" xr:uid="{00000000-0005-0000-0000-0000630E0000}"/>
    <cellStyle name="60% - Accent4 3_Sheet2" xfId="3768" xr:uid="{00000000-0005-0000-0000-0000640E0000}"/>
    <cellStyle name="60% - Accent4 30" xfId="3769" xr:uid="{00000000-0005-0000-0000-0000650E0000}"/>
    <cellStyle name="60% - Accent4 31" xfId="3770" xr:uid="{00000000-0005-0000-0000-0000660E0000}"/>
    <cellStyle name="60% - Accent4 32" xfId="3771" xr:uid="{00000000-0005-0000-0000-0000670E0000}"/>
    <cellStyle name="60% - Accent4 33" xfId="3772" xr:uid="{00000000-0005-0000-0000-0000680E0000}"/>
    <cellStyle name="60% - Accent4 34" xfId="3773" xr:uid="{00000000-0005-0000-0000-0000690E0000}"/>
    <cellStyle name="60% - Accent4 35" xfId="3774" xr:uid="{00000000-0005-0000-0000-00006A0E0000}"/>
    <cellStyle name="60% - Accent4 36" xfId="3775" xr:uid="{00000000-0005-0000-0000-00006B0E0000}"/>
    <cellStyle name="60% - Accent4 37" xfId="3776" xr:uid="{00000000-0005-0000-0000-00006C0E0000}"/>
    <cellStyle name="60% - Accent4 38" xfId="3777" xr:uid="{00000000-0005-0000-0000-00006D0E0000}"/>
    <cellStyle name="60% - Accent4 39" xfId="3778" xr:uid="{00000000-0005-0000-0000-00006E0E0000}"/>
    <cellStyle name="60% - Accent4 4" xfId="3779" xr:uid="{00000000-0005-0000-0000-00006F0E0000}"/>
    <cellStyle name="60% - Accent4 4 2" xfId="3780" xr:uid="{00000000-0005-0000-0000-0000700E0000}"/>
    <cellStyle name="60% - Accent4 4 3" xfId="3781" xr:uid="{00000000-0005-0000-0000-0000710E0000}"/>
    <cellStyle name="60% - Accent4 4 3 2" xfId="3782" xr:uid="{00000000-0005-0000-0000-0000720E0000}"/>
    <cellStyle name="60% - Accent4 4 4" xfId="3783" xr:uid="{00000000-0005-0000-0000-0000730E0000}"/>
    <cellStyle name="60% - Accent4 4 4 2" xfId="3784" xr:uid="{00000000-0005-0000-0000-0000740E0000}"/>
    <cellStyle name="60% - Accent4 4 5" xfId="3785" xr:uid="{00000000-0005-0000-0000-0000750E0000}"/>
    <cellStyle name="60% - Accent4 4 6" xfId="3786" xr:uid="{00000000-0005-0000-0000-0000760E0000}"/>
    <cellStyle name="60% - Accent4 4 7" xfId="3787" xr:uid="{00000000-0005-0000-0000-0000770E0000}"/>
    <cellStyle name="60% - Accent4 4 8" xfId="3788" xr:uid="{00000000-0005-0000-0000-0000780E0000}"/>
    <cellStyle name="60% - Accent4 4_Sheet2" xfId="3789" xr:uid="{00000000-0005-0000-0000-0000790E0000}"/>
    <cellStyle name="60% - Accent4 5" xfId="3790" xr:uid="{00000000-0005-0000-0000-00007A0E0000}"/>
    <cellStyle name="60% - Accent4 5 2" xfId="3791" xr:uid="{00000000-0005-0000-0000-00007B0E0000}"/>
    <cellStyle name="60% - Accent4 5 2 2" xfId="3792" xr:uid="{00000000-0005-0000-0000-00007C0E0000}"/>
    <cellStyle name="60% - Accent4 5 3" xfId="3793" xr:uid="{00000000-0005-0000-0000-00007D0E0000}"/>
    <cellStyle name="60% - Accent4 5 3 2" xfId="3794" xr:uid="{00000000-0005-0000-0000-00007E0E0000}"/>
    <cellStyle name="60% - Accent4 5 4" xfId="3795" xr:uid="{00000000-0005-0000-0000-00007F0E0000}"/>
    <cellStyle name="60% - Accent4 5 4 2" xfId="3796" xr:uid="{00000000-0005-0000-0000-0000800E0000}"/>
    <cellStyle name="60% - Accent4 5 5" xfId="3797" xr:uid="{00000000-0005-0000-0000-0000810E0000}"/>
    <cellStyle name="60% - Accent4 5 6" xfId="3798" xr:uid="{00000000-0005-0000-0000-0000820E0000}"/>
    <cellStyle name="60% - Accent4 5 7" xfId="3799" xr:uid="{00000000-0005-0000-0000-0000830E0000}"/>
    <cellStyle name="60% - Accent4 5 8" xfId="3800" xr:uid="{00000000-0005-0000-0000-0000840E0000}"/>
    <cellStyle name="60% - Accent4 5_Sheet2" xfId="3801" xr:uid="{00000000-0005-0000-0000-0000850E0000}"/>
    <cellStyle name="60% - Accent4 6" xfId="3802" xr:uid="{00000000-0005-0000-0000-0000860E0000}"/>
    <cellStyle name="60% - Accent4 6 2" xfId="3803" xr:uid="{00000000-0005-0000-0000-0000870E0000}"/>
    <cellStyle name="60% - Accent4 6 2 2" xfId="3804" xr:uid="{00000000-0005-0000-0000-0000880E0000}"/>
    <cellStyle name="60% - Accent4 6 3" xfId="3805" xr:uid="{00000000-0005-0000-0000-0000890E0000}"/>
    <cellStyle name="60% - Accent4 6 3 2" xfId="3806" xr:uid="{00000000-0005-0000-0000-00008A0E0000}"/>
    <cellStyle name="60% - Accent4 6 4" xfId="3807" xr:uid="{00000000-0005-0000-0000-00008B0E0000}"/>
    <cellStyle name="60% - Accent4 6 4 2" xfId="3808" xr:uid="{00000000-0005-0000-0000-00008C0E0000}"/>
    <cellStyle name="60% - Accent4 6 5" xfId="3809" xr:uid="{00000000-0005-0000-0000-00008D0E0000}"/>
    <cellStyle name="60% - Accent4 6 6" xfId="3810" xr:uid="{00000000-0005-0000-0000-00008E0E0000}"/>
    <cellStyle name="60% - Accent4 6 7" xfId="3811" xr:uid="{00000000-0005-0000-0000-00008F0E0000}"/>
    <cellStyle name="60% - Accent4 6 8" xfId="3812" xr:uid="{00000000-0005-0000-0000-0000900E0000}"/>
    <cellStyle name="60% - Accent4 6_Sheet2" xfId="3813" xr:uid="{00000000-0005-0000-0000-0000910E0000}"/>
    <cellStyle name="60% - Accent4 7" xfId="3814" xr:uid="{00000000-0005-0000-0000-0000920E0000}"/>
    <cellStyle name="60% - Accent4 7 2" xfId="3815" xr:uid="{00000000-0005-0000-0000-0000930E0000}"/>
    <cellStyle name="60% - Accent4 7 2 2" xfId="3816" xr:uid="{00000000-0005-0000-0000-0000940E0000}"/>
    <cellStyle name="60% - Accent4 7 3" xfId="3817" xr:uid="{00000000-0005-0000-0000-0000950E0000}"/>
    <cellStyle name="60% - Accent4 7 3 2" xfId="3818" xr:uid="{00000000-0005-0000-0000-0000960E0000}"/>
    <cellStyle name="60% - Accent4 7 4" xfId="3819" xr:uid="{00000000-0005-0000-0000-0000970E0000}"/>
    <cellStyle name="60% - Accent4 7 4 2" xfId="3820" xr:uid="{00000000-0005-0000-0000-0000980E0000}"/>
    <cellStyle name="60% - Accent4 7 5" xfId="3821" xr:uid="{00000000-0005-0000-0000-0000990E0000}"/>
    <cellStyle name="60% - Accent4 7 6" xfId="3822" xr:uid="{00000000-0005-0000-0000-00009A0E0000}"/>
    <cellStyle name="60% - Accent4 7 7" xfId="3823" xr:uid="{00000000-0005-0000-0000-00009B0E0000}"/>
    <cellStyle name="60% - Accent4 7 8" xfId="3824" xr:uid="{00000000-0005-0000-0000-00009C0E0000}"/>
    <cellStyle name="60% - Accent4 7_Sheet2" xfId="3825" xr:uid="{00000000-0005-0000-0000-00009D0E0000}"/>
    <cellStyle name="60% - Accent4 8" xfId="3826" xr:uid="{00000000-0005-0000-0000-00009E0E0000}"/>
    <cellStyle name="60% - Accent4 8 2" xfId="3827" xr:uid="{00000000-0005-0000-0000-00009F0E0000}"/>
    <cellStyle name="60% - Accent4 8 3" xfId="3828" xr:uid="{00000000-0005-0000-0000-0000A00E0000}"/>
    <cellStyle name="60% - Accent4 8 4" xfId="3829" xr:uid="{00000000-0005-0000-0000-0000A10E0000}"/>
    <cellStyle name="60% - Accent4 8 5" xfId="3830" xr:uid="{00000000-0005-0000-0000-0000A20E0000}"/>
    <cellStyle name="60% - Accent4 8 6" xfId="3831" xr:uid="{00000000-0005-0000-0000-0000A30E0000}"/>
    <cellStyle name="60% - Accent4 8 7" xfId="3832" xr:uid="{00000000-0005-0000-0000-0000A40E0000}"/>
    <cellStyle name="60% - Accent4 8 8" xfId="3833" xr:uid="{00000000-0005-0000-0000-0000A50E0000}"/>
    <cellStyle name="60% - Accent4 8_Sheet2" xfId="3834" xr:uid="{00000000-0005-0000-0000-0000A60E0000}"/>
    <cellStyle name="60% - Accent4 9" xfId="3835" xr:uid="{00000000-0005-0000-0000-0000A70E0000}"/>
    <cellStyle name="60% - Accent4 9 2" xfId="3836" xr:uid="{00000000-0005-0000-0000-0000A80E0000}"/>
    <cellStyle name="60% - Accent4 9 3" xfId="3837" xr:uid="{00000000-0005-0000-0000-0000A90E0000}"/>
    <cellStyle name="60% - Accent4 9 4" xfId="3838" xr:uid="{00000000-0005-0000-0000-0000AA0E0000}"/>
    <cellStyle name="60% - Accent4 9 5" xfId="3839" xr:uid="{00000000-0005-0000-0000-0000AB0E0000}"/>
    <cellStyle name="60% - Accent4 9 6" xfId="3840" xr:uid="{00000000-0005-0000-0000-0000AC0E0000}"/>
    <cellStyle name="60% - Accent4 9 7" xfId="3841" xr:uid="{00000000-0005-0000-0000-0000AD0E0000}"/>
    <cellStyle name="60% - Accent4 9 8" xfId="3842" xr:uid="{00000000-0005-0000-0000-0000AE0E0000}"/>
    <cellStyle name="60% - Accent5" xfId="17" builtinId="48" customBuiltin="1"/>
    <cellStyle name="60% - Accent5 1" xfId="3843" xr:uid="{00000000-0005-0000-0000-0000B00E0000}"/>
    <cellStyle name="60% - Accent5 1 1" xfId="3844" xr:uid="{00000000-0005-0000-0000-0000B10E0000}"/>
    <cellStyle name="60% - Accent5 10" xfId="3845" xr:uid="{00000000-0005-0000-0000-0000B20E0000}"/>
    <cellStyle name="60% - Accent5 10 2" xfId="3846" xr:uid="{00000000-0005-0000-0000-0000B30E0000}"/>
    <cellStyle name="60% - Accent5 10 3" xfId="3847" xr:uid="{00000000-0005-0000-0000-0000B40E0000}"/>
    <cellStyle name="60% - Accent5 10 4" xfId="3848" xr:uid="{00000000-0005-0000-0000-0000B50E0000}"/>
    <cellStyle name="60% - Accent5 10 5" xfId="3849" xr:uid="{00000000-0005-0000-0000-0000B60E0000}"/>
    <cellStyle name="60% - Accent5 10 6" xfId="3850" xr:uid="{00000000-0005-0000-0000-0000B70E0000}"/>
    <cellStyle name="60% - Accent5 10 7" xfId="3851" xr:uid="{00000000-0005-0000-0000-0000B80E0000}"/>
    <cellStyle name="60% - Accent5 10 8" xfId="3852" xr:uid="{00000000-0005-0000-0000-0000B90E0000}"/>
    <cellStyle name="60% - Accent5 11" xfId="3853" xr:uid="{00000000-0005-0000-0000-0000BA0E0000}"/>
    <cellStyle name="60% - Accent5 11 2" xfId="3854" xr:uid="{00000000-0005-0000-0000-0000BB0E0000}"/>
    <cellStyle name="60% - Accent5 11 3" xfId="3855" xr:uid="{00000000-0005-0000-0000-0000BC0E0000}"/>
    <cellStyle name="60% - Accent5 11 4" xfId="3856" xr:uid="{00000000-0005-0000-0000-0000BD0E0000}"/>
    <cellStyle name="60% - Accent5 12" xfId="3857" xr:uid="{00000000-0005-0000-0000-0000BE0E0000}"/>
    <cellStyle name="60% - Accent5 12 2" xfId="3858" xr:uid="{00000000-0005-0000-0000-0000BF0E0000}"/>
    <cellStyle name="60% - Accent5 12 3" xfId="3859" xr:uid="{00000000-0005-0000-0000-0000C00E0000}"/>
    <cellStyle name="60% - Accent5 12 4" xfId="3860" xr:uid="{00000000-0005-0000-0000-0000C10E0000}"/>
    <cellStyle name="60% - Accent5 13" xfId="3861" xr:uid="{00000000-0005-0000-0000-0000C20E0000}"/>
    <cellStyle name="60% - Accent5 13 2" xfId="3862" xr:uid="{00000000-0005-0000-0000-0000C30E0000}"/>
    <cellStyle name="60% - Accent5 14" xfId="3863" xr:uid="{00000000-0005-0000-0000-0000C40E0000}"/>
    <cellStyle name="60% - Accent5 14 2" xfId="3864" xr:uid="{00000000-0005-0000-0000-0000C50E0000}"/>
    <cellStyle name="60% - Accent5 15" xfId="3865" xr:uid="{00000000-0005-0000-0000-0000C60E0000}"/>
    <cellStyle name="60% - Accent5 15 2" xfId="3866" xr:uid="{00000000-0005-0000-0000-0000C70E0000}"/>
    <cellStyle name="60% - Accent5 16" xfId="3867" xr:uid="{00000000-0005-0000-0000-0000C80E0000}"/>
    <cellStyle name="60% - Accent5 16 2" xfId="3868" xr:uid="{00000000-0005-0000-0000-0000C90E0000}"/>
    <cellStyle name="60% - Accent5 17" xfId="3869" xr:uid="{00000000-0005-0000-0000-0000CA0E0000}"/>
    <cellStyle name="60% - Accent5 17 2" xfId="3870" xr:uid="{00000000-0005-0000-0000-0000CB0E0000}"/>
    <cellStyle name="60% - Accent5 18" xfId="3871" xr:uid="{00000000-0005-0000-0000-0000CC0E0000}"/>
    <cellStyle name="60% - Accent5 18 2" xfId="3872" xr:uid="{00000000-0005-0000-0000-0000CD0E0000}"/>
    <cellStyle name="60% - Accent5 19" xfId="3873" xr:uid="{00000000-0005-0000-0000-0000CE0E0000}"/>
    <cellStyle name="60% - Accent5 19 2" xfId="3874" xr:uid="{00000000-0005-0000-0000-0000CF0E0000}"/>
    <cellStyle name="60% - Accent5 2" xfId="3875" xr:uid="{00000000-0005-0000-0000-0000D00E0000}"/>
    <cellStyle name="60% - Accent5 2 10" xfId="3876" xr:uid="{00000000-0005-0000-0000-0000D10E0000}"/>
    <cellStyle name="60% - Accent5 2 10 2" xfId="3877" xr:uid="{00000000-0005-0000-0000-0000D20E0000}"/>
    <cellStyle name="60% - Accent5 2 11" xfId="3878" xr:uid="{00000000-0005-0000-0000-0000D30E0000}"/>
    <cellStyle name="60% - Accent5 2 2" xfId="3879" xr:uid="{00000000-0005-0000-0000-0000D40E0000}"/>
    <cellStyle name="60% - Accent5 2 2 2" xfId="3880" xr:uid="{00000000-0005-0000-0000-0000D50E0000}"/>
    <cellStyle name="60% - Accent5 2 2 3" xfId="3881" xr:uid="{00000000-0005-0000-0000-0000D60E0000}"/>
    <cellStyle name="60% - Accent5 2 2 4" xfId="3882" xr:uid="{00000000-0005-0000-0000-0000D70E0000}"/>
    <cellStyle name="60% - Accent5 2 3" xfId="3883" xr:uid="{00000000-0005-0000-0000-0000D80E0000}"/>
    <cellStyle name="60% - Accent5 2 3 2" xfId="3884" xr:uid="{00000000-0005-0000-0000-0000D90E0000}"/>
    <cellStyle name="60% - Accent5 2 4" xfId="3885" xr:uid="{00000000-0005-0000-0000-0000DA0E0000}"/>
    <cellStyle name="60% - Accent5 2 4 2" xfId="3886" xr:uid="{00000000-0005-0000-0000-0000DB0E0000}"/>
    <cellStyle name="60% - Accent5 2 5" xfId="3887" xr:uid="{00000000-0005-0000-0000-0000DC0E0000}"/>
    <cellStyle name="60% - Accent5 2 5 2" xfId="3888" xr:uid="{00000000-0005-0000-0000-0000DD0E0000}"/>
    <cellStyle name="60% - Accent5 2 6" xfId="3889" xr:uid="{00000000-0005-0000-0000-0000DE0E0000}"/>
    <cellStyle name="60% - Accent5 2 6 2" xfId="3890" xr:uid="{00000000-0005-0000-0000-0000DF0E0000}"/>
    <cellStyle name="60% - Accent5 2 7" xfId="3891" xr:uid="{00000000-0005-0000-0000-0000E00E0000}"/>
    <cellStyle name="60% - Accent5 2 7 2" xfId="3892" xr:uid="{00000000-0005-0000-0000-0000E10E0000}"/>
    <cellStyle name="60% - Accent5 2 8" xfId="3893" xr:uid="{00000000-0005-0000-0000-0000E20E0000}"/>
    <cellStyle name="60% - Accent5 2 8 2" xfId="3894" xr:uid="{00000000-0005-0000-0000-0000E30E0000}"/>
    <cellStyle name="60% - Accent5 2 9" xfId="3895" xr:uid="{00000000-0005-0000-0000-0000E40E0000}"/>
    <cellStyle name="60% - Accent5 2 9 2" xfId="3896" xr:uid="{00000000-0005-0000-0000-0000E50E0000}"/>
    <cellStyle name="60% - Accent5 2_Block-F LGF POur-II BBS" xfId="3897" xr:uid="{00000000-0005-0000-0000-0000E60E0000}"/>
    <cellStyle name="60% - Accent5 20" xfId="3898" xr:uid="{00000000-0005-0000-0000-0000E70E0000}"/>
    <cellStyle name="60% - Accent5 20 2" xfId="3899" xr:uid="{00000000-0005-0000-0000-0000E80E0000}"/>
    <cellStyle name="60% - Accent5 21" xfId="3900" xr:uid="{00000000-0005-0000-0000-0000E90E0000}"/>
    <cellStyle name="60% - Accent5 21 2" xfId="3901" xr:uid="{00000000-0005-0000-0000-0000EA0E0000}"/>
    <cellStyle name="60% - Accent5 22" xfId="3902" xr:uid="{00000000-0005-0000-0000-0000EB0E0000}"/>
    <cellStyle name="60% - Accent5 23" xfId="3903" xr:uid="{00000000-0005-0000-0000-0000EC0E0000}"/>
    <cellStyle name="60% - Accent5 24" xfId="3904" xr:uid="{00000000-0005-0000-0000-0000ED0E0000}"/>
    <cellStyle name="60% - Accent5 25" xfId="3905" xr:uid="{00000000-0005-0000-0000-0000EE0E0000}"/>
    <cellStyle name="60% - Accent5 26" xfId="3906" xr:uid="{00000000-0005-0000-0000-0000EF0E0000}"/>
    <cellStyle name="60% - Accent5 27" xfId="3907" xr:uid="{00000000-0005-0000-0000-0000F00E0000}"/>
    <cellStyle name="60% - Accent5 28" xfId="3908" xr:uid="{00000000-0005-0000-0000-0000F10E0000}"/>
    <cellStyle name="60% - Accent5 29" xfId="3909" xr:uid="{00000000-0005-0000-0000-0000F20E0000}"/>
    <cellStyle name="60% - Accent5 3" xfId="3910" xr:uid="{00000000-0005-0000-0000-0000F30E0000}"/>
    <cellStyle name="60% - Accent5 3 2" xfId="3911" xr:uid="{00000000-0005-0000-0000-0000F40E0000}"/>
    <cellStyle name="60% - Accent5 3 2 2" xfId="3912" xr:uid="{00000000-0005-0000-0000-0000F50E0000}"/>
    <cellStyle name="60% - Accent5 3 3" xfId="3913" xr:uid="{00000000-0005-0000-0000-0000F60E0000}"/>
    <cellStyle name="60% - Accent5 3 3 2" xfId="3914" xr:uid="{00000000-0005-0000-0000-0000F70E0000}"/>
    <cellStyle name="60% - Accent5 3 4" xfId="3915" xr:uid="{00000000-0005-0000-0000-0000F80E0000}"/>
    <cellStyle name="60% - Accent5 3 4 2" xfId="3916" xr:uid="{00000000-0005-0000-0000-0000F90E0000}"/>
    <cellStyle name="60% - Accent5 3 5" xfId="3917" xr:uid="{00000000-0005-0000-0000-0000FA0E0000}"/>
    <cellStyle name="60% - Accent5 3 6" xfId="3918" xr:uid="{00000000-0005-0000-0000-0000FB0E0000}"/>
    <cellStyle name="60% - Accent5 3 7" xfId="3919" xr:uid="{00000000-0005-0000-0000-0000FC0E0000}"/>
    <cellStyle name="60% - Accent5 3 8" xfId="3920" xr:uid="{00000000-0005-0000-0000-0000FD0E0000}"/>
    <cellStyle name="60% - Accent5 3_Sheet2" xfId="3921" xr:uid="{00000000-0005-0000-0000-0000FE0E0000}"/>
    <cellStyle name="60% - Accent5 30" xfId="3922" xr:uid="{00000000-0005-0000-0000-0000FF0E0000}"/>
    <cellStyle name="60% - Accent5 31" xfId="3923" xr:uid="{00000000-0005-0000-0000-0000000F0000}"/>
    <cellStyle name="60% - Accent5 32" xfId="3924" xr:uid="{00000000-0005-0000-0000-0000010F0000}"/>
    <cellStyle name="60% - Accent5 33" xfId="3925" xr:uid="{00000000-0005-0000-0000-0000020F0000}"/>
    <cellStyle name="60% - Accent5 34" xfId="3926" xr:uid="{00000000-0005-0000-0000-0000030F0000}"/>
    <cellStyle name="60% - Accent5 35" xfId="3927" xr:uid="{00000000-0005-0000-0000-0000040F0000}"/>
    <cellStyle name="60% - Accent5 36" xfId="3928" xr:uid="{00000000-0005-0000-0000-0000050F0000}"/>
    <cellStyle name="60% - Accent5 37" xfId="3929" xr:uid="{00000000-0005-0000-0000-0000060F0000}"/>
    <cellStyle name="60% - Accent5 38" xfId="3930" xr:uid="{00000000-0005-0000-0000-0000070F0000}"/>
    <cellStyle name="60% - Accent5 39" xfId="3931" xr:uid="{00000000-0005-0000-0000-0000080F0000}"/>
    <cellStyle name="60% - Accent5 4" xfId="3932" xr:uid="{00000000-0005-0000-0000-0000090F0000}"/>
    <cellStyle name="60% - Accent5 4 2" xfId="3933" xr:uid="{00000000-0005-0000-0000-00000A0F0000}"/>
    <cellStyle name="60% - Accent5 4 3" xfId="3934" xr:uid="{00000000-0005-0000-0000-00000B0F0000}"/>
    <cellStyle name="60% - Accent5 4 3 2" xfId="3935" xr:uid="{00000000-0005-0000-0000-00000C0F0000}"/>
    <cellStyle name="60% - Accent5 4 4" xfId="3936" xr:uid="{00000000-0005-0000-0000-00000D0F0000}"/>
    <cellStyle name="60% - Accent5 4 4 2" xfId="3937" xr:uid="{00000000-0005-0000-0000-00000E0F0000}"/>
    <cellStyle name="60% - Accent5 4 5" xfId="3938" xr:uid="{00000000-0005-0000-0000-00000F0F0000}"/>
    <cellStyle name="60% - Accent5 4 6" xfId="3939" xr:uid="{00000000-0005-0000-0000-0000100F0000}"/>
    <cellStyle name="60% - Accent5 4 7" xfId="3940" xr:uid="{00000000-0005-0000-0000-0000110F0000}"/>
    <cellStyle name="60% - Accent5 4 8" xfId="3941" xr:uid="{00000000-0005-0000-0000-0000120F0000}"/>
    <cellStyle name="60% - Accent5 4_Sheet2" xfId="3942" xr:uid="{00000000-0005-0000-0000-0000130F0000}"/>
    <cellStyle name="60% - Accent5 5" xfId="3943" xr:uid="{00000000-0005-0000-0000-0000140F0000}"/>
    <cellStyle name="60% - Accent5 5 2" xfId="3944" xr:uid="{00000000-0005-0000-0000-0000150F0000}"/>
    <cellStyle name="60% - Accent5 5 2 2" xfId="3945" xr:uid="{00000000-0005-0000-0000-0000160F0000}"/>
    <cellStyle name="60% - Accent5 5 3" xfId="3946" xr:uid="{00000000-0005-0000-0000-0000170F0000}"/>
    <cellStyle name="60% - Accent5 5 3 2" xfId="3947" xr:uid="{00000000-0005-0000-0000-0000180F0000}"/>
    <cellStyle name="60% - Accent5 5 4" xfId="3948" xr:uid="{00000000-0005-0000-0000-0000190F0000}"/>
    <cellStyle name="60% - Accent5 5 4 2" xfId="3949" xr:uid="{00000000-0005-0000-0000-00001A0F0000}"/>
    <cellStyle name="60% - Accent5 5 5" xfId="3950" xr:uid="{00000000-0005-0000-0000-00001B0F0000}"/>
    <cellStyle name="60% - Accent5 5 6" xfId="3951" xr:uid="{00000000-0005-0000-0000-00001C0F0000}"/>
    <cellStyle name="60% - Accent5 5 7" xfId="3952" xr:uid="{00000000-0005-0000-0000-00001D0F0000}"/>
    <cellStyle name="60% - Accent5 5 8" xfId="3953" xr:uid="{00000000-0005-0000-0000-00001E0F0000}"/>
    <cellStyle name="60% - Accent5 5_Sheet2" xfId="3954" xr:uid="{00000000-0005-0000-0000-00001F0F0000}"/>
    <cellStyle name="60% - Accent5 6" xfId="3955" xr:uid="{00000000-0005-0000-0000-0000200F0000}"/>
    <cellStyle name="60% - Accent5 6 2" xfId="3956" xr:uid="{00000000-0005-0000-0000-0000210F0000}"/>
    <cellStyle name="60% - Accent5 6 2 2" xfId="3957" xr:uid="{00000000-0005-0000-0000-0000220F0000}"/>
    <cellStyle name="60% - Accent5 6 3" xfId="3958" xr:uid="{00000000-0005-0000-0000-0000230F0000}"/>
    <cellStyle name="60% - Accent5 6 3 2" xfId="3959" xr:uid="{00000000-0005-0000-0000-0000240F0000}"/>
    <cellStyle name="60% - Accent5 6 4" xfId="3960" xr:uid="{00000000-0005-0000-0000-0000250F0000}"/>
    <cellStyle name="60% - Accent5 6 4 2" xfId="3961" xr:uid="{00000000-0005-0000-0000-0000260F0000}"/>
    <cellStyle name="60% - Accent5 6 5" xfId="3962" xr:uid="{00000000-0005-0000-0000-0000270F0000}"/>
    <cellStyle name="60% - Accent5 6 6" xfId="3963" xr:uid="{00000000-0005-0000-0000-0000280F0000}"/>
    <cellStyle name="60% - Accent5 6 7" xfId="3964" xr:uid="{00000000-0005-0000-0000-0000290F0000}"/>
    <cellStyle name="60% - Accent5 6 8" xfId="3965" xr:uid="{00000000-0005-0000-0000-00002A0F0000}"/>
    <cellStyle name="60% - Accent5 6_Sheet2" xfId="3966" xr:uid="{00000000-0005-0000-0000-00002B0F0000}"/>
    <cellStyle name="60% - Accent5 7" xfId="3967" xr:uid="{00000000-0005-0000-0000-00002C0F0000}"/>
    <cellStyle name="60% - Accent5 7 2" xfId="3968" xr:uid="{00000000-0005-0000-0000-00002D0F0000}"/>
    <cellStyle name="60% - Accent5 7 2 2" xfId="3969" xr:uid="{00000000-0005-0000-0000-00002E0F0000}"/>
    <cellStyle name="60% - Accent5 7 3" xfId="3970" xr:uid="{00000000-0005-0000-0000-00002F0F0000}"/>
    <cellStyle name="60% - Accent5 7 3 2" xfId="3971" xr:uid="{00000000-0005-0000-0000-0000300F0000}"/>
    <cellStyle name="60% - Accent5 7 4" xfId="3972" xr:uid="{00000000-0005-0000-0000-0000310F0000}"/>
    <cellStyle name="60% - Accent5 7 4 2" xfId="3973" xr:uid="{00000000-0005-0000-0000-0000320F0000}"/>
    <cellStyle name="60% - Accent5 7 5" xfId="3974" xr:uid="{00000000-0005-0000-0000-0000330F0000}"/>
    <cellStyle name="60% - Accent5 7 6" xfId="3975" xr:uid="{00000000-0005-0000-0000-0000340F0000}"/>
    <cellStyle name="60% - Accent5 7 7" xfId="3976" xr:uid="{00000000-0005-0000-0000-0000350F0000}"/>
    <cellStyle name="60% - Accent5 7 8" xfId="3977" xr:uid="{00000000-0005-0000-0000-0000360F0000}"/>
    <cellStyle name="60% - Accent5 7_Sheet2" xfId="3978" xr:uid="{00000000-0005-0000-0000-0000370F0000}"/>
    <cellStyle name="60% - Accent5 8" xfId="3979" xr:uid="{00000000-0005-0000-0000-0000380F0000}"/>
    <cellStyle name="60% - Accent5 8 2" xfId="3980" xr:uid="{00000000-0005-0000-0000-0000390F0000}"/>
    <cellStyle name="60% - Accent5 8 3" xfId="3981" xr:uid="{00000000-0005-0000-0000-00003A0F0000}"/>
    <cellStyle name="60% - Accent5 8 4" xfId="3982" xr:uid="{00000000-0005-0000-0000-00003B0F0000}"/>
    <cellStyle name="60% - Accent5 8 5" xfId="3983" xr:uid="{00000000-0005-0000-0000-00003C0F0000}"/>
    <cellStyle name="60% - Accent5 8 6" xfId="3984" xr:uid="{00000000-0005-0000-0000-00003D0F0000}"/>
    <cellStyle name="60% - Accent5 8 7" xfId="3985" xr:uid="{00000000-0005-0000-0000-00003E0F0000}"/>
    <cellStyle name="60% - Accent5 8 8" xfId="3986" xr:uid="{00000000-0005-0000-0000-00003F0F0000}"/>
    <cellStyle name="60% - Accent5 8_Sheet2" xfId="3987" xr:uid="{00000000-0005-0000-0000-0000400F0000}"/>
    <cellStyle name="60% - Accent5 9" xfId="3988" xr:uid="{00000000-0005-0000-0000-0000410F0000}"/>
    <cellStyle name="60% - Accent5 9 2" xfId="3989" xr:uid="{00000000-0005-0000-0000-0000420F0000}"/>
    <cellStyle name="60% - Accent5 9 3" xfId="3990" xr:uid="{00000000-0005-0000-0000-0000430F0000}"/>
    <cellStyle name="60% - Accent5 9 4" xfId="3991" xr:uid="{00000000-0005-0000-0000-0000440F0000}"/>
    <cellStyle name="60% - Accent5 9 5" xfId="3992" xr:uid="{00000000-0005-0000-0000-0000450F0000}"/>
    <cellStyle name="60% - Accent5 9 6" xfId="3993" xr:uid="{00000000-0005-0000-0000-0000460F0000}"/>
    <cellStyle name="60% - Accent5 9 7" xfId="3994" xr:uid="{00000000-0005-0000-0000-0000470F0000}"/>
    <cellStyle name="60% - Accent5 9 8" xfId="3995" xr:uid="{00000000-0005-0000-0000-0000480F0000}"/>
    <cellStyle name="60% - Accent6" xfId="18" builtinId="52" customBuiltin="1"/>
    <cellStyle name="60% - Accent6 1" xfId="3996" xr:uid="{00000000-0005-0000-0000-00004A0F0000}"/>
    <cellStyle name="60% - Accent6 1 1" xfId="3997" xr:uid="{00000000-0005-0000-0000-00004B0F0000}"/>
    <cellStyle name="60% - Accent6 1_Building_-_5-final_Price_Variation(1)" xfId="3998" xr:uid="{00000000-0005-0000-0000-00004C0F0000}"/>
    <cellStyle name="60% - Accent6 10" xfId="3999" xr:uid="{00000000-0005-0000-0000-00004D0F0000}"/>
    <cellStyle name="60% - Accent6 10 2" xfId="4000" xr:uid="{00000000-0005-0000-0000-00004E0F0000}"/>
    <cellStyle name="60% - Accent6 10 3" xfId="4001" xr:uid="{00000000-0005-0000-0000-00004F0F0000}"/>
    <cellStyle name="60% - Accent6 10 4" xfId="4002" xr:uid="{00000000-0005-0000-0000-0000500F0000}"/>
    <cellStyle name="60% - Accent6 10 5" xfId="4003" xr:uid="{00000000-0005-0000-0000-0000510F0000}"/>
    <cellStyle name="60% - Accent6 10 6" xfId="4004" xr:uid="{00000000-0005-0000-0000-0000520F0000}"/>
    <cellStyle name="60% - Accent6 10 7" xfId="4005" xr:uid="{00000000-0005-0000-0000-0000530F0000}"/>
    <cellStyle name="60% - Accent6 10 8" xfId="4006" xr:uid="{00000000-0005-0000-0000-0000540F0000}"/>
    <cellStyle name="60% - Accent6 11" xfId="4007" xr:uid="{00000000-0005-0000-0000-0000550F0000}"/>
    <cellStyle name="60% - Accent6 11 2" xfId="4008" xr:uid="{00000000-0005-0000-0000-0000560F0000}"/>
    <cellStyle name="60% - Accent6 11 3" xfId="4009" xr:uid="{00000000-0005-0000-0000-0000570F0000}"/>
    <cellStyle name="60% - Accent6 11 4" xfId="4010" xr:uid="{00000000-0005-0000-0000-0000580F0000}"/>
    <cellStyle name="60% - Accent6 12" xfId="4011" xr:uid="{00000000-0005-0000-0000-0000590F0000}"/>
    <cellStyle name="60% - Accent6 12 2" xfId="4012" xr:uid="{00000000-0005-0000-0000-00005A0F0000}"/>
    <cellStyle name="60% - Accent6 12 3" xfId="4013" xr:uid="{00000000-0005-0000-0000-00005B0F0000}"/>
    <cellStyle name="60% - Accent6 12 4" xfId="4014" xr:uid="{00000000-0005-0000-0000-00005C0F0000}"/>
    <cellStyle name="60% - Accent6 13" xfId="4015" xr:uid="{00000000-0005-0000-0000-00005D0F0000}"/>
    <cellStyle name="60% - Accent6 13 2" xfId="4016" xr:uid="{00000000-0005-0000-0000-00005E0F0000}"/>
    <cellStyle name="60% - Accent6 14" xfId="4017" xr:uid="{00000000-0005-0000-0000-00005F0F0000}"/>
    <cellStyle name="60% - Accent6 14 2" xfId="4018" xr:uid="{00000000-0005-0000-0000-0000600F0000}"/>
    <cellStyle name="60% - Accent6 15" xfId="4019" xr:uid="{00000000-0005-0000-0000-0000610F0000}"/>
    <cellStyle name="60% - Accent6 15 2" xfId="4020" xr:uid="{00000000-0005-0000-0000-0000620F0000}"/>
    <cellStyle name="60% - Accent6 16" xfId="4021" xr:uid="{00000000-0005-0000-0000-0000630F0000}"/>
    <cellStyle name="60% - Accent6 16 2" xfId="4022" xr:uid="{00000000-0005-0000-0000-0000640F0000}"/>
    <cellStyle name="60% - Accent6 17" xfId="4023" xr:uid="{00000000-0005-0000-0000-0000650F0000}"/>
    <cellStyle name="60% - Accent6 17 2" xfId="4024" xr:uid="{00000000-0005-0000-0000-0000660F0000}"/>
    <cellStyle name="60% - Accent6 18" xfId="4025" xr:uid="{00000000-0005-0000-0000-0000670F0000}"/>
    <cellStyle name="60% - Accent6 18 2" xfId="4026" xr:uid="{00000000-0005-0000-0000-0000680F0000}"/>
    <cellStyle name="60% - Accent6 19" xfId="4027" xr:uid="{00000000-0005-0000-0000-0000690F0000}"/>
    <cellStyle name="60% - Accent6 19 2" xfId="4028" xr:uid="{00000000-0005-0000-0000-00006A0F0000}"/>
    <cellStyle name="60% - Accent6 2" xfId="4029" xr:uid="{00000000-0005-0000-0000-00006B0F0000}"/>
    <cellStyle name="60% - Accent6 2 10" xfId="4030" xr:uid="{00000000-0005-0000-0000-00006C0F0000}"/>
    <cellStyle name="60% - Accent6 2 10 2" xfId="4031" xr:uid="{00000000-0005-0000-0000-00006D0F0000}"/>
    <cellStyle name="60% - Accent6 2 11" xfId="4032" xr:uid="{00000000-0005-0000-0000-00006E0F0000}"/>
    <cellStyle name="60% - Accent6 2 2" xfId="4033" xr:uid="{00000000-0005-0000-0000-00006F0F0000}"/>
    <cellStyle name="60% - Accent6 2 2 2" xfId="4034" xr:uid="{00000000-0005-0000-0000-0000700F0000}"/>
    <cellStyle name="60% - Accent6 2 2 3" xfId="4035" xr:uid="{00000000-0005-0000-0000-0000710F0000}"/>
    <cellStyle name="60% - Accent6 2 2 4" xfId="4036" xr:uid="{00000000-0005-0000-0000-0000720F0000}"/>
    <cellStyle name="60% - Accent6 2 3" xfId="4037" xr:uid="{00000000-0005-0000-0000-0000730F0000}"/>
    <cellStyle name="60% - Accent6 2 3 2" xfId="4038" xr:uid="{00000000-0005-0000-0000-0000740F0000}"/>
    <cellStyle name="60% - Accent6 2 4" xfId="4039" xr:uid="{00000000-0005-0000-0000-0000750F0000}"/>
    <cellStyle name="60% - Accent6 2 4 2" xfId="4040" xr:uid="{00000000-0005-0000-0000-0000760F0000}"/>
    <cellStyle name="60% - Accent6 2 5" xfId="4041" xr:uid="{00000000-0005-0000-0000-0000770F0000}"/>
    <cellStyle name="60% - Accent6 2 5 2" xfId="4042" xr:uid="{00000000-0005-0000-0000-0000780F0000}"/>
    <cellStyle name="60% - Accent6 2 6" xfId="4043" xr:uid="{00000000-0005-0000-0000-0000790F0000}"/>
    <cellStyle name="60% - Accent6 2 6 2" xfId="4044" xr:uid="{00000000-0005-0000-0000-00007A0F0000}"/>
    <cellStyle name="60% - Accent6 2 7" xfId="4045" xr:uid="{00000000-0005-0000-0000-00007B0F0000}"/>
    <cellStyle name="60% - Accent6 2 7 2" xfId="4046" xr:uid="{00000000-0005-0000-0000-00007C0F0000}"/>
    <cellStyle name="60% - Accent6 2 8" xfId="4047" xr:uid="{00000000-0005-0000-0000-00007D0F0000}"/>
    <cellStyle name="60% - Accent6 2 8 2" xfId="4048" xr:uid="{00000000-0005-0000-0000-00007E0F0000}"/>
    <cellStyle name="60% - Accent6 2 9" xfId="4049" xr:uid="{00000000-0005-0000-0000-00007F0F0000}"/>
    <cellStyle name="60% - Accent6 2 9 2" xfId="4050" xr:uid="{00000000-0005-0000-0000-0000800F0000}"/>
    <cellStyle name="60% - Accent6 2_Block-F LGF POur-II BBS" xfId="4051" xr:uid="{00000000-0005-0000-0000-0000810F0000}"/>
    <cellStyle name="60% - Accent6 20" xfId="4052" xr:uid="{00000000-0005-0000-0000-0000820F0000}"/>
    <cellStyle name="60% - Accent6 20 2" xfId="4053" xr:uid="{00000000-0005-0000-0000-0000830F0000}"/>
    <cellStyle name="60% - Accent6 21" xfId="4054" xr:uid="{00000000-0005-0000-0000-0000840F0000}"/>
    <cellStyle name="60% - Accent6 21 2" xfId="4055" xr:uid="{00000000-0005-0000-0000-0000850F0000}"/>
    <cellStyle name="60% - Accent6 22" xfId="4056" xr:uid="{00000000-0005-0000-0000-0000860F0000}"/>
    <cellStyle name="60% - Accent6 23" xfId="4057" xr:uid="{00000000-0005-0000-0000-0000870F0000}"/>
    <cellStyle name="60% - Accent6 24" xfId="4058" xr:uid="{00000000-0005-0000-0000-0000880F0000}"/>
    <cellStyle name="60% - Accent6 25" xfId="4059" xr:uid="{00000000-0005-0000-0000-0000890F0000}"/>
    <cellStyle name="60% - Accent6 26" xfId="4060" xr:uid="{00000000-0005-0000-0000-00008A0F0000}"/>
    <cellStyle name="60% - Accent6 27" xfId="4061" xr:uid="{00000000-0005-0000-0000-00008B0F0000}"/>
    <cellStyle name="60% - Accent6 28" xfId="4062" xr:uid="{00000000-0005-0000-0000-00008C0F0000}"/>
    <cellStyle name="60% - Accent6 29" xfId="4063" xr:uid="{00000000-0005-0000-0000-00008D0F0000}"/>
    <cellStyle name="60% - Accent6 3" xfId="4064" xr:uid="{00000000-0005-0000-0000-00008E0F0000}"/>
    <cellStyle name="60% - Accent6 3 2" xfId="4065" xr:uid="{00000000-0005-0000-0000-00008F0F0000}"/>
    <cellStyle name="60% - Accent6 3 2 2" xfId="4066" xr:uid="{00000000-0005-0000-0000-0000900F0000}"/>
    <cellStyle name="60% - Accent6 3 3" xfId="4067" xr:uid="{00000000-0005-0000-0000-0000910F0000}"/>
    <cellStyle name="60% - Accent6 3 3 2" xfId="4068" xr:uid="{00000000-0005-0000-0000-0000920F0000}"/>
    <cellStyle name="60% - Accent6 3 4" xfId="4069" xr:uid="{00000000-0005-0000-0000-0000930F0000}"/>
    <cellStyle name="60% - Accent6 3 4 2" xfId="4070" xr:uid="{00000000-0005-0000-0000-0000940F0000}"/>
    <cellStyle name="60% - Accent6 3 5" xfId="4071" xr:uid="{00000000-0005-0000-0000-0000950F0000}"/>
    <cellStyle name="60% - Accent6 3 6" xfId="4072" xr:uid="{00000000-0005-0000-0000-0000960F0000}"/>
    <cellStyle name="60% - Accent6 3 7" xfId="4073" xr:uid="{00000000-0005-0000-0000-0000970F0000}"/>
    <cellStyle name="60% - Accent6 3 8" xfId="4074" xr:uid="{00000000-0005-0000-0000-0000980F0000}"/>
    <cellStyle name="60% - Accent6 3_Sheet2" xfId="4075" xr:uid="{00000000-0005-0000-0000-0000990F0000}"/>
    <cellStyle name="60% - Accent6 30" xfId="4076" xr:uid="{00000000-0005-0000-0000-00009A0F0000}"/>
    <cellStyle name="60% - Accent6 31" xfId="4077" xr:uid="{00000000-0005-0000-0000-00009B0F0000}"/>
    <cellStyle name="60% - Accent6 32" xfId="4078" xr:uid="{00000000-0005-0000-0000-00009C0F0000}"/>
    <cellStyle name="60% - Accent6 33" xfId="4079" xr:uid="{00000000-0005-0000-0000-00009D0F0000}"/>
    <cellStyle name="60% - Accent6 34" xfId="4080" xr:uid="{00000000-0005-0000-0000-00009E0F0000}"/>
    <cellStyle name="60% - Accent6 35" xfId="4081" xr:uid="{00000000-0005-0000-0000-00009F0F0000}"/>
    <cellStyle name="60% - Accent6 36" xfId="4082" xr:uid="{00000000-0005-0000-0000-0000A00F0000}"/>
    <cellStyle name="60% - Accent6 37" xfId="4083" xr:uid="{00000000-0005-0000-0000-0000A10F0000}"/>
    <cellStyle name="60% - Accent6 38" xfId="4084" xr:uid="{00000000-0005-0000-0000-0000A20F0000}"/>
    <cellStyle name="60% - Accent6 39" xfId="4085" xr:uid="{00000000-0005-0000-0000-0000A30F0000}"/>
    <cellStyle name="60% - Accent6 4" xfId="4086" xr:uid="{00000000-0005-0000-0000-0000A40F0000}"/>
    <cellStyle name="60% - Accent6 4 2" xfId="4087" xr:uid="{00000000-0005-0000-0000-0000A50F0000}"/>
    <cellStyle name="60% - Accent6 4 3" xfId="4088" xr:uid="{00000000-0005-0000-0000-0000A60F0000}"/>
    <cellStyle name="60% - Accent6 4 3 2" xfId="4089" xr:uid="{00000000-0005-0000-0000-0000A70F0000}"/>
    <cellStyle name="60% - Accent6 4 4" xfId="4090" xr:uid="{00000000-0005-0000-0000-0000A80F0000}"/>
    <cellStyle name="60% - Accent6 4 4 2" xfId="4091" xr:uid="{00000000-0005-0000-0000-0000A90F0000}"/>
    <cellStyle name="60% - Accent6 4 5" xfId="4092" xr:uid="{00000000-0005-0000-0000-0000AA0F0000}"/>
    <cellStyle name="60% - Accent6 4 6" xfId="4093" xr:uid="{00000000-0005-0000-0000-0000AB0F0000}"/>
    <cellStyle name="60% - Accent6 4 7" xfId="4094" xr:uid="{00000000-0005-0000-0000-0000AC0F0000}"/>
    <cellStyle name="60% - Accent6 4 8" xfId="4095" xr:uid="{00000000-0005-0000-0000-0000AD0F0000}"/>
    <cellStyle name="60% - Accent6 4_Sheet2" xfId="4096" xr:uid="{00000000-0005-0000-0000-0000AE0F0000}"/>
    <cellStyle name="60% - Accent6 5" xfId="4097" xr:uid="{00000000-0005-0000-0000-0000AF0F0000}"/>
    <cellStyle name="60% - Accent6 5 2" xfId="4098" xr:uid="{00000000-0005-0000-0000-0000B00F0000}"/>
    <cellStyle name="60% - Accent6 5 2 2" xfId="4099" xr:uid="{00000000-0005-0000-0000-0000B10F0000}"/>
    <cellStyle name="60% - Accent6 5 3" xfId="4100" xr:uid="{00000000-0005-0000-0000-0000B20F0000}"/>
    <cellStyle name="60% - Accent6 5 3 2" xfId="4101" xr:uid="{00000000-0005-0000-0000-0000B30F0000}"/>
    <cellStyle name="60% - Accent6 5 4" xfId="4102" xr:uid="{00000000-0005-0000-0000-0000B40F0000}"/>
    <cellStyle name="60% - Accent6 5 4 2" xfId="4103" xr:uid="{00000000-0005-0000-0000-0000B50F0000}"/>
    <cellStyle name="60% - Accent6 5 5" xfId="4104" xr:uid="{00000000-0005-0000-0000-0000B60F0000}"/>
    <cellStyle name="60% - Accent6 5 6" xfId="4105" xr:uid="{00000000-0005-0000-0000-0000B70F0000}"/>
    <cellStyle name="60% - Accent6 5 7" xfId="4106" xr:uid="{00000000-0005-0000-0000-0000B80F0000}"/>
    <cellStyle name="60% - Accent6 5 8" xfId="4107" xr:uid="{00000000-0005-0000-0000-0000B90F0000}"/>
    <cellStyle name="60% - Accent6 5_Sheet2" xfId="4108" xr:uid="{00000000-0005-0000-0000-0000BA0F0000}"/>
    <cellStyle name="60% - Accent6 6" xfId="4109" xr:uid="{00000000-0005-0000-0000-0000BB0F0000}"/>
    <cellStyle name="60% - Accent6 6 2" xfId="4110" xr:uid="{00000000-0005-0000-0000-0000BC0F0000}"/>
    <cellStyle name="60% - Accent6 6 2 2" xfId="4111" xr:uid="{00000000-0005-0000-0000-0000BD0F0000}"/>
    <cellStyle name="60% - Accent6 6 3" xfId="4112" xr:uid="{00000000-0005-0000-0000-0000BE0F0000}"/>
    <cellStyle name="60% - Accent6 6 3 2" xfId="4113" xr:uid="{00000000-0005-0000-0000-0000BF0F0000}"/>
    <cellStyle name="60% - Accent6 6 4" xfId="4114" xr:uid="{00000000-0005-0000-0000-0000C00F0000}"/>
    <cellStyle name="60% - Accent6 6 4 2" xfId="4115" xr:uid="{00000000-0005-0000-0000-0000C10F0000}"/>
    <cellStyle name="60% - Accent6 6 5" xfId="4116" xr:uid="{00000000-0005-0000-0000-0000C20F0000}"/>
    <cellStyle name="60% - Accent6 6 6" xfId="4117" xr:uid="{00000000-0005-0000-0000-0000C30F0000}"/>
    <cellStyle name="60% - Accent6 6 7" xfId="4118" xr:uid="{00000000-0005-0000-0000-0000C40F0000}"/>
    <cellStyle name="60% - Accent6 6 8" xfId="4119" xr:uid="{00000000-0005-0000-0000-0000C50F0000}"/>
    <cellStyle name="60% - Accent6 6_Sheet2" xfId="4120" xr:uid="{00000000-0005-0000-0000-0000C60F0000}"/>
    <cellStyle name="60% - Accent6 7" xfId="4121" xr:uid="{00000000-0005-0000-0000-0000C70F0000}"/>
    <cellStyle name="60% - Accent6 7 2" xfId="4122" xr:uid="{00000000-0005-0000-0000-0000C80F0000}"/>
    <cellStyle name="60% - Accent6 7 2 2" xfId="4123" xr:uid="{00000000-0005-0000-0000-0000C90F0000}"/>
    <cellStyle name="60% - Accent6 7 3" xfId="4124" xr:uid="{00000000-0005-0000-0000-0000CA0F0000}"/>
    <cellStyle name="60% - Accent6 7 3 2" xfId="4125" xr:uid="{00000000-0005-0000-0000-0000CB0F0000}"/>
    <cellStyle name="60% - Accent6 7 4" xfId="4126" xr:uid="{00000000-0005-0000-0000-0000CC0F0000}"/>
    <cellStyle name="60% - Accent6 7 4 2" xfId="4127" xr:uid="{00000000-0005-0000-0000-0000CD0F0000}"/>
    <cellStyle name="60% - Accent6 7 5" xfId="4128" xr:uid="{00000000-0005-0000-0000-0000CE0F0000}"/>
    <cellStyle name="60% - Accent6 7 6" xfId="4129" xr:uid="{00000000-0005-0000-0000-0000CF0F0000}"/>
    <cellStyle name="60% - Accent6 7 7" xfId="4130" xr:uid="{00000000-0005-0000-0000-0000D00F0000}"/>
    <cellStyle name="60% - Accent6 7 8" xfId="4131" xr:uid="{00000000-0005-0000-0000-0000D10F0000}"/>
    <cellStyle name="60% - Accent6 7_Sheet2" xfId="4132" xr:uid="{00000000-0005-0000-0000-0000D20F0000}"/>
    <cellStyle name="60% - Accent6 8" xfId="4133" xr:uid="{00000000-0005-0000-0000-0000D30F0000}"/>
    <cellStyle name="60% - Accent6 8 2" xfId="4134" xr:uid="{00000000-0005-0000-0000-0000D40F0000}"/>
    <cellStyle name="60% - Accent6 8 3" xfId="4135" xr:uid="{00000000-0005-0000-0000-0000D50F0000}"/>
    <cellStyle name="60% - Accent6 8 4" xfId="4136" xr:uid="{00000000-0005-0000-0000-0000D60F0000}"/>
    <cellStyle name="60% - Accent6 8 5" xfId="4137" xr:uid="{00000000-0005-0000-0000-0000D70F0000}"/>
    <cellStyle name="60% - Accent6 8 6" xfId="4138" xr:uid="{00000000-0005-0000-0000-0000D80F0000}"/>
    <cellStyle name="60% - Accent6 8 7" xfId="4139" xr:uid="{00000000-0005-0000-0000-0000D90F0000}"/>
    <cellStyle name="60% - Accent6 8 8" xfId="4140" xr:uid="{00000000-0005-0000-0000-0000DA0F0000}"/>
    <cellStyle name="60% - Accent6 8_Sheet2" xfId="4141" xr:uid="{00000000-0005-0000-0000-0000DB0F0000}"/>
    <cellStyle name="60% - Accent6 9" xfId="4142" xr:uid="{00000000-0005-0000-0000-0000DC0F0000}"/>
    <cellStyle name="60% - Accent6 9 2" xfId="4143" xr:uid="{00000000-0005-0000-0000-0000DD0F0000}"/>
    <cellStyle name="60% - Accent6 9 3" xfId="4144" xr:uid="{00000000-0005-0000-0000-0000DE0F0000}"/>
    <cellStyle name="60% - Accent6 9 4" xfId="4145" xr:uid="{00000000-0005-0000-0000-0000DF0F0000}"/>
    <cellStyle name="60% - Accent6 9 5" xfId="4146" xr:uid="{00000000-0005-0000-0000-0000E00F0000}"/>
    <cellStyle name="60% - Accent6 9 6" xfId="4147" xr:uid="{00000000-0005-0000-0000-0000E10F0000}"/>
    <cellStyle name="60% - Accent6 9 7" xfId="4148" xr:uid="{00000000-0005-0000-0000-0000E20F0000}"/>
    <cellStyle name="60% - Accent6 9 8" xfId="4149" xr:uid="{00000000-0005-0000-0000-0000E30F0000}"/>
    <cellStyle name="60% - Akzent1" xfId="4150" xr:uid="{00000000-0005-0000-0000-0000E40F0000}"/>
    <cellStyle name="60% - Akzent2" xfId="4151" xr:uid="{00000000-0005-0000-0000-0000E50F0000}"/>
    <cellStyle name="60% - Akzent3" xfId="4152" xr:uid="{00000000-0005-0000-0000-0000E60F0000}"/>
    <cellStyle name="60% - Akzent4" xfId="4153" xr:uid="{00000000-0005-0000-0000-0000E70F0000}"/>
    <cellStyle name="60% - Akzent5" xfId="4154" xr:uid="{00000000-0005-0000-0000-0000E80F0000}"/>
    <cellStyle name="60% - Akzent6" xfId="4155" xr:uid="{00000000-0005-0000-0000-0000E90F0000}"/>
    <cellStyle name="60% - Énfasis1" xfId="4156" xr:uid="{00000000-0005-0000-0000-0000EA0F0000}"/>
    <cellStyle name="60% - Énfasis2" xfId="4157" xr:uid="{00000000-0005-0000-0000-0000EB0F0000}"/>
    <cellStyle name="60% - Énfasis3" xfId="4158" xr:uid="{00000000-0005-0000-0000-0000EC0F0000}"/>
    <cellStyle name="60% - Énfasis4" xfId="4159" xr:uid="{00000000-0005-0000-0000-0000ED0F0000}"/>
    <cellStyle name="60% - Énfasis5" xfId="4160" xr:uid="{00000000-0005-0000-0000-0000EE0F0000}"/>
    <cellStyle name="60% - Énfasis6" xfId="4161" xr:uid="{00000000-0005-0000-0000-0000EF0F0000}"/>
    <cellStyle name="60% - 强调文字颜色 1" xfId="4162" xr:uid="{00000000-0005-0000-0000-0000F00F0000}"/>
    <cellStyle name="60% - 强调文字颜色 2" xfId="4163" xr:uid="{00000000-0005-0000-0000-0000F10F0000}"/>
    <cellStyle name="60% - 强调文字颜色 3" xfId="4164" xr:uid="{00000000-0005-0000-0000-0000F20F0000}"/>
    <cellStyle name="60% - 强调文字颜色 4" xfId="4165" xr:uid="{00000000-0005-0000-0000-0000F30F0000}"/>
    <cellStyle name="60% - 强调文字颜色 5" xfId="4166" xr:uid="{00000000-0005-0000-0000-0000F40F0000}"/>
    <cellStyle name="60% - 强调文字颜色 6" xfId="4167" xr:uid="{00000000-0005-0000-0000-0000F50F0000}"/>
    <cellStyle name="75" xfId="4168" xr:uid="{00000000-0005-0000-0000-0000F60F0000}"/>
    <cellStyle name="75 2" xfId="4169" xr:uid="{00000000-0005-0000-0000-0000F70F0000}"/>
    <cellStyle name="75 2 2" xfId="4170" xr:uid="{00000000-0005-0000-0000-0000F80F0000}"/>
    <cellStyle name="75 2 3" xfId="4171" xr:uid="{00000000-0005-0000-0000-0000F90F0000}"/>
    <cellStyle name="75 2 4" xfId="4172" xr:uid="{00000000-0005-0000-0000-0000FA0F0000}"/>
    <cellStyle name="75_Extra items Diff" xfId="4173" xr:uid="{00000000-0005-0000-0000-0000FB0F0000}"/>
    <cellStyle name="A satisfied Microsoft Office user" xfId="4174" xr:uid="{00000000-0005-0000-0000-0000FC0F0000}"/>
    <cellStyle name="A3 297 x 420 mm" xfId="4175" xr:uid="{00000000-0005-0000-0000-0000FD0F0000}"/>
    <cellStyle name="A4 Small 210 x 297 mm" xfId="4176" xr:uid="{00000000-0005-0000-0000-0000FE0F0000}"/>
    <cellStyle name="abc" xfId="4177" xr:uid="{00000000-0005-0000-0000-0000FF0F0000}"/>
    <cellStyle name="Absoloute" xfId="4178" xr:uid="{00000000-0005-0000-0000-000000100000}"/>
    <cellStyle name="Absoloute;0" xfId="4179" xr:uid="{00000000-0005-0000-0000-000001100000}"/>
    <cellStyle name="Absoloute_artek98" xfId="4180" xr:uid="{00000000-0005-0000-0000-000002100000}"/>
    <cellStyle name="Accent1" xfId="19" builtinId="29" customBuiltin="1"/>
    <cellStyle name="Accent1 - 20%" xfId="4181" xr:uid="{00000000-0005-0000-0000-000004100000}"/>
    <cellStyle name="Accent1 - 20% 2" xfId="4182" xr:uid="{00000000-0005-0000-0000-000005100000}"/>
    <cellStyle name="Accent1 - 20% 2 2" xfId="4183" xr:uid="{00000000-0005-0000-0000-000006100000}"/>
    <cellStyle name="Accent1 - 20% 2 3" xfId="4184" xr:uid="{00000000-0005-0000-0000-000007100000}"/>
    <cellStyle name="Accent1 - 20% 3" xfId="4185" xr:uid="{00000000-0005-0000-0000-000008100000}"/>
    <cellStyle name="Accent1 - 20% 4" xfId="4186" xr:uid="{00000000-0005-0000-0000-000009100000}"/>
    <cellStyle name="Accent1 - 20%_APSWRSC-Kalasamudram" xfId="4187" xr:uid="{00000000-0005-0000-0000-00000A100000}"/>
    <cellStyle name="Accent1 - 40%" xfId="4188" xr:uid="{00000000-0005-0000-0000-00000B100000}"/>
    <cellStyle name="Accent1 - 40% 2" xfId="4189" xr:uid="{00000000-0005-0000-0000-00000C100000}"/>
    <cellStyle name="Accent1 - 40% 2 2" xfId="4190" xr:uid="{00000000-0005-0000-0000-00000D100000}"/>
    <cellStyle name="Accent1 - 40% 2 3" xfId="4191" xr:uid="{00000000-0005-0000-0000-00000E100000}"/>
    <cellStyle name="Accent1 - 40% 3" xfId="4192" xr:uid="{00000000-0005-0000-0000-00000F100000}"/>
    <cellStyle name="Accent1 - 40% 4" xfId="4193" xr:uid="{00000000-0005-0000-0000-000010100000}"/>
    <cellStyle name="Accent1 - 40%_APSWRSC-Kalasamudram" xfId="4194" xr:uid="{00000000-0005-0000-0000-000011100000}"/>
    <cellStyle name="Accent1 - 60%" xfId="4195" xr:uid="{00000000-0005-0000-0000-000012100000}"/>
    <cellStyle name="Accent1 - 60% 2" xfId="4196" xr:uid="{00000000-0005-0000-0000-000013100000}"/>
    <cellStyle name="Accent1 - 60% 3" xfId="4197" xr:uid="{00000000-0005-0000-0000-000014100000}"/>
    <cellStyle name="Accent1 1" xfId="4198" xr:uid="{00000000-0005-0000-0000-000015100000}"/>
    <cellStyle name="Accent1 1 1" xfId="4199" xr:uid="{00000000-0005-0000-0000-000016100000}"/>
    <cellStyle name="Accent1 10" xfId="4200" xr:uid="{00000000-0005-0000-0000-000017100000}"/>
    <cellStyle name="Accent1 10 10" xfId="4201" xr:uid="{00000000-0005-0000-0000-000018100000}"/>
    <cellStyle name="Accent1 10 11" xfId="4202" xr:uid="{00000000-0005-0000-0000-000019100000}"/>
    <cellStyle name="Accent1 10 12" xfId="4203" xr:uid="{00000000-0005-0000-0000-00001A100000}"/>
    <cellStyle name="Accent1 10 13" xfId="4204" xr:uid="{00000000-0005-0000-0000-00001B100000}"/>
    <cellStyle name="Accent1 10 14" xfId="4205" xr:uid="{00000000-0005-0000-0000-00001C100000}"/>
    <cellStyle name="Accent1 10 15" xfId="4206" xr:uid="{00000000-0005-0000-0000-00001D100000}"/>
    <cellStyle name="Accent1 10 16" xfId="4207" xr:uid="{00000000-0005-0000-0000-00001E100000}"/>
    <cellStyle name="Accent1 10 2" xfId="4208" xr:uid="{00000000-0005-0000-0000-00001F100000}"/>
    <cellStyle name="Accent1 10 3" xfId="4209" xr:uid="{00000000-0005-0000-0000-000020100000}"/>
    <cellStyle name="Accent1 10 4" xfId="4210" xr:uid="{00000000-0005-0000-0000-000021100000}"/>
    <cellStyle name="Accent1 10 5" xfId="4211" xr:uid="{00000000-0005-0000-0000-000022100000}"/>
    <cellStyle name="Accent1 10 6" xfId="4212" xr:uid="{00000000-0005-0000-0000-000023100000}"/>
    <cellStyle name="Accent1 10 7" xfId="4213" xr:uid="{00000000-0005-0000-0000-000024100000}"/>
    <cellStyle name="Accent1 10 8" xfId="4214" xr:uid="{00000000-0005-0000-0000-000025100000}"/>
    <cellStyle name="Accent1 10 9" xfId="4215" xr:uid="{00000000-0005-0000-0000-000026100000}"/>
    <cellStyle name="Accent1 11" xfId="4216" xr:uid="{00000000-0005-0000-0000-000027100000}"/>
    <cellStyle name="Accent1 11 2" xfId="4217" xr:uid="{00000000-0005-0000-0000-000028100000}"/>
    <cellStyle name="Accent1 11 3" xfId="4218" xr:uid="{00000000-0005-0000-0000-000029100000}"/>
    <cellStyle name="Accent1 11 4" xfId="4219" xr:uid="{00000000-0005-0000-0000-00002A100000}"/>
    <cellStyle name="Accent1 11 5" xfId="4220" xr:uid="{00000000-0005-0000-0000-00002B100000}"/>
    <cellStyle name="Accent1 11 6" xfId="4221" xr:uid="{00000000-0005-0000-0000-00002C100000}"/>
    <cellStyle name="Accent1 11 7" xfId="4222" xr:uid="{00000000-0005-0000-0000-00002D100000}"/>
    <cellStyle name="Accent1 11 8" xfId="4223" xr:uid="{00000000-0005-0000-0000-00002E100000}"/>
    <cellStyle name="Accent1 11 9" xfId="4224" xr:uid="{00000000-0005-0000-0000-00002F100000}"/>
    <cellStyle name="Accent1 12" xfId="4225" xr:uid="{00000000-0005-0000-0000-000030100000}"/>
    <cellStyle name="Accent1 12 2" xfId="4226" xr:uid="{00000000-0005-0000-0000-000031100000}"/>
    <cellStyle name="Accent1 12 3" xfId="4227" xr:uid="{00000000-0005-0000-0000-000032100000}"/>
    <cellStyle name="Accent1 12 4" xfId="4228" xr:uid="{00000000-0005-0000-0000-000033100000}"/>
    <cellStyle name="Accent1 12 5" xfId="4229" xr:uid="{00000000-0005-0000-0000-000034100000}"/>
    <cellStyle name="Accent1 12 6" xfId="4230" xr:uid="{00000000-0005-0000-0000-000035100000}"/>
    <cellStyle name="Accent1 12 7" xfId="4231" xr:uid="{00000000-0005-0000-0000-000036100000}"/>
    <cellStyle name="Accent1 12 8" xfId="4232" xr:uid="{00000000-0005-0000-0000-000037100000}"/>
    <cellStyle name="Accent1 12 9" xfId="4233" xr:uid="{00000000-0005-0000-0000-000038100000}"/>
    <cellStyle name="Accent1 13" xfId="4234" xr:uid="{00000000-0005-0000-0000-000039100000}"/>
    <cellStyle name="Accent1 13 2" xfId="4235" xr:uid="{00000000-0005-0000-0000-00003A100000}"/>
    <cellStyle name="Accent1 13 3" xfId="4236" xr:uid="{00000000-0005-0000-0000-00003B100000}"/>
    <cellStyle name="Accent1 13 4" xfId="4237" xr:uid="{00000000-0005-0000-0000-00003C100000}"/>
    <cellStyle name="Accent1 13 5" xfId="4238" xr:uid="{00000000-0005-0000-0000-00003D100000}"/>
    <cellStyle name="Accent1 13 6" xfId="4239" xr:uid="{00000000-0005-0000-0000-00003E100000}"/>
    <cellStyle name="Accent1 13 7" xfId="4240" xr:uid="{00000000-0005-0000-0000-00003F100000}"/>
    <cellStyle name="Accent1 13 8" xfId="4241" xr:uid="{00000000-0005-0000-0000-000040100000}"/>
    <cellStyle name="Accent1 13 9" xfId="4242" xr:uid="{00000000-0005-0000-0000-000041100000}"/>
    <cellStyle name="Accent1 14" xfId="4243" xr:uid="{00000000-0005-0000-0000-000042100000}"/>
    <cellStyle name="Accent1 14 2" xfId="4244" xr:uid="{00000000-0005-0000-0000-000043100000}"/>
    <cellStyle name="Accent1 14 3" xfId="4245" xr:uid="{00000000-0005-0000-0000-000044100000}"/>
    <cellStyle name="Accent1 14 4" xfId="4246" xr:uid="{00000000-0005-0000-0000-000045100000}"/>
    <cellStyle name="Accent1 14 5" xfId="4247" xr:uid="{00000000-0005-0000-0000-000046100000}"/>
    <cellStyle name="Accent1 14 6" xfId="4248" xr:uid="{00000000-0005-0000-0000-000047100000}"/>
    <cellStyle name="Accent1 14 7" xfId="4249" xr:uid="{00000000-0005-0000-0000-000048100000}"/>
    <cellStyle name="Accent1 14 8" xfId="4250" xr:uid="{00000000-0005-0000-0000-000049100000}"/>
    <cellStyle name="Accent1 14 9" xfId="4251" xr:uid="{00000000-0005-0000-0000-00004A100000}"/>
    <cellStyle name="Accent1 15" xfId="4252" xr:uid="{00000000-0005-0000-0000-00004B100000}"/>
    <cellStyle name="Accent1 15 2" xfId="4253" xr:uid="{00000000-0005-0000-0000-00004C100000}"/>
    <cellStyle name="Accent1 15 3" xfId="4254" xr:uid="{00000000-0005-0000-0000-00004D100000}"/>
    <cellStyle name="Accent1 15 4" xfId="4255" xr:uid="{00000000-0005-0000-0000-00004E100000}"/>
    <cellStyle name="Accent1 15 5" xfId="4256" xr:uid="{00000000-0005-0000-0000-00004F100000}"/>
    <cellStyle name="Accent1 15 6" xfId="4257" xr:uid="{00000000-0005-0000-0000-000050100000}"/>
    <cellStyle name="Accent1 15 7" xfId="4258" xr:uid="{00000000-0005-0000-0000-000051100000}"/>
    <cellStyle name="Accent1 15 8" xfId="4259" xr:uid="{00000000-0005-0000-0000-000052100000}"/>
    <cellStyle name="Accent1 15 9" xfId="4260" xr:uid="{00000000-0005-0000-0000-000053100000}"/>
    <cellStyle name="Accent1 16" xfId="4261" xr:uid="{00000000-0005-0000-0000-000054100000}"/>
    <cellStyle name="Accent1 16 2" xfId="4262" xr:uid="{00000000-0005-0000-0000-000055100000}"/>
    <cellStyle name="Accent1 16 3" xfId="4263" xr:uid="{00000000-0005-0000-0000-000056100000}"/>
    <cellStyle name="Accent1 16 4" xfId="4264" xr:uid="{00000000-0005-0000-0000-000057100000}"/>
    <cellStyle name="Accent1 16 5" xfId="4265" xr:uid="{00000000-0005-0000-0000-000058100000}"/>
    <cellStyle name="Accent1 16 6" xfId="4266" xr:uid="{00000000-0005-0000-0000-000059100000}"/>
    <cellStyle name="Accent1 16 7" xfId="4267" xr:uid="{00000000-0005-0000-0000-00005A100000}"/>
    <cellStyle name="Accent1 16 8" xfId="4268" xr:uid="{00000000-0005-0000-0000-00005B100000}"/>
    <cellStyle name="Accent1 16 9" xfId="4269" xr:uid="{00000000-0005-0000-0000-00005C100000}"/>
    <cellStyle name="Accent1 17" xfId="4270" xr:uid="{00000000-0005-0000-0000-00005D100000}"/>
    <cellStyle name="Accent1 17 2" xfId="4271" xr:uid="{00000000-0005-0000-0000-00005E100000}"/>
    <cellStyle name="Accent1 18" xfId="4272" xr:uid="{00000000-0005-0000-0000-00005F100000}"/>
    <cellStyle name="Accent1 18 2" xfId="4273" xr:uid="{00000000-0005-0000-0000-000060100000}"/>
    <cellStyle name="Accent1 19" xfId="4274" xr:uid="{00000000-0005-0000-0000-000061100000}"/>
    <cellStyle name="Accent1 19 2" xfId="4275" xr:uid="{00000000-0005-0000-0000-000062100000}"/>
    <cellStyle name="Accent1 2" xfId="4276" xr:uid="{00000000-0005-0000-0000-000063100000}"/>
    <cellStyle name="Accent1 2 10" xfId="4277" xr:uid="{00000000-0005-0000-0000-000064100000}"/>
    <cellStyle name="Accent1 2 10 2" xfId="4278" xr:uid="{00000000-0005-0000-0000-000065100000}"/>
    <cellStyle name="Accent1 2 11" xfId="4279" xr:uid="{00000000-0005-0000-0000-000066100000}"/>
    <cellStyle name="Accent1 2 12" xfId="4280" xr:uid="{00000000-0005-0000-0000-000067100000}"/>
    <cellStyle name="Accent1 2 13" xfId="4281" xr:uid="{00000000-0005-0000-0000-000068100000}"/>
    <cellStyle name="Accent1 2 2" xfId="4282" xr:uid="{00000000-0005-0000-0000-000069100000}"/>
    <cellStyle name="Accent1 2 2 2" xfId="4283" xr:uid="{00000000-0005-0000-0000-00006A100000}"/>
    <cellStyle name="Accent1 2 2 3" xfId="4284" xr:uid="{00000000-0005-0000-0000-00006B100000}"/>
    <cellStyle name="Accent1 2 2 4" xfId="4285" xr:uid="{00000000-0005-0000-0000-00006C100000}"/>
    <cellStyle name="Accent1 2 2 5" xfId="4286" xr:uid="{00000000-0005-0000-0000-00006D100000}"/>
    <cellStyle name="Accent1 2 2 6" xfId="4287" xr:uid="{00000000-0005-0000-0000-00006E100000}"/>
    <cellStyle name="Accent1 2 2 7" xfId="4288" xr:uid="{00000000-0005-0000-0000-00006F100000}"/>
    <cellStyle name="Accent1 2 2 8" xfId="4289" xr:uid="{00000000-0005-0000-0000-000070100000}"/>
    <cellStyle name="Accent1 2 2 9" xfId="4290" xr:uid="{00000000-0005-0000-0000-000071100000}"/>
    <cellStyle name="Accent1 2 3" xfId="4291" xr:uid="{00000000-0005-0000-0000-000072100000}"/>
    <cellStyle name="Accent1 2 3 2" xfId="4292" xr:uid="{00000000-0005-0000-0000-000073100000}"/>
    <cellStyle name="Accent1 2 4" xfId="4293" xr:uid="{00000000-0005-0000-0000-000074100000}"/>
    <cellStyle name="Accent1 2 4 2" xfId="4294" xr:uid="{00000000-0005-0000-0000-000075100000}"/>
    <cellStyle name="Accent1 2 5" xfId="4295" xr:uid="{00000000-0005-0000-0000-000076100000}"/>
    <cellStyle name="Accent1 2 5 2" xfId="4296" xr:uid="{00000000-0005-0000-0000-000077100000}"/>
    <cellStyle name="Accent1 2 6" xfId="4297" xr:uid="{00000000-0005-0000-0000-000078100000}"/>
    <cellStyle name="Accent1 2 6 2" xfId="4298" xr:uid="{00000000-0005-0000-0000-000079100000}"/>
    <cellStyle name="Accent1 2 7" xfId="4299" xr:uid="{00000000-0005-0000-0000-00007A100000}"/>
    <cellStyle name="Accent1 2 7 2" xfId="4300" xr:uid="{00000000-0005-0000-0000-00007B100000}"/>
    <cellStyle name="Accent1 2 8" xfId="4301" xr:uid="{00000000-0005-0000-0000-00007C100000}"/>
    <cellStyle name="Accent1 2 8 2" xfId="4302" xr:uid="{00000000-0005-0000-0000-00007D100000}"/>
    <cellStyle name="Accent1 2 9" xfId="4303" xr:uid="{00000000-0005-0000-0000-00007E100000}"/>
    <cellStyle name="Accent1 2 9 2" xfId="4304" xr:uid="{00000000-0005-0000-0000-00007F100000}"/>
    <cellStyle name="Accent1 2_Block-F LGF POur-II BBS" xfId="4305" xr:uid="{00000000-0005-0000-0000-000080100000}"/>
    <cellStyle name="Accent1 20" xfId="4306" xr:uid="{00000000-0005-0000-0000-000081100000}"/>
    <cellStyle name="Accent1 20 2" xfId="4307" xr:uid="{00000000-0005-0000-0000-000082100000}"/>
    <cellStyle name="Accent1 21" xfId="4308" xr:uid="{00000000-0005-0000-0000-000083100000}"/>
    <cellStyle name="Accent1 21 2" xfId="4309" xr:uid="{00000000-0005-0000-0000-000084100000}"/>
    <cellStyle name="Accent1 22" xfId="4310" xr:uid="{00000000-0005-0000-0000-000085100000}"/>
    <cellStyle name="Accent1 23" xfId="4311" xr:uid="{00000000-0005-0000-0000-000086100000}"/>
    <cellStyle name="Accent1 24" xfId="4312" xr:uid="{00000000-0005-0000-0000-000087100000}"/>
    <cellStyle name="Accent1 25" xfId="4313" xr:uid="{00000000-0005-0000-0000-000088100000}"/>
    <cellStyle name="Accent1 26" xfId="4314" xr:uid="{00000000-0005-0000-0000-000089100000}"/>
    <cellStyle name="Accent1 27" xfId="4315" xr:uid="{00000000-0005-0000-0000-00008A100000}"/>
    <cellStyle name="Accent1 28" xfId="4316" xr:uid="{00000000-0005-0000-0000-00008B100000}"/>
    <cellStyle name="Accent1 29" xfId="4317" xr:uid="{00000000-0005-0000-0000-00008C100000}"/>
    <cellStyle name="Accent1 3" xfId="4318" xr:uid="{00000000-0005-0000-0000-00008D100000}"/>
    <cellStyle name="Accent1 3 2" xfId="4319" xr:uid="{00000000-0005-0000-0000-00008E100000}"/>
    <cellStyle name="Accent1 3 2 2" xfId="4320" xr:uid="{00000000-0005-0000-0000-00008F100000}"/>
    <cellStyle name="Accent1 3 2 3" xfId="4321" xr:uid="{00000000-0005-0000-0000-000090100000}"/>
    <cellStyle name="Accent1 3 2 4" xfId="4322" xr:uid="{00000000-0005-0000-0000-000091100000}"/>
    <cellStyle name="Accent1 3 2 5" xfId="4323" xr:uid="{00000000-0005-0000-0000-000092100000}"/>
    <cellStyle name="Accent1 3 2 6" xfId="4324" xr:uid="{00000000-0005-0000-0000-000093100000}"/>
    <cellStyle name="Accent1 3 2 7" xfId="4325" xr:uid="{00000000-0005-0000-0000-000094100000}"/>
    <cellStyle name="Accent1 3 2 8" xfId="4326" xr:uid="{00000000-0005-0000-0000-000095100000}"/>
    <cellStyle name="Accent1 3 2 9" xfId="4327" xr:uid="{00000000-0005-0000-0000-000096100000}"/>
    <cellStyle name="Accent1 3 3" xfId="4328" xr:uid="{00000000-0005-0000-0000-000097100000}"/>
    <cellStyle name="Accent1 3 3 2" xfId="4329" xr:uid="{00000000-0005-0000-0000-000098100000}"/>
    <cellStyle name="Accent1 3 3 3" xfId="4330" xr:uid="{00000000-0005-0000-0000-000099100000}"/>
    <cellStyle name="Accent1 3 4" xfId="4331" xr:uid="{00000000-0005-0000-0000-00009A100000}"/>
    <cellStyle name="Accent1 3 4 2" xfId="4332" xr:uid="{00000000-0005-0000-0000-00009B100000}"/>
    <cellStyle name="Accent1 3 5" xfId="4333" xr:uid="{00000000-0005-0000-0000-00009C100000}"/>
    <cellStyle name="Accent1 3 6" xfId="4334" xr:uid="{00000000-0005-0000-0000-00009D100000}"/>
    <cellStyle name="Accent1 3 7" xfId="4335" xr:uid="{00000000-0005-0000-0000-00009E100000}"/>
    <cellStyle name="Accent1 3 8" xfId="4336" xr:uid="{00000000-0005-0000-0000-00009F100000}"/>
    <cellStyle name="Accent1 3_Ramadugu_ SWGH" xfId="4337" xr:uid="{00000000-0005-0000-0000-0000A0100000}"/>
    <cellStyle name="Accent1 30" xfId="4338" xr:uid="{00000000-0005-0000-0000-0000A1100000}"/>
    <cellStyle name="Accent1 31" xfId="4339" xr:uid="{00000000-0005-0000-0000-0000A2100000}"/>
    <cellStyle name="Accent1 32" xfId="4340" xr:uid="{00000000-0005-0000-0000-0000A3100000}"/>
    <cellStyle name="Accent1 33" xfId="4341" xr:uid="{00000000-0005-0000-0000-0000A4100000}"/>
    <cellStyle name="Accent1 34" xfId="4342" xr:uid="{00000000-0005-0000-0000-0000A5100000}"/>
    <cellStyle name="Accent1 35" xfId="4343" xr:uid="{00000000-0005-0000-0000-0000A6100000}"/>
    <cellStyle name="Accent1 36" xfId="4344" xr:uid="{00000000-0005-0000-0000-0000A7100000}"/>
    <cellStyle name="Accent1 37" xfId="4345" xr:uid="{00000000-0005-0000-0000-0000A8100000}"/>
    <cellStyle name="Accent1 38" xfId="4346" xr:uid="{00000000-0005-0000-0000-0000A9100000}"/>
    <cellStyle name="Accent1 39" xfId="4347" xr:uid="{00000000-0005-0000-0000-0000AA100000}"/>
    <cellStyle name="Accent1 4" xfId="4348" xr:uid="{00000000-0005-0000-0000-0000AB100000}"/>
    <cellStyle name="Accent1 4 10" xfId="4349" xr:uid="{00000000-0005-0000-0000-0000AC100000}"/>
    <cellStyle name="Accent1 4 11" xfId="4350" xr:uid="{00000000-0005-0000-0000-0000AD100000}"/>
    <cellStyle name="Accent1 4 12" xfId="4351" xr:uid="{00000000-0005-0000-0000-0000AE100000}"/>
    <cellStyle name="Accent1 4 13" xfId="4352" xr:uid="{00000000-0005-0000-0000-0000AF100000}"/>
    <cellStyle name="Accent1 4 14" xfId="4353" xr:uid="{00000000-0005-0000-0000-0000B0100000}"/>
    <cellStyle name="Accent1 4 15" xfId="4354" xr:uid="{00000000-0005-0000-0000-0000B1100000}"/>
    <cellStyle name="Accent1 4 16" xfId="4355" xr:uid="{00000000-0005-0000-0000-0000B2100000}"/>
    <cellStyle name="Accent1 4 2" xfId="4356" xr:uid="{00000000-0005-0000-0000-0000B3100000}"/>
    <cellStyle name="Accent1 4 3" xfId="4357" xr:uid="{00000000-0005-0000-0000-0000B4100000}"/>
    <cellStyle name="Accent1 4 3 2" xfId="4358" xr:uid="{00000000-0005-0000-0000-0000B5100000}"/>
    <cellStyle name="Accent1 4 4" xfId="4359" xr:uid="{00000000-0005-0000-0000-0000B6100000}"/>
    <cellStyle name="Accent1 4 4 2" xfId="4360" xr:uid="{00000000-0005-0000-0000-0000B7100000}"/>
    <cellStyle name="Accent1 4 5" xfId="4361" xr:uid="{00000000-0005-0000-0000-0000B8100000}"/>
    <cellStyle name="Accent1 4 6" xfId="4362" xr:uid="{00000000-0005-0000-0000-0000B9100000}"/>
    <cellStyle name="Accent1 4 7" xfId="4363" xr:uid="{00000000-0005-0000-0000-0000BA100000}"/>
    <cellStyle name="Accent1 4 8" xfId="4364" xr:uid="{00000000-0005-0000-0000-0000BB100000}"/>
    <cellStyle name="Accent1 4 9" xfId="4365" xr:uid="{00000000-0005-0000-0000-0000BC100000}"/>
    <cellStyle name="Accent1 4_Sheet2" xfId="4366" xr:uid="{00000000-0005-0000-0000-0000BD100000}"/>
    <cellStyle name="Accent1 40" xfId="4367" xr:uid="{00000000-0005-0000-0000-0000BE100000}"/>
    <cellStyle name="Accent1 41" xfId="4368" xr:uid="{00000000-0005-0000-0000-0000BF100000}"/>
    <cellStyle name="Accent1 42" xfId="4369" xr:uid="{00000000-0005-0000-0000-0000C0100000}"/>
    <cellStyle name="Accent1 43" xfId="4370" xr:uid="{00000000-0005-0000-0000-0000C1100000}"/>
    <cellStyle name="Accent1 44" xfId="4371" xr:uid="{00000000-0005-0000-0000-0000C2100000}"/>
    <cellStyle name="Accent1 45" xfId="4372" xr:uid="{00000000-0005-0000-0000-0000C3100000}"/>
    <cellStyle name="Accent1 46" xfId="4373" xr:uid="{00000000-0005-0000-0000-0000C4100000}"/>
    <cellStyle name="Accent1 47" xfId="4374" xr:uid="{00000000-0005-0000-0000-0000C5100000}"/>
    <cellStyle name="Accent1 48" xfId="4375" xr:uid="{00000000-0005-0000-0000-0000C6100000}"/>
    <cellStyle name="Accent1 49" xfId="4376" xr:uid="{00000000-0005-0000-0000-0000C7100000}"/>
    <cellStyle name="Accent1 5" xfId="4377" xr:uid="{00000000-0005-0000-0000-0000C8100000}"/>
    <cellStyle name="Accent1 5 10" xfId="4378" xr:uid="{00000000-0005-0000-0000-0000C9100000}"/>
    <cellStyle name="Accent1 5 11" xfId="4379" xr:uid="{00000000-0005-0000-0000-0000CA100000}"/>
    <cellStyle name="Accent1 5 12" xfId="4380" xr:uid="{00000000-0005-0000-0000-0000CB100000}"/>
    <cellStyle name="Accent1 5 13" xfId="4381" xr:uid="{00000000-0005-0000-0000-0000CC100000}"/>
    <cellStyle name="Accent1 5 14" xfId="4382" xr:uid="{00000000-0005-0000-0000-0000CD100000}"/>
    <cellStyle name="Accent1 5 15" xfId="4383" xr:uid="{00000000-0005-0000-0000-0000CE100000}"/>
    <cellStyle name="Accent1 5 16" xfId="4384" xr:uid="{00000000-0005-0000-0000-0000CF100000}"/>
    <cellStyle name="Accent1 5 2" xfId="4385" xr:uid="{00000000-0005-0000-0000-0000D0100000}"/>
    <cellStyle name="Accent1 5 2 2" xfId="4386" xr:uid="{00000000-0005-0000-0000-0000D1100000}"/>
    <cellStyle name="Accent1 5 3" xfId="4387" xr:uid="{00000000-0005-0000-0000-0000D2100000}"/>
    <cellStyle name="Accent1 5 3 2" xfId="4388" xr:uid="{00000000-0005-0000-0000-0000D3100000}"/>
    <cellStyle name="Accent1 5 4" xfId="4389" xr:uid="{00000000-0005-0000-0000-0000D4100000}"/>
    <cellStyle name="Accent1 5 4 2" xfId="4390" xr:uid="{00000000-0005-0000-0000-0000D5100000}"/>
    <cellStyle name="Accent1 5 5" xfId="4391" xr:uid="{00000000-0005-0000-0000-0000D6100000}"/>
    <cellStyle name="Accent1 5 6" xfId="4392" xr:uid="{00000000-0005-0000-0000-0000D7100000}"/>
    <cellStyle name="Accent1 5 7" xfId="4393" xr:uid="{00000000-0005-0000-0000-0000D8100000}"/>
    <cellStyle name="Accent1 5 8" xfId="4394" xr:uid="{00000000-0005-0000-0000-0000D9100000}"/>
    <cellStyle name="Accent1 5 9" xfId="4395" xr:uid="{00000000-0005-0000-0000-0000DA100000}"/>
    <cellStyle name="Accent1 5_Sheet2" xfId="4396" xr:uid="{00000000-0005-0000-0000-0000DB100000}"/>
    <cellStyle name="Accent1 50" xfId="4397" xr:uid="{00000000-0005-0000-0000-0000DC100000}"/>
    <cellStyle name="Accent1 51" xfId="4398" xr:uid="{00000000-0005-0000-0000-0000DD100000}"/>
    <cellStyle name="Accent1 52" xfId="4399" xr:uid="{00000000-0005-0000-0000-0000DE100000}"/>
    <cellStyle name="Accent1 53" xfId="4400" xr:uid="{00000000-0005-0000-0000-0000DF100000}"/>
    <cellStyle name="Accent1 6" xfId="4401" xr:uid="{00000000-0005-0000-0000-0000E0100000}"/>
    <cellStyle name="Accent1 6 10" xfId="4402" xr:uid="{00000000-0005-0000-0000-0000E1100000}"/>
    <cellStyle name="Accent1 6 11" xfId="4403" xr:uid="{00000000-0005-0000-0000-0000E2100000}"/>
    <cellStyle name="Accent1 6 12" xfId="4404" xr:uid="{00000000-0005-0000-0000-0000E3100000}"/>
    <cellStyle name="Accent1 6 13" xfId="4405" xr:uid="{00000000-0005-0000-0000-0000E4100000}"/>
    <cellStyle name="Accent1 6 14" xfId="4406" xr:uid="{00000000-0005-0000-0000-0000E5100000}"/>
    <cellStyle name="Accent1 6 15" xfId="4407" xr:uid="{00000000-0005-0000-0000-0000E6100000}"/>
    <cellStyle name="Accent1 6 16" xfId="4408" xr:uid="{00000000-0005-0000-0000-0000E7100000}"/>
    <cellStyle name="Accent1 6 2" xfId="4409" xr:uid="{00000000-0005-0000-0000-0000E8100000}"/>
    <cellStyle name="Accent1 6 2 2" xfId="4410" xr:uid="{00000000-0005-0000-0000-0000E9100000}"/>
    <cellStyle name="Accent1 6 3" xfId="4411" xr:uid="{00000000-0005-0000-0000-0000EA100000}"/>
    <cellStyle name="Accent1 6 3 2" xfId="4412" xr:uid="{00000000-0005-0000-0000-0000EB100000}"/>
    <cellStyle name="Accent1 6 4" xfId="4413" xr:uid="{00000000-0005-0000-0000-0000EC100000}"/>
    <cellStyle name="Accent1 6 4 2" xfId="4414" xr:uid="{00000000-0005-0000-0000-0000ED100000}"/>
    <cellStyle name="Accent1 6 5" xfId="4415" xr:uid="{00000000-0005-0000-0000-0000EE100000}"/>
    <cellStyle name="Accent1 6 6" xfId="4416" xr:uid="{00000000-0005-0000-0000-0000EF100000}"/>
    <cellStyle name="Accent1 6 7" xfId="4417" xr:uid="{00000000-0005-0000-0000-0000F0100000}"/>
    <cellStyle name="Accent1 6 8" xfId="4418" xr:uid="{00000000-0005-0000-0000-0000F1100000}"/>
    <cellStyle name="Accent1 6 9" xfId="4419" xr:uid="{00000000-0005-0000-0000-0000F2100000}"/>
    <cellStyle name="Accent1 6_Sheet2" xfId="4420" xr:uid="{00000000-0005-0000-0000-0000F3100000}"/>
    <cellStyle name="Accent1 7" xfId="4421" xr:uid="{00000000-0005-0000-0000-0000F4100000}"/>
    <cellStyle name="Accent1 7 10" xfId="4422" xr:uid="{00000000-0005-0000-0000-0000F5100000}"/>
    <cellStyle name="Accent1 7 11" xfId="4423" xr:uid="{00000000-0005-0000-0000-0000F6100000}"/>
    <cellStyle name="Accent1 7 12" xfId="4424" xr:uid="{00000000-0005-0000-0000-0000F7100000}"/>
    <cellStyle name="Accent1 7 13" xfId="4425" xr:uid="{00000000-0005-0000-0000-0000F8100000}"/>
    <cellStyle name="Accent1 7 14" xfId="4426" xr:uid="{00000000-0005-0000-0000-0000F9100000}"/>
    <cellStyle name="Accent1 7 15" xfId="4427" xr:uid="{00000000-0005-0000-0000-0000FA100000}"/>
    <cellStyle name="Accent1 7 16" xfId="4428" xr:uid="{00000000-0005-0000-0000-0000FB100000}"/>
    <cellStyle name="Accent1 7 2" xfId="4429" xr:uid="{00000000-0005-0000-0000-0000FC100000}"/>
    <cellStyle name="Accent1 7 2 2" xfId="4430" xr:uid="{00000000-0005-0000-0000-0000FD100000}"/>
    <cellStyle name="Accent1 7 3" xfId="4431" xr:uid="{00000000-0005-0000-0000-0000FE100000}"/>
    <cellStyle name="Accent1 7 3 2" xfId="4432" xr:uid="{00000000-0005-0000-0000-0000FF100000}"/>
    <cellStyle name="Accent1 7 4" xfId="4433" xr:uid="{00000000-0005-0000-0000-000000110000}"/>
    <cellStyle name="Accent1 7 4 2" xfId="4434" xr:uid="{00000000-0005-0000-0000-000001110000}"/>
    <cellStyle name="Accent1 7 5" xfId="4435" xr:uid="{00000000-0005-0000-0000-000002110000}"/>
    <cellStyle name="Accent1 7 6" xfId="4436" xr:uid="{00000000-0005-0000-0000-000003110000}"/>
    <cellStyle name="Accent1 7 7" xfId="4437" xr:uid="{00000000-0005-0000-0000-000004110000}"/>
    <cellStyle name="Accent1 7 8" xfId="4438" xr:uid="{00000000-0005-0000-0000-000005110000}"/>
    <cellStyle name="Accent1 7 9" xfId="4439" xr:uid="{00000000-0005-0000-0000-000006110000}"/>
    <cellStyle name="Accent1 7_Sheet2" xfId="4440" xr:uid="{00000000-0005-0000-0000-000007110000}"/>
    <cellStyle name="Accent1 8" xfId="4441" xr:uid="{00000000-0005-0000-0000-000008110000}"/>
    <cellStyle name="Accent1 8 10" xfId="4442" xr:uid="{00000000-0005-0000-0000-000009110000}"/>
    <cellStyle name="Accent1 8 11" xfId="4443" xr:uid="{00000000-0005-0000-0000-00000A110000}"/>
    <cellStyle name="Accent1 8 12" xfId="4444" xr:uid="{00000000-0005-0000-0000-00000B110000}"/>
    <cellStyle name="Accent1 8 13" xfId="4445" xr:uid="{00000000-0005-0000-0000-00000C110000}"/>
    <cellStyle name="Accent1 8 14" xfId="4446" xr:uid="{00000000-0005-0000-0000-00000D110000}"/>
    <cellStyle name="Accent1 8 15" xfId="4447" xr:uid="{00000000-0005-0000-0000-00000E110000}"/>
    <cellStyle name="Accent1 8 16" xfId="4448" xr:uid="{00000000-0005-0000-0000-00000F110000}"/>
    <cellStyle name="Accent1 8 2" xfId="4449" xr:uid="{00000000-0005-0000-0000-000010110000}"/>
    <cellStyle name="Accent1 8 3" xfId="4450" xr:uid="{00000000-0005-0000-0000-000011110000}"/>
    <cellStyle name="Accent1 8 4" xfId="4451" xr:uid="{00000000-0005-0000-0000-000012110000}"/>
    <cellStyle name="Accent1 8 5" xfId="4452" xr:uid="{00000000-0005-0000-0000-000013110000}"/>
    <cellStyle name="Accent1 8 6" xfId="4453" xr:uid="{00000000-0005-0000-0000-000014110000}"/>
    <cellStyle name="Accent1 8 7" xfId="4454" xr:uid="{00000000-0005-0000-0000-000015110000}"/>
    <cellStyle name="Accent1 8 8" xfId="4455" xr:uid="{00000000-0005-0000-0000-000016110000}"/>
    <cellStyle name="Accent1 8 9" xfId="4456" xr:uid="{00000000-0005-0000-0000-000017110000}"/>
    <cellStyle name="Accent1 8_Sheet2" xfId="4457" xr:uid="{00000000-0005-0000-0000-000018110000}"/>
    <cellStyle name="Accent1 9" xfId="4458" xr:uid="{00000000-0005-0000-0000-000019110000}"/>
    <cellStyle name="Accent1 9 10" xfId="4459" xr:uid="{00000000-0005-0000-0000-00001A110000}"/>
    <cellStyle name="Accent1 9 11" xfId="4460" xr:uid="{00000000-0005-0000-0000-00001B110000}"/>
    <cellStyle name="Accent1 9 12" xfId="4461" xr:uid="{00000000-0005-0000-0000-00001C110000}"/>
    <cellStyle name="Accent1 9 13" xfId="4462" xr:uid="{00000000-0005-0000-0000-00001D110000}"/>
    <cellStyle name="Accent1 9 14" xfId="4463" xr:uid="{00000000-0005-0000-0000-00001E110000}"/>
    <cellStyle name="Accent1 9 15" xfId="4464" xr:uid="{00000000-0005-0000-0000-00001F110000}"/>
    <cellStyle name="Accent1 9 16" xfId="4465" xr:uid="{00000000-0005-0000-0000-000020110000}"/>
    <cellStyle name="Accent1 9 2" xfId="4466" xr:uid="{00000000-0005-0000-0000-000021110000}"/>
    <cellStyle name="Accent1 9 3" xfId="4467" xr:uid="{00000000-0005-0000-0000-000022110000}"/>
    <cellStyle name="Accent1 9 4" xfId="4468" xr:uid="{00000000-0005-0000-0000-000023110000}"/>
    <cellStyle name="Accent1 9 5" xfId="4469" xr:uid="{00000000-0005-0000-0000-000024110000}"/>
    <cellStyle name="Accent1 9 6" xfId="4470" xr:uid="{00000000-0005-0000-0000-000025110000}"/>
    <cellStyle name="Accent1 9 7" xfId="4471" xr:uid="{00000000-0005-0000-0000-000026110000}"/>
    <cellStyle name="Accent1 9 8" xfId="4472" xr:uid="{00000000-0005-0000-0000-000027110000}"/>
    <cellStyle name="Accent1 9 9" xfId="4473" xr:uid="{00000000-0005-0000-0000-000028110000}"/>
    <cellStyle name="Accent2" xfId="20" builtinId="33" customBuiltin="1"/>
    <cellStyle name="Accent2 - 20%" xfId="4474" xr:uid="{00000000-0005-0000-0000-00002A110000}"/>
    <cellStyle name="Accent2 - 20% 2" xfId="4475" xr:uid="{00000000-0005-0000-0000-00002B110000}"/>
    <cellStyle name="Accent2 - 20% 2 2" xfId="4476" xr:uid="{00000000-0005-0000-0000-00002C110000}"/>
    <cellStyle name="Accent2 - 20% 2 3" xfId="4477" xr:uid="{00000000-0005-0000-0000-00002D110000}"/>
    <cellStyle name="Accent2 - 20% 3" xfId="4478" xr:uid="{00000000-0005-0000-0000-00002E110000}"/>
    <cellStyle name="Accent2 - 20% 4" xfId="4479" xr:uid="{00000000-0005-0000-0000-00002F110000}"/>
    <cellStyle name="Accent2 - 20%_APSWRSC-Kalasamudram" xfId="4480" xr:uid="{00000000-0005-0000-0000-000030110000}"/>
    <cellStyle name="Accent2 - 40%" xfId="4481" xr:uid="{00000000-0005-0000-0000-000031110000}"/>
    <cellStyle name="Accent2 - 40% 2" xfId="4482" xr:uid="{00000000-0005-0000-0000-000032110000}"/>
    <cellStyle name="Accent2 - 40% 2 2" xfId="4483" xr:uid="{00000000-0005-0000-0000-000033110000}"/>
    <cellStyle name="Accent2 - 40% 2 3" xfId="4484" xr:uid="{00000000-0005-0000-0000-000034110000}"/>
    <cellStyle name="Accent2 - 40% 3" xfId="4485" xr:uid="{00000000-0005-0000-0000-000035110000}"/>
    <cellStyle name="Accent2 - 40% 4" xfId="4486" xr:uid="{00000000-0005-0000-0000-000036110000}"/>
    <cellStyle name="Accent2 - 40%_APSWRSC-Kalasamudram" xfId="4487" xr:uid="{00000000-0005-0000-0000-000037110000}"/>
    <cellStyle name="Accent2 - 60%" xfId="4488" xr:uid="{00000000-0005-0000-0000-000038110000}"/>
    <cellStyle name="Accent2 - 60% 2" xfId="4489" xr:uid="{00000000-0005-0000-0000-000039110000}"/>
    <cellStyle name="Accent2 - 60% 3" xfId="4490" xr:uid="{00000000-0005-0000-0000-00003A110000}"/>
    <cellStyle name="Accent2 1" xfId="4491" xr:uid="{00000000-0005-0000-0000-00003B110000}"/>
    <cellStyle name="Accent2 1 1" xfId="4492" xr:uid="{00000000-0005-0000-0000-00003C110000}"/>
    <cellStyle name="Accent2 10" xfId="4493" xr:uid="{00000000-0005-0000-0000-00003D110000}"/>
    <cellStyle name="Accent2 10 10" xfId="4494" xr:uid="{00000000-0005-0000-0000-00003E110000}"/>
    <cellStyle name="Accent2 10 11" xfId="4495" xr:uid="{00000000-0005-0000-0000-00003F110000}"/>
    <cellStyle name="Accent2 10 12" xfId="4496" xr:uid="{00000000-0005-0000-0000-000040110000}"/>
    <cellStyle name="Accent2 10 13" xfId="4497" xr:uid="{00000000-0005-0000-0000-000041110000}"/>
    <cellStyle name="Accent2 10 14" xfId="4498" xr:uid="{00000000-0005-0000-0000-000042110000}"/>
    <cellStyle name="Accent2 10 15" xfId="4499" xr:uid="{00000000-0005-0000-0000-000043110000}"/>
    <cellStyle name="Accent2 10 16" xfId="4500" xr:uid="{00000000-0005-0000-0000-000044110000}"/>
    <cellStyle name="Accent2 10 2" xfId="4501" xr:uid="{00000000-0005-0000-0000-000045110000}"/>
    <cellStyle name="Accent2 10 3" xfId="4502" xr:uid="{00000000-0005-0000-0000-000046110000}"/>
    <cellStyle name="Accent2 10 4" xfId="4503" xr:uid="{00000000-0005-0000-0000-000047110000}"/>
    <cellStyle name="Accent2 10 5" xfId="4504" xr:uid="{00000000-0005-0000-0000-000048110000}"/>
    <cellStyle name="Accent2 10 6" xfId="4505" xr:uid="{00000000-0005-0000-0000-000049110000}"/>
    <cellStyle name="Accent2 10 7" xfId="4506" xr:uid="{00000000-0005-0000-0000-00004A110000}"/>
    <cellStyle name="Accent2 10 8" xfId="4507" xr:uid="{00000000-0005-0000-0000-00004B110000}"/>
    <cellStyle name="Accent2 10 9" xfId="4508" xr:uid="{00000000-0005-0000-0000-00004C110000}"/>
    <cellStyle name="Accent2 11" xfId="4509" xr:uid="{00000000-0005-0000-0000-00004D110000}"/>
    <cellStyle name="Accent2 11 2" xfId="4510" xr:uid="{00000000-0005-0000-0000-00004E110000}"/>
    <cellStyle name="Accent2 11 3" xfId="4511" xr:uid="{00000000-0005-0000-0000-00004F110000}"/>
    <cellStyle name="Accent2 11 4" xfId="4512" xr:uid="{00000000-0005-0000-0000-000050110000}"/>
    <cellStyle name="Accent2 11 5" xfId="4513" xr:uid="{00000000-0005-0000-0000-000051110000}"/>
    <cellStyle name="Accent2 11 6" xfId="4514" xr:uid="{00000000-0005-0000-0000-000052110000}"/>
    <cellStyle name="Accent2 11 7" xfId="4515" xr:uid="{00000000-0005-0000-0000-000053110000}"/>
    <cellStyle name="Accent2 11 8" xfId="4516" xr:uid="{00000000-0005-0000-0000-000054110000}"/>
    <cellStyle name="Accent2 11 9" xfId="4517" xr:uid="{00000000-0005-0000-0000-000055110000}"/>
    <cellStyle name="Accent2 12" xfId="4518" xr:uid="{00000000-0005-0000-0000-000056110000}"/>
    <cellStyle name="Accent2 12 2" xfId="4519" xr:uid="{00000000-0005-0000-0000-000057110000}"/>
    <cellStyle name="Accent2 12 3" xfId="4520" xr:uid="{00000000-0005-0000-0000-000058110000}"/>
    <cellStyle name="Accent2 12 4" xfId="4521" xr:uid="{00000000-0005-0000-0000-000059110000}"/>
    <cellStyle name="Accent2 12 5" xfId="4522" xr:uid="{00000000-0005-0000-0000-00005A110000}"/>
    <cellStyle name="Accent2 12 6" xfId="4523" xr:uid="{00000000-0005-0000-0000-00005B110000}"/>
    <cellStyle name="Accent2 12 7" xfId="4524" xr:uid="{00000000-0005-0000-0000-00005C110000}"/>
    <cellStyle name="Accent2 12 8" xfId="4525" xr:uid="{00000000-0005-0000-0000-00005D110000}"/>
    <cellStyle name="Accent2 12 9" xfId="4526" xr:uid="{00000000-0005-0000-0000-00005E110000}"/>
    <cellStyle name="Accent2 13" xfId="4527" xr:uid="{00000000-0005-0000-0000-00005F110000}"/>
    <cellStyle name="Accent2 13 2" xfId="4528" xr:uid="{00000000-0005-0000-0000-000060110000}"/>
    <cellStyle name="Accent2 13 3" xfId="4529" xr:uid="{00000000-0005-0000-0000-000061110000}"/>
    <cellStyle name="Accent2 13 4" xfId="4530" xr:uid="{00000000-0005-0000-0000-000062110000}"/>
    <cellStyle name="Accent2 13 5" xfId="4531" xr:uid="{00000000-0005-0000-0000-000063110000}"/>
    <cellStyle name="Accent2 13 6" xfId="4532" xr:uid="{00000000-0005-0000-0000-000064110000}"/>
    <cellStyle name="Accent2 13 7" xfId="4533" xr:uid="{00000000-0005-0000-0000-000065110000}"/>
    <cellStyle name="Accent2 13 8" xfId="4534" xr:uid="{00000000-0005-0000-0000-000066110000}"/>
    <cellStyle name="Accent2 13 9" xfId="4535" xr:uid="{00000000-0005-0000-0000-000067110000}"/>
    <cellStyle name="Accent2 14" xfId="4536" xr:uid="{00000000-0005-0000-0000-000068110000}"/>
    <cellStyle name="Accent2 14 2" xfId="4537" xr:uid="{00000000-0005-0000-0000-000069110000}"/>
    <cellStyle name="Accent2 14 3" xfId="4538" xr:uid="{00000000-0005-0000-0000-00006A110000}"/>
    <cellStyle name="Accent2 14 4" xfId="4539" xr:uid="{00000000-0005-0000-0000-00006B110000}"/>
    <cellStyle name="Accent2 14 5" xfId="4540" xr:uid="{00000000-0005-0000-0000-00006C110000}"/>
    <cellStyle name="Accent2 14 6" xfId="4541" xr:uid="{00000000-0005-0000-0000-00006D110000}"/>
    <cellStyle name="Accent2 14 7" xfId="4542" xr:uid="{00000000-0005-0000-0000-00006E110000}"/>
    <cellStyle name="Accent2 14 8" xfId="4543" xr:uid="{00000000-0005-0000-0000-00006F110000}"/>
    <cellStyle name="Accent2 14 9" xfId="4544" xr:uid="{00000000-0005-0000-0000-000070110000}"/>
    <cellStyle name="Accent2 15" xfId="4545" xr:uid="{00000000-0005-0000-0000-000071110000}"/>
    <cellStyle name="Accent2 15 2" xfId="4546" xr:uid="{00000000-0005-0000-0000-000072110000}"/>
    <cellStyle name="Accent2 15 3" xfId="4547" xr:uid="{00000000-0005-0000-0000-000073110000}"/>
    <cellStyle name="Accent2 15 4" xfId="4548" xr:uid="{00000000-0005-0000-0000-000074110000}"/>
    <cellStyle name="Accent2 15 5" xfId="4549" xr:uid="{00000000-0005-0000-0000-000075110000}"/>
    <cellStyle name="Accent2 15 6" xfId="4550" xr:uid="{00000000-0005-0000-0000-000076110000}"/>
    <cellStyle name="Accent2 15 7" xfId="4551" xr:uid="{00000000-0005-0000-0000-000077110000}"/>
    <cellStyle name="Accent2 15 8" xfId="4552" xr:uid="{00000000-0005-0000-0000-000078110000}"/>
    <cellStyle name="Accent2 15 9" xfId="4553" xr:uid="{00000000-0005-0000-0000-000079110000}"/>
    <cellStyle name="Accent2 16" xfId="4554" xr:uid="{00000000-0005-0000-0000-00007A110000}"/>
    <cellStyle name="Accent2 16 2" xfId="4555" xr:uid="{00000000-0005-0000-0000-00007B110000}"/>
    <cellStyle name="Accent2 16 3" xfId="4556" xr:uid="{00000000-0005-0000-0000-00007C110000}"/>
    <cellStyle name="Accent2 16 4" xfId="4557" xr:uid="{00000000-0005-0000-0000-00007D110000}"/>
    <cellStyle name="Accent2 16 5" xfId="4558" xr:uid="{00000000-0005-0000-0000-00007E110000}"/>
    <cellStyle name="Accent2 16 6" xfId="4559" xr:uid="{00000000-0005-0000-0000-00007F110000}"/>
    <cellStyle name="Accent2 16 7" xfId="4560" xr:uid="{00000000-0005-0000-0000-000080110000}"/>
    <cellStyle name="Accent2 16 8" xfId="4561" xr:uid="{00000000-0005-0000-0000-000081110000}"/>
    <cellStyle name="Accent2 16 9" xfId="4562" xr:uid="{00000000-0005-0000-0000-000082110000}"/>
    <cellStyle name="Accent2 17" xfId="4563" xr:uid="{00000000-0005-0000-0000-000083110000}"/>
    <cellStyle name="Accent2 17 2" xfId="4564" xr:uid="{00000000-0005-0000-0000-000084110000}"/>
    <cellStyle name="Accent2 18" xfId="4565" xr:uid="{00000000-0005-0000-0000-000085110000}"/>
    <cellStyle name="Accent2 18 2" xfId="4566" xr:uid="{00000000-0005-0000-0000-000086110000}"/>
    <cellStyle name="Accent2 19" xfId="4567" xr:uid="{00000000-0005-0000-0000-000087110000}"/>
    <cellStyle name="Accent2 19 2" xfId="4568" xr:uid="{00000000-0005-0000-0000-000088110000}"/>
    <cellStyle name="Accent2 2" xfId="4569" xr:uid="{00000000-0005-0000-0000-000089110000}"/>
    <cellStyle name="Accent2 2 10" xfId="4570" xr:uid="{00000000-0005-0000-0000-00008A110000}"/>
    <cellStyle name="Accent2 2 10 2" xfId="4571" xr:uid="{00000000-0005-0000-0000-00008B110000}"/>
    <cellStyle name="Accent2 2 11" xfId="4572" xr:uid="{00000000-0005-0000-0000-00008C110000}"/>
    <cellStyle name="Accent2 2 12" xfId="4573" xr:uid="{00000000-0005-0000-0000-00008D110000}"/>
    <cellStyle name="Accent2 2 13" xfId="4574" xr:uid="{00000000-0005-0000-0000-00008E110000}"/>
    <cellStyle name="Accent2 2 2" xfId="4575" xr:uid="{00000000-0005-0000-0000-00008F110000}"/>
    <cellStyle name="Accent2 2 2 2" xfId="4576" xr:uid="{00000000-0005-0000-0000-000090110000}"/>
    <cellStyle name="Accent2 2 2 3" xfId="4577" xr:uid="{00000000-0005-0000-0000-000091110000}"/>
    <cellStyle name="Accent2 2 2 4" xfId="4578" xr:uid="{00000000-0005-0000-0000-000092110000}"/>
    <cellStyle name="Accent2 2 2 5" xfId="4579" xr:uid="{00000000-0005-0000-0000-000093110000}"/>
    <cellStyle name="Accent2 2 2 6" xfId="4580" xr:uid="{00000000-0005-0000-0000-000094110000}"/>
    <cellStyle name="Accent2 2 2 7" xfId="4581" xr:uid="{00000000-0005-0000-0000-000095110000}"/>
    <cellStyle name="Accent2 2 2 8" xfId="4582" xr:uid="{00000000-0005-0000-0000-000096110000}"/>
    <cellStyle name="Accent2 2 2 9" xfId="4583" xr:uid="{00000000-0005-0000-0000-000097110000}"/>
    <cellStyle name="Accent2 2 3" xfId="4584" xr:uid="{00000000-0005-0000-0000-000098110000}"/>
    <cellStyle name="Accent2 2 3 2" xfId="4585" xr:uid="{00000000-0005-0000-0000-000099110000}"/>
    <cellStyle name="Accent2 2 4" xfId="4586" xr:uid="{00000000-0005-0000-0000-00009A110000}"/>
    <cellStyle name="Accent2 2 4 2" xfId="4587" xr:uid="{00000000-0005-0000-0000-00009B110000}"/>
    <cellStyle name="Accent2 2 5" xfId="4588" xr:uid="{00000000-0005-0000-0000-00009C110000}"/>
    <cellStyle name="Accent2 2 5 2" xfId="4589" xr:uid="{00000000-0005-0000-0000-00009D110000}"/>
    <cellStyle name="Accent2 2 6" xfId="4590" xr:uid="{00000000-0005-0000-0000-00009E110000}"/>
    <cellStyle name="Accent2 2 6 2" xfId="4591" xr:uid="{00000000-0005-0000-0000-00009F110000}"/>
    <cellStyle name="Accent2 2 7" xfId="4592" xr:uid="{00000000-0005-0000-0000-0000A0110000}"/>
    <cellStyle name="Accent2 2 7 2" xfId="4593" xr:uid="{00000000-0005-0000-0000-0000A1110000}"/>
    <cellStyle name="Accent2 2 8" xfId="4594" xr:uid="{00000000-0005-0000-0000-0000A2110000}"/>
    <cellStyle name="Accent2 2 8 2" xfId="4595" xr:uid="{00000000-0005-0000-0000-0000A3110000}"/>
    <cellStyle name="Accent2 2 9" xfId="4596" xr:uid="{00000000-0005-0000-0000-0000A4110000}"/>
    <cellStyle name="Accent2 2 9 2" xfId="4597" xr:uid="{00000000-0005-0000-0000-0000A5110000}"/>
    <cellStyle name="Accent2 2_Block-F LGF POur-II BBS" xfId="4598" xr:uid="{00000000-0005-0000-0000-0000A6110000}"/>
    <cellStyle name="Accent2 20" xfId="4599" xr:uid="{00000000-0005-0000-0000-0000A7110000}"/>
    <cellStyle name="Accent2 20 2" xfId="4600" xr:uid="{00000000-0005-0000-0000-0000A8110000}"/>
    <cellStyle name="Accent2 21" xfId="4601" xr:uid="{00000000-0005-0000-0000-0000A9110000}"/>
    <cellStyle name="Accent2 21 2" xfId="4602" xr:uid="{00000000-0005-0000-0000-0000AA110000}"/>
    <cellStyle name="Accent2 22" xfId="4603" xr:uid="{00000000-0005-0000-0000-0000AB110000}"/>
    <cellStyle name="Accent2 23" xfId="4604" xr:uid="{00000000-0005-0000-0000-0000AC110000}"/>
    <cellStyle name="Accent2 24" xfId="4605" xr:uid="{00000000-0005-0000-0000-0000AD110000}"/>
    <cellStyle name="Accent2 25" xfId="4606" xr:uid="{00000000-0005-0000-0000-0000AE110000}"/>
    <cellStyle name="Accent2 26" xfId="4607" xr:uid="{00000000-0005-0000-0000-0000AF110000}"/>
    <cellStyle name="Accent2 27" xfId="4608" xr:uid="{00000000-0005-0000-0000-0000B0110000}"/>
    <cellStyle name="Accent2 28" xfId="4609" xr:uid="{00000000-0005-0000-0000-0000B1110000}"/>
    <cellStyle name="Accent2 29" xfId="4610" xr:uid="{00000000-0005-0000-0000-0000B2110000}"/>
    <cellStyle name="Accent2 3" xfId="4611" xr:uid="{00000000-0005-0000-0000-0000B3110000}"/>
    <cellStyle name="Accent2 3 2" xfId="4612" xr:uid="{00000000-0005-0000-0000-0000B4110000}"/>
    <cellStyle name="Accent2 3 2 2" xfId="4613" xr:uid="{00000000-0005-0000-0000-0000B5110000}"/>
    <cellStyle name="Accent2 3 2 3" xfId="4614" xr:uid="{00000000-0005-0000-0000-0000B6110000}"/>
    <cellStyle name="Accent2 3 2 4" xfId="4615" xr:uid="{00000000-0005-0000-0000-0000B7110000}"/>
    <cellStyle name="Accent2 3 2 5" xfId="4616" xr:uid="{00000000-0005-0000-0000-0000B8110000}"/>
    <cellStyle name="Accent2 3 2 6" xfId="4617" xr:uid="{00000000-0005-0000-0000-0000B9110000}"/>
    <cellStyle name="Accent2 3 2 7" xfId="4618" xr:uid="{00000000-0005-0000-0000-0000BA110000}"/>
    <cellStyle name="Accent2 3 2 8" xfId="4619" xr:uid="{00000000-0005-0000-0000-0000BB110000}"/>
    <cellStyle name="Accent2 3 2 9" xfId="4620" xr:uid="{00000000-0005-0000-0000-0000BC110000}"/>
    <cellStyle name="Accent2 3 3" xfId="4621" xr:uid="{00000000-0005-0000-0000-0000BD110000}"/>
    <cellStyle name="Accent2 3 3 2" xfId="4622" xr:uid="{00000000-0005-0000-0000-0000BE110000}"/>
    <cellStyle name="Accent2 3 3 3" xfId="4623" xr:uid="{00000000-0005-0000-0000-0000BF110000}"/>
    <cellStyle name="Accent2 3 4" xfId="4624" xr:uid="{00000000-0005-0000-0000-0000C0110000}"/>
    <cellStyle name="Accent2 3 4 2" xfId="4625" xr:uid="{00000000-0005-0000-0000-0000C1110000}"/>
    <cellStyle name="Accent2 3 5" xfId="4626" xr:uid="{00000000-0005-0000-0000-0000C2110000}"/>
    <cellStyle name="Accent2 3 6" xfId="4627" xr:uid="{00000000-0005-0000-0000-0000C3110000}"/>
    <cellStyle name="Accent2 3 7" xfId="4628" xr:uid="{00000000-0005-0000-0000-0000C4110000}"/>
    <cellStyle name="Accent2 3 8" xfId="4629" xr:uid="{00000000-0005-0000-0000-0000C5110000}"/>
    <cellStyle name="Accent2 3_Ramadugu_ SWGH" xfId="4630" xr:uid="{00000000-0005-0000-0000-0000C6110000}"/>
    <cellStyle name="Accent2 30" xfId="4631" xr:uid="{00000000-0005-0000-0000-0000C7110000}"/>
    <cellStyle name="Accent2 31" xfId="4632" xr:uid="{00000000-0005-0000-0000-0000C8110000}"/>
    <cellStyle name="Accent2 32" xfId="4633" xr:uid="{00000000-0005-0000-0000-0000C9110000}"/>
    <cellStyle name="Accent2 33" xfId="4634" xr:uid="{00000000-0005-0000-0000-0000CA110000}"/>
    <cellStyle name="Accent2 34" xfId="4635" xr:uid="{00000000-0005-0000-0000-0000CB110000}"/>
    <cellStyle name="Accent2 35" xfId="4636" xr:uid="{00000000-0005-0000-0000-0000CC110000}"/>
    <cellStyle name="Accent2 36" xfId="4637" xr:uid="{00000000-0005-0000-0000-0000CD110000}"/>
    <cellStyle name="Accent2 37" xfId="4638" xr:uid="{00000000-0005-0000-0000-0000CE110000}"/>
    <cellStyle name="Accent2 38" xfId="4639" xr:uid="{00000000-0005-0000-0000-0000CF110000}"/>
    <cellStyle name="Accent2 39" xfId="4640" xr:uid="{00000000-0005-0000-0000-0000D0110000}"/>
    <cellStyle name="Accent2 4" xfId="4641" xr:uid="{00000000-0005-0000-0000-0000D1110000}"/>
    <cellStyle name="Accent2 4 10" xfId="4642" xr:uid="{00000000-0005-0000-0000-0000D2110000}"/>
    <cellStyle name="Accent2 4 11" xfId="4643" xr:uid="{00000000-0005-0000-0000-0000D3110000}"/>
    <cellStyle name="Accent2 4 12" xfId="4644" xr:uid="{00000000-0005-0000-0000-0000D4110000}"/>
    <cellStyle name="Accent2 4 13" xfId="4645" xr:uid="{00000000-0005-0000-0000-0000D5110000}"/>
    <cellStyle name="Accent2 4 14" xfId="4646" xr:uid="{00000000-0005-0000-0000-0000D6110000}"/>
    <cellStyle name="Accent2 4 15" xfId="4647" xr:uid="{00000000-0005-0000-0000-0000D7110000}"/>
    <cellStyle name="Accent2 4 16" xfId="4648" xr:uid="{00000000-0005-0000-0000-0000D8110000}"/>
    <cellStyle name="Accent2 4 2" xfId="4649" xr:uid="{00000000-0005-0000-0000-0000D9110000}"/>
    <cellStyle name="Accent2 4 3" xfId="4650" xr:uid="{00000000-0005-0000-0000-0000DA110000}"/>
    <cellStyle name="Accent2 4 3 2" xfId="4651" xr:uid="{00000000-0005-0000-0000-0000DB110000}"/>
    <cellStyle name="Accent2 4 4" xfId="4652" xr:uid="{00000000-0005-0000-0000-0000DC110000}"/>
    <cellStyle name="Accent2 4 4 2" xfId="4653" xr:uid="{00000000-0005-0000-0000-0000DD110000}"/>
    <cellStyle name="Accent2 4 5" xfId="4654" xr:uid="{00000000-0005-0000-0000-0000DE110000}"/>
    <cellStyle name="Accent2 4 6" xfId="4655" xr:uid="{00000000-0005-0000-0000-0000DF110000}"/>
    <cellStyle name="Accent2 4 7" xfId="4656" xr:uid="{00000000-0005-0000-0000-0000E0110000}"/>
    <cellStyle name="Accent2 4 8" xfId="4657" xr:uid="{00000000-0005-0000-0000-0000E1110000}"/>
    <cellStyle name="Accent2 4 9" xfId="4658" xr:uid="{00000000-0005-0000-0000-0000E2110000}"/>
    <cellStyle name="Accent2 4_Sheet2" xfId="4659" xr:uid="{00000000-0005-0000-0000-0000E3110000}"/>
    <cellStyle name="Accent2 40" xfId="4660" xr:uid="{00000000-0005-0000-0000-0000E4110000}"/>
    <cellStyle name="Accent2 41" xfId="4661" xr:uid="{00000000-0005-0000-0000-0000E5110000}"/>
    <cellStyle name="Accent2 42" xfId="4662" xr:uid="{00000000-0005-0000-0000-0000E6110000}"/>
    <cellStyle name="Accent2 43" xfId="4663" xr:uid="{00000000-0005-0000-0000-0000E7110000}"/>
    <cellStyle name="Accent2 44" xfId="4664" xr:uid="{00000000-0005-0000-0000-0000E8110000}"/>
    <cellStyle name="Accent2 45" xfId="4665" xr:uid="{00000000-0005-0000-0000-0000E9110000}"/>
    <cellStyle name="Accent2 46" xfId="4666" xr:uid="{00000000-0005-0000-0000-0000EA110000}"/>
    <cellStyle name="Accent2 47" xfId="4667" xr:uid="{00000000-0005-0000-0000-0000EB110000}"/>
    <cellStyle name="Accent2 48" xfId="4668" xr:uid="{00000000-0005-0000-0000-0000EC110000}"/>
    <cellStyle name="Accent2 49" xfId="4669" xr:uid="{00000000-0005-0000-0000-0000ED110000}"/>
    <cellStyle name="Accent2 5" xfId="4670" xr:uid="{00000000-0005-0000-0000-0000EE110000}"/>
    <cellStyle name="Accent2 5 10" xfId="4671" xr:uid="{00000000-0005-0000-0000-0000EF110000}"/>
    <cellStyle name="Accent2 5 11" xfId="4672" xr:uid="{00000000-0005-0000-0000-0000F0110000}"/>
    <cellStyle name="Accent2 5 12" xfId="4673" xr:uid="{00000000-0005-0000-0000-0000F1110000}"/>
    <cellStyle name="Accent2 5 13" xfId="4674" xr:uid="{00000000-0005-0000-0000-0000F2110000}"/>
    <cellStyle name="Accent2 5 14" xfId="4675" xr:uid="{00000000-0005-0000-0000-0000F3110000}"/>
    <cellStyle name="Accent2 5 15" xfId="4676" xr:uid="{00000000-0005-0000-0000-0000F4110000}"/>
    <cellStyle name="Accent2 5 16" xfId="4677" xr:uid="{00000000-0005-0000-0000-0000F5110000}"/>
    <cellStyle name="Accent2 5 2" xfId="4678" xr:uid="{00000000-0005-0000-0000-0000F6110000}"/>
    <cellStyle name="Accent2 5 2 2" xfId="4679" xr:uid="{00000000-0005-0000-0000-0000F7110000}"/>
    <cellStyle name="Accent2 5 3" xfId="4680" xr:uid="{00000000-0005-0000-0000-0000F8110000}"/>
    <cellStyle name="Accent2 5 3 2" xfId="4681" xr:uid="{00000000-0005-0000-0000-0000F9110000}"/>
    <cellStyle name="Accent2 5 4" xfId="4682" xr:uid="{00000000-0005-0000-0000-0000FA110000}"/>
    <cellStyle name="Accent2 5 4 2" xfId="4683" xr:uid="{00000000-0005-0000-0000-0000FB110000}"/>
    <cellStyle name="Accent2 5 5" xfId="4684" xr:uid="{00000000-0005-0000-0000-0000FC110000}"/>
    <cellStyle name="Accent2 5 6" xfId="4685" xr:uid="{00000000-0005-0000-0000-0000FD110000}"/>
    <cellStyle name="Accent2 5 7" xfId="4686" xr:uid="{00000000-0005-0000-0000-0000FE110000}"/>
    <cellStyle name="Accent2 5 8" xfId="4687" xr:uid="{00000000-0005-0000-0000-0000FF110000}"/>
    <cellStyle name="Accent2 5 9" xfId="4688" xr:uid="{00000000-0005-0000-0000-000000120000}"/>
    <cellStyle name="Accent2 5_Sheet2" xfId="4689" xr:uid="{00000000-0005-0000-0000-000001120000}"/>
    <cellStyle name="Accent2 50" xfId="4690" xr:uid="{00000000-0005-0000-0000-000002120000}"/>
    <cellStyle name="Accent2 51" xfId="4691" xr:uid="{00000000-0005-0000-0000-000003120000}"/>
    <cellStyle name="Accent2 52" xfId="4692" xr:uid="{00000000-0005-0000-0000-000004120000}"/>
    <cellStyle name="Accent2 53" xfId="4693" xr:uid="{00000000-0005-0000-0000-000005120000}"/>
    <cellStyle name="Accent2 6" xfId="4694" xr:uid="{00000000-0005-0000-0000-000006120000}"/>
    <cellStyle name="Accent2 6 10" xfId="4695" xr:uid="{00000000-0005-0000-0000-000007120000}"/>
    <cellStyle name="Accent2 6 11" xfId="4696" xr:uid="{00000000-0005-0000-0000-000008120000}"/>
    <cellStyle name="Accent2 6 12" xfId="4697" xr:uid="{00000000-0005-0000-0000-000009120000}"/>
    <cellStyle name="Accent2 6 13" xfId="4698" xr:uid="{00000000-0005-0000-0000-00000A120000}"/>
    <cellStyle name="Accent2 6 14" xfId="4699" xr:uid="{00000000-0005-0000-0000-00000B120000}"/>
    <cellStyle name="Accent2 6 15" xfId="4700" xr:uid="{00000000-0005-0000-0000-00000C120000}"/>
    <cellStyle name="Accent2 6 16" xfId="4701" xr:uid="{00000000-0005-0000-0000-00000D120000}"/>
    <cellStyle name="Accent2 6 2" xfId="4702" xr:uid="{00000000-0005-0000-0000-00000E120000}"/>
    <cellStyle name="Accent2 6 2 2" xfId="4703" xr:uid="{00000000-0005-0000-0000-00000F120000}"/>
    <cellStyle name="Accent2 6 3" xfId="4704" xr:uid="{00000000-0005-0000-0000-000010120000}"/>
    <cellStyle name="Accent2 6 3 2" xfId="4705" xr:uid="{00000000-0005-0000-0000-000011120000}"/>
    <cellStyle name="Accent2 6 4" xfId="4706" xr:uid="{00000000-0005-0000-0000-000012120000}"/>
    <cellStyle name="Accent2 6 4 2" xfId="4707" xr:uid="{00000000-0005-0000-0000-000013120000}"/>
    <cellStyle name="Accent2 6 5" xfId="4708" xr:uid="{00000000-0005-0000-0000-000014120000}"/>
    <cellStyle name="Accent2 6 6" xfId="4709" xr:uid="{00000000-0005-0000-0000-000015120000}"/>
    <cellStyle name="Accent2 6 7" xfId="4710" xr:uid="{00000000-0005-0000-0000-000016120000}"/>
    <cellStyle name="Accent2 6 8" xfId="4711" xr:uid="{00000000-0005-0000-0000-000017120000}"/>
    <cellStyle name="Accent2 6 9" xfId="4712" xr:uid="{00000000-0005-0000-0000-000018120000}"/>
    <cellStyle name="Accent2 6_Sheet2" xfId="4713" xr:uid="{00000000-0005-0000-0000-000019120000}"/>
    <cellStyle name="Accent2 7" xfId="4714" xr:uid="{00000000-0005-0000-0000-00001A120000}"/>
    <cellStyle name="Accent2 7 10" xfId="4715" xr:uid="{00000000-0005-0000-0000-00001B120000}"/>
    <cellStyle name="Accent2 7 11" xfId="4716" xr:uid="{00000000-0005-0000-0000-00001C120000}"/>
    <cellStyle name="Accent2 7 12" xfId="4717" xr:uid="{00000000-0005-0000-0000-00001D120000}"/>
    <cellStyle name="Accent2 7 13" xfId="4718" xr:uid="{00000000-0005-0000-0000-00001E120000}"/>
    <cellStyle name="Accent2 7 14" xfId="4719" xr:uid="{00000000-0005-0000-0000-00001F120000}"/>
    <cellStyle name="Accent2 7 15" xfId="4720" xr:uid="{00000000-0005-0000-0000-000020120000}"/>
    <cellStyle name="Accent2 7 16" xfId="4721" xr:uid="{00000000-0005-0000-0000-000021120000}"/>
    <cellStyle name="Accent2 7 2" xfId="4722" xr:uid="{00000000-0005-0000-0000-000022120000}"/>
    <cellStyle name="Accent2 7 2 2" xfId="4723" xr:uid="{00000000-0005-0000-0000-000023120000}"/>
    <cellStyle name="Accent2 7 3" xfId="4724" xr:uid="{00000000-0005-0000-0000-000024120000}"/>
    <cellStyle name="Accent2 7 3 2" xfId="4725" xr:uid="{00000000-0005-0000-0000-000025120000}"/>
    <cellStyle name="Accent2 7 4" xfId="4726" xr:uid="{00000000-0005-0000-0000-000026120000}"/>
    <cellStyle name="Accent2 7 4 2" xfId="4727" xr:uid="{00000000-0005-0000-0000-000027120000}"/>
    <cellStyle name="Accent2 7 5" xfId="4728" xr:uid="{00000000-0005-0000-0000-000028120000}"/>
    <cellStyle name="Accent2 7 6" xfId="4729" xr:uid="{00000000-0005-0000-0000-000029120000}"/>
    <cellStyle name="Accent2 7 7" xfId="4730" xr:uid="{00000000-0005-0000-0000-00002A120000}"/>
    <cellStyle name="Accent2 7 8" xfId="4731" xr:uid="{00000000-0005-0000-0000-00002B120000}"/>
    <cellStyle name="Accent2 7 9" xfId="4732" xr:uid="{00000000-0005-0000-0000-00002C120000}"/>
    <cellStyle name="Accent2 7_Sheet2" xfId="4733" xr:uid="{00000000-0005-0000-0000-00002D120000}"/>
    <cellStyle name="Accent2 8" xfId="4734" xr:uid="{00000000-0005-0000-0000-00002E120000}"/>
    <cellStyle name="Accent2 8 10" xfId="4735" xr:uid="{00000000-0005-0000-0000-00002F120000}"/>
    <cellStyle name="Accent2 8 11" xfId="4736" xr:uid="{00000000-0005-0000-0000-000030120000}"/>
    <cellStyle name="Accent2 8 12" xfId="4737" xr:uid="{00000000-0005-0000-0000-000031120000}"/>
    <cellStyle name="Accent2 8 13" xfId="4738" xr:uid="{00000000-0005-0000-0000-000032120000}"/>
    <cellStyle name="Accent2 8 14" xfId="4739" xr:uid="{00000000-0005-0000-0000-000033120000}"/>
    <cellStyle name="Accent2 8 15" xfId="4740" xr:uid="{00000000-0005-0000-0000-000034120000}"/>
    <cellStyle name="Accent2 8 16" xfId="4741" xr:uid="{00000000-0005-0000-0000-000035120000}"/>
    <cellStyle name="Accent2 8 2" xfId="4742" xr:uid="{00000000-0005-0000-0000-000036120000}"/>
    <cellStyle name="Accent2 8 3" xfId="4743" xr:uid="{00000000-0005-0000-0000-000037120000}"/>
    <cellStyle name="Accent2 8 4" xfId="4744" xr:uid="{00000000-0005-0000-0000-000038120000}"/>
    <cellStyle name="Accent2 8 5" xfId="4745" xr:uid="{00000000-0005-0000-0000-000039120000}"/>
    <cellStyle name="Accent2 8 6" xfId="4746" xr:uid="{00000000-0005-0000-0000-00003A120000}"/>
    <cellStyle name="Accent2 8 7" xfId="4747" xr:uid="{00000000-0005-0000-0000-00003B120000}"/>
    <cellStyle name="Accent2 8 8" xfId="4748" xr:uid="{00000000-0005-0000-0000-00003C120000}"/>
    <cellStyle name="Accent2 8 9" xfId="4749" xr:uid="{00000000-0005-0000-0000-00003D120000}"/>
    <cellStyle name="Accent2 8_Sheet2" xfId="4750" xr:uid="{00000000-0005-0000-0000-00003E120000}"/>
    <cellStyle name="Accent2 9" xfId="4751" xr:uid="{00000000-0005-0000-0000-00003F120000}"/>
    <cellStyle name="Accent2 9 10" xfId="4752" xr:uid="{00000000-0005-0000-0000-000040120000}"/>
    <cellStyle name="Accent2 9 11" xfId="4753" xr:uid="{00000000-0005-0000-0000-000041120000}"/>
    <cellStyle name="Accent2 9 12" xfId="4754" xr:uid="{00000000-0005-0000-0000-000042120000}"/>
    <cellStyle name="Accent2 9 13" xfId="4755" xr:uid="{00000000-0005-0000-0000-000043120000}"/>
    <cellStyle name="Accent2 9 14" xfId="4756" xr:uid="{00000000-0005-0000-0000-000044120000}"/>
    <cellStyle name="Accent2 9 15" xfId="4757" xr:uid="{00000000-0005-0000-0000-000045120000}"/>
    <cellStyle name="Accent2 9 16" xfId="4758" xr:uid="{00000000-0005-0000-0000-000046120000}"/>
    <cellStyle name="Accent2 9 2" xfId="4759" xr:uid="{00000000-0005-0000-0000-000047120000}"/>
    <cellStyle name="Accent2 9 3" xfId="4760" xr:uid="{00000000-0005-0000-0000-000048120000}"/>
    <cellStyle name="Accent2 9 4" xfId="4761" xr:uid="{00000000-0005-0000-0000-000049120000}"/>
    <cellStyle name="Accent2 9 5" xfId="4762" xr:uid="{00000000-0005-0000-0000-00004A120000}"/>
    <cellStyle name="Accent2 9 6" xfId="4763" xr:uid="{00000000-0005-0000-0000-00004B120000}"/>
    <cellStyle name="Accent2 9 7" xfId="4764" xr:uid="{00000000-0005-0000-0000-00004C120000}"/>
    <cellStyle name="Accent2 9 8" xfId="4765" xr:uid="{00000000-0005-0000-0000-00004D120000}"/>
    <cellStyle name="Accent2 9 9" xfId="4766" xr:uid="{00000000-0005-0000-0000-00004E120000}"/>
    <cellStyle name="Accent3" xfId="21" builtinId="37" customBuiltin="1"/>
    <cellStyle name="Accent3 - 20%" xfId="4767" xr:uid="{00000000-0005-0000-0000-000050120000}"/>
    <cellStyle name="Accent3 - 20% 2" xfId="4768" xr:uid="{00000000-0005-0000-0000-000051120000}"/>
    <cellStyle name="Accent3 - 20% 2 2" xfId="4769" xr:uid="{00000000-0005-0000-0000-000052120000}"/>
    <cellStyle name="Accent3 - 20% 2 3" xfId="4770" xr:uid="{00000000-0005-0000-0000-000053120000}"/>
    <cellStyle name="Accent3 - 20% 3" xfId="4771" xr:uid="{00000000-0005-0000-0000-000054120000}"/>
    <cellStyle name="Accent3 - 20% 4" xfId="4772" xr:uid="{00000000-0005-0000-0000-000055120000}"/>
    <cellStyle name="Accent3 - 20%_APSWRSC-Kalasamudram" xfId="4773" xr:uid="{00000000-0005-0000-0000-000056120000}"/>
    <cellStyle name="Accent3 - 40%" xfId="4774" xr:uid="{00000000-0005-0000-0000-000057120000}"/>
    <cellStyle name="Accent3 - 40% 2" xfId="4775" xr:uid="{00000000-0005-0000-0000-000058120000}"/>
    <cellStyle name="Accent3 - 40% 2 2" xfId="4776" xr:uid="{00000000-0005-0000-0000-000059120000}"/>
    <cellStyle name="Accent3 - 40% 2 3" xfId="4777" xr:uid="{00000000-0005-0000-0000-00005A120000}"/>
    <cellStyle name="Accent3 - 40% 3" xfId="4778" xr:uid="{00000000-0005-0000-0000-00005B120000}"/>
    <cellStyle name="Accent3 - 40% 4" xfId="4779" xr:uid="{00000000-0005-0000-0000-00005C120000}"/>
    <cellStyle name="Accent3 - 40%_APSWRSC-Kalasamudram" xfId="4780" xr:uid="{00000000-0005-0000-0000-00005D120000}"/>
    <cellStyle name="Accent3 - 60%" xfId="4781" xr:uid="{00000000-0005-0000-0000-00005E120000}"/>
    <cellStyle name="Accent3 - 60% 2" xfId="4782" xr:uid="{00000000-0005-0000-0000-00005F120000}"/>
    <cellStyle name="Accent3 - 60% 3" xfId="4783" xr:uid="{00000000-0005-0000-0000-000060120000}"/>
    <cellStyle name="Accent3 1" xfId="4784" xr:uid="{00000000-0005-0000-0000-000061120000}"/>
    <cellStyle name="Accent3 1 1" xfId="4785" xr:uid="{00000000-0005-0000-0000-000062120000}"/>
    <cellStyle name="Accent3 1_Building_-_5-final_Price_Variation(1)" xfId="4786" xr:uid="{00000000-0005-0000-0000-000063120000}"/>
    <cellStyle name="Accent3 10" xfId="4787" xr:uid="{00000000-0005-0000-0000-000064120000}"/>
    <cellStyle name="Accent3 10 10" xfId="4788" xr:uid="{00000000-0005-0000-0000-000065120000}"/>
    <cellStyle name="Accent3 10 11" xfId="4789" xr:uid="{00000000-0005-0000-0000-000066120000}"/>
    <cellStyle name="Accent3 10 12" xfId="4790" xr:uid="{00000000-0005-0000-0000-000067120000}"/>
    <cellStyle name="Accent3 10 13" xfId="4791" xr:uid="{00000000-0005-0000-0000-000068120000}"/>
    <cellStyle name="Accent3 10 14" xfId="4792" xr:uid="{00000000-0005-0000-0000-000069120000}"/>
    <cellStyle name="Accent3 10 15" xfId="4793" xr:uid="{00000000-0005-0000-0000-00006A120000}"/>
    <cellStyle name="Accent3 10 16" xfId="4794" xr:uid="{00000000-0005-0000-0000-00006B120000}"/>
    <cellStyle name="Accent3 10 2" xfId="4795" xr:uid="{00000000-0005-0000-0000-00006C120000}"/>
    <cellStyle name="Accent3 10 3" xfId="4796" xr:uid="{00000000-0005-0000-0000-00006D120000}"/>
    <cellStyle name="Accent3 10 4" xfId="4797" xr:uid="{00000000-0005-0000-0000-00006E120000}"/>
    <cellStyle name="Accent3 10 5" xfId="4798" xr:uid="{00000000-0005-0000-0000-00006F120000}"/>
    <cellStyle name="Accent3 10 6" xfId="4799" xr:uid="{00000000-0005-0000-0000-000070120000}"/>
    <cellStyle name="Accent3 10 7" xfId="4800" xr:uid="{00000000-0005-0000-0000-000071120000}"/>
    <cellStyle name="Accent3 10 8" xfId="4801" xr:uid="{00000000-0005-0000-0000-000072120000}"/>
    <cellStyle name="Accent3 10 9" xfId="4802" xr:uid="{00000000-0005-0000-0000-000073120000}"/>
    <cellStyle name="Accent3 11" xfId="4803" xr:uid="{00000000-0005-0000-0000-000074120000}"/>
    <cellStyle name="Accent3 11 2" xfId="4804" xr:uid="{00000000-0005-0000-0000-000075120000}"/>
    <cellStyle name="Accent3 11 3" xfId="4805" xr:uid="{00000000-0005-0000-0000-000076120000}"/>
    <cellStyle name="Accent3 11 4" xfId="4806" xr:uid="{00000000-0005-0000-0000-000077120000}"/>
    <cellStyle name="Accent3 11 5" xfId="4807" xr:uid="{00000000-0005-0000-0000-000078120000}"/>
    <cellStyle name="Accent3 11 6" xfId="4808" xr:uid="{00000000-0005-0000-0000-000079120000}"/>
    <cellStyle name="Accent3 11 7" xfId="4809" xr:uid="{00000000-0005-0000-0000-00007A120000}"/>
    <cellStyle name="Accent3 11 8" xfId="4810" xr:uid="{00000000-0005-0000-0000-00007B120000}"/>
    <cellStyle name="Accent3 11 9" xfId="4811" xr:uid="{00000000-0005-0000-0000-00007C120000}"/>
    <cellStyle name="Accent3 12" xfId="4812" xr:uid="{00000000-0005-0000-0000-00007D120000}"/>
    <cellStyle name="Accent3 12 2" xfId="4813" xr:uid="{00000000-0005-0000-0000-00007E120000}"/>
    <cellStyle name="Accent3 12 3" xfId="4814" xr:uid="{00000000-0005-0000-0000-00007F120000}"/>
    <cellStyle name="Accent3 12 4" xfId="4815" xr:uid="{00000000-0005-0000-0000-000080120000}"/>
    <cellStyle name="Accent3 12 5" xfId="4816" xr:uid="{00000000-0005-0000-0000-000081120000}"/>
    <cellStyle name="Accent3 12 6" xfId="4817" xr:uid="{00000000-0005-0000-0000-000082120000}"/>
    <cellStyle name="Accent3 12 7" xfId="4818" xr:uid="{00000000-0005-0000-0000-000083120000}"/>
    <cellStyle name="Accent3 12 8" xfId="4819" xr:uid="{00000000-0005-0000-0000-000084120000}"/>
    <cellStyle name="Accent3 12 9" xfId="4820" xr:uid="{00000000-0005-0000-0000-000085120000}"/>
    <cellStyle name="Accent3 13" xfId="4821" xr:uid="{00000000-0005-0000-0000-000086120000}"/>
    <cellStyle name="Accent3 13 2" xfId="4822" xr:uid="{00000000-0005-0000-0000-000087120000}"/>
    <cellStyle name="Accent3 13 3" xfId="4823" xr:uid="{00000000-0005-0000-0000-000088120000}"/>
    <cellStyle name="Accent3 13 4" xfId="4824" xr:uid="{00000000-0005-0000-0000-000089120000}"/>
    <cellStyle name="Accent3 13 5" xfId="4825" xr:uid="{00000000-0005-0000-0000-00008A120000}"/>
    <cellStyle name="Accent3 13 6" xfId="4826" xr:uid="{00000000-0005-0000-0000-00008B120000}"/>
    <cellStyle name="Accent3 13 7" xfId="4827" xr:uid="{00000000-0005-0000-0000-00008C120000}"/>
    <cellStyle name="Accent3 13 8" xfId="4828" xr:uid="{00000000-0005-0000-0000-00008D120000}"/>
    <cellStyle name="Accent3 13 9" xfId="4829" xr:uid="{00000000-0005-0000-0000-00008E120000}"/>
    <cellStyle name="Accent3 14" xfId="4830" xr:uid="{00000000-0005-0000-0000-00008F120000}"/>
    <cellStyle name="Accent3 14 2" xfId="4831" xr:uid="{00000000-0005-0000-0000-000090120000}"/>
    <cellStyle name="Accent3 14 3" xfId="4832" xr:uid="{00000000-0005-0000-0000-000091120000}"/>
    <cellStyle name="Accent3 14 4" xfId="4833" xr:uid="{00000000-0005-0000-0000-000092120000}"/>
    <cellStyle name="Accent3 14 5" xfId="4834" xr:uid="{00000000-0005-0000-0000-000093120000}"/>
    <cellStyle name="Accent3 14 6" xfId="4835" xr:uid="{00000000-0005-0000-0000-000094120000}"/>
    <cellStyle name="Accent3 14 7" xfId="4836" xr:uid="{00000000-0005-0000-0000-000095120000}"/>
    <cellStyle name="Accent3 14 8" xfId="4837" xr:uid="{00000000-0005-0000-0000-000096120000}"/>
    <cellStyle name="Accent3 14 9" xfId="4838" xr:uid="{00000000-0005-0000-0000-000097120000}"/>
    <cellStyle name="Accent3 15" xfId="4839" xr:uid="{00000000-0005-0000-0000-000098120000}"/>
    <cellStyle name="Accent3 15 2" xfId="4840" xr:uid="{00000000-0005-0000-0000-000099120000}"/>
    <cellStyle name="Accent3 15 3" xfId="4841" xr:uid="{00000000-0005-0000-0000-00009A120000}"/>
    <cellStyle name="Accent3 15 4" xfId="4842" xr:uid="{00000000-0005-0000-0000-00009B120000}"/>
    <cellStyle name="Accent3 15 5" xfId="4843" xr:uid="{00000000-0005-0000-0000-00009C120000}"/>
    <cellStyle name="Accent3 15 6" xfId="4844" xr:uid="{00000000-0005-0000-0000-00009D120000}"/>
    <cellStyle name="Accent3 15 7" xfId="4845" xr:uid="{00000000-0005-0000-0000-00009E120000}"/>
    <cellStyle name="Accent3 15 8" xfId="4846" xr:uid="{00000000-0005-0000-0000-00009F120000}"/>
    <cellStyle name="Accent3 15 9" xfId="4847" xr:uid="{00000000-0005-0000-0000-0000A0120000}"/>
    <cellStyle name="Accent3 16" xfId="4848" xr:uid="{00000000-0005-0000-0000-0000A1120000}"/>
    <cellStyle name="Accent3 16 2" xfId="4849" xr:uid="{00000000-0005-0000-0000-0000A2120000}"/>
    <cellStyle name="Accent3 16 3" xfId="4850" xr:uid="{00000000-0005-0000-0000-0000A3120000}"/>
    <cellStyle name="Accent3 16 4" xfId="4851" xr:uid="{00000000-0005-0000-0000-0000A4120000}"/>
    <cellStyle name="Accent3 16 5" xfId="4852" xr:uid="{00000000-0005-0000-0000-0000A5120000}"/>
    <cellStyle name="Accent3 16 6" xfId="4853" xr:uid="{00000000-0005-0000-0000-0000A6120000}"/>
    <cellStyle name="Accent3 16 7" xfId="4854" xr:uid="{00000000-0005-0000-0000-0000A7120000}"/>
    <cellStyle name="Accent3 16 8" xfId="4855" xr:uid="{00000000-0005-0000-0000-0000A8120000}"/>
    <cellStyle name="Accent3 16 9" xfId="4856" xr:uid="{00000000-0005-0000-0000-0000A9120000}"/>
    <cellStyle name="Accent3 17" xfId="4857" xr:uid="{00000000-0005-0000-0000-0000AA120000}"/>
    <cellStyle name="Accent3 17 2" xfId="4858" xr:uid="{00000000-0005-0000-0000-0000AB120000}"/>
    <cellStyle name="Accent3 18" xfId="4859" xr:uid="{00000000-0005-0000-0000-0000AC120000}"/>
    <cellStyle name="Accent3 18 2" xfId="4860" xr:uid="{00000000-0005-0000-0000-0000AD120000}"/>
    <cellStyle name="Accent3 19" xfId="4861" xr:uid="{00000000-0005-0000-0000-0000AE120000}"/>
    <cellStyle name="Accent3 19 2" xfId="4862" xr:uid="{00000000-0005-0000-0000-0000AF120000}"/>
    <cellStyle name="Accent3 2" xfId="4863" xr:uid="{00000000-0005-0000-0000-0000B0120000}"/>
    <cellStyle name="Accent3 2 10" xfId="4864" xr:uid="{00000000-0005-0000-0000-0000B1120000}"/>
    <cellStyle name="Accent3 2 10 2" xfId="4865" xr:uid="{00000000-0005-0000-0000-0000B2120000}"/>
    <cellStyle name="Accent3 2 11" xfId="4866" xr:uid="{00000000-0005-0000-0000-0000B3120000}"/>
    <cellStyle name="Accent3 2 12" xfId="4867" xr:uid="{00000000-0005-0000-0000-0000B4120000}"/>
    <cellStyle name="Accent3 2 13" xfId="4868" xr:uid="{00000000-0005-0000-0000-0000B5120000}"/>
    <cellStyle name="Accent3 2 2" xfId="4869" xr:uid="{00000000-0005-0000-0000-0000B6120000}"/>
    <cellStyle name="Accent3 2 2 2" xfId="4870" xr:uid="{00000000-0005-0000-0000-0000B7120000}"/>
    <cellStyle name="Accent3 2 2 3" xfId="4871" xr:uid="{00000000-0005-0000-0000-0000B8120000}"/>
    <cellStyle name="Accent3 2 2 4" xfId="4872" xr:uid="{00000000-0005-0000-0000-0000B9120000}"/>
    <cellStyle name="Accent3 2 2 5" xfId="4873" xr:uid="{00000000-0005-0000-0000-0000BA120000}"/>
    <cellStyle name="Accent3 2 2 6" xfId="4874" xr:uid="{00000000-0005-0000-0000-0000BB120000}"/>
    <cellStyle name="Accent3 2 2 7" xfId="4875" xr:uid="{00000000-0005-0000-0000-0000BC120000}"/>
    <cellStyle name="Accent3 2 2 8" xfId="4876" xr:uid="{00000000-0005-0000-0000-0000BD120000}"/>
    <cellStyle name="Accent3 2 2 9" xfId="4877" xr:uid="{00000000-0005-0000-0000-0000BE120000}"/>
    <cellStyle name="Accent3 2 3" xfId="4878" xr:uid="{00000000-0005-0000-0000-0000BF120000}"/>
    <cellStyle name="Accent3 2 3 2" xfId="4879" xr:uid="{00000000-0005-0000-0000-0000C0120000}"/>
    <cellStyle name="Accent3 2 4" xfId="4880" xr:uid="{00000000-0005-0000-0000-0000C1120000}"/>
    <cellStyle name="Accent3 2 4 2" xfId="4881" xr:uid="{00000000-0005-0000-0000-0000C2120000}"/>
    <cellStyle name="Accent3 2 5" xfId="4882" xr:uid="{00000000-0005-0000-0000-0000C3120000}"/>
    <cellStyle name="Accent3 2 5 2" xfId="4883" xr:uid="{00000000-0005-0000-0000-0000C4120000}"/>
    <cellStyle name="Accent3 2 6" xfId="4884" xr:uid="{00000000-0005-0000-0000-0000C5120000}"/>
    <cellStyle name="Accent3 2 6 2" xfId="4885" xr:uid="{00000000-0005-0000-0000-0000C6120000}"/>
    <cellStyle name="Accent3 2 7" xfId="4886" xr:uid="{00000000-0005-0000-0000-0000C7120000}"/>
    <cellStyle name="Accent3 2 7 2" xfId="4887" xr:uid="{00000000-0005-0000-0000-0000C8120000}"/>
    <cellStyle name="Accent3 2 8" xfId="4888" xr:uid="{00000000-0005-0000-0000-0000C9120000}"/>
    <cellStyle name="Accent3 2 8 2" xfId="4889" xr:uid="{00000000-0005-0000-0000-0000CA120000}"/>
    <cellStyle name="Accent3 2 9" xfId="4890" xr:uid="{00000000-0005-0000-0000-0000CB120000}"/>
    <cellStyle name="Accent3 2 9 2" xfId="4891" xr:uid="{00000000-0005-0000-0000-0000CC120000}"/>
    <cellStyle name="Accent3 2_Block-F LGF POur-II BBS" xfId="4892" xr:uid="{00000000-0005-0000-0000-0000CD120000}"/>
    <cellStyle name="Accent3 20" xfId="4893" xr:uid="{00000000-0005-0000-0000-0000CE120000}"/>
    <cellStyle name="Accent3 20 2" xfId="4894" xr:uid="{00000000-0005-0000-0000-0000CF120000}"/>
    <cellStyle name="Accent3 21" xfId="4895" xr:uid="{00000000-0005-0000-0000-0000D0120000}"/>
    <cellStyle name="Accent3 21 2" xfId="4896" xr:uid="{00000000-0005-0000-0000-0000D1120000}"/>
    <cellStyle name="Accent3 22" xfId="4897" xr:uid="{00000000-0005-0000-0000-0000D2120000}"/>
    <cellStyle name="Accent3 23" xfId="4898" xr:uid="{00000000-0005-0000-0000-0000D3120000}"/>
    <cellStyle name="Accent3 24" xfId="4899" xr:uid="{00000000-0005-0000-0000-0000D4120000}"/>
    <cellStyle name="Accent3 25" xfId="4900" xr:uid="{00000000-0005-0000-0000-0000D5120000}"/>
    <cellStyle name="Accent3 26" xfId="4901" xr:uid="{00000000-0005-0000-0000-0000D6120000}"/>
    <cellStyle name="Accent3 27" xfId="4902" xr:uid="{00000000-0005-0000-0000-0000D7120000}"/>
    <cellStyle name="Accent3 28" xfId="4903" xr:uid="{00000000-0005-0000-0000-0000D8120000}"/>
    <cellStyle name="Accent3 29" xfId="4904" xr:uid="{00000000-0005-0000-0000-0000D9120000}"/>
    <cellStyle name="Accent3 3" xfId="4905" xr:uid="{00000000-0005-0000-0000-0000DA120000}"/>
    <cellStyle name="Accent3 3 2" xfId="4906" xr:uid="{00000000-0005-0000-0000-0000DB120000}"/>
    <cellStyle name="Accent3 3 2 2" xfId="4907" xr:uid="{00000000-0005-0000-0000-0000DC120000}"/>
    <cellStyle name="Accent3 3 2 3" xfId="4908" xr:uid="{00000000-0005-0000-0000-0000DD120000}"/>
    <cellStyle name="Accent3 3 2 4" xfId="4909" xr:uid="{00000000-0005-0000-0000-0000DE120000}"/>
    <cellStyle name="Accent3 3 2 5" xfId="4910" xr:uid="{00000000-0005-0000-0000-0000DF120000}"/>
    <cellStyle name="Accent3 3 2 6" xfId="4911" xr:uid="{00000000-0005-0000-0000-0000E0120000}"/>
    <cellStyle name="Accent3 3 2 7" xfId="4912" xr:uid="{00000000-0005-0000-0000-0000E1120000}"/>
    <cellStyle name="Accent3 3 2 8" xfId="4913" xr:uid="{00000000-0005-0000-0000-0000E2120000}"/>
    <cellStyle name="Accent3 3 2 9" xfId="4914" xr:uid="{00000000-0005-0000-0000-0000E3120000}"/>
    <cellStyle name="Accent3 3 3" xfId="4915" xr:uid="{00000000-0005-0000-0000-0000E4120000}"/>
    <cellStyle name="Accent3 3 3 2" xfId="4916" xr:uid="{00000000-0005-0000-0000-0000E5120000}"/>
    <cellStyle name="Accent3 3 3 3" xfId="4917" xr:uid="{00000000-0005-0000-0000-0000E6120000}"/>
    <cellStyle name="Accent3 3 4" xfId="4918" xr:uid="{00000000-0005-0000-0000-0000E7120000}"/>
    <cellStyle name="Accent3 3 4 2" xfId="4919" xr:uid="{00000000-0005-0000-0000-0000E8120000}"/>
    <cellStyle name="Accent3 3 5" xfId="4920" xr:uid="{00000000-0005-0000-0000-0000E9120000}"/>
    <cellStyle name="Accent3 3 6" xfId="4921" xr:uid="{00000000-0005-0000-0000-0000EA120000}"/>
    <cellStyle name="Accent3 3 7" xfId="4922" xr:uid="{00000000-0005-0000-0000-0000EB120000}"/>
    <cellStyle name="Accent3 3 8" xfId="4923" xr:uid="{00000000-0005-0000-0000-0000EC120000}"/>
    <cellStyle name="Accent3 3_Ramadugu_ SWGH" xfId="4924" xr:uid="{00000000-0005-0000-0000-0000ED120000}"/>
    <cellStyle name="Accent3 30" xfId="4925" xr:uid="{00000000-0005-0000-0000-0000EE120000}"/>
    <cellStyle name="Accent3 31" xfId="4926" xr:uid="{00000000-0005-0000-0000-0000EF120000}"/>
    <cellStyle name="Accent3 32" xfId="4927" xr:uid="{00000000-0005-0000-0000-0000F0120000}"/>
    <cellStyle name="Accent3 33" xfId="4928" xr:uid="{00000000-0005-0000-0000-0000F1120000}"/>
    <cellStyle name="Accent3 34" xfId="4929" xr:uid="{00000000-0005-0000-0000-0000F2120000}"/>
    <cellStyle name="Accent3 35" xfId="4930" xr:uid="{00000000-0005-0000-0000-0000F3120000}"/>
    <cellStyle name="Accent3 36" xfId="4931" xr:uid="{00000000-0005-0000-0000-0000F4120000}"/>
    <cellStyle name="Accent3 37" xfId="4932" xr:uid="{00000000-0005-0000-0000-0000F5120000}"/>
    <cellStyle name="Accent3 38" xfId="4933" xr:uid="{00000000-0005-0000-0000-0000F6120000}"/>
    <cellStyle name="Accent3 39" xfId="4934" xr:uid="{00000000-0005-0000-0000-0000F7120000}"/>
    <cellStyle name="Accent3 4" xfId="4935" xr:uid="{00000000-0005-0000-0000-0000F8120000}"/>
    <cellStyle name="Accent3 4 10" xfId="4936" xr:uid="{00000000-0005-0000-0000-0000F9120000}"/>
    <cellStyle name="Accent3 4 11" xfId="4937" xr:uid="{00000000-0005-0000-0000-0000FA120000}"/>
    <cellStyle name="Accent3 4 12" xfId="4938" xr:uid="{00000000-0005-0000-0000-0000FB120000}"/>
    <cellStyle name="Accent3 4 13" xfId="4939" xr:uid="{00000000-0005-0000-0000-0000FC120000}"/>
    <cellStyle name="Accent3 4 14" xfId="4940" xr:uid="{00000000-0005-0000-0000-0000FD120000}"/>
    <cellStyle name="Accent3 4 15" xfId="4941" xr:uid="{00000000-0005-0000-0000-0000FE120000}"/>
    <cellStyle name="Accent3 4 16" xfId="4942" xr:uid="{00000000-0005-0000-0000-0000FF120000}"/>
    <cellStyle name="Accent3 4 2" xfId="4943" xr:uid="{00000000-0005-0000-0000-000000130000}"/>
    <cellStyle name="Accent3 4 3" xfId="4944" xr:uid="{00000000-0005-0000-0000-000001130000}"/>
    <cellStyle name="Accent3 4 3 2" xfId="4945" xr:uid="{00000000-0005-0000-0000-000002130000}"/>
    <cellStyle name="Accent3 4 4" xfId="4946" xr:uid="{00000000-0005-0000-0000-000003130000}"/>
    <cellStyle name="Accent3 4 4 2" xfId="4947" xr:uid="{00000000-0005-0000-0000-000004130000}"/>
    <cellStyle name="Accent3 4 5" xfId="4948" xr:uid="{00000000-0005-0000-0000-000005130000}"/>
    <cellStyle name="Accent3 4 6" xfId="4949" xr:uid="{00000000-0005-0000-0000-000006130000}"/>
    <cellStyle name="Accent3 4 7" xfId="4950" xr:uid="{00000000-0005-0000-0000-000007130000}"/>
    <cellStyle name="Accent3 4 8" xfId="4951" xr:uid="{00000000-0005-0000-0000-000008130000}"/>
    <cellStyle name="Accent3 4 9" xfId="4952" xr:uid="{00000000-0005-0000-0000-000009130000}"/>
    <cellStyle name="Accent3 4_Sheet2" xfId="4953" xr:uid="{00000000-0005-0000-0000-00000A130000}"/>
    <cellStyle name="Accent3 40" xfId="4954" xr:uid="{00000000-0005-0000-0000-00000B130000}"/>
    <cellStyle name="Accent3 41" xfId="4955" xr:uid="{00000000-0005-0000-0000-00000C130000}"/>
    <cellStyle name="Accent3 42" xfId="4956" xr:uid="{00000000-0005-0000-0000-00000D130000}"/>
    <cellStyle name="Accent3 43" xfId="4957" xr:uid="{00000000-0005-0000-0000-00000E130000}"/>
    <cellStyle name="Accent3 44" xfId="4958" xr:uid="{00000000-0005-0000-0000-00000F130000}"/>
    <cellStyle name="Accent3 45" xfId="4959" xr:uid="{00000000-0005-0000-0000-000010130000}"/>
    <cellStyle name="Accent3 46" xfId="4960" xr:uid="{00000000-0005-0000-0000-000011130000}"/>
    <cellStyle name="Accent3 47" xfId="4961" xr:uid="{00000000-0005-0000-0000-000012130000}"/>
    <cellStyle name="Accent3 48" xfId="4962" xr:uid="{00000000-0005-0000-0000-000013130000}"/>
    <cellStyle name="Accent3 49" xfId="4963" xr:uid="{00000000-0005-0000-0000-000014130000}"/>
    <cellStyle name="Accent3 5" xfId="4964" xr:uid="{00000000-0005-0000-0000-000015130000}"/>
    <cellStyle name="Accent3 5 10" xfId="4965" xr:uid="{00000000-0005-0000-0000-000016130000}"/>
    <cellStyle name="Accent3 5 11" xfId="4966" xr:uid="{00000000-0005-0000-0000-000017130000}"/>
    <cellStyle name="Accent3 5 12" xfId="4967" xr:uid="{00000000-0005-0000-0000-000018130000}"/>
    <cellStyle name="Accent3 5 13" xfId="4968" xr:uid="{00000000-0005-0000-0000-000019130000}"/>
    <cellStyle name="Accent3 5 14" xfId="4969" xr:uid="{00000000-0005-0000-0000-00001A130000}"/>
    <cellStyle name="Accent3 5 15" xfId="4970" xr:uid="{00000000-0005-0000-0000-00001B130000}"/>
    <cellStyle name="Accent3 5 16" xfId="4971" xr:uid="{00000000-0005-0000-0000-00001C130000}"/>
    <cellStyle name="Accent3 5 2" xfId="4972" xr:uid="{00000000-0005-0000-0000-00001D130000}"/>
    <cellStyle name="Accent3 5 2 2" xfId="4973" xr:uid="{00000000-0005-0000-0000-00001E130000}"/>
    <cellStyle name="Accent3 5 3" xfId="4974" xr:uid="{00000000-0005-0000-0000-00001F130000}"/>
    <cellStyle name="Accent3 5 3 2" xfId="4975" xr:uid="{00000000-0005-0000-0000-000020130000}"/>
    <cellStyle name="Accent3 5 4" xfId="4976" xr:uid="{00000000-0005-0000-0000-000021130000}"/>
    <cellStyle name="Accent3 5 4 2" xfId="4977" xr:uid="{00000000-0005-0000-0000-000022130000}"/>
    <cellStyle name="Accent3 5 5" xfId="4978" xr:uid="{00000000-0005-0000-0000-000023130000}"/>
    <cellStyle name="Accent3 5 6" xfId="4979" xr:uid="{00000000-0005-0000-0000-000024130000}"/>
    <cellStyle name="Accent3 5 7" xfId="4980" xr:uid="{00000000-0005-0000-0000-000025130000}"/>
    <cellStyle name="Accent3 5 8" xfId="4981" xr:uid="{00000000-0005-0000-0000-000026130000}"/>
    <cellStyle name="Accent3 5 9" xfId="4982" xr:uid="{00000000-0005-0000-0000-000027130000}"/>
    <cellStyle name="Accent3 5_Sheet2" xfId="4983" xr:uid="{00000000-0005-0000-0000-000028130000}"/>
    <cellStyle name="Accent3 50" xfId="4984" xr:uid="{00000000-0005-0000-0000-000029130000}"/>
    <cellStyle name="Accent3 51" xfId="4985" xr:uid="{00000000-0005-0000-0000-00002A130000}"/>
    <cellStyle name="Accent3 52" xfId="4986" xr:uid="{00000000-0005-0000-0000-00002B130000}"/>
    <cellStyle name="Accent3 53" xfId="4987" xr:uid="{00000000-0005-0000-0000-00002C130000}"/>
    <cellStyle name="Accent3 6" xfId="4988" xr:uid="{00000000-0005-0000-0000-00002D130000}"/>
    <cellStyle name="Accent3 6 10" xfId="4989" xr:uid="{00000000-0005-0000-0000-00002E130000}"/>
    <cellStyle name="Accent3 6 11" xfId="4990" xr:uid="{00000000-0005-0000-0000-00002F130000}"/>
    <cellStyle name="Accent3 6 12" xfId="4991" xr:uid="{00000000-0005-0000-0000-000030130000}"/>
    <cellStyle name="Accent3 6 13" xfId="4992" xr:uid="{00000000-0005-0000-0000-000031130000}"/>
    <cellStyle name="Accent3 6 14" xfId="4993" xr:uid="{00000000-0005-0000-0000-000032130000}"/>
    <cellStyle name="Accent3 6 15" xfId="4994" xr:uid="{00000000-0005-0000-0000-000033130000}"/>
    <cellStyle name="Accent3 6 16" xfId="4995" xr:uid="{00000000-0005-0000-0000-000034130000}"/>
    <cellStyle name="Accent3 6 2" xfId="4996" xr:uid="{00000000-0005-0000-0000-000035130000}"/>
    <cellStyle name="Accent3 6 2 2" xfId="4997" xr:uid="{00000000-0005-0000-0000-000036130000}"/>
    <cellStyle name="Accent3 6 3" xfId="4998" xr:uid="{00000000-0005-0000-0000-000037130000}"/>
    <cellStyle name="Accent3 6 3 2" xfId="4999" xr:uid="{00000000-0005-0000-0000-000038130000}"/>
    <cellStyle name="Accent3 6 4" xfId="5000" xr:uid="{00000000-0005-0000-0000-000039130000}"/>
    <cellStyle name="Accent3 6 4 2" xfId="5001" xr:uid="{00000000-0005-0000-0000-00003A130000}"/>
    <cellStyle name="Accent3 6 5" xfId="5002" xr:uid="{00000000-0005-0000-0000-00003B130000}"/>
    <cellStyle name="Accent3 6 6" xfId="5003" xr:uid="{00000000-0005-0000-0000-00003C130000}"/>
    <cellStyle name="Accent3 6 7" xfId="5004" xr:uid="{00000000-0005-0000-0000-00003D130000}"/>
    <cellStyle name="Accent3 6 8" xfId="5005" xr:uid="{00000000-0005-0000-0000-00003E130000}"/>
    <cellStyle name="Accent3 6 9" xfId="5006" xr:uid="{00000000-0005-0000-0000-00003F130000}"/>
    <cellStyle name="Accent3 6_Sheet2" xfId="5007" xr:uid="{00000000-0005-0000-0000-000040130000}"/>
    <cellStyle name="Accent3 7" xfId="5008" xr:uid="{00000000-0005-0000-0000-000041130000}"/>
    <cellStyle name="Accent3 7 10" xfId="5009" xr:uid="{00000000-0005-0000-0000-000042130000}"/>
    <cellStyle name="Accent3 7 11" xfId="5010" xr:uid="{00000000-0005-0000-0000-000043130000}"/>
    <cellStyle name="Accent3 7 12" xfId="5011" xr:uid="{00000000-0005-0000-0000-000044130000}"/>
    <cellStyle name="Accent3 7 13" xfId="5012" xr:uid="{00000000-0005-0000-0000-000045130000}"/>
    <cellStyle name="Accent3 7 14" xfId="5013" xr:uid="{00000000-0005-0000-0000-000046130000}"/>
    <cellStyle name="Accent3 7 15" xfId="5014" xr:uid="{00000000-0005-0000-0000-000047130000}"/>
    <cellStyle name="Accent3 7 16" xfId="5015" xr:uid="{00000000-0005-0000-0000-000048130000}"/>
    <cellStyle name="Accent3 7 2" xfId="5016" xr:uid="{00000000-0005-0000-0000-000049130000}"/>
    <cellStyle name="Accent3 7 2 2" xfId="5017" xr:uid="{00000000-0005-0000-0000-00004A130000}"/>
    <cellStyle name="Accent3 7 3" xfId="5018" xr:uid="{00000000-0005-0000-0000-00004B130000}"/>
    <cellStyle name="Accent3 7 3 2" xfId="5019" xr:uid="{00000000-0005-0000-0000-00004C130000}"/>
    <cellStyle name="Accent3 7 4" xfId="5020" xr:uid="{00000000-0005-0000-0000-00004D130000}"/>
    <cellStyle name="Accent3 7 4 2" xfId="5021" xr:uid="{00000000-0005-0000-0000-00004E130000}"/>
    <cellStyle name="Accent3 7 5" xfId="5022" xr:uid="{00000000-0005-0000-0000-00004F130000}"/>
    <cellStyle name="Accent3 7 6" xfId="5023" xr:uid="{00000000-0005-0000-0000-000050130000}"/>
    <cellStyle name="Accent3 7 7" xfId="5024" xr:uid="{00000000-0005-0000-0000-000051130000}"/>
    <cellStyle name="Accent3 7 8" xfId="5025" xr:uid="{00000000-0005-0000-0000-000052130000}"/>
    <cellStyle name="Accent3 7 9" xfId="5026" xr:uid="{00000000-0005-0000-0000-000053130000}"/>
    <cellStyle name="Accent3 7_Sheet2" xfId="5027" xr:uid="{00000000-0005-0000-0000-000054130000}"/>
    <cellStyle name="Accent3 8" xfId="5028" xr:uid="{00000000-0005-0000-0000-000055130000}"/>
    <cellStyle name="Accent3 8 10" xfId="5029" xr:uid="{00000000-0005-0000-0000-000056130000}"/>
    <cellStyle name="Accent3 8 11" xfId="5030" xr:uid="{00000000-0005-0000-0000-000057130000}"/>
    <cellStyle name="Accent3 8 12" xfId="5031" xr:uid="{00000000-0005-0000-0000-000058130000}"/>
    <cellStyle name="Accent3 8 13" xfId="5032" xr:uid="{00000000-0005-0000-0000-000059130000}"/>
    <cellStyle name="Accent3 8 14" xfId="5033" xr:uid="{00000000-0005-0000-0000-00005A130000}"/>
    <cellStyle name="Accent3 8 15" xfId="5034" xr:uid="{00000000-0005-0000-0000-00005B130000}"/>
    <cellStyle name="Accent3 8 16" xfId="5035" xr:uid="{00000000-0005-0000-0000-00005C130000}"/>
    <cellStyle name="Accent3 8 2" xfId="5036" xr:uid="{00000000-0005-0000-0000-00005D130000}"/>
    <cellStyle name="Accent3 8 3" xfId="5037" xr:uid="{00000000-0005-0000-0000-00005E130000}"/>
    <cellStyle name="Accent3 8 4" xfId="5038" xr:uid="{00000000-0005-0000-0000-00005F130000}"/>
    <cellStyle name="Accent3 8 5" xfId="5039" xr:uid="{00000000-0005-0000-0000-000060130000}"/>
    <cellStyle name="Accent3 8 6" xfId="5040" xr:uid="{00000000-0005-0000-0000-000061130000}"/>
    <cellStyle name="Accent3 8 7" xfId="5041" xr:uid="{00000000-0005-0000-0000-000062130000}"/>
    <cellStyle name="Accent3 8 8" xfId="5042" xr:uid="{00000000-0005-0000-0000-000063130000}"/>
    <cellStyle name="Accent3 8 9" xfId="5043" xr:uid="{00000000-0005-0000-0000-000064130000}"/>
    <cellStyle name="Accent3 8_Sheet2" xfId="5044" xr:uid="{00000000-0005-0000-0000-000065130000}"/>
    <cellStyle name="Accent3 9" xfId="5045" xr:uid="{00000000-0005-0000-0000-000066130000}"/>
    <cellStyle name="Accent3 9 10" xfId="5046" xr:uid="{00000000-0005-0000-0000-000067130000}"/>
    <cellStyle name="Accent3 9 11" xfId="5047" xr:uid="{00000000-0005-0000-0000-000068130000}"/>
    <cellStyle name="Accent3 9 12" xfId="5048" xr:uid="{00000000-0005-0000-0000-000069130000}"/>
    <cellStyle name="Accent3 9 13" xfId="5049" xr:uid="{00000000-0005-0000-0000-00006A130000}"/>
    <cellStyle name="Accent3 9 14" xfId="5050" xr:uid="{00000000-0005-0000-0000-00006B130000}"/>
    <cellStyle name="Accent3 9 15" xfId="5051" xr:uid="{00000000-0005-0000-0000-00006C130000}"/>
    <cellStyle name="Accent3 9 16" xfId="5052" xr:uid="{00000000-0005-0000-0000-00006D130000}"/>
    <cellStyle name="Accent3 9 2" xfId="5053" xr:uid="{00000000-0005-0000-0000-00006E130000}"/>
    <cellStyle name="Accent3 9 3" xfId="5054" xr:uid="{00000000-0005-0000-0000-00006F130000}"/>
    <cellStyle name="Accent3 9 4" xfId="5055" xr:uid="{00000000-0005-0000-0000-000070130000}"/>
    <cellStyle name="Accent3 9 5" xfId="5056" xr:uid="{00000000-0005-0000-0000-000071130000}"/>
    <cellStyle name="Accent3 9 6" xfId="5057" xr:uid="{00000000-0005-0000-0000-000072130000}"/>
    <cellStyle name="Accent3 9 7" xfId="5058" xr:uid="{00000000-0005-0000-0000-000073130000}"/>
    <cellStyle name="Accent3 9 8" xfId="5059" xr:uid="{00000000-0005-0000-0000-000074130000}"/>
    <cellStyle name="Accent3 9 9" xfId="5060" xr:uid="{00000000-0005-0000-0000-000075130000}"/>
    <cellStyle name="Accent4" xfId="22" builtinId="41" customBuiltin="1"/>
    <cellStyle name="Accent4 - 20%" xfId="5061" xr:uid="{00000000-0005-0000-0000-000077130000}"/>
    <cellStyle name="Accent4 - 20% 2" xfId="5062" xr:uid="{00000000-0005-0000-0000-000078130000}"/>
    <cellStyle name="Accent4 - 20% 2 2" xfId="5063" xr:uid="{00000000-0005-0000-0000-000079130000}"/>
    <cellStyle name="Accent4 - 20% 2 3" xfId="5064" xr:uid="{00000000-0005-0000-0000-00007A130000}"/>
    <cellStyle name="Accent4 - 20% 3" xfId="5065" xr:uid="{00000000-0005-0000-0000-00007B130000}"/>
    <cellStyle name="Accent4 - 20% 4" xfId="5066" xr:uid="{00000000-0005-0000-0000-00007C130000}"/>
    <cellStyle name="Accent4 - 20%_APSWRSC-Kalasamudram" xfId="5067" xr:uid="{00000000-0005-0000-0000-00007D130000}"/>
    <cellStyle name="Accent4 - 40%" xfId="5068" xr:uid="{00000000-0005-0000-0000-00007E130000}"/>
    <cellStyle name="Accent4 - 40% 2" xfId="5069" xr:uid="{00000000-0005-0000-0000-00007F130000}"/>
    <cellStyle name="Accent4 - 40% 2 2" xfId="5070" xr:uid="{00000000-0005-0000-0000-000080130000}"/>
    <cellStyle name="Accent4 - 40% 2 3" xfId="5071" xr:uid="{00000000-0005-0000-0000-000081130000}"/>
    <cellStyle name="Accent4 - 40% 3" xfId="5072" xr:uid="{00000000-0005-0000-0000-000082130000}"/>
    <cellStyle name="Accent4 - 40% 4" xfId="5073" xr:uid="{00000000-0005-0000-0000-000083130000}"/>
    <cellStyle name="Accent4 - 40%_APSWRSC-Kalasamudram" xfId="5074" xr:uid="{00000000-0005-0000-0000-000084130000}"/>
    <cellStyle name="Accent4 - 60%" xfId="5075" xr:uid="{00000000-0005-0000-0000-000085130000}"/>
    <cellStyle name="Accent4 - 60% 2" xfId="5076" xr:uid="{00000000-0005-0000-0000-000086130000}"/>
    <cellStyle name="Accent4 - 60% 3" xfId="5077" xr:uid="{00000000-0005-0000-0000-000087130000}"/>
    <cellStyle name="Accent4 1" xfId="5078" xr:uid="{00000000-0005-0000-0000-000088130000}"/>
    <cellStyle name="Accent4 1 1" xfId="5079" xr:uid="{00000000-0005-0000-0000-000089130000}"/>
    <cellStyle name="Accent4 10" xfId="5080" xr:uid="{00000000-0005-0000-0000-00008A130000}"/>
    <cellStyle name="Accent4 10 10" xfId="5081" xr:uid="{00000000-0005-0000-0000-00008B130000}"/>
    <cellStyle name="Accent4 10 11" xfId="5082" xr:uid="{00000000-0005-0000-0000-00008C130000}"/>
    <cellStyle name="Accent4 10 12" xfId="5083" xr:uid="{00000000-0005-0000-0000-00008D130000}"/>
    <cellStyle name="Accent4 10 13" xfId="5084" xr:uid="{00000000-0005-0000-0000-00008E130000}"/>
    <cellStyle name="Accent4 10 14" xfId="5085" xr:uid="{00000000-0005-0000-0000-00008F130000}"/>
    <cellStyle name="Accent4 10 15" xfId="5086" xr:uid="{00000000-0005-0000-0000-000090130000}"/>
    <cellStyle name="Accent4 10 16" xfId="5087" xr:uid="{00000000-0005-0000-0000-000091130000}"/>
    <cellStyle name="Accent4 10 2" xfId="5088" xr:uid="{00000000-0005-0000-0000-000092130000}"/>
    <cellStyle name="Accent4 10 3" xfId="5089" xr:uid="{00000000-0005-0000-0000-000093130000}"/>
    <cellStyle name="Accent4 10 4" xfId="5090" xr:uid="{00000000-0005-0000-0000-000094130000}"/>
    <cellStyle name="Accent4 10 5" xfId="5091" xr:uid="{00000000-0005-0000-0000-000095130000}"/>
    <cellStyle name="Accent4 10 6" xfId="5092" xr:uid="{00000000-0005-0000-0000-000096130000}"/>
    <cellStyle name="Accent4 10 7" xfId="5093" xr:uid="{00000000-0005-0000-0000-000097130000}"/>
    <cellStyle name="Accent4 10 8" xfId="5094" xr:uid="{00000000-0005-0000-0000-000098130000}"/>
    <cellStyle name="Accent4 10 9" xfId="5095" xr:uid="{00000000-0005-0000-0000-000099130000}"/>
    <cellStyle name="Accent4 11" xfId="5096" xr:uid="{00000000-0005-0000-0000-00009A130000}"/>
    <cellStyle name="Accent4 11 2" xfId="5097" xr:uid="{00000000-0005-0000-0000-00009B130000}"/>
    <cellStyle name="Accent4 11 3" xfId="5098" xr:uid="{00000000-0005-0000-0000-00009C130000}"/>
    <cellStyle name="Accent4 11 4" xfId="5099" xr:uid="{00000000-0005-0000-0000-00009D130000}"/>
    <cellStyle name="Accent4 11 5" xfId="5100" xr:uid="{00000000-0005-0000-0000-00009E130000}"/>
    <cellStyle name="Accent4 11 6" xfId="5101" xr:uid="{00000000-0005-0000-0000-00009F130000}"/>
    <cellStyle name="Accent4 11 7" xfId="5102" xr:uid="{00000000-0005-0000-0000-0000A0130000}"/>
    <cellStyle name="Accent4 11 8" xfId="5103" xr:uid="{00000000-0005-0000-0000-0000A1130000}"/>
    <cellStyle name="Accent4 11 9" xfId="5104" xr:uid="{00000000-0005-0000-0000-0000A2130000}"/>
    <cellStyle name="Accent4 12" xfId="5105" xr:uid="{00000000-0005-0000-0000-0000A3130000}"/>
    <cellStyle name="Accent4 12 2" xfId="5106" xr:uid="{00000000-0005-0000-0000-0000A4130000}"/>
    <cellStyle name="Accent4 12 3" xfId="5107" xr:uid="{00000000-0005-0000-0000-0000A5130000}"/>
    <cellStyle name="Accent4 12 4" xfId="5108" xr:uid="{00000000-0005-0000-0000-0000A6130000}"/>
    <cellStyle name="Accent4 12 5" xfId="5109" xr:uid="{00000000-0005-0000-0000-0000A7130000}"/>
    <cellStyle name="Accent4 12 6" xfId="5110" xr:uid="{00000000-0005-0000-0000-0000A8130000}"/>
    <cellStyle name="Accent4 12 7" xfId="5111" xr:uid="{00000000-0005-0000-0000-0000A9130000}"/>
    <cellStyle name="Accent4 12 8" xfId="5112" xr:uid="{00000000-0005-0000-0000-0000AA130000}"/>
    <cellStyle name="Accent4 12 9" xfId="5113" xr:uid="{00000000-0005-0000-0000-0000AB130000}"/>
    <cellStyle name="Accent4 13" xfId="5114" xr:uid="{00000000-0005-0000-0000-0000AC130000}"/>
    <cellStyle name="Accent4 13 2" xfId="5115" xr:uid="{00000000-0005-0000-0000-0000AD130000}"/>
    <cellStyle name="Accent4 13 3" xfId="5116" xr:uid="{00000000-0005-0000-0000-0000AE130000}"/>
    <cellStyle name="Accent4 13 4" xfId="5117" xr:uid="{00000000-0005-0000-0000-0000AF130000}"/>
    <cellStyle name="Accent4 13 5" xfId="5118" xr:uid="{00000000-0005-0000-0000-0000B0130000}"/>
    <cellStyle name="Accent4 13 6" xfId="5119" xr:uid="{00000000-0005-0000-0000-0000B1130000}"/>
    <cellStyle name="Accent4 13 7" xfId="5120" xr:uid="{00000000-0005-0000-0000-0000B2130000}"/>
    <cellStyle name="Accent4 13 8" xfId="5121" xr:uid="{00000000-0005-0000-0000-0000B3130000}"/>
    <cellStyle name="Accent4 13 9" xfId="5122" xr:uid="{00000000-0005-0000-0000-0000B4130000}"/>
    <cellStyle name="Accent4 14" xfId="5123" xr:uid="{00000000-0005-0000-0000-0000B5130000}"/>
    <cellStyle name="Accent4 14 2" xfId="5124" xr:uid="{00000000-0005-0000-0000-0000B6130000}"/>
    <cellStyle name="Accent4 14 3" xfId="5125" xr:uid="{00000000-0005-0000-0000-0000B7130000}"/>
    <cellStyle name="Accent4 14 4" xfId="5126" xr:uid="{00000000-0005-0000-0000-0000B8130000}"/>
    <cellStyle name="Accent4 14 5" xfId="5127" xr:uid="{00000000-0005-0000-0000-0000B9130000}"/>
    <cellStyle name="Accent4 14 6" xfId="5128" xr:uid="{00000000-0005-0000-0000-0000BA130000}"/>
    <cellStyle name="Accent4 14 7" xfId="5129" xr:uid="{00000000-0005-0000-0000-0000BB130000}"/>
    <cellStyle name="Accent4 14 8" xfId="5130" xr:uid="{00000000-0005-0000-0000-0000BC130000}"/>
    <cellStyle name="Accent4 14 9" xfId="5131" xr:uid="{00000000-0005-0000-0000-0000BD130000}"/>
    <cellStyle name="Accent4 15" xfId="5132" xr:uid="{00000000-0005-0000-0000-0000BE130000}"/>
    <cellStyle name="Accent4 15 2" xfId="5133" xr:uid="{00000000-0005-0000-0000-0000BF130000}"/>
    <cellStyle name="Accent4 15 3" xfId="5134" xr:uid="{00000000-0005-0000-0000-0000C0130000}"/>
    <cellStyle name="Accent4 15 4" xfId="5135" xr:uid="{00000000-0005-0000-0000-0000C1130000}"/>
    <cellStyle name="Accent4 15 5" xfId="5136" xr:uid="{00000000-0005-0000-0000-0000C2130000}"/>
    <cellStyle name="Accent4 15 6" xfId="5137" xr:uid="{00000000-0005-0000-0000-0000C3130000}"/>
    <cellStyle name="Accent4 15 7" xfId="5138" xr:uid="{00000000-0005-0000-0000-0000C4130000}"/>
    <cellStyle name="Accent4 15 8" xfId="5139" xr:uid="{00000000-0005-0000-0000-0000C5130000}"/>
    <cellStyle name="Accent4 15 9" xfId="5140" xr:uid="{00000000-0005-0000-0000-0000C6130000}"/>
    <cellStyle name="Accent4 16" xfId="5141" xr:uid="{00000000-0005-0000-0000-0000C7130000}"/>
    <cellStyle name="Accent4 16 2" xfId="5142" xr:uid="{00000000-0005-0000-0000-0000C8130000}"/>
    <cellStyle name="Accent4 16 3" xfId="5143" xr:uid="{00000000-0005-0000-0000-0000C9130000}"/>
    <cellStyle name="Accent4 16 4" xfId="5144" xr:uid="{00000000-0005-0000-0000-0000CA130000}"/>
    <cellStyle name="Accent4 16 5" xfId="5145" xr:uid="{00000000-0005-0000-0000-0000CB130000}"/>
    <cellStyle name="Accent4 16 6" xfId="5146" xr:uid="{00000000-0005-0000-0000-0000CC130000}"/>
    <cellStyle name="Accent4 16 7" xfId="5147" xr:uid="{00000000-0005-0000-0000-0000CD130000}"/>
    <cellStyle name="Accent4 16 8" xfId="5148" xr:uid="{00000000-0005-0000-0000-0000CE130000}"/>
    <cellStyle name="Accent4 16 9" xfId="5149" xr:uid="{00000000-0005-0000-0000-0000CF130000}"/>
    <cellStyle name="Accent4 17" xfId="5150" xr:uid="{00000000-0005-0000-0000-0000D0130000}"/>
    <cellStyle name="Accent4 17 2" xfId="5151" xr:uid="{00000000-0005-0000-0000-0000D1130000}"/>
    <cellStyle name="Accent4 18" xfId="5152" xr:uid="{00000000-0005-0000-0000-0000D2130000}"/>
    <cellStyle name="Accent4 18 2" xfId="5153" xr:uid="{00000000-0005-0000-0000-0000D3130000}"/>
    <cellStyle name="Accent4 19" xfId="5154" xr:uid="{00000000-0005-0000-0000-0000D4130000}"/>
    <cellStyle name="Accent4 19 2" xfId="5155" xr:uid="{00000000-0005-0000-0000-0000D5130000}"/>
    <cellStyle name="Accent4 2" xfId="5156" xr:uid="{00000000-0005-0000-0000-0000D6130000}"/>
    <cellStyle name="Accent4 2 10" xfId="5157" xr:uid="{00000000-0005-0000-0000-0000D7130000}"/>
    <cellStyle name="Accent4 2 10 2" xfId="5158" xr:uid="{00000000-0005-0000-0000-0000D8130000}"/>
    <cellStyle name="Accent4 2 11" xfId="5159" xr:uid="{00000000-0005-0000-0000-0000D9130000}"/>
    <cellStyle name="Accent4 2 12" xfId="5160" xr:uid="{00000000-0005-0000-0000-0000DA130000}"/>
    <cellStyle name="Accent4 2 13" xfId="5161" xr:uid="{00000000-0005-0000-0000-0000DB130000}"/>
    <cellStyle name="Accent4 2 2" xfId="5162" xr:uid="{00000000-0005-0000-0000-0000DC130000}"/>
    <cellStyle name="Accent4 2 2 2" xfId="5163" xr:uid="{00000000-0005-0000-0000-0000DD130000}"/>
    <cellStyle name="Accent4 2 2 3" xfId="5164" xr:uid="{00000000-0005-0000-0000-0000DE130000}"/>
    <cellStyle name="Accent4 2 2 4" xfId="5165" xr:uid="{00000000-0005-0000-0000-0000DF130000}"/>
    <cellStyle name="Accent4 2 2 5" xfId="5166" xr:uid="{00000000-0005-0000-0000-0000E0130000}"/>
    <cellStyle name="Accent4 2 2 6" xfId="5167" xr:uid="{00000000-0005-0000-0000-0000E1130000}"/>
    <cellStyle name="Accent4 2 2 7" xfId="5168" xr:uid="{00000000-0005-0000-0000-0000E2130000}"/>
    <cellStyle name="Accent4 2 2 8" xfId="5169" xr:uid="{00000000-0005-0000-0000-0000E3130000}"/>
    <cellStyle name="Accent4 2 2 9" xfId="5170" xr:uid="{00000000-0005-0000-0000-0000E4130000}"/>
    <cellStyle name="Accent4 2 3" xfId="5171" xr:uid="{00000000-0005-0000-0000-0000E5130000}"/>
    <cellStyle name="Accent4 2 3 2" xfId="5172" xr:uid="{00000000-0005-0000-0000-0000E6130000}"/>
    <cellStyle name="Accent4 2 4" xfId="5173" xr:uid="{00000000-0005-0000-0000-0000E7130000}"/>
    <cellStyle name="Accent4 2 4 2" xfId="5174" xr:uid="{00000000-0005-0000-0000-0000E8130000}"/>
    <cellStyle name="Accent4 2 5" xfId="5175" xr:uid="{00000000-0005-0000-0000-0000E9130000}"/>
    <cellStyle name="Accent4 2 5 2" xfId="5176" xr:uid="{00000000-0005-0000-0000-0000EA130000}"/>
    <cellStyle name="Accent4 2 6" xfId="5177" xr:uid="{00000000-0005-0000-0000-0000EB130000}"/>
    <cellStyle name="Accent4 2 6 2" xfId="5178" xr:uid="{00000000-0005-0000-0000-0000EC130000}"/>
    <cellStyle name="Accent4 2 7" xfId="5179" xr:uid="{00000000-0005-0000-0000-0000ED130000}"/>
    <cellStyle name="Accent4 2 7 2" xfId="5180" xr:uid="{00000000-0005-0000-0000-0000EE130000}"/>
    <cellStyle name="Accent4 2 8" xfId="5181" xr:uid="{00000000-0005-0000-0000-0000EF130000}"/>
    <cellStyle name="Accent4 2 8 2" xfId="5182" xr:uid="{00000000-0005-0000-0000-0000F0130000}"/>
    <cellStyle name="Accent4 2 9" xfId="5183" xr:uid="{00000000-0005-0000-0000-0000F1130000}"/>
    <cellStyle name="Accent4 2 9 2" xfId="5184" xr:uid="{00000000-0005-0000-0000-0000F2130000}"/>
    <cellStyle name="Accent4 2_Block-F LGF POur-II BBS" xfId="5185" xr:uid="{00000000-0005-0000-0000-0000F3130000}"/>
    <cellStyle name="Accent4 20" xfId="5186" xr:uid="{00000000-0005-0000-0000-0000F4130000}"/>
    <cellStyle name="Accent4 20 2" xfId="5187" xr:uid="{00000000-0005-0000-0000-0000F5130000}"/>
    <cellStyle name="Accent4 21" xfId="5188" xr:uid="{00000000-0005-0000-0000-0000F6130000}"/>
    <cellStyle name="Accent4 21 2" xfId="5189" xr:uid="{00000000-0005-0000-0000-0000F7130000}"/>
    <cellStyle name="Accent4 22" xfId="5190" xr:uid="{00000000-0005-0000-0000-0000F8130000}"/>
    <cellStyle name="Accent4 23" xfId="5191" xr:uid="{00000000-0005-0000-0000-0000F9130000}"/>
    <cellStyle name="Accent4 24" xfId="5192" xr:uid="{00000000-0005-0000-0000-0000FA130000}"/>
    <cellStyle name="Accent4 25" xfId="5193" xr:uid="{00000000-0005-0000-0000-0000FB130000}"/>
    <cellStyle name="Accent4 26" xfId="5194" xr:uid="{00000000-0005-0000-0000-0000FC130000}"/>
    <cellStyle name="Accent4 27" xfId="5195" xr:uid="{00000000-0005-0000-0000-0000FD130000}"/>
    <cellStyle name="Accent4 28" xfId="5196" xr:uid="{00000000-0005-0000-0000-0000FE130000}"/>
    <cellStyle name="Accent4 29" xfId="5197" xr:uid="{00000000-0005-0000-0000-0000FF130000}"/>
    <cellStyle name="Accent4 3" xfId="5198" xr:uid="{00000000-0005-0000-0000-000000140000}"/>
    <cellStyle name="Accent4 3 2" xfId="5199" xr:uid="{00000000-0005-0000-0000-000001140000}"/>
    <cellStyle name="Accent4 3 2 2" xfId="5200" xr:uid="{00000000-0005-0000-0000-000002140000}"/>
    <cellStyle name="Accent4 3 2 3" xfId="5201" xr:uid="{00000000-0005-0000-0000-000003140000}"/>
    <cellStyle name="Accent4 3 2 4" xfId="5202" xr:uid="{00000000-0005-0000-0000-000004140000}"/>
    <cellStyle name="Accent4 3 2 5" xfId="5203" xr:uid="{00000000-0005-0000-0000-000005140000}"/>
    <cellStyle name="Accent4 3 2 6" xfId="5204" xr:uid="{00000000-0005-0000-0000-000006140000}"/>
    <cellStyle name="Accent4 3 2 7" xfId="5205" xr:uid="{00000000-0005-0000-0000-000007140000}"/>
    <cellStyle name="Accent4 3 2 8" xfId="5206" xr:uid="{00000000-0005-0000-0000-000008140000}"/>
    <cellStyle name="Accent4 3 2 9" xfId="5207" xr:uid="{00000000-0005-0000-0000-000009140000}"/>
    <cellStyle name="Accent4 3 3" xfId="5208" xr:uid="{00000000-0005-0000-0000-00000A140000}"/>
    <cellStyle name="Accent4 3 3 2" xfId="5209" xr:uid="{00000000-0005-0000-0000-00000B140000}"/>
    <cellStyle name="Accent4 3 3 3" xfId="5210" xr:uid="{00000000-0005-0000-0000-00000C140000}"/>
    <cellStyle name="Accent4 3 4" xfId="5211" xr:uid="{00000000-0005-0000-0000-00000D140000}"/>
    <cellStyle name="Accent4 3 4 2" xfId="5212" xr:uid="{00000000-0005-0000-0000-00000E140000}"/>
    <cellStyle name="Accent4 3 5" xfId="5213" xr:uid="{00000000-0005-0000-0000-00000F140000}"/>
    <cellStyle name="Accent4 3 6" xfId="5214" xr:uid="{00000000-0005-0000-0000-000010140000}"/>
    <cellStyle name="Accent4 3 7" xfId="5215" xr:uid="{00000000-0005-0000-0000-000011140000}"/>
    <cellStyle name="Accent4 3 8" xfId="5216" xr:uid="{00000000-0005-0000-0000-000012140000}"/>
    <cellStyle name="Accent4 3_Ramadugu_ SWGH" xfId="5217" xr:uid="{00000000-0005-0000-0000-000013140000}"/>
    <cellStyle name="Accent4 30" xfId="5218" xr:uid="{00000000-0005-0000-0000-000014140000}"/>
    <cellStyle name="Accent4 31" xfId="5219" xr:uid="{00000000-0005-0000-0000-000015140000}"/>
    <cellStyle name="Accent4 32" xfId="5220" xr:uid="{00000000-0005-0000-0000-000016140000}"/>
    <cellStyle name="Accent4 33" xfId="5221" xr:uid="{00000000-0005-0000-0000-000017140000}"/>
    <cellStyle name="Accent4 34" xfId="5222" xr:uid="{00000000-0005-0000-0000-000018140000}"/>
    <cellStyle name="Accent4 35" xfId="5223" xr:uid="{00000000-0005-0000-0000-000019140000}"/>
    <cellStyle name="Accent4 36" xfId="5224" xr:uid="{00000000-0005-0000-0000-00001A140000}"/>
    <cellStyle name="Accent4 37" xfId="5225" xr:uid="{00000000-0005-0000-0000-00001B140000}"/>
    <cellStyle name="Accent4 38" xfId="5226" xr:uid="{00000000-0005-0000-0000-00001C140000}"/>
    <cellStyle name="Accent4 39" xfId="5227" xr:uid="{00000000-0005-0000-0000-00001D140000}"/>
    <cellStyle name="Accent4 4" xfId="5228" xr:uid="{00000000-0005-0000-0000-00001E140000}"/>
    <cellStyle name="Accent4 4 10" xfId="5229" xr:uid="{00000000-0005-0000-0000-00001F140000}"/>
    <cellStyle name="Accent4 4 11" xfId="5230" xr:uid="{00000000-0005-0000-0000-000020140000}"/>
    <cellStyle name="Accent4 4 12" xfId="5231" xr:uid="{00000000-0005-0000-0000-000021140000}"/>
    <cellStyle name="Accent4 4 13" xfId="5232" xr:uid="{00000000-0005-0000-0000-000022140000}"/>
    <cellStyle name="Accent4 4 14" xfId="5233" xr:uid="{00000000-0005-0000-0000-000023140000}"/>
    <cellStyle name="Accent4 4 15" xfId="5234" xr:uid="{00000000-0005-0000-0000-000024140000}"/>
    <cellStyle name="Accent4 4 16" xfId="5235" xr:uid="{00000000-0005-0000-0000-000025140000}"/>
    <cellStyle name="Accent4 4 2" xfId="5236" xr:uid="{00000000-0005-0000-0000-000026140000}"/>
    <cellStyle name="Accent4 4 3" xfId="5237" xr:uid="{00000000-0005-0000-0000-000027140000}"/>
    <cellStyle name="Accent4 4 3 2" xfId="5238" xr:uid="{00000000-0005-0000-0000-000028140000}"/>
    <cellStyle name="Accent4 4 4" xfId="5239" xr:uid="{00000000-0005-0000-0000-000029140000}"/>
    <cellStyle name="Accent4 4 4 2" xfId="5240" xr:uid="{00000000-0005-0000-0000-00002A140000}"/>
    <cellStyle name="Accent4 4 5" xfId="5241" xr:uid="{00000000-0005-0000-0000-00002B140000}"/>
    <cellStyle name="Accent4 4 6" xfId="5242" xr:uid="{00000000-0005-0000-0000-00002C140000}"/>
    <cellStyle name="Accent4 4 7" xfId="5243" xr:uid="{00000000-0005-0000-0000-00002D140000}"/>
    <cellStyle name="Accent4 4 8" xfId="5244" xr:uid="{00000000-0005-0000-0000-00002E140000}"/>
    <cellStyle name="Accent4 4 9" xfId="5245" xr:uid="{00000000-0005-0000-0000-00002F140000}"/>
    <cellStyle name="Accent4 4_Sheet2" xfId="5246" xr:uid="{00000000-0005-0000-0000-000030140000}"/>
    <cellStyle name="Accent4 40" xfId="5247" xr:uid="{00000000-0005-0000-0000-000031140000}"/>
    <cellStyle name="Accent4 41" xfId="5248" xr:uid="{00000000-0005-0000-0000-000032140000}"/>
    <cellStyle name="Accent4 42" xfId="5249" xr:uid="{00000000-0005-0000-0000-000033140000}"/>
    <cellStyle name="Accent4 43" xfId="5250" xr:uid="{00000000-0005-0000-0000-000034140000}"/>
    <cellStyle name="Accent4 44" xfId="5251" xr:uid="{00000000-0005-0000-0000-000035140000}"/>
    <cellStyle name="Accent4 45" xfId="5252" xr:uid="{00000000-0005-0000-0000-000036140000}"/>
    <cellStyle name="Accent4 46" xfId="5253" xr:uid="{00000000-0005-0000-0000-000037140000}"/>
    <cellStyle name="Accent4 47" xfId="5254" xr:uid="{00000000-0005-0000-0000-000038140000}"/>
    <cellStyle name="Accent4 48" xfId="5255" xr:uid="{00000000-0005-0000-0000-000039140000}"/>
    <cellStyle name="Accent4 49" xfId="5256" xr:uid="{00000000-0005-0000-0000-00003A140000}"/>
    <cellStyle name="Accent4 5" xfId="5257" xr:uid="{00000000-0005-0000-0000-00003B140000}"/>
    <cellStyle name="Accent4 5 10" xfId="5258" xr:uid="{00000000-0005-0000-0000-00003C140000}"/>
    <cellStyle name="Accent4 5 11" xfId="5259" xr:uid="{00000000-0005-0000-0000-00003D140000}"/>
    <cellStyle name="Accent4 5 12" xfId="5260" xr:uid="{00000000-0005-0000-0000-00003E140000}"/>
    <cellStyle name="Accent4 5 13" xfId="5261" xr:uid="{00000000-0005-0000-0000-00003F140000}"/>
    <cellStyle name="Accent4 5 14" xfId="5262" xr:uid="{00000000-0005-0000-0000-000040140000}"/>
    <cellStyle name="Accent4 5 15" xfId="5263" xr:uid="{00000000-0005-0000-0000-000041140000}"/>
    <cellStyle name="Accent4 5 16" xfId="5264" xr:uid="{00000000-0005-0000-0000-000042140000}"/>
    <cellStyle name="Accent4 5 2" xfId="5265" xr:uid="{00000000-0005-0000-0000-000043140000}"/>
    <cellStyle name="Accent4 5 2 2" xfId="5266" xr:uid="{00000000-0005-0000-0000-000044140000}"/>
    <cellStyle name="Accent4 5 3" xfId="5267" xr:uid="{00000000-0005-0000-0000-000045140000}"/>
    <cellStyle name="Accent4 5 3 2" xfId="5268" xr:uid="{00000000-0005-0000-0000-000046140000}"/>
    <cellStyle name="Accent4 5 4" xfId="5269" xr:uid="{00000000-0005-0000-0000-000047140000}"/>
    <cellStyle name="Accent4 5 4 2" xfId="5270" xr:uid="{00000000-0005-0000-0000-000048140000}"/>
    <cellStyle name="Accent4 5 5" xfId="5271" xr:uid="{00000000-0005-0000-0000-000049140000}"/>
    <cellStyle name="Accent4 5 6" xfId="5272" xr:uid="{00000000-0005-0000-0000-00004A140000}"/>
    <cellStyle name="Accent4 5 7" xfId="5273" xr:uid="{00000000-0005-0000-0000-00004B140000}"/>
    <cellStyle name="Accent4 5 8" xfId="5274" xr:uid="{00000000-0005-0000-0000-00004C140000}"/>
    <cellStyle name="Accent4 5 9" xfId="5275" xr:uid="{00000000-0005-0000-0000-00004D140000}"/>
    <cellStyle name="Accent4 5_Sheet2" xfId="5276" xr:uid="{00000000-0005-0000-0000-00004E140000}"/>
    <cellStyle name="Accent4 50" xfId="5277" xr:uid="{00000000-0005-0000-0000-00004F140000}"/>
    <cellStyle name="Accent4 51" xfId="5278" xr:uid="{00000000-0005-0000-0000-000050140000}"/>
    <cellStyle name="Accent4 52" xfId="5279" xr:uid="{00000000-0005-0000-0000-000051140000}"/>
    <cellStyle name="Accent4 53" xfId="5280" xr:uid="{00000000-0005-0000-0000-000052140000}"/>
    <cellStyle name="Accent4 6" xfId="5281" xr:uid="{00000000-0005-0000-0000-000053140000}"/>
    <cellStyle name="Accent4 6 10" xfId="5282" xr:uid="{00000000-0005-0000-0000-000054140000}"/>
    <cellStyle name="Accent4 6 11" xfId="5283" xr:uid="{00000000-0005-0000-0000-000055140000}"/>
    <cellStyle name="Accent4 6 12" xfId="5284" xr:uid="{00000000-0005-0000-0000-000056140000}"/>
    <cellStyle name="Accent4 6 13" xfId="5285" xr:uid="{00000000-0005-0000-0000-000057140000}"/>
    <cellStyle name="Accent4 6 14" xfId="5286" xr:uid="{00000000-0005-0000-0000-000058140000}"/>
    <cellStyle name="Accent4 6 15" xfId="5287" xr:uid="{00000000-0005-0000-0000-000059140000}"/>
    <cellStyle name="Accent4 6 16" xfId="5288" xr:uid="{00000000-0005-0000-0000-00005A140000}"/>
    <cellStyle name="Accent4 6 2" xfId="5289" xr:uid="{00000000-0005-0000-0000-00005B140000}"/>
    <cellStyle name="Accent4 6 2 2" xfId="5290" xr:uid="{00000000-0005-0000-0000-00005C140000}"/>
    <cellStyle name="Accent4 6 3" xfId="5291" xr:uid="{00000000-0005-0000-0000-00005D140000}"/>
    <cellStyle name="Accent4 6 3 2" xfId="5292" xr:uid="{00000000-0005-0000-0000-00005E140000}"/>
    <cellStyle name="Accent4 6 4" xfId="5293" xr:uid="{00000000-0005-0000-0000-00005F140000}"/>
    <cellStyle name="Accent4 6 4 2" xfId="5294" xr:uid="{00000000-0005-0000-0000-000060140000}"/>
    <cellStyle name="Accent4 6 5" xfId="5295" xr:uid="{00000000-0005-0000-0000-000061140000}"/>
    <cellStyle name="Accent4 6 6" xfId="5296" xr:uid="{00000000-0005-0000-0000-000062140000}"/>
    <cellStyle name="Accent4 6 7" xfId="5297" xr:uid="{00000000-0005-0000-0000-000063140000}"/>
    <cellStyle name="Accent4 6 8" xfId="5298" xr:uid="{00000000-0005-0000-0000-000064140000}"/>
    <cellStyle name="Accent4 6 9" xfId="5299" xr:uid="{00000000-0005-0000-0000-000065140000}"/>
    <cellStyle name="Accent4 6_Sheet2" xfId="5300" xr:uid="{00000000-0005-0000-0000-000066140000}"/>
    <cellStyle name="Accent4 7" xfId="5301" xr:uid="{00000000-0005-0000-0000-000067140000}"/>
    <cellStyle name="Accent4 7 10" xfId="5302" xr:uid="{00000000-0005-0000-0000-000068140000}"/>
    <cellStyle name="Accent4 7 11" xfId="5303" xr:uid="{00000000-0005-0000-0000-000069140000}"/>
    <cellStyle name="Accent4 7 12" xfId="5304" xr:uid="{00000000-0005-0000-0000-00006A140000}"/>
    <cellStyle name="Accent4 7 13" xfId="5305" xr:uid="{00000000-0005-0000-0000-00006B140000}"/>
    <cellStyle name="Accent4 7 14" xfId="5306" xr:uid="{00000000-0005-0000-0000-00006C140000}"/>
    <cellStyle name="Accent4 7 15" xfId="5307" xr:uid="{00000000-0005-0000-0000-00006D140000}"/>
    <cellStyle name="Accent4 7 16" xfId="5308" xr:uid="{00000000-0005-0000-0000-00006E140000}"/>
    <cellStyle name="Accent4 7 2" xfId="5309" xr:uid="{00000000-0005-0000-0000-00006F140000}"/>
    <cellStyle name="Accent4 7 2 2" xfId="5310" xr:uid="{00000000-0005-0000-0000-000070140000}"/>
    <cellStyle name="Accent4 7 3" xfId="5311" xr:uid="{00000000-0005-0000-0000-000071140000}"/>
    <cellStyle name="Accent4 7 3 2" xfId="5312" xr:uid="{00000000-0005-0000-0000-000072140000}"/>
    <cellStyle name="Accent4 7 4" xfId="5313" xr:uid="{00000000-0005-0000-0000-000073140000}"/>
    <cellStyle name="Accent4 7 4 2" xfId="5314" xr:uid="{00000000-0005-0000-0000-000074140000}"/>
    <cellStyle name="Accent4 7 5" xfId="5315" xr:uid="{00000000-0005-0000-0000-000075140000}"/>
    <cellStyle name="Accent4 7 6" xfId="5316" xr:uid="{00000000-0005-0000-0000-000076140000}"/>
    <cellStyle name="Accent4 7 7" xfId="5317" xr:uid="{00000000-0005-0000-0000-000077140000}"/>
    <cellStyle name="Accent4 7 8" xfId="5318" xr:uid="{00000000-0005-0000-0000-000078140000}"/>
    <cellStyle name="Accent4 7 9" xfId="5319" xr:uid="{00000000-0005-0000-0000-000079140000}"/>
    <cellStyle name="Accent4 7_Sheet2" xfId="5320" xr:uid="{00000000-0005-0000-0000-00007A140000}"/>
    <cellStyle name="Accent4 8" xfId="5321" xr:uid="{00000000-0005-0000-0000-00007B140000}"/>
    <cellStyle name="Accent4 8 10" xfId="5322" xr:uid="{00000000-0005-0000-0000-00007C140000}"/>
    <cellStyle name="Accent4 8 11" xfId="5323" xr:uid="{00000000-0005-0000-0000-00007D140000}"/>
    <cellStyle name="Accent4 8 12" xfId="5324" xr:uid="{00000000-0005-0000-0000-00007E140000}"/>
    <cellStyle name="Accent4 8 13" xfId="5325" xr:uid="{00000000-0005-0000-0000-00007F140000}"/>
    <cellStyle name="Accent4 8 14" xfId="5326" xr:uid="{00000000-0005-0000-0000-000080140000}"/>
    <cellStyle name="Accent4 8 15" xfId="5327" xr:uid="{00000000-0005-0000-0000-000081140000}"/>
    <cellStyle name="Accent4 8 16" xfId="5328" xr:uid="{00000000-0005-0000-0000-000082140000}"/>
    <cellStyle name="Accent4 8 2" xfId="5329" xr:uid="{00000000-0005-0000-0000-000083140000}"/>
    <cellStyle name="Accent4 8 3" xfId="5330" xr:uid="{00000000-0005-0000-0000-000084140000}"/>
    <cellStyle name="Accent4 8 4" xfId="5331" xr:uid="{00000000-0005-0000-0000-000085140000}"/>
    <cellStyle name="Accent4 8 5" xfId="5332" xr:uid="{00000000-0005-0000-0000-000086140000}"/>
    <cellStyle name="Accent4 8 6" xfId="5333" xr:uid="{00000000-0005-0000-0000-000087140000}"/>
    <cellStyle name="Accent4 8 7" xfId="5334" xr:uid="{00000000-0005-0000-0000-000088140000}"/>
    <cellStyle name="Accent4 8 8" xfId="5335" xr:uid="{00000000-0005-0000-0000-000089140000}"/>
    <cellStyle name="Accent4 8 9" xfId="5336" xr:uid="{00000000-0005-0000-0000-00008A140000}"/>
    <cellStyle name="Accent4 8_Sheet2" xfId="5337" xr:uid="{00000000-0005-0000-0000-00008B140000}"/>
    <cellStyle name="Accent4 9" xfId="5338" xr:uid="{00000000-0005-0000-0000-00008C140000}"/>
    <cellStyle name="Accent4 9 10" xfId="5339" xr:uid="{00000000-0005-0000-0000-00008D140000}"/>
    <cellStyle name="Accent4 9 11" xfId="5340" xr:uid="{00000000-0005-0000-0000-00008E140000}"/>
    <cellStyle name="Accent4 9 12" xfId="5341" xr:uid="{00000000-0005-0000-0000-00008F140000}"/>
    <cellStyle name="Accent4 9 13" xfId="5342" xr:uid="{00000000-0005-0000-0000-000090140000}"/>
    <cellStyle name="Accent4 9 14" xfId="5343" xr:uid="{00000000-0005-0000-0000-000091140000}"/>
    <cellStyle name="Accent4 9 15" xfId="5344" xr:uid="{00000000-0005-0000-0000-000092140000}"/>
    <cellStyle name="Accent4 9 16" xfId="5345" xr:uid="{00000000-0005-0000-0000-000093140000}"/>
    <cellStyle name="Accent4 9 2" xfId="5346" xr:uid="{00000000-0005-0000-0000-000094140000}"/>
    <cellStyle name="Accent4 9 3" xfId="5347" xr:uid="{00000000-0005-0000-0000-000095140000}"/>
    <cellStyle name="Accent4 9 4" xfId="5348" xr:uid="{00000000-0005-0000-0000-000096140000}"/>
    <cellStyle name="Accent4 9 5" xfId="5349" xr:uid="{00000000-0005-0000-0000-000097140000}"/>
    <cellStyle name="Accent4 9 6" xfId="5350" xr:uid="{00000000-0005-0000-0000-000098140000}"/>
    <cellStyle name="Accent4 9 7" xfId="5351" xr:uid="{00000000-0005-0000-0000-000099140000}"/>
    <cellStyle name="Accent4 9 8" xfId="5352" xr:uid="{00000000-0005-0000-0000-00009A140000}"/>
    <cellStyle name="Accent4 9 9" xfId="5353" xr:uid="{00000000-0005-0000-0000-00009B140000}"/>
    <cellStyle name="Accent5" xfId="23" builtinId="45" customBuiltin="1"/>
    <cellStyle name="Accent5 - 20%" xfId="5354" xr:uid="{00000000-0005-0000-0000-00009D140000}"/>
    <cellStyle name="Accent5 - 20% 2" xfId="5355" xr:uid="{00000000-0005-0000-0000-00009E140000}"/>
    <cellStyle name="Accent5 - 20% 2 2" xfId="5356" xr:uid="{00000000-0005-0000-0000-00009F140000}"/>
    <cellStyle name="Accent5 - 20% 2 3" xfId="5357" xr:uid="{00000000-0005-0000-0000-0000A0140000}"/>
    <cellStyle name="Accent5 - 20% 3" xfId="5358" xr:uid="{00000000-0005-0000-0000-0000A1140000}"/>
    <cellStyle name="Accent5 - 20% 4" xfId="5359" xr:uid="{00000000-0005-0000-0000-0000A2140000}"/>
    <cellStyle name="Accent5 - 20%_APSWRSC-Kalasamudram" xfId="5360" xr:uid="{00000000-0005-0000-0000-0000A3140000}"/>
    <cellStyle name="Accent5 - 40%" xfId="5361" xr:uid="{00000000-0005-0000-0000-0000A4140000}"/>
    <cellStyle name="Accent5 - 40% 2" xfId="5362" xr:uid="{00000000-0005-0000-0000-0000A5140000}"/>
    <cellStyle name="Accent5 - 40% 2 2" xfId="5363" xr:uid="{00000000-0005-0000-0000-0000A6140000}"/>
    <cellStyle name="Accent5 - 40% 2 3" xfId="5364" xr:uid="{00000000-0005-0000-0000-0000A7140000}"/>
    <cellStyle name="Accent5 - 40% 3" xfId="5365" xr:uid="{00000000-0005-0000-0000-0000A8140000}"/>
    <cellStyle name="Accent5 - 40% 4" xfId="5366" xr:uid="{00000000-0005-0000-0000-0000A9140000}"/>
    <cellStyle name="Accent5 - 40%_APSWRSC-Kalasamudram" xfId="5367" xr:uid="{00000000-0005-0000-0000-0000AA140000}"/>
    <cellStyle name="Accent5 - 60%" xfId="5368" xr:uid="{00000000-0005-0000-0000-0000AB140000}"/>
    <cellStyle name="Accent5 - 60% 2" xfId="5369" xr:uid="{00000000-0005-0000-0000-0000AC140000}"/>
    <cellStyle name="Accent5 - 60% 3" xfId="5370" xr:uid="{00000000-0005-0000-0000-0000AD140000}"/>
    <cellStyle name="Accent5 1" xfId="5371" xr:uid="{00000000-0005-0000-0000-0000AE140000}"/>
    <cellStyle name="Accent5 1 1" xfId="5372" xr:uid="{00000000-0005-0000-0000-0000AF140000}"/>
    <cellStyle name="Accent5 10" xfId="5373" xr:uid="{00000000-0005-0000-0000-0000B0140000}"/>
    <cellStyle name="Accent5 10 10" xfId="5374" xr:uid="{00000000-0005-0000-0000-0000B1140000}"/>
    <cellStyle name="Accent5 10 11" xfId="5375" xr:uid="{00000000-0005-0000-0000-0000B2140000}"/>
    <cellStyle name="Accent5 10 12" xfId="5376" xr:uid="{00000000-0005-0000-0000-0000B3140000}"/>
    <cellStyle name="Accent5 10 13" xfId="5377" xr:uid="{00000000-0005-0000-0000-0000B4140000}"/>
    <cellStyle name="Accent5 10 14" xfId="5378" xr:uid="{00000000-0005-0000-0000-0000B5140000}"/>
    <cellStyle name="Accent5 10 15" xfId="5379" xr:uid="{00000000-0005-0000-0000-0000B6140000}"/>
    <cellStyle name="Accent5 10 16" xfId="5380" xr:uid="{00000000-0005-0000-0000-0000B7140000}"/>
    <cellStyle name="Accent5 10 2" xfId="5381" xr:uid="{00000000-0005-0000-0000-0000B8140000}"/>
    <cellStyle name="Accent5 10 3" xfId="5382" xr:uid="{00000000-0005-0000-0000-0000B9140000}"/>
    <cellStyle name="Accent5 10 4" xfId="5383" xr:uid="{00000000-0005-0000-0000-0000BA140000}"/>
    <cellStyle name="Accent5 10 5" xfId="5384" xr:uid="{00000000-0005-0000-0000-0000BB140000}"/>
    <cellStyle name="Accent5 10 6" xfId="5385" xr:uid="{00000000-0005-0000-0000-0000BC140000}"/>
    <cellStyle name="Accent5 10 7" xfId="5386" xr:uid="{00000000-0005-0000-0000-0000BD140000}"/>
    <cellStyle name="Accent5 10 8" xfId="5387" xr:uid="{00000000-0005-0000-0000-0000BE140000}"/>
    <cellStyle name="Accent5 10 9" xfId="5388" xr:uid="{00000000-0005-0000-0000-0000BF140000}"/>
    <cellStyle name="Accent5 11" xfId="5389" xr:uid="{00000000-0005-0000-0000-0000C0140000}"/>
    <cellStyle name="Accent5 11 2" xfId="5390" xr:uid="{00000000-0005-0000-0000-0000C1140000}"/>
    <cellStyle name="Accent5 11 3" xfId="5391" xr:uid="{00000000-0005-0000-0000-0000C2140000}"/>
    <cellStyle name="Accent5 11 4" xfId="5392" xr:uid="{00000000-0005-0000-0000-0000C3140000}"/>
    <cellStyle name="Accent5 11 5" xfId="5393" xr:uid="{00000000-0005-0000-0000-0000C4140000}"/>
    <cellStyle name="Accent5 11 6" xfId="5394" xr:uid="{00000000-0005-0000-0000-0000C5140000}"/>
    <cellStyle name="Accent5 11 7" xfId="5395" xr:uid="{00000000-0005-0000-0000-0000C6140000}"/>
    <cellStyle name="Accent5 11 8" xfId="5396" xr:uid="{00000000-0005-0000-0000-0000C7140000}"/>
    <cellStyle name="Accent5 11 9" xfId="5397" xr:uid="{00000000-0005-0000-0000-0000C8140000}"/>
    <cellStyle name="Accent5 12" xfId="5398" xr:uid="{00000000-0005-0000-0000-0000C9140000}"/>
    <cellStyle name="Accent5 12 2" xfId="5399" xr:uid="{00000000-0005-0000-0000-0000CA140000}"/>
    <cellStyle name="Accent5 12 3" xfId="5400" xr:uid="{00000000-0005-0000-0000-0000CB140000}"/>
    <cellStyle name="Accent5 12 4" xfId="5401" xr:uid="{00000000-0005-0000-0000-0000CC140000}"/>
    <cellStyle name="Accent5 12 5" xfId="5402" xr:uid="{00000000-0005-0000-0000-0000CD140000}"/>
    <cellStyle name="Accent5 12 6" xfId="5403" xr:uid="{00000000-0005-0000-0000-0000CE140000}"/>
    <cellStyle name="Accent5 12 7" xfId="5404" xr:uid="{00000000-0005-0000-0000-0000CF140000}"/>
    <cellStyle name="Accent5 12 8" xfId="5405" xr:uid="{00000000-0005-0000-0000-0000D0140000}"/>
    <cellStyle name="Accent5 12 9" xfId="5406" xr:uid="{00000000-0005-0000-0000-0000D1140000}"/>
    <cellStyle name="Accent5 13" xfId="5407" xr:uid="{00000000-0005-0000-0000-0000D2140000}"/>
    <cellStyle name="Accent5 13 2" xfId="5408" xr:uid="{00000000-0005-0000-0000-0000D3140000}"/>
    <cellStyle name="Accent5 13 3" xfId="5409" xr:uid="{00000000-0005-0000-0000-0000D4140000}"/>
    <cellStyle name="Accent5 13 4" xfId="5410" xr:uid="{00000000-0005-0000-0000-0000D5140000}"/>
    <cellStyle name="Accent5 13 5" xfId="5411" xr:uid="{00000000-0005-0000-0000-0000D6140000}"/>
    <cellStyle name="Accent5 13 6" xfId="5412" xr:uid="{00000000-0005-0000-0000-0000D7140000}"/>
    <cellStyle name="Accent5 13 7" xfId="5413" xr:uid="{00000000-0005-0000-0000-0000D8140000}"/>
    <cellStyle name="Accent5 13 8" xfId="5414" xr:uid="{00000000-0005-0000-0000-0000D9140000}"/>
    <cellStyle name="Accent5 13 9" xfId="5415" xr:uid="{00000000-0005-0000-0000-0000DA140000}"/>
    <cellStyle name="Accent5 14" xfId="5416" xr:uid="{00000000-0005-0000-0000-0000DB140000}"/>
    <cellStyle name="Accent5 14 2" xfId="5417" xr:uid="{00000000-0005-0000-0000-0000DC140000}"/>
    <cellStyle name="Accent5 14 3" xfId="5418" xr:uid="{00000000-0005-0000-0000-0000DD140000}"/>
    <cellStyle name="Accent5 14 4" xfId="5419" xr:uid="{00000000-0005-0000-0000-0000DE140000}"/>
    <cellStyle name="Accent5 14 5" xfId="5420" xr:uid="{00000000-0005-0000-0000-0000DF140000}"/>
    <cellStyle name="Accent5 14 6" xfId="5421" xr:uid="{00000000-0005-0000-0000-0000E0140000}"/>
    <cellStyle name="Accent5 14 7" xfId="5422" xr:uid="{00000000-0005-0000-0000-0000E1140000}"/>
    <cellStyle name="Accent5 14 8" xfId="5423" xr:uid="{00000000-0005-0000-0000-0000E2140000}"/>
    <cellStyle name="Accent5 14 9" xfId="5424" xr:uid="{00000000-0005-0000-0000-0000E3140000}"/>
    <cellStyle name="Accent5 15" xfId="5425" xr:uid="{00000000-0005-0000-0000-0000E4140000}"/>
    <cellStyle name="Accent5 15 2" xfId="5426" xr:uid="{00000000-0005-0000-0000-0000E5140000}"/>
    <cellStyle name="Accent5 15 3" xfId="5427" xr:uid="{00000000-0005-0000-0000-0000E6140000}"/>
    <cellStyle name="Accent5 15 4" xfId="5428" xr:uid="{00000000-0005-0000-0000-0000E7140000}"/>
    <cellStyle name="Accent5 15 5" xfId="5429" xr:uid="{00000000-0005-0000-0000-0000E8140000}"/>
    <cellStyle name="Accent5 15 6" xfId="5430" xr:uid="{00000000-0005-0000-0000-0000E9140000}"/>
    <cellStyle name="Accent5 15 7" xfId="5431" xr:uid="{00000000-0005-0000-0000-0000EA140000}"/>
    <cellStyle name="Accent5 15 8" xfId="5432" xr:uid="{00000000-0005-0000-0000-0000EB140000}"/>
    <cellStyle name="Accent5 15 9" xfId="5433" xr:uid="{00000000-0005-0000-0000-0000EC140000}"/>
    <cellStyle name="Accent5 16" xfId="5434" xr:uid="{00000000-0005-0000-0000-0000ED140000}"/>
    <cellStyle name="Accent5 16 2" xfId="5435" xr:uid="{00000000-0005-0000-0000-0000EE140000}"/>
    <cellStyle name="Accent5 16 3" xfId="5436" xr:uid="{00000000-0005-0000-0000-0000EF140000}"/>
    <cellStyle name="Accent5 16 4" xfId="5437" xr:uid="{00000000-0005-0000-0000-0000F0140000}"/>
    <cellStyle name="Accent5 16 5" xfId="5438" xr:uid="{00000000-0005-0000-0000-0000F1140000}"/>
    <cellStyle name="Accent5 16 6" xfId="5439" xr:uid="{00000000-0005-0000-0000-0000F2140000}"/>
    <cellStyle name="Accent5 16 7" xfId="5440" xr:uid="{00000000-0005-0000-0000-0000F3140000}"/>
    <cellStyle name="Accent5 16 8" xfId="5441" xr:uid="{00000000-0005-0000-0000-0000F4140000}"/>
    <cellStyle name="Accent5 16 9" xfId="5442" xr:uid="{00000000-0005-0000-0000-0000F5140000}"/>
    <cellStyle name="Accent5 17" xfId="5443" xr:uid="{00000000-0005-0000-0000-0000F6140000}"/>
    <cellStyle name="Accent5 17 2" xfId="5444" xr:uid="{00000000-0005-0000-0000-0000F7140000}"/>
    <cellStyle name="Accent5 18" xfId="5445" xr:uid="{00000000-0005-0000-0000-0000F8140000}"/>
    <cellStyle name="Accent5 18 2" xfId="5446" xr:uid="{00000000-0005-0000-0000-0000F9140000}"/>
    <cellStyle name="Accent5 19" xfId="5447" xr:uid="{00000000-0005-0000-0000-0000FA140000}"/>
    <cellStyle name="Accent5 19 2" xfId="5448" xr:uid="{00000000-0005-0000-0000-0000FB140000}"/>
    <cellStyle name="Accent5 2" xfId="5449" xr:uid="{00000000-0005-0000-0000-0000FC140000}"/>
    <cellStyle name="Accent5 2 10" xfId="5450" xr:uid="{00000000-0005-0000-0000-0000FD140000}"/>
    <cellStyle name="Accent5 2 10 2" xfId="5451" xr:uid="{00000000-0005-0000-0000-0000FE140000}"/>
    <cellStyle name="Accent5 2 11" xfId="5452" xr:uid="{00000000-0005-0000-0000-0000FF140000}"/>
    <cellStyle name="Accent5 2 12" xfId="5453" xr:uid="{00000000-0005-0000-0000-000000150000}"/>
    <cellStyle name="Accent5 2 13" xfId="5454" xr:uid="{00000000-0005-0000-0000-000001150000}"/>
    <cellStyle name="Accent5 2 2" xfId="5455" xr:uid="{00000000-0005-0000-0000-000002150000}"/>
    <cellStyle name="Accent5 2 2 2" xfId="5456" xr:uid="{00000000-0005-0000-0000-000003150000}"/>
    <cellStyle name="Accent5 2 2 3" xfId="5457" xr:uid="{00000000-0005-0000-0000-000004150000}"/>
    <cellStyle name="Accent5 2 2 4" xfId="5458" xr:uid="{00000000-0005-0000-0000-000005150000}"/>
    <cellStyle name="Accent5 2 2 5" xfId="5459" xr:uid="{00000000-0005-0000-0000-000006150000}"/>
    <cellStyle name="Accent5 2 2 6" xfId="5460" xr:uid="{00000000-0005-0000-0000-000007150000}"/>
    <cellStyle name="Accent5 2 2 7" xfId="5461" xr:uid="{00000000-0005-0000-0000-000008150000}"/>
    <cellStyle name="Accent5 2 2 8" xfId="5462" xr:uid="{00000000-0005-0000-0000-000009150000}"/>
    <cellStyle name="Accent5 2 2 9" xfId="5463" xr:uid="{00000000-0005-0000-0000-00000A150000}"/>
    <cellStyle name="Accent5 2 3" xfId="5464" xr:uid="{00000000-0005-0000-0000-00000B150000}"/>
    <cellStyle name="Accent5 2 3 2" xfId="5465" xr:uid="{00000000-0005-0000-0000-00000C150000}"/>
    <cellStyle name="Accent5 2 4" xfId="5466" xr:uid="{00000000-0005-0000-0000-00000D150000}"/>
    <cellStyle name="Accent5 2 4 2" xfId="5467" xr:uid="{00000000-0005-0000-0000-00000E150000}"/>
    <cellStyle name="Accent5 2 5" xfId="5468" xr:uid="{00000000-0005-0000-0000-00000F150000}"/>
    <cellStyle name="Accent5 2 5 2" xfId="5469" xr:uid="{00000000-0005-0000-0000-000010150000}"/>
    <cellStyle name="Accent5 2 6" xfId="5470" xr:uid="{00000000-0005-0000-0000-000011150000}"/>
    <cellStyle name="Accent5 2 6 2" xfId="5471" xr:uid="{00000000-0005-0000-0000-000012150000}"/>
    <cellStyle name="Accent5 2 7" xfId="5472" xr:uid="{00000000-0005-0000-0000-000013150000}"/>
    <cellStyle name="Accent5 2 7 2" xfId="5473" xr:uid="{00000000-0005-0000-0000-000014150000}"/>
    <cellStyle name="Accent5 2 8" xfId="5474" xr:uid="{00000000-0005-0000-0000-000015150000}"/>
    <cellStyle name="Accent5 2 8 2" xfId="5475" xr:uid="{00000000-0005-0000-0000-000016150000}"/>
    <cellStyle name="Accent5 2 9" xfId="5476" xr:uid="{00000000-0005-0000-0000-000017150000}"/>
    <cellStyle name="Accent5 2 9 2" xfId="5477" xr:uid="{00000000-0005-0000-0000-000018150000}"/>
    <cellStyle name="Accent5 2_Block-F LGF POur-II BBS" xfId="5478" xr:uid="{00000000-0005-0000-0000-000019150000}"/>
    <cellStyle name="Accent5 20" xfId="5479" xr:uid="{00000000-0005-0000-0000-00001A150000}"/>
    <cellStyle name="Accent5 20 2" xfId="5480" xr:uid="{00000000-0005-0000-0000-00001B150000}"/>
    <cellStyle name="Accent5 21" xfId="5481" xr:uid="{00000000-0005-0000-0000-00001C150000}"/>
    <cellStyle name="Accent5 21 2" xfId="5482" xr:uid="{00000000-0005-0000-0000-00001D150000}"/>
    <cellStyle name="Accent5 22" xfId="5483" xr:uid="{00000000-0005-0000-0000-00001E150000}"/>
    <cellStyle name="Accent5 23" xfId="5484" xr:uid="{00000000-0005-0000-0000-00001F150000}"/>
    <cellStyle name="Accent5 24" xfId="5485" xr:uid="{00000000-0005-0000-0000-000020150000}"/>
    <cellStyle name="Accent5 25" xfId="5486" xr:uid="{00000000-0005-0000-0000-000021150000}"/>
    <cellStyle name="Accent5 26" xfId="5487" xr:uid="{00000000-0005-0000-0000-000022150000}"/>
    <cellStyle name="Accent5 27" xfId="5488" xr:uid="{00000000-0005-0000-0000-000023150000}"/>
    <cellStyle name="Accent5 28" xfId="5489" xr:uid="{00000000-0005-0000-0000-000024150000}"/>
    <cellStyle name="Accent5 29" xfId="5490" xr:uid="{00000000-0005-0000-0000-000025150000}"/>
    <cellStyle name="Accent5 3" xfId="5491" xr:uid="{00000000-0005-0000-0000-000026150000}"/>
    <cellStyle name="Accent5 3 2" xfId="5492" xr:uid="{00000000-0005-0000-0000-000027150000}"/>
    <cellStyle name="Accent5 3 2 2" xfId="5493" xr:uid="{00000000-0005-0000-0000-000028150000}"/>
    <cellStyle name="Accent5 3 2 3" xfId="5494" xr:uid="{00000000-0005-0000-0000-000029150000}"/>
    <cellStyle name="Accent5 3 2 4" xfId="5495" xr:uid="{00000000-0005-0000-0000-00002A150000}"/>
    <cellStyle name="Accent5 3 2 5" xfId="5496" xr:uid="{00000000-0005-0000-0000-00002B150000}"/>
    <cellStyle name="Accent5 3 2 6" xfId="5497" xr:uid="{00000000-0005-0000-0000-00002C150000}"/>
    <cellStyle name="Accent5 3 2 7" xfId="5498" xr:uid="{00000000-0005-0000-0000-00002D150000}"/>
    <cellStyle name="Accent5 3 2 8" xfId="5499" xr:uid="{00000000-0005-0000-0000-00002E150000}"/>
    <cellStyle name="Accent5 3 2 9" xfId="5500" xr:uid="{00000000-0005-0000-0000-00002F150000}"/>
    <cellStyle name="Accent5 3 3" xfId="5501" xr:uid="{00000000-0005-0000-0000-000030150000}"/>
    <cellStyle name="Accent5 3 3 2" xfId="5502" xr:uid="{00000000-0005-0000-0000-000031150000}"/>
    <cellStyle name="Accent5 3 3 3" xfId="5503" xr:uid="{00000000-0005-0000-0000-000032150000}"/>
    <cellStyle name="Accent5 3 4" xfId="5504" xr:uid="{00000000-0005-0000-0000-000033150000}"/>
    <cellStyle name="Accent5 3 4 2" xfId="5505" xr:uid="{00000000-0005-0000-0000-000034150000}"/>
    <cellStyle name="Accent5 3 5" xfId="5506" xr:uid="{00000000-0005-0000-0000-000035150000}"/>
    <cellStyle name="Accent5 3 6" xfId="5507" xr:uid="{00000000-0005-0000-0000-000036150000}"/>
    <cellStyle name="Accent5 3 7" xfId="5508" xr:uid="{00000000-0005-0000-0000-000037150000}"/>
    <cellStyle name="Accent5 3 8" xfId="5509" xr:uid="{00000000-0005-0000-0000-000038150000}"/>
    <cellStyle name="Accent5 3_Ramadugu_ SWGH" xfId="5510" xr:uid="{00000000-0005-0000-0000-000039150000}"/>
    <cellStyle name="Accent5 30" xfId="5511" xr:uid="{00000000-0005-0000-0000-00003A150000}"/>
    <cellStyle name="Accent5 31" xfId="5512" xr:uid="{00000000-0005-0000-0000-00003B150000}"/>
    <cellStyle name="Accent5 32" xfId="5513" xr:uid="{00000000-0005-0000-0000-00003C150000}"/>
    <cellStyle name="Accent5 33" xfId="5514" xr:uid="{00000000-0005-0000-0000-00003D150000}"/>
    <cellStyle name="Accent5 34" xfId="5515" xr:uid="{00000000-0005-0000-0000-00003E150000}"/>
    <cellStyle name="Accent5 35" xfId="5516" xr:uid="{00000000-0005-0000-0000-00003F150000}"/>
    <cellStyle name="Accent5 36" xfId="5517" xr:uid="{00000000-0005-0000-0000-000040150000}"/>
    <cellStyle name="Accent5 37" xfId="5518" xr:uid="{00000000-0005-0000-0000-000041150000}"/>
    <cellStyle name="Accent5 38" xfId="5519" xr:uid="{00000000-0005-0000-0000-000042150000}"/>
    <cellStyle name="Accent5 39" xfId="5520" xr:uid="{00000000-0005-0000-0000-000043150000}"/>
    <cellStyle name="Accent5 4" xfId="5521" xr:uid="{00000000-0005-0000-0000-000044150000}"/>
    <cellStyle name="Accent5 4 10" xfId="5522" xr:uid="{00000000-0005-0000-0000-000045150000}"/>
    <cellStyle name="Accent5 4 11" xfId="5523" xr:uid="{00000000-0005-0000-0000-000046150000}"/>
    <cellStyle name="Accent5 4 12" xfId="5524" xr:uid="{00000000-0005-0000-0000-000047150000}"/>
    <cellStyle name="Accent5 4 13" xfId="5525" xr:uid="{00000000-0005-0000-0000-000048150000}"/>
    <cellStyle name="Accent5 4 14" xfId="5526" xr:uid="{00000000-0005-0000-0000-000049150000}"/>
    <cellStyle name="Accent5 4 15" xfId="5527" xr:uid="{00000000-0005-0000-0000-00004A150000}"/>
    <cellStyle name="Accent5 4 16" xfId="5528" xr:uid="{00000000-0005-0000-0000-00004B150000}"/>
    <cellStyle name="Accent5 4 2" xfId="5529" xr:uid="{00000000-0005-0000-0000-00004C150000}"/>
    <cellStyle name="Accent5 4 3" xfId="5530" xr:uid="{00000000-0005-0000-0000-00004D150000}"/>
    <cellStyle name="Accent5 4 3 2" xfId="5531" xr:uid="{00000000-0005-0000-0000-00004E150000}"/>
    <cellStyle name="Accent5 4 4" xfId="5532" xr:uid="{00000000-0005-0000-0000-00004F150000}"/>
    <cellStyle name="Accent5 4 4 2" xfId="5533" xr:uid="{00000000-0005-0000-0000-000050150000}"/>
    <cellStyle name="Accent5 4 5" xfId="5534" xr:uid="{00000000-0005-0000-0000-000051150000}"/>
    <cellStyle name="Accent5 4 6" xfId="5535" xr:uid="{00000000-0005-0000-0000-000052150000}"/>
    <cellStyle name="Accent5 4 7" xfId="5536" xr:uid="{00000000-0005-0000-0000-000053150000}"/>
    <cellStyle name="Accent5 4 8" xfId="5537" xr:uid="{00000000-0005-0000-0000-000054150000}"/>
    <cellStyle name="Accent5 4 9" xfId="5538" xr:uid="{00000000-0005-0000-0000-000055150000}"/>
    <cellStyle name="Accent5 4_Sheet2" xfId="5539" xr:uid="{00000000-0005-0000-0000-000056150000}"/>
    <cellStyle name="Accent5 40" xfId="5540" xr:uid="{00000000-0005-0000-0000-000057150000}"/>
    <cellStyle name="Accent5 41" xfId="5541" xr:uid="{00000000-0005-0000-0000-000058150000}"/>
    <cellStyle name="Accent5 42" xfId="5542" xr:uid="{00000000-0005-0000-0000-000059150000}"/>
    <cellStyle name="Accent5 43" xfId="5543" xr:uid="{00000000-0005-0000-0000-00005A150000}"/>
    <cellStyle name="Accent5 44" xfId="5544" xr:uid="{00000000-0005-0000-0000-00005B150000}"/>
    <cellStyle name="Accent5 45" xfId="5545" xr:uid="{00000000-0005-0000-0000-00005C150000}"/>
    <cellStyle name="Accent5 46" xfId="5546" xr:uid="{00000000-0005-0000-0000-00005D150000}"/>
    <cellStyle name="Accent5 47" xfId="5547" xr:uid="{00000000-0005-0000-0000-00005E150000}"/>
    <cellStyle name="Accent5 48" xfId="5548" xr:uid="{00000000-0005-0000-0000-00005F150000}"/>
    <cellStyle name="Accent5 49" xfId="5549" xr:uid="{00000000-0005-0000-0000-000060150000}"/>
    <cellStyle name="Accent5 5" xfId="5550" xr:uid="{00000000-0005-0000-0000-000061150000}"/>
    <cellStyle name="Accent5 5 10" xfId="5551" xr:uid="{00000000-0005-0000-0000-000062150000}"/>
    <cellStyle name="Accent5 5 11" xfId="5552" xr:uid="{00000000-0005-0000-0000-000063150000}"/>
    <cellStyle name="Accent5 5 12" xfId="5553" xr:uid="{00000000-0005-0000-0000-000064150000}"/>
    <cellStyle name="Accent5 5 13" xfId="5554" xr:uid="{00000000-0005-0000-0000-000065150000}"/>
    <cellStyle name="Accent5 5 14" xfId="5555" xr:uid="{00000000-0005-0000-0000-000066150000}"/>
    <cellStyle name="Accent5 5 15" xfId="5556" xr:uid="{00000000-0005-0000-0000-000067150000}"/>
    <cellStyle name="Accent5 5 16" xfId="5557" xr:uid="{00000000-0005-0000-0000-000068150000}"/>
    <cellStyle name="Accent5 5 2" xfId="5558" xr:uid="{00000000-0005-0000-0000-000069150000}"/>
    <cellStyle name="Accent5 5 2 2" xfId="5559" xr:uid="{00000000-0005-0000-0000-00006A150000}"/>
    <cellStyle name="Accent5 5 3" xfId="5560" xr:uid="{00000000-0005-0000-0000-00006B150000}"/>
    <cellStyle name="Accent5 5 3 2" xfId="5561" xr:uid="{00000000-0005-0000-0000-00006C150000}"/>
    <cellStyle name="Accent5 5 4" xfId="5562" xr:uid="{00000000-0005-0000-0000-00006D150000}"/>
    <cellStyle name="Accent5 5 4 2" xfId="5563" xr:uid="{00000000-0005-0000-0000-00006E150000}"/>
    <cellStyle name="Accent5 5 5" xfId="5564" xr:uid="{00000000-0005-0000-0000-00006F150000}"/>
    <cellStyle name="Accent5 5 6" xfId="5565" xr:uid="{00000000-0005-0000-0000-000070150000}"/>
    <cellStyle name="Accent5 5 7" xfId="5566" xr:uid="{00000000-0005-0000-0000-000071150000}"/>
    <cellStyle name="Accent5 5 8" xfId="5567" xr:uid="{00000000-0005-0000-0000-000072150000}"/>
    <cellStyle name="Accent5 5 9" xfId="5568" xr:uid="{00000000-0005-0000-0000-000073150000}"/>
    <cellStyle name="Accent5 5_Sheet2" xfId="5569" xr:uid="{00000000-0005-0000-0000-000074150000}"/>
    <cellStyle name="Accent5 50" xfId="5570" xr:uid="{00000000-0005-0000-0000-000075150000}"/>
    <cellStyle name="Accent5 51" xfId="5571" xr:uid="{00000000-0005-0000-0000-000076150000}"/>
    <cellStyle name="Accent5 52" xfId="5572" xr:uid="{00000000-0005-0000-0000-000077150000}"/>
    <cellStyle name="Accent5 53" xfId="5573" xr:uid="{00000000-0005-0000-0000-000078150000}"/>
    <cellStyle name="Accent5 6" xfId="5574" xr:uid="{00000000-0005-0000-0000-000079150000}"/>
    <cellStyle name="Accent5 6 10" xfId="5575" xr:uid="{00000000-0005-0000-0000-00007A150000}"/>
    <cellStyle name="Accent5 6 11" xfId="5576" xr:uid="{00000000-0005-0000-0000-00007B150000}"/>
    <cellStyle name="Accent5 6 12" xfId="5577" xr:uid="{00000000-0005-0000-0000-00007C150000}"/>
    <cellStyle name="Accent5 6 13" xfId="5578" xr:uid="{00000000-0005-0000-0000-00007D150000}"/>
    <cellStyle name="Accent5 6 14" xfId="5579" xr:uid="{00000000-0005-0000-0000-00007E150000}"/>
    <cellStyle name="Accent5 6 15" xfId="5580" xr:uid="{00000000-0005-0000-0000-00007F150000}"/>
    <cellStyle name="Accent5 6 16" xfId="5581" xr:uid="{00000000-0005-0000-0000-000080150000}"/>
    <cellStyle name="Accent5 6 2" xfId="5582" xr:uid="{00000000-0005-0000-0000-000081150000}"/>
    <cellStyle name="Accent5 6 2 2" xfId="5583" xr:uid="{00000000-0005-0000-0000-000082150000}"/>
    <cellStyle name="Accent5 6 3" xfId="5584" xr:uid="{00000000-0005-0000-0000-000083150000}"/>
    <cellStyle name="Accent5 6 3 2" xfId="5585" xr:uid="{00000000-0005-0000-0000-000084150000}"/>
    <cellStyle name="Accent5 6 4" xfId="5586" xr:uid="{00000000-0005-0000-0000-000085150000}"/>
    <cellStyle name="Accent5 6 4 2" xfId="5587" xr:uid="{00000000-0005-0000-0000-000086150000}"/>
    <cellStyle name="Accent5 6 5" xfId="5588" xr:uid="{00000000-0005-0000-0000-000087150000}"/>
    <cellStyle name="Accent5 6 6" xfId="5589" xr:uid="{00000000-0005-0000-0000-000088150000}"/>
    <cellStyle name="Accent5 6 7" xfId="5590" xr:uid="{00000000-0005-0000-0000-000089150000}"/>
    <cellStyle name="Accent5 6 8" xfId="5591" xr:uid="{00000000-0005-0000-0000-00008A150000}"/>
    <cellStyle name="Accent5 6 9" xfId="5592" xr:uid="{00000000-0005-0000-0000-00008B150000}"/>
    <cellStyle name="Accent5 6_Sheet2" xfId="5593" xr:uid="{00000000-0005-0000-0000-00008C150000}"/>
    <cellStyle name="Accent5 7" xfId="5594" xr:uid="{00000000-0005-0000-0000-00008D150000}"/>
    <cellStyle name="Accent5 7 10" xfId="5595" xr:uid="{00000000-0005-0000-0000-00008E150000}"/>
    <cellStyle name="Accent5 7 11" xfId="5596" xr:uid="{00000000-0005-0000-0000-00008F150000}"/>
    <cellStyle name="Accent5 7 12" xfId="5597" xr:uid="{00000000-0005-0000-0000-000090150000}"/>
    <cellStyle name="Accent5 7 13" xfId="5598" xr:uid="{00000000-0005-0000-0000-000091150000}"/>
    <cellStyle name="Accent5 7 14" xfId="5599" xr:uid="{00000000-0005-0000-0000-000092150000}"/>
    <cellStyle name="Accent5 7 15" xfId="5600" xr:uid="{00000000-0005-0000-0000-000093150000}"/>
    <cellStyle name="Accent5 7 16" xfId="5601" xr:uid="{00000000-0005-0000-0000-000094150000}"/>
    <cellStyle name="Accent5 7 2" xfId="5602" xr:uid="{00000000-0005-0000-0000-000095150000}"/>
    <cellStyle name="Accent5 7 2 2" xfId="5603" xr:uid="{00000000-0005-0000-0000-000096150000}"/>
    <cellStyle name="Accent5 7 3" xfId="5604" xr:uid="{00000000-0005-0000-0000-000097150000}"/>
    <cellStyle name="Accent5 7 3 2" xfId="5605" xr:uid="{00000000-0005-0000-0000-000098150000}"/>
    <cellStyle name="Accent5 7 4" xfId="5606" xr:uid="{00000000-0005-0000-0000-000099150000}"/>
    <cellStyle name="Accent5 7 4 2" xfId="5607" xr:uid="{00000000-0005-0000-0000-00009A150000}"/>
    <cellStyle name="Accent5 7 5" xfId="5608" xr:uid="{00000000-0005-0000-0000-00009B150000}"/>
    <cellStyle name="Accent5 7 6" xfId="5609" xr:uid="{00000000-0005-0000-0000-00009C150000}"/>
    <cellStyle name="Accent5 7 7" xfId="5610" xr:uid="{00000000-0005-0000-0000-00009D150000}"/>
    <cellStyle name="Accent5 7 8" xfId="5611" xr:uid="{00000000-0005-0000-0000-00009E150000}"/>
    <cellStyle name="Accent5 7 9" xfId="5612" xr:uid="{00000000-0005-0000-0000-00009F150000}"/>
    <cellStyle name="Accent5 7_Sheet2" xfId="5613" xr:uid="{00000000-0005-0000-0000-0000A0150000}"/>
    <cellStyle name="Accent5 8" xfId="5614" xr:uid="{00000000-0005-0000-0000-0000A1150000}"/>
    <cellStyle name="Accent5 8 10" xfId="5615" xr:uid="{00000000-0005-0000-0000-0000A2150000}"/>
    <cellStyle name="Accent5 8 11" xfId="5616" xr:uid="{00000000-0005-0000-0000-0000A3150000}"/>
    <cellStyle name="Accent5 8 12" xfId="5617" xr:uid="{00000000-0005-0000-0000-0000A4150000}"/>
    <cellStyle name="Accent5 8 13" xfId="5618" xr:uid="{00000000-0005-0000-0000-0000A5150000}"/>
    <cellStyle name="Accent5 8 14" xfId="5619" xr:uid="{00000000-0005-0000-0000-0000A6150000}"/>
    <cellStyle name="Accent5 8 15" xfId="5620" xr:uid="{00000000-0005-0000-0000-0000A7150000}"/>
    <cellStyle name="Accent5 8 16" xfId="5621" xr:uid="{00000000-0005-0000-0000-0000A8150000}"/>
    <cellStyle name="Accent5 8 2" xfId="5622" xr:uid="{00000000-0005-0000-0000-0000A9150000}"/>
    <cellStyle name="Accent5 8 3" xfId="5623" xr:uid="{00000000-0005-0000-0000-0000AA150000}"/>
    <cellStyle name="Accent5 8 4" xfId="5624" xr:uid="{00000000-0005-0000-0000-0000AB150000}"/>
    <cellStyle name="Accent5 8 5" xfId="5625" xr:uid="{00000000-0005-0000-0000-0000AC150000}"/>
    <cellStyle name="Accent5 8 6" xfId="5626" xr:uid="{00000000-0005-0000-0000-0000AD150000}"/>
    <cellStyle name="Accent5 8 7" xfId="5627" xr:uid="{00000000-0005-0000-0000-0000AE150000}"/>
    <cellStyle name="Accent5 8 8" xfId="5628" xr:uid="{00000000-0005-0000-0000-0000AF150000}"/>
    <cellStyle name="Accent5 8 9" xfId="5629" xr:uid="{00000000-0005-0000-0000-0000B0150000}"/>
    <cellStyle name="Accent5 8_Sheet2" xfId="5630" xr:uid="{00000000-0005-0000-0000-0000B1150000}"/>
    <cellStyle name="Accent5 9" xfId="5631" xr:uid="{00000000-0005-0000-0000-0000B2150000}"/>
    <cellStyle name="Accent5 9 10" xfId="5632" xr:uid="{00000000-0005-0000-0000-0000B3150000}"/>
    <cellStyle name="Accent5 9 11" xfId="5633" xr:uid="{00000000-0005-0000-0000-0000B4150000}"/>
    <cellStyle name="Accent5 9 12" xfId="5634" xr:uid="{00000000-0005-0000-0000-0000B5150000}"/>
    <cellStyle name="Accent5 9 13" xfId="5635" xr:uid="{00000000-0005-0000-0000-0000B6150000}"/>
    <cellStyle name="Accent5 9 14" xfId="5636" xr:uid="{00000000-0005-0000-0000-0000B7150000}"/>
    <cellStyle name="Accent5 9 15" xfId="5637" xr:uid="{00000000-0005-0000-0000-0000B8150000}"/>
    <cellStyle name="Accent5 9 16" xfId="5638" xr:uid="{00000000-0005-0000-0000-0000B9150000}"/>
    <cellStyle name="Accent5 9 2" xfId="5639" xr:uid="{00000000-0005-0000-0000-0000BA150000}"/>
    <cellStyle name="Accent5 9 3" xfId="5640" xr:uid="{00000000-0005-0000-0000-0000BB150000}"/>
    <cellStyle name="Accent5 9 4" xfId="5641" xr:uid="{00000000-0005-0000-0000-0000BC150000}"/>
    <cellStyle name="Accent5 9 5" xfId="5642" xr:uid="{00000000-0005-0000-0000-0000BD150000}"/>
    <cellStyle name="Accent5 9 6" xfId="5643" xr:uid="{00000000-0005-0000-0000-0000BE150000}"/>
    <cellStyle name="Accent5 9 7" xfId="5644" xr:uid="{00000000-0005-0000-0000-0000BF150000}"/>
    <cellStyle name="Accent5 9 8" xfId="5645" xr:uid="{00000000-0005-0000-0000-0000C0150000}"/>
    <cellStyle name="Accent5 9 9" xfId="5646" xr:uid="{00000000-0005-0000-0000-0000C1150000}"/>
    <cellStyle name="Accent6" xfId="24" builtinId="49" customBuiltin="1"/>
    <cellStyle name="Accent6 - 20%" xfId="5647" xr:uid="{00000000-0005-0000-0000-0000C3150000}"/>
    <cellStyle name="Accent6 - 20% 2" xfId="5648" xr:uid="{00000000-0005-0000-0000-0000C4150000}"/>
    <cellStyle name="Accent6 - 20% 2 2" xfId="5649" xr:uid="{00000000-0005-0000-0000-0000C5150000}"/>
    <cellStyle name="Accent6 - 20% 2 3" xfId="5650" xr:uid="{00000000-0005-0000-0000-0000C6150000}"/>
    <cellStyle name="Accent6 - 20% 3" xfId="5651" xr:uid="{00000000-0005-0000-0000-0000C7150000}"/>
    <cellStyle name="Accent6 - 20% 4" xfId="5652" xr:uid="{00000000-0005-0000-0000-0000C8150000}"/>
    <cellStyle name="Accent6 - 20%_APSWRSC-Kalasamudram" xfId="5653" xr:uid="{00000000-0005-0000-0000-0000C9150000}"/>
    <cellStyle name="Accent6 - 40%" xfId="5654" xr:uid="{00000000-0005-0000-0000-0000CA150000}"/>
    <cellStyle name="Accent6 - 40% 2" xfId="5655" xr:uid="{00000000-0005-0000-0000-0000CB150000}"/>
    <cellStyle name="Accent6 - 40% 2 2" xfId="5656" xr:uid="{00000000-0005-0000-0000-0000CC150000}"/>
    <cellStyle name="Accent6 - 40% 2 3" xfId="5657" xr:uid="{00000000-0005-0000-0000-0000CD150000}"/>
    <cellStyle name="Accent6 - 40% 3" xfId="5658" xr:uid="{00000000-0005-0000-0000-0000CE150000}"/>
    <cellStyle name="Accent6 - 40% 4" xfId="5659" xr:uid="{00000000-0005-0000-0000-0000CF150000}"/>
    <cellStyle name="Accent6 - 40%_APSWRSC-Kalasamudram" xfId="5660" xr:uid="{00000000-0005-0000-0000-0000D0150000}"/>
    <cellStyle name="Accent6 - 60%" xfId="5661" xr:uid="{00000000-0005-0000-0000-0000D1150000}"/>
    <cellStyle name="Accent6 - 60% 2" xfId="5662" xr:uid="{00000000-0005-0000-0000-0000D2150000}"/>
    <cellStyle name="Accent6 - 60% 3" xfId="5663" xr:uid="{00000000-0005-0000-0000-0000D3150000}"/>
    <cellStyle name="Accent6 1" xfId="5664" xr:uid="{00000000-0005-0000-0000-0000D4150000}"/>
    <cellStyle name="Accent6 1 1" xfId="5665" xr:uid="{00000000-0005-0000-0000-0000D5150000}"/>
    <cellStyle name="Accent6 1_Building_-_5-final_Price_Variation(1)" xfId="5666" xr:uid="{00000000-0005-0000-0000-0000D6150000}"/>
    <cellStyle name="Accent6 10" xfId="5667" xr:uid="{00000000-0005-0000-0000-0000D7150000}"/>
    <cellStyle name="Accent6 10 10" xfId="5668" xr:uid="{00000000-0005-0000-0000-0000D8150000}"/>
    <cellStyle name="Accent6 10 11" xfId="5669" xr:uid="{00000000-0005-0000-0000-0000D9150000}"/>
    <cellStyle name="Accent6 10 12" xfId="5670" xr:uid="{00000000-0005-0000-0000-0000DA150000}"/>
    <cellStyle name="Accent6 10 13" xfId="5671" xr:uid="{00000000-0005-0000-0000-0000DB150000}"/>
    <cellStyle name="Accent6 10 14" xfId="5672" xr:uid="{00000000-0005-0000-0000-0000DC150000}"/>
    <cellStyle name="Accent6 10 15" xfId="5673" xr:uid="{00000000-0005-0000-0000-0000DD150000}"/>
    <cellStyle name="Accent6 10 16" xfId="5674" xr:uid="{00000000-0005-0000-0000-0000DE150000}"/>
    <cellStyle name="Accent6 10 2" xfId="5675" xr:uid="{00000000-0005-0000-0000-0000DF150000}"/>
    <cellStyle name="Accent6 10 3" xfId="5676" xr:uid="{00000000-0005-0000-0000-0000E0150000}"/>
    <cellStyle name="Accent6 10 4" xfId="5677" xr:uid="{00000000-0005-0000-0000-0000E1150000}"/>
    <cellStyle name="Accent6 10 5" xfId="5678" xr:uid="{00000000-0005-0000-0000-0000E2150000}"/>
    <cellStyle name="Accent6 10 6" xfId="5679" xr:uid="{00000000-0005-0000-0000-0000E3150000}"/>
    <cellStyle name="Accent6 10 7" xfId="5680" xr:uid="{00000000-0005-0000-0000-0000E4150000}"/>
    <cellStyle name="Accent6 10 8" xfId="5681" xr:uid="{00000000-0005-0000-0000-0000E5150000}"/>
    <cellStyle name="Accent6 10 9" xfId="5682" xr:uid="{00000000-0005-0000-0000-0000E6150000}"/>
    <cellStyle name="Accent6 11" xfId="5683" xr:uid="{00000000-0005-0000-0000-0000E7150000}"/>
    <cellStyle name="Accent6 11 2" xfId="5684" xr:uid="{00000000-0005-0000-0000-0000E8150000}"/>
    <cellStyle name="Accent6 11 3" xfId="5685" xr:uid="{00000000-0005-0000-0000-0000E9150000}"/>
    <cellStyle name="Accent6 11 4" xfId="5686" xr:uid="{00000000-0005-0000-0000-0000EA150000}"/>
    <cellStyle name="Accent6 11 5" xfId="5687" xr:uid="{00000000-0005-0000-0000-0000EB150000}"/>
    <cellStyle name="Accent6 11 6" xfId="5688" xr:uid="{00000000-0005-0000-0000-0000EC150000}"/>
    <cellStyle name="Accent6 11 7" xfId="5689" xr:uid="{00000000-0005-0000-0000-0000ED150000}"/>
    <cellStyle name="Accent6 11 8" xfId="5690" xr:uid="{00000000-0005-0000-0000-0000EE150000}"/>
    <cellStyle name="Accent6 11 9" xfId="5691" xr:uid="{00000000-0005-0000-0000-0000EF150000}"/>
    <cellStyle name="Accent6 12" xfId="5692" xr:uid="{00000000-0005-0000-0000-0000F0150000}"/>
    <cellStyle name="Accent6 12 2" xfId="5693" xr:uid="{00000000-0005-0000-0000-0000F1150000}"/>
    <cellStyle name="Accent6 12 3" xfId="5694" xr:uid="{00000000-0005-0000-0000-0000F2150000}"/>
    <cellStyle name="Accent6 12 4" xfId="5695" xr:uid="{00000000-0005-0000-0000-0000F3150000}"/>
    <cellStyle name="Accent6 12 5" xfId="5696" xr:uid="{00000000-0005-0000-0000-0000F4150000}"/>
    <cellStyle name="Accent6 12 6" xfId="5697" xr:uid="{00000000-0005-0000-0000-0000F5150000}"/>
    <cellStyle name="Accent6 12 7" xfId="5698" xr:uid="{00000000-0005-0000-0000-0000F6150000}"/>
    <cellStyle name="Accent6 12 8" xfId="5699" xr:uid="{00000000-0005-0000-0000-0000F7150000}"/>
    <cellStyle name="Accent6 12 9" xfId="5700" xr:uid="{00000000-0005-0000-0000-0000F8150000}"/>
    <cellStyle name="Accent6 13" xfId="5701" xr:uid="{00000000-0005-0000-0000-0000F9150000}"/>
    <cellStyle name="Accent6 13 2" xfId="5702" xr:uid="{00000000-0005-0000-0000-0000FA150000}"/>
    <cellStyle name="Accent6 13 3" xfId="5703" xr:uid="{00000000-0005-0000-0000-0000FB150000}"/>
    <cellStyle name="Accent6 13 4" xfId="5704" xr:uid="{00000000-0005-0000-0000-0000FC150000}"/>
    <cellStyle name="Accent6 13 5" xfId="5705" xr:uid="{00000000-0005-0000-0000-0000FD150000}"/>
    <cellStyle name="Accent6 13 6" xfId="5706" xr:uid="{00000000-0005-0000-0000-0000FE150000}"/>
    <cellStyle name="Accent6 13 7" xfId="5707" xr:uid="{00000000-0005-0000-0000-0000FF150000}"/>
    <cellStyle name="Accent6 13 8" xfId="5708" xr:uid="{00000000-0005-0000-0000-000000160000}"/>
    <cellStyle name="Accent6 13 9" xfId="5709" xr:uid="{00000000-0005-0000-0000-000001160000}"/>
    <cellStyle name="Accent6 14" xfId="5710" xr:uid="{00000000-0005-0000-0000-000002160000}"/>
    <cellStyle name="Accent6 14 2" xfId="5711" xr:uid="{00000000-0005-0000-0000-000003160000}"/>
    <cellStyle name="Accent6 14 3" xfId="5712" xr:uid="{00000000-0005-0000-0000-000004160000}"/>
    <cellStyle name="Accent6 14 4" xfId="5713" xr:uid="{00000000-0005-0000-0000-000005160000}"/>
    <cellStyle name="Accent6 14 5" xfId="5714" xr:uid="{00000000-0005-0000-0000-000006160000}"/>
    <cellStyle name="Accent6 14 6" xfId="5715" xr:uid="{00000000-0005-0000-0000-000007160000}"/>
    <cellStyle name="Accent6 14 7" xfId="5716" xr:uid="{00000000-0005-0000-0000-000008160000}"/>
    <cellStyle name="Accent6 14 8" xfId="5717" xr:uid="{00000000-0005-0000-0000-000009160000}"/>
    <cellStyle name="Accent6 14 9" xfId="5718" xr:uid="{00000000-0005-0000-0000-00000A160000}"/>
    <cellStyle name="Accent6 15" xfId="5719" xr:uid="{00000000-0005-0000-0000-00000B160000}"/>
    <cellStyle name="Accent6 15 2" xfId="5720" xr:uid="{00000000-0005-0000-0000-00000C160000}"/>
    <cellStyle name="Accent6 15 3" xfId="5721" xr:uid="{00000000-0005-0000-0000-00000D160000}"/>
    <cellStyle name="Accent6 15 4" xfId="5722" xr:uid="{00000000-0005-0000-0000-00000E160000}"/>
    <cellStyle name="Accent6 15 5" xfId="5723" xr:uid="{00000000-0005-0000-0000-00000F160000}"/>
    <cellStyle name="Accent6 15 6" xfId="5724" xr:uid="{00000000-0005-0000-0000-000010160000}"/>
    <cellStyle name="Accent6 15 7" xfId="5725" xr:uid="{00000000-0005-0000-0000-000011160000}"/>
    <cellStyle name="Accent6 15 8" xfId="5726" xr:uid="{00000000-0005-0000-0000-000012160000}"/>
    <cellStyle name="Accent6 15 9" xfId="5727" xr:uid="{00000000-0005-0000-0000-000013160000}"/>
    <cellStyle name="Accent6 16" xfId="5728" xr:uid="{00000000-0005-0000-0000-000014160000}"/>
    <cellStyle name="Accent6 16 2" xfId="5729" xr:uid="{00000000-0005-0000-0000-000015160000}"/>
    <cellStyle name="Accent6 16 3" xfId="5730" xr:uid="{00000000-0005-0000-0000-000016160000}"/>
    <cellStyle name="Accent6 16 4" xfId="5731" xr:uid="{00000000-0005-0000-0000-000017160000}"/>
    <cellStyle name="Accent6 16 5" xfId="5732" xr:uid="{00000000-0005-0000-0000-000018160000}"/>
    <cellStyle name="Accent6 16 6" xfId="5733" xr:uid="{00000000-0005-0000-0000-000019160000}"/>
    <cellStyle name="Accent6 16 7" xfId="5734" xr:uid="{00000000-0005-0000-0000-00001A160000}"/>
    <cellStyle name="Accent6 16 8" xfId="5735" xr:uid="{00000000-0005-0000-0000-00001B160000}"/>
    <cellStyle name="Accent6 16 9" xfId="5736" xr:uid="{00000000-0005-0000-0000-00001C160000}"/>
    <cellStyle name="Accent6 17" xfId="5737" xr:uid="{00000000-0005-0000-0000-00001D160000}"/>
    <cellStyle name="Accent6 17 2" xfId="5738" xr:uid="{00000000-0005-0000-0000-00001E160000}"/>
    <cellStyle name="Accent6 18" xfId="5739" xr:uid="{00000000-0005-0000-0000-00001F160000}"/>
    <cellStyle name="Accent6 18 2" xfId="5740" xr:uid="{00000000-0005-0000-0000-000020160000}"/>
    <cellStyle name="Accent6 19" xfId="5741" xr:uid="{00000000-0005-0000-0000-000021160000}"/>
    <cellStyle name="Accent6 19 2" xfId="5742" xr:uid="{00000000-0005-0000-0000-000022160000}"/>
    <cellStyle name="Accent6 2" xfId="5743" xr:uid="{00000000-0005-0000-0000-000023160000}"/>
    <cellStyle name="Accent6 2 10" xfId="5744" xr:uid="{00000000-0005-0000-0000-000024160000}"/>
    <cellStyle name="Accent6 2 10 2" xfId="5745" xr:uid="{00000000-0005-0000-0000-000025160000}"/>
    <cellStyle name="Accent6 2 11" xfId="5746" xr:uid="{00000000-0005-0000-0000-000026160000}"/>
    <cellStyle name="Accent6 2 12" xfId="5747" xr:uid="{00000000-0005-0000-0000-000027160000}"/>
    <cellStyle name="Accent6 2 13" xfId="5748" xr:uid="{00000000-0005-0000-0000-000028160000}"/>
    <cellStyle name="Accent6 2 2" xfId="5749" xr:uid="{00000000-0005-0000-0000-000029160000}"/>
    <cellStyle name="Accent6 2 2 2" xfId="5750" xr:uid="{00000000-0005-0000-0000-00002A160000}"/>
    <cellStyle name="Accent6 2 2 3" xfId="5751" xr:uid="{00000000-0005-0000-0000-00002B160000}"/>
    <cellStyle name="Accent6 2 2 4" xfId="5752" xr:uid="{00000000-0005-0000-0000-00002C160000}"/>
    <cellStyle name="Accent6 2 2 5" xfId="5753" xr:uid="{00000000-0005-0000-0000-00002D160000}"/>
    <cellStyle name="Accent6 2 2 6" xfId="5754" xr:uid="{00000000-0005-0000-0000-00002E160000}"/>
    <cellStyle name="Accent6 2 2 7" xfId="5755" xr:uid="{00000000-0005-0000-0000-00002F160000}"/>
    <cellStyle name="Accent6 2 2 8" xfId="5756" xr:uid="{00000000-0005-0000-0000-000030160000}"/>
    <cellStyle name="Accent6 2 2 9" xfId="5757" xr:uid="{00000000-0005-0000-0000-000031160000}"/>
    <cellStyle name="Accent6 2 3" xfId="5758" xr:uid="{00000000-0005-0000-0000-000032160000}"/>
    <cellStyle name="Accent6 2 3 2" xfId="5759" xr:uid="{00000000-0005-0000-0000-000033160000}"/>
    <cellStyle name="Accent6 2 4" xfId="5760" xr:uid="{00000000-0005-0000-0000-000034160000}"/>
    <cellStyle name="Accent6 2 4 2" xfId="5761" xr:uid="{00000000-0005-0000-0000-000035160000}"/>
    <cellStyle name="Accent6 2 5" xfId="5762" xr:uid="{00000000-0005-0000-0000-000036160000}"/>
    <cellStyle name="Accent6 2 5 2" xfId="5763" xr:uid="{00000000-0005-0000-0000-000037160000}"/>
    <cellStyle name="Accent6 2 6" xfId="5764" xr:uid="{00000000-0005-0000-0000-000038160000}"/>
    <cellStyle name="Accent6 2 6 2" xfId="5765" xr:uid="{00000000-0005-0000-0000-000039160000}"/>
    <cellStyle name="Accent6 2 7" xfId="5766" xr:uid="{00000000-0005-0000-0000-00003A160000}"/>
    <cellStyle name="Accent6 2 7 2" xfId="5767" xr:uid="{00000000-0005-0000-0000-00003B160000}"/>
    <cellStyle name="Accent6 2 8" xfId="5768" xr:uid="{00000000-0005-0000-0000-00003C160000}"/>
    <cellStyle name="Accent6 2 8 2" xfId="5769" xr:uid="{00000000-0005-0000-0000-00003D160000}"/>
    <cellStyle name="Accent6 2 9" xfId="5770" xr:uid="{00000000-0005-0000-0000-00003E160000}"/>
    <cellStyle name="Accent6 2 9 2" xfId="5771" xr:uid="{00000000-0005-0000-0000-00003F160000}"/>
    <cellStyle name="Accent6 2_Block-F LGF POur-II BBS" xfId="5772" xr:uid="{00000000-0005-0000-0000-000040160000}"/>
    <cellStyle name="Accent6 20" xfId="5773" xr:uid="{00000000-0005-0000-0000-000041160000}"/>
    <cellStyle name="Accent6 20 2" xfId="5774" xr:uid="{00000000-0005-0000-0000-000042160000}"/>
    <cellStyle name="Accent6 21" xfId="5775" xr:uid="{00000000-0005-0000-0000-000043160000}"/>
    <cellStyle name="Accent6 21 2" xfId="5776" xr:uid="{00000000-0005-0000-0000-000044160000}"/>
    <cellStyle name="Accent6 22" xfId="5777" xr:uid="{00000000-0005-0000-0000-000045160000}"/>
    <cellStyle name="Accent6 23" xfId="5778" xr:uid="{00000000-0005-0000-0000-000046160000}"/>
    <cellStyle name="Accent6 24" xfId="5779" xr:uid="{00000000-0005-0000-0000-000047160000}"/>
    <cellStyle name="Accent6 25" xfId="5780" xr:uid="{00000000-0005-0000-0000-000048160000}"/>
    <cellStyle name="Accent6 26" xfId="5781" xr:uid="{00000000-0005-0000-0000-000049160000}"/>
    <cellStyle name="Accent6 27" xfId="5782" xr:uid="{00000000-0005-0000-0000-00004A160000}"/>
    <cellStyle name="Accent6 28" xfId="5783" xr:uid="{00000000-0005-0000-0000-00004B160000}"/>
    <cellStyle name="Accent6 29" xfId="5784" xr:uid="{00000000-0005-0000-0000-00004C160000}"/>
    <cellStyle name="Accent6 3" xfId="5785" xr:uid="{00000000-0005-0000-0000-00004D160000}"/>
    <cellStyle name="Accent6 3 2" xfId="5786" xr:uid="{00000000-0005-0000-0000-00004E160000}"/>
    <cellStyle name="Accent6 3 2 2" xfId="5787" xr:uid="{00000000-0005-0000-0000-00004F160000}"/>
    <cellStyle name="Accent6 3 2 3" xfId="5788" xr:uid="{00000000-0005-0000-0000-000050160000}"/>
    <cellStyle name="Accent6 3 2 4" xfId="5789" xr:uid="{00000000-0005-0000-0000-000051160000}"/>
    <cellStyle name="Accent6 3 2 5" xfId="5790" xr:uid="{00000000-0005-0000-0000-000052160000}"/>
    <cellStyle name="Accent6 3 2 6" xfId="5791" xr:uid="{00000000-0005-0000-0000-000053160000}"/>
    <cellStyle name="Accent6 3 2 7" xfId="5792" xr:uid="{00000000-0005-0000-0000-000054160000}"/>
    <cellStyle name="Accent6 3 2 8" xfId="5793" xr:uid="{00000000-0005-0000-0000-000055160000}"/>
    <cellStyle name="Accent6 3 2 9" xfId="5794" xr:uid="{00000000-0005-0000-0000-000056160000}"/>
    <cellStyle name="Accent6 3 3" xfId="5795" xr:uid="{00000000-0005-0000-0000-000057160000}"/>
    <cellStyle name="Accent6 3 3 2" xfId="5796" xr:uid="{00000000-0005-0000-0000-000058160000}"/>
    <cellStyle name="Accent6 3 3 3" xfId="5797" xr:uid="{00000000-0005-0000-0000-000059160000}"/>
    <cellStyle name="Accent6 3 4" xfId="5798" xr:uid="{00000000-0005-0000-0000-00005A160000}"/>
    <cellStyle name="Accent6 3 4 2" xfId="5799" xr:uid="{00000000-0005-0000-0000-00005B160000}"/>
    <cellStyle name="Accent6 3 5" xfId="5800" xr:uid="{00000000-0005-0000-0000-00005C160000}"/>
    <cellStyle name="Accent6 3 6" xfId="5801" xr:uid="{00000000-0005-0000-0000-00005D160000}"/>
    <cellStyle name="Accent6 3 7" xfId="5802" xr:uid="{00000000-0005-0000-0000-00005E160000}"/>
    <cellStyle name="Accent6 3 8" xfId="5803" xr:uid="{00000000-0005-0000-0000-00005F160000}"/>
    <cellStyle name="Accent6 3_Ramadugu_ SWGH" xfId="5804" xr:uid="{00000000-0005-0000-0000-000060160000}"/>
    <cellStyle name="Accent6 30" xfId="5805" xr:uid="{00000000-0005-0000-0000-000061160000}"/>
    <cellStyle name="Accent6 31" xfId="5806" xr:uid="{00000000-0005-0000-0000-000062160000}"/>
    <cellStyle name="Accent6 32" xfId="5807" xr:uid="{00000000-0005-0000-0000-000063160000}"/>
    <cellStyle name="Accent6 33" xfId="5808" xr:uid="{00000000-0005-0000-0000-000064160000}"/>
    <cellStyle name="Accent6 34" xfId="5809" xr:uid="{00000000-0005-0000-0000-000065160000}"/>
    <cellStyle name="Accent6 35" xfId="5810" xr:uid="{00000000-0005-0000-0000-000066160000}"/>
    <cellStyle name="Accent6 36" xfId="5811" xr:uid="{00000000-0005-0000-0000-000067160000}"/>
    <cellStyle name="Accent6 37" xfId="5812" xr:uid="{00000000-0005-0000-0000-000068160000}"/>
    <cellStyle name="Accent6 38" xfId="5813" xr:uid="{00000000-0005-0000-0000-000069160000}"/>
    <cellStyle name="Accent6 39" xfId="5814" xr:uid="{00000000-0005-0000-0000-00006A160000}"/>
    <cellStyle name="Accent6 4" xfId="5815" xr:uid="{00000000-0005-0000-0000-00006B160000}"/>
    <cellStyle name="Accent6 4 10" xfId="5816" xr:uid="{00000000-0005-0000-0000-00006C160000}"/>
    <cellStyle name="Accent6 4 11" xfId="5817" xr:uid="{00000000-0005-0000-0000-00006D160000}"/>
    <cellStyle name="Accent6 4 12" xfId="5818" xr:uid="{00000000-0005-0000-0000-00006E160000}"/>
    <cellStyle name="Accent6 4 13" xfId="5819" xr:uid="{00000000-0005-0000-0000-00006F160000}"/>
    <cellStyle name="Accent6 4 14" xfId="5820" xr:uid="{00000000-0005-0000-0000-000070160000}"/>
    <cellStyle name="Accent6 4 15" xfId="5821" xr:uid="{00000000-0005-0000-0000-000071160000}"/>
    <cellStyle name="Accent6 4 16" xfId="5822" xr:uid="{00000000-0005-0000-0000-000072160000}"/>
    <cellStyle name="Accent6 4 2" xfId="5823" xr:uid="{00000000-0005-0000-0000-000073160000}"/>
    <cellStyle name="Accent6 4 3" xfId="5824" xr:uid="{00000000-0005-0000-0000-000074160000}"/>
    <cellStyle name="Accent6 4 3 2" xfId="5825" xr:uid="{00000000-0005-0000-0000-000075160000}"/>
    <cellStyle name="Accent6 4 4" xfId="5826" xr:uid="{00000000-0005-0000-0000-000076160000}"/>
    <cellStyle name="Accent6 4 4 2" xfId="5827" xr:uid="{00000000-0005-0000-0000-000077160000}"/>
    <cellStyle name="Accent6 4 5" xfId="5828" xr:uid="{00000000-0005-0000-0000-000078160000}"/>
    <cellStyle name="Accent6 4 6" xfId="5829" xr:uid="{00000000-0005-0000-0000-000079160000}"/>
    <cellStyle name="Accent6 4 7" xfId="5830" xr:uid="{00000000-0005-0000-0000-00007A160000}"/>
    <cellStyle name="Accent6 4 8" xfId="5831" xr:uid="{00000000-0005-0000-0000-00007B160000}"/>
    <cellStyle name="Accent6 4 9" xfId="5832" xr:uid="{00000000-0005-0000-0000-00007C160000}"/>
    <cellStyle name="Accent6 4_Sheet2" xfId="5833" xr:uid="{00000000-0005-0000-0000-00007D160000}"/>
    <cellStyle name="Accent6 40" xfId="5834" xr:uid="{00000000-0005-0000-0000-00007E160000}"/>
    <cellStyle name="Accent6 41" xfId="5835" xr:uid="{00000000-0005-0000-0000-00007F160000}"/>
    <cellStyle name="Accent6 42" xfId="5836" xr:uid="{00000000-0005-0000-0000-000080160000}"/>
    <cellStyle name="Accent6 43" xfId="5837" xr:uid="{00000000-0005-0000-0000-000081160000}"/>
    <cellStyle name="Accent6 44" xfId="5838" xr:uid="{00000000-0005-0000-0000-000082160000}"/>
    <cellStyle name="Accent6 45" xfId="5839" xr:uid="{00000000-0005-0000-0000-000083160000}"/>
    <cellStyle name="Accent6 46" xfId="5840" xr:uid="{00000000-0005-0000-0000-000084160000}"/>
    <cellStyle name="Accent6 47" xfId="5841" xr:uid="{00000000-0005-0000-0000-000085160000}"/>
    <cellStyle name="Accent6 48" xfId="5842" xr:uid="{00000000-0005-0000-0000-000086160000}"/>
    <cellStyle name="Accent6 49" xfId="5843" xr:uid="{00000000-0005-0000-0000-000087160000}"/>
    <cellStyle name="Accent6 5" xfId="5844" xr:uid="{00000000-0005-0000-0000-000088160000}"/>
    <cellStyle name="Accent6 5 10" xfId="5845" xr:uid="{00000000-0005-0000-0000-000089160000}"/>
    <cellStyle name="Accent6 5 11" xfId="5846" xr:uid="{00000000-0005-0000-0000-00008A160000}"/>
    <cellStyle name="Accent6 5 12" xfId="5847" xr:uid="{00000000-0005-0000-0000-00008B160000}"/>
    <cellStyle name="Accent6 5 13" xfId="5848" xr:uid="{00000000-0005-0000-0000-00008C160000}"/>
    <cellStyle name="Accent6 5 14" xfId="5849" xr:uid="{00000000-0005-0000-0000-00008D160000}"/>
    <cellStyle name="Accent6 5 15" xfId="5850" xr:uid="{00000000-0005-0000-0000-00008E160000}"/>
    <cellStyle name="Accent6 5 16" xfId="5851" xr:uid="{00000000-0005-0000-0000-00008F160000}"/>
    <cellStyle name="Accent6 5 2" xfId="5852" xr:uid="{00000000-0005-0000-0000-000090160000}"/>
    <cellStyle name="Accent6 5 2 2" xfId="5853" xr:uid="{00000000-0005-0000-0000-000091160000}"/>
    <cellStyle name="Accent6 5 3" xfId="5854" xr:uid="{00000000-0005-0000-0000-000092160000}"/>
    <cellStyle name="Accent6 5 3 2" xfId="5855" xr:uid="{00000000-0005-0000-0000-000093160000}"/>
    <cellStyle name="Accent6 5 4" xfId="5856" xr:uid="{00000000-0005-0000-0000-000094160000}"/>
    <cellStyle name="Accent6 5 4 2" xfId="5857" xr:uid="{00000000-0005-0000-0000-000095160000}"/>
    <cellStyle name="Accent6 5 5" xfId="5858" xr:uid="{00000000-0005-0000-0000-000096160000}"/>
    <cellStyle name="Accent6 5 6" xfId="5859" xr:uid="{00000000-0005-0000-0000-000097160000}"/>
    <cellStyle name="Accent6 5 7" xfId="5860" xr:uid="{00000000-0005-0000-0000-000098160000}"/>
    <cellStyle name="Accent6 5 8" xfId="5861" xr:uid="{00000000-0005-0000-0000-000099160000}"/>
    <cellStyle name="Accent6 5 9" xfId="5862" xr:uid="{00000000-0005-0000-0000-00009A160000}"/>
    <cellStyle name="Accent6 5_Sheet2" xfId="5863" xr:uid="{00000000-0005-0000-0000-00009B160000}"/>
    <cellStyle name="Accent6 50" xfId="5864" xr:uid="{00000000-0005-0000-0000-00009C160000}"/>
    <cellStyle name="Accent6 51" xfId="5865" xr:uid="{00000000-0005-0000-0000-00009D160000}"/>
    <cellStyle name="Accent6 52" xfId="5866" xr:uid="{00000000-0005-0000-0000-00009E160000}"/>
    <cellStyle name="Accent6 53" xfId="5867" xr:uid="{00000000-0005-0000-0000-00009F160000}"/>
    <cellStyle name="Accent6 6" xfId="5868" xr:uid="{00000000-0005-0000-0000-0000A0160000}"/>
    <cellStyle name="Accent6 6 10" xfId="5869" xr:uid="{00000000-0005-0000-0000-0000A1160000}"/>
    <cellStyle name="Accent6 6 11" xfId="5870" xr:uid="{00000000-0005-0000-0000-0000A2160000}"/>
    <cellStyle name="Accent6 6 12" xfId="5871" xr:uid="{00000000-0005-0000-0000-0000A3160000}"/>
    <cellStyle name="Accent6 6 13" xfId="5872" xr:uid="{00000000-0005-0000-0000-0000A4160000}"/>
    <cellStyle name="Accent6 6 14" xfId="5873" xr:uid="{00000000-0005-0000-0000-0000A5160000}"/>
    <cellStyle name="Accent6 6 15" xfId="5874" xr:uid="{00000000-0005-0000-0000-0000A6160000}"/>
    <cellStyle name="Accent6 6 16" xfId="5875" xr:uid="{00000000-0005-0000-0000-0000A7160000}"/>
    <cellStyle name="Accent6 6 2" xfId="5876" xr:uid="{00000000-0005-0000-0000-0000A8160000}"/>
    <cellStyle name="Accent6 6 2 2" xfId="5877" xr:uid="{00000000-0005-0000-0000-0000A9160000}"/>
    <cellStyle name="Accent6 6 3" xfId="5878" xr:uid="{00000000-0005-0000-0000-0000AA160000}"/>
    <cellStyle name="Accent6 6 3 2" xfId="5879" xr:uid="{00000000-0005-0000-0000-0000AB160000}"/>
    <cellStyle name="Accent6 6 4" xfId="5880" xr:uid="{00000000-0005-0000-0000-0000AC160000}"/>
    <cellStyle name="Accent6 6 4 2" xfId="5881" xr:uid="{00000000-0005-0000-0000-0000AD160000}"/>
    <cellStyle name="Accent6 6 5" xfId="5882" xr:uid="{00000000-0005-0000-0000-0000AE160000}"/>
    <cellStyle name="Accent6 6 6" xfId="5883" xr:uid="{00000000-0005-0000-0000-0000AF160000}"/>
    <cellStyle name="Accent6 6 7" xfId="5884" xr:uid="{00000000-0005-0000-0000-0000B0160000}"/>
    <cellStyle name="Accent6 6 8" xfId="5885" xr:uid="{00000000-0005-0000-0000-0000B1160000}"/>
    <cellStyle name="Accent6 6 9" xfId="5886" xr:uid="{00000000-0005-0000-0000-0000B2160000}"/>
    <cellStyle name="Accent6 6_Sheet2" xfId="5887" xr:uid="{00000000-0005-0000-0000-0000B3160000}"/>
    <cellStyle name="Accent6 7" xfId="5888" xr:uid="{00000000-0005-0000-0000-0000B4160000}"/>
    <cellStyle name="Accent6 7 10" xfId="5889" xr:uid="{00000000-0005-0000-0000-0000B5160000}"/>
    <cellStyle name="Accent6 7 11" xfId="5890" xr:uid="{00000000-0005-0000-0000-0000B6160000}"/>
    <cellStyle name="Accent6 7 12" xfId="5891" xr:uid="{00000000-0005-0000-0000-0000B7160000}"/>
    <cellStyle name="Accent6 7 13" xfId="5892" xr:uid="{00000000-0005-0000-0000-0000B8160000}"/>
    <cellStyle name="Accent6 7 14" xfId="5893" xr:uid="{00000000-0005-0000-0000-0000B9160000}"/>
    <cellStyle name="Accent6 7 15" xfId="5894" xr:uid="{00000000-0005-0000-0000-0000BA160000}"/>
    <cellStyle name="Accent6 7 16" xfId="5895" xr:uid="{00000000-0005-0000-0000-0000BB160000}"/>
    <cellStyle name="Accent6 7 2" xfId="5896" xr:uid="{00000000-0005-0000-0000-0000BC160000}"/>
    <cellStyle name="Accent6 7 2 2" xfId="5897" xr:uid="{00000000-0005-0000-0000-0000BD160000}"/>
    <cellStyle name="Accent6 7 3" xfId="5898" xr:uid="{00000000-0005-0000-0000-0000BE160000}"/>
    <cellStyle name="Accent6 7 3 2" xfId="5899" xr:uid="{00000000-0005-0000-0000-0000BF160000}"/>
    <cellStyle name="Accent6 7 4" xfId="5900" xr:uid="{00000000-0005-0000-0000-0000C0160000}"/>
    <cellStyle name="Accent6 7 4 2" xfId="5901" xr:uid="{00000000-0005-0000-0000-0000C1160000}"/>
    <cellStyle name="Accent6 7 5" xfId="5902" xr:uid="{00000000-0005-0000-0000-0000C2160000}"/>
    <cellStyle name="Accent6 7 6" xfId="5903" xr:uid="{00000000-0005-0000-0000-0000C3160000}"/>
    <cellStyle name="Accent6 7 7" xfId="5904" xr:uid="{00000000-0005-0000-0000-0000C4160000}"/>
    <cellStyle name="Accent6 7 8" xfId="5905" xr:uid="{00000000-0005-0000-0000-0000C5160000}"/>
    <cellStyle name="Accent6 7 9" xfId="5906" xr:uid="{00000000-0005-0000-0000-0000C6160000}"/>
    <cellStyle name="Accent6 7_Sheet2" xfId="5907" xr:uid="{00000000-0005-0000-0000-0000C7160000}"/>
    <cellStyle name="Accent6 8" xfId="5908" xr:uid="{00000000-0005-0000-0000-0000C8160000}"/>
    <cellStyle name="Accent6 8 10" xfId="5909" xr:uid="{00000000-0005-0000-0000-0000C9160000}"/>
    <cellStyle name="Accent6 8 11" xfId="5910" xr:uid="{00000000-0005-0000-0000-0000CA160000}"/>
    <cellStyle name="Accent6 8 12" xfId="5911" xr:uid="{00000000-0005-0000-0000-0000CB160000}"/>
    <cellStyle name="Accent6 8 13" xfId="5912" xr:uid="{00000000-0005-0000-0000-0000CC160000}"/>
    <cellStyle name="Accent6 8 14" xfId="5913" xr:uid="{00000000-0005-0000-0000-0000CD160000}"/>
    <cellStyle name="Accent6 8 15" xfId="5914" xr:uid="{00000000-0005-0000-0000-0000CE160000}"/>
    <cellStyle name="Accent6 8 16" xfId="5915" xr:uid="{00000000-0005-0000-0000-0000CF160000}"/>
    <cellStyle name="Accent6 8 2" xfId="5916" xr:uid="{00000000-0005-0000-0000-0000D0160000}"/>
    <cellStyle name="Accent6 8 3" xfId="5917" xr:uid="{00000000-0005-0000-0000-0000D1160000}"/>
    <cellStyle name="Accent6 8 4" xfId="5918" xr:uid="{00000000-0005-0000-0000-0000D2160000}"/>
    <cellStyle name="Accent6 8 5" xfId="5919" xr:uid="{00000000-0005-0000-0000-0000D3160000}"/>
    <cellStyle name="Accent6 8 6" xfId="5920" xr:uid="{00000000-0005-0000-0000-0000D4160000}"/>
    <cellStyle name="Accent6 8 7" xfId="5921" xr:uid="{00000000-0005-0000-0000-0000D5160000}"/>
    <cellStyle name="Accent6 8 8" xfId="5922" xr:uid="{00000000-0005-0000-0000-0000D6160000}"/>
    <cellStyle name="Accent6 8 9" xfId="5923" xr:uid="{00000000-0005-0000-0000-0000D7160000}"/>
    <cellStyle name="Accent6 8_Sheet2" xfId="5924" xr:uid="{00000000-0005-0000-0000-0000D8160000}"/>
    <cellStyle name="Accent6 9" xfId="5925" xr:uid="{00000000-0005-0000-0000-0000D9160000}"/>
    <cellStyle name="Accent6 9 10" xfId="5926" xr:uid="{00000000-0005-0000-0000-0000DA160000}"/>
    <cellStyle name="Accent6 9 11" xfId="5927" xr:uid="{00000000-0005-0000-0000-0000DB160000}"/>
    <cellStyle name="Accent6 9 12" xfId="5928" xr:uid="{00000000-0005-0000-0000-0000DC160000}"/>
    <cellStyle name="Accent6 9 13" xfId="5929" xr:uid="{00000000-0005-0000-0000-0000DD160000}"/>
    <cellStyle name="Accent6 9 14" xfId="5930" xr:uid="{00000000-0005-0000-0000-0000DE160000}"/>
    <cellStyle name="Accent6 9 15" xfId="5931" xr:uid="{00000000-0005-0000-0000-0000DF160000}"/>
    <cellStyle name="Accent6 9 16" xfId="5932" xr:uid="{00000000-0005-0000-0000-0000E0160000}"/>
    <cellStyle name="Accent6 9 2" xfId="5933" xr:uid="{00000000-0005-0000-0000-0000E1160000}"/>
    <cellStyle name="Accent6 9 3" xfId="5934" xr:uid="{00000000-0005-0000-0000-0000E2160000}"/>
    <cellStyle name="Accent6 9 4" xfId="5935" xr:uid="{00000000-0005-0000-0000-0000E3160000}"/>
    <cellStyle name="Accent6 9 5" xfId="5936" xr:uid="{00000000-0005-0000-0000-0000E4160000}"/>
    <cellStyle name="Accent6 9 6" xfId="5937" xr:uid="{00000000-0005-0000-0000-0000E5160000}"/>
    <cellStyle name="Accent6 9 7" xfId="5938" xr:uid="{00000000-0005-0000-0000-0000E6160000}"/>
    <cellStyle name="Accent6 9 8" xfId="5939" xr:uid="{00000000-0005-0000-0000-0000E7160000}"/>
    <cellStyle name="Accent6 9 9" xfId="5940" xr:uid="{00000000-0005-0000-0000-0000E8160000}"/>
    <cellStyle name="active" xfId="5941" xr:uid="{00000000-0005-0000-0000-0000E9160000}"/>
    <cellStyle name="Actual Date" xfId="5942" xr:uid="{00000000-0005-0000-0000-0000EA160000}"/>
    <cellStyle name="adj_share" xfId="5943" xr:uid="{00000000-0005-0000-0000-0000EB160000}"/>
    <cellStyle name="ÅëÈ­ [0]_±âÅ¸" xfId="5944" xr:uid="{00000000-0005-0000-0000-0000EC160000}"/>
    <cellStyle name="AeE­ [0]_INQUIRY ¿μ¾÷AßAø " xfId="5945" xr:uid="{00000000-0005-0000-0000-0000ED160000}"/>
    <cellStyle name="ÅëÈ­_±âÅ¸" xfId="5946" xr:uid="{00000000-0005-0000-0000-0000EE160000}"/>
    <cellStyle name="AeE­_INQUIRY ¿μ¾÷AßAø " xfId="5947" xr:uid="{00000000-0005-0000-0000-0000EF160000}"/>
    <cellStyle name="Afjusted" xfId="5948" xr:uid="{00000000-0005-0000-0000-0000F0160000}"/>
    <cellStyle name="Ah:S_x0007_R0 " xfId="5949" xr:uid="{00000000-0005-0000-0000-0000F1160000}"/>
    <cellStyle name="Ah:S_x0007_R0_" xfId="5950" xr:uid="{00000000-0005-0000-0000-0000F2160000}"/>
    <cellStyle name="Akzent1" xfId="5951" xr:uid="{00000000-0005-0000-0000-0000F3160000}"/>
    <cellStyle name="Akzent2" xfId="5952" xr:uid="{00000000-0005-0000-0000-0000F4160000}"/>
    <cellStyle name="Akzent3" xfId="5953" xr:uid="{00000000-0005-0000-0000-0000F5160000}"/>
    <cellStyle name="Akzent4" xfId="5954" xr:uid="{00000000-0005-0000-0000-0000F6160000}"/>
    <cellStyle name="Akzent5" xfId="5955" xr:uid="{00000000-0005-0000-0000-0000F7160000}"/>
    <cellStyle name="Akzent6" xfId="5956" xr:uid="{00000000-0005-0000-0000-0000F8160000}"/>
    <cellStyle name="AMAR1" xfId="5957" xr:uid="{00000000-0005-0000-0000-0000F9160000}"/>
    <cellStyle name="args.style" xfId="5958" xr:uid="{00000000-0005-0000-0000-0000FA160000}"/>
    <cellStyle name="Arial" xfId="5959" xr:uid="{00000000-0005-0000-0000-0000FB160000}"/>
    <cellStyle name="Arial1 - Style1" xfId="5960" xr:uid="{00000000-0005-0000-0000-0000FC160000}"/>
    <cellStyle name="Arial1 - Style2" xfId="5961" xr:uid="{00000000-0005-0000-0000-0000FD160000}"/>
    <cellStyle name="Arial10" xfId="5962" xr:uid="{00000000-0005-0000-0000-0000FE160000}"/>
    <cellStyle name="Arial10 2" xfId="5963" xr:uid="{00000000-0005-0000-0000-0000FF160000}"/>
    <cellStyle name="Arial10 2 2" xfId="5964" xr:uid="{00000000-0005-0000-0000-000000170000}"/>
    <cellStyle name="Arial10 2 3" xfId="5965" xr:uid="{00000000-0005-0000-0000-000001170000}"/>
    <cellStyle name="Arial10 2 4" xfId="5966" xr:uid="{00000000-0005-0000-0000-000002170000}"/>
    <cellStyle name="Arial10 3" xfId="5967" xr:uid="{00000000-0005-0000-0000-000003170000}"/>
    <cellStyle name="Arial10 4" xfId="5968" xr:uid="{00000000-0005-0000-0000-000004170000}"/>
    <cellStyle name="Arial10 5" xfId="5969" xr:uid="{00000000-0005-0000-0000-000005170000}"/>
    <cellStyle name="Arial10_Extra items Diff" xfId="5970" xr:uid="{00000000-0005-0000-0000-000006170000}"/>
    <cellStyle name="Array" xfId="5971" xr:uid="{00000000-0005-0000-0000-000007170000}"/>
    <cellStyle name="Array Enter" xfId="5972" xr:uid="{00000000-0005-0000-0000-000008170000}"/>
    <cellStyle name="ÄÞ¸¶ [0]_±âÅ¸" xfId="5973" xr:uid="{00000000-0005-0000-0000-000009170000}"/>
    <cellStyle name="AÞ¸¶ [0]_INQUIRY ¿?¾÷AßAø " xfId="5974" xr:uid="{00000000-0005-0000-0000-00000A170000}"/>
    <cellStyle name="ÄÞ¸¶_±âÅ¸" xfId="5975" xr:uid="{00000000-0005-0000-0000-00000B170000}"/>
    <cellStyle name="AÞ¸¶_INQUIRY ¿?¾÷AßAø " xfId="5976" xr:uid="{00000000-0005-0000-0000-00000C170000}"/>
    <cellStyle name="Ausgabe" xfId="5977" xr:uid="{00000000-0005-0000-0000-00000D170000}"/>
    <cellStyle name="AvantTotal" xfId="5978" xr:uid="{00000000-0005-0000-0000-00000E170000}"/>
    <cellStyle name="b" xfId="5979" xr:uid="{00000000-0005-0000-0000-00000F170000}"/>
    <cellStyle name="_x0002_b" xfId="5980" xr:uid="{00000000-0005-0000-0000-000010170000}"/>
    <cellStyle name="b_Cinderella Model v1" xfId="5981" xr:uid="{00000000-0005-0000-0000-000011170000}"/>
    <cellStyle name="b_Cinderella Model v1May 29" xfId="5982" xr:uid="{00000000-0005-0000-0000-000012170000}"/>
    <cellStyle name="b_Cinderella Model v8" xfId="5983" xr:uid="{00000000-0005-0000-0000-000013170000}"/>
    <cellStyle name="b_Cinderella Model v9_ML number" xfId="5984" xr:uid="{00000000-0005-0000-0000-000014170000}"/>
    <cellStyle name="b_Gazelle DDM May-15-2003" xfId="5985" xr:uid="{00000000-0005-0000-0000-000015170000}"/>
    <cellStyle name="b0" xfId="5986" xr:uid="{00000000-0005-0000-0000-000016170000}"/>
    <cellStyle name="b1x" xfId="5987" xr:uid="{00000000-0005-0000-0000-000017170000}"/>
    <cellStyle name="b1x 2" xfId="5988" xr:uid="{00000000-0005-0000-0000-000018170000}"/>
    <cellStyle name="Bad" xfId="25" builtinId="27" customBuiltin="1"/>
    <cellStyle name="Bad 1" xfId="5989" xr:uid="{00000000-0005-0000-0000-00001A170000}"/>
    <cellStyle name="Bad 1 1" xfId="5990" xr:uid="{00000000-0005-0000-0000-00001B170000}"/>
    <cellStyle name="Bad 10" xfId="5991" xr:uid="{00000000-0005-0000-0000-00001C170000}"/>
    <cellStyle name="Bad 10 10" xfId="5992" xr:uid="{00000000-0005-0000-0000-00001D170000}"/>
    <cellStyle name="Bad 10 11" xfId="5993" xr:uid="{00000000-0005-0000-0000-00001E170000}"/>
    <cellStyle name="Bad 10 12" xfId="5994" xr:uid="{00000000-0005-0000-0000-00001F170000}"/>
    <cellStyle name="Bad 10 13" xfId="5995" xr:uid="{00000000-0005-0000-0000-000020170000}"/>
    <cellStyle name="Bad 10 14" xfId="5996" xr:uid="{00000000-0005-0000-0000-000021170000}"/>
    <cellStyle name="Bad 10 15" xfId="5997" xr:uid="{00000000-0005-0000-0000-000022170000}"/>
    <cellStyle name="Bad 10 16" xfId="5998" xr:uid="{00000000-0005-0000-0000-000023170000}"/>
    <cellStyle name="Bad 10 2" xfId="5999" xr:uid="{00000000-0005-0000-0000-000024170000}"/>
    <cellStyle name="Bad 10 3" xfId="6000" xr:uid="{00000000-0005-0000-0000-000025170000}"/>
    <cellStyle name="Bad 10 4" xfId="6001" xr:uid="{00000000-0005-0000-0000-000026170000}"/>
    <cellStyle name="Bad 10 5" xfId="6002" xr:uid="{00000000-0005-0000-0000-000027170000}"/>
    <cellStyle name="Bad 10 6" xfId="6003" xr:uid="{00000000-0005-0000-0000-000028170000}"/>
    <cellStyle name="Bad 10 7" xfId="6004" xr:uid="{00000000-0005-0000-0000-000029170000}"/>
    <cellStyle name="Bad 10 8" xfId="6005" xr:uid="{00000000-0005-0000-0000-00002A170000}"/>
    <cellStyle name="Bad 10 9" xfId="6006" xr:uid="{00000000-0005-0000-0000-00002B170000}"/>
    <cellStyle name="Bad 11" xfId="6007" xr:uid="{00000000-0005-0000-0000-00002C170000}"/>
    <cellStyle name="Bad 11 2" xfId="6008" xr:uid="{00000000-0005-0000-0000-00002D170000}"/>
    <cellStyle name="Bad 11 3" xfId="6009" xr:uid="{00000000-0005-0000-0000-00002E170000}"/>
    <cellStyle name="Bad 11 4" xfId="6010" xr:uid="{00000000-0005-0000-0000-00002F170000}"/>
    <cellStyle name="Bad 11 5" xfId="6011" xr:uid="{00000000-0005-0000-0000-000030170000}"/>
    <cellStyle name="Bad 11 6" xfId="6012" xr:uid="{00000000-0005-0000-0000-000031170000}"/>
    <cellStyle name="Bad 11 7" xfId="6013" xr:uid="{00000000-0005-0000-0000-000032170000}"/>
    <cellStyle name="Bad 11 8" xfId="6014" xr:uid="{00000000-0005-0000-0000-000033170000}"/>
    <cellStyle name="Bad 11 9" xfId="6015" xr:uid="{00000000-0005-0000-0000-000034170000}"/>
    <cellStyle name="Bad 12" xfId="6016" xr:uid="{00000000-0005-0000-0000-000035170000}"/>
    <cellStyle name="Bad 12 2" xfId="6017" xr:uid="{00000000-0005-0000-0000-000036170000}"/>
    <cellStyle name="Bad 12 3" xfId="6018" xr:uid="{00000000-0005-0000-0000-000037170000}"/>
    <cellStyle name="Bad 12 4" xfId="6019" xr:uid="{00000000-0005-0000-0000-000038170000}"/>
    <cellStyle name="Bad 12 5" xfId="6020" xr:uid="{00000000-0005-0000-0000-000039170000}"/>
    <cellStyle name="Bad 12 6" xfId="6021" xr:uid="{00000000-0005-0000-0000-00003A170000}"/>
    <cellStyle name="Bad 12 7" xfId="6022" xr:uid="{00000000-0005-0000-0000-00003B170000}"/>
    <cellStyle name="Bad 12 8" xfId="6023" xr:uid="{00000000-0005-0000-0000-00003C170000}"/>
    <cellStyle name="Bad 12 9" xfId="6024" xr:uid="{00000000-0005-0000-0000-00003D170000}"/>
    <cellStyle name="Bad 13" xfId="6025" xr:uid="{00000000-0005-0000-0000-00003E170000}"/>
    <cellStyle name="Bad 13 2" xfId="6026" xr:uid="{00000000-0005-0000-0000-00003F170000}"/>
    <cellStyle name="Bad 13 3" xfId="6027" xr:uid="{00000000-0005-0000-0000-000040170000}"/>
    <cellStyle name="Bad 13 4" xfId="6028" xr:uid="{00000000-0005-0000-0000-000041170000}"/>
    <cellStyle name="Bad 13 5" xfId="6029" xr:uid="{00000000-0005-0000-0000-000042170000}"/>
    <cellStyle name="Bad 13 6" xfId="6030" xr:uid="{00000000-0005-0000-0000-000043170000}"/>
    <cellStyle name="Bad 13 7" xfId="6031" xr:uid="{00000000-0005-0000-0000-000044170000}"/>
    <cellStyle name="Bad 13 8" xfId="6032" xr:uid="{00000000-0005-0000-0000-000045170000}"/>
    <cellStyle name="Bad 13 9" xfId="6033" xr:uid="{00000000-0005-0000-0000-000046170000}"/>
    <cellStyle name="Bad 14" xfId="6034" xr:uid="{00000000-0005-0000-0000-000047170000}"/>
    <cellStyle name="Bad 14 2" xfId="6035" xr:uid="{00000000-0005-0000-0000-000048170000}"/>
    <cellStyle name="Bad 14 3" xfId="6036" xr:uid="{00000000-0005-0000-0000-000049170000}"/>
    <cellStyle name="Bad 14 4" xfId="6037" xr:uid="{00000000-0005-0000-0000-00004A170000}"/>
    <cellStyle name="Bad 14 5" xfId="6038" xr:uid="{00000000-0005-0000-0000-00004B170000}"/>
    <cellStyle name="Bad 14 6" xfId="6039" xr:uid="{00000000-0005-0000-0000-00004C170000}"/>
    <cellStyle name="Bad 14 7" xfId="6040" xr:uid="{00000000-0005-0000-0000-00004D170000}"/>
    <cellStyle name="Bad 14 8" xfId="6041" xr:uid="{00000000-0005-0000-0000-00004E170000}"/>
    <cellStyle name="Bad 14 9" xfId="6042" xr:uid="{00000000-0005-0000-0000-00004F170000}"/>
    <cellStyle name="Bad 15" xfId="6043" xr:uid="{00000000-0005-0000-0000-000050170000}"/>
    <cellStyle name="Bad 15 2" xfId="6044" xr:uid="{00000000-0005-0000-0000-000051170000}"/>
    <cellStyle name="Bad 15 3" xfId="6045" xr:uid="{00000000-0005-0000-0000-000052170000}"/>
    <cellStyle name="Bad 15 4" xfId="6046" xr:uid="{00000000-0005-0000-0000-000053170000}"/>
    <cellStyle name="Bad 15 5" xfId="6047" xr:uid="{00000000-0005-0000-0000-000054170000}"/>
    <cellStyle name="Bad 15 6" xfId="6048" xr:uid="{00000000-0005-0000-0000-000055170000}"/>
    <cellStyle name="Bad 15 7" xfId="6049" xr:uid="{00000000-0005-0000-0000-000056170000}"/>
    <cellStyle name="Bad 15 8" xfId="6050" xr:uid="{00000000-0005-0000-0000-000057170000}"/>
    <cellStyle name="Bad 15 9" xfId="6051" xr:uid="{00000000-0005-0000-0000-000058170000}"/>
    <cellStyle name="Bad 16" xfId="6052" xr:uid="{00000000-0005-0000-0000-000059170000}"/>
    <cellStyle name="Bad 16 2" xfId="6053" xr:uid="{00000000-0005-0000-0000-00005A170000}"/>
    <cellStyle name="Bad 16 3" xfId="6054" xr:uid="{00000000-0005-0000-0000-00005B170000}"/>
    <cellStyle name="Bad 16 4" xfId="6055" xr:uid="{00000000-0005-0000-0000-00005C170000}"/>
    <cellStyle name="Bad 16 5" xfId="6056" xr:uid="{00000000-0005-0000-0000-00005D170000}"/>
    <cellStyle name="Bad 16 6" xfId="6057" xr:uid="{00000000-0005-0000-0000-00005E170000}"/>
    <cellStyle name="Bad 16 7" xfId="6058" xr:uid="{00000000-0005-0000-0000-00005F170000}"/>
    <cellStyle name="Bad 16 8" xfId="6059" xr:uid="{00000000-0005-0000-0000-000060170000}"/>
    <cellStyle name="Bad 16 9" xfId="6060" xr:uid="{00000000-0005-0000-0000-000061170000}"/>
    <cellStyle name="Bad 17" xfId="6061" xr:uid="{00000000-0005-0000-0000-000062170000}"/>
    <cellStyle name="Bad 17 2" xfId="6062" xr:uid="{00000000-0005-0000-0000-000063170000}"/>
    <cellStyle name="Bad 18" xfId="6063" xr:uid="{00000000-0005-0000-0000-000064170000}"/>
    <cellStyle name="Bad 18 2" xfId="6064" xr:uid="{00000000-0005-0000-0000-000065170000}"/>
    <cellStyle name="Bad 19" xfId="6065" xr:uid="{00000000-0005-0000-0000-000066170000}"/>
    <cellStyle name="Bad 19 2" xfId="6066" xr:uid="{00000000-0005-0000-0000-000067170000}"/>
    <cellStyle name="Bad 2" xfId="6067" xr:uid="{00000000-0005-0000-0000-000068170000}"/>
    <cellStyle name="Bad 2 10" xfId="6068" xr:uid="{00000000-0005-0000-0000-000069170000}"/>
    <cellStyle name="Bad 2 10 2" xfId="6069" xr:uid="{00000000-0005-0000-0000-00006A170000}"/>
    <cellStyle name="Bad 2 11" xfId="6070" xr:uid="{00000000-0005-0000-0000-00006B170000}"/>
    <cellStyle name="Bad 2 12" xfId="6071" xr:uid="{00000000-0005-0000-0000-00006C170000}"/>
    <cellStyle name="Bad 2 13" xfId="6072" xr:uid="{00000000-0005-0000-0000-00006D170000}"/>
    <cellStyle name="Bad 2 2" xfId="6073" xr:uid="{00000000-0005-0000-0000-00006E170000}"/>
    <cellStyle name="Bad 2 2 2" xfId="6074" xr:uid="{00000000-0005-0000-0000-00006F170000}"/>
    <cellStyle name="Bad 2 2 3" xfId="6075" xr:uid="{00000000-0005-0000-0000-000070170000}"/>
    <cellStyle name="Bad 2 2 4" xfId="6076" xr:uid="{00000000-0005-0000-0000-000071170000}"/>
    <cellStyle name="Bad 2 2 5" xfId="6077" xr:uid="{00000000-0005-0000-0000-000072170000}"/>
    <cellStyle name="Bad 2 2 6" xfId="6078" xr:uid="{00000000-0005-0000-0000-000073170000}"/>
    <cellStyle name="Bad 2 2 7" xfId="6079" xr:uid="{00000000-0005-0000-0000-000074170000}"/>
    <cellStyle name="Bad 2 2 8" xfId="6080" xr:uid="{00000000-0005-0000-0000-000075170000}"/>
    <cellStyle name="Bad 2 2 9" xfId="6081" xr:uid="{00000000-0005-0000-0000-000076170000}"/>
    <cellStyle name="Bad 2 3" xfId="6082" xr:uid="{00000000-0005-0000-0000-000077170000}"/>
    <cellStyle name="Bad 2 3 2" xfId="6083" xr:uid="{00000000-0005-0000-0000-000078170000}"/>
    <cellStyle name="Bad 2 4" xfId="6084" xr:uid="{00000000-0005-0000-0000-000079170000}"/>
    <cellStyle name="Bad 2 4 2" xfId="6085" xr:uid="{00000000-0005-0000-0000-00007A170000}"/>
    <cellStyle name="Bad 2 5" xfId="6086" xr:uid="{00000000-0005-0000-0000-00007B170000}"/>
    <cellStyle name="Bad 2 5 2" xfId="6087" xr:uid="{00000000-0005-0000-0000-00007C170000}"/>
    <cellStyle name="Bad 2 6" xfId="6088" xr:uid="{00000000-0005-0000-0000-00007D170000}"/>
    <cellStyle name="Bad 2 6 2" xfId="6089" xr:uid="{00000000-0005-0000-0000-00007E170000}"/>
    <cellStyle name="Bad 2 7" xfId="6090" xr:uid="{00000000-0005-0000-0000-00007F170000}"/>
    <cellStyle name="Bad 2 7 2" xfId="6091" xr:uid="{00000000-0005-0000-0000-000080170000}"/>
    <cellStyle name="Bad 2 8" xfId="6092" xr:uid="{00000000-0005-0000-0000-000081170000}"/>
    <cellStyle name="Bad 2 8 2" xfId="6093" xr:uid="{00000000-0005-0000-0000-000082170000}"/>
    <cellStyle name="Bad 2 9" xfId="6094" xr:uid="{00000000-0005-0000-0000-000083170000}"/>
    <cellStyle name="Bad 2 9 2" xfId="6095" xr:uid="{00000000-0005-0000-0000-000084170000}"/>
    <cellStyle name="Bad 2_Block-F LGF POur-II BBS" xfId="6096" xr:uid="{00000000-0005-0000-0000-000085170000}"/>
    <cellStyle name="Bad 20" xfId="6097" xr:uid="{00000000-0005-0000-0000-000086170000}"/>
    <cellStyle name="Bad 20 2" xfId="6098" xr:uid="{00000000-0005-0000-0000-000087170000}"/>
    <cellStyle name="Bad 21" xfId="6099" xr:uid="{00000000-0005-0000-0000-000088170000}"/>
    <cellStyle name="Bad 21 2" xfId="6100" xr:uid="{00000000-0005-0000-0000-000089170000}"/>
    <cellStyle name="Bad 22" xfId="6101" xr:uid="{00000000-0005-0000-0000-00008A170000}"/>
    <cellStyle name="Bad 23" xfId="6102" xr:uid="{00000000-0005-0000-0000-00008B170000}"/>
    <cellStyle name="Bad 24" xfId="6103" xr:uid="{00000000-0005-0000-0000-00008C170000}"/>
    <cellStyle name="Bad 25" xfId="6104" xr:uid="{00000000-0005-0000-0000-00008D170000}"/>
    <cellStyle name="Bad 26" xfId="6105" xr:uid="{00000000-0005-0000-0000-00008E170000}"/>
    <cellStyle name="Bad 27" xfId="6106" xr:uid="{00000000-0005-0000-0000-00008F170000}"/>
    <cellStyle name="Bad 28" xfId="6107" xr:uid="{00000000-0005-0000-0000-000090170000}"/>
    <cellStyle name="Bad 29" xfId="6108" xr:uid="{00000000-0005-0000-0000-000091170000}"/>
    <cellStyle name="Bad 3" xfId="6109" xr:uid="{00000000-0005-0000-0000-000092170000}"/>
    <cellStyle name="Bad 3 2" xfId="6110" xr:uid="{00000000-0005-0000-0000-000093170000}"/>
    <cellStyle name="Bad 3 2 2" xfId="6111" xr:uid="{00000000-0005-0000-0000-000094170000}"/>
    <cellStyle name="Bad 3 2 3" xfId="6112" xr:uid="{00000000-0005-0000-0000-000095170000}"/>
    <cellStyle name="Bad 3 2 4" xfId="6113" xr:uid="{00000000-0005-0000-0000-000096170000}"/>
    <cellStyle name="Bad 3 2 5" xfId="6114" xr:uid="{00000000-0005-0000-0000-000097170000}"/>
    <cellStyle name="Bad 3 2 6" xfId="6115" xr:uid="{00000000-0005-0000-0000-000098170000}"/>
    <cellStyle name="Bad 3 2 7" xfId="6116" xr:uid="{00000000-0005-0000-0000-000099170000}"/>
    <cellStyle name="Bad 3 2 8" xfId="6117" xr:uid="{00000000-0005-0000-0000-00009A170000}"/>
    <cellStyle name="Bad 3 2 9" xfId="6118" xr:uid="{00000000-0005-0000-0000-00009B170000}"/>
    <cellStyle name="Bad 3 3" xfId="6119" xr:uid="{00000000-0005-0000-0000-00009C170000}"/>
    <cellStyle name="Bad 3 3 2" xfId="6120" xr:uid="{00000000-0005-0000-0000-00009D170000}"/>
    <cellStyle name="Bad 3 3 3" xfId="6121" xr:uid="{00000000-0005-0000-0000-00009E170000}"/>
    <cellStyle name="Bad 3 4" xfId="6122" xr:uid="{00000000-0005-0000-0000-00009F170000}"/>
    <cellStyle name="Bad 3 4 2" xfId="6123" xr:uid="{00000000-0005-0000-0000-0000A0170000}"/>
    <cellStyle name="Bad 3 5" xfId="6124" xr:uid="{00000000-0005-0000-0000-0000A1170000}"/>
    <cellStyle name="Bad 3 6" xfId="6125" xr:uid="{00000000-0005-0000-0000-0000A2170000}"/>
    <cellStyle name="Bad 3 7" xfId="6126" xr:uid="{00000000-0005-0000-0000-0000A3170000}"/>
    <cellStyle name="Bad 3 8" xfId="6127" xr:uid="{00000000-0005-0000-0000-0000A4170000}"/>
    <cellStyle name="Bad 3_Ramadugu_ SWGH" xfId="6128" xr:uid="{00000000-0005-0000-0000-0000A5170000}"/>
    <cellStyle name="Bad 30" xfId="6129" xr:uid="{00000000-0005-0000-0000-0000A6170000}"/>
    <cellStyle name="Bad 31" xfId="6130" xr:uid="{00000000-0005-0000-0000-0000A7170000}"/>
    <cellStyle name="Bad 32" xfId="6131" xr:uid="{00000000-0005-0000-0000-0000A8170000}"/>
    <cellStyle name="Bad 33" xfId="6132" xr:uid="{00000000-0005-0000-0000-0000A9170000}"/>
    <cellStyle name="Bad 34" xfId="6133" xr:uid="{00000000-0005-0000-0000-0000AA170000}"/>
    <cellStyle name="Bad 35" xfId="6134" xr:uid="{00000000-0005-0000-0000-0000AB170000}"/>
    <cellStyle name="Bad 36" xfId="6135" xr:uid="{00000000-0005-0000-0000-0000AC170000}"/>
    <cellStyle name="Bad 37" xfId="6136" xr:uid="{00000000-0005-0000-0000-0000AD170000}"/>
    <cellStyle name="Bad 38" xfId="6137" xr:uid="{00000000-0005-0000-0000-0000AE170000}"/>
    <cellStyle name="Bad 39" xfId="6138" xr:uid="{00000000-0005-0000-0000-0000AF170000}"/>
    <cellStyle name="Bad 4" xfId="6139" xr:uid="{00000000-0005-0000-0000-0000B0170000}"/>
    <cellStyle name="Bad 4 10" xfId="6140" xr:uid="{00000000-0005-0000-0000-0000B1170000}"/>
    <cellStyle name="Bad 4 11" xfId="6141" xr:uid="{00000000-0005-0000-0000-0000B2170000}"/>
    <cellStyle name="Bad 4 12" xfId="6142" xr:uid="{00000000-0005-0000-0000-0000B3170000}"/>
    <cellStyle name="Bad 4 13" xfId="6143" xr:uid="{00000000-0005-0000-0000-0000B4170000}"/>
    <cellStyle name="Bad 4 14" xfId="6144" xr:uid="{00000000-0005-0000-0000-0000B5170000}"/>
    <cellStyle name="Bad 4 15" xfId="6145" xr:uid="{00000000-0005-0000-0000-0000B6170000}"/>
    <cellStyle name="Bad 4 16" xfId="6146" xr:uid="{00000000-0005-0000-0000-0000B7170000}"/>
    <cellStyle name="Bad 4 2" xfId="6147" xr:uid="{00000000-0005-0000-0000-0000B8170000}"/>
    <cellStyle name="Bad 4 3" xfId="6148" xr:uid="{00000000-0005-0000-0000-0000B9170000}"/>
    <cellStyle name="Bad 4 3 2" xfId="6149" xr:uid="{00000000-0005-0000-0000-0000BA170000}"/>
    <cellStyle name="Bad 4 4" xfId="6150" xr:uid="{00000000-0005-0000-0000-0000BB170000}"/>
    <cellStyle name="Bad 4 4 2" xfId="6151" xr:uid="{00000000-0005-0000-0000-0000BC170000}"/>
    <cellStyle name="Bad 4 5" xfId="6152" xr:uid="{00000000-0005-0000-0000-0000BD170000}"/>
    <cellStyle name="Bad 4 6" xfId="6153" xr:uid="{00000000-0005-0000-0000-0000BE170000}"/>
    <cellStyle name="Bad 4 7" xfId="6154" xr:uid="{00000000-0005-0000-0000-0000BF170000}"/>
    <cellStyle name="Bad 4 8" xfId="6155" xr:uid="{00000000-0005-0000-0000-0000C0170000}"/>
    <cellStyle name="Bad 4 9" xfId="6156" xr:uid="{00000000-0005-0000-0000-0000C1170000}"/>
    <cellStyle name="Bad 4_Sheet2" xfId="6157" xr:uid="{00000000-0005-0000-0000-0000C2170000}"/>
    <cellStyle name="Bad 5" xfId="6158" xr:uid="{00000000-0005-0000-0000-0000C3170000}"/>
    <cellStyle name="Bad 5 10" xfId="6159" xr:uid="{00000000-0005-0000-0000-0000C4170000}"/>
    <cellStyle name="Bad 5 11" xfId="6160" xr:uid="{00000000-0005-0000-0000-0000C5170000}"/>
    <cellStyle name="Bad 5 12" xfId="6161" xr:uid="{00000000-0005-0000-0000-0000C6170000}"/>
    <cellStyle name="Bad 5 13" xfId="6162" xr:uid="{00000000-0005-0000-0000-0000C7170000}"/>
    <cellStyle name="Bad 5 14" xfId="6163" xr:uid="{00000000-0005-0000-0000-0000C8170000}"/>
    <cellStyle name="Bad 5 15" xfId="6164" xr:uid="{00000000-0005-0000-0000-0000C9170000}"/>
    <cellStyle name="Bad 5 16" xfId="6165" xr:uid="{00000000-0005-0000-0000-0000CA170000}"/>
    <cellStyle name="Bad 5 2" xfId="6166" xr:uid="{00000000-0005-0000-0000-0000CB170000}"/>
    <cellStyle name="Bad 5 2 2" xfId="6167" xr:uid="{00000000-0005-0000-0000-0000CC170000}"/>
    <cellStyle name="Bad 5 3" xfId="6168" xr:uid="{00000000-0005-0000-0000-0000CD170000}"/>
    <cellStyle name="Bad 5 3 2" xfId="6169" xr:uid="{00000000-0005-0000-0000-0000CE170000}"/>
    <cellStyle name="Bad 5 4" xfId="6170" xr:uid="{00000000-0005-0000-0000-0000CF170000}"/>
    <cellStyle name="Bad 5 4 2" xfId="6171" xr:uid="{00000000-0005-0000-0000-0000D0170000}"/>
    <cellStyle name="Bad 5 5" xfId="6172" xr:uid="{00000000-0005-0000-0000-0000D1170000}"/>
    <cellStyle name="Bad 5 6" xfId="6173" xr:uid="{00000000-0005-0000-0000-0000D2170000}"/>
    <cellStyle name="Bad 5 7" xfId="6174" xr:uid="{00000000-0005-0000-0000-0000D3170000}"/>
    <cellStyle name="Bad 5 8" xfId="6175" xr:uid="{00000000-0005-0000-0000-0000D4170000}"/>
    <cellStyle name="Bad 5 9" xfId="6176" xr:uid="{00000000-0005-0000-0000-0000D5170000}"/>
    <cellStyle name="Bad 5_Sheet2" xfId="6177" xr:uid="{00000000-0005-0000-0000-0000D6170000}"/>
    <cellStyle name="Bad 6" xfId="6178" xr:uid="{00000000-0005-0000-0000-0000D7170000}"/>
    <cellStyle name="Bad 6 10" xfId="6179" xr:uid="{00000000-0005-0000-0000-0000D8170000}"/>
    <cellStyle name="Bad 6 11" xfId="6180" xr:uid="{00000000-0005-0000-0000-0000D9170000}"/>
    <cellStyle name="Bad 6 12" xfId="6181" xr:uid="{00000000-0005-0000-0000-0000DA170000}"/>
    <cellStyle name="Bad 6 13" xfId="6182" xr:uid="{00000000-0005-0000-0000-0000DB170000}"/>
    <cellStyle name="Bad 6 14" xfId="6183" xr:uid="{00000000-0005-0000-0000-0000DC170000}"/>
    <cellStyle name="Bad 6 15" xfId="6184" xr:uid="{00000000-0005-0000-0000-0000DD170000}"/>
    <cellStyle name="Bad 6 16" xfId="6185" xr:uid="{00000000-0005-0000-0000-0000DE170000}"/>
    <cellStyle name="Bad 6 2" xfId="6186" xr:uid="{00000000-0005-0000-0000-0000DF170000}"/>
    <cellStyle name="Bad 6 2 2" xfId="6187" xr:uid="{00000000-0005-0000-0000-0000E0170000}"/>
    <cellStyle name="Bad 6 3" xfId="6188" xr:uid="{00000000-0005-0000-0000-0000E1170000}"/>
    <cellStyle name="Bad 6 3 2" xfId="6189" xr:uid="{00000000-0005-0000-0000-0000E2170000}"/>
    <cellStyle name="Bad 6 4" xfId="6190" xr:uid="{00000000-0005-0000-0000-0000E3170000}"/>
    <cellStyle name="Bad 6 4 2" xfId="6191" xr:uid="{00000000-0005-0000-0000-0000E4170000}"/>
    <cellStyle name="Bad 6 5" xfId="6192" xr:uid="{00000000-0005-0000-0000-0000E5170000}"/>
    <cellStyle name="Bad 6 6" xfId="6193" xr:uid="{00000000-0005-0000-0000-0000E6170000}"/>
    <cellStyle name="Bad 6 7" xfId="6194" xr:uid="{00000000-0005-0000-0000-0000E7170000}"/>
    <cellStyle name="Bad 6 8" xfId="6195" xr:uid="{00000000-0005-0000-0000-0000E8170000}"/>
    <cellStyle name="Bad 6 9" xfId="6196" xr:uid="{00000000-0005-0000-0000-0000E9170000}"/>
    <cellStyle name="Bad 6_Sheet2" xfId="6197" xr:uid="{00000000-0005-0000-0000-0000EA170000}"/>
    <cellStyle name="Bad 7" xfId="6198" xr:uid="{00000000-0005-0000-0000-0000EB170000}"/>
    <cellStyle name="Bad 7 10" xfId="6199" xr:uid="{00000000-0005-0000-0000-0000EC170000}"/>
    <cellStyle name="Bad 7 11" xfId="6200" xr:uid="{00000000-0005-0000-0000-0000ED170000}"/>
    <cellStyle name="Bad 7 12" xfId="6201" xr:uid="{00000000-0005-0000-0000-0000EE170000}"/>
    <cellStyle name="Bad 7 13" xfId="6202" xr:uid="{00000000-0005-0000-0000-0000EF170000}"/>
    <cellStyle name="Bad 7 14" xfId="6203" xr:uid="{00000000-0005-0000-0000-0000F0170000}"/>
    <cellStyle name="Bad 7 15" xfId="6204" xr:uid="{00000000-0005-0000-0000-0000F1170000}"/>
    <cellStyle name="Bad 7 16" xfId="6205" xr:uid="{00000000-0005-0000-0000-0000F2170000}"/>
    <cellStyle name="Bad 7 2" xfId="6206" xr:uid="{00000000-0005-0000-0000-0000F3170000}"/>
    <cellStyle name="Bad 7 2 2" xfId="6207" xr:uid="{00000000-0005-0000-0000-0000F4170000}"/>
    <cellStyle name="Bad 7 3" xfId="6208" xr:uid="{00000000-0005-0000-0000-0000F5170000}"/>
    <cellStyle name="Bad 7 3 2" xfId="6209" xr:uid="{00000000-0005-0000-0000-0000F6170000}"/>
    <cellStyle name="Bad 7 4" xfId="6210" xr:uid="{00000000-0005-0000-0000-0000F7170000}"/>
    <cellStyle name="Bad 7 4 2" xfId="6211" xr:uid="{00000000-0005-0000-0000-0000F8170000}"/>
    <cellStyle name="Bad 7 5" xfId="6212" xr:uid="{00000000-0005-0000-0000-0000F9170000}"/>
    <cellStyle name="Bad 7 6" xfId="6213" xr:uid="{00000000-0005-0000-0000-0000FA170000}"/>
    <cellStyle name="Bad 7 7" xfId="6214" xr:uid="{00000000-0005-0000-0000-0000FB170000}"/>
    <cellStyle name="Bad 7 8" xfId="6215" xr:uid="{00000000-0005-0000-0000-0000FC170000}"/>
    <cellStyle name="Bad 7 9" xfId="6216" xr:uid="{00000000-0005-0000-0000-0000FD170000}"/>
    <cellStyle name="Bad 7_Sheet2" xfId="6217" xr:uid="{00000000-0005-0000-0000-0000FE170000}"/>
    <cellStyle name="Bad 8" xfId="6218" xr:uid="{00000000-0005-0000-0000-0000FF170000}"/>
    <cellStyle name="Bad 8 10" xfId="6219" xr:uid="{00000000-0005-0000-0000-000000180000}"/>
    <cellStyle name="Bad 8 11" xfId="6220" xr:uid="{00000000-0005-0000-0000-000001180000}"/>
    <cellStyle name="Bad 8 12" xfId="6221" xr:uid="{00000000-0005-0000-0000-000002180000}"/>
    <cellStyle name="Bad 8 13" xfId="6222" xr:uid="{00000000-0005-0000-0000-000003180000}"/>
    <cellStyle name="Bad 8 14" xfId="6223" xr:uid="{00000000-0005-0000-0000-000004180000}"/>
    <cellStyle name="Bad 8 15" xfId="6224" xr:uid="{00000000-0005-0000-0000-000005180000}"/>
    <cellStyle name="Bad 8 16" xfId="6225" xr:uid="{00000000-0005-0000-0000-000006180000}"/>
    <cellStyle name="Bad 8 2" xfId="6226" xr:uid="{00000000-0005-0000-0000-000007180000}"/>
    <cellStyle name="Bad 8 3" xfId="6227" xr:uid="{00000000-0005-0000-0000-000008180000}"/>
    <cellStyle name="Bad 8 4" xfId="6228" xr:uid="{00000000-0005-0000-0000-000009180000}"/>
    <cellStyle name="Bad 8 5" xfId="6229" xr:uid="{00000000-0005-0000-0000-00000A180000}"/>
    <cellStyle name="Bad 8 6" xfId="6230" xr:uid="{00000000-0005-0000-0000-00000B180000}"/>
    <cellStyle name="Bad 8 7" xfId="6231" xr:uid="{00000000-0005-0000-0000-00000C180000}"/>
    <cellStyle name="Bad 8 8" xfId="6232" xr:uid="{00000000-0005-0000-0000-00000D180000}"/>
    <cellStyle name="Bad 8 9" xfId="6233" xr:uid="{00000000-0005-0000-0000-00000E180000}"/>
    <cellStyle name="Bad 8_Sheet2" xfId="6234" xr:uid="{00000000-0005-0000-0000-00000F180000}"/>
    <cellStyle name="Bad 9" xfId="6235" xr:uid="{00000000-0005-0000-0000-000010180000}"/>
    <cellStyle name="Bad 9 10" xfId="6236" xr:uid="{00000000-0005-0000-0000-000011180000}"/>
    <cellStyle name="Bad 9 11" xfId="6237" xr:uid="{00000000-0005-0000-0000-000012180000}"/>
    <cellStyle name="Bad 9 12" xfId="6238" xr:uid="{00000000-0005-0000-0000-000013180000}"/>
    <cellStyle name="Bad 9 13" xfId="6239" xr:uid="{00000000-0005-0000-0000-000014180000}"/>
    <cellStyle name="Bad 9 14" xfId="6240" xr:uid="{00000000-0005-0000-0000-000015180000}"/>
    <cellStyle name="Bad 9 15" xfId="6241" xr:uid="{00000000-0005-0000-0000-000016180000}"/>
    <cellStyle name="Bad 9 16" xfId="6242" xr:uid="{00000000-0005-0000-0000-000017180000}"/>
    <cellStyle name="Bad 9 2" xfId="6243" xr:uid="{00000000-0005-0000-0000-000018180000}"/>
    <cellStyle name="Bad 9 3" xfId="6244" xr:uid="{00000000-0005-0000-0000-000019180000}"/>
    <cellStyle name="Bad 9 4" xfId="6245" xr:uid="{00000000-0005-0000-0000-00001A180000}"/>
    <cellStyle name="Bad 9 5" xfId="6246" xr:uid="{00000000-0005-0000-0000-00001B180000}"/>
    <cellStyle name="Bad 9 6" xfId="6247" xr:uid="{00000000-0005-0000-0000-00001C180000}"/>
    <cellStyle name="Bad 9 7" xfId="6248" xr:uid="{00000000-0005-0000-0000-00001D180000}"/>
    <cellStyle name="Bad 9 8" xfId="6249" xr:uid="{00000000-0005-0000-0000-00001E180000}"/>
    <cellStyle name="Bad 9 9" xfId="6250" xr:uid="{00000000-0005-0000-0000-00001F180000}"/>
    <cellStyle name="Basis points" xfId="6251" xr:uid="{00000000-0005-0000-0000-000020180000}"/>
    <cellStyle name="bay" xfId="6252" xr:uid="{00000000-0005-0000-0000-000021180000}"/>
    <cellStyle name="Berechnung" xfId="6253" xr:uid="{00000000-0005-0000-0000-000022180000}"/>
    <cellStyle name="Beschreibung" xfId="6254" xr:uid="{00000000-0005-0000-0000-000023180000}"/>
    <cellStyle name="Bill No" xfId="6255" xr:uid="{00000000-0005-0000-0000-000024180000}"/>
    <cellStyle name="Bill Title" xfId="6256" xr:uid="{00000000-0005-0000-0000-000025180000}"/>
    <cellStyle name="Black" xfId="6257" xr:uid="{00000000-0005-0000-0000-000026180000}"/>
    <cellStyle name="BlackStrike" xfId="6258" xr:uid="{00000000-0005-0000-0000-000027180000}"/>
    <cellStyle name="BlackText" xfId="6259" xr:uid="{00000000-0005-0000-0000-000028180000}"/>
    <cellStyle name="Blank" xfId="6260" xr:uid="{00000000-0005-0000-0000-000029180000}"/>
    <cellStyle name="Blank [$]" xfId="6261" xr:uid="{00000000-0005-0000-0000-00002A180000}"/>
    <cellStyle name="Blank [%]" xfId="6262" xr:uid="{00000000-0005-0000-0000-00002B180000}"/>
    <cellStyle name="Blank [,]" xfId="6263" xr:uid="{00000000-0005-0000-0000-00002C180000}"/>
    <cellStyle name="Blank [1$]" xfId="6264" xr:uid="{00000000-0005-0000-0000-00002D180000}"/>
    <cellStyle name="Blank [1%]" xfId="6265" xr:uid="{00000000-0005-0000-0000-00002E180000}"/>
    <cellStyle name="Blank [1,]" xfId="6266" xr:uid="{00000000-0005-0000-0000-00002F180000}"/>
    <cellStyle name="Blank [2$]" xfId="6267" xr:uid="{00000000-0005-0000-0000-000030180000}"/>
    <cellStyle name="Blank [2%]" xfId="6268" xr:uid="{00000000-0005-0000-0000-000031180000}"/>
    <cellStyle name="Blank [2,]" xfId="6269" xr:uid="{00000000-0005-0000-0000-000032180000}"/>
    <cellStyle name="Blank [3$]" xfId="6270" xr:uid="{00000000-0005-0000-0000-000033180000}"/>
    <cellStyle name="Blank [3%]" xfId="6271" xr:uid="{00000000-0005-0000-0000-000034180000}"/>
    <cellStyle name="Blank [3,]" xfId="6272" xr:uid="{00000000-0005-0000-0000-000035180000}"/>
    <cellStyle name="Blank [D-M-Y]" xfId="6273" xr:uid="{00000000-0005-0000-0000-000036180000}"/>
    <cellStyle name="Blank [K,]" xfId="6274" xr:uid="{00000000-0005-0000-0000-000037180000}"/>
    <cellStyle name="BldUnd - Style3" xfId="6275" xr:uid="{00000000-0005-0000-0000-000038180000}"/>
    <cellStyle name="blue" xfId="6276" xr:uid="{00000000-0005-0000-0000-000039180000}"/>
    <cellStyle name="Body" xfId="6277" xr:uid="{00000000-0005-0000-0000-00003A180000}"/>
    <cellStyle name="Body 2" xfId="6278" xr:uid="{00000000-0005-0000-0000-00003B180000}"/>
    <cellStyle name="Body_DLF Capital Greens -Consolidated Finishes BOQ Phase II " xfId="6279" xr:uid="{00000000-0005-0000-0000-00003C180000}"/>
    <cellStyle name="Bold - Style2" xfId="6280" xr:uid="{00000000-0005-0000-0000-00003D180000}"/>
    <cellStyle name="Bold 10" xfId="6281" xr:uid="{00000000-0005-0000-0000-00003E180000}"/>
    <cellStyle name="Bold 12" xfId="6282" xr:uid="{00000000-0005-0000-0000-00003F180000}"/>
    <cellStyle name="Bold 8" xfId="6283" xr:uid="{00000000-0005-0000-0000-000040180000}"/>
    <cellStyle name="Bold Italic 10" xfId="6284" xr:uid="{00000000-0005-0000-0000-000041180000}"/>
    <cellStyle name="Bold Italic 12" xfId="6285" xr:uid="{00000000-0005-0000-0000-000042180000}"/>
    <cellStyle name="Bold Italic 8" xfId="6286" xr:uid="{00000000-0005-0000-0000-000043180000}"/>
    <cellStyle name="Bold/Border" xfId="6287" xr:uid="{00000000-0005-0000-0000-000044180000}"/>
    <cellStyle name="BoldText" xfId="6288" xr:uid="{00000000-0005-0000-0000-000045180000}"/>
    <cellStyle name="BOOKMAN" xfId="6289" xr:uid="{00000000-0005-0000-0000-000046180000}"/>
    <cellStyle name="borde thin" xfId="6290" xr:uid="{00000000-0005-0000-0000-000047180000}"/>
    <cellStyle name="Border" xfId="6291" xr:uid="{00000000-0005-0000-0000-000048180000}"/>
    <cellStyle name="Border Heavy" xfId="6292" xr:uid="{00000000-0005-0000-0000-000049180000}"/>
    <cellStyle name="Border Thin" xfId="6293" xr:uid="{00000000-0005-0000-0000-00004A180000}"/>
    <cellStyle name="border think" xfId="6294" xr:uid="{00000000-0005-0000-0000-00004B180000}"/>
    <cellStyle name="border tihn" xfId="6295" xr:uid="{00000000-0005-0000-0000-00004C180000}"/>
    <cellStyle name="bordert thin" xfId="6296" xr:uid="{00000000-0005-0000-0000-00004D180000}"/>
    <cellStyle name="bp--" xfId="6297" xr:uid="{00000000-0005-0000-0000-00004E180000}"/>
    <cellStyle name="br" xfId="6298" xr:uid="{00000000-0005-0000-0000-00004F180000}"/>
    <cellStyle name="br 2" xfId="6299" xr:uid="{00000000-0005-0000-0000-000050180000}"/>
    <cellStyle name="BritPound" xfId="6300" xr:uid="{00000000-0005-0000-0000-000051180000}"/>
    <cellStyle name="bt" xfId="6301" xr:uid="{00000000-0005-0000-0000-000052180000}"/>
    <cellStyle name="Buena" xfId="6302" xr:uid="{00000000-0005-0000-0000-000053180000}"/>
    <cellStyle name="Bullet" xfId="6303" xr:uid="{00000000-0005-0000-0000-000054180000}"/>
    <cellStyle name="Bulleted List - Style 1" xfId="6304" xr:uid="{00000000-0005-0000-0000-000055180000}"/>
    <cellStyle name="c" xfId="6305" xr:uid="{00000000-0005-0000-0000-000056180000}"/>
    <cellStyle name="C                      " xfId="6306" xr:uid="{00000000-0005-0000-0000-000057180000}"/>
    <cellStyle name="C?AØ_¿?¾÷CoE² " xfId="6307" xr:uid="{00000000-0005-0000-0000-000058180000}"/>
    <cellStyle name="c_Cinderella Model v1" xfId="6308" xr:uid="{00000000-0005-0000-0000-000059180000}"/>
    <cellStyle name="c_Cinderella Model v1May 29" xfId="6309" xr:uid="{00000000-0005-0000-0000-00005A180000}"/>
    <cellStyle name="c_Cinderella Model v8" xfId="6310" xr:uid="{00000000-0005-0000-0000-00005B180000}"/>
    <cellStyle name="c_Cinderella Model v9_ML number" xfId="6311" xr:uid="{00000000-0005-0000-0000-00005C180000}"/>
    <cellStyle name="c_Gazelle DDM May-15-2003" xfId="6312" xr:uid="{00000000-0005-0000-0000-00005D180000}"/>
    <cellStyle name="c_HardInc " xfId="6313" xr:uid="{00000000-0005-0000-0000-00005E180000}"/>
    <cellStyle name="C¡IA¨ª_¡ic¨u¡A¨￢I¨￢¡Æ AN¡Æe " xfId="6314" xr:uid="{00000000-0005-0000-0000-00005F180000}"/>
    <cellStyle name="Ç¥ÁØ_¿¬°£´©°è¿¹»ó" xfId="6315" xr:uid="{00000000-0005-0000-0000-000060180000}"/>
    <cellStyle name="C￥AØ_¿μ¾÷CoE² " xfId="6316" xr:uid="{00000000-0005-0000-0000-000061180000}"/>
    <cellStyle name="Ç¥ÁØ_Book1" xfId="6317" xr:uid="{00000000-0005-0000-0000-000062180000}"/>
    <cellStyle name="Calc Currency (0)" xfId="26" xr:uid="{00000000-0005-0000-0000-000063180000}"/>
    <cellStyle name="Calc Currency (0) 10" xfId="6318" xr:uid="{00000000-0005-0000-0000-000064180000}"/>
    <cellStyle name="Calc Currency (0) 10 2" xfId="6319" xr:uid="{00000000-0005-0000-0000-000065180000}"/>
    <cellStyle name="Calc Currency (0) 11" xfId="6320" xr:uid="{00000000-0005-0000-0000-000066180000}"/>
    <cellStyle name="Calc Currency (0) 12" xfId="6321" xr:uid="{00000000-0005-0000-0000-000067180000}"/>
    <cellStyle name="Calc Currency (0) 13" xfId="6322" xr:uid="{00000000-0005-0000-0000-000068180000}"/>
    <cellStyle name="Calc Currency (0) 14" xfId="6323" xr:uid="{00000000-0005-0000-0000-000069180000}"/>
    <cellStyle name="Calc Currency (0) 2" xfId="6324" xr:uid="{00000000-0005-0000-0000-00006A180000}"/>
    <cellStyle name="Calc Currency (0) 2 2" xfId="6325" xr:uid="{00000000-0005-0000-0000-00006B180000}"/>
    <cellStyle name="Calc Currency (0) 2 3" xfId="6326" xr:uid="{00000000-0005-0000-0000-00006C180000}"/>
    <cellStyle name="Calc Currency (0) 3" xfId="6327" xr:uid="{00000000-0005-0000-0000-00006D180000}"/>
    <cellStyle name="Calc Currency (0) 3 2" xfId="6328" xr:uid="{00000000-0005-0000-0000-00006E180000}"/>
    <cellStyle name="Calc Currency (0) 4" xfId="6329" xr:uid="{00000000-0005-0000-0000-00006F180000}"/>
    <cellStyle name="Calc Currency (0) 5" xfId="6330" xr:uid="{00000000-0005-0000-0000-000070180000}"/>
    <cellStyle name="Calc Currency (0) 6" xfId="6331" xr:uid="{00000000-0005-0000-0000-000071180000}"/>
    <cellStyle name="Calc Currency (0) 7" xfId="6332" xr:uid="{00000000-0005-0000-0000-000072180000}"/>
    <cellStyle name="Calc Currency (0) 8" xfId="6333" xr:uid="{00000000-0005-0000-0000-000073180000}"/>
    <cellStyle name="Calc Currency (0) 9" xfId="6334" xr:uid="{00000000-0005-0000-0000-000074180000}"/>
    <cellStyle name="Calc Currency (0)_DLF Capital Greens -Consolidated Finishes BOQ Phase II " xfId="6335" xr:uid="{00000000-0005-0000-0000-000075180000}"/>
    <cellStyle name="Calc Currency (2)" xfId="6336" xr:uid="{00000000-0005-0000-0000-000076180000}"/>
    <cellStyle name="Calc Percent (0)" xfId="6337" xr:uid="{00000000-0005-0000-0000-000077180000}"/>
    <cellStyle name="Calc Percent (1)" xfId="6338" xr:uid="{00000000-0005-0000-0000-000078180000}"/>
    <cellStyle name="Calc Percent (1) 10" xfId="6339" xr:uid="{00000000-0005-0000-0000-000079180000}"/>
    <cellStyle name="Calc Percent (1) 2" xfId="6340" xr:uid="{00000000-0005-0000-0000-00007A180000}"/>
    <cellStyle name="Calc Percent (1) 3" xfId="6341" xr:uid="{00000000-0005-0000-0000-00007B180000}"/>
    <cellStyle name="Calc Percent (1) 4" xfId="6342" xr:uid="{00000000-0005-0000-0000-00007C180000}"/>
    <cellStyle name="Calc Percent (1) 5" xfId="6343" xr:uid="{00000000-0005-0000-0000-00007D180000}"/>
    <cellStyle name="Calc Percent (1) 6" xfId="6344" xr:uid="{00000000-0005-0000-0000-00007E180000}"/>
    <cellStyle name="Calc Percent (1) 7" xfId="6345" xr:uid="{00000000-0005-0000-0000-00007F180000}"/>
    <cellStyle name="Calc Percent (1) 8" xfId="6346" xr:uid="{00000000-0005-0000-0000-000080180000}"/>
    <cellStyle name="Calc Percent (1) 9" xfId="6347" xr:uid="{00000000-0005-0000-0000-000081180000}"/>
    <cellStyle name="Calc Percent (2)" xfId="6348" xr:uid="{00000000-0005-0000-0000-000082180000}"/>
    <cellStyle name="Calc Percent (2) 10" xfId="6349" xr:uid="{00000000-0005-0000-0000-000083180000}"/>
    <cellStyle name="Calc Percent (2) 2" xfId="6350" xr:uid="{00000000-0005-0000-0000-000084180000}"/>
    <cellStyle name="Calc Percent (2) 3" xfId="6351" xr:uid="{00000000-0005-0000-0000-000085180000}"/>
    <cellStyle name="Calc Percent (2) 4" xfId="6352" xr:uid="{00000000-0005-0000-0000-000086180000}"/>
    <cellStyle name="Calc Percent (2) 5" xfId="6353" xr:uid="{00000000-0005-0000-0000-000087180000}"/>
    <cellStyle name="Calc Percent (2) 6" xfId="6354" xr:uid="{00000000-0005-0000-0000-000088180000}"/>
    <cellStyle name="Calc Percent (2) 7" xfId="6355" xr:uid="{00000000-0005-0000-0000-000089180000}"/>
    <cellStyle name="Calc Percent (2) 8" xfId="6356" xr:uid="{00000000-0005-0000-0000-00008A180000}"/>
    <cellStyle name="Calc Percent (2) 9" xfId="6357" xr:uid="{00000000-0005-0000-0000-00008B180000}"/>
    <cellStyle name="Calc Units (0)" xfId="6358" xr:uid="{00000000-0005-0000-0000-00008C180000}"/>
    <cellStyle name="Calc Units (0) 10" xfId="6359" xr:uid="{00000000-0005-0000-0000-00008D180000}"/>
    <cellStyle name="Calc Units (0) 11" xfId="6360" xr:uid="{00000000-0005-0000-0000-00008E180000}"/>
    <cellStyle name="Calc Units (0) 2" xfId="6361" xr:uid="{00000000-0005-0000-0000-00008F180000}"/>
    <cellStyle name="Calc Units (0) 2 2" xfId="6362" xr:uid="{00000000-0005-0000-0000-000090180000}"/>
    <cellStyle name="Calc Units (0) 3" xfId="6363" xr:uid="{00000000-0005-0000-0000-000091180000}"/>
    <cellStyle name="Calc Units (0) 3 2" xfId="6364" xr:uid="{00000000-0005-0000-0000-000092180000}"/>
    <cellStyle name="Calc Units (0) 4" xfId="6365" xr:uid="{00000000-0005-0000-0000-000093180000}"/>
    <cellStyle name="Calc Units (0) 5" xfId="6366" xr:uid="{00000000-0005-0000-0000-000094180000}"/>
    <cellStyle name="Calc Units (0) 6" xfId="6367" xr:uid="{00000000-0005-0000-0000-000095180000}"/>
    <cellStyle name="Calc Units (0) 7" xfId="6368" xr:uid="{00000000-0005-0000-0000-000096180000}"/>
    <cellStyle name="Calc Units (0) 8" xfId="6369" xr:uid="{00000000-0005-0000-0000-000097180000}"/>
    <cellStyle name="Calc Units (0) 9" xfId="6370" xr:uid="{00000000-0005-0000-0000-000098180000}"/>
    <cellStyle name="Calc Units (1)" xfId="6371" xr:uid="{00000000-0005-0000-0000-000099180000}"/>
    <cellStyle name="Calc Units (1) 10" xfId="6372" xr:uid="{00000000-0005-0000-0000-00009A180000}"/>
    <cellStyle name="Calc Units (1) 11" xfId="6373" xr:uid="{00000000-0005-0000-0000-00009B180000}"/>
    <cellStyle name="Calc Units (1) 2" xfId="6374" xr:uid="{00000000-0005-0000-0000-00009C180000}"/>
    <cellStyle name="Calc Units (1) 2 2" xfId="6375" xr:uid="{00000000-0005-0000-0000-00009D180000}"/>
    <cellStyle name="Calc Units (1) 3" xfId="6376" xr:uid="{00000000-0005-0000-0000-00009E180000}"/>
    <cellStyle name="Calc Units (1) 3 2" xfId="6377" xr:uid="{00000000-0005-0000-0000-00009F180000}"/>
    <cellStyle name="Calc Units (1) 4" xfId="6378" xr:uid="{00000000-0005-0000-0000-0000A0180000}"/>
    <cellStyle name="Calc Units (1) 5" xfId="6379" xr:uid="{00000000-0005-0000-0000-0000A1180000}"/>
    <cellStyle name="Calc Units (1) 6" xfId="6380" xr:uid="{00000000-0005-0000-0000-0000A2180000}"/>
    <cellStyle name="Calc Units (1) 7" xfId="6381" xr:uid="{00000000-0005-0000-0000-0000A3180000}"/>
    <cellStyle name="Calc Units (1) 8" xfId="6382" xr:uid="{00000000-0005-0000-0000-0000A4180000}"/>
    <cellStyle name="Calc Units (1) 9" xfId="6383" xr:uid="{00000000-0005-0000-0000-0000A5180000}"/>
    <cellStyle name="Calc Units (2)" xfId="6384" xr:uid="{00000000-0005-0000-0000-0000A6180000}"/>
    <cellStyle name="Calcul" xfId="6385" xr:uid="{00000000-0005-0000-0000-0000A7180000}"/>
    <cellStyle name="Calculation" xfId="27" builtinId="22" customBuiltin="1"/>
    <cellStyle name="Calculation 1" xfId="6386" xr:uid="{00000000-0005-0000-0000-0000A9180000}"/>
    <cellStyle name="Calculation 1 1" xfId="6387" xr:uid="{00000000-0005-0000-0000-0000AA180000}"/>
    <cellStyle name="Calculation 1_Building_-_5-final_Price_Variation(1)" xfId="6388" xr:uid="{00000000-0005-0000-0000-0000AB180000}"/>
    <cellStyle name="Calculation 10" xfId="6389" xr:uid="{00000000-0005-0000-0000-0000AC180000}"/>
    <cellStyle name="Calculation 10 10" xfId="6390" xr:uid="{00000000-0005-0000-0000-0000AD180000}"/>
    <cellStyle name="Calculation 10 11" xfId="6391" xr:uid="{00000000-0005-0000-0000-0000AE180000}"/>
    <cellStyle name="Calculation 10 12" xfId="6392" xr:uid="{00000000-0005-0000-0000-0000AF180000}"/>
    <cellStyle name="Calculation 10 13" xfId="6393" xr:uid="{00000000-0005-0000-0000-0000B0180000}"/>
    <cellStyle name="Calculation 10 14" xfId="6394" xr:uid="{00000000-0005-0000-0000-0000B1180000}"/>
    <cellStyle name="Calculation 10 15" xfId="6395" xr:uid="{00000000-0005-0000-0000-0000B2180000}"/>
    <cellStyle name="Calculation 10 16" xfId="6396" xr:uid="{00000000-0005-0000-0000-0000B3180000}"/>
    <cellStyle name="Calculation 10 2" xfId="6397" xr:uid="{00000000-0005-0000-0000-0000B4180000}"/>
    <cellStyle name="Calculation 10 3" xfId="6398" xr:uid="{00000000-0005-0000-0000-0000B5180000}"/>
    <cellStyle name="Calculation 10 4" xfId="6399" xr:uid="{00000000-0005-0000-0000-0000B6180000}"/>
    <cellStyle name="Calculation 10 5" xfId="6400" xr:uid="{00000000-0005-0000-0000-0000B7180000}"/>
    <cellStyle name="Calculation 10 6" xfId="6401" xr:uid="{00000000-0005-0000-0000-0000B8180000}"/>
    <cellStyle name="Calculation 10 7" xfId="6402" xr:uid="{00000000-0005-0000-0000-0000B9180000}"/>
    <cellStyle name="Calculation 10 8" xfId="6403" xr:uid="{00000000-0005-0000-0000-0000BA180000}"/>
    <cellStyle name="Calculation 10 9" xfId="6404" xr:uid="{00000000-0005-0000-0000-0000BB180000}"/>
    <cellStyle name="Calculation 11" xfId="6405" xr:uid="{00000000-0005-0000-0000-0000BC180000}"/>
    <cellStyle name="Calculation 11 2" xfId="6406" xr:uid="{00000000-0005-0000-0000-0000BD180000}"/>
    <cellStyle name="Calculation 11 3" xfId="6407" xr:uid="{00000000-0005-0000-0000-0000BE180000}"/>
    <cellStyle name="Calculation 11 4" xfId="6408" xr:uid="{00000000-0005-0000-0000-0000BF180000}"/>
    <cellStyle name="Calculation 11 5" xfId="6409" xr:uid="{00000000-0005-0000-0000-0000C0180000}"/>
    <cellStyle name="Calculation 11 6" xfId="6410" xr:uid="{00000000-0005-0000-0000-0000C1180000}"/>
    <cellStyle name="Calculation 11 7" xfId="6411" xr:uid="{00000000-0005-0000-0000-0000C2180000}"/>
    <cellStyle name="Calculation 11 8" xfId="6412" xr:uid="{00000000-0005-0000-0000-0000C3180000}"/>
    <cellStyle name="Calculation 11 9" xfId="6413" xr:uid="{00000000-0005-0000-0000-0000C4180000}"/>
    <cellStyle name="Calculation 12" xfId="6414" xr:uid="{00000000-0005-0000-0000-0000C5180000}"/>
    <cellStyle name="Calculation 12 2" xfId="6415" xr:uid="{00000000-0005-0000-0000-0000C6180000}"/>
    <cellStyle name="Calculation 12 3" xfId="6416" xr:uid="{00000000-0005-0000-0000-0000C7180000}"/>
    <cellStyle name="Calculation 12 4" xfId="6417" xr:uid="{00000000-0005-0000-0000-0000C8180000}"/>
    <cellStyle name="Calculation 12 5" xfId="6418" xr:uid="{00000000-0005-0000-0000-0000C9180000}"/>
    <cellStyle name="Calculation 12 6" xfId="6419" xr:uid="{00000000-0005-0000-0000-0000CA180000}"/>
    <cellStyle name="Calculation 12 7" xfId="6420" xr:uid="{00000000-0005-0000-0000-0000CB180000}"/>
    <cellStyle name="Calculation 12 8" xfId="6421" xr:uid="{00000000-0005-0000-0000-0000CC180000}"/>
    <cellStyle name="Calculation 12 9" xfId="6422" xr:uid="{00000000-0005-0000-0000-0000CD180000}"/>
    <cellStyle name="Calculation 13" xfId="6423" xr:uid="{00000000-0005-0000-0000-0000CE180000}"/>
    <cellStyle name="Calculation 13 2" xfId="6424" xr:uid="{00000000-0005-0000-0000-0000CF180000}"/>
    <cellStyle name="Calculation 13 3" xfId="6425" xr:uid="{00000000-0005-0000-0000-0000D0180000}"/>
    <cellStyle name="Calculation 13 4" xfId="6426" xr:uid="{00000000-0005-0000-0000-0000D1180000}"/>
    <cellStyle name="Calculation 13 5" xfId="6427" xr:uid="{00000000-0005-0000-0000-0000D2180000}"/>
    <cellStyle name="Calculation 13 6" xfId="6428" xr:uid="{00000000-0005-0000-0000-0000D3180000}"/>
    <cellStyle name="Calculation 13 7" xfId="6429" xr:uid="{00000000-0005-0000-0000-0000D4180000}"/>
    <cellStyle name="Calculation 13 8" xfId="6430" xr:uid="{00000000-0005-0000-0000-0000D5180000}"/>
    <cellStyle name="Calculation 13 9" xfId="6431" xr:uid="{00000000-0005-0000-0000-0000D6180000}"/>
    <cellStyle name="Calculation 14" xfId="6432" xr:uid="{00000000-0005-0000-0000-0000D7180000}"/>
    <cellStyle name="Calculation 14 2" xfId="6433" xr:uid="{00000000-0005-0000-0000-0000D8180000}"/>
    <cellStyle name="Calculation 14 3" xfId="6434" xr:uid="{00000000-0005-0000-0000-0000D9180000}"/>
    <cellStyle name="Calculation 14 4" xfId="6435" xr:uid="{00000000-0005-0000-0000-0000DA180000}"/>
    <cellStyle name="Calculation 14 5" xfId="6436" xr:uid="{00000000-0005-0000-0000-0000DB180000}"/>
    <cellStyle name="Calculation 14 6" xfId="6437" xr:uid="{00000000-0005-0000-0000-0000DC180000}"/>
    <cellStyle name="Calculation 14 7" xfId="6438" xr:uid="{00000000-0005-0000-0000-0000DD180000}"/>
    <cellStyle name="Calculation 14 8" xfId="6439" xr:uid="{00000000-0005-0000-0000-0000DE180000}"/>
    <cellStyle name="Calculation 14 9" xfId="6440" xr:uid="{00000000-0005-0000-0000-0000DF180000}"/>
    <cellStyle name="Calculation 15" xfId="6441" xr:uid="{00000000-0005-0000-0000-0000E0180000}"/>
    <cellStyle name="Calculation 15 2" xfId="6442" xr:uid="{00000000-0005-0000-0000-0000E1180000}"/>
    <cellStyle name="Calculation 15 3" xfId="6443" xr:uid="{00000000-0005-0000-0000-0000E2180000}"/>
    <cellStyle name="Calculation 15 4" xfId="6444" xr:uid="{00000000-0005-0000-0000-0000E3180000}"/>
    <cellStyle name="Calculation 15 5" xfId="6445" xr:uid="{00000000-0005-0000-0000-0000E4180000}"/>
    <cellStyle name="Calculation 15 6" xfId="6446" xr:uid="{00000000-0005-0000-0000-0000E5180000}"/>
    <cellStyle name="Calculation 15 7" xfId="6447" xr:uid="{00000000-0005-0000-0000-0000E6180000}"/>
    <cellStyle name="Calculation 15 8" xfId="6448" xr:uid="{00000000-0005-0000-0000-0000E7180000}"/>
    <cellStyle name="Calculation 15 9" xfId="6449" xr:uid="{00000000-0005-0000-0000-0000E8180000}"/>
    <cellStyle name="Calculation 16" xfId="6450" xr:uid="{00000000-0005-0000-0000-0000E9180000}"/>
    <cellStyle name="Calculation 16 2" xfId="6451" xr:uid="{00000000-0005-0000-0000-0000EA180000}"/>
    <cellStyle name="Calculation 16 3" xfId="6452" xr:uid="{00000000-0005-0000-0000-0000EB180000}"/>
    <cellStyle name="Calculation 16 4" xfId="6453" xr:uid="{00000000-0005-0000-0000-0000EC180000}"/>
    <cellStyle name="Calculation 16 5" xfId="6454" xr:uid="{00000000-0005-0000-0000-0000ED180000}"/>
    <cellStyle name="Calculation 16 6" xfId="6455" xr:uid="{00000000-0005-0000-0000-0000EE180000}"/>
    <cellStyle name="Calculation 16 7" xfId="6456" xr:uid="{00000000-0005-0000-0000-0000EF180000}"/>
    <cellStyle name="Calculation 16 8" xfId="6457" xr:uid="{00000000-0005-0000-0000-0000F0180000}"/>
    <cellStyle name="Calculation 16 9" xfId="6458" xr:uid="{00000000-0005-0000-0000-0000F1180000}"/>
    <cellStyle name="Calculation 17" xfId="6459" xr:uid="{00000000-0005-0000-0000-0000F2180000}"/>
    <cellStyle name="Calculation 17 2" xfId="6460" xr:uid="{00000000-0005-0000-0000-0000F3180000}"/>
    <cellStyle name="Calculation 18" xfId="6461" xr:uid="{00000000-0005-0000-0000-0000F4180000}"/>
    <cellStyle name="Calculation 18 2" xfId="6462" xr:uid="{00000000-0005-0000-0000-0000F5180000}"/>
    <cellStyle name="Calculation 19" xfId="6463" xr:uid="{00000000-0005-0000-0000-0000F6180000}"/>
    <cellStyle name="Calculation 19 2" xfId="6464" xr:uid="{00000000-0005-0000-0000-0000F7180000}"/>
    <cellStyle name="Calculation 2" xfId="6465" xr:uid="{00000000-0005-0000-0000-0000F8180000}"/>
    <cellStyle name="Calculation 2 10" xfId="6466" xr:uid="{00000000-0005-0000-0000-0000F9180000}"/>
    <cellStyle name="Calculation 2 10 2" xfId="6467" xr:uid="{00000000-0005-0000-0000-0000FA180000}"/>
    <cellStyle name="Calculation 2 11" xfId="6468" xr:uid="{00000000-0005-0000-0000-0000FB180000}"/>
    <cellStyle name="Calculation 2 12" xfId="6469" xr:uid="{00000000-0005-0000-0000-0000FC180000}"/>
    <cellStyle name="Calculation 2 13" xfId="6470" xr:uid="{00000000-0005-0000-0000-0000FD180000}"/>
    <cellStyle name="Calculation 2 2" xfId="6471" xr:uid="{00000000-0005-0000-0000-0000FE180000}"/>
    <cellStyle name="Calculation 2 2 10" xfId="6472" xr:uid="{00000000-0005-0000-0000-0000FF180000}"/>
    <cellStyle name="Calculation 2 2 11" xfId="6473" xr:uid="{00000000-0005-0000-0000-000000190000}"/>
    <cellStyle name="Calculation 2 2 2" xfId="6474" xr:uid="{00000000-0005-0000-0000-000001190000}"/>
    <cellStyle name="Calculation 2 2 3" xfId="6475" xr:uid="{00000000-0005-0000-0000-000002190000}"/>
    <cellStyle name="Calculation 2 2 4" xfId="6476" xr:uid="{00000000-0005-0000-0000-000003190000}"/>
    <cellStyle name="Calculation 2 2 5" xfId="6477" xr:uid="{00000000-0005-0000-0000-000004190000}"/>
    <cellStyle name="Calculation 2 2 6" xfId="6478" xr:uid="{00000000-0005-0000-0000-000005190000}"/>
    <cellStyle name="Calculation 2 2 7" xfId="6479" xr:uid="{00000000-0005-0000-0000-000006190000}"/>
    <cellStyle name="Calculation 2 2 8" xfId="6480" xr:uid="{00000000-0005-0000-0000-000007190000}"/>
    <cellStyle name="Calculation 2 2 9" xfId="6481" xr:uid="{00000000-0005-0000-0000-000008190000}"/>
    <cellStyle name="Calculation 2 3" xfId="6482" xr:uid="{00000000-0005-0000-0000-000009190000}"/>
    <cellStyle name="Calculation 2 3 2" xfId="6483" xr:uid="{00000000-0005-0000-0000-00000A190000}"/>
    <cellStyle name="Calculation 2 3 3" xfId="6484" xr:uid="{00000000-0005-0000-0000-00000B190000}"/>
    <cellStyle name="Calculation 2 4" xfId="6485" xr:uid="{00000000-0005-0000-0000-00000C190000}"/>
    <cellStyle name="Calculation 2 4 10" xfId="6486" xr:uid="{00000000-0005-0000-0000-00000D190000}"/>
    <cellStyle name="Calculation 2 4 11" xfId="6487" xr:uid="{00000000-0005-0000-0000-00000E190000}"/>
    <cellStyle name="Calculation 2 4 2" xfId="6488" xr:uid="{00000000-0005-0000-0000-00000F190000}"/>
    <cellStyle name="Calculation 2 4 3" xfId="6489" xr:uid="{00000000-0005-0000-0000-000010190000}"/>
    <cellStyle name="Calculation 2 4 4" xfId="6490" xr:uid="{00000000-0005-0000-0000-000011190000}"/>
    <cellStyle name="Calculation 2 4 5" xfId="6491" xr:uid="{00000000-0005-0000-0000-000012190000}"/>
    <cellStyle name="Calculation 2 4 6" xfId="6492" xr:uid="{00000000-0005-0000-0000-000013190000}"/>
    <cellStyle name="Calculation 2 4 7" xfId="6493" xr:uid="{00000000-0005-0000-0000-000014190000}"/>
    <cellStyle name="Calculation 2 4 8" xfId="6494" xr:uid="{00000000-0005-0000-0000-000015190000}"/>
    <cellStyle name="Calculation 2 4 9" xfId="6495" xr:uid="{00000000-0005-0000-0000-000016190000}"/>
    <cellStyle name="Calculation 2 5" xfId="6496" xr:uid="{00000000-0005-0000-0000-000017190000}"/>
    <cellStyle name="Calculation 2 5 2" xfId="6497" xr:uid="{00000000-0005-0000-0000-000018190000}"/>
    <cellStyle name="Calculation 2 5 3" xfId="6498" xr:uid="{00000000-0005-0000-0000-000019190000}"/>
    <cellStyle name="Calculation 2 6" xfId="6499" xr:uid="{00000000-0005-0000-0000-00001A190000}"/>
    <cellStyle name="Calculation 2 6 2" xfId="6500" xr:uid="{00000000-0005-0000-0000-00001B190000}"/>
    <cellStyle name="Calculation 2 7" xfId="6501" xr:uid="{00000000-0005-0000-0000-00001C190000}"/>
    <cellStyle name="Calculation 2 7 2" xfId="6502" xr:uid="{00000000-0005-0000-0000-00001D190000}"/>
    <cellStyle name="Calculation 2 8" xfId="6503" xr:uid="{00000000-0005-0000-0000-00001E190000}"/>
    <cellStyle name="Calculation 2 8 2" xfId="6504" xr:uid="{00000000-0005-0000-0000-00001F190000}"/>
    <cellStyle name="Calculation 2 9" xfId="6505" xr:uid="{00000000-0005-0000-0000-000020190000}"/>
    <cellStyle name="Calculation 2 9 2" xfId="6506" xr:uid="{00000000-0005-0000-0000-000021190000}"/>
    <cellStyle name="Calculation 2_2012-13 data" xfId="6507" xr:uid="{00000000-0005-0000-0000-000022190000}"/>
    <cellStyle name="Calculation 20" xfId="6508" xr:uid="{00000000-0005-0000-0000-000023190000}"/>
    <cellStyle name="Calculation 20 2" xfId="6509" xr:uid="{00000000-0005-0000-0000-000024190000}"/>
    <cellStyle name="Calculation 21" xfId="6510" xr:uid="{00000000-0005-0000-0000-000025190000}"/>
    <cellStyle name="Calculation 21 2" xfId="6511" xr:uid="{00000000-0005-0000-0000-000026190000}"/>
    <cellStyle name="Calculation 22" xfId="6512" xr:uid="{00000000-0005-0000-0000-000027190000}"/>
    <cellStyle name="Calculation 23" xfId="6513" xr:uid="{00000000-0005-0000-0000-000028190000}"/>
    <cellStyle name="Calculation 24" xfId="6514" xr:uid="{00000000-0005-0000-0000-000029190000}"/>
    <cellStyle name="Calculation 25" xfId="6515" xr:uid="{00000000-0005-0000-0000-00002A190000}"/>
    <cellStyle name="Calculation 26" xfId="6516" xr:uid="{00000000-0005-0000-0000-00002B190000}"/>
    <cellStyle name="Calculation 27" xfId="6517" xr:uid="{00000000-0005-0000-0000-00002C190000}"/>
    <cellStyle name="Calculation 28" xfId="6518" xr:uid="{00000000-0005-0000-0000-00002D190000}"/>
    <cellStyle name="Calculation 29" xfId="6519" xr:uid="{00000000-0005-0000-0000-00002E190000}"/>
    <cellStyle name="Calculation 3" xfId="6520" xr:uid="{00000000-0005-0000-0000-00002F190000}"/>
    <cellStyle name="Calculation 3 2" xfId="6521" xr:uid="{00000000-0005-0000-0000-000030190000}"/>
    <cellStyle name="Calculation 3 2 10" xfId="6522" xr:uid="{00000000-0005-0000-0000-000031190000}"/>
    <cellStyle name="Calculation 3 2 11" xfId="6523" xr:uid="{00000000-0005-0000-0000-000032190000}"/>
    <cellStyle name="Calculation 3 2 2" xfId="6524" xr:uid="{00000000-0005-0000-0000-000033190000}"/>
    <cellStyle name="Calculation 3 2 3" xfId="6525" xr:uid="{00000000-0005-0000-0000-000034190000}"/>
    <cellStyle name="Calculation 3 2 4" xfId="6526" xr:uid="{00000000-0005-0000-0000-000035190000}"/>
    <cellStyle name="Calculation 3 2 5" xfId="6527" xr:uid="{00000000-0005-0000-0000-000036190000}"/>
    <cellStyle name="Calculation 3 2 6" xfId="6528" xr:uid="{00000000-0005-0000-0000-000037190000}"/>
    <cellStyle name="Calculation 3 2 7" xfId="6529" xr:uid="{00000000-0005-0000-0000-000038190000}"/>
    <cellStyle name="Calculation 3 2 8" xfId="6530" xr:uid="{00000000-0005-0000-0000-000039190000}"/>
    <cellStyle name="Calculation 3 2 9" xfId="6531" xr:uid="{00000000-0005-0000-0000-00003A190000}"/>
    <cellStyle name="Calculation 3 3" xfId="6532" xr:uid="{00000000-0005-0000-0000-00003B190000}"/>
    <cellStyle name="Calculation 3 3 2" xfId="6533" xr:uid="{00000000-0005-0000-0000-00003C190000}"/>
    <cellStyle name="Calculation 3 3 3" xfId="6534" xr:uid="{00000000-0005-0000-0000-00003D190000}"/>
    <cellStyle name="Calculation 3 4" xfId="6535" xr:uid="{00000000-0005-0000-0000-00003E190000}"/>
    <cellStyle name="Calculation 3 4 2" xfId="6536" xr:uid="{00000000-0005-0000-0000-00003F190000}"/>
    <cellStyle name="Calculation 3 4 3" xfId="6537" xr:uid="{00000000-0005-0000-0000-000040190000}"/>
    <cellStyle name="Calculation 3 5" xfId="6538" xr:uid="{00000000-0005-0000-0000-000041190000}"/>
    <cellStyle name="Calculation 3 6" xfId="6539" xr:uid="{00000000-0005-0000-0000-000042190000}"/>
    <cellStyle name="Calculation 3 7" xfId="6540" xr:uid="{00000000-0005-0000-0000-000043190000}"/>
    <cellStyle name="Calculation 3 8" xfId="6541" xr:uid="{00000000-0005-0000-0000-000044190000}"/>
    <cellStyle name="Calculation 3 9" xfId="6542" xr:uid="{00000000-0005-0000-0000-000045190000}"/>
    <cellStyle name="Calculation 3_Ramadugu_ SWGH" xfId="6543" xr:uid="{00000000-0005-0000-0000-000046190000}"/>
    <cellStyle name="Calculation 30" xfId="6544" xr:uid="{00000000-0005-0000-0000-000047190000}"/>
    <cellStyle name="Calculation 31" xfId="6545" xr:uid="{00000000-0005-0000-0000-000048190000}"/>
    <cellStyle name="Calculation 32" xfId="6546" xr:uid="{00000000-0005-0000-0000-000049190000}"/>
    <cellStyle name="Calculation 33" xfId="6547" xr:uid="{00000000-0005-0000-0000-00004A190000}"/>
    <cellStyle name="Calculation 34" xfId="6548" xr:uid="{00000000-0005-0000-0000-00004B190000}"/>
    <cellStyle name="Calculation 35" xfId="6549" xr:uid="{00000000-0005-0000-0000-00004C190000}"/>
    <cellStyle name="Calculation 36" xfId="6550" xr:uid="{00000000-0005-0000-0000-00004D190000}"/>
    <cellStyle name="Calculation 37" xfId="6551" xr:uid="{00000000-0005-0000-0000-00004E190000}"/>
    <cellStyle name="Calculation 38" xfId="6552" xr:uid="{00000000-0005-0000-0000-00004F190000}"/>
    <cellStyle name="Calculation 39" xfId="6553" xr:uid="{00000000-0005-0000-0000-000050190000}"/>
    <cellStyle name="Calculation 4" xfId="6554" xr:uid="{00000000-0005-0000-0000-000051190000}"/>
    <cellStyle name="Calculation 4 10" xfId="6555" xr:uid="{00000000-0005-0000-0000-000052190000}"/>
    <cellStyle name="Calculation 4 11" xfId="6556" xr:uid="{00000000-0005-0000-0000-000053190000}"/>
    <cellStyle name="Calculation 4 12" xfId="6557" xr:uid="{00000000-0005-0000-0000-000054190000}"/>
    <cellStyle name="Calculation 4 13" xfId="6558" xr:uid="{00000000-0005-0000-0000-000055190000}"/>
    <cellStyle name="Calculation 4 14" xfId="6559" xr:uid="{00000000-0005-0000-0000-000056190000}"/>
    <cellStyle name="Calculation 4 15" xfId="6560" xr:uid="{00000000-0005-0000-0000-000057190000}"/>
    <cellStyle name="Calculation 4 16" xfId="6561" xr:uid="{00000000-0005-0000-0000-000058190000}"/>
    <cellStyle name="Calculation 4 17" xfId="6562" xr:uid="{00000000-0005-0000-0000-000059190000}"/>
    <cellStyle name="Calculation 4 2" xfId="6563" xr:uid="{00000000-0005-0000-0000-00005A190000}"/>
    <cellStyle name="Calculation 4 2 2" xfId="6564" xr:uid="{00000000-0005-0000-0000-00005B190000}"/>
    <cellStyle name="Calculation 4 2 3" xfId="6565" xr:uid="{00000000-0005-0000-0000-00005C190000}"/>
    <cellStyle name="Calculation 4 3" xfId="6566" xr:uid="{00000000-0005-0000-0000-00005D190000}"/>
    <cellStyle name="Calculation 4 3 2" xfId="6567" xr:uid="{00000000-0005-0000-0000-00005E190000}"/>
    <cellStyle name="Calculation 4 3 3" xfId="6568" xr:uid="{00000000-0005-0000-0000-00005F190000}"/>
    <cellStyle name="Calculation 4 4" xfId="6569" xr:uid="{00000000-0005-0000-0000-000060190000}"/>
    <cellStyle name="Calculation 4 4 2" xfId="6570" xr:uid="{00000000-0005-0000-0000-000061190000}"/>
    <cellStyle name="Calculation 4 4 3" xfId="6571" xr:uid="{00000000-0005-0000-0000-000062190000}"/>
    <cellStyle name="Calculation 4 5" xfId="6572" xr:uid="{00000000-0005-0000-0000-000063190000}"/>
    <cellStyle name="Calculation 4 6" xfId="6573" xr:uid="{00000000-0005-0000-0000-000064190000}"/>
    <cellStyle name="Calculation 4 7" xfId="6574" xr:uid="{00000000-0005-0000-0000-000065190000}"/>
    <cellStyle name="Calculation 4 8" xfId="6575" xr:uid="{00000000-0005-0000-0000-000066190000}"/>
    <cellStyle name="Calculation 4 9" xfId="6576" xr:uid="{00000000-0005-0000-0000-000067190000}"/>
    <cellStyle name="Calculation 4_Sheet2" xfId="6577" xr:uid="{00000000-0005-0000-0000-000068190000}"/>
    <cellStyle name="Calculation 5" xfId="6578" xr:uid="{00000000-0005-0000-0000-000069190000}"/>
    <cellStyle name="Calculation 5 10" xfId="6579" xr:uid="{00000000-0005-0000-0000-00006A190000}"/>
    <cellStyle name="Calculation 5 11" xfId="6580" xr:uid="{00000000-0005-0000-0000-00006B190000}"/>
    <cellStyle name="Calculation 5 12" xfId="6581" xr:uid="{00000000-0005-0000-0000-00006C190000}"/>
    <cellStyle name="Calculation 5 13" xfId="6582" xr:uid="{00000000-0005-0000-0000-00006D190000}"/>
    <cellStyle name="Calculation 5 14" xfId="6583" xr:uid="{00000000-0005-0000-0000-00006E190000}"/>
    <cellStyle name="Calculation 5 15" xfId="6584" xr:uid="{00000000-0005-0000-0000-00006F190000}"/>
    <cellStyle name="Calculation 5 16" xfId="6585" xr:uid="{00000000-0005-0000-0000-000070190000}"/>
    <cellStyle name="Calculation 5 17" xfId="6586" xr:uid="{00000000-0005-0000-0000-000071190000}"/>
    <cellStyle name="Calculation 5 2" xfId="6587" xr:uid="{00000000-0005-0000-0000-000072190000}"/>
    <cellStyle name="Calculation 5 2 2" xfId="6588" xr:uid="{00000000-0005-0000-0000-000073190000}"/>
    <cellStyle name="Calculation 5 2 3" xfId="6589" xr:uid="{00000000-0005-0000-0000-000074190000}"/>
    <cellStyle name="Calculation 5 3" xfId="6590" xr:uid="{00000000-0005-0000-0000-000075190000}"/>
    <cellStyle name="Calculation 5 3 2" xfId="6591" xr:uid="{00000000-0005-0000-0000-000076190000}"/>
    <cellStyle name="Calculation 5 3 3" xfId="6592" xr:uid="{00000000-0005-0000-0000-000077190000}"/>
    <cellStyle name="Calculation 5 4" xfId="6593" xr:uid="{00000000-0005-0000-0000-000078190000}"/>
    <cellStyle name="Calculation 5 4 2" xfId="6594" xr:uid="{00000000-0005-0000-0000-000079190000}"/>
    <cellStyle name="Calculation 5 4 3" xfId="6595" xr:uid="{00000000-0005-0000-0000-00007A190000}"/>
    <cellStyle name="Calculation 5 5" xfId="6596" xr:uid="{00000000-0005-0000-0000-00007B190000}"/>
    <cellStyle name="Calculation 5 6" xfId="6597" xr:uid="{00000000-0005-0000-0000-00007C190000}"/>
    <cellStyle name="Calculation 5 7" xfId="6598" xr:uid="{00000000-0005-0000-0000-00007D190000}"/>
    <cellStyle name="Calculation 5 8" xfId="6599" xr:uid="{00000000-0005-0000-0000-00007E190000}"/>
    <cellStyle name="Calculation 5 9" xfId="6600" xr:uid="{00000000-0005-0000-0000-00007F190000}"/>
    <cellStyle name="Calculation 5_Sheet2" xfId="6601" xr:uid="{00000000-0005-0000-0000-000080190000}"/>
    <cellStyle name="Calculation 6" xfId="6602" xr:uid="{00000000-0005-0000-0000-000081190000}"/>
    <cellStyle name="Calculation 6 10" xfId="6603" xr:uid="{00000000-0005-0000-0000-000082190000}"/>
    <cellStyle name="Calculation 6 11" xfId="6604" xr:uid="{00000000-0005-0000-0000-000083190000}"/>
    <cellStyle name="Calculation 6 12" xfId="6605" xr:uid="{00000000-0005-0000-0000-000084190000}"/>
    <cellStyle name="Calculation 6 13" xfId="6606" xr:uid="{00000000-0005-0000-0000-000085190000}"/>
    <cellStyle name="Calculation 6 14" xfId="6607" xr:uid="{00000000-0005-0000-0000-000086190000}"/>
    <cellStyle name="Calculation 6 15" xfId="6608" xr:uid="{00000000-0005-0000-0000-000087190000}"/>
    <cellStyle name="Calculation 6 16" xfId="6609" xr:uid="{00000000-0005-0000-0000-000088190000}"/>
    <cellStyle name="Calculation 6 17" xfId="6610" xr:uid="{00000000-0005-0000-0000-000089190000}"/>
    <cellStyle name="Calculation 6 2" xfId="6611" xr:uid="{00000000-0005-0000-0000-00008A190000}"/>
    <cellStyle name="Calculation 6 2 2" xfId="6612" xr:uid="{00000000-0005-0000-0000-00008B190000}"/>
    <cellStyle name="Calculation 6 2 3" xfId="6613" xr:uid="{00000000-0005-0000-0000-00008C190000}"/>
    <cellStyle name="Calculation 6 3" xfId="6614" xr:uid="{00000000-0005-0000-0000-00008D190000}"/>
    <cellStyle name="Calculation 6 3 2" xfId="6615" xr:uid="{00000000-0005-0000-0000-00008E190000}"/>
    <cellStyle name="Calculation 6 3 3" xfId="6616" xr:uid="{00000000-0005-0000-0000-00008F190000}"/>
    <cellStyle name="Calculation 6 4" xfId="6617" xr:uid="{00000000-0005-0000-0000-000090190000}"/>
    <cellStyle name="Calculation 6 4 2" xfId="6618" xr:uid="{00000000-0005-0000-0000-000091190000}"/>
    <cellStyle name="Calculation 6 4 3" xfId="6619" xr:uid="{00000000-0005-0000-0000-000092190000}"/>
    <cellStyle name="Calculation 6 5" xfId="6620" xr:uid="{00000000-0005-0000-0000-000093190000}"/>
    <cellStyle name="Calculation 6 6" xfId="6621" xr:uid="{00000000-0005-0000-0000-000094190000}"/>
    <cellStyle name="Calculation 6 7" xfId="6622" xr:uid="{00000000-0005-0000-0000-000095190000}"/>
    <cellStyle name="Calculation 6 8" xfId="6623" xr:uid="{00000000-0005-0000-0000-000096190000}"/>
    <cellStyle name="Calculation 6 9" xfId="6624" xr:uid="{00000000-0005-0000-0000-000097190000}"/>
    <cellStyle name="Calculation 6_Sheet2" xfId="6625" xr:uid="{00000000-0005-0000-0000-000098190000}"/>
    <cellStyle name="Calculation 7" xfId="6626" xr:uid="{00000000-0005-0000-0000-000099190000}"/>
    <cellStyle name="Calculation 7 10" xfId="6627" xr:uid="{00000000-0005-0000-0000-00009A190000}"/>
    <cellStyle name="Calculation 7 11" xfId="6628" xr:uid="{00000000-0005-0000-0000-00009B190000}"/>
    <cellStyle name="Calculation 7 12" xfId="6629" xr:uid="{00000000-0005-0000-0000-00009C190000}"/>
    <cellStyle name="Calculation 7 13" xfId="6630" xr:uid="{00000000-0005-0000-0000-00009D190000}"/>
    <cellStyle name="Calculation 7 14" xfId="6631" xr:uid="{00000000-0005-0000-0000-00009E190000}"/>
    <cellStyle name="Calculation 7 15" xfId="6632" xr:uid="{00000000-0005-0000-0000-00009F190000}"/>
    <cellStyle name="Calculation 7 16" xfId="6633" xr:uid="{00000000-0005-0000-0000-0000A0190000}"/>
    <cellStyle name="Calculation 7 2" xfId="6634" xr:uid="{00000000-0005-0000-0000-0000A1190000}"/>
    <cellStyle name="Calculation 7 2 2" xfId="6635" xr:uid="{00000000-0005-0000-0000-0000A2190000}"/>
    <cellStyle name="Calculation 7 2 3" xfId="6636" xr:uid="{00000000-0005-0000-0000-0000A3190000}"/>
    <cellStyle name="Calculation 7 3" xfId="6637" xr:uid="{00000000-0005-0000-0000-0000A4190000}"/>
    <cellStyle name="Calculation 7 3 2" xfId="6638" xr:uid="{00000000-0005-0000-0000-0000A5190000}"/>
    <cellStyle name="Calculation 7 3 3" xfId="6639" xr:uid="{00000000-0005-0000-0000-0000A6190000}"/>
    <cellStyle name="Calculation 7 4" xfId="6640" xr:uid="{00000000-0005-0000-0000-0000A7190000}"/>
    <cellStyle name="Calculation 7 4 2" xfId="6641" xr:uid="{00000000-0005-0000-0000-0000A8190000}"/>
    <cellStyle name="Calculation 7 4 3" xfId="6642" xr:uid="{00000000-0005-0000-0000-0000A9190000}"/>
    <cellStyle name="Calculation 7 5" xfId="6643" xr:uid="{00000000-0005-0000-0000-0000AA190000}"/>
    <cellStyle name="Calculation 7 6" xfId="6644" xr:uid="{00000000-0005-0000-0000-0000AB190000}"/>
    <cellStyle name="Calculation 7 7" xfId="6645" xr:uid="{00000000-0005-0000-0000-0000AC190000}"/>
    <cellStyle name="Calculation 7 8" xfId="6646" xr:uid="{00000000-0005-0000-0000-0000AD190000}"/>
    <cellStyle name="Calculation 7 9" xfId="6647" xr:uid="{00000000-0005-0000-0000-0000AE190000}"/>
    <cellStyle name="Calculation 7_Sheet2" xfId="6648" xr:uid="{00000000-0005-0000-0000-0000AF190000}"/>
    <cellStyle name="Calculation 8" xfId="6649" xr:uid="{00000000-0005-0000-0000-0000B0190000}"/>
    <cellStyle name="Calculation 8 10" xfId="6650" xr:uid="{00000000-0005-0000-0000-0000B1190000}"/>
    <cellStyle name="Calculation 8 11" xfId="6651" xr:uid="{00000000-0005-0000-0000-0000B2190000}"/>
    <cellStyle name="Calculation 8 12" xfId="6652" xr:uid="{00000000-0005-0000-0000-0000B3190000}"/>
    <cellStyle name="Calculation 8 13" xfId="6653" xr:uid="{00000000-0005-0000-0000-0000B4190000}"/>
    <cellStyle name="Calculation 8 14" xfId="6654" xr:uid="{00000000-0005-0000-0000-0000B5190000}"/>
    <cellStyle name="Calculation 8 15" xfId="6655" xr:uid="{00000000-0005-0000-0000-0000B6190000}"/>
    <cellStyle name="Calculation 8 16" xfId="6656" xr:uid="{00000000-0005-0000-0000-0000B7190000}"/>
    <cellStyle name="Calculation 8 2" xfId="6657" xr:uid="{00000000-0005-0000-0000-0000B8190000}"/>
    <cellStyle name="Calculation 8 3" xfId="6658" xr:uid="{00000000-0005-0000-0000-0000B9190000}"/>
    <cellStyle name="Calculation 8 4" xfId="6659" xr:uid="{00000000-0005-0000-0000-0000BA190000}"/>
    <cellStyle name="Calculation 8 5" xfId="6660" xr:uid="{00000000-0005-0000-0000-0000BB190000}"/>
    <cellStyle name="Calculation 8 6" xfId="6661" xr:uid="{00000000-0005-0000-0000-0000BC190000}"/>
    <cellStyle name="Calculation 8 7" xfId="6662" xr:uid="{00000000-0005-0000-0000-0000BD190000}"/>
    <cellStyle name="Calculation 8 8" xfId="6663" xr:uid="{00000000-0005-0000-0000-0000BE190000}"/>
    <cellStyle name="Calculation 8 9" xfId="6664" xr:uid="{00000000-0005-0000-0000-0000BF190000}"/>
    <cellStyle name="Calculation 8_Sheet2" xfId="6665" xr:uid="{00000000-0005-0000-0000-0000C0190000}"/>
    <cellStyle name="Calculation 9" xfId="6666" xr:uid="{00000000-0005-0000-0000-0000C1190000}"/>
    <cellStyle name="Calculation 9 10" xfId="6667" xr:uid="{00000000-0005-0000-0000-0000C2190000}"/>
    <cellStyle name="Calculation 9 11" xfId="6668" xr:uid="{00000000-0005-0000-0000-0000C3190000}"/>
    <cellStyle name="Calculation 9 12" xfId="6669" xr:uid="{00000000-0005-0000-0000-0000C4190000}"/>
    <cellStyle name="Calculation 9 13" xfId="6670" xr:uid="{00000000-0005-0000-0000-0000C5190000}"/>
    <cellStyle name="Calculation 9 14" xfId="6671" xr:uid="{00000000-0005-0000-0000-0000C6190000}"/>
    <cellStyle name="Calculation 9 15" xfId="6672" xr:uid="{00000000-0005-0000-0000-0000C7190000}"/>
    <cellStyle name="Calculation 9 16" xfId="6673" xr:uid="{00000000-0005-0000-0000-0000C8190000}"/>
    <cellStyle name="Calculation 9 2" xfId="6674" xr:uid="{00000000-0005-0000-0000-0000C9190000}"/>
    <cellStyle name="Calculation 9 3" xfId="6675" xr:uid="{00000000-0005-0000-0000-0000CA190000}"/>
    <cellStyle name="Calculation 9 4" xfId="6676" xr:uid="{00000000-0005-0000-0000-0000CB190000}"/>
    <cellStyle name="Calculation 9 5" xfId="6677" xr:uid="{00000000-0005-0000-0000-0000CC190000}"/>
    <cellStyle name="Calculation 9 6" xfId="6678" xr:uid="{00000000-0005-0000-0000-0000CD190000}"/>
    <cellStyle name="Calculation 9 7" xfId="6679" xr:uid="{00000000-0005-0000-0000-0000CE190000}"/>
    <cellStyle name="Calculation 9 8" xfId="6680" xr:uid="{00000000-0005-0000-0000-0000CF190000}"/>
    <cellStyle name="Calculation 9 9" xfId="6681" xr:uid="{00000000-0005-0000-0000-0000D0190000}"/>
    <cellStyle name="Cálculo" xfId="6682" xr:uid="{00000000-0005-0000-0000-0000D1190000}"/>
    <cellStyle name="category" xfId="6683" xr:uid="{00000000-0005-0000-0000-0000D2190000}"/>
    <cellStyle name="ccl-tender" xfId="6684" xr:uid="{00000000-0005-0000-0000-0000D3190000}"/>
    <cellStyle name="Celda de comprobación" xfId="6685" xr:uid="{00000000-0005-0000-0000-0000D4190000}"/>
    <cellStyle name="Celda vinculada" xfId="6686" xr:uid="{00000000-0005-0000-0000-0000D5190000}"/>
    <cellStyle name="center" xfId="6687" xr:uid="{00000000-0005-0000-0000-0000D6190000}"/>
    <cellStyle name="Center - Style5" xfId="6688" xr:uid="{00000000-0005-0000-0000-0000D7190000}"/>
    <cellStyle name="Changeable" xfId="6689" xr:uid="{00000000-0005-0000-0000-0000D8190000}"/>
    <cellStyle name="changing styles" xfId="6690" xr:uid="{00000000-0005-0000-0000-0000D9190000}"/>
    <cellStyle name="changing styles 2" xfId="6691" xr:uid="{00000000-0005-0000-0000-0000DA190000}"/>
    <cellStyle name="Check Cell" xfId="28" builtinId="23" customBuiltin="1"/>
    <cellStyle name="Check Cell 1" xfId="6692" xr:uid="{00000000-0005-0000-0000-0000DC190000}"/>
    <cellStyle name="Check Cell 1 1" xfId="6693" xr:uid="{00000000-0005-0000-0000-0000DD190000}"/>
    <cellStyle name="Check Cell 10" xfId="6694" xr:uid="{00000000-0005-0000-0000-0000DE190000}"/>
    <cellStyle name="Check Cell 10 10" xfId="6695" xr:uid="{00000000-0005-0000-0000-0000DF190000}"/>
    <cellStyle name="Check Cell 10 11" xfId="6696" xr:uid="{00000000-0005-0000-0000-0000E0190000}"/>
    <cellStyle name="Check Cell 10 12" xfId="6697" xr:uid="{00000000-0005-0000-0000-0000E1190000}"/>
    <cellStyle name="Check Cell 10 13" xfId="6698" xr:uid="{00000000-0005-0000-0000-0000E2190000}"/>
    <cellStyle name="Check Cell 10 14" xfId="6699" xr:uid="{00000000-0005-0000-0000-0000E3190000}"/>
    <cellStyle name="Check Cell 10 15" xfId="6700" xr:uid="{00000000-0005-0000-0000-0000E4190000}"/>
    <cellStyle name="Check Cell 10 16" xfId="6701" xr:uid="{00000000-0005-0000-0000-0000E5190000}"/>
    <cellStyle name="Check Cell 10 2" xfId="6702" xr:uid="{00000000-0005-0000-0000-0000E6190000}"/>
    <cellStyle name="Check Cell 10 3" xfId="6703" xr:uid="{00000000-0005-0000-0000-0000E7190000}"/>
    <cellStyle name="Check Cell 10 4" xfId="6704" xr:uid="{00000000-0005-0000-0000-0000E8190000}"/>
    <cellStyle name="Check Cell 10 5" xfId="6705" xr:uid="{00000000-0005-0000-0000-0000E9190000}"/>
    <cellStyle name="Check Cell 10 6" xfId="6706" xr:uid="{00000000-0005-0000-0000-0000EA190000}"/>
    <cellStyle name="Check Cell 10 7" xfId="6707" xr:uid="{00000000-0005-0000-0000-0000EB190000}"/>
    <cellStyle name="Check Cell 10 8" xfId="6708" xr:uid="{00000000-0005-0000-0000-0000EC190000}"/>
    <cellStyle name="Check Cell 10 9" xfId="6709" xr:uid="{00000000-0005-0000-0000-0000ED190000}"/>
    <cellStyle name="Check Cell 11" xfId="6710" xr:uid="{00000000-0005-0000-0000-0000EE190000}"/>
    <cellStyle name="Check Cell 11 2" xfId="6711" xr:uid="{00000000-0005-0000-0000-0000EF190000}"/>
    <cellStyle name="Check Cell 11 3" xfId="6712" xr:uid="{00000000-0005-0000-0000-0000F0190000}"/>
    <cellStyle name="Check Cell 11 4" xfId="6713" xr:uid="{00000000-0005-0000-0000-0000F1190000}"/>
    <cellStyle name="Check Cell 11 5" xfId="6714" xr:uid="{00000000-0005-0000-0000-0000F2190000}"/>
    <cellStyle name="Check Cell 11 6" xfId="6715" xr:uid="{00000000-0005-0000-0000-0000F3190000}"/>
    <cellStyle name="Check Cell 11 7" xfId="6716" xr:uid="{00000000-0005-0000-0000-0000F4190000}"/>
    <cellStyle name="Check Cell 11 8" xfId="6717" xr:uid="{00000000-0005-0000-0000-0000F5190000}"/>
    <cellStyle name="Check Cell 11 9" xfId="6718" xr:uid="{00000000-0005-0000-0000-0000F6190000}"/>
    <cellStyle name="Check Cell 12" xfId="6719" xr:uid="{00000000-0005-0000-0000-0000F7190000}"/>
    <cellStyle name="Check Cell 12 2" xfId="6720" xr:uid="{00000000-0005-0000-0000-0000F8190000}"/>
    <cellStyle name="Check Cell 12 3" xfId="6721" xr:uid="{00000000-0005-0000-0000-0000F9190000}"/>
    <cellStyle name="Check Cell 12 4" xfId="6722" xr:uid="{00000000-0005-0000-0000-0000FA190000}"/>
    <cellStyle name="Check Cell 12 5" xfId="6723" xr:uid="{00000000-0005-0000-0000-0000FB190000}"/>
    <cellStyle name="Check Cell 12 6" xfId="6724" xr:uid="{00000000-0005-0000-0000-0000FC190000}"/>
    <cellStyle name="Check Cell 12 7" xfId="6725" xr:uid="{00000000-0005-0000-0000-0000FD190000}"/>
    <cellStyle name="Check Cell 12 8" xfId="6726" xr:uid="{00000000-0005-0000-0000-0000FE190000}"/>
    <cellStyle name="Check Cell 12 9" xfId="6727" xr:uid="{00000000-0005-0000-0000-0000FF190000}"/>
    <cellStyle name="Check Cell 13" xfId="6728" xr:uid="{00000000-0005-0000-0000-0000001A0000}"/>
    <cellStyle name="Check Cell 13 2" xfId="6729" xr:uid="{00000000-0005-0000-0000-0000011A0000}"/>
    <cellStyle name="Check Cell 13 3" xfId="6730" xr:uid="{00000000-0005-0000-0000-0000021A0000}"/>
    <cellStyle name="Check Cell 13 4" xfId="6731" xr:uid="{00000000-0005-0000-0000-0000031A0000}"/>
    <cellStyle name="Check Cell 13 5" xfId="6732" xr:uid="{00000000-0005-0000-0000-0000041A0000}"/>
    <cellStyle name="Check Cell 13 6" xfId="6733" xr:uid="{00000000-0005-0000-0000-0000051A0000}"/>
    <cellStyle name="Check Cell 13 7" xfId="6734" xr:uid="{00000000-0005-0000-0000-0000061A0000}"/>
    <cellStyle name="Check Cell 13 8" xfId="6735" xr:uid="{00000000-0005-0000-0000-0000071A0000}"/>
    <cellStyle name="Check Cell 13 9" xfId="6736" xr:uid="{00000000-0005-0000-0000-0000081A0000}"/>
    <cellStyle name="Check Cell 14" xfId="6737" xr:uid="{00000000-0005-0000-0000-0000091A0000}"/>
    <cellStyle name="Check Cell 14 2" xfId="6738" xr:uid="{00000000-0005-0000-0000-00000A1A0000}"/>
    <cellStyle name="Check Cell 14 3" xfId="6739" xr:uid="{00000000-0005-0000-0000-00000B1A0000}"/>
    <cellStyle name="Check Cell 14 4" xfId="6740" xr:uid="{00000000-0005-0000-0000-00000C1A0000}"/>
    <cellStyle name="Check Cell 14 5" xfId="6741" xr:uid="{00000000-0005-0000-0000-00000D1A0000}"/>
    <cellStyle name="Check Cell 14 6" xfId="6742" xr:uid="{00000000-0005-0000-0000-00000E1A0000}"/>
    <cellStyle name="Check Cell 14 7" xfId="6743" xr:uid="{00000000-0005-0000-0000-00000F1A0000}"/>
    <cellStyle name="Check Cell 14 8" xfId="6744" xr:uid="{00000000-0005-0000-0000-0000101A0000}"/>
    <cellStyle name="Check Cell 14 9" xfId="6745" xr:uid="{00000000-0005-0000-0000-0000111A0000}"/>
    <cellStyle name="Check Cell 15" xfId="6746" xr:uid="{00000000-0005-0000-0000-0000121A0000}"/>
    <cellStyle name="Check Cell 15 2" xfId="6747" xr:uid="{00000000-0005-0000-0000-0000131A0000}"/>
    <cellStyle name="Check Cell 15 3" xfId="6748" xr:uid="{00000000-0005-0000-0000-0000141A0000}"/>
    <cellStyle name="Check Cell 15 4" xfId="6749" xr:uid="{00000000-0005-0000-0000-0000151A0000}"/>
    <cellStyle name="Check Cell 15 5" xfId="6750" xr:uid="{00000000-0005-0000-0000-0000161A0000}"/>
    <cellStyle name="Check Cell 15 6" xfId="6751" xr:uid="{00000000-0005-0000-0000-0000171A0000}"/>
    <cellStyle name="Check Cell 15 7" xfId="6752" xr:uid="{00000000-0005-0000-0000-0000181A0000}"/>
    <cellStyle name="Check Cell 15 8" xfId="6753" xr:uid="{00000000-0005-0000-0000-0000191A0000}"/>
    <cellStyle name="Check Cell 15 9" xfId="6754" xr:uid="{00000000-0005-0000-0000-00001A1A0000}"/>
    <cellStyle name="Check Cell 16" xfId="6755" xr:uid="{00000000-0005-0000-0000-00001B1A0000}"/>
    <cellStyle name="Check Cell 16 2" xfId="6756" xr:uid="{00000000-0005-0000-0000-00001C1A0000}"/>
    <cellStyle name="Check Cell 16 3" xfId="6757" xr:uid="{00000000-0005-0000-0000-00001D1A0000}"/>
    <cellStyle name="Check Cell 16 4" xfId="6758" xr:uid="{00000000-0005-0000-0000-00001E1A0000}"/>
    <cellStyle name="Check Cell 16 5" xfId="6759" xr:uid="{00000000-0005-0000-0000-00001F1A0000}"/>
    <cellStyle name="Check Cell 16 6" xfId="6760" xr:uid="{00000000-0005-0000-0000-0000201A0000}"/>
    <cellStyle name="Check Cell 16 7" xfId="6761" xr:uid="{00000000-0005-0000-0000-0000211A0000}"/>
    <cellStyle name="Check Cell 16 8" xfId="6762" xr:uid="{00000000-0005-0000-0000-0000221A0000}"/>
    <cellStyle name="Check Cell 16 9" xfId="6763" xr:uid="{00000000-0005-0000-0000-0000231A0000}"/>
    <cellStyle name="Check Cell 17" xfId="6764" xr:uid="{00000000-0005-0000-0000-0000241A0000}"/>
    <cellStyle name="Check Cell 17 2" xfId="6765" xr:uid="{00000000-0005-0000-0000-0000251A0000}"/>
    <cellStyle name="Check Cell 18" xfId="6766" xr:uid="{00000000-0005-0000-0000-0000261A0000}"/>
    <cellStyle name="Check Cell 18 2" xfId="6767" xr:uid="{00000000-0005-0000-0000-0000271A0000}"/>
    <cellStyle name="Check Cell 19" xfId="6768" xr:uid="{00000000-0005-0000-0000-0000281A0000}"/>
    <cellStyle name="Check Cell 19 2" xfId="6769" xr:uid="{00000000-0005-0000-0000-0000291A0000}"/>
    <cellStyle name="Check Cell 2" xfId="6770" xr:uid="{00000000-0005-0000-0000-00002A1A0000}"/>
    <cellStyle name="Check Cell 2 10" xfId="6771" xr:uid="{00000000-0005-0000-0000-00002B1A0000}"/>
    <cellStyle name="Check Cell 2 10 2" xfId="6772" xr:uid="{00000000-0005-0000-0000-00002C1A0000}"/>
    <cellStyle name="Check Cell 2 11" xfId="6773" xr:uid="{00000000-0005-0000-0000-00002D1A0000}"/>
    <cellStyle name="Check Cell 2 12" xfId="6774" xr:uid="{00000000-0005-0000-0000-00002E1A0000}"/>
    <cellStyle name="Check Cell 2 13" xfId="6775" xr:uid="{00000000-0005-0000-0000-00002F1A0000}"/>
    <cellStyle name="Check Cell 2 2" xfId="6776" xr:uid="{00000000-0005-0000-0000-0000301A0000}"/>
    <cellStyle name="Check Cell 2 2 2" xfId="6777" xr:uid="{00000000-0005-0000-0000-0000311A0000}"/>
    <cellStyle name="Check Cell 2 2 3" xfId="6778" xr:uid="{00000000-0005-0000-0000-0000321A0000}"/>
    <cellStyle name="Check Cell 2 2 4" xfId="6779" xr:uid="{00000000-0005-0000-0000-0000331A0000}"/>
    <cellStyle name="Check Cell 2 2 5" xfId="6780" xr:uid="{00000000-0005-0000-0000-0000341A0000}"/>
    <cellStyle name="Check Cell 2 2 6" xfId="6781" xr:uid="{00000000-0005-0000-0000-0000351A0000}"/>
    <cellStyle name="Check Cell 2 2 7" xfId="6782" xr:uid="{00000000-0005-0000-0000-0000361A0000}"/>
    <cellStyle name="Check Cell 2 2 8" xfId="6783" xr:uid="{00000000-0005-0000-0000-0000371A0000}"/>
    <cellStyle name="Check Cell 2 2 9" xfId="6784" xr:uid="{00000000-0005-0000-0000-0000381A0000}"/>
    <cellStyle name="Check Cell 2 3" xfId="6785" xr:uid="{00000000-0005-0000-0000-0000391A0000}"/>
    <cellStyle name="Check Cell 2 3 2" xfId="6786" xr:uid="{00000000-0005-0000-0000-00003A1A0000}"/>
    <cellStyle name="Check Cell 2 4" xfId="6787" xr:uid="{00000000-0005-0000-0000-00003B1A0000}"/>
    <cellStyle name="Check Cell 2 4 2" xfId="6788" xr:uid="{00000000-0005-0000-0000-00003C1A0000}"/>
    <cellStyle name="Check Cell 2 5" xfId="6789" xr:uid="{00000000-0005-0000-0000-00003D1A0000}"/>
    <cellStyle name="Check Cell 2 5 2" xfId="6790" xr:uid="{00000000-0005-0000-0000-00003E1A0000}"/>
    <cellStyle name="Check Cell 2 6" xfId="6791" xr:uid="{00000000-0005-0000-0000-00003F1A0000}"/>
    <cellStyle name="Check Cell 2 6 2" xfId="6792" xr:uid="{00000000-0005-0000-0000-0000401A0000}"/>
    <cellStyle name="Check Cell 2 7" xfId="6793" xr:uid="{00000000-0005-0000-0000-0000411A0000}"/>
    <cellStyle name="Check Cell 2 7 2" xfId="6794" xr:uid="{00000000-0005-0000-0000-0000421A0000}"/>
    <cellStyle name="Check Cell 2 8" xfId="6795" xr:uid="{00000000-0005-0000-0000-0000431A0000}"/>
    <cellStyle name="Check Cell 2 8 2" xfId="6796" xr:uid="{00000000-0005-0000-0000-0000441A0000}"/>
    <cellStyle name="Check Cell 2 9" xfId="6797" xr:uid="{00000000-0005-0000-0000-0000451A0000}"/>
    <cellStyle name="Check Cell 2 9 2" xfId="6798" xr:uid="{00000000-0005-0000-0000-0000461A0000}"/>
    <cellStyle name="Check Cell 2_2012-13 data" xfId="6799" xr:uid="{00000000-0005-0000-0000-0000471A0000}"/>
    <cellStyle name="Check Cell 20" xfId="6800" xr:uid="{00000000-0005-0000-0000-0000481A0000}"/>
    <cellStyle name="Check Cell 20 2" xfId="6801" xr:uid="{00000000-0005-0000-0000-0000491A0000}"/>
    <cellStyle name="Check Cell 21" xfId="6802" xr:uid="{00000000-0005-0000-0000-00004A1A0000}"/>
    <cellStyle name="Check Cell 21 2" xfId="6803" xr:uid="{00000000-0005-0000-0000-00004B1A0000}"/>
    <cellStyle name="Check Cell 22" xfId="6804" xr:uid="{00000000-0005-0000-0000-00004C1A0000}"/>
    <cellStyle name="Check Cell 23" xfId="6805" xr:uid="{00000000-0005-0000-0000-00004D1A0000}"/>
    <cellStyle name="Check Cell 24" xfId="6806" xr:uid="{00000000-0005-0000-0000-00004E1A0000}"/>
    <cellStyle name="Check Cell 25" xfId="6807" xr:uid="{00000000-0005-0000-0000-00004F1A0000}"/>
    <cellStyle name="Check Cell 26" xfId="6808" xr:uid="{00000000-0005-0000-0000-0000501A0000}"/>
    <cellStyle name="Check Cell 27" xfId="6809" xr:uid="{00000000-0005-0000-0000-0000511A0000}"/>
    <cellStyle name="Check Cell 28" xfId="6810" xr:uid="{00000000-0005-0000-0000-0000521A0000}"/>
    <cellStyle name="Check Cell 29" xfId="6811" xr:uid="{00000000-0005-0000-0000-0000531A0000}"/>
    <cellStyle name="Check Cell 3" xfId="6812" xr:uid="{00000000-0005-0000-0000-0000541A0000}"/>
    <cellStyle name="Check Cell 3 2" xfId="6813" xr:uid="{00000000-0005-0000-0000-0000551A0000}"/>
    <cellStyle name="Check Cell 3 2 2" xfId="6814" xr:uid="{00000000-0005-0000-0000-0000561A0000}"/>
    <cellStyle name="Check Cell 3 2 3" xfId="6815" xr:uid="{00000000-0005-0000-0000-0000571A0000}"/>
    <cellStyle name="Check Cell 3 2 4" xfId="6816" xr:uid="{00000000-0005-0000-0000-0000581A0000}"/>
    <cellStyle name="Check Cell 3 2 5" xfId="6817" xr:uid="{00000000-0005-0000-0000-0000591A0000}"/>
    <cellStyle name="Check Cell 3 2 6" xfId="6818" xr:uid="{00000000-0005-0000-0000-00005A1A0000}"/>
    <cellStyle name="Check Cell 3 2 7" xfId="6819" xr:uid="{00000000-0005-0000-0000-00005B1A0000}"/>
    <cellStyle name="Check Cell 3 2 8" xfId="6820" xr:uid="{00000000-0005-0000-0000-00005C1A0000}"/>
    <cellStyle name="Check Cell 3 2 9" xfId="6821" xr:uid="{00000000-0005-0000-0000-00005D1A0000}"/>
    <cellStyle name="Check Cell 3 3" xfId="6822" xr:uid="{00000000-0005-0000-0000-00005E1A0000}"/>
    <cellStyle name="Check Cell 3 3 2" xfId="6823" xr:uid="{00000000-0005-0000-0000-00005F1A0000}"/>
    <cellStyle name="Check Cell 3 3 3" xfId="6824" xr:uid="{00000000-0005-0000-0000-0000601A0000}"/>
    <cellStyle name="Check Cell 3 4" xfId="6825" xr:uid="{00000000-0005-0000-0000-0000611A0000}"/>
    <cellStyle name="Check Cell 3 4 2" xfId="6826" xr:uid="{00000000-0005-0000-0000-0000621A0000}"/>
    <cellStyle name="Check Cell 3 5" xfId="6827" xr:uid="{00000000-0005-0000-0000-0000631A0000}"/>
    <cellStyle name="Check Cell 3 6" xfId="6828" xr:uid="{00000000-0005-0000-0000-0000641A0000}"/>
    <cellStyle name="Check Cell 3 7" xfId="6829" xr:uid="{00000000-0005-0000-0000-0000651A0000}"/>
    <cellStyle name="Check Cell 3 8" xfId="6830" xr:uid="{00000000-0005-0000-0000-0000661A0000}"/>
    <cellStyle name="Check Cell 3_Ramadugu_ SWGH" xfId="6831" xr:uid="{00000000-0005-0000-0000-0000671A0000}"/>
    <cellStyle name="Check Cell 30" xfId="6832" xr:uid="{00000000-0005-0000-0000-0000681A0000}"/>
    <cellStyle name="Check Cell 31" xfId="6833" xr:uid="{00000000-0005-0000-0000-0000691A0000}"/>
    <cellStyle name="Check Cell 32" xfId="6834" xr:uid="{00000000-0005-0000-0000-00006A1A0000}"/>
    <cellStyle name="Check Cell 33" xfId="6835" xr:uid="{00000000-0005-0000-0000-00006B1A0000}"/>
    <cellStyle name="Check Cell 34" xfId="6836" xr:uid="{00000000-0005-0000-0000-00006C1A0000}"/>
    <cellStyle name="Check Cell 35" xfId="6837" xr:uid="{00000000-0005-0000-0000-00006D1A0000}"/>
    <cellStyle name="Check Cell 36" xfId="6838" xr:uid="{00000000-0005-0000-0000-00006E1A0000}"/>
    <cellStyle name="Check Cell 37" xfId="6839" xr:uid="{00000000-0005-0000-0000-00006F1A0000}"/>
    <cellStyle name="Check Cell 38" xfId="6840" xr:uid="{00000000-0005-0000-0000-0000701A0000}"/>
    <cellStyle name="Check Cell 39" xfId="6841" xr:uid="{00000000-0005-0000-0000-0000711A0000}"/>
    <cellStyle name="Check Cell 4" xfId="6842" xr:uid="{00000000-0005-0000-0000-0000721A0000}"/>
    <cellStyle name="Check Cell 4 10" xfId="6843" xr:uid="{00000000-0005-0000-0000-0000731A0000}"/>
    <cellStyle name="Check Cell 4 11" xfId="6844" xr:uid="{00000000-0005-0000-0000-0000741A0000}"/>
    <cellStyle name="Check Cell 4 12" xfId="6845" xr:uid="{00000000-0005-0000-0000-0000751A0000}"/>
    <cellStyle name="Check Cell 4 13" xfId="6846" xr:uid="{00000000-0005-0000-0000-0000761A0000}"/>
    <cellStyle name="Check Cell 4 14" xfId="6847" xr:uid="{00000000-0005-0000-0000-0000771A0000}"/>
    <cellStyle name="Check Cell 4 15" xfId="6848" xr:uid="{00000000-0005-0000-0000-0000781A0000}"/>
    <cellStyle name="Check Cell 4 16" xfId="6849" xr:uid="{00000000-0005-0000-0000-0000791A0000}"/>
    <cellStyle name="Check Cell 4 2" xfId="6850" xr:uid="{00000000-0005-0000-0000-00007A1A0000}"/>
    <cellStyle name="Check Cell 4 3" xfId="6851" xr:uid="{00000000-0005-0000-0000-00007B1A0000}"/>
    <cellStyle name="Check Cell 4 3 2" xfId="6852" xr:uid="{00000000-0005-0000-0000-00007C1A0000}"/>
    <cellStyle name="Check Cell 4 4" xfId="6853" xr:uid="{00000000-0005-0000-0000-00007D1A0000}"/>
    <cellStyle name="Check Cell 4 4 2" xfId="6854" xr:uid="{00000000-0005-0000-0000-00007E1A0000}"/>
    <cellStyle name="Check Cell 4 5" xfId="6855" xr:uid="{00000000-0005-0000-0000-00007F1A0000}"/>
    <cellStyle name="Check Cell 4 6" xfId="6856" xr:uid="{00000000-0005-0000-0000-0000801A0000}"/>
    <cellStyle name="Check Cell 4 7" xfId="6857" xr:uid="{00000000-0005-0000-0000-0000811A0000}"/>
    <cellStyle name="Check Cell 4 8" xfId="6858" xr:uid="{00000000-0005-0000-0000-0000821A0000}"/>
    <cellStyle name="Check Cell 4 9" xfId="6859" xr:uid="{00000000-0005-0000-0000-0000831A0000}"/>
    <cellStyle name="Check Cell 4_Sheet2" xfId="6860" xr:uid="{00000000-0005-0000-0000-0000841A0000}"/>
    <cellStyle name="Check Cell 5" xfId="6861" xr:uid="{00000000-0005-0000-0000-0000851A0000}"/>
    <cellStyle name="Check Cell 5 10" xfId="6862" xr:uid="{00000000-0005-0000-0000-0000861A0000}"/>
    <cellStyle name="Check Cell 5 11" xfId="6863" xr:uid="{00000000-0005-0000-0000-0000871A0000}"/>
    <cellStyle name="Check Cell 5 12" xfId="6864" xr:uid="{00000000-0005-0000-0000-0000881A0000}"/>
    <cellStyle name="Check Cell 5 13" xfId="6865" xr:uid="{00000000-0005-0000-0000-0000891A0000}"/>
    <cellStyle name="Check Cell 5 14" xfId="6866" xr:uid="{00000000-0005-0000-0000-00008A1A0000}"/>
    <cellStyle name="Check Cell 5 15" xfId="6867" xr:uid="{00000000-0005-0000-0000-00008B1A0000}"/>
    <cellStyle name="Check Cell 5 16" xfId="6868" xr:uid="{00000000-0005-0000-0000-00008C1A0000}"/>
    <cellStyle name="Check Cell 5 2" xfId="6869" xr:uid="{00000000-0005-0000-0000-00008D1A0000}"/>
    <cellStyle name="Check Cell 5 2 2" xfId="6870" xr:uid="{00000000-0005-0000-0000-00008E1A0000}"/>
    <cellStyle name="Check Cell 5 3" xfId="6871" xr:uid="{00000000-0005-0000-0000-00008F1A0000}"/>
    <cellStyle name="Check Cell 5 3 2" xfId="6872" xr:uid="{00000000-0005-0000-0000-0000901A0000}"/>
    <cellStyle name="Check Cell 5 4" xfId="6873" xr:uid="{00000000-0005-0000-0000-0000911A0000}"/>
    <cellStyle name="Check Cell 5 4 2" xfId="6874" xr:uid="{00000000-0005-0000-0000-0000921A0000}"/>
    <cellStyle name="Check Cell 5 5" xfId="6875" xr:uid="{00000000-0005-0000-0000-0000931A0000}"/>
    <cellStyle name="Check Cell 5 6" xfId="6876" xr:uid="{00000000-0005-0000-0000-0000941A0000}"/>
    <cellStyle name="Check Cell 5 7" xfId="6877" xr:uid="{00000000-0005-0000-0000-0000951A0000}"/>
    <cellStyle name="Check Cell 5 8" xfId="6878" xr:uid="{00000000-0005-0000-0000-0000961A0000}"/>
    <cellStyle name="Check Cell 5 9" xfId="6879" xr:uid="{00000000-0005-0000-0000-0000971A0000}"/>
    <cellStyle name="Check Cell 5_Sheet2" xfId="6880" xr:uid="{00000000-0005-0000-0000-0000981A0000}"/>
    <cellStyle name="Check Cell 6" xfId="6881" xr:uid="{00000000-0005-0000-0000-0000991A0000}"/>
    <cellStyle name="Check Cell 6 10" xfId="6882" xr:uid="{00000000-0005-0000-0000-00009A1A0000}"/>
    <cellStyle name="Check Cell 6 11" xfId="6883" xr:uid="{00000000-0005-0000-0000-00009B1A0000}"/>
    <cellStyle name="Check Cell 6 12" xfId="6884" xr:uid="{00000000-0005-0000-0000-00009C1A0000}"/>
    <cellStyle name="Check Cell 6 13" xfId="6885" xr:uid="{00000000-0005-0000-0000-00009D1A0000}"/>
    <cellStyle name="Check Cell 6 14" xfId="6886" xr:uid="{00000000-0005-0000-0000-00009E1A0000}"/>
    <cellStyle name="Check Cell 6 15" xfId="6887" xr:uid="{00000000-0005-0000-0000-00009F1A0000}"/>
    <cellStyle name="Check Cell 6 16" xfId="6888" xr:uid="{00000000-0005-0000-0000-0000A01A0000}"/>
    <cellStyle name="Check Cell 6 2" xfId="6889" xr:uid="{00000000-0005-0000-0000-0000A11A0000}"/>
    <cellStyle name="Check Cell 6 2 2" xfId="6890" xr:uid="{00000000-0005-0000-0000-0000A21A0000}"/>
    <cellStyle name="Check Cell 6 3" xfId="6891" xr:uid="{00000000-0005-0000-0000-0000A31A0000}"/>
    <cellStyle name="Check Cell 6 3 2" xfId="6892" xr:uid="{00000000-0005-0000-0000-0000A41A0000}"/>
    <cellStyle name="Check Cell 6 4" xfId="6893" xr:uid="{00000000-0005-0000-0000-0000A51A0000}"/>
    <cellStyle name="Check Cell 6 4 2" xfId="6894" xr:uid="{00000000-0005-0000-0000-0000A61A0000}"/>
    <cellStyle name="Check Cell 6 5" xfId="6895" xr:uid="{00000000-0005-0000-0000-0000A71A0000}"/>
    <cellStyle name="Check Cell 6 6" xfId="6896" xr:uid="{00000000-0005-0000-0000-0000A81A0000}"/>
    <cellStyle name="Check Cell 6 7" xfId="6897" xr:uid="{00000000-0005-0000-0000-0000A91A0000}"/>
    <cellStyle name="Check Cell 6 8" xfId="6898" xr:uid="{00000000-0005-0000-0000-0000AA1A0000}"/>
    <cellStyle name="Check Cell 6 9" xfId="6899" xr:uid="{00000000-0005-0000-0000-0000AB1A0000}"/>
    <cellStyle name="Check Cell 6_Sheet2" xfId="6900" xr:uid="{00000000-0005-0000-0000-0000AC1A0000}"/>
    <cellStyle name="Check Cell 7" xfId="6901" xr:uid="{00000000-0005-0000-0000-0000AD1A0000}"/>
    <cellStyle name="Check Cell 7 10" xfId="6902" xr:uid="{00000000-0005-0000-0000-0000AE1A0000}"/>
    <cellStyle name="Check Cell 7 11" xfId="6903" xr:uid="{00000000-0005-0000-0000-0000AF1A0000}"/>
    <cellStyle name="Check Cell 7 12" xfId="6904" xr:uid="{00000000-0005-0000-0000-0000B01A0000}"/>
    <cellStyle name="Check Cell 7 13" xfId="6905" xr:uid="{00000000-0005-0000-0000-0000B11A0000}"/>
    <cellStyle name="Check Cell 7 14" xfId="6906" xr:uid="{00000000-0005-0000-0000-0000B21A0000}"/>
    <cellStyle name="Check Cell 7 15" xfId="6907" xr:uid="{00000000-0005-0000-0000-0000B31A0000}"/>
    <cellStyle name="Check Cell 7 16" xfId="6908" xr:uid="{00000000-0005-0000-0000-0000B41A0000}"/>
    <cellStyle name="Check Cell 7 2" xfId="6909" xr:uid="{00000000-0005-0000-0000-0000B51A0000}"/>
    <cellStyle name="Check Cell 7 2 2" xfId="6910" xr:uid="{00000000-0005-0000-0000-0000B61A0000}"/>
    <cellStyle name="Check Cell 7 3" xfId="6911" xr:uid="{00000000-0005-0000-0000-0000B71A0000}"/>
    <cellStyle name="Check Cell 7 3 2" xfId="6912" xr:uid="{00000000-0005-0000-0000-0000B81A0000}"/>
    <cellStyle name="Check Cell 7 4" xfId="6913" xr:uid="{00000000-0005-0000-0000-0000B91A0000}"/>
    <cellStyle name="Check Cell 7 4 2" xfId="6914" xr:uid="{00000000-0005-0000-0000-0000BA1A0000}"/>
    <cellStyle name="Check Cell 7 5" xfId="6915" xr:uid="{00000000-0005-0000-0000-0000BB1A0000}"/>
    <cellStyle name="Check Cell 7 6" xfId="6916" xr:uid="{00000000-0005-0000-0000-0000BC1A0000}"/>
    <cellStyle name="Check Cell 7 7" xfId="6917" xr:uid="{00000000-0005-0000-0000-0000BD1A0000}"/>
    <cellStyle name="Check Cell 7 8" xfId="6918" xr:uid="{00000000-0005-0000-0000-0000BE1A0000}"/>
    <cellStyle name="Check Cell 7 9" xfId="6919" xr:uid="{00000000-0005-0000-0000-0000BF1A0000}"/>
    <cellStyle name="Check Cell 7_Sheet2" xfId="6920" xr:uid="{00000000-0005-0000-0000-0000C01A0000}"/>
    <cellStyle name="Check Cell 8" xfId="6921" xr:uid="{00000000-0005-0000-0000-0000C11A0000}"/>
    <cellStyle name="Check Cell 8 10" xfId="6922" xr:uid="{00000000-0005-0000-0000-0000C21A0000}"/>
    <cellStyle name="Check Cell 8 11" xfId="6923" xr:uid="{00000000-0005-0000-0000-0000C31A0000}"/>
    <cellStyle name="Check Cell 8 12" xfId="6924" xr:uid="{00000000-0005-0000-0000-0000C41A0000}"/>
    <cellStyle name="Check Cell 8 13" xfId="6925" xr:uid="{00000000-0005-0000-0000-0000C51A0000}"/>
    <cellStyle name="Check Cell 8 14" xfId="6926" xr:uid="{00000000-0005-0000-0000-0000C61A0000}"/>
    <cellStyle name="Check Cell 8 15" xfId="6927" xr:uid="{00000000-0005-0000-0000-0000C71A0000}"/>
    <cellStyle name="Check Cell 8 16" xfId="6928" xr:uid="{00000000-0005-0000-0000-0000C81A0000}"/>
    <cellStyle name="Check Cell 8 2" xfId="6929" xr:uid="{00000000-0005-0000-0000-0000C91A0000}"/>
    <cellStyle name="Check Cell 8 3" xfId="6930" xr:uid="{00000000-0005-0000-0000-0000CA1A0000}"/>
    <cellStyle name="Check Cell 8 4" xfId="6931" xr:uid="{00000000-0005-0000-0000-0000CB1A0000}"/>
    <cellStyle name="Check Cell 8 5" xfId="6932" xr:uid="{00000000-0005-0000-0000-0000CC1A0000}"/>
    <cellStyle name="Check Cell 8 6" xfId="6933" xr:uid="{00000000-0005-0000-0000-0000CD1A0000}"/>
    <cellStyle name="Check Cell 8 7" xfId="6934" xr:uid="{00000000-0005-0000-0000-0000CE1A0000}"/>
    <cellStyle name="Check Cell 8 8" xfId="6935" xr:uid="{00000000-0005-0000-0000-0000CF1A0000}"/>
    <cellStyle name="Check Cell 8 9" xfId="6936" xr:uid="{00000000-0005-0000-0000-0000D01A0000}"/>
    <cellStyle name="Check Cell 8_Sheet2" xfId="6937" xr:uid="{00000000-0005-0000-0000-0000D11A0000}"/>
    <cellStyle name="Check Cell 9" xfId="6938" xr:uid="{00000000-0005-0000-0000-0000D21A0000}"/>
    <cellStyle name="Check Cell 9 10" xfId="6939" xr:uid="{00000000-0005-0000-0000-0000D31A0000}"/>
    <cellStyle name="Check Cell 9 11" xfId="6940" xr:uid="{00000000-0005-0000-0000-0000D41A0000}"/>
    <cellStyle name="Check Cell 9 12" xfId="6941" xr:uid="{00000000-0005-0000-0000-0000D51A0000}"/>
    <cellStyle name="Check Cell 9 13" xfId="6942" xr:uid="{00000000-0005-0000-0000-0000D61A0000}"/>
    <cellStyle name="Check Cell 9 14" xfId="6943" xr:uid="{00000000-0005-0000-0000-0000D71A0000}"/>
    <cellStyle name="Check Cell 9 15" xfId="6944" xr:uid="{00000000-0005-0000-0000-0000D81A0000}"/>
    <cellStyle name="Check Cell 9 16" xfId="6945" xr:uid="{00000000-0005-0000-0000-0000D91A0000}"/>
    <cellStyle name="Check Cell 9 2" xfId="6946" xr:uid="{00000000-0005-0000-0000-0000DA1A0000}"/>
    <cellStyle name="Check Cell 9 3" xfId="6947" xr:uid="{00000000-0005-0000-0000-0000DB1A0000}"/>
    <cellStyle name="Check Cell 9 4" xfId="6948" xr:uid="{00000000-0005-0000-0000-0000DC1A0000}"/>
    <cellStyle name="Check Cell 9 5" xfId="6949" xr:uid="{00000000-0005-0000-0000-0000DD1A0000}"/>
    <cellStyle name="Check Cell 9 6" xfId="6950" xr:uid="{00000000-0005-0000-0000-0000DE1A0000}"/>
    <cellStyle name="Check Cell 9 7" xfId="6951" xr:uid="{00000000-0005-0000-0000-0000DF1A0000}"/>
    <cellStyle name="Check Cell 9 8" xfId="6952" xr:uid="{00000000-0005-0000-0000-0000E01A0000}"/>
    <cellStyle name="Check Cell 9 9" xfId="6953" xr:uid="{00000000-0005-0000-0000-0000E11A0000}"/>
    <cellStyle name="Chiffre0" xfId="6954" xr:uid="{00000000-0005-0000-0000-0000E21A0000}"/>
    <cellStyle name="Chiffre2" xfId="6955" xr:uid="{00000000-0005-0000-0000-0000E31A0000}"/>
    <cellStyle name="Code" xfId="6956" xr:uid="{00000000-0005-0000-0000-0000E41A0000}"/>
    <cellStyle name="Code Section" xfId="6957" xr:uid="{00000000-0005-0000-0000-0000E51A0000}"/>
    <cellStyle name="COL HEADINGS" xfId="6958" xr:uid="{00000000-0005-0000-0000-0000E61A0000}"/>
    <cellStyle name="Col Heads" xfId="6959" xr:uid="{00000000-0005-0000-0000-0000E71A0000}"/>
    <cellStyle name="Column centered" xfId="6960" xr:uid="{00000000-0005-0000-0000-0000E81A0000}"/>
    <cellStyle name="Column centered 2" xfId="6961" xr:uid="{00000000-0005-0000-0000-0000E91A0000}"/>
    <cellStyle name="Column Heading" xfId="6962" xr:uid="{00000000-0005-0000-0000-0000EA1A0000}"/>
    <cellStyle name="Column Headings" xfId="6963" xr:uid="{00000000-0005-0000-0000-0000EB1A0000}"/>
    <cellStyle name="Column text left" xfId="6964" xr:uid="{00000000-0005-0000-0000-0000EC1A0000}"/>
    <cellStyle name="Column text left 2" xfId="6965" xr:uid="{00000000-0005-0000-0000-0000ED1A0000}"/>
    <cellStyle name="coma" xfId="6966" xr:uid="{00000000-0005-0000-0000-0000EE1A0000}"/>
    <cellStyle name="comm" xfId="6967" xr:uid="{00000000-0005-0000-0000-0000EF1A0000}"/>
    <cellStyle name="Comma  - Style1" xfId="29" xr:uid="{00000000-0005-0000-0000-0000F01A0000}"/>
    <cellStyle name="Comma  - Style1 2" xfId="6968" xr:uid="{00000000-0005-0000-0000-0000F11A0000}"/>
    <cellStyle name="Comma  - Style1 2 2" xfId="6969" xr:uid="{00000000-0005-0000-0000-0000F21A0000}"/>
    <cellStyle name="Comma  - Style1 2 3" xfId="6970" xr:uid="{00000000-0005-0000-0000-0000F31A0000}"/>
    <cellStyle name="Comma  - Style1 2 4" xfId="6971" xr:uid="{00000000-0005-0000-0000-0000F41A0000}"/>
    <cellStyle name="Comma  - Style1 2 5" xfId="6972" xr:uid="{00000000-0005-0000-0000-0000F51A0000}"/>
    <cellStyle name="Comma  - Style1 2 6" xfId="6973" xr:uid="{00000000-0005-0000-0000-0000F61A0000}"/>
    <cellStyle name="Comma  - Style1 2 7" xfId="6974" xr:uid="{00000000-0005-0000-0000-0000F71A0000}"/>
    <cellStyle name="Comma  - Style1 2 8" xfId="6975" xr:uid="{00000000-0005-0000-0000-0000F81A0000}"/>
    <cellStyle name="Comma  - Style1 2 9" xfId="6976" xr:uid="{00000000-0005-0000-0000-0000F91A0000}"/>
    <cellStyle name="Comma  - Style1 3" xfId="6977" xr:uid="{00000000-0005-0000-0000-0000FA1A0000}"/>
    <cellStyle name="Comma  - Style1 4" xfId="6978" xr:uid="{00000000-0005-0000-0000-0000FB1A0000}"/>
    <cellStyle name="Comma  - Style1 4 2" xfId="6979" xr:uid="{00000000-0005-0000-0000-0000FC1A0000}"/>
    <cellStyle name="Comma  - Style1 5" xfId="6980" xr:uid="{00000000-0005-0000-0000-0000FD1A0000}"/>
    <cellStyle name="Comma  - Style1 6" xfId="6981" xr:uid="{00000000-0005-0000-0000-0000FE1A0000}"/>
    <cellStyle name="Comma  - Style1 7" xfId="6982" xr:uid="{00000000-0005-0000-0000-0000FF1A0000}"/>
    <cellStyle name="Comma  - Style1 8" xfId="6983" xr:uid="{00000000-0005-0000-0000-0000001B0000}"/>
    <cellStyle name="Comma  - Style1_COMPOUND WALL TO IWHB - CHANDRAGIRI" xfId="6984" xr:uid="{00000000-0005-0000-0000-0000011B0000}"/>
    <cellStyle name="Comma  - Style2" xfId="30" xr:uid="{00000000-0005-0000-0000-0000021B0000}"/>
    <cellStyle name="Comma  - Style2 2" xfId="6985" xr:uid="{00000000-0005-0000-0000-0000031B0000}"/>
    <cellStyle name="Comma  - Style2 2 2" xfId="6986" xr:uid="{00000000-0005-0000-0000-0000041B0000}"/>
    <cellStyle name="Comma  - Style2 2 3" xfId="6987" xr:uid="{00000000-0005-0000-0000-0000051B0000}"/>
    <cellStyle name="Comma  - Style2 2 4" xfId="6988" xr:uid="{00000000-0005-0000-0000-0000061B0000}"/>
    <cellStyle name="Comma  - Style2 2 5" xfId="6989" xr:uid="{00000000-0005-0000-0000-0000071B0000}"/>
    <cellStyle name="Comma  - Style2 2 6" xfId="6990" xr:uid="{00000000-0005-0000-0000-0000081B0000}"/>
    <cellStyle name="Comma  - Style2 2 7" xfId="6991" xr:uid="{00000000-0005-0000-0000-0000091B0000}"/>
    <cellStyle name="Comma  - Style2 2 8" xfId="6992" xr:uid="{00000000-0005-0000-0000-00000A1B0000}"/>
    <cellStyle name="Comma  - Style2 2 9" xfId="6993" xr:uid="{00000000-0005-0000-0000-00000B1B0000}"/>
    <cellStyle name="Comma  - Style2 3" xfId="6994" xr:uid="{00000000-0005-0000-0000-00000C1B0000}"/>
    <cellStyle name="Comma  - Style2 4" xfId="6995" xr:uid="{00000000-0005-0000-0000-00000D1B0000}"/>
    <cellStyle name="Comma  - Style2 4 2" xfId="6996" xr:uid="{00000000-0005-0000-0000-00000E1B0000}"/>
    <cellStyle name="Comma  - Style2 5" xfId="6997" xr:uid="{00000000-0005-0000-0000-00000F1B0000}"/>
    <cellStyle name="Comma  - Style2 6" xfId="6998" xr:uid="{00000000-0005-0000-0000-0000101B0000}"/>
    <cellStyle name="Comma  - Style2 7" xfId="6999" xr:uid="{00000000-0005-0000-0000-0000111B0000}"/>
    <cellStyle name="Comma  - Style2 8" xfId="7000" xr:uid="{00000000-0005-0000-0000-0000121B0000}"/>
    <cellStyle name="Comma  - Style2_COMPOUND WALL TO IWHB - CHANDRAGIRI" xfId="7001" xr:uid="{00000000-0005-0000-0000-0000131B0000}"/>
    <cellStyle name="Comma  - Style3" xfId="31" xr:uid="{00000000-0005-0000-0000-0000141B0000}"/>
    <cellStyle name="Comma  - Style3 10" xfId="7002" xr:uid="{00000000-0005-0000-0000-0000151B0000}"/>
    <cellStyle name="Comma  - Style3 11" xfId="7003" xr:uid="{00000000-0005-0000-0000-0000161B0000}"/>
    <cellStyle name="Comma  - Style3 12" xfId="7004" xr:uid="{00000000-0005-0000-0000-0000171B0000}"/>
    <cellStyle name="Comma  - Style3 13" xfId="7005" xr:uid="{00000000-0005-0000-0000-0000181B0000}"/>
    <cellStyle name="Comma  - Style3 14" xfId="7006" xr:uid="{00000000-0005-0000-0000-0000191B0000}"/>
    <cellStyle name="Comma  - Style3 2" xfId="7007" xr:uid="{00000000-0005-0000-0000-00001A1B0000}"/>
    <cellStyle name="Comma  - Style3 2 10" xfId="7008" xr:uid="{00000000-0005-0000-0000-00001B1B0000}"/>
    <cellStyle name="Comma  - Style3 2 2" xfId="7009" xr:uid="{00000000-0005-0000-0000-00001C1B0000}"/>
    <cellStyle name="Comma  - Style3 2 3" xfId="7010" xr:uid="{00000000-0005-0000-0000-00001D1B0000}"/>
    <cellStyle name="Comma  - Style3 2 4" xfId="7011" xr:uid="{00000000-0005-0000-0000-00001E1B0000}"/>
    <cellStyle name="Comma  - Style3 2 5" xfId="7012" xr:uid="{00000000-0005-0000-0000-00001F1B0000}"/>
    <cellStyle name="Comma  - Style3 2 6" xfId="7013" xr:uid="{00000000-0005-0000-0000-0000201B0000}"/>
    <cellStyle name="Comma  - Style3 2 7" xfId="7014" xr:uid="{00000000-0005-0000-0000-0000211B0000}"/>
    <cellStyle name="Comma  - Style3 2 8" xfId="7015" xr:uid="{00000000-0005-0000-0000-0000221B0000}"/>
    <cellStyle name="Comma  - Style3 2 9" xfId="7016" xr:uid="{00000000-0005-0000-0000-0000231B0000}"/>
    <cellStyle name="Comma  - Style3 3" xfId="7017" xr:uid="{00000000-0005-0000-0000-0000241B0000}"/>
    <cellStyle name="Comma  - Style3 4" xfId="7018" xr:uid="{00000000-0005-0000-0000-0000251B0000}"/>
    <cellStyle name="Comma  - Style3 4 2" xfId="7019" xr:uid="{00000000-0005-0000-0000-0000261B0000}"/>
    <cellStyle name="Comma  - Style3 5" xfId="7020" xr:uid="{00000000-0005-0000-0000-0000271B0000}"/>
    <cellStyle name="Comma  - Style3 6" xfId="7021" xr:uid="{00000000-0005-0000-0000-0000281B0000}"/>
    <cellStyle name="Comma  - Style3 7" xfId="7022" xr:uid="{00000000-0005-0000-0000-0000291B0000}"/>
    <cellStyle name="Comma  - Style3 8" xfId="7023" xr:uid="{00000000-0005-0000-0000-00002A1B0000}"/>
    <cellStyle name="Comma  - Style3 9" xfId="7024" xr:uid="{00000000-0005-0000-0000-00002B1B0000}"/>
    <cellStyle name="Comma  - Style3_COMPOUND WALL TO IWHB - CHANDRAGIRI" xfId="7025" xr:uid="{00000000-0005-0000-0000-00002C1B0000}"/>
    <cellStyle name="Comma  - Style4" xfId="32" xr:uid="{00000000-0005-0000-0000-00002D1B0000}"/>
    <cellStyle name="Comma  - Style4 10" xfId="7026" xr:uid="{00000000-0005-0000-0000-00002E1B0000}"/>
    <cellStyle name="Comma  - Style4 11" xfId="7027" xr:uid="{00000000-0005-0000-0000-00002F1B0000}"/>
    <cellStyle name="Comma  - Style4 12" xfId="7028" xr:uid="{00000000-0005-0000-0000-0000301B0000}"/>
    <cellStyle name="Comma  - Style4 13" xfId="7029" xr:uid="{00000000-0005-0000-0000-0000311B0000}"/>
    <cellStyle name="Comma  - Style4 14" xfId="7030" xr:uid="{00000000-0005-0000-0000-0000321B0000}"/>
    <cellStyle name="Comma  - Style4 2" xfId="7031" xr:uid="{00000000-0005-0000-0000-0000331B0000}"/>
    <cellStyle name="Comma  - Style4 2 10" xfId="7032" xr:uid="{00000000-0005-0000-0000-0000341B0000}"/>
    <cellStyle name="Comma  - Style4 2 2" xfId="7033" xr:uid="{00000000-0005-0000-0000-0000351B0000}"/>
    <cellStyle name="Comma  - Style4 2 3" xfId="7034" xr:uid="{00000000-0005-0000-0000-0000361B0000}"/>
    <cellStyle name="Comma  - Style4 2 4" xfId="7035" xr:uid="{00000000-0005-0000-0000-0000371B0000}"/>
    <cellStyle name="Comma  - Style4 2 5" xfId="7036" xr:uid="{00000000-0005-0000-0000-0000381B0000}"/>
    <cellStyle name="Comma  - Style4 2 6" xfId="7037" xr:uid="{00000000-0005-0000-0000-0000391B0000}"/>
    <cellStyle name="Comma  - Style4 2 7" xfId="7038" xr:uid="{00000000-0005-0000-0000-00003A1B0000}"/>
    <cellStyle name="Comma  - Style4 2 8" xfId="7039" xr:uid="{00000000-0005-0000-0000-00003B1B0000}"/>
    <cellStyle name="Comma  - Style4 2 9" xfId="7040" xr:uid="{00000000-0005-0000-0000-00003C1B0000}"/>
    <cellStyle name="Comma  - Style4 3" xfId="7041" xr:uid="{00000000-0005-0000-0000-00003D1B0000}"/>
    <cellStyle name="Comma  - Style4 4" xfId="7042" xr:uid="{00000000-0005-0000-0000-00003E1B0000}"/>
    <cellStyle name="Comma  - Style4 4 2" xfId="7043" xr:uid="{00000000-0005-0000-0000-00003F1B0000}"/>
    <cellStyle name="Comma  - Style4 5" xfId="7044" xr:uid="{00000000-0005-0000-0000-0000401B0000}"/>
    <cellStyle name="Comma  - Style4 6" xfId="7045" xr:uid="{00000000-0005-0000-0000-0000411B0000}"/>
    <cellStyle name="Comma  - Style4 7" xfId="7046" xr:uid="{00000000-0005-0000-0000-0000421B0000}"/>
    <cellStyle name="Comma  - Style4 8" xfId="7047" xr:uid="{00000000-0005-0000-0000-0000431B0000}"/>
    <cellStyle name="Comma  - Style4 9" xfId="7048" xr:uid="{00000000-0005-0000-0000-0000441B0000}"/>
    <cellStyle name="Comma  - Style4_COMPOUND WALL TO IWHB - CHANDRAGIRI" xfId="7049" xr:uid="{00000000-0005-0000-0000-0000451B0000}"/>
    <cellStyle name="Comma  - Style5" xfId="33" xr:uid="{00000000-0005-0000-0000-0000461B0000}"/>
    <cellStyle name="Comma  - Style5 10" xfId="7050" xr:uid="{00000000-0005-0000-0000-0000471B0000}"/>
    <cellStyle name="Comma  - Style5 11" xfId="7051" xr:uid="{00000000-0005-0000-0000-0000481B0000}"/>
    <cellStyle name="Comma  - Style5 12" xfId="7052" xr:uid="{00000000-0005-0000-0000-0000491B0000}"/>
    <cellStyle name="Comma  - Style5 13" xfId="7053" xr:uid="{00000000-0005-0000-0000-00004A1B0000}"/>
    <cellStyle name="Comma  - Style5 14" xfId="7054" xr:uid="{00000000-0005-0000-0000-00004B1B0000}"/>
    <cellStyle name="Comma  - Style5 2" xfId="7055" xr:uid="{00000000-0005-0000-0000-00004C1B0000}"/>
    <cellStyle name="Comma  - Style5 2 10" xfId="7056" xr:uid="{00000000-0005-0000-0000-00004D1B0000}"/>
    <cellStyle name="Comma  - Style5 2 2" xfId="7057" xr:uid="{00000000-0005-0000-0000-00004E1B0000}"/>
    <cellStyle name="Comma  - Style5 2 3" xfId="7058" xr:uid="{00000000-0005-0000-0000-00004F1B0000}"/>
    <cellStyle name="Comma  - Style5 2 4" xfId="7059" xr:uid="{00000000-0005-0000-0000-0000501B0000}"/>
    <cellStyle name="Comma  - Style5 2 5" xfId="7060" xr:uid="{00000000-0005-0000-0000-0000511B0000}"/>
    <cellStyle name="Comma  - Style5 2 6" xfId="7061" xr:uid="{00000000-0005-0000-0000-0000521B0000}"/>
    <cellStyle name="Comma  - Style5 2 7" xfId="7062" xr:uid="{00000000-0005-0000-0000-0000531B0000}"/>
    <cellStyle name="Comma  - Style5 2 8" xfId="7063" xr:uid="{00000000-0005-0000-0000-0000541B0000}"/>
    <cellStyle name="Comma  - Style5 2 9" xfId="7064" xr:uid="{00000000-0005-0000-0000-0000551B0000}"/>
    <cellStyle name="Comma  - Style5 3" xfId="7065" xr:uid="{00000000-0005-0000-0000-0000561B0000}"/>
    <cellStyle name="Comma  - Style5 4" xfId="7066" xr:uid="{00000000-0005-0000-0000-0000571B0000}"/>
    <cellStyle name="Comma  - Style5 4 2" xfId="7067" xr:uid="{00000000-0005-0000-0000-0000581B0000}"/>
    <cellStyle name="Comma  - Style5 5" xfId="7068" xr:uid="{00000000-0005-0000-0000-0000591B0000}"/>
    <cellStyle name="Comma  - Style5 6" xfId="7069" xr:uid="{00000000-0005-0000-0000-00005A1B0000}"/>
    <cellStyle name="Comma  - Style5 7" xfId="7070" xr:uid="{00000000-0005-0000-0000-00005B1B0000}"/>
    <cellStyle name="Comma  - Style5 8" xfId="7071" xr:uid="{00000000-0005-0000-0000-00005C1B0000}"/>
    <cellStyle name="Comma  - Style5 9" xfId="7072" xr:uid="{00000000-0005-0000-0000-00005D1B0000}"/>
    <cellStyle name="Comma  - Style5_COMPOUND WALL TO IWHB - CHANDRAGIRI" xfId="7073" xr:uid="{00000000-0005-0000-0000-00005E1B0000}"/>
    <cellStyle name="Comma  - Style6" xfId="34" xr:uid="{00000000-0005-0000-0000-00005F1B0000}"/>
    <cellStyle name="Comma  - Style6 10" xfId="7074" xr:uid="{00000000-0005-0000-0000-0000601B0000}"/>
    <cellStyle name="Comma  - Style6 11" xfId="7075" xr:uid="{00000000-0005-0000-0000-0000611B0000}"/>
    <cellStyle name="Comma  - Style6 12" xfId="7076" xr:uid="{00000000-0005-0000-0000-0000621B0000}"/>
    <cellStyle name="Comma  - Style6 13" xfId="7077" xr:uid="{00000000-0005-0000-0000-0000631B0000}"/>
    <cellStyle name="Comma  - Style6 14" xfId="7078" xr:uid="{00000000-0005-0000-0000-0000641B0000}"/>
    <cellStyle name="Comma  - Style6 2" xfId="7079" xr:uid="{00000000-0005-0000-0000-0000651B0000}"/>
    <cellStyle name="Comma  - Style6 2 10" xfId="7080" xr:uid="{00000000-0005-0000-0000-0000661B0000}"/>
    <cellStyle name="Comma  - Style6 2 2" xfId="7081" xr:uid="{00000000-0005-0000-0000-0000671B0000}"/>
    <cellStyle name="Comma  - Style6 2 3" xfId="7082" xr:uid="{00000000-0005-0000-0000-0000681B0000}"/>
    <cellStyle name="Comma  - Style6 2 4" xfId="7083" xr:uid="{00000000-0005-0000-0000-0000691B0000}"/>
    <cellStyle name="Comma  - Style6 2 5" xfId="7084" xr:uid="{00000000-0005-0000-0000-00006A1B0000}"/>
    <cellStyle name="Comma  - Style6 2 6" xfId="7085" xr:uid="{00000000-0005-0000-0000-00006B1B0000}"/>
    <cellStyle name="Comma  - Style6 2 7" xfId="7086" xr:uid="{00000000-0005-0000-0000-00006C1B0000}"/>
    <cellStyle name="Comma  - Style6 2 8" xfId="7087" xr:uid="{00000000-0005-0000-0000-00006D1B0000}"/>
    <cellStyle name="Comma  - Style6 2 9" xfId="7088" xr:uid="{00000000-0005-0000-0000-00006E1B0000}"/>
    <cellStyle name="Comma  - Style6 3" xfId="7089" xr:uid="{00000000-0005-0000-0000-00006F1B0000}"/>
    <cellStyle name="Comma  - Style6 4" xfId="7090" xr:uid="{00000000-0005-0000-0000-0000701B0000}"/>
    <cellStyle name="Comma  - Style6 4 2" xfId="7091" xr:uid="{00000000-0005-0000-0000-0000711B0000}"/>
    <cellStyle name="Comma  - Style6 5" xfId="7092" xr:uid="{00000000-0005-0000-0000-0000721B0000}"/>
    <cellStyle name="Comma  - Style6 6" xfId="7093" xr:uid="{00000000-0005-0000-0000-0000731B0000}"/>
    <cellStyle name="Comma  - Style6 7" xfId="7094" xr:uid="{00000000-0005-0000-0000-0000741B0000}"/>
    <cellStyle name="Comma  - Style6 8" xfId="7095" xr:uid="{00000000-0005-0000-0000-0000751B0000}"/>
    <cellStyle name="Comma  - Style6 9" xfId="7096" xr:uid="{00000000-0005-0000-0000-0000761B0000}"/>
    <cellStyle name="Comma  - Style6_COMPOUND WALL TO IWHB - CHANDRAGIRI" xfId="7097" xr:uid="{00000000-0005-0000-0000-0000771B0000}"/>
    <cellStyle name="Comma  - Style7" xfId="35" xr:uid="{00000000-0005-0000-0000-0000781B0000}"/>
    <cellStyle name="Comma  - Style7 10" xfId="7098" xr:uid="{00000000-0005-0000-0000-0000791B0000}"/>
    <cellStyle name="Comma  - Style7 11" xfId="7099" xr:uid="{00000000-0005-0000-0000-00007A1B0000}"/>
    <cellStyle name="Comma  - Style7 12" xfId="7100" xr:uid="{00000000-0005-0000-0000-00007B1B0000}"/>
    <cellStyle name="Comma  - Style7 13" xfId="7101" xr:uid="{00000000-0005-0000-0000-00007C1B0000}"/>
    <cellStyle name="Comma  - Style7 14" xfId="7102" xr:uid="{00000000-0005-0000-0000-00007D1B0000}"/>
    <cellStyle name="Comma  - Style7 2" xfId="7103" xr:uid="{00000000-0005-0000-0000-00007E1B0000}"/>
    <cellStyle name="Comma  - Style7 2 10" xfId="7104" xr:uid="{00000000-0005-0000-0000-00007F1B0000}"/>
    <cellStyle name="Comma  - Style7 2 2" xfId="7105" xr:uid="{00000000-0005-0000-0000-0000801B0000}"/>
    <cellStyle name="Comma  - Style7 2 3" xfId="7106" xr:uid="{00000000-0005-0000-0000-0000811B0000}"/>
    <cellStyle name="Comma  - Style7 2 4" xfId="7107" xr:uid="{00000000-0005-0000-0000-0000821B0000}"/>
    <cellStyle name="Comma  - Style7 2 5" xfId="7108" xr:uid="{00000000-0005-0000-0000-0000831B0000}"/>
    <cellStyle name="Comma  - Style7 2 6" xfId="7109" xr:uid="{00000000-0005-0000-0000-0000841B0000}"/>
    <cellStyle name="Comma  - Style7 2 7" xfId="7110" xr:uid="{00000000-0005-0000-0000-0000851B0000}"/>
    <cellStyle name="Comma  - Style7 2 8" xfId="7111" xr:uid="{00000000-0005-0000-0000-0000861B0000}"/>
    <cellStyle name="Comma  - Style7 2 9" xfId="7112" xr:uid="{00000000-0005-0000-0000-0000871B0000}"/>
    <cellStyle name="Comma  - Style7 3" xfId="7113" xr:uid="{00000000-0005-0000-0000-0000881B0000}"/>
    <cellStyle name="Comma  - Style7 4" xfId="7114" xr:uid="{00000000-0005-0000-0000-0000891B0000}"/>
    <cellStyle name="Comma  - Style7 4 2" xfId="7115" xr:uid="{00000000-0005-0000-0000-00008A1B0000}"/>
    <cellStyle name="Comma  - Style7 5" xfId="7116" xr:uid="{00000000-0005-0000-0000-00008B1B0000}"/>
    <cellStyle name="Comma  - Style7 6" xfId="7117" xr:uid="{00000000-0005-0000-0000-00008C1B0000}"/>
    <cellStyle name="Comma  - Style7 7" xfId="7118" xr:uid="{00000000-0005-0000-0000-00008D1B0000}"/>
    <cellStyle name="Comma  - Style7 8" xfId="7119" xr:uid="{00000000-0005-0000-0000-00008E1B0000}"/>
    <cellStyle name="Comma  - Style7 9" xfId="7120" xr:uid="{00000000-0005-0000-0000-00008F1B0000}"/>
    <cellStyle name="Comma  - Style7_COMPOUND WALL TO IWHB - CHANDRAGIRI" xfId="7121" xr:uid="{00000000-0005-0000-0000-0000901B0000}"/>
    <cellStyle name="Comma  - Style8" xfId="36" xr:uid="{00000000-0005-0000-0000-0000911B0000}"/>
    <cellStyle name="Comma  - Style8 10" xfId="7122" xr:uid="{00000000-0005-0000-0000-0000921B0000}"/>
    <cellStyle name="Comma  - Style8 11" xfId="7123" xr:uid="{00000000-0005-0000-0000-0000931B0000}"/>
    <cellStyle name="Comma  - Style8 12" xfId="7124" xr:uid="{00000000-0005-0000-0000-0000941B0000}"/>
    <cellStyle name="Comma  - Style8 13" xfId="7125" xr:uid="{00000000-0005-0000-0000-0000951B0000}"/>
    <cellStyle name="Comma  - Style8 14" xfId="7126" xr:uid="{00000000-0005-0000-0000-0000961B0000}"/>
    <cellStyle name="Comma  - Style8 2" xfId="7127" xr:uid="{00000000-0005-0000-0000-0000971B0000}"/>
    <cellStyle name="Comma  - Style8 2 10" xfId="7128" xr:uid="{00000000-0005-0000-0000-0000981B0000}"/>
    <cellStyle name="Comma  - Style8 2 2" xfId="7129" xr:uid="{00000000-0005-0000-0000-0000991B0000}"/>
    <cellStyle name="Comma  - Style8 2 3" xfId="7130" xr:uid="{00000000-0005-0000-0000-00009A1B0000}"/>
    <cellStyle name="Comma  - Style8 2 4" xfId="7131" xr:uid="{00000000-0005-0000-0000-00009B1B0000}"/>
    <cellStyle name="Comma  - Style8 2 5" xfId="7132" xr:uid="{00000000-0005-0000-0000-00009C1B0000}"/>
    <cellStyle name="Comma  - Style8 2 6" xfId="7133" xr:uid="{00000000-0005-0000-0000-00009D1B0000}"/>
    <cellStyle name="Comma  - Style8 2 7" xfId="7134" xr:uid="{00000000-0005-0000-0000-00009E1B0000}"/>
    <cellStyle name="Comma  - Style8 2 8" xfId="7135" xr:uid="{00000000-0005-0000-0000-00009F1B0000}"/>
    <cellStyle name="Comma  - Style8 2 9" xfId="7136" xr:uid="{00000000-0005-0000-0000-0000A01B0000}"/>
    <cellStyle name="Comma  - Style8 3" xfId="7137" xr:uid="{00000000-0005-0000-0000-0000A11B0000}"/>
    <cellStyle name="Comma  - Style8 4" xfId="7138" xr:uid="{00000000-0005-0000-0000-0000A21B0000}"/>
    <cellStyle name="Comma  - Style8 4 2" xfId="7139" xr:uid="{00000000-0005-0000-0000-0000A31B0000}"/>
    <cellStyle name="Comma  - Style8 5" xfId="7140" xr:uid="{00000000-0005-0000-0000-0000A41B0000}"/>
    <cellStyle name="Comma  - Style8 6" xfId="7141" xr:uid="{00000000-0005-0000-0000-0000A51B0000}"/>
    <cellStyle name="Comma  - Style8 7" xfId="7142" xr:uid="{00000000-0005-0000-0000-0000A61B0000}"/>
    <cellStyle name="Comma  - Style8 8" xfId="7143" xr:uid="{00000000-0005-0000-0000-0000A71B0000}"/>
    <cellStyle name="Comma  - Style8 9" xfId="7144" xr:uid="{00000000-0005-0000-0000-0000A81B0000}"/>
    <cellStyle name="Comma  - Style8_COMPOUND WALL TO IWHB - CHANDRAGIRI" xfId="7145" xr:uid="{00000000-0005-0000-0000-0000A91B0000}"/>
    <cellStyle name="Comma (1)" xfId="7146" xr:uid="{00000000-0005-0000-0000-0000AA1B0000}"/>
    <cellStyle name="Comma [0] 2" xfId="7147" xr:uid="{00000000-0005-0000-0000-0000AB1B0000}"/>
    <cellStyle name="Comma [0] 2 2" xfId="7148" xr:uid="{00000000-0005-0000-0000-0000AC1B0000}"/>
    <cellStyle name="Comma [00]" xfId="7149" xr:uid="{00000000-0005-0000-0000-0000AD1B0000}"/>
    <cellStyle name="Comma [00] 10" xfId="7150" xr:uid="{00000000-0005-0000-0000-0000AE1B0000}"/>
    <cellStyle name="Comma [00] 11" xfId="7151" xr:uid="{00000000-0005-0000-0000-0000AF1B0000}"/>
    <cellStyle name="Comma [00] 2" xfId="7152" xr:uid="{00000000-0005-0000-0000-0000B01B0000}"/>
    <cellStyle name="Comma [00] 2 2" xfId="7153" xr:uid="{00000000-0005-0000-0000-0000B11B0000}"/>
    <cellStyle name="Comma [00] 3" xfId="7154" xr:uid="{00000000-0005-0000-0000-0000B21B0000}"/>
    <cellStyle name="Comma [00] 3 2" xfId="7155" xr:uid="{00000000-0005-0000-0000-0000B31B0000}"/>
    <cellStyle name="Comma [00] 4" xfId="7156" xr:uid="{00000000-0005-0000-0000-0000B41B0000}"/>
    <cellStyle name="Comma [00] 5" xfId="7157" xr:uid="{00000000-0005-0000-0000-0000B51B0000}"/>
    <cellStyle name="Comma [00] 6" xfId="7158" xr:uid="{00000000-0005-0000-0000-0000B61B0000}"/>
    <cellStyle name="Comma [00] 7" xfId="7159" xr:uid="{00000000-0005-0000-0000-0000B71B0000}"/>
    <cellStyle name="Comma [00] 8" xfId="7160" xr:uid="{00000000-0005-0000-0000-0000B81B0000}"/>
    <cellStyle name="Comma [00] 9" xfId="7161" xr:uid="{00000000-0005-0000-0000-0000B91B0000}"/>
    <cellStyle name="Comma [1]" xfId="7162" xr:uid="{00000000-0005-0000-0000-0000BA1B0000}"/>
    <cellStyle name="Comma [2]" xfId="7163" xr:uid="{00000000-0005-0000-0000-0000BB1B0000}"/>
    <cellStyle name="Comma [3]" xfId="7164" xr:uid="{00000000-0005-0000-0000-0000BC1B0000}"/>
    <cellStyle name="Comma 0" xfId="7165" xr:uid="{00000000-0005-0000-0000-0000BD1B0000}"/>
    <cellStyle name="Comma 0*" xfId="7166" xr:uid="{00000000-0005-0000-0000-0000BE1B0000}"/>
    <cellStyle name="Comma 0_Dealist" xfId="7167" xr:uid="{00000000-0005-0000-0000-0000BF1B0000}"/>
    <cellStyle name="Comma 10" xfId="7168" xr:uid="{00000000-0005-0000-0000-0000C01B0000}"/>
    <cellStyle name="Comma 10 10" xfId="7169" xr:uid="{00000000-0005-0000-0000-0000C11B0000}"/>
    <cellStyle name="Comma 10 2" xfId="7170" xr:uid="{00000000-0005-0000-0000-0000C21B0000}"/>
    <cellStyle name="Comma 10 2 2" xfId="7171" xr:uid="{00000000-0005-0000-0000-0000C31B0000}"/>
    <cellStyle name="Comma 10 2 3" xfId="7172" xr:uid="{00000000-0005-0000-0000-0000C41B0000}"/>
    <cellStyle name="Comma 10 2 4" xfId="7173" xr:uid="{00000000-0005-0000-0000-0000C51B0000}"/>
    <cellStyle name="Comma 10 3" xfId="7174" xr:uid="{00000000-0005-0000-0000-0000C61B0000}"/>
    <cellStyle name="Comma 10 4" xfId="7175" xr:uid="{00000000-0005-0000-0000-0000C71B0000}"/>
    <cellStyle name="Comma 10 4 2" xfId="7176" xr:uid="{00000000-0005-0000-0000-0000C81B0000}"/>
    <cellStyle name="Comma 10 4 2 2" xfId="7177" xr:uid="{00000000-0005-0000-0000-0000C91B0000}"/>
    <cellStyle name="Comma 10 4 3" xfId="7178" xr:uid="{00000000-0005-0000-0000-0000CA1B0000}"/>
    <cellStyle name="Comma 10 5" xfId="7179" xr:uid="{00000000-0005-0000-0000-0000CB1B0000}"/>
    <cellStyle name="Comma 10 6" xfId="7180" xr:uid="{00000000-0005-0000-0000-0000CC1B0000}"/>
    <cellStyle name="Comma 10 7" xfId="7181" xr:uid="{00000000-0005-0000-0000-0000CD1B0000}"/>
    <cellStyle name="Comma 10 8" xfId="7182" xr:uid="{00000000-0005-0000-0000-0000CE1B0000}"/>
    <cellStyle name="Comma 10 9" xfId="7183" xr:uid="{00000000-0005-0000-0000-0000CF1B0000}"/>
    <cellStyle name="Comma 10_Intercontinenetal Blockwork-16.12.10" xfId="7184" xr:uid="{00000000-0005-0000-0000-0000D01B0000}"/>
    <cellStyle name="Comma 11" xfId="7185" xr:uid="{00000000-0005-0000-0000-0000D11B0000}"/>
    <cellStyle name="Comma 11 2" xfId="7186" xr:uid="{00000000-0005-0000-0000-0000D21B0000}"/>
    <cellStyle name="Comma 11 2 2" xfId="7187" xr:uid="{00000000-0005-0000-0000-0000D31B0000}"/>
    <cellStyle name="Comma 11 2 3" xfId="7188" xr:uid="{00000000-0005-0000-0000-0000D41B0000}"/>
    <cellStyle name="Comma 11 3" xfId="7189" xr:uid="{00000000-0005-0000-0000-0000D51B0000}"/>
    <cellStyle name="Comma 11 3 2" xfId="7190" xr:uid="{00000000-0005-0000-0000-0000D61B0000}"/>
    <cellStyle name="Comma 11 4" xfId="7191" xr:uid="{00000000-0005-0000-0000-0000D71B0000}"/>
    <cellStyle name="Comma 11 5" xfId="7192" xr:uid="{00000000-0005-0000-0000-0000D81B0000}"/>
    <cellStyle name="Comma 11 6" xfId="7193" xr:uid="{00000000-0005-0000-0000-0000D91B0000}"/>
    <cellStyle name="Comma 11 7" xfId="7194" xr:uid="{00000000-0005-0000-0000-0000DA1B0000}"/>
    <cellStyle name="Comma 11_Sheet2" xfId="7195" xr:uid="{00000000-0005-0000-0000-0000DB1B0000}"/>
    <cellStyle name="Comma 12" xfId="7196" xr:uid="{00000000-0005-0000-0000-0000DC1B0000}"/>
    <cellStyle name="Comma 12 2" xfId="7197" xr:uid="{00000000-0005-0000-0000-0000DD1B0000}"/>
    <cellStyle name="Comma 12 2 2" xfId="7198" xr:uid="{00000000-0005-0000-0000-0000DE1B0000}"/>
    <cellStyle name="Comma 12 3" xfId="7199" xr:uid="{00000000-0005-0000-0000-0000DF1B0000}"/>
    <cellStyle name="Comma 12 3 2" xfId="7200" xr:uid="{00000000-0005-0000-0000-0000E01B0000}"/>
    <cellStyle name="Comma 12 4" xfId="7201" xr:uid="{00000000-0005-0000-0000-0000E11B0000}"/>
    <cellStyle name="Comma 12 5" xfId="7202" xr:uid="{00000000-0005-0000-0000-0000E21B0000}"/>
    <cellStyle name="Comma 12 6" xfId="7203" xr:uid="{00000000-0005-0000-0000-0000E31B0000}"/>
    <cellStyle name="Comma 13" xfId="7204" xr:uid="{00000000-0005-0000-0000-0000E41B0000}"/>
    <cellStyle name="Comma 13 2" xfId="7205" xr:uid="{00000000-0005-0000-0000-0000E51B0000}"/>
    <cellStyle name="Comma 13 2 2" xfId="7206" xr:uid="{00000000-0005-0000-0000-0000E61B0000}"/>
    <cellStyle name="Comma 13 3" xfId="7207" xr:uid="{00000000-0005-0000-0000-0000E71B0000}"/>
    <cellStyle name="Comma 13 4" xfId="7208" xr:uid="{00000000-0005-0000-0000-0000E81B0000}"/>
    <cellStyle name="Comma 13 4 2" xfId="7209" xr:uid="{00000000-0005-0000-0000-0000E91B0000}"/>
    <cellStyle name="Comma 13 5" xfId="7210" xr:uid="{00000000-0005-0000-0000-0000EA1B0000}"/>
    <cellStyle name="Comma 13 6" xfId="7211" xr:uid="{00000000-0005-0000-0000-0000EB1B0000}"/>
    <cellStyle name="Comma 14" xfId="7212" xr:uid="{00000000-0005-0000-0000-0000EC1B0000}"/>
    <cellStyle name="Comma 14 2" xfId="7213" xr:uid="{00000000-0005-0000-0000-0000ED1B0000}"/>
    <cellStyle name="Comma 14 3" xfId="7214" xr:uid="{00000000-0005-0000-0000-0000EE1B0000}"/>
    <cellStyle name="Comma 14 4" xfId="7215" xr:uid="{00000000-0005-0000-0000-0000EF1B0000}"/>
    <cellStyle name="Comma 14 5" xfId="7216" xr:uid="{00000000-0005-0000-0000-0000F01B0000}"/>
    <cellStyle name="Comma 14 6" xfId="7217" xr:uid="{00000000-0005-0000-0000-0000F11B0000}"/>
    <cellStyle name="Comma 15" xfId="7218" xr:uid="{00000000-0005-0000-0000-0000F21B0000}"/>
    <cellStyle name="Comma 15 2" xfId="7219" xr:uid="{00000000-0005-0000-0000-0000F31B0000}"/>
    <cellStyle name="Comma 15 2 2" xfId="7220" xr:uid="{00000000-0005-0000-0000-0000F41B0000}"/>
    <cellStyle name="Comma 15 2 3" xfId="7221" xr:uid="{00000000-0005-0000-0000-0000F51B0000}"/>
    <cellStyle name="Comma 15 3" xfId="7222" xr:uid="{00000000-0005-0000-0000-0000F61B0000}"/>
    <cellStyle name="Comma 15 4" xfId="7223" xr:uid="{00000000-0005-0000-0000-0000F71B0000}"/>
    <cellStyle name="Comma 15 5" xfId="7224" xr:uid="{00000000-0005-0000-0000-0000F81B0000}"/>
    <cellStyle name="Comma 15 6" xfId="7225" xr:uid="{00000000-0005-0000-0000-0000F91B0000}"/>
    <cellStyle name="Comma 16" xfId="7226" xr:uid="{00000000-0005-0000-0000-0000FA1B0000}"/>
    <cellStyle name="Comma 16 2" xfId="7227" xr:uid="{00000000-0005-0000-0000-0000FB1B0000}"/>
    <cellStyle name="Comma 16 2 2" xfId="7228" xr:uid="{00000000-0005-0000-0000-0000FC1B0000}"/>
    <cellStyle name="Comma 16 2 3" xfId="7229" xr:uid="{00000000-0005-0000-0000-0000FD1B0000}"/>
    <cellStyle name="Comma 16 3" xfId="7230" xr:uid="{00000000-0005-0000-0000-0000FE1B0000}"/>
    <cellStyle name="Comma 16 4" xfId="7231" xr:uid="{00000000-0005-0000-0000-0000FF1B0000}"/>
    <cellStyle name="Comma 16 5" xfId="7232" xr:uid="{00000000-0005-0000-0000-0000001C0000}"/>
    <cellStyle name="Comma 16 6" xfId="7233" xr:uid="{00000000-0005-0000-0000-0000011C0000}"/>
    <cellStyle name="Comma 17" xfId="7234" xr:uid="{00000000-0005-0000-0000-0000021C0000}"/>
    <cellStyle name="Comma 17 2" xfId="7235" xr:uid="{00000000-0005-0000-0000-0000031C0000}"/>
    <cellStyle name="Comma 17 3" xfId="7236" xr:uid="{00000000-0005-0000-0000-0000041C0000}"/>
    <cellStyle name="Comma 17 4" xfId="7237" xr:uid="{00000000-0005-0000-0000-0000051C0000}"/>
    <cellStyle name="Comma 17 5" xfId="7238" xr:uid="{00000000-0005-0000-0000-0000061C0000}"/>
    <cellStyle name="Comma 17 6" xfId="7239" xr:uid="{00000000-0005-0000-0000-0000071C0000}"/>
    <cellStyle name="Comma 17 7" xfId="7240" xr:uid="{00000000-0005-0000-0000-0000081C0000}"/>
    <cellStyle name="Comma 18" xfId="7241" xr:uid="{00000000-0005-0000-0000-0000091C0000}"/>
    <cellStyle name="Comma 18 2" xfId="7242" xr:uid="{00000000-0005-0000-0000-00000A1C0000}"/>
    <cellStyle name="Comma 18 2 2" xfId="7243" xr:uid="{00000000-0005-0000-0000-00000B1C0000}"/>
    <cellStyle name="Comma 18 2 3" xfId="7244" xr:uid="{00000000-0005-0000-0000-00000C1C0000}"/>
    <cellStyle name="Comma 18 3" xfId="7245" xr:uid="{00000000-0005-0000-0000-00000D1C0000}"/>
    <cellStyle name="Comma 18 4" xfId="7246" xr:uid="{00000000-0005-0000-0000-00000E1C0000}"/>
    <cellStyle name="Comma 18 5" xfId="7247" xr:uid="{00000000-0005-0000-0000-00000F1C0000}"/>
    <cellStyle name="Comma 18 6" xfId="7248" xr:uid="{00000000-0005-0000-0000-0000101C0000}"/>
    <cellStyle name="Comma 19" xfId="7249" xr:uid="{00000000-0005-0000-0000-0000111C0000}"/>
    <cellStyle name="Comma 19 2" xfId="7250" xr:uid="{00000000-0005-0000-0000-0000121C0000}"/>
    <cellStyle name="Comma 19 3" xfId="7251" xr:uid="{00000000-0005-0000-0000-0000131C0000}"/>
    <cellStyle name="Comma 19 4" xfId="7252" xr:uid="{00000000-0005-0000-0000-0000141C0000}"/>
    <cellStyle name="Comma 19 5" xfId="7253" xr:uid="{00000000-0005-0000-0000-0000151C0000}"/>
    <cellStyle name="Comma 2" xfId="37" xr:uid="{00000000-0005-0000-0000-0000161C0000}"/>
    <cellStyle name="Comma 2 10" xfId="7254" xr:uid="{00000000-0005-0000-0000-0000171C0000}"/>
    <cellStyle name="Comma 2 10 2" xfId="7255" xr:uid="{00000000-0005-0000-0000-0000181C0000}"/>
    <cellStyle name="Comma 2 10 2 2" xfId="7256" xr:uid="{00000000-0005-0000-0000-0000191C0000}"/>
    <cellStyle name="Comma 2 10 3" xfId="7257" xr:uid="{00000000-0005-0000-0000-00001A1C0000}"/>
    <cellStyle name="Comma 2 10 4" xfId="7258" xr:uid="{00000000-0005-0000-0000-00001B1C0000}"/>
    <cellStyle name="Comma 2 10 5" xfId="7259" xr:uid="{00000000-0005-0000-0000-00001C1C0000}"/>
    <cellStyle name="Comma 2 10 6" xfId="7260" xr:uid="{00000000-0005-0000-0000-00001D1C0000}"/>
    <cellStyle name="Comma 2 10 7" xfId="7261" xr:uid="{00000000-0005-0000-0000-00001E1C0000}"/>
    <cellStyle name="Comma 2 10 8" xfId="7262" xr:uid="{00000000-0005-0000-0000-00001F1C0000}"/>
    <cellStyle name="Comma 2 10 9" xfId="7263" xr:uid="{00000000-0005-0000-0000-0000201C0000}"/>
    <cellStyle name="Comma 2 11" xfId="7264" xr:uid="{00000000-0005-0000-0000-0000211C0000}"/>
    <cellStyle name="Comma 2 11 2" xfId="7265" xr:uid="{00000000-0005-0000-0000-0000221C0000}"/>
    <cellStyle name="Comma 2 11 3" xfId="7266" xr:uid="{00000000-0005-0000-0000-0000231C0000}"/>
    <cellStyle name="Comma 2 11 4" xfId="7267" xr:uid="{00000000-0005-0000-0000-0000241C0000}"/>
    <cellStyle name="Comma 2 11 5" xfId="7268" xr:uid="{00000000-0005-0000-0000-0000251C0000}"/>
    <cellStyle name="Comma 2 11 6" xfId="7269" xr:uid="{00000000-0005-0000-0000-0000261C0000}"/>
    <cellStyle name="Comma 2 11 7" xfId="7270" xr:uid="{00000000-0005-0000-0000-0000271C0000}"/>
    <cellStyle name="Comma 2 11 8" xfId="7271" xr:uid="{00000000-0005-0000-0000-0000281C0000}"/>
    <cellStyle name="Comma 2 12" xfId="7272" xr:uid="{00000000-0005-0000-0000-0000291C0000}"/>
    <cellStyle name="Comma 2 12 2" xfId="7273" xr:uid="{00000000-0005-0000-0000-00002A1C0000}"/>
    <cellStyle name="Comma 2 13" xfId="7274" xr:uid="{00000000-0005-0000-0000-00002B1C0000}"/>
    <cellStyle name="Comma 2 13 2" xfId="7275" xr:uid="{00000000-0005-0000-0000-00002C1C0000}"/>
    <cellStyle name="Comma 2 14" xfId="7276" xr:uid="{00000000-0005-0000-0000-00002D1C0000}"/>
    <cellStyle name="Comma 2 14 2" xfId="7277" xr:uid="{00000000-0005-0000-0000-00002E1C0000}"/>
    <cellStyle name="Comma 2 15" xfId="7278" xr:uid="{00000000-0005-0000-0000-00002F1C0000}"/>
    <cellStyle name="Comma 2 15 2" xfId="7279" xr:uid="{00000000-0005-0000-0000-0000301C0000}"/>
    <cellStyle name="Comma 2 16" xfId="7280" xr:uid="{00000000-0005-0000-0000-0000311C0000}"/>
    <cellStyle name="Comma 2 16 2" xfId="7281" xr:uid="{00000000-0005-0000-0000-0000321C0000}"/>
    <cellStyle name="Comma 2 16 3" xfId="7282" xr:uid="{00000000-0005-0000-0000-0000331C0000}"/>
    <cellStyle name="Comma 2 17" xfId="7283" xr:uid="{00000000-0005-0000-0000-0000341C0000}"/>
    <cellStyle name="Comma 2 17 2" xfId="7284" xr:uid="{00000000-0005-0000-0000-0000351C0000}"/>
    <cellStyle name="Comma 2 17 3" xfId="7285" xr:uid="{00000000-0005-0000-0000-0000361C0000}"/>
    <cellStyle name="Comma 2 18" xfId="7286" xr:uid="{00000000-0005-0000-0000-0000371C0000}"/>
    <cellStyle name="Comma 2 19" xfId="7287" xr:uid="{00000000-0005-0000-0000-0000381C0000}"/>
    <cellStyle name="Comma 2 2" xfId="7288" xr:uid="{00000000-0005-0000-0000-0000391C0000}"/>
    <cellStyle name="Comma 2 2 10" xfId="7289" xr:uid="{00000000-0005-0000-0000-00003A1C0000}"/>
    <cellStyle name="Comma 2 2 11" xfId="7290" xr:uid="{00000000-0005-0000-0000-00003B1C0000}"/>
    <cellStyle name="Comma 2 2 12" xfId="7291" xr:uid="{00000000-0005-0000-0000-00003C1C0000}"/>
    <cellStyle name="Comma 2 2 2" xfId="7292" xr:uid="{00000000-0005-0000-0000-00003D1C0000}"/>
    <cellStyle name="Comma 2 2 2 10" xfId="7293" xr:uid="{00000000-0005-0000-0000-00003E1C0000}"/>
    <cellStyle name="Comma 2 2 2 11" xfId="7294" xr:uid="{00000000-0005-0000-0000-00003F1C0000}"/>
    <cellStyle name="Comma 2 2 2 12" xfId="7295" xr:uid="{00000000-0005-0000-0000-0000401C0000}"/>
    <cellStyle name="Comma 2 2 2 13" xfId="7296" xr:uid="{00000000-0005-0000-0000-0000411C0000}"/>
    <cellStyle name="Comma 2 2 2 14" xfId="7297" xr:uid="{00000000-0005-0000-0000-0000421C0000}"/>
    <cellStyle name="Comma 2 2 2 15" xfId="7298" xr:uid="{00000000-0005-0000-0000-0000431C0000}"/>
    <cellStyle name="Comma 2 2 2 16" xfId="7299" xr:uid="{00000000-0005-0000-0000-0000441C0000}"/>
    <cellStyle name="Comma 2 2 2 17" xfId="7300" xr:uid="{00000000-0005-0000-0000-0000451C0000}"/>
    <cellStyle name="Comma 2 2 2 18" xfId="7301" xr:uid="{00000000-0005-0000-0000-0000461C0000}"/>
    <cellStyle name="Comma 2 2 2 19" xfId="7302" xr:uid="{00000000-0005-0000-0000-0000471C0000}"/>
    <cellStyle name="Comma 2 2 2 2" xfId="7303" xr:uid="{00000000-0005-0000-0000-0000481C0000}"/>
    <cellStyle name="Comma 2 2 2 2 2" xfId="7304" xr:uid="{00000000-0005-0000-0000-0000491C0000}"/>
    <cellStyle name="Comma 2 2 2 2 2 2" xfId="7305" xr:uid="{00000000-0005-0000-0000-00004A1C0000}"/>
    <cellStyle name="Comma 2 2 2 2 2 2 2" xfId="7306" xr:uid="{00000000-0005-0000-0000-00004B1C0000}"/>
    <cellStyle name="Comma 2 2 2 2 2 2 3" xfId="7307" xr:uid="{00000000-0005-0000-0000-00004C1C0000}"/>
    <cellStyle name="Comma 2 2 2 2 2 3" xfId="7308" xr:uid="{00000000-0005-0000-0000-00004D1C0000}"/>
    <cellStyle name="Comma 2 2 2 2 2 4" xfId="7309" xr:uid="{00000000-0005-0000-0000-00004E1C0000}"/>
    <cellStyle name="Comma 2 2 2 2 2 5" xfId="7310" xr:uid="{00000000-0005-0000-0000-00004F1C0000}"/>
    <cellStyle name="Comma 2 2 2 2 3" xfId="7311" xr:uid="{00000000-0005-0000-0000-0000501C0000}"/>
    <cellStyle name="Comma 2 2 2 2 3 2" xfId="7312" xr:uid="{00000000-0005-0000-0000-0000511C0000}"/>
    <cellStyle name="Comma 2 2 2 2 3 3" xfId="7313" xr:uid="{00000000-0005-0000-0000-0000521C0000}"/>
    <cellStyle name="Comma 2 2 2 2 4" xfId="7314" xr:uid="{00000000-0005-0000-0000-0000531C0000}"/>
    <cellStyle name="Comma 2 2 2 2 5" xfId="7315" xr:uid="{00000000-0005-0000-0000-0000541C0000}"/>
    <cellStyle name="Comma 2 2 2 3" xfId="7316" xr:uid="{00000000-0005-0000-0000-0000551C0000}"/>
    <cellStyle name="Comma 2 2 2 3 2" xfId="7317" xr:uid="{00000000-0005-0000-0000-0000561C0000}"/>
    <cellStyle name="Comma 2 2 2 3 3" xfId="7318" xr:uid="{00000000-0005-0000-0000-0000571C0000}"/>
    <cellStyle name="Comma 2 2 2 4" xfId="7319" xr:uid="{00000000-0005-0000-0000-0000581C0000}"/>
    <cellStyle name="Comma 2 2 2 4 2" xfId="7320" xr:uid="{00000000-0005-0000-0000-0000591C0000}"/>
    <cellStyle name="Comma 2 2 2 4 3" xfId="7321" xr:uid="{00000000-0005-0000-0000-00005A1C0000}"/>
    <cellStyle name="Comma 2 2 2 5" xfId="7322" xr:uid="{00000000-0005-0000-0000-00005B1C0000}"/>
    <cellStyle name="Comma 2 2 2 5 2" xfId="7323" xr:uid="{00000000-0005-0000-0000-00005C1C0000}"/>
    <cellStyle name="Comma 2 2 2 5 3" xfId="7324" xr:uid="{00000000-0005-0000-0000-00005D1C0000}"/>
    <cellStyle name="Comma 2 2 2 6" xfId="7325" xr:uid="{00000000-0005-0000-0000-00005E1C0000}"/>
    <cellStyle name="Comma 2 2 2 6 2" xfId="7326" xr:uid="{00000000-0005-0000-0000-00005F1C0000}"/>
    <cellStyle name="Comma 2 2 2 6 3" xfId="7327" xr:uid="{00000000-0005-0000-0000-0000601C0000}"/>
    <cellStyle name="Comma 2 2 2 7" xfId="7328" xr:uid="{00000000-0005-0000-0000-0000611C0000}"/>
    <cellStyle name="Comma 2 2 2 7 2" xfId="7329" xr:uid="{00000000-0005-0000-0000-0000621C0000}"/>
    <cellStyle name="Comma 2 2 2 7 3" xfId="7330" xr:uid="{00000000-0005-0000-0000-0000631C0000}"/>
    <cellStyle name="Comma 2 2 2 8" xfId="7331" xr:uid="{00000000-0005-0000-0000-0000641C0000}"/>
    <cellStyle name="Comma 2 2 2 9" xfId="7332" xr:uid="{00000000-0005-0000-0000-0000651C0000}"/>
    <cellStyle name="Comma 2 2 3" xfId="7333" xr:uid="{00000000-0005-0000-0000-0000661C0000}"/>
    <cellStyle name="Comma 2 2 3 2" xfId="7334" xr:uid="{00000000-0005-0000-0000-0000671C0000}"/>
    <cellStyle name="Comma 2 2 3 2 2" xfId="7335" xr:uid="{00000000-0005-0000-0000-0000681C0000}"/>
    <cellStyle name="Comma 2 2 3 2 3" xfId="7336" xr:uid="{00000000-0005-0000-0000-0000691C0000}"/>
    <cellStyle name="Comma 2 2 3 3" xfId="7337" xr:uid="{00000000-0005-0000-0000-00006A1C0000}"/>
    <cellStyle name="Comma 2 2 3 4" xfId="7338" xr:uid="{00000000-0005-0000-0000-00006B1C0000}"/>
    <cellStyle name="Comma 2 2 4" xfId="7339" xr:uid="{00000000-0005-0000-0000-00006C1C0000}"/>
    <cellStyle name="Comma 2 2 4 2" xfId="7340" xr:uid="{00000000-0005-0000-0000-00006D1C0000}"/>
    <cellStyle name="Comma 2 2 4 3" xfId="7341" xr:uid="{00000000-0005-0000-0000-00006E1C0000}"/>
    <cellStyle name="Comma 2 2 5" xfId="7342" xr:uid="{00000000-0005-0000-0000-00006F1C0000}"/>
    <cellStyle name="Comma 2 2 5 2" xfId="7343" xr:uid="{00000000-0005-0000-0000-0000701C0000}"/>
    <cellStyle name="Comma 2 2 5 3" xfId="7344" xr:uid="{00000000-0005-0000-0000-0000711C0000}"/>
    <cellStyle name="Comma 2 2 6" xfId="7345" xr:uid="{00000000-0005-0000-0000-0000721C0000}"/>
    <cellStyle name="Comma 2 2 6 2" xfId="7346" xr:uid="{00000000-0005-0000-0000-0000731C0000}"/>
    <cellStyle name="Comma 2 2 6 3" xfId="7347" xr:uid="{00000000-0005-0000-0000-0000741C0000}"/>
    <cellStyle name="Comma 2 2 7" xfId="7348" xr:uid="{00000000-0005-0000-0000-0000751C0000}"/>
    <cellStyle name="Comma 2 2 7 2" xfId="7349" xr:uid="{00000000-0005-0000-0000-0000761C0000}"/>
    <cellStyle name="Comma 2 2 7 3" xfId="7350" xr:uid="{00000000-0005-0000-0000-0000771C0000}"/>
    <cellStyle name="Comma 2 2 8" xfId="7351" xr:uid="{00000000-0005-0000-0000-0000781C0000}"/>
    <cellStyle name="Comma 2 2 9" xfId="7352" xr:uid="{00000000-0005-0000-0000-0000791C0000}"/>
    <cellStyle name="Comma 2 2_L  T Cost Plan R2- 061011" xfId="7353" xr:uid="{00000000-0005-0000-0000-00007A1C0000}"/>
    <cellStyle name="Comma 2 20" xfId="7354" xr:uid="{00000000-0005-0000-0000-00007B1C0000}"/>
    <cellStyle name="Comma 2 21" xfId="7355" xr:uid="{00000000-0005-0000-0000-00007C1C0000}"/>
    <cellStyle name="Comma 2 3" xfId="7356" xr:uid="{00000000-0005-0000-0000-00007D1C0000}"/>
    <cellStyle name="Comma 2 3 10" xfId="7357" xr:uid="{00000000-0005-0000-0000-00007E1C0000}"/>
    <cellStyle name="Comma 2 3 2" xfId="7358" xr:uid="{00000000-0005-0000-0000-00007F1C0000}"/>
    <cellStyle name="Comma 2 3 2 10" xfId="7359" xr:uid="{00000000-0005-0000-0000-0000801C0000}"/>
    <cellStyle name="Comma 2 3 2 2" xfId="7360" xr:uid="{00000000-0005-0000-0000-0000811C0000}"/>
    <cellStyle name="Comma 2 3 2 2 2" xfId="7361" xr:uid="{00000000-0005-0000-0000-0000821C0000}"/>
    <cellStyle name="Comma 2 3 2 2 3" xfId="7362" xr:uid="{00000000-0005-0000-0000-0000831C0000}"/>
    <cellStyle name="Comma 2 3 2 3" xfId="7363" xr:uid="{00000000-0005-0000-0000-0000841C0000}"/>
    <cellStyle name="Comma 2 3 2 4" xfId="7364" xr:uid="{00000000-0005-0000-0000-0000851C0000}"/>
    <cellStyle name="Comma 2 3 2 5" xfId="7365" xr:uid="{00000000-0005-0000-0000-0000861C0000}"/>
    <cellStyle name="Comma 2 3 2 6" xfId="7366" xr:uid="{00000000-0005-0000-0000-0000871C0000}"/>
    <cellStyle name="Comma 2 3 2 7" xfId="7367" xr:uid="{00000000-0005-0000-0000-0000881C0000}"/>
    <cellStyle name="Comma 2 3 2 8" xfId="7368" xr:uid="{00000000-0005-0000-0000-0000891C0000}"/>
    <cellStyle name="Comma 2 3 2 9" xfId="7369" xr:uid="{00000000-0005-0000-0000-00008A1C0000}"/>
    <cellStyle name="Comma 2 3 3" xfId="7370" xr:uid="{00000000-0005-0000-0000-00008B1C0000}"/>
    <cellStyle name="Comma 2 3 3 2" xfId="7371" xr:uid="{00000000-0005-0000-0000-00008C1C0000}"/>
    <cellStyle name="Comma 2 3 3 3" xfId="7372" xr:uid="{00000000-0005-0000-0000-00008D1C0000}"/>
    <cellStyle name="Comma 2 3 3 4" xfId="7373" xr:uid="{00000000-0005-0000-0000-00008E1C0000}"/>
    <cellStyle name="Comma 2 3 3 5" xfId="7374" xr:uid="{00000000-0005-0000-0000-00008F1C0000}"/>
    <cellStyle name="Comma 2 3 3 6" xfId="7375" xr:uid="{00000000-0005-0000-0000-0000901C0000}"/>
    <cellStyle name="Comma 2 3 3 7" xfId="7376" xr:uid="{00000000-0005-0000-0000-0000911C0000}"/>
    <cellStyle name="Comma 2 3 3 8" xfId="7377" xr:uid="{00000000-0005-0000-0000-0000921C0000}"/>
    <cellStyle name="Comma 2 3 3 9" xfId="7378" xr:uid="{00000000-0005-0000-0000-0000931C0000}"/>
    <cellStyle name="Comma 2 3 4" xfId="7379" xr:uid="{00000000-0005-0000-0000-0000941C0000}"/>
    <cellStyle name="Comma 2 3 4 2" xfId="7380" xr:uid="{00000000-0005-0000-0000-0000951C0000}"/>
    <cellStyle name="Comma 2 3 4 3" xfId="7381" xr:uid="{00000000-0005-0000-0000-0000961C0000}"/>
    <cellStyle name="Comma 2 3 4 4" xfId="7382" xr:uid="{00000000-0005-0000-0000-0000971C0000}"/>
    <cellStyle name="Comma 2 3 4 5" xfId="7383" xr:uid="{00000000-0005-0000-0000-0000981C0000}"/>
    <cellStyle name="Comma 2 3 4 6" xfId="7384" xr:uid="{00000000-0005-0000-0000-0000991C0000}"/>
    <cellStyle name="Comma 2 3 4 7" xfId="7385" xr:uid="{00000000-0005-0000-0000-00009A1C0000}"/>
    <cellStyle name="Comma 2 3 4 8" xfId="7386" xr:uid="{00000000-0005-0000-0000-00009B1C0000}"/>
    <cellStyle name="Comma 2 3 4 9" xfId="7387" xr:uid="{00000000-0005-0000-0000-00009C1C0000}"/>
    <cellStyle name="Comma 2 3 5" xfId="7388" xr:uid="{00000000-0005-0000-0000-00009D1C0000}"/>
    <cellStyle name="Comma 2 3 5 2" xfId="7389" xr:uid="{00000000-0005-0000-0000-00009E1C0000}"/>
    <cellStyle name="Comma 2 3 5 3" xfId="7390" xr:uid="{00000000-0005-0000-0000-00009F1C0000}"/>
    <cellStyle name="Comma 2 3 6" xfId="7391" xr:uid="{00000000-0005-0000-0000-0000A01C0000}"/>
    <cellStyle name="Comma 2 3 7" xfId="7392" xr:uid="{00000000-0005-0000-0000-0000A11C0000}"/>
    <cellStyle name="Comma 2 3 8" xfId="7393" xr:uid="{00000000-0005-0000-0000-0000A21C0000}"/>
    <cellStyle name="Comma 2 3 9" xfId="7394" xr:uid="{00000000-0005-0000-0000-0000A31C0000}"/>
    <cellStyle name="Comma 2 3_Sheet2" xfId="7395" xr:uid="{00000000-0005-0000-0000-0000A41C0000}"/>
    <cellStyle name="Comma 2 4" xfId="7396" xr:uid="{00000000-0005-0000-0000-0000A51C0000}"/>
    <cellStyle name="Comma 2 4 10" xfId="7397" xr:uid="{00000000-0005-0000-0000-0000A61C0000}"/>
    <cellStyle name="Comma 2 4 11" xfId="7398" xr:uid="{00000000-0005-0000-0000-0000A71C0000}"/>
    <cellStyle name="Comma 2 4 12" xfId="7399" xr:uid="{00000000-0005-0000-0000-0000A81C0000}"/>
    <cellStyle name="Comma 2 4 13" xfId="7400" xr:uid="{00000000-0005-0000-0000-0000A91C0000}"/>
    <cellStyle name="Comma 2 4 14" xfId="7401" xr:uid="{00000000-0005-0000-0000-0000AA1C0000}"/>
    <cellStyle name="Comma 2 4 15" xfId="7402" xr:uid="{00000000-0005-0000-0000-0000AB1C0000}"/>
    <cellStyle name="Comma 2 4 16" xfId="7403" xr:uid="{00000000-0005-0000-0000-0000AC1C0000}"/>
    <cellStyle name="Comma 2 4 17" xfId="7404" xr:uid="{00000000-0005-0000-0000-0000AD1C0000}"/>
    <cellStyle name="Comma 2 4 2" xfId="7405" xr:uid="{00000000-0005-0000-0000-0000AE1C0000}"/>
    <cellStyle name="Comma 2 4 2 10" xfId="7406" xr:uid="{00000000-0005-0000-0000-0000AF1C0000}"/>
    <cellStyle name="Comma 2 4 2 2" xfId="7407" xr:uid="{00000000-0005-0000-0000-0000B01C0000}"/>
    <cellStyle name="Comma 2 4 2 3" xfId="7408" xr:uid="{00000000-0005-0000-0000-0000B11C0000}"/>
    <cellStyle name="Comma 2 4 2 4" xfId="7409" xr:uid="{00000000-0005-0000-0000-0000B21C0000}"/>
    <cellStyle name="Comma 2 4 2 5" xfId="7410" xr:uid="{00000000-0005-0000-0000-0000B31C0000}"/>
    <cellStyle name="Comma 2 4 2 6" xfId="7411" xr:uid="{00000000-0005-0000-0000-0000B41C0000}"/>
    <cellStyle name="Comma 2 4 2 7" xfId="7412" xr:uid="{00000000-0005-0000-0000-0000B51C0000}"/>
    <cellStyle name="Comma 2 4 2 8" xfId="7413" xr:uid="{00000000-0005-0000-0000-0000B61C0000}"/>
    <cellStyle name="Comma 2 4 2 9" xfId="7414" xr:uid="{00000000-0005-0000-0000-0000B71C0000}"/>
    <cellStyle name="Comma 2 4 3" xfId="7415" xr:uid="{00000000-0005-0000-0000-0000B81C0000}"/>
    <cellStyle name="Comma 2 4 3 2" xfId="7416" xr:uid="{00000000-0005-0000-0000-0000B91C0000}"/>
    <cellStyle name="Comma 2 4 3 3" xfId="7417" xr:uid="{00000000-0005-0000-0000-0000BA1C0000}"/>
    <cellStyle name="Comma 2 4 4" xfId="7418" xr:uid="{00000000-0005-0000-0000-0000BB1C0000}"/>
    <cellStyle name="Comma 2 4 4 2" xfId="7419" xr:uid="{00000000-0005-0000-0000-0000BC1C0000}"/>
    <cellStyle name="Comma 2 4 4 3" xfId="7420" xr:uid="{00000000-0005-0000-0000-0000BD1C0000}"/>
    <cellStyle name="Comma 2 4 5" xfId="7421" xr:uid="{00000000-0005-0000-0000-0000BE1C0000}"/>
    <cellStyle name="Comma 2 4 6" xfId="7422" xr:uid="{00000000-0005-0000-0000-0000BF1C0000}"/>
    <cellStyle name="Comma 2 4 7" xfId="7423" xr:uid="{00000000-0005-0000-0000-0000C01C0000}"/>
    <cellStyle name="Comma 2 4 8" xfId="7424" xr:uid="{00000000-0005-0000-0000-0000C11C0000}"/>
    <cellStyle name="Comma 2 4 9" xfId="7425" xr:uid="{00000000-0005-0000-0000-0000C21C0000}"/>
    <cellStyle name="Comma 2 5" xfId="7426" xr:uid="{00000000-0005-0000-0000-0000C31C0000}"/>
    <cellStyle name="Comma 2 5 10" xfId="7427" xr:uid="{00000000-0005-0000-0000-0000C41C0000}"/>
    <cellStyle name="Comma 2 5 11" xfId="7428" xr:uid="{00000000-0005-0000-0000-0000C51C0000}"/>
    <cellStyle name="Comma 2 5 12" xfId="7429" xr:uid="{00000000-0005-0000-0000-0000C61C0000}"/>
    <cellStyle name="Comma 2 5 13" xfId="7430" xr:uid="{00000000-0005-0000-0000-0000C71C0000}"/>
    <cellStyle name="Comma 2 5 14" xfId="7431" xr:uid="{00000000-0005-0000-0000-0000C81C0000}"/>
    <cellStyle name="Comma 2 5 15" xfId="7432" xr:uid="{00000000-0005-0000-0000-0000C91C0000}"/>
    <cellStyle name="Comma 2 5 16" xfId="7433" xr:uid="{00000000-0005-0000-0000-0000CA1C0000}"/>
    <cellStyle name="Comma 2 5 17" xfId="7434" xr:uid="{00000000-0005-0000-0000-0000CB1C0000}"/>
    <cellStyle name="Comma 2 5 18" xfId="7435" xr:uid="{00000000-0005-0000-0000-0000CC1C0000}"/>
    <cellStyle name="Comma 2 5 2" xfId="7436" xr:uid="{00000000-0005-0000-0000-0000CD1C0000}"/>
    <cellStyle name="Comma 2 5 2 2" xfId="7437" xr:uid="{00000000-0005-0000-0000-0000CE1C0000}"/>
    <cellStyle name="Comma 2 5 3" xfId="7438" xr:uid="{00000000-0005-0000-0000-0000CF1C0000}"/>
    <cellStyle name="Comma 2 5 4" xfId="7439" xr:uid="{00000000-0005-0000-0000-0000D01C0000}"/>
    <cellStyle name="Comma 2 5 5" xfId="7440" xr:uid="{00000000-0005-0000-0000-0000D11C0000}"/>
    <cellStyle name="Comma 2 5 6" xfId="7441" xr:uid="{00000000-0005-0000-0000-0000D21C0000}"/>
    <cellStyle name="Comma 2 5 7" xfId="7442" xr:uid="{00000000-0005-0000-0000-0000D31C0000}"/>
    <cellStyle name="Comma 2 5 8" xfId="7443" xr:uid="{00000000-0005-0000-0000-0000D41C0000}"/>
    <cellStyle name="Comma 2 5 9" xfId="7444" xr:uid="{00000000-0005-0000-0000-0000D51C0000}"/>
    <cellStyle name="Comma 2 5_3-NON-FACTORY BUILDINGS  -061" xfId="7445" xr:uid="{00000000-0005-0000-0000-0000D61C0000}"/>
    <cellStyle name="Comma 2 6" xfId="7446" xr:uid="{00000000-0005-0000-0000-0000D71C0000}"/>
    <cellStyle name="Comma 2 6 10" xfId="7447" xr:uid="{00000000-0005-0000-0000-0000D81C0000}"/>
    <cellStyle name="Comma 2 6 2" xfId="7448" xr:uid="{00000000-0005-0000-0000-0000D91C0000}"/>
    <cellStyle name="Comma 2 6 2 2" xfId="7449" xr:uid="{00000000-0005-0000-0000-0000DA1C0000}"/>
    <cellStyle name="Comma 2 6 3" xfId="7450" xr:uid="{00000000-0005-0000-0000-0000DB1C0000}"/>
    <cellStyle name="Comma 2 6 4" xfId="7451" xr:uid="{00000000-0005-0000-0000-0000DC1C0000}"/>
    <cellStyle name="Comma 2 6 5" xfId="7452" xr:uid="{00000000-0005-0000-0000-0000DD1C0000}"/>
    <cellStyle name="Comma 2 6 6" xfId="7453" xr:uid="{00000000-0005-0000-0000-0000DE1C0000}"/>
    <cellStyle name="Comma 2 6 7" xfId="7454" xr:uid="{00000000-0005-0000-0000-0000DF1C0000}"/>
    <cellStyle name="Comma 2 6 8" xfId="7455" xr:uid="{00000000-0005-0000-0000-0000E01C0000}"/>
    <cellStyle name="Comma 2 6 9" xfId="7456" xr:uid="{00000000-0005-0000-0000-0000E11C0000}"/>
    <cellStyle name="Comma 2 7" xfId="7457" xr:uid="{00000000-0005-0000-0000-0000E21C0000}"/>
    <cellStyle name="Comma 2 7 2" xfId="7458" xr:uid="{00000000-0005-0000-0000-0000E31C0000}"/>
    <cellStyle name="Comma 2 7 2 2" xfId="7459" xr:uid="{00000000-0005-0000-0000-0000E41C0000}"/>
    <cellStyle name="Comma 2 7 3" xfId="7460" xr:uid="{00000000-0005-0000-0000-0000E51C0000}"/>
    <cellStyle name="Comma 2 7 4" xfId="7461" xr:uid="{00000000-0005-0000-0000-0000E61C0000}"/>
    <cellStyle name="Comma 2 7 5" xfId="7462" xr:uid="{00000000-0005-0000-0000-0000E71C0000}"/>
    <cellStyle name="Comma 2 7 6" xfId="7463" xr:uid="{00000000-0005-0000-0000-0000E81C0000}"/>
    <cellStyle name="Comma 2 7 7" xfId="7464" xr:uid="{00000000-0005-0000-0000-0000E91C0000}"/>
    <cellStyle name="Comma 2 7 8" xfId="7465" xr:uid="{00000000-0005-0000-0000-0000EA1C0000}"/>
    <cellStyle name="Comma 2 7 9" xfId="7466" xr:uid="{00000000-0005-0000-0000-0000EB1C0000}"/>
    <cellStyle name="Comma 2 8" xfId="7467" xr:uid="{00000000-0005-0000-0000-0000EC1C0000}"/>
    <cellStyle name="Comma 2 8 2" xfId="7468" xr:uid="{00000000-0005-0000-0000-0000ED1C0000}"/>
    <cellStyle name="Comma 2 8 2 2" xfId="7469" xr:uid="{00000000-0005-0000-0000-0000EE1C0000}"/>
    <cellStyle name="Comma 2 8 3" xfId="7470" xr:uid="{00000000-0005-0000-0000-0000EF1C0000}"/>
    <cellStyle name="Comma 2 8 4" xfId="7471" xr:uid="{00000000-0005-0000-0000-0000F01C0000}"/>
    <cellStyle name="Comma 2 8 5" xfId="7472" xr:uid="{00000000-0005-0000-0000-0000F11C0000}"/>
    <cellStyle name="Comma 2 8 6" xfId="7473" xr:uid="{00000000-0005-0000-0000-0000F21C0000}"/>
    <cellStyle name="Comma 2 8 7" xfId="7474" xr:uid="{00000000-0005-0000-0000-0000F31C0000}"/>
    <cellStyle name="Comma 2 8 8" xfId="7475" xr:uid="{00000000-0005-0000-0000-0000F41C0000}"/>
    <cellStyle name="Comma 2 8 9" xfId="7476" xr:uid="{00000000-0005-0000-0000-0000F51C0000}"/>
    <cellStyle name="Comma 2 9" xfId="7477" xr:uid="{00000000-0005-0000-0000-0000F61C0000}"/>
    <cellStyle name="Comma 2 9 2" xfId="7478" xr:uid="{00000000-0005-0000-0000-0000F71C0000}"/>
    <cellStyle name="Comma 2 9 2 2" xfId="7479" xr:uid="{00000000-0005-0000-0000-0000F81C0000}"/>
    <cellStyle name="Comma 2 9 3" xfId="7480" xr:uid="{00000000-0005-0000-0000-0000F91C0000}"/>
    <cellStyle name="Comma 2 9 4" xfId="7481" xr:uid="{00000000-0005-0000-0000-0000FA1C0000}"/>
    <cellStyle name="Comma 2 9 5" xfId="7482" xr:uid="{00000000-0005-0000-0000-0000FB1C0000}"/>
    <cellStyle name="Comma 2 9 6" xfId="7483" xr:uid="{00000000-0005-0000-0000-0000FC1C0000}"/>
    <cellStyle name="Comma 2 9 7" xfId="7484" xr:uid="{00000000-0005-0000-0000-0000FD1C0000}"/>
    <cellStyle name="Comma 2 9 8" xfId="7485" xr:uid="{00000000-0005-0000-0000-0000FE1C0000}"/>
    <cellStyle name="Comma 2 9 9" xfId="7486" xr:uid="{00000000-0005-0000-0000-0000FF1C0000}"/>
    <cellStyle name="Comma 2*" xfId="7487" xr:uid="{00000000-0005-0000-0000-0000001D0000}"/>
    <cellStyle name="Comma 2_2-MACHINERY FOUNDATIONS --051" xfId="7488" xr:uid="{00000000-0005-0000-0000-0000011D0000}"/>
    <cellStyle name="Comma 20" xfId="7489" xr:uid="{00000000-0005-0000-0000-0000021D0000}"/>
    <cellStyle name="Comma 20 2" xfId="7490" xr:uid="{00000000-0005-0000-0000-0000031D0000}"/>
    <cellStyle name="Comma 20 3" xfId="7491" xr:uid="{00000000-0005-0000-0000-0000041D0000}"/>
    <cellStyle name="Comma 20 4" xfId="7492" xr:uid="{00000000-0005-0000-0000-0000051D0000}"/>
    <cellStyle name="Comma 20 5" xfId="7493" xr:uid="{00000000-0005-0000-0000-0000061D0000}"/>
    <cellStyle name="Comma 21" xfId="7494" xr:uid="{00000000-0005-0000-0000-0000071D0000}"/>
    <cellStyle name="Comma 21 2" xfId="7495" xr:uid="{00000000-0005-0000-0000-0000081D0000}"/>
    <cellStyle name="Comma 21 3" xfId="7496" xr:uid="{00000000-0005-0000-0000-0000091D0000}"/>
    <cellStyle name="Comma 21 4" xfId="7497" xr:uid="{00000000-0005-0000-0000-00000A1D0000}"/>
    <cellStyle name="Comma 22" xfId="7498" xr:uid="{00000000-0005-0000-0000-00000B1D0000}"/>
    <cellStyle name="Comma 22 2" xfId="7499" xr:uid="{00000000-0005-0000-0000-00000C1D0000}"/>
    <cellStyle name="Comma 22 3" xfId="7500" xr:uid="{00000000-0005-0000-0000-00000D1D0000}"/>
    <cellStyle name="Comma 22 4" xfId="7501" xr:uid="{00000000-0005-0000-0000-00000E1D0000}"/>
    <cellStyle name="Comma 23" xfId="7502" xr:uid="{00000000-0005-0000-0000-00000F1D0000}"/>
    <cellStyle name="Comma 23 2" xfId="7503" xr:uid="{00000000-0005-0000-0000-0000101D0000}"/>
    <cellStyle name="Comma 23 3" xfId="7504" xr:uid="{00000000-0005-0000-0000-0000111D0000}"/>
    <cellStyle name="Comma 24" xfId="7505" xr:uid="{00000000-0005-0000-0000-0000121D0000}"/>
    <cellStyle name="Comma 24 2" xfId="7506" xr:uid="{00000000-0005-0000-0000-0000131D0000}"/>
    <cellStyle name="Comma 24 3" xfId="7507" xr:uid="{00000000-0005-0000-0000-0000141D0000}"/>
    <cellStyle name="Comma 25" xfId="7508" xr:uid="{00000000-0005-0000-0000-0000151D0000}"/>
    <cellStyle name="Comma 25 2" xfId="7509" xr:uid="{00000000-0005-0000-0000-0000161D0000}"/>
    <cellStyle name="Comma 25 3" xfId="7510" xr:uid="{00000000-0005-0000-0000-0000171D0000}"/>
    <cellStyle name="Comma 26" xfId="7511" xr:uid="{00000000-0005-0000-0000-0000181D0000}"/>
    <cellStyle name="Comma 26 2" xfId="7512" xr:uid="{00000000-0005-0000-0000-0000191D0000}"/>
    <cellStyle name="Comma 26 3" xfId="7513" xr:uid="{00000000-0005-0000-0000-00001A1D0000}"/>
    <cellStyle name="Comma 27" xfId="7514" xr:uid="{00000000-0005-0000-0000-00001B1D0000}"/>
    <cellStyle name="Comma 27 2" xfId="7515" xr:uid="{00000000-0005-0000-0000-00001C1D0000}"/>
    <cellStyle name="Comma 27 3" xfId="7516" xr:uid="{00000000-0005-0000-0000-00001D1D0000}"/>
    <cellStyle name="Comma 28" xfId="7517" xr:uid="{00000000-0005-0000-0000-00001E1D0000}"/>
    <cellStyle name="Comma 28 2" xfId="7518" xr:uid="{00000000-0005-0000-0000-00001F1D0000}"/>
    <cellStyle name="Comma 28 3" xfId="7519" xr:uid="{00000000-0005-0000-0000-0000201D0000}"/>
    <cellStyle name="Comma 29" xfId="7520" xr:uid="{00000000-0005-0000-0000-0000211D0000}"/>
    <cellStyle name="Comma 29 2" xfId="7521" xr:uid="{00000000-0005-0000-0000-0000221D0000}"/>
    <cellStyle name="Comma 29 3" xfId="7522" xr:uid="{00000000-0005-0000-0000-0000231D0000}"/>
    <cellStyle name="Comma 29 4" xfId="7523" xr:uid="{00000000-0005-0000-0000-0000241D0000}"/>
    <cellStyle name="Comma 29 5" xfId="7524" xr:uid="{00000000-0005-0000-0000-0000251D0000}"/>
    <cellStyle name="Comma 3" xfId="7525" xr:uid="{00000000-0005-0000-0000-0000261D0000}"/>
    <cellStyle name="Comma 3 10" xfId="7526" xr:uid="{00000000-0005-0000-0000-0000271D0000}"/>
    <cellStyle name="Comma 3 10 10" xfId="7527" xr:uid="{00000000-0005-0000-0000-0000281D0000}"/>
    <cellStyle name="Comma 3 10 2" xfId="7528" xr:uid="{00000000-0005-0000-0000-0000291D0000}"/>
    <cellStyle name="Comma 3 10 3" xfId="7529" xr:uid="{00000000-0005-0000-0000-00002A1D0000}"/>
    <cellStyle name="Comma 3 10 4" xfId="7530" xr:uid="{00000000-0005-0000-0000-00002B1D0000}"/>
    <cellStyle name="Comma 3 10 5" xfId="7531" xr:uid="{00000000-0005-0000-0000-00002C1D0000}"/>
    <cellStyle name="Comma 3 10 6" xfId="7532" xr:uid="{00000000-0005-0000-0000-00002D1D0000}"/>
    <cellStyle name="Comma 3 10 7" xfId="7533" xr:uid="{00000000-0005-0000-0000-00002E1D0000}"/>
    <cellStyle name="Comma 3 10 8" xfId="7534" xr:uid="{00000000-0005-0000-0000-00002F1D0000}"/>
    <cellStyle name="Comma 3 10 9" xfId="7535" xr:uid="{00000000-0005-0000-0000-0000301D0000}"/>
    <cellStyle name="Comma 3 11" xfId="7536" xr:uid="{00000000-0005-0000-0000-0000311D0000}"/>
    <cellStyle name="Comma 3 12" xfId="7537" xr:uid="{00000000-0005-0000-0000-0000321D0000}"/>
    <cellStyle name="Comma 3 13" xfId="7538" xr:uid="{00000000-0005-0000-0000-0000331D0000}"/>
    <cellStyle name="Comma 3 14" xfId="7539" xr:uid="{00000000-0005-0000-0000-0000341D0000}"/>
    <cellStyle name="Comma 3 15" xfId="7540" xr:uid="{00000000-0005-0000-0000-0000351D0000}"/>
    <cellStyle name="Comma 3 16" xfId="7541" xr:uid="{00000000-0005-0000-0000-0000361D0000}"/>
    <cellStyle name="Comma 3 17" xfId="7542" xr:uid="{00000000-0005-0000-0000-0000371D0000}"/>
    <cellStyle name="Comma 3 2" xfId="7543" xr:uid="{00000000-0005-0000-0000-0000381D0000}"/>
    <cellStyle name="Comma 3 2 10" xfId="7544" xr:uid="{00000000-0005-0000-0000-0000391D0000}"/>
    <cellStyle name="Comma 3 2 2" xfId="7545" xr:uid="{00000000-0005-0000-0000-00003A1D0000}"/>
    <cellStyle name="Comma 3 2 2 10" xfId="7546" xr:uid="{00000000-0005-0000-0000-00003B1D0000}"/>
    <cellStyle name="Comma 3 2 2 11" xfId="7547" xr:uid="{00000000-0005-0000-0000-00003C1D0000}"/>
    <cellStyle name="Comma 3 2 2 2" xfId="7548" xr:uid="{00000000-0005-0000-0000-00003D1D0000}"/>
    <cellStyle name="Comma 3 2 2 2 10" xfId="7549" xr:uid="{00000000-0005-0000-0000-00003E1D0000}"/>
    <cellStyle name="Comma 3 2 2 2 11" xfId="7550" xr:uid="{00000000-0005-0000-0000-00003F1D0000}"/>
    <cellStyle name="Comma 3 2 2 2 12" xfId="7551" xr:uid="{00000000-0005-0000-0000-0000401D0000}"/>
    <cellStyle name="Comma 3 2 2 2 2" xfId="7552" xr:uid="{00000000-0005-0000-0000-0000411D0000}"/>
    <cellStyle name="Comma 3 2 2 2 2 2" xfId="7553" xr:uid="{00000000-0005-0000-0000-0000421D0000}"/>
    <cellStyle name="Comma 3 2 2 2 2 3" xfId="7554" xr:uid="{00000000-0005-0000-0000-0000431D0000}"/>
    <cellStyle name="Comma 3 2 2 2 3" xfId="7555" xr:uid="{00000000-0005-0000-0000-0000441D0000}"/>
    <cellStyle name="Comma 3 2 2 2 4" xfId="7556" xr:uid="{00000000-0005-0000-0000-0000451D0000}"/>
    <cellStyle name="Comma 3 2 2 2 5" xfId="7557" xr:uid="{00000000-0005-0000-0000-0000461D0000}"/>
    <cellStyle name="Comma 3 2 2 2 6" xfId="7558" xr:uid="{00000000-0005-0000-0000-0000471D0000}"/>
    <cellStyle name="Comma 3 2 2 2 7" xfId="7559" xr:uid="{00000000-0005-0000-0000-0000481D0000}"/>
    <cellStyle name="Comma 3 2 2 2 8" xfId="7560" xr:uid="{00000000-0005-0000-0000-0000491D0000}"/>
    <cellStyle name="Comma 3 2 2 2 9" xfId="7561" xr:uid="{00000000-0005-0000-0000-00004A1D0000}"/>
    <cellStyle name="Comma 3 2 2 2_RA-2 CC" xfId="7562" xr:uid="{00000000-0005-0000-0000-00004B1D0000}"/>
    <cellStyle name="Comma 3 2 2 3" xfId="7563" xr:uid="{00000000-0005-0000-0000-00004C1D0000}"/>
    <cellStyle name="Comma 3 2 2 4" xfId="7564" xr:uid="{00000000-0005-0000-0000-00004D1D0000}"/>
    <cellStyle name="Comma 3 2 2 5" xfId="7565" xr:uid="{00000000-0005-0000-0000-00004E1D0000}"/>
    <cellStyle name="Comma 3 2 2 6" xfId="7566" xr:uid="{00000000-0005-0000-0000-00004F1D0000}"/>
    <cellStyle name="Comma 3 2 2 7" xfId="7567" xr:uid="{00000000-0005-0000-0000-0000501D0000}"/>
    <cellStyle name="Comma 3 2 2 8" xfId="7568" xr:uid="{00000000-0005-0000-0000-0000511D0000}"/>
    <cellStyle name="Comma 3 2 2 9" xfId="7569" xr:uid="{00000000-0005-0000-0000-0000521D0000}"/>
    <cellStyle name="Comma 3 2 3" xfId="7570" xr:uid="{00000000-0005-0000-0000-0000531D0000}"/>
    <cellStyle name="Comma 3 2 3 2" xfId="7571" xr:uid="{00000000-0005-0000-0000-0000541D0000}"/>
    <cellStyle name="Comma 3 2 3 3" xfId="7572" xr:uid="{00000000-0005-0000-0000-0000551D0000}"/>
    <cellStyle name="Comma 3 2 4" xfId="7573" xr:uid="{00000000-0005-0000-0000-0000561D0000}"/>
    <cellStyle name="Comma 3 2 5" xfId="7574" xr:uid="{00000000-0005-0000-0000-0000571D0000}"/>
    <cellStyle name="Comma 3 2 6" xfId="7575" xr:uid="{00000000-0005-0000-0000-0000581D0000}"/>
    <cellStyle name="Comma 3 2 7" xfId="7576" xr:uid="{00000000-0005-0000-0000-0000591D0000}"/>
    <cellStyle name="Comma 3 2 8" xfId="7577" xr:uid="{00000000-0005-0000-0000-00005A1D0000}"/>
    <cellStyle name="Comma 3 2 9" xfId="7578" xr:uid="{00000000-0005-0000-0000-00005B1D0000}"/>
    <cellStyle name="Comma 3 2_2-MACHINERY FOUNDATIONS --061" xfId="7579" xr:uid="{00000000-0005-0000-0000-00005C1D0000}"/>
    <cellStyle name="Comma 3 3" xfId="7580" xr:uid="{00000000-0005-0000-0000-00005D1D0000}"/>
    <cellStyle name="Comma 3 3 10" xfId="7581" xr:uid="{00000000-0005-0000-0000-00005E1D0000}"/>
    <cellStyle name="Comma 3 3 11" xfId="7582" xr:uid="{00000000-0005-0000-0000-00005F1D0000}"/>
    <cellStyle name="Comma 3 3 12" xfId="7583" xr:uid="{00000000-0005-0000-0000-0000601D0000}"/>
    <cellStyle name="Comma 3 3 13" xfId="7584" xr:uid="{00000000-0005-0000-0000-0000611D0000}"/>
    <cellStyle name="Comma 3 3 14" xfId="7585" xr:uid="{00000000-0005-0000-0000-0000621D0000}"/>
    <cellStyle name="Comma 3 3 15" xfId="7586" xr:uid="{00000000-0005-0000-0000-0000631D0000}"/>
    <cellStyle name="Comma 3 3 16" xfId="7587" xr:uid="{00000000-0005-0000-0000-0000641D0000}"/>
    <cellStyle name="Comma 3 3 17" xfId="7588" xr:uid="{00000000-0005-0000-0000-0000651D0000}"/>
    <cellStyle name="Comma 3 3 18" xfId="7589" xr:uid="{00000000-0005-0000-0000-0000661D0000}"/>
    <cellStyle name="Comma 3 3 2" xfId="7590" xr:uid="{00000000-0005-0000-0000-0000671D0000}"/>
    <cellStyle name="Comma 3 3 2 10" xfId="7591" xr:uid="{00000000-0005-0000-0000-0000681D0000}"/>
    <cellStyle name="Comma 3 3 2 2" xfId="7592" xr:uid="{00000000-0005-0000-0000-0000691D0000}"/>
    <cellStyle name="Comma 3 3 2 3" xfId="7593" xr:uid="{00000000-0005-0000-0000-00006A1D0000}"/>
    <cellStyle name="Comma 3 3 2 4" xfId="7594" xr:uid="{00000000-0005-0000-0000-00006B1D0000}"/>
    <cellStyle name="Comma 3 3 2 5" xfId="7595" xr:uid="{00000000-0005-0000-0000-00006C1D0000}"/>
    <cellStyle name="Comma 3 3 2 6" xfId="7596" xr:uid="{00000000-0005-0000-0000-00006D1D0000}"/>
    <cellStyle name="Comma 3 3 2 7" xfId="7597" xr:uid="{00000000-0005-0000-0000-00006E1D0000}"/>
    <cellStyle name="Comma 3 3 2 8" xfId="7598" xr:uid="{00000000-0005-0000-0000-00006F1D0000}"/>
    <cellStyle name="Comma 3 3 2 9" xfId="7599" xr:uid="{00000000-0005-0000-0000-0000701D0000}"/>
    <cellStyle name="Comma 3 3 3" xfId="7600" xr:uid="{00000000-0005-0000-0000-0000711D0000}"/>
    <cellStyle name="Comma 3 3 3 2" xfId="7601" xr:uid="{00000000-0005-0000-0000-0000721D0000}"/>
    <cellStyle name="Comma 3 3 3 3" xfId="7602" xr:uid="{00000000-0005-0000-0000-0000731D0000}"/>
    <cellStyle name="Comma 3 3 3 4" xfId="7603" xr:uid="{00000000-0005-0000-0000-0000741D0000}"/>
    <cellStyle name="Comma 3 3 3 5" xfId="7604" xr:uid="{00000000-0005-0000-0000-0000751D0000}"/>
    <cellStyle name="Comma 3 3 3 6" xfId="7605" xr:uid="{00000000-0005-0000-0000-0000761D0000}"/>
    <cellStyle name="Comma 3 3 3 7" xfId="7606" xr:uid="{00000000-0005-0000-0000-0000771D0000}"/>
    <cellStyle name="Comma 3 3 3 8" xfId="7607" xr:uid="{00000000-0005-0000-0000-0000781D0000}"/>
    <cellStyle name="Comma 3 3 3 9" xfId="7608" xr:uid="{00000000-0005-0000-0000-0000791D0000}"/>
    <cellStyle name="Comma 3 3 4" xfId="7609" xr:uid="{00000000-0005-0000-0000-00007A1D0000}"/>
    <cellStyle name="Comma 3 3 4 2" xfId="7610" xr:uid="{00000000-0005-0000-0000-00007B1D0000}"/>
    <cellStyle name="Comma 3 3 4 3" xfId="7611" xr:uid="{00000000-0005-0000-0000-00007C1D0000}"/>
    <cellStyle name="Comma 3 3 4 4" xfId="7612" xr:uid="{00000000-0005-0000-0000-00007D1D0000}"/>
    <cellStyle name="Comma 3 3 4 5" xfId="7613" xr:uid="{00000000-0005-0000-0000-00007E1D0000}"/>
    <cellStyle name="Comma 3 3 4 6" xfId="7614" xr:uid="{00000000-0005-0000-0000-00007F1D0000}"/>
    <cellStyle name="Comma 3 3 4 7" xfId="7615" xr:uid="{00000000-0005-0000-0000-0000801D0000}"/>
    <cellStyle name="Comma 3 3 4 8" xfId="7616" xr:uid="{00000000-0005-0000-0000-0000811D0000}"/>
    <cellStyle name="Comma 3 3 4 9" xfId="7617" xr:uid="{00000000-0005-0000-0000-0000821D0000}"/>
    <cellStyle name="Comma 3 3 5" xfId="7618" xr:uid="{00000000-0005-0000-0000-0000831D0000}"/>
    <cellStyle name="Comma 3 3 6" xfId="7619" xr:uid="{00000000-0005-0000-0000-0000841D0000}"/>
    <cellStyle name="Comma 3 3 7" xfId="7620" xr:uid="{00000000-0005-0000-0000-0000851D0000}"/>
    <cellStyle name="Comma 3 3 8" xfId="7621" xr:uid="{00000000-0005-0000-0000-0000861D0000}"/>
    <cellStyle name="Comma 3 3 9" xfId="7622" xr:uid="{00000000-0005-0000-0000-0000871D0000}"/>
    <cellStyle name="Comma 3 4" xfId="7623" xr:uid="{00000000-0005-0000-0000-0000881D0000}"/>
    <cellStyle name="Comma 3 4 10" xfId="7624" xr:uid="{00000000-0005-0000-0000-0000891D0000}"/>
    <cellStyle name="Comma 3 4 11" xfId="7625" xr:uid="{00000000-0005-0000-0000-00008A1D0000}"/>
    <cellStyle name="Comma 3 4 12" xfId="7626" xr:uid="{00000000-0005-0000-0000-00008B1D0000}"/>
    <cellStyle name="Comma 3 4 2" xfId="7627" xr:uid="{00000000-0005-0000-0000-00008C1D0000}"/>
    <cellStyle name="Comma 3 4 3" xfId="7628" xr:uid="{00000000-0005-0000-0000-00008D1D0000}"/>
    <cellStyle name="Comma 3 4 4" xfId="7629" xr:uid="{00000000-0005-0000-0000-00008E1D0000}"/>
    <cellStyle name="Comma 3 4 5" xfId="7630" xr:uid="{00000000-0005-0000-0000-00008F1D0000}"/>
    <cellStyle name="Comma 3 4 6" xfId="7631" xr:uid="{00000000-0005-0000-0000-0000901D0000}"/>
    <cellStyle name="Comma 3 4 7" xfId="7632" xr:uid="{00000000-0005-0000-0000-0000911D0000}"/>
    <cellStyle name="Comma 3 4 8" xfId="7633" xr:uid="{00000000-0005-0000-0000-0000921D0000}"/>
    <cellStyle name="Comma 3 4 9" xfId="7634" xr:uid="{00000000-0005-0000-0000-0000931D0000}"/>
    <cellStyle name="Comma 3 5" xfId="7635" xr:uid="{00000000-0005-0000-0000-0000941D0000}"/>
    <cellStyle name="Comma 3 5 10" xfId="7636" xr:uid="{00000000-0005-0000-0000-0000951D0000}"/>
    <cellStyle name="Comma 3 5 2" xfId="7637" xr:uid="{00000000-0005-0000-0000-0000961D0000}"/>
    <cellStyle name="Comma 3 5 3" xfId="7638" xr:uid="{00000000-0005-0000-0000-0000971D0000}"/>
    <cellStyle name="Comma 3 5 4" xfId="7639" xr:uid="{00000000-0005-0000-0000-0000981D0000}"/>
    <cellStyle name="Comma 3 5 5" xfId="7640" xr:uid="{00000000-0005-0000-0000-0000991D0000}"/>
    <cellStyle name="Comma 3 5 6" xfId="7641" xr:uid="{00000000-0005-0000-0000-00009A1D0000}"/>
    <cellStyle name="Comma 3 5 7" xfId="7642" xr:uid="{00000000-0005-0000-0000-00009B1D0000}"/>
    <cellStyle name="Comma 3 5 8" xfId="7643" xr:uid="{00000000-0005-0000-0000-00009C1D0000}"/>
    <cellStyle name="Comma 3 5 9" xfId="7644" xr:uid="{00000000-0005-0000-0000-00009D1D0000}"/>
    <cellStyle name="Comma 3 6" xfId="7645" xr:uid="{00000000-0005-0000-0000-00009E1D0000}"/>
    <cellStyle name="Comma 3 6 10" xfId="7646" xr:uid="{00000000-0005-0000-0000-00009F1D0000}"/>
    <cellStyle name="Comma 3 6 2" xfId="7647" xr:uid="{00000000-0005-0000-0000-0000A01D0000}"/>
    <cellStyle name="Comma 3 6 3" xfId="7648" xr:uid="{00000000-0005-0000-0000-0000A11D0000}"/>
    <cellStyle name="Comma 3 6 4" xfId="7649" xr:uid="{00000000-0005-0000-0000-0000A21D0000}"/>
    <cellStyle name="Comma 3 6 5" xfId="7650" xr:uid="{00000000-0005-0000-0000-0000A31D0000}"/>
    <cellStyle name="Comma 3 6 6" xfId="7651" xr:uid="{00000000-0005-0000-0000-0000A41D0000}"/>
    <cellStyle name="Comma 3 6 7" xfId="7652" xr:uid="{00000000-0005-0000-0000-0000A51D0000}"/>
    <cellStyle name="Comma 3 6 8" xfId="7653" xr:uid="{00000000-0005-0000-0000-0000A61D0000}"/>
    <cellStyle name="Comma 3 6 9" xfId="7654" xr:uid="{00000000-0005-0000-0000-0000A71D0000}"/>
    <cellStyle name="Comma 3 7" xfId="7655" xr:uid="{00000000-0005-0000-0000-0000A81D0000}"/>
    <cellStyle name="Comma 3 7 10" xfId="7656" xr:uid="{00000000-0005-0000-0000-0000A91D0000}"/>
    <cellStyle name="Comma 3 7 2" xfId="7657" xr:uid="{00000000-0005-0000-0000-0000AA1D0000}"/>
    <cellStyle name="Comma 3 7 3" xfId="7658" xr:uid="{00000000-0005-0000-0000-0000AB1D0000}"/>
    <cellStyle name="Comma 3 7 4" xfId="7659" xr:uid="{00000000-0005-0000-0000-0000AC1D0000}"/>
    <cellStyle name="Comma 3 7 5" xfId="7660" xr:uid="{00000000-0005-0000-0000-0000AD1D0000}"/>
    <cellStyle name="Comma 3 7 6" xfId="7661" xr:uid="{00000000-0005-0000-0000-0000AE1D0000}"/>
    <cellStyle name="Comma 3 7 7" xfId="7662" xr:uid="{00000000-0005-0000-0000-0000AF1D0000}"/>
    <cellStyle name="Comma 3 7 8" xfId="7663" xr:uid="{00000000-0005-0000-0000-0000B01D0000}"/>
    <cellStyle name="Comma 3 7 9" xfId="7664" xr:uid="{00000000-0005-0000-0000-0000B11D0000}"/>
    <cellStyle name="Comma 3 8" xfId="7665" xr:uid="{00000000-0005-0000-0000-0000B21D0000}"/>
    <cellStyle name="Comma 3 8 10" xfId="7666" xr:uid="{00000000-0005-0000-0000-0000B31D0000}"/>
    <cellStyle name="Comma 3 8 2" xfId="7667" xr:uid="{00000000-0005-0000-0000-0000B41D0000}"/>
    <cellStyle name="Comma 3 8 2 2" xfId="7668" xr:uid="{00000000-0005-0000-0000-0000B51D0000}"/>
    <cellStyle name="Comma 3 8 3" xfId="7669" xr:uid="{00000000-0005-0000-0000-0000B61D0000}"/>
    <cellStyle name="Comma 3 8 4" xfId="7670" xr:uid="{00000000-0005-0000-0000-0000B71D0000}"/>
    <cellStyle name="Comma 3 8 5" xfId="7671" xr:uid="{00000000-0005-0000-0000-0000B81D0000}"/>
    <cellStyle name="Comma 3 8 6" xfId="7672" xr:uid="{00000000-0005-0000-0000-0000B91D0000}"/>
    <cellStyle name="Comma 3 8 7" xfId="7673" xr:uid="{00000000-0005-0000-0000-0000BA1D0000}"/>
    <cellStyle name="Comma 3 8 8" xfId="7674" xr:uid="{00000000-0005-0000-0000-0000BB1D0000}"/>
    <cellStyle name="Comma 3 8 9" xfId="7675" xr:uid="{00000000-0005-0000-0000-0000BC1D0000}"/>
    <cellStyle name="Comma 3 9" xfId="7676" xr:uid="{00000000-0005-0000-0000-0000BD1D0000}"/>
    <cellStyle name="Comma 3 9 10" xfId="7677" xr:uid="{00000000-0005-0000-0000-0000BE1D0000}"/>
    <cellStyle name="Comma 3 9 2" xfId="7678" xr:uid="{00000000-0005-0000-0000-0000BF1D0000}"/>
    <cellStyle name="Comma 3 9 3" xfId="7679" xr:uid="{00000000-0005-0000-0000-0000C01D0000}"/>
    <cellStyle name="Comma 3 9 4" xfId="7680" xr:uid="{00000000-0005-0000-0000-0000C11D0000}"/>
    <cellStyle name="Comma 3 9 5" xfId="7681" xr:uid="{00000000-0005-0000-0000-0000C21D0000}"/>
    <cellStyle name="Comma 3 9 6" xfId="7682" xr:uid="{00000000-0005-0000-0000-0000C31D0000}"/>
    <cellStyle name="Comma 3 9 7" xfId="7683" xr:uid="{00000000-0005-0000-0000-0000C41D0000}"/>
    <cellStyle name="Comma 3 9 8" xfId="7684" xr:uid="{00000000-0005-0000-0000-0000C51D0000}"/>
    <cellStyle name="Comma 3 9 9" xfId="7685" xr:uid="{00000000-0005-0000-0000-0000C61D0000}"/>
    <cellStyle name="Comma 3*" xfId="7686" xr:uid="{00000000-0005-0000-0000-0000C71D0000}"/>
    <cellStyle name="Comma 3_5-CO-GEN PROJECT --051" xfId="7687" xr:uid="{00000000-0005-0000-0000-0000C81D0000}"/>
    <cellStyle name="Comma 30" xfId="7688" xr:uid="{00000000-0005-0000-0000-0000C91D0000}"/>
    <cellStyle name="Comma 30 2" xfId="7689" xr:uid="{00000000-0005-0000-0000-0000CA1D0000}"/>
    <cellStyle name="Comma 30 3" xfId="7690" xr:uid="{00000000-0005-0000-0000-0000CB1D0000}"/>
    <cellStyle name="Comma 31" xfId="7691" xr:uid="{00000000-0005-0000-0000-0000CC1D0000}"/>
    <cellStyle name="Comma 31 2" xfId="7692" xr:uid="{00000000-0005-0000-0000-0000CD1D0000}"/>
    <cellStyle name="Comma 31 3" xfId="7693" xr:uid="{00000000-0005-0000-0000-0000CE1D0000}"/>
    <cellStyle name="Comma 32" xfId="7694" xr:uid="{00000000-0005-0000-0000-0000CF1D0000}"/>
    <cellStyle name="Comma 33" xfId="7695" xr:uid="{00000000-0005-0000-0000-0000D01D0000}"/>
    <cellStyle name="Comma 33 2" xfId="7696" xr:uid="{00000000-0005-0000-0000-0000D11D0000}"/>
    <cellStyle name="Comma 34" xfId="7697" xr:uid="{00000000-0005-0000-0000-0000D21D0000}"/>
    <cellStyle name="Comma 34 2" xfId="7698" xr:uid="{00000000-0005-0000-0000-0000D31D0000}"/>
    <cellStyle name="Comma 35" xfId="7699" xr:uid="{00000000-0005-0000-0000-0000D41D0000}"/>
    <cellStyle name="Comma 35 2" xfId="7700" xr:uid="{00000000-0005-0000-0000-0000D51D0000}"/>
    <cellStyle name="Comma 35 2 2" xfId="7701" xr:uid="{00000000-0005-0000-0000-0000D61D0000}"/>
    <cellStyle name="Comma 36" xfId="7702" xr:uid="{00000000-0005-0000-0000-0000D71D0000}"/>
    <cellStyle name="Comma 36 2" xfId="7703" xr:uid="{00000000-0005-0000-0000-0000D81D0000}"/>
    <cellStyle name="Comma 37" xfId="7704" xr:uid="{00000000-0005-0000-0000-0000D91D0000}"/>
    <cellStyle name="Comma 37 2" xfId="7705" xr:uid="{00000000-0005-0000-0000-0000DA1D0000}"/>
    <cellStyle name="Comma 38" xfId="7706" xr:uid="{00000000-0005-0000-0000-0000DB1D0000}"/>
    <cellStyle name="Comma 38 2" xfId="7707" xr:uid="{00000000-0005-0000-0000-0000DC1D0000}"/>
    <cellStyle name="Comma 38 3" xfId="7708" xr:uid="{00000000-0005-0000-0000-0000DD1D0000}"/>
    <cellStyle name="Comma 39" xfId="7709" xr:uid="{00000000-0005-0000-0000-0000DE1D0000}"/>
    <cellStyle name="Comma 39 2" xfId="7710" xr:uid="{00000000-0005-0000-0000-0000DF1D0000}"/>
    <cellStyle name="Comma 4" xfId="7711" xr:uid="{00000000-0005-0000-0000-0000E01D0000}"/>
    <cellStyle name="Comma 4 10" xfId="7712" xr:uid="{00000000-0005-0000-0000-0000E11D0000}"/>
    <cellStyle name="Comma 4 11" xfId="7713" xr:uid="{00000000-0005-0000-0000-0000E21D0000}"/>
    <cellStyle name="Comma 4 12" xfId="7714" xr:uid="{00000000-0005-0000-0000-0000E31D0000}"/>
    <cellStyle name="Comma 4 13" xfId="7715" xr:uid="{00000000-0005-0000-0000-0000E41D0000}"/>
    <cellStyle name="Comma 4 14" xfId="7716" xr:uid="{00000000-0005-0000-0000-0000E51D0000}"/>
    <cellStyle name="Comma 4 15" xfId="7717" xr:uid="{00000000-0005-0000-0000-0000E61D0000}"/>
    <cellStyle name="Comma 4 16" xfId="7718" xr:uid="{00000000-0005-0000-0000-0000E71D0000}"/>
    <cellStyle name="Comma 4 17" xfId="7719" xr:uid="{00000000-0005-0000-0000-0000E81D0000}"/>
    <cellStyle name="Comma 4 2" xfId="7720" xr:uid="{00000000-0005-0000-0000-0000E91D0000}"/>
    <cellStyle name="Comma 4 2 10" xfId="7721" xr:uid="{00000000-0005-0000-0000-0000EA1D0000}"/>
    <cellStyle name="Comma 4 2 11" xfId="7722" xr:uid="{00000000-0005-0000-0000-0000EB1D0000}"/>
    <cellStyle name="Comma 4 2 2" xfId="7723" xr:uid="{00000000-0005-0000-0000-0000EC1D0000}"/>
    <cellStyle name="Comma 4 2 2 10" xfId="7724" xr:uid="{00000000-0005-0000-0000-0000ED1D0000}"/>
    <cellStyle name="Comma 4 2 2 2" xfId="7725" xr:uid="{00000000-0005-0000-0000-0000EE1D0000}"/>
    <cellStyle name="Comma 4 2 2 2 2" xfId="7726" xr:uid="{00000000-0005-0000-0000-0000EF1D0000}"/>
    <cellStyle name="Comma 4 2 2 2 3" xfId="7727" xr:uid="{00000000-0005-0000-0000-0000F01D0000}"/>
    <cellStyle name="Comma 4 2 2 3" xfId="7728" xr:uid="{00000000-0005-0000-0000-0000F11D0000}"/>
    <cellStyle name="Comma 4 2 2 4" xfId="7729" xr:uid="{00000000-0005-0000-0000-0000F21D0000}"/>
    <cellStyle name="Comma 4 2 2 5" xfId="7730" xr:uid="{00000000-0005-0000-0000-0000F31D0000}"/>
    <cellStyle name="Comma 4 2 2 6" xfId="7731" xr:uid="{00000000-0005-0000-0000-0000F41D0000}"/>
    <cellStyle name="Comma 4 2 2 7" xfId="7732" xr:uid="{00000000-0005-0000-0000-0000F51D0000}"/>
    <cellStyle name="Comma 4 2 2 8" xfId="7733" xr:uid="{00000000-0005-0000-0000-0000F61D0000}"/>
    <cellStyle name="Comma 4 2 2 9" xfId="7734" xr:uid="{00000000-0005-0000-0000-0000F71D0000}"/>
    <cellStyle name="Comma 4 2 3" xfId="7735" xr:uid="{00000000-0005-0000-0000-0000F81D0000}"/>
    <cellStyle name="Comma 4 2 3 2" xfId="7736" xr:uid="{00000000-0005-0000-0000-0000F91D0000}"/>
    <cellStyle name="Comma 4 2 4" xfId="7737" xr:uid="{00000000-0005-0000-0000-0000FA1D0000}"/>
    <cellStyle name="Comma 4 2 5" xfId="7738" xr:uid="{00000000-0005-0000-0000-0000FB1D0000}"/>
    <cellStyle name="Comma 4 2 6" xfId="7739" xr:uid="{00000000-0005-0000-0000-0000FC1D0000}"/>
    <cellStyle name="Comma 4 2 7" xfId="7740" xr:uid="{00000000-0005-0000-0000-0000FD1D0000}"/>
    <cellStyle name="Comma 4 2 8" xfId="7741" xr:uid="{00000000-0005-0000-0000-0000FE1D0000}"/>
    <cellStyle name="Comma 4 2 9" xfId="7742" xr:uid="{00000000-0005-0000-0000-0000FF1D0000}"/>
    <cellStyle name="Comma 4 3" xfId="7743" xr:uid="{00000000-0005-0000-0000-0000001E0000}"/>
    <cellStyle name="Comma 4 3 10" xfId="7744" xr:uid="{00000000-0005-0000-0000-0000011E0000}"/>
    <cellStyle name="Comma 4 3 2" xfId="7745" xr:uid="{00000000-0005-0000-0000-0000021E0000}"/>
    <cellStyle name="Comma 4 3 2 2" xfId="7746" xr:uid="{00000000-0005-0000-0000-0000031E0000}"/>
    <cellStyle name="Comma 4 3 2 3" xfId="7747" xr:uid="{00000000-0005-0000-0000-0000041E0000}"/>
    <cellStyle name="Comma 4 3 3" xfId="7748" xr:uid="{00000000-0005-0000-0000-0000051E0000}"/>
    <cellStyle name="Comma 4 3 4" xfId="7749" xr:uid="{00000000-0005-0000-0000-0000061E0000}"/>
    <cellStyle name="Comma 4 3 5" xfId="7750" xr:uid="{00000000-0005-0000-0000-0000071E0000}"/>
    <cellStyle name="Comma 4 3 6" xfId="7751" xr:uid="{00000000-0005-0000-0000-0000081E0000}"/>
    <cellStyle name="Comma 4 3 7" xfId="7752" xr:uid="{00000000-0005-0000-0000-0000091E0000}"/>
    <cellStyle name="Comma 4 3 8" xfId="7753" xr:uid="{00000000-0005-0000-0000-00000A1E0000}"/>
    <cellStyle name="Comma 4 3 9" xfId="7754" xr:uid="{00000000-0005-0000-0000-00000B1E0000}"/>
    <cellStyle name="Comma 4 4" xfId="7755" xr:uid="{00000000-0005-0000-0000-00000C1E0000}"/>
    <cellStyle name="Comma 4 4 10" xfId="7756" xr:uid="{00000000-0005-0000-0000-00000D1E0000}"/>
    <cellStyle name="Comma 4 4 2" xfId="7757" xr:uid="{00000000-0005-0000-0000-00000E1E0000}"/>
    <cellStyle name="Comma 4 4 3" xfId="7758" xr:uid="{00000000-0005-0000-0000-00000F1E0000}"/>
    <cellStyle name="Comma 4 4 4" xfId="7759" xr:uid="{00000000-0005-0000-0000-0000101E0000}"/>
    <cellStyle name="Comma 4 4 5" xfId="7760" xr:uid="{00000000-0005-0000-0000-0000111E0000}"/>
    <cellStyle name="Comma 4 4 6" xfId="7761" xr:uid="{00000000-0005-0000-0000-0000121E0000}"/>
    <cellStyle name="Comma 4 4 7" xfId="7762" xr:uid="{00000000-0005-0000-0000-0000131E0000}"/>
    <cellStyle name="Comma 4 4 8" xfId="7763" xr:uid="{00000000-0005-0000-0000-0000141E0000}"/>
    <cellStyle name="Comma 4 4 9" xfId="7764" xr:uid="{00000000-0005-0000-0000-0000151E0000}"/>
    <cellStyle name="Comma 4 5" xfId="7765" xr:uid="{00000000-0005-0000-0000-0000161E0000}"/>
    <cellStyle name="Comma 4 5 2" xfId="7766" xr:uid="{00000000-0005-0000-0000-0000171E0000}"/>
    <cellStyle name="Comma 4 5 3" xfId="7767" xr:uid="{00000000-0005-0000-0000-0000181E0000}"/>
    <cellStyle name="Comma 4 5 4" xfId="7768" xr:uid="{00000000-0005-0000-0000-0000191E0000}"/>
    <cellStyle name="Comma 4 5 5" xfId="7769" xr:uid="{00000000-0005-0000-0000-00001A1E0000}"/>
    <cellStyle name="Comma 4 6" xfId="7770" xr:uid="{00000000-0005-0000-0000-00001B1E0000}"/>
    <cellStyle name="Comma 4 6 2" xfId="7771" xr:uid="{00000000-0005-0000-0000-00001C1E0000}"/>
    <cellStyle name="Comma 4 6 3" xfId="7772" xr:uid="{00000000-0005-0000-0000-00001D1E0000}"/>
    <cellStyle name="Comma 4 7" xfId="7773" xr:uid="{00000000-0005-0000-0000-00001E1E0000}"/>
    <cellStyle name="Comma 4 7 2" xfId="7774" xr:uid="{00000000-0005-0000-0000-00001F1E0000}"/>
    <cellStyle name="Comma 4 7 3" xfId="7775" xr:uid="{00000000-0005-0000-0000-0000201E0000}"/>
    <cellStyle name="Comma 4 8" xfId="7776" xr:uid="{00000000-0005-0000-0000-0000211E0000}"/>
    <cellStyle name="Comma 4 8 2" xfId="7777" xr:uid="{00000000-0005-0000-0000-0000221E0000}"/>
    <cellStyle name="Comma 4 9" xfId="7778" xr:uid="{00000000-0005-0000-0000-0000231E0000}"/>
    <cellStyle name="Comma 4 9 2" xfId="7779" xr:uid="{00000000-0005-0000-0000-0000241E0000}"/>
    <cellStyle name="Comma 4_2-MACHINERY FOUNDATIONS --061" xfId="7780" xr:uid="{00000000-0005-0000-0000-0000251E0000}"/>
    <cellStyle name="Comma 40" xfId="7781" xr:uid="{00000000-0005-0000-0000-0000261E0000}"/>
    <cellStyle name="Comma 41" xfId="7782" xr:uid="{00000000-0005-0000-0000-0000271E0000}"/>
    <cellStyle name="Comma 41 2" xfId="7783" xr:uid="{00000000-0005-0000-0000-0000281E0000}"/>
    <cellStyle name="Comma 42" xfId="7784" xr:uid="{00000000-0005-0000-0000-0000291E0000}"/>
    <cellStyle name="Comma 42 2" xfId="7785" xr:uid="{00000000-0005-0000-0000-00002A1E0000}"/>
    <cellStyle name="Comma 43" xfId="7786" xr:uid="{00000000-0005-0000-0000-00002B1E0000}"/>
    <cellStyle name="Comma 44" xfId="7787" xr:uid="{00000000-0005-0000-0000-00002C1E0000}"/>
    <cellStyle name="Comma 44 2" xfId="7788" xr:uid="{00000000-0005-0000-0000-00002D1E0000}"/>
    <cellStyle name="Comma 45" xfId="7789" xr:uid="{00000000-0005-0000-0000-00002E1E0000}"/>
    <cellStyle name="Comma 46" xfId="7790" xr:uid="{00000000-0005-0000-0000-00002F1E0000}"/>
    <cellStyle name="Comma 47" xfId="7791" xr:uid="{00000000-0005-0000-0000-0000301E0000}"/>
    <cellStyle name="Comma 48" xfId="7792" xr:uid="{00000000-0005-0000-0000-0000311E0000}"/>
    <cellStyle name="Comma 49" xfId="7793" xr:uid="{00000000-0005-0000-0000-0000321E0000}"/>
    <cellStyle name="Comma 5" xfId="7794" xr:uid="{00000000-0005-0000-0000-0000331E0000}"/>
    <cellStyle name="Comma 5 10" xfId="7795" xr:uid="{00000000-0005-0000-0000-0000341E0000}"/>
    <cellStyle name="Comma 5 10 2" xfId="7796" xr:uid="{00000000-0005-0000-0000-0000351E0000}"/>
    <cellStyle name="Comma 5 10 3" xfId="7797" xr:uid="{00000000-0005-0000-0000-0000361E0000}"/>
    <cellStyle name="Comma 5 10 4" xfId="7798" xr:uid="{00000000-0005-0000-0000-0000371E0000}"/>
    <cellStyle name="Comma 5 10 5" xfId="7799" xr:uid="{00000000-0005-0000-0000-0000381E0000}"/>
    <cellStyle name="Comma 5 10 6" xfId="7800" xr:uid="{00000000-0005-0000-0000-0000391E0000}"/>
    <cellStyle name="Comma 5 10 7" xfId="7801" xr:uid="{00000000-0005-0000-0000-00003A1E0000}"/>
    <cellStyle name="Comma 5 10 8" xfId="7802" xr:uid="{00000000-0005-0000-0000-00003B1E0000}"/>
    <cellStyle name="Comma 5 11" xfId="7803" xr:uid="{00000000-0005-0000-0000-00003C1E0000}"/>
    <cellStyle name="Comma 5 12" xfId="7804" xr:uid="{00000000-0005-0000-0000-00003D1E0000}"/>
    <cellStyle name="Comma 5 13" xfId="7805" xr:uid="{00000000-0005-0000-0000-00003E1E0000}"/>
    <cellStyle name="Comma 5 14" xfId="7806" xr:uid="{00000000-0005-0000-0000-00003F1E0000}"/>
    <cellStyle name="Comma 5 15" xfId="7807" xr:uid="{00000000-0005-0000-0000-0000401E0000}"/>
    <cellStyle name="Comma 5 16" xfId="7808" xr:uid="{00000000-0005-0000-0000-0000411E0000}"/>
    <cellStyle name="Comma 5 17" xfId="7809" xr:uid="{00000000-0005-0000-0000-0000421E0000}"/>
    <cellStyle name="Comma 5 18" xfId="7810" xr:uid="{00000000-0005-0000-0000-0000431E0000}"/>
    <cellStyle name="Comma 5 19" xfId="7811" xr:uid="{00000000-0005-0000-0000-0000441E0000}"/>
    <cellStyle name="Comma 5 2" xfId="7812" xr:uid="{00000000-0005-0000-0000-0000451E0000}"/>
    <cellStyle name="Comma 5 2 10" xfId="7813" xr:uid="{00000000-0005-0000-0000-0000461E0000}"/>
    <cellStyle name="Comma 5 2 11" xfId="7814" xr:uid="{00000000-0005-0000-0000-0000471E0000}"/>
    <cellStyle name="Comma 5 2 12" xfId="7815" xr:uid="{00000000-0005-0000-0000-0000481E0000}"/>
    <cellStyle name="Comma 5 2 2" xfId="7816" xr:uid="{00000000-0005-0000-0000-0000491E0000}"/>
    <cellStyle name="Comma 5 2 2 2" xfId="7817" xr:uid="{00000000-0005-0000-0000-00004A1E0000}"/>
    <cellStyle name="Comma 5 2 2 3" xfId="7818" xr:uid="{00000000-0005-0000-0000-00004B1E0000}"/>
    <cellStyle name="Comma 5 2 3" xfId="7819" xr:uid="{00000000-0005-0000-0000-00004C1E0000}"/>
    <cellStyle name="Comma 5 2 4" xfId="7820" xr:uid="{00000000-0005-0000-0000-00004D1E0000}"/>
    <cellStyle name="Comma 5 2 5" xfId="7821" xr:uid="{00000000-0005-0000-0000-00004E1E0000}"/>
    <cellStyle name="Comma 5 2 6" xfId="7822" xr:uid="{00000000-0005-0000-0000-00004F1E0000}"/>
    <cellStyle name="Comma 5 2 7" xfId="7823" xr:uid="{00000000-0005-0000-0000-0000501E0000}"/>
    <cellStyle name="Comma 5 2 8" xfId="7824" xr:uid="{00000000-0005-0000-0000-0000511E0000}"/>
    <cellStyle name="Comma 5 2 9" xfId="7825" xr:uid="{00000000-0005-0000-0000-0000521E0000}"/>
    <cellStyle name="Comma 5 3" xfId="7826" xr:uid="{00000000-0005-0000-0000-0000531E0000}"/>
    <cellStyle name="Comma 5 3 10" xfId="7827" xr:uid="{00000000-0005-0000-0000-0000541E0000}"/>
    <cellStyle name="Comma 5 3 2" xfId="7828" xr:uid="{00000000-0005-0000-0000-0000551E0000}"/>
    <cellStyle name="Comma 5 3 3" xfId="7829" xr:uid="{00000000-0005-0000-0000-0000561E0000}"/>
    <cellStyle name="Comma 5 3 4" xfId="7830" xr:uid="{00000000-0005-0000-0000-0000571E0000}"/>
    <cellStyle name="Comma 5 3 5" xfId="7831" xr:uid="{00000000-0005-0000-0000-0000581E0000}"/>
    <cellStyle name="Comma 5 3 6" xfId="7832" xr:uid="{00000000-0005-0000-0000-0000591E0000}"/>
    <cellStyle name="Comma 5 3 7" xfId="7833" xr:uid="{00000000-0005-0000-0000-00005A1E0000}"/>
    <cellStyle name="Comma 5 3 8" xfId="7834" xr:uid="{00000000-0005-0000-0000-00005B1E0000}"/>
    <cellStyle name="Comma 5 3 9" xfId="7835" xr:uid="{00000000-0005-0000-0000-00005C1E0000}"/>
    <cellStyle name="Comma 5 4" xfId="7836" xr:uid="{00000000-0005-0000-0000-00005D1E0000}"/>
    <cellStyle name="Comma 5 4 2" xfId="7837" xr:uid="{00000000-0005-0000-0000-00005E1E0000}"/>
    <cellStyle name="Comma 5 4 3" xfId="7838" xr:uid="{00000000-0005-0000-0000-00005F1E0000}"/>
    <cellStyle name="Comma 5 4 4" xfId="7839" xr:uid="{00000000-0005-0000-0000-0000601E0000}"/>
    <cellStyle name="Comma 5 4 5" xfId="7840" xr:uid="{00000000-0005-0000-0000-0000611E0000}"/>
    <cellStyle name="Comma 5 4 6" xfId="7841" xr:uid="{00000000-0005-0000-0000-0000621E0000}"/>
    <cellStyle name="Comma 5 4 7" xfId="7842" xr:uid="{00000000-0005-0000-0000-0000631E0000}"/>
    <cellStyle name="Comma 5 4 8" xfId="7843" xr:uid="{00000000-0005-0000-0000-0000641E0000}"/>
    <cellStyle name="Comma 5 5" xfId="7844" xr:uid="{00000000-0005-0000-0000-0000651E0000}"/>
    <cellStyle name="Comma 5 5 2" xfId="7845" xr:uid="{00000000-0005-0000-0000-0000661E0000}"/>
    <cellStyle name="Comma 5 5 3" xfId="7846" xr:uid="{00000000-0005-0000-0000-0000671E0000}"/>
    <cellStyle name="Comma 5 5 4" xfId="7847" xr:uid="{00000000-0005-0000-0000-0000681E0000}"/>
    <cellStyle name="Comma 5 5 5" xfId="7848" xr:uid="{00000000-0005-0000-0000-0000691E0000}"/>
    <cellStyle name="Comma 5 5 6" xfId="7849" xr:uid="{00000000-0005-0000-0000-00006A1E0000}"/>
    <cellStyle name="Comma 5 5 7" xfId="7850" xr:uid="{00000000-0005-0000-0000-00006B1E0000}"/>
    <cellStyle name="Comma 5 5 8" xfId="7851" xr:uid="{00000000-0005-0000-0000-00006C1E0000}"/>
    <cellStyle name="Comma 5 6" xfId="7852" xr:uid="{00000000-0005-0000-0000-00006D1E0000}"/>
    <cellStyle name="Comma 5 6 2" xfId="7853" xr:uid="{00000000-0005-0000-0000-00006E1E0000}"/>
    <cellStyle name="Comma 5 6 3" xfId="7854" xr:uid="{00000000-0005-0000-0000-00006F1E0000}"/>
    <cellStyle name="Comma 5 6 4" xfId="7855" xr:uid="{00000000-0005-0000-0000-0000701E0000}"/>
    <cellStyle name="Comma 5 6 5" xfId="7856" xr:uid="{00000000-0005-0000-0000-0000711E0000}"/>
    <cellStyle name="Comma 5 6 6" xfId="7857" xr:uid="{00000000-0005-0000-0000-0000721E0000}"/>
    <cellStyle name="Comma 5 6 7" xfId="7858" xr:uid="{00000000-0005-0000-0000-0000731E0000}"/>
    <cellStyle name="Comma 5 6 8" xfId="7859" xr:uid="{00000000-0005-0000-0000-0000741E0000}"/>
    <cellStyle name="Comma 5 7" xfId="7860" xr:uid="{00000000-0005-0000-0000-0000751E0000}"/>
    <cellStyle name="Comma 5 7 2" xfId="7861" xr:uid="{00000000-0005-0000-0000-0000761E0000}"/>
    <cellStyle name="Comma 5 7 3" xfId="7862" xr:uid="{00000000-0005-0000-0000-0000771E0000}"/>
    <cellStyle name="Comma 5 7 4" xfId="7863" xr:uid="{00000000-0005-0000-0000-0000781E0000}"/>
    <cellStyle name="Comma 5 7 5" xfId="7864" xr:uid="{00000000-0005-0000-0000-0000791E0000}"/>
    <cellStyle name="Comma 5 7 6" xfId="7865" xr:uid="{00000000-0005-0000-0000-00007A1E0000}"/>
    <cellStyle name="Comma 5 7 7" xfId="7866" xr:uid="{00000000-0005-0000-0000-00007B1E0000}"/>
    <cellStyle name="Comma 5 7 8" xfId="7867" xr:uid="{00000000-0005-0000-0000-00007C1E0000}"/>
    <cellStyle name="Comma 5 8" xfId="7868" xr:uid="{00000000-0005-0000-0000-00007D1E0000}"/>
    <cellStyle name="Comma 5 8 2" xfId="7869" xr:uid="{00000000-0005-0000-0000-00007E1E0000}"/>
    <cellStyle name="Comma 5 8 3" xfId="7870" xr:uid="{00000000-0005-0000-0000-00007F1E0000}"/>
    <cellStyle name="Comma 5 8 4" xfId="7871" xr:uid="{00000000-0005-0000-0000-0000801E0000}"/>
    <cellStyle name="Comma 5 8 5" xfId="7872" xr:uid="{00000000-0005-0000-0000-0000811E0000}"/>
    <cellStyle name="Comma 5 8 6" xfId="7873" xr:uid="{00000000-0005-0000-0000-0000821E0000}"/>
    <cellStyle name="Comma 5 8 7" xfId="7874" xr:uid="{00000000-0005-0000-0000-0000831E0000}"/>
    <cellStyle name="Comma 5 8 8" xfId="7875" xr:uid="{00000000-0005-0000-0000-0000841E0000}"/>
    <cellStyle name="Comma 5 9" xfId="7876" xr:uid="{00000000-0005-0000-0000-0000851E0000}"/>
    <cellStyle name="Comma 5 9 2" xfId="7877" xr:uid="{00000000-0005-0000-0000-0000861E0000}"/>
    <cellStyle name="Comma 5 9 3" xfId="7878" xr:uid="{00000000-0005-0000-0000-0000871E0000}"/>
    <cellStyle name="Comma 5 9 4" xfId="7879" xr:uid="{00000000-0005-0000-0000-0000881E0000}"/>
    <cellStyle name="Comma 5 9 5" xfId="7880" xr:uid="{00000000-0005-0000-0000-0000891E0000}"/>
    <cellStyle name="Comma 5 9 6" xfId="7881" xr:uid="{00000000-0005-0000-0000-00008A1E0000}"/>
    <cellStyle name="Comma 5 9 7" xfId="7882" xr:uid="{00000000-0005-0000-0000-00008B1E0000}"/>
    <cellStyle name="Comma 5 9 8" xfId="7883" xr:uid="{00000000-0005-0000-0000-00008C1E0000}"/>
    <cellStyle name="Comma 5_Analysis - Hodariyat - 20.06.09" xfId="7884" xr:uid="{00000000-0005-0000-0000-00008D1E0000}"/>
    <cellStyle name="Comma 50" xfId="7885" xr:uid="{00000000-0005-0000-0000-00008E1E0000}"/>
    <cellStyle name="Comma 51" xfId="7886" xr:uid="{00000000-0005-0000-0000-00008F1E0000}"/>
    <cellStyle name="Comma 52" xfId="7887" xr:uid="{00000000-0005-0000-0000-0000901E0000}"/>
    <cellStyle name="Comma 53" xfId="7888" xr:uid="{00000000-0005-0000-0000-0000911E0000}"/>
    <cellStyle name="Comma 54" xfId="7889" xr:uid="{00000000-0005-0000-0000-0000921E0000}"/>
    <cellStyle name="Comma 59" xfId="7890" xr:uid="{00000000-0005-0000-0000-0000931E0000}"/>
    <cellStyle name="Comma 6" xfId="7891" xr:uid="{00000000-0005-0000-0000-0000941E0000}"/>
    <cellStyle name="Comma 6 10" xfId="7892" xr:uid="{00000000-0005-0000-0000-0000951E0000}"/>
    <cellStyle name="Comma 6 10 2" xfId="7893" xr:uid="{00000000-0005-0000-0000-0000961E0000}"/>
    <cellStyle name="Comma 6 10 3" xfId="7894" xr:uid="{00000000-0005-0000-0000-0000971E0000}"/>
    <cellStyle name="Comma 6 10 4" xfId="7895" xr:uid="{00000000-0005-0000-0000-0000981E0000}"/>
    <cellStyle name="Comma 6 10 5" xfId="7896" xr:uid="{00000000-0005-0000-0000-0000991E0000}"/>
    <cellStyle name="Comma 6 10 6" xfId="7897" xr:uid="{00000000-0005-0000-0000-00009A1E0000}"/>
    <cellStyle name="Comma 6 10 7" xfId="7898" xr:uid="{00000000-0005-0000-0000-00009B1E0000}"/>
    <cellStyle name="Comma 6 10 8" xfId="7899" xr:uid="{00000000-0005-0000-0000-00009C1E0000}"/>
    <cellStyle name="Comma 6 11" xfId="7900" xr:uid="{00000000-0005-0000-0000-00009D1E0000}"/>
    <cellStyle name="Comma 6 12" xfId="7901" xr:uid="{00000000-0005-0000-0000-00009E1E0000}"/>
    <cellStyle name="Comma 6 13" xfId="7902" xr:uid="{00000000-0005-0000-0000-00009F1E0000}"/>
    <cellStyle name="Comma 6 14" xfId="7903" xr:uid="{00000000-0005-0000-0000-0000A01E0000}"/>
    <cellStyle name="Comma 6 15" xfId="7904" xr:uid="{00000000-0005-0000-0000-0000A11E0000}"/>
    <cellStyle name="Comma 6 16" xfId="7905" xr:uid="{00000000-0005-0000-0000-0000A21E0000}"/>
    <cellStyle name="Comma 6 17" xfId="7906" xr:uid="{00000000-0005-0000-0000-0000A31E0000}"/>
    <cellStyle name="Comma 6 18" xfId="7907" xr:uid="{00000000-0005-0000-0000-0000A41E0000}"/>
    <cellStyle name="Comma 6 19" xfId="7908" xr:uid="{00000000-0005-0000-0000-0000A51E0000}"/>
    <cellStyle name="Comma 6 2" xfId="7909" xr:uid="{00000000-0005-0000-0000-0000A61E0000}"/>
    <cellStyle name="Comma 6 2 10" xfId="7910" xr:uid="{00000000-0005-0000-0000-0000A71E0000}"/>
    <cellStyle name="Comma 6 2 11" xfId="7911" xr:uid="{00000000-0005-0000-0000-0000A81E0000}"/>
    <cellStyle name="Comma 6 2 12" xfId="7912" xr:uid="{00000000-0005-0000-0000-0000A91E0000}"/>
    <cellStyle name="Comma 6 2 2" xfId="7913" xr:uid="{00000000-0005-0000-0000-0000AA1E0000}"/>
    <cellStyle name="Comma 6 2 2 2" xfId="7914" xr:uid="{00000000-0005-0000-0000-0000AB1E0000}"/>
    <cellStyle name="Comma 6 2 2 2 2" xfId="7915" xr:uid="{00000000-0005-0000-0000-0000AC1E0000}"/>
    <cellStyle name="Comma 6 2 2 2 2 2" xfId="7916" xr:uid="{00000000-0005-0000-0000-0000AD1E0000}"/>
    <cellStyle name="Comma 6 2 2 3" xfId="7917" xr:uid="{00000000-0005-0000-0000-0000AE1E0000}"/>
    <cellStyle name="Comma 6 2 3" xfId="7918" xr:uid="{00000000-0005-0000-0000-0000AF1E0000}"/>
    <cellStyle name="Comma 6 2 3 2" xfId="7919" xr:uid="{00000000-0005-0000-0000-0000B01E0000}"/>
    <cellStyle name="Comma 6 2 3 3" xfId="7920" xr:uid="{00000000-0005-0000-0000-0000B11E0000}"/>
    <cellStyle name="Comma 6 2 4" xfId="7921" xr:uid="{00000000-0005-0000-0000-0000B21E0000}"/>
    <cellStyle name="Comma 6 2 5" xfId="7922" xr:uid="{00000000-0005-0000-0000-0000B31E0000}"/>
    <cellStyle name="Comma 6 2 6" xfId="7923" xr:uid="{00000000-0005-0000-0000-0000B41E0000}"/>
    <cellStyle name="Comma 6 2 7" xfId="7924" xr:uid="{00000000-0005-0000-0000-0000B51E0000}"/>
    <cellStyle name="Comma 6 2 8" xfId="7925" xr:uid="{00000000-0005-0000-0000-0000B61E0000}"/>
    <cellStyle name="Comma 6 2 9" xfId="7926" xr:uid="{00000000-0005-0000-0000-0000B71E0000}"/>
    <cellStyle name="Comma 6 3" xfId="7927" xr:uid="{00000000-0005-0000-0000-0000B81E0000}"/>
    <cellStyle name="Comma 6 3 10" xfId="7928" xr:uid="{00000000-0005-0000-0000-0000B91E0000}"/>
    <cellStyle name="Comma 6 3 11" xfId="7929" xr:uid="{00000000-0005-0000-0000-0000BA1E0000}"/>
    <cellStyle name="Comma 6 3 12" xfId="7930" xr:uid="{00000000-0005-0000-0000-0000BB1E0000}"/>
    <cellStyle name="Comma 6 3 13" xfId="7931" xr:uid="{00000000-0005-0000-0000-0000BC1E0000}"/>
    <cellStyle name="Comma 6 3 14" xfId="7932" xr:uid="{00000000-0005-0000-0000-0000BD1E0000}"/>
    <cellStyle name="Comma 6 3 2" xfId="7933" xr:uid="{00000000-0005-0000-0000-0000BE1E0000}"/>
    <cellStyle name="Comma 6 3 2 2" xfId="7934" xr:uid="{00000000-0005-0000-0000-0000BF1E0000}"/>
    <cellStyle name="Comma 6 3 2 3" xfId="7935" xr:uid="{00000000-0005-0000-0000-0000C01E0000}"/>
    <cellStyle name="Comma 6 3 3" xfId="7936" xr:uid="{00000000-0005-0000-0000-0000C11E0000}"/>
    <cellStyle name="Comma 6 3 4" xfId="7937" xr:uid="{00000000-0005-0000-0000-0000C21E0000}"/>
    <cellStyle name="Comma 6 3 5" xfId="7938" xr:uid="{00000000-0005-0000-0000-0000C31E0000}"/>
    <cellStyle name="Comma 6 3 6" xfId="7939" xr:uid="{00000000-0005-0000-0000-0000C41E0000}"/>
    <cellStyle name="Comma 6 3 7" xfId="7940" xr:uid="{00000000-0005-0000-0000-0000C51E0000}"/>
    <cellStyle name="Comma 6 3 8" xfId="7941" xr:uid="{00000000-0005-0000-0000-0000C61E0000}"/>
    <cellStyle name="Comma 6 3 9" xfId="7942" xr:uid="{00000000-0005-0000-0000-0000C71E0000}"/>
    <cellStyle name="Comma 6 4" xfId="7943" xr:uid="{00000000-0005-0000-0000-0000C81E0000}"/>
    <cellStyle name="Comma 6 4 2" xfId="7944" xr:uid="{00000000-0005-0000-0000-0000C91E0000}"/>
    <cellStyle name="Comma 6 4 3" xfId="7945" xr:uid="{00000000-0005-0000-0000-0000CA1E0000}"/>
    <cellStyle name="Comma 6 4 4" xfId="7946" xr:uid="{00000000-0005-0000-0000-0000CB1E0000}"/>
    <cellStyle name="Comma 6 4 5" xfId="7947" xr:uid="{00000000-0005-0000-0000-0000CC1E0000}"/>
    <cellStyle name="Comma 6 4 6" xfId="7948" xr:uid="{00000000-0005-0000-0000-0000CD1E0000}"/>
    <cellStyle name="Comma 6 4 7" xfId="7949" xr:uid="{00000000-0005-0000-0000-0000CE1E0000}"/>
    <cellStyle name="Comma 6 4 8" xfId="7950" xr:uid="{00000000-0005-0000-0000-0000CF1E0000}"/>
    <cellStyle name="Comma 6 5" xfId="7951" xr:uid="{00000000-0005-0000-0000-0000D01E0000}"/>
    <cellStyle name="Comma 6 5 2" xfId="7952" xr:uid="{00000000-0005-0000-0000-0000D11E0000}"/>
    <cellStyle name="Comma 6 5 3" xfId="7953" xr:uid="{00000000-0005-0000-0000-0000D21E0000}"/>
    <cellStyle name="Comma 6 5 4" xfId="7954" xr:uid="{00000000-0005-0000-0000-0000D31E0000}"/>
    <cellStyle name="Comma 6 5 5" xfId="7955" xr:uid="{00000000-0005-0000-0000-0000D41E0000}"/>
    <cellStyle name="Comma 6 5 6" xfId="7956" xr:uid="{00000000-0005-0000-0000-0000D51E0000}"/>
    <cellStyle name="Comma 6 5 7" xfId="7957" xr:uid="{00000000-0005-0000-0000-0000D61E0000}"/>
    <cellStyle name="Comma 6 5 8" xfId="7958" xr:uid="{00000000-0005-0000-0000-0000D71E0000}"/>
    <cellStyle name="Comma 6 6" xfId="7959" xr:uid="{00000000-0005-0000-0000-0000D81E0000}"/>
    <cellStyle name="Comma 6 6 2" xfId="7960" xr:uid="{00000000-0005-0000-0000-0000D91E0000}"/>
    <cellStyle name="Comma 6 6 3" xfId="7961" xr:uid="{00000000-0005-0000-0000-0000DA1E0000}"/>
    <cellStyle name="Comma 6 6 4" xfId="7962" xr:uid="{00000000-0005-0000-0000-0000DB1E0000}"/>
    <cellStyle name="Comma 6 6 5" xfId="7963" xr:uid="{00000000-0005-0000-0000-0000DC1E0000}"/>
    <cellStyle name="Comma 6 6 6" xfId="7964" xr:uid="{00000000-0005-0000-0000-0000DD1E0000}"/>
    <cellStyle name="Comma 6 6 7" xfId="7965" xr:uid="{00000000-0005-0000-0000-0000DE1E0000}"/>
    <cellStyle name="Comma 6 6 8" xfId="7966" xr:uid="{00000000-0005-0000-0000-0000DF1E0000}"/>
    <cellStyle name="Comma 6 7" xfId="7967" xr:uid="{00000000-0005-0000-0000-0000E01E0000}"/>
    <cellStyle name="Comma 6 7 2" xfId="7968" xr:uid="{00000000-0005-0000-0000-0000E11E0000}"/>
    <cellStyle name="Comma 6 7 3" xfId="7969" xr:uid="{00000000-0005-0000-0000-0000E21E0000}"/>
    <cellStyle name="Comma 6 7 4" xfId="7970" xr:uid="{00000000-0005-0000-0000-0000E31E0000}"/>
    <cellStyle name="Comma 6 7 5" xfId="7971" xr:uid="{00000000-0005-0000-0000-0000E41E0000}"/>
    <cellStyle name="Comma 6 7 6" xfId="7972" xr:uid="{00000000-0005-0000-0000-0000E51E0000}"/>
    <cellStyle name="Comma 6 7 7" xfId="7973" xr:uid="{00000000-0005-0000-0000-0000E61E0000}"/>
    <cellStyle name="Comma 6 7 8" xfId="7974" xr:uid="{00000000-0005-0000-0000-0000E71E0000}"/>
    <cellStyle name="Comma 6 8" xfId="7975" xr:uid="{00000000-0005-0000-0000-0000E81E0000}"/>
    <cellStyle name="Comma 6 8 2" xfId="7976" xr:uid="{00000000-0005-0000-0000-0000E91E0000}"/>
    <cellStyle name="Comma 6 8 3" xfId="7977" xr:uid="{00000000-0005-0000-0000-0000EA1E0000}"/>
    <cellStyle name="Comma 6 8 4" xfId="7978" xr:uid="{00000000-0005-0000-0000-0000EB1E0000}"/>
    <cellStyle name="Comma 6 8 5" xfId="7979" xr:uid="{00000000-0005-0000-0000-0000EC1E0000}"/>
    <cellStyle name="Comma 6 8 6" xfId="7980" xr:uid="{00000000-0005-0000-0000-0000ED1E0000}"/>
    <cellStyle name="Comma 6 8 7" xfId="7981" xr:uid="{00000000-0005-0000-0000-0000EE1E0000}"/>
    <cellStyle name="Comma 6 8 8" xfId="7982" xr:uid="{00000000-0005-0000-0000-0000EF1E0000}"/>
    <cellStyle name="Comma 6 9" xfId="7983" xr:uid="{00000000-0005-0000-0000-0000F01E0000}"/>
    <cellStyle name="Comma 6 9 2" xfId="7984" xr:uid="{00000000-0005-0000-0000-0000F11E0000}"/>
    <cellStyle name="Comma 6 9 3" xfId="7985" xr:uid="{00000000-0005-0000-0000-0000F21E0000}"/>
    <cellStyle name="Comma 6 9 4" xfId="7986" xr:uid="{00000000-0005-0000-0000-0000F31E0000}"/>
    <cellStyle name="Comma 6 9 5" xfId="7987" xr:uid="{00000000-0005-0000-0000-0000F41E0000}"/>
    <cellStyle name="Comma 6 9 6" xfId="7988" xr:uid="{00000000-0005-0000-0000-0000F51E0000}"/>
    <cellStyle name="Comma 6 9 7" xfId="7989" xr:uid="{00000000-0005-0000-0000-0000F61E0000}"/>
    <cellStyle name="Comma 6 9 8" xfId="7990" xr:uid="{00000000-0005-0000-0000-0000F71E0000}"/>
    <cellStyle name="Comma 6_Analysis - Hodariyat - 20.06.09" xfId="7991" xr:uid="{00000000-0005-0000-0000-0000F81E0000}"/>
    <cellStyle name="Comma 7" xfId="7992" xr:uid="{00000000-0005-0000-0000-0000F91E0000}"/>
    <cellStyle name="Comma 7 10" xfId="7993" xr:uid="{00000000-0005-0000-0000-0000FA1E0000}"/>
    <cellStyle name="Comma 7 11" xfId="7994" xr:uid="{00000000-0005-0000-0000-0000FB1E0000}"/>
    <cellStyle name="Comma 7 12" xfId="7995" xr:uid="{00000000-0005-0000-0000-0000FC1E0000}"/>
    <cellStyle name="Comma 7 13" xfId="7996" xr:uid="{00000000-0005-0000-0000-0000FD1E0000}"/>
    <cellStyle name="Comma 7 14" xfId="7997" xr:uid="{00000000-0005-0000-0000-0000FE1E0000}"/>
    <cellStyle name="Comma 7 15" xfId="7998" xr:uid="{00000000-0005-0000-0000-0000FF1E0000}"/>
    <cellStyle name="Comma 7 2" xfId="7999" xr:uid="{00000000-0005-0000-0000-0000001F0000}"/>
    <cellStyle name="Comma 7 2 10" xfId="8000" xr:uid="{00000000-0005-0000-0000-0000011F0000}"/>
    <cellStyle name="Comma 7 2 11" xfId="8001" xr:uid="{00000000-0005-0000-0000-0000021F0000}"/>
    <cellStyle name="Comma 7 2 12" xfId="8002" xr:uid="{00000000-0005-0000-0000-0000031F0000}"/>
    <cellStyle name="Comma 7 2 2" xfId="8003" xr:uid="{00000000-0005-0000-0000-0000041F0000}"/>
    <cellStyle name="Comma 7 2 2 2" xfId="8004" xr:uid="{00000000-0005-0000-0000-0000051F0000}"/>
    <cellStyle name="Comma 7 2 3" xfId="8005" xr:uid="{00000000-0005-0000-0000-0000061F0000}"/>
    <cellStyle name="Comma 7 2 4" xfId="8006" xr:uid="{00000000-0005-0000-0000-0000071F0000}"/>
    <cellStyle name="Comma 7 2 5" xfId="8007" xr:uid="{00000000-0005-0000-0000-0000081F0000}"/>
    <cellStyle name="Comma 7 2 6" xfId="8008" xr:uid="{00000000-0005-0000-0000-0000091F0000}"/>
    <cellStyle name="Comma 7 2 7" xfId="8009" xr:uid="{00000000-0005-0000-0000-00000A1F0000}"/>
    <cellStyle name="Comma 7 2 8" xfId="8010" xr:uid="{00000000-0005-0000-0000-00000B1F0000}"/>
    <cellStyle name="Comma 7 2 9" xfId="8011" xr:uid="{00000000-0005-0000-0000-00000C1F0000}"/>
    <cellStyle name="Comma 7 3" xfId="8012" xr:uid="{00000000-0005-0000-0000-00000D1F0000}"/>
    <cellStyle name="Comma 7 3 10" xfId="8013" xr:uid="{00000000-0005-0000-0000-00000E1F0000}"/>
    <cellStyle name="Comma 7 3 2" xfId="8014" xr:uid="{00000000-0005-0000-0000-00000F1F0000}"/>
    <cellStyle name="Comma 7 3 3" xfId="8015" xr:uid="{00000000-0005-0000-0000-0000101F0000}"/>
    <cellStyle name="Comma 7 3 4" xfId="8016" xr:uid="{00000000-0005-0000-0000-0000111F0000}"/>
    <cellStyle name="Comma 7 3 5" xfId="8017" xr:uid="{00000000-0005-0000-0000-0000121F0000}"/>
    <cellStyle name="Comma 7 3 6" xfId="8018" xr:uid="{00000000-0005-0000-0000-0000131F0000}"/>
    <cellStyle name="Comma 7 3 7" xfId="8019" xr:uid="{00000000-0005-0000-0000-0000141F0000}"/>
    <cellStyle name="Comma 7 3 8" xfId="8020" xr:uid="{00000000-0005-0000-0000-0000151F0000}"/>
    <cellStyle name="Comma 7 3 9" xfId="8021" xr:uid="{00000000-0005-0000-0000-0000161F0000}"/>
    <cellStyle name="Comma 7 4" xfId="8022" xr:uid="{00000000-0005-0000-0000-0000171F0000}"/>
    <cellStyle name="Comma 7 4 2" xfId="8023" xr:uid="{00000000-0005-0000-0000-0000181F0000}"/>
    <cellStyle name="Comma 7 5" xfId="8024" xr:uid="{00000000-0005-0000-0000-0000191F0000}"/>
    <cellStyle name="Comma 7 5 2" xfId="8025" xr:uid="{00000000-0005-0000-0000-00001A1F0000}"/>
    <cellStyle name="Comma 7 5 3" xfId="8026" xr:uid="{00000000-0005-0000-0000-00001B1F0000}"/>
    <cellStyle name="Comma 7 6" xfId="8027" xr:uid="{00000000-0005-0000-0000-00001C1F0000}"/>
    <cellStyle name="Comma 7 6 2" xfId="8028" xr:uid="{00000000-0005-0000-0000-00001D1F0000}"/>
    <cellStyle name="Comma 7 6 3" xfId="8029" xr:uid="{00000000-0005-0000-0000-00001E1F0000}"/>
    <cellStyle name="Comma 7 7" xfId="8030" xr:uid="{00000000-0005-0000-0000-00001F1F0000}"/>
    <cellStyle name="Comma 7 7 2" xfId="8031" xr:uid="{00000000-0005-0000-0000-0000201F0000}"/>
    <cellStyle name="Comma 7 8" xfId="8032" xr:uid="{00000000-0005-0000-0000-0000211F0000}"/>
    <cellStyle name="Comma 7 9" xfId="8033" xr:uid="{00000000-0005-0000-0000-0000221F0000}"/>
    <cellStyle name="Comma 7_BoQ-RA-Al Sowa Island-Road Works (Road P6) To Client" xfId="8034" xr:uid="{00000000-0005-0000-0000-0000231F0000}"/>
    <cellStyle name="Comma 71" xfId="8035" xr:uid="{00000000-0005-0000-0000-0000241F0000}"/>
    <cellStyle name="Comma 72" xfId="8036" xr:uid="{00000000-0005-0000-0000-0000251F0000}"/>
    <cellStyle name="Comma 73" xfId="8037" xr:uid="{00000000-0005-0000-0000-0000261F0000}"/>
    <cellStyle name="Comma 74" xfId="8038" xr:uid="{00000000-0005-0000-0000-0000271F0000}"/>
    <cellStyle name="Comma 75" xfId="8039" xr:uid="{00000000-0005-0000-0000-0000281F0000}"/>
    <cellStyle name="Comma 76" xfId="8040" xr:uid="{00000000-0005-0000-0000-0000291F0000}"/>
    <cellStyle name="Comma 77" xfId="8041" xr:uid="{00000000-0005-0000-0000-00002A1F0000}"/>
    <cellStyle name="Comma 78" xfId="8042" xr:uid="{00000000-0005-0000-0000-00002B1F0000}"/>
    <cellStyle name="Comma 79" xfId="8043" xr:uid="{00000000-0005-0000-0000-00002C1F0000}"/>
    <cellStyle name="Comma 8" xfId="8044" xr:uid="{00000000-0005-0000-0000-00002D1F0000}"/>
    <cellStyle name="Comma 8 10" xfId="8045" xr:uid="{00000000-0005-0000-0000-00002E1F0000}"/>
    <cellStyle name="Comma 8 11" xfId="8046" xr:uid="{00000000-0005-0000-0000-00002F1F0000}"/>
    <cellStyle name="Comma 8 12" xfId="8047" xr:uid="{00000000-0005-0000-0000-0000301F0000}"/>
    <cellStyle name="Comma 8 13" xfId="8048" xr:uid="{00000000-0005-0000-0000-0000311F0000}"/>
    <cellStyle name="Comma 8 14" xfId="8049" xr:uid="{00000000-0005-0000-0000-0000321F0000}"/>
    <cellStyle name="Comma 8 15" xfId="8050" xr:uid="{00000000-0005-0000-0000-0000331F0000}"/>
    <cellStyle name="Comma 8 16" xfId="8051" xr:uid="{00000000-0005-0000-0000-0000341F0000}"/>
    <cellStyle name="Comma 8 17" xfId="8052" xr:uid="{00000000-0005-0000-0000-0000351F0000}"/>
    <cellStyle name="Comma 8 18" xfId="8053" xr:uid="{00000000-0005-0000-0000-0000361F0000}"/>
    <cellStyle name="Comma 8 19" xfId="8054" xr:uid="{00000000-0005-0000-0000-0000371F0000}"/>
    <cellStyle name="Comma 8 2" xfId="8055" xr:uid="{00000000-0005-0000-0000-0000381F0000}"/>
    <cellStyle name="Comma 8 2 10" xfId="8056" xr:uid="{00000000-0005-0000-0000-0000391F0000}"/>
    <cellStyle name="Comma 8 2 11" xfId="8057" xr:uid="{00000000-0005-0000-0000-00003A1F0000}"/>
    <cellStyle name="Comma 8 2 2" xfId="8058" xr:uid="{00000000-0005-0000-0000-00003B1F0000}"/>
    <cellStyle name="Comma 8 2 2 2" xfId="8059" xr:uid="{00000000-0005-0000-0000-00003C1F0000}"/>
    <cellStyle name="Comma 8 2 3" xfId="8060" xr:uid="{00000000-0005-0000-0000-00003D1F0000}"/>
    <cellStyle name="Comma 8 2 4" xfId="8061" xr:uid="{00000000-0005-0000-0000-00003E1F0000}"/>
    <cellStyle name="Comma 8 2 5" xfId="8062" xr:uid="{00000000-0005-0000-0000-00003F1F0000}"/>
    <cellStyle name="Comma 8 2 6" xfId="8063" xr:uid="{00000000-0005-0000-0000-0000401F0000}"/>
    <cellStyle name="Comma 8 2 7" xfId="8064" xr:uid="{00000000-0005-0000-0000-0000411F0000}"/>
    <cellStyle name="Comma 8 2 8" xfId="8065" xr:uid="{00000000-0005-0000-0000-0000421F0000}"/>
    <cellStyle name="Comma 8 2 9" xfId="8066" xr:uid="{00000000-0005-0000-0000-0000431F0000}"/>
    <cellStyle name="Comma 8 3" xfId="8067" xr:uid="{00000000-0005-0000-0000-0000441F0000}"/>
    <cellStyle name="Comma 8 4" xfId="8068" xr:uid="{00000000-0005-0000-0000-0000451F0000}"/>
    <cellStyle name="Comma 8 5" xfId="8069" xr:uid="{00000000-0005-0000-0000-0000461F0000}"/>
    <cellStyle name="Comma 8 6" xfId="8070" xr:uid="{00000000-0005-0000-0000-0000471F0000}"/>
    <cellStyle name="Comma 8 7" xfId="8071" xr:uid="{00000000-0005-0000-0000-0000481F0000}"/>
    <cellStyle name="Comma 8 8" xfId="8072" xr:uid="{00000000-0005-0000-0000-0000491F0000}"/>
    <cellStyle name="Comma 8 9" xfId="8073" xr:uid="{00000000-0005-0000-0000-00004A1F0000}"/>
    <cellStyle name="Comma 8_BoQ-RA-Al Sowa Island-Road Works (Road P6) To Client" xfId="8074" xr:uid="{00000000-0005-0000-0000-00004B1F0000}"/>
    <cellStyle name="Comma 80" xfId="8075" xr:uid="{00000000-0005-0000-0000-00004C1F0000}"/>
    <cellStyle name="Comma 81" xfId="8076" xr:uid="{00000000-0005-0000-0000-00004D1F0000}"/>
    <cellStyle name="Comma 82" xfId="8077" xr:uid="{00000000-0005-0000-0000-00004E1F0000}"/>
    <cellStyle name="Comma 83" xfId="8078" xr:uid="{00000000-0005-0000-0000-00004F1F0000}"/>
    <cellStyle name="Comma 84" xfId="8079" xr:uid="{00000000-0005-0000-0000-0000501F0000}"/>
    <cellStyle name="Comma 9" xfId="8080" xr:uid="{00000000-0005-0000-0000-0000511F0000}"/>
    <cellStyle name="Comma 9 10" xfId="8081" xr:uid="{00000000-0005-0000-0000-0000521F0000}"/>
    <cellStyle name="Comma 9 11" xfId="8082" xr:uid="{00000000-0005-0000-0000-0000531F0000}"/>
    <cellStyle name="Comma 9 12" xfId="8083" xr:uid="{00000000-0005-0000-0000-0000541F0000}"/>
    <cellStyle name="Comma 9 13" xfId="8084" xr:uid="{00000000-0005-0000-0000-0000551F0000}"/>
    <cellStyle name="Comma 9 14" xfId="8085" xr:uid="{00000000-0005-0000-0000-0000561F0000}"/>
    <cellStyle name="Comma 9 15" xfId="8086" xr:uid="{00000000-0005-0000-0000-0000571F0000}"/>
    <cellStyle name="Comma 9 16" xfId="8087" xr:uid="{00000000-0005-0000-0000-0000581F0000}"/>
    <cellStyle name="Comma 9 17" xfId="8088" xr:uid="{00000000-0005-0000-0000-0000591F0000}"/>
    <cellStyle name="Comma 9 18" xfId="8089" xr:uid="{00000000-0005-0000-0000-00005A1F0000}"/>
    <cellStyle name="Comma 9 2" xfId="8090" xr:uid="{00000000-0005-0000-0000-00005B1F0000}"/>
    <cellStyle name="Comma 9 2 2" xfId="8091" xr:uid="{00000000-0005-0000-0000-00005C1F0000}"/>
    <cellStyle name="Comma 9 2 2 2" xfId="8092" xr:uid="{00000000-0005-0000-0000-00005D1F0000}"/>
    <cellStyle name="Comma 9 2 2 3" xfId="8093" xr:uid="{00000000-0005-0000-0000-00005E1F0000}"/>
    <cellStyle name="Comma 9 2 3" xfId="8094" xr:uid="{00000000-0005-0000-0000-00005F1F0000}"/>
    <cellStyle name="Comma 9 2 3 2" xfId="8095" xr:uid="{00000000-0005-0000-0000-0000601F0000}"/>
    <cellStyle name="Comma 9 2 3 3" xfId="8096" xr:uid="{00000000-0005-0000-0000-0000611F0000}"/>
    <cellStyle name="Comma 9 2 4" xfId="8097" xr:uid="{00000000-0005-0000-0000-0000621F0000}"/>
    <cellStyle name="Comma 9 2 5" xfId="8098" xr:uid="{00000000-0005-0000-0000-0000631F0000}"/>
    <cellStyle name="Comma 9 3" xfId="8099" xr:uid="{00000000-0005-0000-0000-0000641F0000}"/>
    <cellStyle name="Comma 9 3 2" xfId="8100" xr:uid="{00000000-0005-0000-0000-0000651F0000}"/>
    <cellStyle name="Comma 9 3 3" xfId="8101" xr:uid="{00000000-0005-0000-0000-0000661F0000}"/>
    <cellStyle name="Comma 9 4" xfId="8102" xr:uid="{00000000-0005-0000-0000-0000671F0000}"/>
    <cellStyle name="Comma 9 5" xfId="8103" xr:uid="{00000000-0005-0000-0000-0000681F0000}"/>
    <cellStyle name="Comma 9 6" xfId="8104" xr:uid="{00000000-0005-0000-0000-0000691F0000}"/>
    <cellStyle name="Comma 9 7" xfId="8105" xr:uid="{00000000-0005-0000-0000-00006A1F0000}"/>
    <cellStyle name="Comma 9 8" xfId="8106" xr:uid="{00000000-0005-0000-0000-00006B1F0000}"/>
    <cellStyle name="Comma 9 9" xfId="8107" xr:uid="{00000000-0005-0000-0000-00006C1F0000}"/>
    <cellStyle name="comma zerodec" xfId="8108" xr:uid="{00000000-0005-0000-0000-00006D1F0000}"/>
    <cellStyle name="comma zerodec 2" xfId="8109" xr:uid="{00000000-0005-0000-0000-00006E1F0000}"/>
    <cellStyle name="Comma*" xfId="8110" xr:uid="{00000000-0005-0000-0000-00006F1F0000}"/>
    <cellStyle name="Comma,0" xfId="8111" xr:uid="{00000000-0005-0000-0000-0000701F0000}"/>
    <cellStyle name="Comma,1" xfId="8112" xr:uid="{00000000-0005-0000-0000-0000711F0000}"/>
    <cellStyle name="Comma,2" xfId="8113" xr:uid="{00000000-0005-0000-0000-0000721F0000}"/>
    <cellStyle name="comma[0]" xfId="8114" xr:uid="{00000000-0005-0000-0000-0000731F0000}"/>
    <cellStyle name="Comma0" xfId="8115" xr:uid="{00000000-0005-0000-0000-0000741F0000}"/>
    <cellStyle name="Comma0 - Style4" xfId="8116" xr:uid="{00000000-0005-0000-0000-0000751F0000}"/>
    <cellStyle name="Comma0 - Style5" xfId="8117" xr:uid="{00000000-0005-0000-0000-0000761F0000}"/>
    <cellStyle name="Comma0 10" xfId="8118" xr:uid="{00000000-0005-0000-0000-0000771F0000}"/>
    <cellStyle name="Comma0 11" xfId="8119" xr:uid="{00000000-0005-0000-0000-0000781F0000}"/>
    <cellStyle name="Comma0 2" xfId="8120" xr:uid="{00000000-0005-0000-0000-0000791F0000}"/>
    <cellStyle name="Comma0 2 2" xfId="8121" xr:uid="{00000000-0005-0000-0000-00007A1F0000}"/>
    <cellStyle name="Comma0 2 3" xfId="8122" xr:uid="{00000000-0005-0000-0000-00007B1F0000}"/>
    <cellStyle name="Comma0 2 4" xfId="8123" xr:uid="{00000000-0005-0000-0000-00007C1F0000}"/>
    <cellStyle name="Comma0 3" xfId="8124" xr:uid="{00000000-0005-0000-0000-00007D1F0000}"/>
    <cellStyle name="Comma0 4" xfId="8125" xr:uid="{00000000-0005-0000-0000-00007E1F0000}"/>
    <cellStyle name="Comma0 5" xfId="8126" xr:uid="{00000000-0005-0000-0000-00007F1F0000}"/>
    <cellStyle name="Comma0 6" xfId="8127" xr:uid="{00000000-0005-0000-0000-0000801F0000}"/>
    <cellStyle name="Comma0 7" xfId="8128" xr:uid="{00000000-0005-0000-0000-0000811F0000}"/>
    <cellStyle name="Comma0 8" xfId="8129" xr:uid="{00000000-0005-0000-0000-0000821F0000}"/>
    <cellStyle name="Comma0 9" xfId="8130" xr:uid="{00000000-0005-0000-0000-0000831F0000}"/>
    <cellStyle name="Comma0_Budget Oberoi Commerz 2  3 R3_08052008 (3)" xfId="8131" xr:uid="{00000000-0005-0000-0000-0000841F0000}"/>
    <cellStyle name="Comma1" xfId="8132" xr:uid="{00000000-0005-0000-0000-0000851F0000}"/>
    <cellStyle name="Comma1 - Style1" xfId="8133" xr:uid="{00000000-0005-0000-0000-0000861F0000}"/>
    <cellStyle name="Comma2" xfId="8134" xr:uid="{00000000-0005-0000-0000-0000871F0000}"/>
    <cellStyle name="Comma3" xfId="8135" xr:uid="{00000000-0005-0000-0000-0000881F0000}"/>
    <cellStyle name="comman" xfId="8136" xr:uid="{00000000-0005-0000-0000-0000891F0000}"/>
    <cellStyle name="Comma-Rounded" xfId="8137" xr:uid="{00000000-0005-0000-0000-00008A1F0000}"/>
    <cellStyle name="commas" xfId="8138" xr:uid="{00000000-0005-0000-0000-00008B1F0000}"/>
    <cellStyle name="Copied" xfId="38" xr:uid="{00000000-0005-0000-0000-00008C1F0000}"/>
    <cellStyle name="Copied 10" xfId="8139" xr:uid="{00000000-0005-0000-0000-00008D1F0000}"/>
    <cellStyle name="Copied 2" xfId="8140" xr:uid="{00000000-0005-0000-0000-00008E1F0000}"/>
    <cellStyle name="Copied 2 2" xfId="8141" xr:uid="{00000000-0005-0000-0000-00008F1F0000}"/>
    <cellStyle name="Copied 2 3" xfId="8142" xr:uid="{00000000-0005-0000-0000-0000901F0000}"/>
    <cellStyle name="Copied 2 4" xfId="8143" xr:uid="{00000000-0005-0000-0000-0000911F0000}"/>
    <cellStyle name="Copied 2_KC720 - JCR - Mar '11" xfId="8144" xr:uid="{00000000-0005-0000-0000-0000921F0000}"/>
    <cellStyle name="Copied 3" xfId="8145" xr:uid="{00000000-0005-0000-0000-0000931F0000}"/>
    <cellStyle name="Copied 4" xfId="8146" xr:uid="{00000000-0005-0000-0000-0000941F0000}"/>
    <cellStyle name="Copied 5" xfId="8147" xr:uid="{00000000-0005-0000-0000-0000951F0000}"/>
    <cellStyle name="Copied 6" xfId="8148" xr:uid="{00000000-0005-0000-0000-0000961F0000}"/>
    <cellStyle name="Copied 7" xfId="8149" xr:uid="{00000000-0005-0000-0000-0000971F0000}"/>
    <cellStyle name="Copied 8" xfId="8150" xr:uid="{00000000-0005-0000-0000-0000981F0000}"/>
    <cellStyle name="Copied 9" xfId="8151" xr:uid="{00000000-0005-0000-0000-0000991F0000}"/>
    <cellStyle name="Copied_Boq dpl PH3 REv2" xfId="8152" xr:uid="{00000000-0005-0000-0000-00009A1F0000}"/>
    <cellStyle name="COST1" xfId="8153" xr:uid="{00000000-0005-0000-0000-00009B1F0000}"/>
    <cellStyle name="COURIER" xfId="8154" xr:uid="{00000000-0005-0000-0000-00009C1F0000}"/>
    <cellStyle name="Cover" xfId="8155" xr:uid="{00000000-0005-0000-0000-00009D1F0000}"/>
    <cellStyle name="Cover Date" xfId="8156" xr:uid="{00000000-0005-0000-0000-00009E1F0000}"/>
    <cellStyle name="Cover Subtitle" xfId="8157" xr:uid="{00000000-0005-0000-0000-00009F1F0000}"/>
    <cellStyle name="Cover Title" xfId="8158" xr:uid="{00000000-0005-0000-0000-0000A01F0000}"/>
    <cellStyle name="COVERAGE" xfId="8159" xr:uid="{00000000-0005-0000-0000-0000A11F0000}"/>
    <cellStyle name="CSI" xfId="8160" xr:uid="{00000000-0005-0000-0000-0000A21F0000}"/>
    <cellStyle name="CSI 2" xfId="8161" xr:uid="{00000000-0005-0000-0000-0000A31F0000}"/>
    <cellStyle name="Cur" xfId="8162" xr:uid="{00000000-0005-0000-0000-0000A41F0000}"/>
    <cellStyle name="Curren - Style1" xfId="8163" xr:uid="{00000000-0005-0000-0000-0000A51F0000}"/>
    <cellStyle name="Curren - Style5" xfId="8164" xr:uid="{00000000-0005-0000-0000-0000A61F0000}"/>
    <cellStyle name="Curren - Style6" xfId="8165" xr:uid="{00000000-0005-0000-0000-0000A71F0000}"/>
    <cellStyle name="Currencq [0]_Invoices_C" xfId="8166" xr:uid="{00000000-0005-0000-0000-0000A81F0000}"/>
    <cellStyle name="Currency--" xfId="8167" xr:uid="{00000000-0005-0000-0000-0000A91F0000}"/>
    <cellStyle name="Currency $" xfId="8168" xr:uid="{00000000-0005-0000-0000-0000AA1F0000}"/>
    <cellStyle name="Currency $ 2" xfId="8169" xr:uid="{00000000-0005-0000-0000-0000AB1F0000}"/>
    <cellStyle name="Currency ($)" xfId="8170" xr:uid="{00000000-0005-0000-0000-0000AC1F0000}"/>
    <cellStyle name="Currency (£)" xfId="8171" xr:uid="{00000000-0005-0000-0000-0000AD1F0000}"/>
    <cellStyle name="Currency [0] 2" xfId="8172" xr:uid="{00000000-0005-0000-0000-0000AE1F0000}"/>
    <cellStyle name="Currency [00]" xfId="8173" xr:uid="{00000000-0005-0000-0000-0000AF1F0000}"/>
    <cellStyle name="Currency [1]" xfId="8174" xr:uid="{00000000-0005-0000-0000-0000B01F0000}"/>
    <cellStyle name="Currency [2]" xfId="8175" xr:uid="{00000000-0005-0000-0000-0000B11F0000}"/>
    <cellStyle name="Currency [3]" xfId="8176" xr:uid="{00000000-0005-0000-0000-0000B21F0000}"/>
    <cellStyle name="Currency 0" xfId="8177" xr:uid="{00000000-0005-0000-0000-0000B31F0000}"/>
    <cellStyle name="Currency 2" xfId="8178" xr:uid="{00000000-0005-0000-0000-0000B41F0000}"/>
    <cellStyle name="Currency 2 2" xfId="8179" xr:uid="{00000000-0005-0000-0000-0000B51F0000}"/>
    <cellStyle name="Currency 2 2 2" xfId="8180" xr:uid="{00000000-0005-0000-0000-0000B61F0000}"/>
    <cellStyle name="Currency 2 2 3" xfId="8181" xr:uid="{00000000-0005-0000-0000-0000B71F0000}"/>
    <cellStyle name="Currency 2 2 4" xfId="8182" xr:uid="{00000000-0005-0000-0000-0000B81F0000}"/>
    <cellStyle name="Currency 2 3" xfId="8183" xr:uid="{00000000-0005-0000-0000-0000B91F0000}"/>
    <cellStyle name="Currency 2 4" xfId="8184" xr:uid="{00000000-0005-0000-0000-0000BA1F0000}"/>
    <cellStyle name="Currency 2 5" xfId="8185" xr:uid="{00000000-0005-0000-0000-0000BB1F0000}"/>
    <cellStyle name="Currency 2 6" xfId="8186" xr:uid="{00000000-0005-0000-0000-0000BC1F0000}"/>
    <cellStyle name="Currency 2 7" xfId="8187" xr:uid="{00000000-0005-0000-0000-0000BD1F0000}"/>
    <cellStyle name="Currency 2 8" xfId="8188" xr:uid="{00000000-0005-0000-0000-0000BE1F0000}"/>
    <cellStyle name="Currency 2*" xfId="8189" xr:uid="{00000000-0005-0000-0000-0000BF1F0000}"/>
    <cellStyle name="Currency 2_Assump" xfId="8190" xr:uid="{00000000-0005-0000-0000-0000C01F0000}"/>
    <cellStyle name="Currency 3" xfId="8191" xr:uid="{00000000-0005-0000-0000-0000C11F0000}"/>
    <cellStyle name="Currency 3 10" xfId="8192" xr:uid="{00000000-0005-0000-0000-0000C21F0000}"/>
    <cellStyle name="Currency 3 2" xfId="8193" xr:uid="{00000000-0005-0000-0000-0000C31F0000}"/>
    <cellStyle name="Currency 3 2 2" xfId="8194" xr:uid="{00000000-0005-0000-0000-0000C41F0000}"/>
    <cellStyle name="Currency 3 2 2 2" xfId="8195" xr:uid="{00000000-0005-0000-0000-0000C51F0000}"/>
    <cellStyle name="Currency 3 3" xfId="8196" xr:uid="{00000000-0005-0000-0000-0000C61F0000}"/>
    <cellStyle name="Currency 3 4" xfId="8197" xr:uid="{00000000-0005-0000-0000-0000C71F0000}"/>
    <cellStyle name="Currency 3 5" xfId="8198" xr:uid="{00000000-0005-0000-0000-0000C81F0000}"/>
    <cellStyle name="Currency 3 6" xfId="8199" xr:uid="{00000000-0005-0000-0000-0000C91F0000}"/>
    <cellStyle name="Currency 3 7" xfId="8200" xr:uid="{00000000-0005-0000-0000-0000CA1F0000}"/>
    <cellStyle name="Currency 3 8" xfId="8201" xr:uid="{00000000-0005-0000-0000-0000CB1F0000}"/>
    <cellStyle name="Currency 3 9" xfId="8202" xr:uid="{00000000-0005-0000-0000-0000CC1F0000}"/>
    <cellStyle name="Currency 3*" xfId="8203" xr:uid="{00000000-0005-0000-0000-0000CD1F0000}"/>
    <cellStyle name="Currency 3_Sheet2" xfId="8204" xr:uid="{00000000-0005-0000-0000-0000CE1F0000}"/>
    <cellStyle name="Currency 4" xfId="8205" xr:uid="{00000000-0005-0000-0000-0000CF1F0000}"/>
    <cellStyle name="Currency 4 2" xfId="8206" xr:uid="{00000000-0005-0000-0000-0000D01F0000}"/>
    <cellStyle name="Currency 4 3" xfId="8207" xr:uid="{00000000-0005-0000-0000-0000D11F0000}"/>
    <cellStyle name="Currency 4 4" xfId="8208" xr:uid="{00000000-0005-0000-0000-0000D21F0000}"/>
    <cellStyle name="Currency 4 5" xfId="8209" xr:uid="{00000000-0005-0000-0000-0000D31F0000}"/>
    <cellStyle name="Currency 4 6" xfId="8210" xr:uid="{00000000-0005-0000-0000-0000D41F0000}"/>
    <cellStyle name="Currency 4 7" xfId="8211" xr:uid="{00000000-0005-0000-0000-0000D51F0000}"/>
    <cellStyle name="Currency 4 8" xfId="8212" xr:uid="{00000000-0005-0000-0000-0000D61F0000}"/>
    <cellStyle name="Currency 5" xfId="8213" xr:uid="{00000000-0005-0000-0000-0000D71F0000}"/>
    <cellStyle name="Currency 5 2" xfId="8214" xr:uid="{00000000-0005-0000-0000-0000D81F0000}"/>
    <cellStyle name="Currency 5 3" xfId="8215" xr:uid="{00000000-0005-0000-0000-0000D91F0000}"/>
    <cellStyle name="Currency 5 4" xfId="8216" xr:uid="{00000000-0005-0000-0000-0000DA1F0000}"/>
    <cellStyle name="Currency 5 5" xfId="8217" xr:uid="{00000000-0005-0000-0000-0000DB1F0000}"/>
    <cellStyle name="Currency 5 6" xfId="8218" xr:uid="{00000000-0005-0000-0000-0000DC1F0000}"/>
    <cellStyle name="Currency 5 7" xfId="8219" xr:uid="{00000000-0005-0000-0000-0000DD1F0000}"/>
    <cellStyle name="Currency 5 8" xfId="8220" xr:uid="{00000000-0005-0000-0000-0000DE1F0000}"/>
    <cellStyle name="Currency 6" xfId="8221" xr:uid="{00000000-0005-0000-0000-0000DF1F0000}"/>
    <cellStyle name="Currency Per Share" xfId="8222" xr:uid="{00000000-0005-0000-0000-0000E01F0000}"/>
    <cellStyle name="Currency w/o $" xfId="8223" xr:uid="{00000000-0005-0000-0000-0000E11F0000}"/>
    <cellStyle name="Currency*" xfId="8224" xr:uid="{00000000-0005-0000-0000-0000E21F0000}"/>
    <cellStyle name="Currency,0" xfId="8225" xr:uid="{00000000-0005-0000-0000-0000E31F0000}"/>
    <cellStyle name="Currency,2" xfId="8226" xr:uid="{00000000-0005-0000-0000-0000E41F0000}"/>
    <cellStyle name="Currency--_Midland v40 (with HPI's projection)" xfId="8227" xr:uid="{00000000-0005-0000-0000-0000E51F0000}"/>
    <cellStyle name="Currency0" xfId="8228" xr:uid="{00000000-0005-0000-0000-0000E61F0000}"/>
    <cellStyle name="Currency0 10" xfId="8229" xr:uid="{00000000-0005-0000-0000-0000E71F0000}"/>
    <cellStyle name="Currency0 11" xfId="8230" xr:uid="{00000000-0005-0000-0000-0000E81F0000}"/>
    <cellStyle name="Currency0 12" xfId="8231" xr:uid="{00000000-0005-0000-0000-0000E91F0000}"/>
    <cellStyle name="Currency0 13" xfId="8232" xr:uid="{00000000-0005-0000-0000-0000EA1F0000}"/>
    <cellStyle name="Currency0 2" xfId="8233" xr:uid="{00000000-0005-0000-0000-0000EB1F0000}"/>
    <cellStyle name="Currency0 2 2" xfId="8234" xr:uid="{00000000-0005-0000-0000-0000EC1F0000}"/>
    <cellStyle name="Currency0 2 3" xfId="8235" xr:uid="{00000000-0005-0000-0000-0000ED1F0000}"/>
    <cellStyle name="Currency0 2 4" xfId="8236" xr:uid="{00000000-0005-0000-0000-0000EE1F0000}"/>
    <cellStyle name="Currency0 3" xfId="8237" xr:uid="{00000000-0005-0000-0000-0000EF1F0000}"/>
    <cellStyle name="Currency0 4" xfId="8238" xr:uid="{00000000-0005-0000-0000-0000F01F0000}"/>
    <cellStyle name="Currency0 5" xfId="8239" xr:uid="{00000000-0005-0000-0000-0000F11F0000}"/>
    <cellStyle name="Currency0 6" xfId="8240" xr:uid="{00000000-0005-0000-0000-0000F21F0000}"/>
    <cellStyle name="Currency0 7" xfId="8241" xr:uid="{00000000-0005-0000-0000-0000F31F0000}"/>
    <cellStyle name="Currency0 8" xfId="8242" xr:uid="{00000000-0005-0000-0000-0000F41F0000}"/>
    <cellStyle name="Currency0 9" xfId="8243" xr:uid="{00000000-0005-0000-0000-0000F51F0000}"/>
    <cellStyle name="Currency0_Extra items Diff" xfId="8244" xr:uid="{00000000-0005-0000-0000-0000F61F0000}"/>
    <cellStyle name="Currency1" xfId="8245" xr:uid="{00000000-0005-0000-0000-0000F71F0000}"/>
    <cellStyle name="Currency1 2" xfId="8246" xr:uid="{00000000-0005-0000-0000-0000F81F0000}"/>
    <cellStyle name="Currency-Rounded" xfId="8247" xr:uid="{00000000-0005-0000-0000-0000F91F0000}"/>
    <cellStyle name="CUSTOM" xfId="8248" xr:uid="{00000000-0005-0000-0000-0000FA1F0000}"/>
    <cellStyle name="Custom - Style8" xfId="8249" xr:uid="{00000000-0005-0000-0000-0000FB1F0000}"/>
    <cellStyle name="CUSTOM 2" xfId="8250" xr:uid="{00000000-0005-0000-0000-0000FC1F0000}"/>
    <cellStyle name="CUSTOM_Amend 2 DPL CONTRACT" xfId="8251" xr:uid="{00000000-0005-0000-0000-0000FD1F0000}"/>
    <cellStyle name="d" xfId="8252" xr:uid="{00000000-0005-0000-0000-0000FE1F0000}"/>
    <cellStyle name="d mmm yy" xfId="8253" xr:uid="{00000000-0005-0000-0000-0000FF1F0000}"/>
    <cellStyle name="d_Budget Oberoi Commerz 2  3 R3_08052008 (3)" xfId="8254" xr:uid="{00000000-0005-0000-0000-000000200000}"/>
    <cellStyle name="d_Budget Oberoi Commerz 2  May_09_08" xfId="8255" xr:uid="{00000000-0005-0000-0000-000001200000}"/>
    <cellStyle name="d_Budget Oberoi Commerz II_May_08_08 (5)" xfId="8256" xr:uid="{00000000-0005-0000-0000-000002200000}"/>
    <cellStyle name="d_IBP I  - Commerz ver 3" xfId="8257" xr:uid="{00000000-0005-0000-0000-000003200000}"/>
    <cellStyle name="d_IBP I Hotel ver 6" xfId="8258" xr:uid="{00000000-0005-0000-0000-000004200000}"/>
    <cellStyle name="d_Revised budget commez Hotel+Office Bldg-R9 (3)" xfId="8259" xr:uid="{00000000-0005-0000-0000-000005200000}"/>
    <cellStyle name="Dash" xfId="8260" xr:uid="{00000000-0005-0000-0000-000006200000}"/>
    <cellStyle name="Data   - Style2" xfId="8261" xr:uid="{00000000-0005-0000-0000-000007200000}"/>
    <cellStyle name="Data   - Style2 2" xfId="8262" xr:uid="{00000000-0005-0000-0000-000008200000}"/>
    <cellStyle name="Data   - Style2 3" xfId="8263" xr:uid="{00000000-0005-0000-0000-000009200000}"/>
    <cellStyle name="DATA_ENT" xfId="8264" xr:uid="{00000000-0005-0000-0000-00000A200000}"/>
    <cellStyle name="date" xfId="8265" xr:uid="{00000000-0005-0000-0000-00000B200000}"/>
    <cellStyle name="Date - Style3" xfId="8266" xr:uid="{00000000-0005-0000-0000-00000C200000}"/>
    <cellStyle name="Date - Style4" xfId="8267" xr:uid="{00000000-0005-0000-0000-00000D200000}"/>
    <cellStyle name="Date [d-mmm-yy]" xfId="8268" xr:uid="{00000000-0005-0000-0000-00000E200000}"/>
    <cellStyle name="Date [D-M-Y]" xfId="8269" xr:uid="{00000000-0005-0000-0000-00000F200000}"/>
    <cellStyle name="Date [M/D/Y]" xfId="8270" xr:uid="{00000000-0005-0000-0000-000010200000}"/>
    <cellStyle name="Date [M/Y]" xfId="8271" xr:uid="{00000000-0005-0000-0000-000011200000}"/>
    <cellStyle name="Date [mm-d-yy]" xfId="8272" xr:uid="{00000000-0005-0000-0000-000012200000}"/>
    <cellStyle name="Date [mm-d-yyyy]" xfId="8273" xr:uid="{00000000-0005-0000-0000-000013200000}"/>
    <cellStyle name="Date [mmm-d-yyyy]" xfId="8274" xr:uid="{00000000-0005-0000-0000-000014200000}"/>
    <cellStyle name="Date [mmm-yy]" xfId="8275" xr:uid="{00000000-0005-0000-0000-000015200000}"/>
    <cellStyle name="Date [mmm-yyyy]" xfId="8276" xr:uid="{00000000-0005-0000-0000-000016200000}"/>
    <cellStyle name="Date [M-Y]" xfId="8277" xr:uid="{00000000-0005-0000-0000-000017200000}"/>
    <cellStyle name="Date 10" xfId="8278" xr:uid="{00000000-0005-0000-0000-000018200000}"/>
    <cellStyle name="date 2" xfId="8279" xr:uid="{00000000-0005-0000-0000-000019200000}"/>
    <cellStyle name="Date 2 2" xfId="8280" xr:uid="{00000000-0005-0000-0000-00001A200000}"/>
    <cellStyle name="Date 2 3" xfId="8281" xr:uid="{00000000-0005-0000-0000-00001B200000}"/>
    <cellStyle name="Date 2 4" xfId="8282" xr:uid="{00000000-0005-0000-0000-00001C200000}"/>
    <cellStyle name="Date 2_KC720 - JCR - Mar '11" xfId="8283" xr:uid="{00000000-0005-0000-0000-00001D200000}"/>
    <cellStyle name="date 3" xfId="8284" xr:uid="{00000000-0005-0000-0000-00001E200000}"/>
    <cellStyle name="Date 4" xfId="8285" xr:uid="{00000000-0005-0000-0000-00001F200000}"/>
    <cellStyle name="Date 5" xfId="8286" xr:uid="{00000000-0005-0000-0000-000020200000}"/>
    <cellStyle name="Date 6" xfId="8287" xr:uid="{00000000-0005-0000-0000-000021200000}"/>
    <cellStyle name="Date 7" xfId="8288" xr:uid="{00000000-0005-0000-0000-000022200000}"/>
    <cellStyle name="Date 8" xfId="8289" xr:uid="{00000000-0005-0000-0000-000023200000}"/>
    <cellStyle name="Date 9" xfId="8290" xr:uid="{00000000-0005-0000-0000-000024200000}"/>
    <cellStyle name="Date Aligned" xfId="8291" xr:uid="{00000000-0005-0000-0000-000025200000}"/>
    <cellStyle name="Date Aligned*" xfId="8292" xr:uid="{00000000-0005-0000-0000-000026200000}"/>
    <cellStyle name="Date Aligned_Assump" xfId="8293" xr:uid="{00000000-0005-0000-0000-000027200000}"/>
    <cellStyle name="Date Short" xfId="8294" xr:uid="{00000000-0005-0000-0000-000028200000}"/>
    <cellStyle name="Date_~0205992" xfId="8295" xr:uid="{00000000-0005-0000-0000-000029200000}"/>
    <cellStyle name="date1" xfId="8296" xr:uid="{00000000-0005-0000-0000-00002A200000}"/>
    <cellStyle name="date1 2" xfId="8297" xr:uid="{00000000-0005-0000-0000-00002B200000}"/>
    <cellStyle name="date1 3" xfId="8298" xr:uid="{00000000-0005-0000-0000-00002C200000}"/>
    <cellStyle name="date2" xfId="8299" xr:uid="{00000000-0005-0000-0000-00002D200000}"/>
    <cellStyle name="Date2h" xfId="8300" xr:uid="{00000000-0005-0000-0000-00002E200000}"/>
    <cellStyle name="Datum(text)" xfId="8301" xr:uid="{00000000-0005-0000-0000-00002F200000}"/>
    <cellStyle name="DB Model Standard" xfId="8302" xr:uid="{00000000-0005-0000-0000-000030200000}"/>
    <cellStyle name="dd" xfId="8303" xr:uid="{00000000-0005-0000-0000-000031200000}"/>
    <cellStyle name="ddd" xfId="8304" xr:uid="{00000000-0005-0000-0000-000032200000}"/>
    <cellStyle name="DELTA" xfId="8305" xr:uid="{00000000-0005-0000-0000-000033200000}"/>
    <cellStyle name="DELTA 10" xfId="8306" xr:uid="{00000000-0005-0000-0000-000034200000}"/>
    <cellStyle name="DELTA 11" xfId="8307" xr:uid="{00000000-0005-0000-0000-000035200000}"/>
    <cellStyle name="DELTA 2" xfId="8308" xr:uid="{00000000-0005-0000-0000-000036200000}"/>
    <cellStyle name="DELTA 2 2" xfId="8309" xr:uid="{00000000-0005-0000-0000-000037200000}"/>
    <cellStyle name="DELTA 3" xfId="8310" xr:uid="{00000000-0005-0000-0000-000038200000}"/>
    <cellStyle name="DELTA 3 2" xfId="8311" xr:uid="{00000000-0005-0000-0000-000039200000}"/>
    <cellStyle name="DELTA 4" xfId="8312" xr:uid="{00000000-0005-0000-0000-00003A200000}"/>
    <cellStyle name="DELTA 5" xfId="8313" xr:uid="{00000000-0005-0000-0000-00003B200000}"/>
    <cellStyle name="DELTA 6" xfId="8314" xr:uid="{00000000-0005-0000-0000-00003C200000}"/>
    <cellStyle name="DELTA 7" xfId="8315" xr:uid="{00000000-0005-0000-0000-00003D200000}"/>
    <cellStyle name="DELTA 8" xfId="8316" xr:uid="{00000000-0005-0000-0000-00003E200000}"/>
    <cellStyle name="DELTA 9" xfId="8317" xr:uid="{00000000-0005-0000-0000-00003F200000}"/>
    <cellStyle name="Description" xfId="8318" xr:uid="{00000000-0005-0000-0000-000040200000}"/>
    <cellStyle name="Description 2" xfId="8319" xr:uid="{00000000-0005-0000-0000-000041200000}"/>
    <cellStyle name="Description_DLF Capital Greens -Consolidated Finishes BOQ Phase II " xfId="8320" xr:uid="{00000000-0005-0000-0000-000042200000}"/>
    <cellStyle name="Dezimal [0]_A+B2400" xfId="8321" xr:uid="{00000000-0005-0000-0000-000043200000}"/>
    <cellStyle name="Dezimal_ Magirus " xfId="8322" xr:uid="{00000000-0005-0000-0000-000044200000}"/>
    <cellStyle name="dollar" xfId="8323" xr:uid="{00000000-0005-0000-0000-000045200000}"/>
    <cellStyle name="Dollar (zero dec)" xfId="8324" xr:uid="{00000000-0005-0000-0000-000046200000}"/>
    <cellStyle name="Dollar (zero dec) 2" xfId="8325" xr:uid="{00000000-0005-0000-0000-000047200000}"/>
    <cellStyle name="Dollar.00" xfId="8326" xr:uid="{00000000-0005-0000-0000-000048200000}"/>
    <cellStyle name="dollar[0]" xfId="8327" xr:uid="{00000000-0005-0000-0000-000049200000}"/>
    <cellStyle name="dollars" xfId="8328" xr:uid="{00000000-0005-0000-0000-00004A200000}"/>
    <cellStyle name="Dotted Line" xfId="8329" xr:uid="{00000000-0005-0000-0000-00004B200000}"/>
    <cellStyle name="DOWNFOOT" xfId="8330" xr:uid="{00000000-0005-0000-0000-00004C200000}"/>
    <cellStyle name="dr" xfId="8331" xr:uid="{00000000-0005-0000-0000-00004D200000}"/>
    <cellStyle name="ds" xfId="8332" xr:uid="{00000000-0005-0000-0000-00004E200000}"/>
    <cellStyle name="Editable" xfId="8333" xr:uid="{00000000-0005-0000-0000-00004F200000}"/>
    <cellStyle name="EI Code" xfId="8334" xr:uid="{00000000-0005-0000-0000-000050200000}"/>
    <cellStyle name="Eingabe" xfId="8335" xr:uid="{00000000-0005-0000-0000-000051200000}"/>
    <cellStyle name="Emphasis 1" xfId="8336" xr:uid="{00000000-0005-0000-0000-000052200000}"/>
    <cellStyle name="Emphasis 1 2" xfId="8337" xr:uid="{00000000-0005-0000-0000-000053200000}"/>
    <cellStyle name="Emphasis 1 3" xfId="8338" xr:uid="{00000000-0005-0000-0000-000054200000}"/>
    <cellStyle name="Emphasis 1 4" xfId="8339" xr:uid="{00000000-0005-0000-0000-000055200000}"/>
    <cellStyle name="Emphasis 1 5" xfId="8340" xr:uid="{00000000-0005-0000-0000-000056200000}"/>
    <cellStyle name="Emphasis 1 6" xfId="8341" xr:uid="{00000000-0005-0000-0000-000057200000}"/>
    <cellStyle name="Emphasis 1 7" xfId="8342" xr:uid="{00000000-0005-0000-0000-000058200000}"/>
    <cellStyle name="Emphasis 1 8" xfId="8343" xr:uid="{00000000-0005-0000-0000-000059200000}"/>
    <cellStyle name="Emphasis 1 9" xfId="8344" xr:uid="{00000000-0005-0000-0000-00005A200000}"/>
    <cellStyle name="Emphasis 2" xfId="8345" xr:uid="{00000000-0005-0000-0000-00005B200000}"/>
    <cellStyle name="Emphasis 2 2" xfId="8346" xr:uid="{00000000-0005-0000-0000-00005C200000}"/>
    <cellStyle name="Emphasis 2 3" xfId="8347" xr:uid="{00000000-0005-0000-0000-00005D200000}"/>
    <cellStyle name="Emphasis 2 4" xfId="8348" xr:uid="{00000000-0005-0000-0000-00005E200000}"/>
    <cellStyle name="Emphasis 2 5" xfId="8349" xr:uid="{00000000-0005-0000-0000-00005F200000}"/>
    <cellStyle name="Emphasis 2 6" xfId="8350" xr:uid="{00000000-0005-0000-0000-000060200000}"/>
    <cellStyle name="Emphasis 2 7" xfId="8351" xr:uid="{00000000-0005-0000-0000-000061200000}"/>
    <cellStyle name="Emphasis 2 8" xfId="8352" xr:uid="{00000000-0005-0000-0000-000062200000}"/>
    <cellStyle name="Emphasis 2 9" xfId="8353" xr:uid="{00000000-0005-0000-0000-000063200000}"/>
    <cellStyle name="Emphasis 3" xfId="8354" xr:uid="{00000000-0005-0000-0000-000064200000}"/>
    <cellStyle name="Emphasis 3 2" xfId="8355" xr:uid="{00000000-0005-0000-0000-000065200000}"/>
    <cellStyle name="Emphasis 3 3" xfId="8356" xr:uid="{00000000-0005-0000-0000-000066200000}"/>
    <cellStyle name="Emphasis 3 4" xfId="8357" xr:uid="{00000000-0005-0000-0000-000067200000}"/>
    <cellStyle name="Emphasis 3 5" xfId="8358" xr:uid="{00000000-0005-0000-0000-000068200000}"/>
    <cellStyle name="Emphasis 3 6" xfId="8359" xr:uid="{00000000-0005-0000-0000-000069200000}"/>
    <cellStyle name="Emphasis 3 7" xfId="8360" xr:uid="{00000000-0005-0000-0000-00006A200000}"/>
    <cellStyle name="Emphasis 3 8" xfId="8361" xr:uid="{00000000-0005-0000-0000-00006B200000}"/>
    <cellStyle name="Emphasis 3 9" xfId="8362" xr:uid="{00000000-0005-0000-0000-00006C200000}"/>
    <cellStyle name="Encabezado 4" xfId="8363" xr:uid="{00000000-0005-0000-0000-00006D200000}"/>
    <cellStyle name="Énfasis1" xfId="8364" xr:uid="{00000000-0005-0000-0000-00006E200000}"/>
    <cellStyle name="Énfasis2" xfId="8365" xr:uid="{00000000-0005-0000-0000-00006F200000}"/>
    <cellStyle name="Énfasis3" xfId="8366" xr:uid="{00000000-0005-0000-0000-000070200000}"/>
    <cellStyle name="Énfasis4" xfId="8367" xr:uid="{00000000-0005-0000-0000-000071200000}"/>
    <cellStyle name="Énfasis5" xfId="8368" xr:uid="{00000000-0005-0000-0000-000072200000}"/>
    <cellStyle name="Énfasis6" xfId="8369" xr:uid="{00000000-0005-0000-0000-000073200000}"/>
    <cellStyle name="Enter Currency (0)" xfId="8370" xr:uid="{00000000-0005-0000-0000-000074200000}"/>
    <cellStyle name="Enter Currency (0) 10" xfId="8371" xr:uid="{00000000-0005-0000-0000-000075200000}"/>
    <cellStyle name="Enter Currency (0) 11" xfId="8372" xr:uid="{00000000-0005-0000-0000-000076200000}"/>
    <cellStyle name="Enter Currency (0) 2" xfId="8373" xr:uid="{00000000-0005-0000-0000-000077200000}"/>
    <cellStyle name="Enter Currency (0) 2 2" xfId="8374" xr:uid="{00000000-0005-0000-0000-000078200000}"/>
    <cellStyle name="Enter Currency (0) 3" xfId="8375" xr:uid="{00000000-0005-0000-0000-000079200000}"/>
    <cellStyle name="Enter Currency (0) 3 2" xfId="8376" xr:uid="{00000000-0005-0000-0000-00007A200000}"/>
    <cellStyle name="Enter Currency (0) 4" xfId="8377" xr:uid="{00000000-0005-0000-0000-00007B200000}"/>
    <cellStyle name="Enter Currency (0) 5" xfId="8378" xr:uid="{00000000-0005-0000-0000-00007C200000}"/>
    <cellStyle name="Enter Currency (0) 6" xfId="8379" xr:uid="{00000000-0005-0000-0000-00007D200000}"/>
    <cellStyle name="Enter Currency (0) 7" xfId="8380" xr:uid="{00000000-0005-0000-0000-00007E200000}"/>
    <cellStyle name="Enter Currency (0) 8" xfId="8381" xr:uid="{00000000-0005-0000-0000-00007F200000}"/>
    <cellStyle name="Enter Currency (0) 9" xfId="8382" xr:uid="{00000000-0005-0000-0000-000080200000}"/>
    <cellStyle name="Enter Currency (2)" xfId="8383" xr:uid="{00000000-0005-0000-0000-000081200000}"/>
    <cellStyle name="Enter Units (0)" xfId="8384" xr:uid="{00000000-0005-0000-0000-000082200000}"/>
    <cellStyle name="Enter Units (0) 10" xfId="8385" xr:uid="{00000000-0005-0000-0000-000083200000}"/>
    <cellStyle name="Enter Units (0) 11" xfId="8386" xr:uid="{00000000-0005-0000-0000-000084200000}"/>
    <cellStyle name="Enter Units (0) 2" xfId="8387" xr:uid="{00000000-0005-0000-0000-000085200000}"/>
    <cellStyle name="Enter Units (0) 2 2" xfId="8388" xr:uid="{00000000-0005-0000-0000-000086200000}"/>
    <cellStyle name="Enter Units (0) 3" xfId="8389" xr:uid="{00000000-0005-0000-0000-000087200000}"/>
    <cellStyle name="Enter Units (0) 3 2" xfId="8390" xr:uid="{00000000-0005-0000-0000-000088200000}"/>
    <cellStyle name="Enter Units (0) 4" xfId="8391" xr:uid="{00000000-0005-0000-0000-000089200000}"/>
    <cellStyle name="Enter Units (0) 5" xfId="8392" xr:uid="{00000000-0005-0000-0000-00008A200000}"/>
    <cellStyle name="Enter Units (0) 6" xfId="8393" xr:uid="{00000000-0005-0000-0000-00008B200000}"/>
    <cellStyle name="Enter Units (0) 7" xfId="8394" xr:uid="{00000000-0005-0000-0000-00008C200000}"/>
    <cellStyle name="Enter Units (0) 8" xfId="8395" xr:uid="{00000000-0005-0000-0000-00008D200000}"/>
    <cellStyle name="Enter Units (0) 9" xfId="8396" xr:uid="{00000000-0005-0000-0000-00008E200000}"/>
    <cellStyle name="Enter Units (1)" xfId="8397" xr:uid="{00000000-0005-0000-0000-00008F200000}"/>
    <cellStyle name="Enter Units (1) 10" xfId="8398" xr:uid="{00000000-0005-0000-0000-000090200000}"/>
    <cellStyle name="Enter Units (1) 11" xfId="8399" xr:uid="{00000000-0005-0000-0000-000091200000}"/>
    <cellStyle name="Enter Units (1) 2" xfId="8400" xr:uid="{00000000-0005-0000-0000-000092200000}"/>
    <cellStyle name="Enter Units (1) 2 2" xfId="8401" xr:uid="{00000000-0005-0000-0000-000093200000}"/>
    <cellStyle name="Enter Units (1) 3" xfId="8402" xr:uid="{00000000-0005-0000-0000-000094200000}"/>
    <cellStyle name="Enter Units (1) 3 2" xfId="8403" xr:uid="{00000000-0005-0000-0000-000095200000}"/>
    <cellStyle name="Enter Units (1) 4" xfId="8404" xr:uid="{00000000-0005-0000-0000-000096200000}"/>
    <cellStyle name="Enter Units (1) 5" xfId="8405" xr:uid="{00000000-0005-0000-0000-000097200000}"/>
    <cellStyle name="Enter Units (1) 6" xfId="8406" xr:uid="{00000000-0005-0000-0000-000098200000}"/>
    <cellStyle name="Enter Units (1) 7" xfId="8407" xr:uid="{00000000-0005-0000-0000-000099200000}"/>
    <cellStyle name="Enter Units (1) 8" xfId="8408" xr:uid="{00000000-0005-0000-0000-00009A200000}"/>
    <cellStyle name="Enter Units (1) 9" xfId="8409" xr:uid="{00000000-0005-0000-0000-00009B200000}"/>
    <cellStyle name="Enter Units (2)" xfId="8410" xr:uid="{00000000-0005-0000-0000-00009C200000}"/>
    <cellStyle name="Entered" xfId="39" xr:uid="{00000000-0005-0000-0000-00009D200000}"/>
    <cellStyle name="Entered 10" xfId="8411" xr:uid="{00000000-0005-0000-0000-00009E200000}"/>
    <cellStyle name="Entered 2" xfId="8412" xr:uid="{00000000-0005-0000-0000-00009F200000}"/>
    <cellStyle name="Entered 2 2" xfId="8413" xr:uid="{00000000-0005-0000-0000-0000A0200000}"/>
    <cellStyle name="Entered 2 3" xfId="8414" xr:uid="{00000000-0005-0000-0000-0000A1200000}"/>
    <cellStyle name="Entered 2 4" xfId="8415" xr:uid="{00000000-0005-0000-0000-0000A2200000}"/>
    <cellStyle name="Entered 2_KC720 - JCR - Mar '11" xfId="8416" xr:uid="{00000000-0005-0000-0000-0000A3200000}"/>
    <cellStyle name="Entered 3" xfId="8417" xr:uid="{00000000-0005-0000-0000-0000A4200000}"/>
    <cellStyle name="Entered 4" xfId="8418" xr:uid="{00000000-0005-0000-0000-0000A5200000}"/>
    <cellStyle name="Entered 5" xfId="8419" xr:uid="{00000000-0005-0000-0000-0000A6200000}"/>
    <cellStyle name="Entered 6" xfId="8420" xr:uid="{00000000-0005-0000-0000-0000A7200000}"/>
    <cellStyle name="Entered 7" xfId="8421" xr:uid="{00000000-0005-0000-0000-0000A8200000}"/>
    <cellStyle name="Entered 8" xfId="8422" xr:uid="{00000000-0005-0000-0000-0000A9200000}"/>
    <cellStyle name="Entered 9" xfId="8423" xr:uid="{00000000-0005-0000-0000-0000AA200000}"/>
    <cellStyle name="Entered_Boq dpl PH3 REv2" xfId="8424" xr:uid="{00000000-0005-0000-0000-0000AB200000}"/>
    <cellStyle name="En-tête 1" xfId="8425" xr:uid="{00000000-0005-0000-0000-0000AC200000}"/>
    <cellStyle name="En-tête 2" xfId="8426" xr:uid="{00000000-0005-0000-0000-0000AD200000}"/>
    <cellStyle name="Entrada" xfId="8427" xr:uid="{00000000-0005-0000-0000-0000AE200000}"/>
    <cellStyle name="EPS" xfId="8428" xr:uid="{00000000-0005-0000-0000-0000AF200000}"/>
    <cellStyle name="Ergebnis" xfId="8429" xr:uid="{00000000-0005-0000-0000-0000B0200000}"/>
    <cellStyle name="Erklärender Text" xfId="8430" xr:uid="{00000000-0005-0000-0000-0000B1200000}"/>
    <cellStyle name="Euro" xfId="8431" xr:uid="{00000000-0005-0000-0000-0000B2200000}"/>
    <cellStyle name="Euro 10" xfId="8432" xr:uid="{00000000-0005-0000-0000-0000B3200000}"/>
    <cellStyle name="Euro 11" xfId="8433" xr:uid="{00000000-0005-0000-0000-0000B4200000}"/>
    <cellStyle name="Euro 2" xfId="8434" xr:uid="{00000000-0005-0000-0000-0000B5200000}"/>
    <cellStyle name="Euro 3" xfId="8435" xr:uid="{00000000-0005-0000-0000-0000B6200000}"/>
    <cellStyle name="Euro 4" xfId="8436" xr:uid="{00000000-0005-0000-0000-0000B7200000}"/>
    <cellStyle name="Euro 5" xfId="8437" xr:uid="{00000000-0005-0000-0000-0000B8200000}"/>
    <cellStyle name="Euro 6" xfId="8438" xr:uid="{00000000-0005-0000-0000-0000B9200000}"/>
    <cellStyle name="Euro 7" xfId="8439" xr:uid="{00000000-0005-0000-0000-0000BA200000}"/>
    <cellStyle name="Euro 8" xfId="8440" xr:uid="{00000000-0005-0000-0000-0000BB200000}"/>
    <cellStyle name="Euro 9" xfId="8441" xr:uid="{00000000-0005-0000-0000-0000BC200000}"/>
    <cellStyle name="Excel Built-in 20% - Accent1" xfId="8442" xr:uid="{00000000-0005-0000-0000-0000BD200000}"/>
    <cellStyle name="Excel Built-in 20% - Accent2" xfId="8443" xr:uid="{00000000-0005-0000-0000-0000BE200000}"/>
    <cellStyle name="Excel Built-in 20% - Accent3" xfId="8444" xr:uid="{00000000-0005-0000-0000-0000BF200000}"/>
    <cellStyle name="Excel Built-in 20% - Accent4" xfId="8445" xr:uid="{00000000-0005-0000-0000-0000C0200000}"/>
    <cellStyle name="Excel Built-in 20% - Accent5" xfId="8446" xr:uid="{00000000-0005-0000-0000-0000C1200000}"/>
    <cellStyle name="Excel Built-in 20% - Accent6" xfId="8447" xr:uid="{00000000-0005-0000-0000-0000C2200000}"/>
    <cellStyle name="Excel Built-in 40% - Accent1" xfId="8448" xr:uid="{00000000-0005-0000-0000-0000C3200000}"/>
    <cellStyle name="Excel Built-in 40% - Accent2" xfId="8449" xr:uid="{00000000-0005-0000-0000-0000C4200000}"/>
    <cellStyle name="Excel Built-in 40% - Accent3" xfId="8450" xr:uid="{00000000-0005-0000-0000-0000C5200000}"/>
    <cellStyle name="Excel Built-in 40% - Accent4" xfId="8451" xr:uid="{00000000-0005-0000-0000-0000C6200000}"/>
    <cellStyle name="Excel Built-in 40% - Accent5" xfId="8452" xr:uid="{00000000-0005-0000-0000-0000C7200000}"/>
    <cellStyle name="Excel Built-in 40% - Accent6" xfId="8453" xr:uid="{00000000-0005-0000-0000-0000C8200000}"/>
    <cellStyle name="Excel Built-in 60% - Accent1" xfId="8454" xr:uid="{00000000-0005-0000-0000-0000C9200000}"/>
    <cellStyle name="Excel Built-in 60% - Accent2" xfId="8455" xr:uid="{00000000-0005-0000-0000-0000CA200000}"/>
    <cellStyle name="Excel Built-in 60% - Accent3" xfId="8456" xr:uid="{00000000-0005-0000-0000-0000CB200000}"/>
    <cellStyle name="Excel Built-in 60% - Accent4" xfId="8457" xr:uid="{00000000-0005-0000-0000-0000CC200000}"/>
    <cellStyle name="Excel Built-in 60% - Accent5" xfId="8458" xr:uid="{00000000-0005-0000-0000-0000CD200000}"/>
    <cellStyle name="Excel Built-in 60% - Accent6" xfId="8459" xr:uid="{00000000-0005-0000-0000-0000CE200000}"/>
    <cellStyle name="Excel Built-in Accent1" xfId="8460" xr:uid="{00000000-0005-0000-0000-0000CF200000}"/>
    <cellStyle name="Excel Built-in Accent2" xfId="8461" xr:uid="{00000000-0005-0000-0000-0000D0200000}"/>
    <cellStyle name="Excel Built-in Accent3" xfId="8462" xr:uid="{00000000-0005-0000-0000-0000D1200000}"/>
    <cellStyle name="Excel Built-in Accent4" xfId="8463" xr:uid="{00000000-0005-0000-0000-0000D2200000}"/>
    <cellStyle name="Excel Built-in Accent5" xfId="8464" xr:uid="{00000000-0005-0000-0000-0000D3200000}"/>
    <cellStyle name="Excel Built-in Accent6" xfId="8465" xr:uid="{00000000-0005-0000-0000-0000D4200000}"/>
    <cellStyle name="Excel Built-in Bad" xfId="8466" xr:uid="{00000000-0005-0000-0000-0000D5200000}"/>
    <cellStyle name="Excel Built-in Calculation" xfId="8467" xr:uid="{00000000-0005-0000-0000-0000D6200000}"/>
    <cellStyle name="Excel Built-in Check Cell" xfId="8468" xr:uid="{00000000-0005-0000-0000-0000D7200000}"/>
    <cellStyle name="Excel Built-in Comma" xfId="8469" xr:uid="{00000000-0005-0000-0000-0000D8200000}"/>
    <cellStyle name="Excel Built-in Excel Built-in Excel Built-in Excel Built-in Excel Built-in Excel Built-in Excel Built-in Excel Built-in TableStyleLight1" xfId="8470" xr:uid="{00000000-0005-0000-0000-0000D9200000}"/>
    <cellStyle name="Excel Built-in Explanatory Text" xfId="8471" xr:uid="{00000000-0005-0000-0000-0000DA200000}"/>
    <cellStyle name="Excel Built-in Good" xfId="8472" xr:uid="{00000000-0005-0000-0000-0000DB200000}"/>
    <cellStyle name="Excel Built-in Heading 1" xfId="8473" xr:uid="{00000000-0005-0000-0000-0000DC200000}"/>
    <cellStyle name="Excel Built-in Heading 2" xfId="8474" xr:uid="{00000000-0005-0000-0000-0000DD200000}"/>
    <cellStyle name="Excel Built-in Heading 3" xfId="8475" xr:uid="{00000000-0005-0000-0000-0000DE200000}"/>
    <cellStyle name="Excel Built-in Heading 4" xfId="8476" xr:uid="{00000000-0005-0000-0000-0000DF200000}"/>
    <cellStyle name="Excel Built-in Input" xfId="8477" xr:uid="{00000000-0005-0000-0000-0000E0200000}"/>
    <cellStyle name="Excel Built-in Linked Cell" xfId="8478" xr:uid="{00000000-0005-0000-0000-0000E1200000}"/>
    <cellStyle name="Excel Built-in Neutral" xfId="8479" xr:uid="{00000000-0005-0000-0000-0000E2200000}"/>
    <cellStyle name="Excel Built-in Normal" xfId="8480" xr:uid="{00000000-0005-0000-0000-0000E3200000}"/>
    <cellStyle name="Excel Built-in Normal 1" xfId="8481" xr:uid="{00000000-0005-0000-0000-0000E4200000}"/>
    <cellStyle name="Excel Built-in Normal 10" xfId="8482" xr:uid="{00000000-0005-0000-0000-0000E5200000}"/>
    <cellStyle name="Excel Built-in Normal 2" xfId="8483" xr:uid="{00000000-0005-0000-0000-0000E6200000}"/>
    <cellStyle name="Excel Built-in Normal 2 2" xfId="8484" xr:uid="{00000000-0005-0000-0000-0000E7200000}"/>
    <cellStyle name="Excel Built-in Normal 3" xfId="8485" xr:uid="{00000000-0005-0000-0000-0000E8200000}"/>
    <cellStyle name="Excel Built-in Normal 4" xfId="8486" xr:uid="{00000000-0005-0000-0000-0000E9200000}"/>
    <cellStyle name="Excel Built-in Normal 5" xfId="8487" xr:uid="{00000000-0005-0000-0000-0000EA200000}"/>
    <cellStyle name="Excel Built-in Normal 6" xfId="8488" xr:uid="{00000000-0005-0000-0000-0000EB200000}"/>
    <cellStyle name="Excel Built-in Normal 7" xfId="8489" xr:uid="{00000000-0005-0000-0000-0000EC200000}"/>
    <cellStyle name="Excel Built-in Normal 8" xfId="8490" xr:uid="{00000000-0005-0000-0000-0000ED200000}"/>
    <cellStyle name="Excel Built-in Normal 9" xfId="8491" xr:uid="{00000000-0005-0000-0000-0000EE200000}"/>
    <cellStyle name="Excel Built-in Note" xfId="8492" xr:uid="{00000000-0005-0000-0000-0000EF200000}"/>
    <cellStyle name="Excel Built-in Output" xfId="8493" xr:uid="{00000000-0005-0000-0000-0000F0200000}"/>
    <cellStyle name="Excel Built-in Percent" xfId="8494" xr:uid="{00000000-0005-0000-0000-0000F1200000}"/>
    <cellStyle name="Excel Built-in Title" xfId="8495" xr:uid="{00000000-0005-0000-0000-0000F2200000}"/>
    <cellStyle name="Excel Built-in Total" xfId="8496" xr:uid="{00000000-0005-0000-0000-0000F3200000}"/>
    <cellStyle name="Excel Built-in Warning Text" xfId="8497" xr:uid="{00000000-0005-0000-0000-0000F4200000}"/>
    <cellStyle name="Excel_BuiltIn_Comma 2_Building_-_5-final_Price_Variation(1)" xfId="8498" xr:uid="{00000000-0005-0000-0000-0000F5200000}"/>
    <cellStyle name="Explanatory Text" xfId="40" builtinId="53" customBuiltin="1"/>
    <cellStyle name="Explanatory Text 1" xfId="8499" xr:uid="{00000000-0005-0000-0000-0000F7200000}"/>
    <cellStyle name="Explanatory Text 1 1" xfId="8500" xr:uid="{00000000-0005-0000-0000-0000F8200000}"/>
    <cellStyle name="Explanatory Text 10" xfId="8501" xr:uid="{00000000-0005-0000-0000-0000F9200000}"/>
    <cellStyle name="Explanatory Text 10 2" xfId="8502" xr:uid="{00000000-0005-0000-0000-0000FA200000}"/>
    <cellStyle name="Explanatory Text 10 3" xfId="8503" xr:uid="{00000000-0005-0000-0000-0000FB200000}"/>
    <cellStyle name="Explanatory Text 10 4" xfId="8504" xr:uid="{00000000-0005-0000-0000-0000FC200000}"/>
    <cellStyle name="Explanatory Text 11" xfId="8505" xr:uid="{00000000-0005-0000-0000-0000FD200000}"/>
    <cellStyle name="Explanatory Text 11 2" xfId="8506" xr:uid="{00000000-0005-0000-0000-0000FE200000}"/>
    <cellStyle name="Explanatory Text 11 3" xfId="8507" xr:uid="{00000000-0005-0000-0000-0000FF200000}"/>
    <cellStyle name="Explanatory Text 11 4" xfId="8508" xr:uid="{00000000-0005-0000-0000-000000210000}"/>
    <cellStyle name="Explanatory Text 12" xfId="8509" xr:uid="{00000000-0005-0000-0000-000001210000}"/>
    <cellStyle name="Explanatory Text 12 2" xfId="8510" xr:uid="{00000000-0005-0000-0000-000002210000}"/>
    <cellStyle name="Explanatory Text 12 3" xfId="8511" xr:uid="{00000000-0005-0000-0000-000003210000}"/>
    <cellStyle name="Explanatory Text 12 4" xfId="8512" xr:uid="{00000000-0005-0000-0000-000004210000}"/>
    <cellStyle name="Explanatory Text 13" xfId="8513" xr:uid="{00000000-0005-0000-0000-000005210000}"/>
    <cellStyle name="Explanatory Text 13 2" xfId="8514" xr:uid="{00000000-0005-0000-0000-000006210000}"/>
    <cellStyle name="Explanatory Text 13 3" xfId="8515" xr:uid="{00000000-0005-0000-0000-000007210000}"/>
    <cellStyle name="Explanatory Text 13 4" xfId="8516" xr:uid="{00000000-0005-0000-0000-000008210000}"/>
    <cellStyle name="Explanatory Text 14" xfId="8517" xr:uid="{00000000-0005-0000-0000-000009210000}"/>
    <cellStyle name="Explanatory Text 14 2" xfId="8518" xr:uid="{00000000-0005-0000-0000-00000A210000}"/>
    <cellStyle name="Explanatory Text 15" xfId="8519" xr:uid="{00000000-0005-0000-0000-00000B210000}"/>
    <cellStyle name="Explanatory Text 15 2" xfId="8520" xr:uid="{00000000-0005-0000-0000-00000C210000}"/>
    <cellStyle name="Explanatory Text 16" xfId="8521" xr:uid="{00000000-0005-0000-0000-00000D210000}"/>
    <cellStyle name="Explanatory Text 16 2" xfId="8522" xr:uid="{00000000-0005-0000-0000-00000E210000}"/>
    <cellStyle name="Explanatory Text 17" xfId="8523" xr:uid="{00000000-0005-0000-0000-00000F210000}"/>
    <cellStyle name="Explanatory Text 17 2" xfId="8524" xr:uid="{00000000-0005-0000-0000-000010210000}"/>
    <cellStyle name="Explanatory Text 18" xfId="8525" xr:uid="{00000000-0005-0000-0000-000011210000}"/>
    <cellStyle name="Explanatory Text 18 2" xfId="8526" xr:uid="{00000000-0005-0000-0000-000012210000}"/>
    <cellStyle name="Explanatory Text 19" xfId="8527" xr:uid="{00000000-0005-0000-0000-000013210000}"/>
    <cellStyle name="Explanatory Text 19 2" xfId="8528" xr:uid="{00000000-0005-0000-0000-000014210000}"/>
    <cellStyle name="Explanatory Text 2" xfId="8529" xr:uid="{00000000-0005-0000-0000-000015210000}"/>
    <cellStyle name="Explanatory Text 2 10" xfId="8530" xr:uid="{00000000-0005-0000-0000-000016210000}"/>
    <cellStyle name="Explanatory Text 2 10 2" xfId="8531" xr:uid="{00000000-0005-0000-0000-000017210000}"/>
    <cellStyle name="Explanatory Text 2 11" xfId="8532" xr:uid="{00000000-0005-0000-0000-000018210000}"/>
    <cellStyle name="Explanatory Text 2 2" xfId="8533" xr:uid="{00000000-0005-0000-0000-000019210000}"/>
    <cellStyle name="Explanatory Text 2 2 2" xfId="8534" xr:uid="{00000000-0005-0000-0000-00001A210000}"/>
    <cellStyle name="Explanatory Text 2 3" xfId="8535" xr:uid="{00000000-0005-0000-0000-00001B210000}"/>
    <cellStyle name="Explanatory Text 2 3 2" xfId="8536" xr:uid="{00000000-0005-0000-0000-00001C210000}"/>
    <cellStyle name="Explanatory Text 2 4" xfId="8537" xr:uid="{00000000-0005-0000-0000-00001D210000}"/>
    <cellStyle name="Explanatory Text 2 4 2" xfId="8538" xr:uid="{00000000-0005-0000-0000-00001E210000}"/>
    <cellStyle name="Explanatory Text 2 5" xfId="8539" xr:uid="{00000000-0005-0000-0000-00001F210000}"/>
    <cellStyle name="Explanatory Text 2 5 2" xfId="8540" xr:uid="{00000000-0005-0000-0000-000020210000}"/>
    <cellStyle name="Explanatory Text 2 6" xfId="8541" xr:uid="{00000000-0005-0000-0000-000021210000}"/>
    <cellStyle name="Explanatory Text 2 6 2" xfId="8542" xr:uid="{00000000-0005-0000-0000-000022210000}"/>
    <cellStyle name="Explanatory Text 2 7" xfId="8543" xr:uid="{00000000-0005-0000-0000-000023210000}"/>
    <cellStyle name="Explanatory Text 2 7 2" xfId="8544" xr:uid="{00000000-0005-0000-0000-000024210000}"/>
    <cellStyle name="Explanatory Text 2 8" xfId="8545" xr:uid="{00000000-0005-0000-0000-000025210000}"/>
    <cellStyle name="Explanatory Text 2 8 2" xfId="8546" xr:uid="{00000000-0005-0000-0000-000026210000}"/>
    <cellStyle name="Explanatory Text 2 9" xfId="8547" xr:uid="{00000000-0005-0000-0000-000027210000}"/>
    <cellStyle name="Explanatory Text 2 9 2" xfId="8548" xr:uid="{00000000-0005-0000-0000-000028210000}"/>
    <cellStyle name="Explanatory Text 2_Block-F LGF POur-II BBS" xfId="8549" xr:uid="{00000000-0005-0000-0000-000029210000}"/>
    <cellStyle name="Explanatory Text 20" xfId="8550" xr:uid="{00000000-0005-0000-0000-00002A210000}"/>
    <cellStyle name="Explanatory Text 20 2" xfId="8551" xr:uid="{00000000-0005-0000-0000-00002B210000}"/>
    <cellStyle name="Explanatory Text 21" xfId="8552" xr:uid="{00000000-0005-0000-0000-00002C210000}"/>
    <cellStyle name="Explanatory Text 21 2" xfId="8553" xr:uid="{00000000-0005-0000-0000-00002D210000}"/>
    <cellStyle name="Explanatory Text 22" xfId="8554" xr:uid="{00000000-0005-0000-0000-00002E210000}"/>
    <cellStyle name="Explanatory Text 23" xfId="8555" xr:uid="{00000000-0005-0000-0000-00002F210000}"/>
    <cellStyle name="Explanatory Text 24" xfId="8556" xr:uid="{00000000-0005-0000-0000-000030210000}"/>
    <cellStyle name="Explanatory Text 25" xfId="8557" xr:uid="{00000000-0005-0000-0000-000031210000}"/>
    <cellStyle name="Explanatory Text 26" xfId="8558" xr:uid="{00000000-0005-0000-0000-000032210000}"/>
    <cellStyle name="Explanatory Text 27" xfId="8559" xr:uid="{00000000-0005-0000-0000-000033210000}"/>
    <cellStyle name="Explanatory Text 28" xfId="8560" xr:uid="{00000000-0005-0000-0000-000034210000}"/>
    <cellStyle name="Explanatory Text 29" xfId="8561" xr:uid="{00000000-0005-0000-0000-000035210000}"/>
    <cellStyle name="Explanatory Text 3" xfId="8562" xr:uid="{00000000-0005-0000-0000-000036210000}"/>
    <cellStyle name="Explanatory Text 3 2" xfId="8563" xr:uid="{00000000-0005-0000-0000-000037210000}"/>
    <cellStyle name="Explanatory Text 3 2 2" xfId="8564" xr:uid="{00000000-0005-0000-0000-000038210000}"/>
    <cellStyle name="Explanatory Text 3 3" xfId="8565" xr:uid="{00000000-0005-0000-0000-000039210000}"/>
    <cellStyle name="Explanatory Text 3 4" xfId="8566" xr:uid="{00000000-0005-0000-0000-00003A210000}"/>
    <cellStyle name="Explanatory Text 3_Sheet2" xfId="8567" xr:uid="{00000000-0005-0000-0000-00003B210000}"/>
    <cellStyle name="Explanatory Text 30" xfId="8568" xr:uid="{00000000-0005-0000-0000-00003C210000}"/>
    <cellStyle name="Explanatory Text 31" xfId="8569" xr:uid="{00000000-0005-0000-0000-00003D210000}"/>
    <cellStyle name="Explanatory Text 32" xfId="8570" xr:uid="{00000000-0005-0000-0000-00003E210000}"/>
    <cellStyle name="Explanatory Text 33" xfId="8571" xr:uid="{00000000-0005-0000-0000-00003F210000}"/>
    <cellStyle name="Explanatory Text 34" xfId="8572" xr:uid="{00000000-0005-0000-0000-000040210000}"/>
    <cellStyle name="Explanatory Text 35" xfId="8573" xr:uid="{00000000-0005-0000-0000-000041210000}"/>
    <cellStyle name="Explanatory Text 36" xfId="8574" xr:uid="{00000000-0005-0000-0000-000042210000}"/>
    <cellStyle name="Explanatory Text 37" xfId="8575" xr:uid="{00000000-0005-0000-0000-000043210000}"/>
    <cellStyle name="Explanatory Text 38" xfId="8576" xr:uid="{00000000-0005-0000-0000-000044210000}"/>
    <cellStyle name="Explanatory Text 39" xfId="8577" xr:uid="{00000000-0005-0000-0000-000045210000}"/>
    <cellStyle name="Explanatory Text 4" xfId="8578" xr:uid="{00000000-0005-0000-0000-000046210000}"/>
    <cellStyle name="Explanatory Text 4 2" xfId="8579" xr:uid="{00000000-0005-0000-0000-000047210000}"/>
    <cellStyle name="Explanatory Text 4 3" xfId="8580" xr:uid="{00000000-0005-0000-0000-000048210000}"/>
    <cellStyle name="Explanatory Text 4 4" xfId="8581" xr:uid="{00000000-0005-0000-0000-000049210000}"/>
    <cellStyle name="Explanatory Text 4_Sheet2" xfId="8582" xr:uid="{00000000-0005-0000-0000-00004A210000}"/>
    <cellStyle name="Explanatory Text 5" xfId="8583" xr:uid="{00000000-0005-0000-0000-00004B210000}"/>
    <cellStyle name="Explanatory Text 5 2" xfId="8584" xr:uid="{00000000-0005-0000-0000-00004C210000}"/>
    <cellStyle name="Explanatory Text 5 3" xfId="8585" xr:uid="{00000000-0005-0000-0000-00004D210000}"/>
    <cellStyle name="Explanatory Text 5 4" xfId="8586" xr:uid="{00000000-0005-0000-0000-00004E210000}"/>
    <cellStyle name="Explanatory Text 5_Sheet2" xfId="8587" xr:uid="{00000000-0005-0000-0000-00004F210000}"/>
    <cellStyle name="Explanatory Text 6" xfId="8588" xr:uid="{00000000-0005-0000-0000-000050210000}"/>
    <cellStyle name="Explanatory Text 6 2" xfId="8589" xr:uid="{00000000-0005-0000-0000-000051210000}"/>
    <cellStyle name="Explanatory Text 6 3" xfId="8590" xr:uid="{00000000-0005-0000-0000-000052210000}"/>
    <cellStyle name="Explanatory Text 6 4" xfId="8591" xr:uid="{00000000-0005-0000-0000-000053210000}"/>
    <cellStyle name="Explanatory Text 6_Sheet2" xfId="8592" xr:uid="{00000000-0005-0000-0000-000054210000}"/>
    <cellStyle name="Explanatory Text 7" xfId="8593" xr:uid="{00000000-0005-0000-0000-000055210000}"/>
    <cellStyle name="Explanatory Text 7 2" xfId="8594" xr:uid="{00000000-0005-0000-0000-000056210000}"/>
    <cellStyle name="Explanatory Text 7 3" xfId="8595" xr:uid="{00000000-0005-0000-0000-000057210000}"/>
    <cellStyle name="Explanatory Text 7 4" xfId="8596" xr:uid="{00000000-0005-0000-0000-000058210000}"/>
    <cellStyle name="Explanatory Text 7_Sheet2" xfId="8597" xr:uid="{00000000-0005-0000-0000-000059210000}"/>
    <cellStyle name="Explanatory Text 8" xfId="8598" xr:uid="{00000000-0005-0000-0000-00005A210000}"/>
    <cellStyle name="Explanatory Text 8 2" xfId="8599" xr:uid="{00000000-0005-0000-0000-00005B210000}"/>
    <cellStyle name="Explanatory Text 8 3" xfId="8600" xr:uid="{00000000-0005-0000-0000-00005C210000}"/>
    <cellStyle name="Explanatory Text 8 4" xfId="8601" xr:uid="{00000000-0005-0000-0000-00005D210000}"/>
    <cellStyle name="Explanatory Text 8_Sheet2" xfId="8602" xr:uid="{00000000-0005-0000-0000-00005E210000}"/>
    <cellStyle name="Explanatory Text 9" xfId="8603" xr:uid="{00000000-0005-0000-0000-00005F210000}"/>
    <cellStyle name="Explanatory Text 9 2" xfId="8604" xr:uid="{00000000-0005-0000-0000-000060210000}"/>
    <cellStyle name="Explanatory Text 9 3" xfId="8605" xr:uid="{00000000-0005-0000-0000-000061210000}"/>
    <cellStyle name="Explanatory Text 9 4" xfId="8606" xr:uid="{00000000-0005-0000-0000-000062210000}"/>
    <cellStyle name="EY House" xfId="8607" xr:uid="{00000000-0005-0000-0000-000063210000}"/>
    <cellStyle name="EY0dp" xfId="8608" xr:uid="{00000000-0005-0000-0000-000064210000}"/>
    <cellStyle name="EYtext" xfId="8609" xr:uid="{00000000-0005-0000-0000-000065210000}"/>
    <cellStyle name="f" xfId="8610" xr:uid="{00000000-0005-0000-0000-000066210000}"/>
    <cellStyle name="f_Cinderella Model v1" xfId="8611" xr:uid="{00000000-0005-0000-0000-000067210000}"/>
    <cellStyle name="f_Cinderella Model v1May 29" xfId="8612" xr:uid="{00000000-0005-0000-0000-000068210000}"/>
    <cellStyle name="f_Cinderella Model v8" xfId="8613" xr:uid="{00000000-0005-0000-0000-000069210000}"/>
    <cellStyle name="f_Cinderella Model v9_ML number" xfId="8614" xr:uid="{00000000-0005-0000-0000-00006A210000}"/>
    <cellStyle name="f_Gazelle DDM May-15-2003" xfId="8615" xr:uid="{00000000-0005-0000-0000-00006B210000}"/>
    <cellStyle name="F2" xfId="8616" xr:uid="{00000000-0005-0000-0000-00006C210000}"/>
    <cellStyle name="F3" xfId="8617" xr:uid="{00000000-0005-0000-0000-00006D210000}"/>
    <cellStyle name="F4" xfId="8618" xr:uid="{00000000-0005-0000-0000-00006E210000}"/>
    <cellStyle name="F5" xfId="8619" xr:uid="{00000000-0005-0000-0000-00006F210000}"/>
    <cellStyle name="F6" xfId="8620" xr:uid="{00000000-0005-0000-0000-000070210000}"/>
    <cellStyle name="F7" xfId="8621" xr:uid="{00000000-0005-0000-0000-000071210000}"/>
    <cellStyle name="F8" xfId="8622" xr:uid="{00000000-0005-0000-0000-000072210000}"/>
    <cellStyle name="fact" xfId="8623" xr:uid="{00000000-0005-0000-0000-000073210000}"/>
    <cellStyle name="FDC-Pos" xfId="8624" xr:uid="{00000000-0005-0000-0000-000074210000}"/>
    <cellStyle name="ff" xfId="8625" xr:uid="{00000000-0005-0000-0000-000075210000}"/>
    <cellStyle name="fff" xfId="8626" xr:uid="{00000000-0005-0000-0000-000076210000}"/>
    <cellStyle name="Financier0" xfId="8627" xr:uid="{00000000-0005-0000-0000-000077210000}"/>
    <cellStyle name="Fixed" xfId="41" xr:uid="{00000000-0005-0000-0000-000078210000}"/>
    <cellStyle name="Fixed [0]" xfId="8628" xr:uid="{00000000-0005-0000-0000-000079210000}"/>
    <cellStyle name="Fixed 10" xfId="8629" xr:uid="{00000000-0005-0000-0000-00007A210000}"/>
    <cellStyle name="Fixed 2" xfId="8630" xr:uid="{00000000-0005-0000-0000-00007B210000}"/>
    <cellStyle name="Fixed 2 10" xfId="8631" xr:uid="{00000000-0005-0000-0000-00007C210000}"/>
    <cellStyle name="Fixed 2 11" xfId="8632" xr:uid="{00000000-0005-0000-0000-00007D210000}"/>
    <cellStyle name="Fixed 2 12" xfId="8633" xr:uid="{00000000-0005-0000-0000-00007E210000}"/>
    <cellStyle name="Fixed 2 2" xfId="8634" xr:uid="{00000000-0005-0000-0000-00007F210000}"/>
    <cellStyle name="Fixed 2 3" xfId="8635" xr:uid="{00000000-0005-0000-0000-000080210000}"/>
    <cellStyle name="Fixed 2 4" xfId="8636" xr:uid="{00000000-0005-0000-0000-000081210000}"/>
    <cellStyle name="Fixed 2 5" xfId="8637" xr:uid="{00000000-0005-0000-0000-000082210000}"/>
    <cellStyle name="Fixed 2 6" xfId="8638" xr:uid="{00000000-0005-0000-0000-000083210000}"/>
    <cellStyle name="Fixed 2 7" xfId="8639" xr:uid="{00000000-0005-0000-0000-000084210000}"/>
    <cellStyle name="Fixed 2 8" xfId="8640" xr:uid="{00000000-0005-0000-0000-000085210000}"/>
    <cellStyle name="Fixed 2 9" xfId="8641" xr:uid="{00000000-0005-0000-0000-000086210000}"/>
    <cellStyle name="Fixed 2_KC720 - JCR - Mar '11" xfId="8642" xr:uid="{00000000-0005-0000-0000-000087210000}"/>
    <cellStyle name="Fixed 3" xfId="8643" xr:uid="{00000000-0005-0000-0000-000088210000}"/>
    <cellStyle name="Fixed 4" xfId="8644" xr:uid="{00000000-0005-0000-0000-000089210000}"/>
    <cellStyle name="Fixed 4 2" xfId="8645" xr:uid="{00000000-0005-0000-0000-00008A210000}"/>
    <cellStyle name="Fixed 5" xfId="8646" xr:uid="{00000000-0005-0000-0000-00008B210000}"/>
    <cellStyle name="Fixed 5 2" xfId="8647" xr:uid="{00000000-0005-0000-0000-00008C210000}"/>
    <cellStyle name="Fixed 5 3" xfId="8648" xr:uid="{00000000-0005-0000-0000-00008D210000}"/>
    <cellStyle name="Fixed 6" xfId="8649" xr:uid="{00000000-0005-0000-0000-00008E210000}"/>
    <cellStyle name="Fixed 7" xfId="8650" xr:uid="{00000000-0005-0000-0000-00008F210000}"/>
    <cellStyle name="Fixed 8" xfId="8651" xr:uid="{00000000-0005-0000-0000-000090210000}"/>
    <cellStyle name="Fixed 9" xfId="8652" xr:uid="{00000000-0005-0000-0000-000091210000}"/>
    <cellStyle name="Fixed_Boq dpl PH3 REv2" xfId="8653" xr:uid="{00000000-0005-0000-0000-000092210000}"/>
    <cellStyle name="Fixed3 - Style3" xfId="8654" xr:uid="{00000000-0005-0000-0000-000093210000}"/>
    <cellStyle name="fn" xfId="8655" xr:uid="{00000000-0005-0000-0000-000094210000}"/>
    <cellStyle name="ƒnƒCƒp[ƒŠƒ“ƒN" xfId="8656" xr:uid="{00000000-0005-0000-0000-000095210000}"/>
    <cellStyle name="Followed Hyperlink 2" xfId="8657" xr:uid="{00000000-0005-0000-0000-000096210000}"/>
    <cellStyle name="Footer SBILogo1" xfId="8658" xr:uid="{00000000-0005-0000-0000-000097210000}"/>
    <cellStyle name="Footer SBILogo2" xfId="8659" xr:uid="{00000000-0005-0000-0000-000098210000}"/>
    <cellStyle name="footnoe" xfId="8660" xr:uid="{00000000-0005-0000-0000-000099210000}"/>
    <cellStyle name="Footnote" xfId="8661" xr:uid="{00000000-0005-0000-0000-00009A210000}"/>
    <cellStyle name="Footnote Reference" xfId="8662" xr:uid="{00000000-0005-0000-0000-00009B210000}"/>
    <cellStyle name="Footnote_Budget Oberoi Commerz 2  3 R3_08052008 (3)" xfId="8663" xr:uid="{00000000-0005-0000-0000-00009C210000}"/>
    <cellStyle name="Foottitle" xfId="8664" xr:uid="{00000000-0005-0000-0000-00009D210000}"/>
    <cellStyle name="Foottitle 2" xfId="8665" xr:uid="{00000000-0005-0000-0000-00009E210000}"/>
    <cellStyle name="FORM" xfId="8666" xr:uid="{00000000-0005-0000-0000-00009F210000}"/>
    <cellStyle name="FORM 2" xfId="8667" xr:uid="{00000000-0005-0000-0000-0000A0210000}"/>
    <cellStyle name="FORM_Extra items Diff" xfId="8668" xr:uid="{00000000-0005-0000-0000-0000A1210000}"/>
    <cellStyle name="Form-name" xfId="8669" xr:uid="{00000000-0005-0000-0000-0000A2210000}"/>
    <cellStyle name="Form-nr" xfId="8670" xr:uid="{00000000-0005-0000-0000-0000A3210000}"/>
    <cellStyle name="Formula" xfId="8671" xr:uid="{00000000-0005-0000-0000-0000A4210000}"/>
    <cellStyle name="Formula 2" xfId="8672" xr:uid="{00000000-0005-0000-0000-0000A5210000}"/>
    <cellStyle name="Formula_Extra items Diff" xfId="8673" xr:uid="{00000000-0005-0000-0000-0000A6210000}"/>
    <cellStyle name="Fraction" xfId="8674" xr:uid="{00000000-0005-0000-0000-0000A7210000}"/>
    <cellStyle name="Fraction [8]" xfId="8675" xr:uid="{00000000-0005-0000-0000-0000A8210000}"/>
    <cellStyle name="Fraction [Bl]" xfId="8676" xr:uid="{00000000-0005-0000-0000-0000A9210000}"/>
    <cellStyle name="fy" xfId="8677" xr:uid="{00000000-0005-0000-0000-0000AA210000}"/>
    <cellStyle name="general" xfId="8678" xr:uid="{00000000-0005-0000-0000-0000AB210000}"/>
    <cellStyle name="general 10" xfId="8679" xr:uid="{00000000-0005-0000-0000-0000AC210000}"/>
    <cellStyle name="general 10 2" xfId="8680" xr:uid="{00000000-0005-0000-0000-0000AD210000}"/>
    <cellStyle name="general 10 3" xfId="8681" xr:uid="{00000000-0005-0000-0000-0000AE210000}"/>
    <cellStyle name="general 10 4" xfId="8682" xr:uid="{00000000-0005-0000-0000-0000AF210000}"/>
    <cellStyle name="general 10 5" xfId="8683" xr:uid="{00000000-0005-0000-0000-0000B0210000}"/>
    <cellStyle name="general 10 6" xfId="8684" xr:uid="{00000000-0005-0000-0000-0000B1210000}"/>
    <cellStyle name="general 10 7" xfId="8685" xr:uid="{00000000-0005-0000-0000-0000B2210000}"/>
    <cellStyle name="general 10 8" xfId="8686" xr:uid="{00000000-0005-0000-0000-0000B3210000}"/>
    <cellStyle name="general 11" xfId="8687" xr:uid="{00000000-0005-0000-0000-0000B4210000}"/>
    <cellStyle name="general 12" xfId="8688" xr:uid="{00000000-0005-0000-0000-0000B5210000}"/>
    <cellStyle name="general 13" xfId="8689" xr:uid="{00000000-0005-0000-0000-0000B6210000}"/>
    <cellStyle name="general 14" xfId="8690" xr:uid="{00000000-0005-0000-0000-0000B7210000}"/>
    <cellStyle name="general 15" xfId="8691" xr:uid="{00000000-0005-0000-0000-0000B8210000}"/>
    <cellStyle name="general 16" xfId="8692" xr:uid="{00000000-0005-0000-0000-0000B9210000}"/>
    <cellStyle name="general 17" xfId="8693" xr:uid="{00000000-0005-0000-0000-0000BA210000}"/>
    <cellStyle name="general 2" xfId="8694" xr:uid="{00000000-0005-0000-0000-0000BB210000}"/>
    <cellStyle name="general 2 2" xfId="8695" xr:uid="{00000000-0005-0000-0000-0000BC210000}"/>
    <cellStyle name="general 2 3" xfId="8696" xr:uid="{00000000-0005-0000-0000-0000BD210000}"/>
    <cellStyle name="general 2 4" xfId="8697" xr:uid="{00000000-0005-0000-0000-0000BE210000}"/>
    <cellStyle name="general 2 5" xfId="8698" xr:uid="{00000000-0005-0000-0000-0000BF210000}"/>
    <cellStyle name="general 2 6" xfId="8699" xr:uid="{00000000-0005-0000-0000-0000C0210000}"/>
    <cellStyle name="general 2 7" xfId="8700" xr:uid="{00000000-0005-0000-0000-0000C1210000}"/>
    <cellStyle name="general 2 8" xfId="8701" xr:uid="{00000000-0005-0000-0000-0000C2210000}"/>
    <cellStyle name="general 3" xfId="8702" xr:uid="{00000000-0005-0000-0000-0000C3210000}"/>
    <cellStyle name="general 3 2" xfId="8703" xr:uid="{00000000-0005-0000-0000-0000C4210000}"/>
    <cellStyle name="general 3 3" xfId="8704" xr:uid="{00000000-0005-0000-0000-0000C5210000}"/>
    <cellStyle name="general 3 4" xfId="8705" xr:uid="{00000000-0005-0000-0000-0000C6210000}"/>
    <cellStyle name="general 3 5" xfId="8706" xr:uid="{00000000-0005-0000-0000-0000C7210000}"/>
    <cellStyle name="general 3 6" xfId="8707" xr:uid="{00000000-0005-0000-0000-0000C8210000}"/>
    <cellStyle name="general 3 7" xfId="8708" xr:uid="{00000000-0005-0000-0000-0000C9210000}"/>
    <cellStyle name="general 3 8" xfId="8709" xr:uid="{00000000-0005-0000-0000-0000CA210000}"/>
    <cellStyle name="general 4" xfId="8710" xr:uid="{00000000-0005-0000-0000-0000CB210000}"/>
    <cellStyle name="general 4 2" xfId="8711" xr:uid="{00000000-0005-0000-0000-0000CC210000}"/>
    <cellStyle name="general 4 3" xfId="8712" xr:uid="{00000000-0005-0000-0000-0000CD210000}"/>
    <cellStyle name="general 4 4" xfId="8713" xr:uid="{00000000-0005-0000-0000-0000CE210000}"/>
    <cellStyle name="general 4 5" xfId="8714" xr:uid="{00000000-0005-0000-0000-0000CF210000}"/>
    <cellStyle name="general 4 6" xfId="8715" xr:uid="{00000000-0005-0000-0000-0000D0210000}"/>
    <cellStyle name="general 4 7" xfId="8716" xr:uid="{00000000-0005-0000-0000-0000D1210000}"/>
    <cellStyle name="general 4 8" xfId="8717" xr:uid="{00000000-0005-0000-0000-0000D2210000}"/>
    <cellStyle name="general 5" xfId="8718" xr:uid="{00000000-0005-0000-0000-0000D3210000}"/>
    <cellStyle name="general 5 2" xfId="8719" xr:uid="{00000000-0005-0000-0000-0000D4210000}"/>
    <cellStyle name="general 5 3" xfId="8720" xr:uid="{00000000-0005-0000-0000-0000D5210000}"/>
    <cellStyle name="general 5 4" xfId="8721" xr:uid="{00000000-0005-0000-0000-0000D6210000}"/>
    <cellStyle name="general 5 5" xfId="8722" xr:uid="{00000000-0005-0000-0000-0000D7210000}"/>
    <cellStyle name="general 5 6" xfId="8723" xr:uid="{00000000-0005-0000-0000-0000D8210000}"/>
    <cellStyle name="general 5 7" xfId="8724" xr:uid="{00000000-0005-0000-0000-0000D9210000}"/>
    <cellStyle name="general 5 8" xfId="8725" xr:uid="{00000000-0005-0000-0000-0000DA210000}"/>
    <cellStyle name="general 6" xfId="8726" xr:uid="{00000000-0005-0000-0000-0000DB210000}"/>
    <cellStyle name="general 6 2" xfId="8727" xr:uid="{00000000-0005-0000-0000-0000DC210000}"/>
    <cellStyle name="general 6 3" xfId="8728" xr:uid="{00000000-0005-0000-0000-0000DD210000}"/>
    <cellStyle name="general 6 4" xfId="8729" xr:uid="{00000000-0005-0000-0000-0000DE210000}"/>
    <cellStyle name="general 6 5" xfId="8730" xr:uid="{00000000-0005-0000-0000-0000DF210000}"/>
    <cellStyle name="general 6 6" xfId="8731" xr:uid="{00000000-0005-0000-0000-0000E0210000}"/>
    <cellStyle name="general 6 7" xfId="8732" xr:uid="{00000000-0005-0000-0000-0000E1210000}"/>
    <cellStyle name="general 6 8" xfId="8733" xr:uid="{00000000-0005-0000-0000-0000E2210000}"/>
    <cellStyle name="general 7" xfId="8734" xr:uid="{00000000-0005-0000-0000-0000E3210000}"/>
    <cellStyle name="general 7 2" xfId="8735" xr:uid="{00000000-0005-0000-0000-0000E4210000}"/>
    <cellStyle name="general 7 3" xfId="8736" xr:uid="{00000000-0005-0000-0000-0000E5210000}"/>
    <cellStyle name="general 7 4" xfId="8737" xr:uid="{00000000-0005-0000-0000-0000E6210000}"/>
    <cellStyle name="general 7 5" xfId="8738" xr:uid="{00000000-0005-0000-0000-0000E7210000}"/>
    <cellStyle name="general 7 6" xfId="8739" xr:uid="{00000000-0005-0000-0000-0000E8210000}"/>
    <cellStyle name="general 7 7" xfId="8740" xr:uid="{00000000-0005-0000-0000-0000E9210000}"/>
    <cellStyle name="general 7 8" xfId="8741" xr:uid="{00000000-0005-0000-0000-0000EA210000}"/>
    <cellStyle name="general 8" xfId="8742" xr:uid="{00000000-0005-0000-0000-0000EB210000}"/>
    <cellStyle name="general 8 2" xfId="8743" xr:uid="{00000000-0005-0000-0000-0000EC210000}"/>
    <cellStyle name="general 8 3" xfId="8744" xr:uid="{00000000-0005-0000-0000-0000ED210000}"/>
    <cellStyle name="general 8 4" xfId="8745" xr:uid="{00000000-0005-0000-0000-0000EE210000}"/>
    <cellStyle name="general 8 5" xfId="8746" xr:uid="{00000000-0005-0000-0000-0000EF210000}"/>
    <cellStyle name="general 8 6" xfId="8747" xr:uid="{00000000-0005-0000-0000-0000F0210000}"/>
    <cellStyle name="general 8 7" xfId="8748" xr:uid="{00000000-0005-0000-0000-0000F1210000}"/>
    <cellStyle name="general 8 8" xfId="8749" xr:uid="{00000000-0005-0000-0000-0000F2210000}"/>
    <cellStyle name="general 9" xfId="8750" xr:uid="{00000000-0005-0000-0000-0000F3210000}"/>
    <cellStyle name="general 9 2" xfId="8751" xr:uid="{00000000-0005-0000-0000-0000F4210000}"/>
    <cellStyle name="general 9 3" xfId="8752" xr:uid="{00000000-0005-0000-0000-0000F5210000}"/>
    <cellStyle name="general 9 4" xfId="8753" xr:uid="{00000000-0005-0000-0000-0000F6210000}"/>
    <cellStyle name="general 9 5" xfId="8754" xr:uid="{00000000-0005-0000-0000-0000F7210000}"/>
    <cellStyle name="general 9 6" xfId="8755" xr:uid="{00000000-0005-0000-0000-0000F8210000}"/>
    <cellStyle name="general 9 7" xfId="8756" xr:uid="{00000000-0005-0000-0000-0000F9210000}"/>
    <cellStyle name="general 9 8" xfId="8757" xr:uid="{00000000-0005-0000-0000-0000FA210000}"/>
    <cellStyle name="Good" xfId="42" builtinId="26" customBuiltin="1"/>
    <cellStyle name="Good 10" xfId="8758" xr:uid="{00000000-0005-0000-0000-0000FC210000}"/>
    <cellStyle name="Good 10 2" xfId="8759" xr:uid="{00000000-0005-0000-0000-0000FD210000}"/>
    <cellStyle name="Good 10 3" xfId="8760" xr:uid="{00000000-0005-0000-0000-0000FE210000}"/>
    <cellStyle name="Good 10 4" xfId="8761" xr:uid="{00000000-0005-0000-0000-0000FF210000}"/>
    <cellStyle name="Good 10 5" xfId="8762" xr:uid="{00000000-0005-0000-0000-000000220000}"/>
    <cellStyle name="Good 10 6" xfId="8763" xr:uid="{00000000-0005-0000-0000-000001220000}"/>
    <cellStyle name="Good 10 7" xfId="8764" xr:uid="{00000000-0005-0000-0000-000002220000}"/>
    <cellStyle name="Good 10 8" xfId="8765" xr:uid="{00000000-0005-0000-0000-000003220000}"/>
    <cellStyle name="Good 10 9" xfId="8766" xr:uid="{00000000-0005-0000-0000-000004220000}"/>
    <cellStyle name="Good 11" xfId="8767" xr:uid="{00000000-0005-0000-0000-000005220000}"/>
    <cellStyle name="Good 11 2" xfId="8768" xr:uid="{00000000-0005-0000-0000-000006220000}"/>
    <cellStyle name="Good 11 3" xfId="8769" xr:uid="{00000000-0005-0000-0000-000007220000}"/>
    <cellStyle name="Good 11 4" xfId="8770" xr:uid="{00000000-0005-0000-0000-000008220000}"/>
    <cellStyle name="Good 11 5" xfId="8771" xr:uid="{00000000-0005-0000-0000-000009220000}"/>
    <cellStyle name="Good 11 6" xfId="8772" xr:uid="{00000000-0005-0000-0000-00000A220000}"/>
    <cellStyle name="Good 11 7" xfId="8773" xr:uid="{00000000-0005-0000-0000-00000B220000}"/>
    <cellStyle name="Good 11 8" xfId="8774" xr:uid="{00000000-0005-0000-0000-00000C220000}"/>
    <cellStyle name="Good 11 9" xfId="8775" xr:uid="{00000000-0005-0000-0000-00000D220000}"/>
    <cellStyle name="Good 12" xfId="8776" xr:uid="{00000000-0005-0000-0000-00000E220000}"/>
    <cellStyle name="Good 12 2" xfId="8777" xr:uid="{00000000-0005-0000-0000-00000F220000}"/>
    <cellStyle name="Good 12 3" xfId="8778" xr:uid="{00000000-0005-0000-0000-000010220000}"/>
    <cellStyle name="Good 12 4" xfId="8779" xr:uid="{00000000-0005-0000-0000-000011220000}"/>
    <cellStyle name="Good 12 5" xfId="8780" xr:uid="{00000000-0005-0000-0000-000012220000}"/>
    <cellStyle name="Good 12 6" xfId="8781" xr:uid="{00000000-0005-0000-0000-000013220000}"/>
    <cellStyle name="Good 12 7" xfId="8782" xr:uid="{00000000-0005-0000-0000-000014220000}"/>
    <cellStyle name="Good 12 8" xfId="8783" xr:uid="{00000000-0005-0000-0000-000015220000}"/>
    <cellStyle name="Good 12 9" xfId="8784" xr:uid="{00000000-0005-0000-0000-000016220000}"/>
    <cellStyle name="Good 13" xfId="8785" xr:uid="{00000000-0005-0000-0000-000017220000}"/>
    <cellStyle name="Good 13 2" xfId="8786" xr:uid="{00000000-0005-0000-0000-000018220000}"/>
    <cellStyle name="Good 13 3" xfId="8787" xr:uid="{00000000-0005-0000-0000-000019220000}"/>
    <cellStyle name="Good 13 4" xfId="8788" xr:uid="{00000000-0005-0000-0000-00001A220000}"/>
    <cellStyle name="Good 13 5" xfId="8789" xr:uid="{00000000-0005-0000-0000-00001B220000}"/>
    <cellStyle name="Good 13 6" xfId="8790" xr:uid="{00000000-0005-0000-0000-00001C220000}"/>
    <cellStyle name="Good 13 7" xfId="8791" xr:uid="{00000000-0005-0000-0000-00001D220000}"/>
    <cellStyle name="Good 13 8" xfId="8792" xr:uid="{00000000-0005-0000-0000-00001E220000}"/>
    <cellStyle name="Good 13 9" xfId="8793" xr:uid="{00000000-0005-0000-0000-00001F220000}"/>
    <cellStyle name="Good 14" xfId="8794" xr:uid="{00000000-0005-0000-0000-000020220000}"/>
    <cellStyle name="Good 14 2" xfId="8795" xr:uid="{00000000-0005-0000-0000-000021220000}"/>
    <cellStyle name="Good 14 3" xfId="8796" xr:uid="{00000000-0005-0000-0000-000022220000}"/>
    <cellStyle name="Good 14 4" xfId="8797" xr:uid="{00000000-0005-0000-0000-000023220000}"/>
    <cellStyle name="Good 14 5" xfId="8798" xr:uid="{00000000-0005-0000-0000-000024220000}"/>
    <cellStyle name="Good 14 6" xfId="8799" xr:uid="{00000000-0005-0000-0000-000025220000}"/>
    <cellStyle name="Good 14 7" xfId="8800" xr:uid="{00000000-0005-0000-0000-000026220000}"/>
    <cellStyle name="Good 14 8" xfId="8801" xr:uid="{00000000-0005-0000-0000-000027220000}"/>
    <cellStyle name="Good 14 9" xfId="8802" xr:uid="{00000000-0005-0000-0000-000028220000}"/>
    <cellStyle name="Good 15" xfId="8803" xr:uid="{00000000-0005-0000-0000-000029220000}"/>
    <cellStyle name="Good 15 2" xfId="8804" xr:uid="{00000000-0005-0000-0000-00002A220000}"/>
    <cellStyle name="Good 15 3" xfId="8805" xr:uid="{00000000-0005-0000-0000-00002B220000}"/>
    <cellStyle name="Good 15 4" xfId="8806" xr:uid="{00000000-0005-0000-0000-00002C220000}"/>
    <cellStyle name="Good 15 5" xfId="8807" xr:uid="{00000000-0005-0000-0000-00002D220000}"/>
    <cellStyle name="Good 15 6" xfId="8808" xr:uid="{00000000-0005-0000-0000-00002E220000}"/>
    <cellStyle name="Good 15 7" xfId="8809" xr:uid="{00000000-0005-0000-0000-00002F220000}"/>
    <cellStyle name="Good 15 8" xfId="8810" xr:uid="{00000000-0005-0000-0000-000030220000}"/>
    <cellStyle name="Good 15 9" xfId="8811" xr:uid="{00000000-0005-0000-0000-000031220000}"/>
    <cellStyle name="Good 16" xfId="8812" xr:uid="{00000000-0005-0000-0000-000032220000}"/>
    <cellStyle name="Good 16 2" xfId="8813" xr:uid="{00000000-0005-0000-0000-000033220000}"/>
    <cellStyle name="Good 16 3" xfId="8814" xr:uid="{00000000-0005-0000-0000-000034220000}"/>
    <cellStyle name="Good 16 4" xfId="8815" xr:uid="{00000000-0005-0000-0000-000035220000}"/>
    <cellStyle name="Good 16 5" xfId="8816" xr:uid="{00000000-0005-0000-0000-000036220000}"/>
    <cellStyle name="Good 16 6" xfId="8817" xr:uid="{00000000-0005-0000-0000-000037220000}"/>
    <cellStyle name="Good 16 7" xfId="8818" xr:uid="{00000000-0005-0000-0000-000038220000}"/>
    <cellStyle name="Good 16 8" xfId="8819" xr:uid="{00000000-0005-0000-0000-000039220000}"/>
    <cellStyle name="Good 16 9" xfId="8820" xr:uid="{00000000-0005-0000-0000-00003A220000}"/>
    <cellStyle name="Good 17" xfId="8821" xr:uid="{00000000-0005-0000-0000-00003B220000}"/>
    <cellStyle name="Good 17 2" xfId="8822" xr:uid="{00000000-0005-0000-0000-00003C220000}"/>
    <cellStyle name="Good 18" xfId="8823" xr:uid="{00000000-0005-0000-0000-00003D220000}"/>
    <cellStyle name="Good 18 2" xfId="8824" xr:uid="{00000000-0005-0000-0000-00003E220000}"/>
    <cellStyle name="Good 19" xfId="8825" xr:uid="{00000000-0005-0000-0000-00003F220000}"/>
    <cellStyle name="Good 19 2" xfId="8826" xr:uid="{00000000-0005-0000-0000-000040220000}"/>
    <cellStyle name="Good 2" xfId="8827" xr:uid="{00000000-0005-0000-0000-000041220000}"/>
    <cellStyle name="Good 2 10" xfId="8828" xr:uid="{00000000-0005-0000-0000-000042220000}"/>
    <cellStyle name="Good 2 10 2" xfId="8829" xr:uid="{00000000-0005-0000-0000-000043220000}"/>
    <cellStyle name="Good 2 11" xfId="8830" xr:uid="{00000000-0005-0000-0000-000044220000}"/>
    <cellStyle name="Good 2 12" xfId="8831" xr:uid="{00000000-0005-0000-0000-000045220000}"/>
    <cellStyle name="Good 2 13" xfId="8832" xr:uid="{00000000-0005-0000-0000-000046220000}"/>
    <cellStyle name="Good 2 2" xfId="8833" xr:uid="{00000000-0005-0000-0000-000047220000}"/>
    <cellStyle name="Good 2 2 2" xfId="8834" xr:uid="{00000000-0005-0000-0000-000048220000}"/>
    <cellStyle name="Good 2 2 3" xfId="8835" xr:uid="{00000000-0005-0000-0000-000049220000}"/>
    <cellStyle name="Good 2 2 4" xfId="8836" xr:uid="{00000000-0005-0000-0000-00004A220000}"/>
    <cellStyle name="Good 2 2 5" xfId="8837" xr:uid="{00000000-0005-0000-0000-00004B220000}"/>
    <cellStyle name="Good 2 2 6" xfId="8838" xr:uid="{00000000-0005-0000-0000-00004C220000}"/>
    <cellStyle name="Good 2 2 7" xfId="8839" xr:uid="{00000000-0005-0000-0000-00004D220000}"/>
    <cellStyle name="Good 2 2 8" xfId="8840" xr:uid="{00000000-0005-0000-0000-00004E220000}"/>
    <cellStyle name="Good 2 2 9" xfId="8841" xr:uid="{00000000-0005-0000-0000-00004F220000}"/>
    <cellStyle name="Good 2 3" xfId="8842" xr:uid="{00000000-0005-0000-0000-000050220000}"/>
    <cellStyle name="Good 2 3 2" xfId="8843" xr:uid="{00000000-0005-0000-0000-000051220000}"/>
    <cellStyle name="Good 2 4" xfId="8844" xr:uid="{00000000-0005-0000-0000-000052220000}"/>
    <cellStyle name="Good 2 4 2" xfId="8845" xr:uid="{00000000-0005-0000-0000-000053220000}"/>
    <cellStyle name="Good 2 5" xfId="8846" xr:uid="{00000000-0005-0000-0000-000054220000}"/>
    <cellStyle name="Good 2 5 2" xfId="8847" xr:uid="{00000000-0005-0000-0000-000055220000}"/>
    <cellStyle name="Good 2 6" xfId="8848" xr:uid="{00000000-0005-0000-0000-000056220000}"/>
    <cellStyle name="Good 2 6 2" xfId="8849" xr:uid="{00000000-0005-0000-0000-000057220000}"/>
    <cellStyle name="Good 2 7" xfId="8850" xr:uid="{00000000-0005-0000-0000-000058220000}"/>
    <cellStyle name="Good 2 7 2" xfId="8851" xr:uid="{00000000-0005-0000-0000-000059220000}"/>
    <cellStyle name="Good 2 8" xfId="8852" xr:uid="{00000000-0005-0000-0000-00005A220000}"/>
    <cellStyle name="Good 2 8 2" xfId="8853" xr:uid="{00000000-0005-0000-0000-00005B220000}"/>
    <cellStyle name="Good 2 9" xfId="8854" xr:uid="{00000000-0005-0000-0000-00005C220000}"/>
    <cellStyle name="Good 2 9 2" xfId="8855" xr:uid="{00000000-0005-0000-0000-00005D220000}"/>
    <cellStyle name="Good 2_Block-F LGF POur-II BBS" xfId="8856" xr:uid="{00000000-0005-0000-0000-00005E220000}"/>
    <cellStyle name="Good 20" xfId="8857" xr:uid="{00000000-0005-0000-0000-00005F220000}"/>
    <cellStyle name="Good 20 2" xfId="8858" xr:uid="{00000000-0005-0000-0000-000060220000}"/>
    <cellStyle name="Good 21" xfId="8859" xr:uid="{00000000-0005-0000-0000-000061220000}"/>
    <cellStyle name="Good 21 2" xfId="8860" xr:uid="{00000000-0005-0000-0000-000062220000}"/>
    <cellStyle name="Good 22" xfId="8861" xr:uid="{00000000-0005-0000-0000-000063220000}"/>
    <cellStyle name="Good 23" xfId="8862" xr:uid="{00000000-0005-0000-0000-000064220000}"/>
    <cellStyle name="Good 24" xfId="8863" xr:uid="{00000000-0005-0000-0000-000065220000}"/>
    <cellStyle name="Good 25" xfId="8864" xr:uid="{00000000-0005-0000-0000-000066220000}"/>
    <cellStyle name="Good 26" xfId="8865" xr:uid="{00000000-0005-0000-0000-000067220000}"/>
    <cellStyle name="Good 27" xfId="8866" xr:uid="{00000000-0005-0000-0000-000068220000}"/>
    <cellStyle name="Good 28" xfId="8867" xr:uid="{00000000-0005-0000-0000-000069220000}"/>
    <cellStyle name="Good 29" xfId="8868" xr:uid="{00000000-0005-0000-0000-00006A220000}"/>
    <cellStyle name="Good 3" xfId="8869" xr:uid="{00000000-0005-0000-0000-00006B220000}"/>
    <cellStyle name="Good 3 2" xfId="8870" xr:uid="{00000000-0005-0000-0000-00006C220000}"/>
    <cellStyle name="Good 3 2 2" xfId="8871" xr:uid="{00000000-0005-0000-0000-00006D220000}"/>
    <cellStyle name="Good 3 2 3" xfId="8872" xr:uid="{00000000-0005-0000-0000-00006E220000}"/>
    <cellStyle name="Good 3 2 4" xfId="8873" xr:uid="{00000000-0005-0000-0000-00006F220000}"/>
    <cellStyle name="Good 3 2 5" xfId="8874" xr:uid="{00000000-0005-0000-0000-000070220000}"/>
    <cellStyle name="Good 3 2 6" xfId="8875" xr:uid="{00000000-0005-0000-0000-000071220000}"/>
    <cellStyle name="Good 3 2 7" xfId="8876" xr:uid="{00000000-0005-0000-0000-000072220000}"/>
    <cellStyle name="Good 3 2 8" xfId="8877" xr:uid="{00000000-0005-0000-0000-000073220000}"/>
    <cellStyle name="Good 3 2 9" xfId="8878" xr:uid="{00000000-0005-0000-0000-000074220000}"/>
    <cellStyle name="Good 3 3" xfId="8879" xr:uid="{00000000-0005-0000-0000-000075220000}"/>
    <cellStyle name="Good 3 3 2" xfId="8880" xr:uid="{00000000-0005-0000-0000-000076220000}"/>
    <cellStyle name="Good 3 3 3" xfId="8881" xr:uid="{00000000-0005-0000-0000-000077220000}"/>
    <cellStyle name="Good 3 4" xfId="8882" xr:uid="{00000000-0005-0000-0000-000078220000}"/>
    <cellStyle name="Good 3 5" xfId="8883" xr:uid="{00000000-0005-0000-0000-000079220000}"/>
    <cellStyle name="Good 3_Ramadugu_ SWGH" xfId="8884" xr:uid="{00000000-0005-0000-0000-00007A220000}"/>
    <cellStyle name="Good 30" xfId="8885" xr:uid="{00000000-0005-0000-0000-00007B220000}"/>
    <cellStyle name="Good 31" xfId="8886" xr:uid="{00000000-0005-0000-0000-00007C220000}"/>
    <cellStyle name="Good 32" xfId="8887" xr:uid="{00000000-0005-0000-0000-00007D220000}"/>
    <cellStyle name="Good 33" xfId="8888" xr:uid="{00000000-0005-0000-0000-00007E220000}"/>
    <cellStyle name="Good 34" xfId="8889" xr:uid="{00000000-0005-0000-0000-00007F220000}"/>
    <cellStyle name="Good 35" xfId="8890" xr:uid="{00000000-0005-0000-0000-000080220000}"/>
    <cellStyle name="Good 36" xfId="8891" xr:uid="{00000000-0005-0000-0000-000081220000}"/>
    <cellStyle name="Good 37" xfId="8892" xr:uid="{00000000-0005-0000-0000-000082220000}"/>
    <cellStyle name="Good 38" xfId="8893" xr:uid="{00000000-0005-0000-0000-000083220000}"/>
    <cellStyle name="Good 39" xfId="8894" xr:uid="{00000000-0005-0000-0000-000084220000}"/>
    <cellStyle name="Good 4" xfId="8895" xr:uid="{00000000-0005-0000-0000-000085220000}"/>
    <cellStyle name="Good 4 10" xfId="8896" xr:uid="{00000000-0005-0000-0000-000086220000}"/>
    <cellStyle name="Good 4 11" xfId="8897" xr:uid="{00000000-0005-0000-0000-000087220000}"/>
    <cellStyle name="Good 4 12" xfId="8898" xr:uid="{00000000-0005-0000-0000-000088220000}"/>
    <cellStyle name="Good 4 2" xfId="8899" xr:uid="{00000000-0005-0000-0000-000089220000}"/>
    <cellStyle name="Good 4 3" xfId="8900" xr:uid="{00000000-0005-0000-0000-00008A220000}"/>
    <cellStyle name="Good 4 4" xfId="8901" xr:uid="{00000000-0005-0000-0000-00008B220000}"/>
    <cellStyle name="Good 4 5" xfId="8902" xr:uid="{00000000-0005-0000-0000-00008C220000}"/>
    <cellStyle name="Good 4 6" xfId="8903" xr:uid="{00000000-0005-0000-0000-00008D220000}"/>
    <cellStyle name="Good 4 7" xfId="8904" xr:uid="{00000000-0005-0000-0000-00008E220000}"/>
    <cellStyle name="Good 4 8" xfId="8905" xr:uid="{00000000-0005-0000-0000-00008F220000}"/>
    <cellStyle name="Good 4 9" xfId="8906" xr:uid="{00000000-0005-0000-0000-000090220000}"/>
    <cellStyle name="Good 4_Sheet2" xfId="8907" xr:uid="{00000000-0005-0000-0000-000091220000}"/>
    <cellStyle name="Good 5" xfId="8908" xr:uid="{00000000-0005-0000-0000-000092220000}"/>
    <cellStyle name="Good 5 10" xfId="8909" xr:uid="{00000000-0005-0000-0000-000093220000}"/>
    <cellStyle name="Good 5 11" xfId="8910" xr:uid="{00000000-0005-0000-0000-000094220000}"/>
    <cellStyle name="Good 5 12" xfId="8911" xr:uid="{00000000-0005-0000-0000-000095220000}"/>
    <cellStyle name="Good 5 2" xfId="8912" xr:uid="{00000000-0005-0000-0000-000096220000}"/>
    <cellStyle name="Good 5 3" xfId="8913" xr:uid="{00000000-0005-0000-0000-000097220000}"/>
    <cellStyle name="Good 5 4" xfId="8914" xr:uid="{00000000-0005-0000-0000-000098220000}"/>
    <cellStyle name="Good 5 5" xfId="8915" xr:uid="{00000000-0005-0000-0000-000099220000}"/>
    <cellStyle name="Good 5 6" xfId="8916" xr:uid="{00000000-0005-0000-0000-00009A220000}"/>
    <cellStyle name="Good 5 7" xfId="8917" xr:uid="{00000000-0005-0000-0000-00009B220000}"/>
    <cellStyle name="Good 5 8" xfId="8918" xr:uid="{00000000-0005-0000-0000-00009C220000}"/>
    <cellStyle name="Good 5 9" xfId="8919" xr:uid="{00000000-0005-0000-0000-00009D220000}"/>
    <cellStyle name="Good 5_Sheet2" xfId="8920" xr:uid="{00000000-0005-0000-0000-00009E220000}"/>
    <cellStyle name="Good 6" xfId="8921" xr:uid="{00000000-0005-0000-0000-00009F220000}"/>
    <cellStyle name="Good 6 10" xfId="8922" xr:uid="{00000000-0005-0000-0000-0000A0220000}"/>
    <cellStyle name="Good 6 11" xfId="8923" xr:uid="{00000000-0005-0000-0000-0000A1220000}"/>
    <cellStyle name="Good 6 12" xfId="8924" xr:uid="{00000000-0005-0000-0000-0000A2220000}"/>
    <cellStyle name="Good 6 2" xfId="8925" xr:uid="{00000000-0005-0000-0000-0000A3220000}"/>
    <cellStyle name="Good 6 3" xfId="8926" xr:uid="{00000000-0005-0000-0000-0000A4220000}"/>
    <cellStyle name="Good 6 4" xfId="8927" xr:uid="{00000000-0005-0000-0000-0000A5220000}"/>
    <cellStyle name="Good 6 5" xfId="8928" xr:uid="{00000000-0005-0000-0000-0000A6220000}"/>
    <cellStyle name="Good 6 6" xfId="8929" xr:uid="{00000000-0005-0000-0000-0000A7220000}"/>
    <cellStyle name="Good 6 7" xfId="8930" xr:uid="{00000000-0005-0000-0000-0000A8220000}"/>
    <cellStyle name="Good 6 8" xfId="8931" xr:uid="{00000000-0005-0000-0000-0000A9220000}"/>
    <cellStyle name="Good 6 9" xfId="8932" xr:uid="{00000000-0005-0000-0000-0000AA220000}"/>
    <cellStyle name="Good 6_Sheet2" xfId="8933" xr:uid="{00000000-0005-0000-0000-0000AB220000}"/>
    <cellStyle name="Good 7" xfId="8934" xr:uid="{00000000-0005-0000-0000-0000AC220000}"/>
    <cellStyle name="Good 7 10" xfId="8935" xr:uid="{00000000-0005-0000-0000-0000AD220000}"/>
    <cellStyle name="Good 7 11" xfId="8936" xr:uid="{00000000-0005-0000-0000-0000AE220000}"/>
    <cellStyle name="Good 7 12" xfId="8937" xr:uid="{00000000-0005-0000-0000-0000AF220000}"/>
    <cellStyle name="Good 7 2" xfId="8938" xr:uid="{00000000-0005-0000-0000-0000B0220000}"/>
    <cellStyle name="Good 7 3" xfId="8939" xr:uid="{00000000-0005-0000-0000-0000B1220000}"/>
    <cellStyle name="Good 7 4" xfId="8940" xr:uid="{00000000-0005-0000-0000-0000B2220000}"/>
    <cellStyle name="Good 7 5" xfId="8941" xr:uid="{00000000-0005-0000-0000-0000B3220000}"/>
    <cellStyle name="Good 7 6" xfId="8942" xr:uid="{00000000-0005-0000-0000-0000B4220000}"/>
    <cellStyle name="Good 7 7" xfId="8943" xr:uid="{00000000-0005-0000-0000-0000B5220000}"/>
    <cellStyle name="Good 7 8" xfId="8944" xr:uid="{00000000-0005-0000-0000-0000B6220000}"/>
    <cellStyle name="Good 7 9" xfId="8945" xr:uid="{00000000-0005-0000-0000-0000B7220000}"/>
    <cellStyle name="Good 7_Sheet2" xfId="8946" xr:uid="{00000000-0005-0000-0000-0000B8220000}"/>
    <cellStyle name="Good 8" xfId="8947" xr:uid="{00000000-0005-0000-0000-0000B9220000}"/>
    <cellStyle name="Good 8 10" xfId="8948" xr:uid="{00000000-0005-0000-0000-0000BA220000}"/>
    <cellStyle name="Good 8 11" xfId="8949" xr:uid="{00000000-0005-0000-0000-0000BB220000}"/>
    <cellStyle name="Good 8 2" xfId="8950" xr:uid="{00000000-0005-0000-0000-0000BC220000}"/>
    <cellStyle name="Good 8 3" xfId="8951" xr:uid="{00000000-0005-0000-0000-0000BD220000}"/>
    <cellStyle name="Good 8 4" xfId="8952" xr:uid="{00000000-0005-0000-0000-0000BE220000}"/>
    <cellStyle name="Good 8 5" xfId="8953" xr:uid="{00000000-0005-0000-0000-0000BF220000}"/>
    <cellStyle name="Good 8 6" xfId="8954" xr:uid="{00000000-0005-0000-0000-0000C0220000}"/>
    <cellStyle name="Good 8 7" xfId="8955" xr:uid="{00000000-0005-0000-0000-0000C1220000}"/>
    <cellStyle name="Good 8 8" xfId="8956" xr:uid="{00000000-0005-0000-0000-0000C2220000}"/>
    <cellStyle name="Good 8 9" xfId="8957" xr:uid="{00000000-0005-0000-0000-0000C3220000}"/>
    <cellStyle name="Good 8_Sheet2" xfId="8958" xr:uid="{00000000-0005-0000-0000-0000C4220000}"/>
    <cellStyle name="Good 9" xfId="8959" xr:uid="{00000000-0005-0000-0000-0000C5220000}"/>
    <cellStyle name="Good 9 2" xfId="8960" xr:uid="{00000000-0005-0000-0000-0000C6220000}"/>
    <cellStyle name="Good 9 3" xfId="8961" xr:uid="{00000000-0005-0000-0000-0000C7220000}"/>
    <cellStyle name="Good 9 4" xfId="8962" xr:uid="{00000000-0005-0000-0000-0000C8220000}"/>
    <cellStyle name="Good 9 5" xfId="8963" xr:uid="{00000000-0005-0000-0000-0000C9220000}"/>
    <cellStyle name="Good 9 6" xfId="8964" xr:uid="{00000000-0005-0000-0000-0000CA220000}"/>
    <cellStyle name="Good 9 7" xfId="8965" xr:uid="{00000000-0005-0000-0000-0000CB220000}"/>
    <cellStyle name="Good 9 8" xfId="8966" xr:uid="{00000000-0005-0000-0000-0000CC220000}"/>
    <cellStyle name="Good 9 9" xfId="8967" xr:uid="{00000000-0005-0000-0000-0000CD220000}"/>
    <cellStyle name="Grey" xfId="43" xr:uid="{00000000-0005-0000-0000-0000CE220000}"/>
    <cellStyle name="Grey 10" xfId="8968" xr:uid="{00000000-0005-0000-0000-0000CF220000}"/>
    <cellStyle name="Grey 11" xfId="8969" xr:uid="{00000000-0005-0000-0000-0000D0220000}"/>
    <cellStyle name="Grey 12" xfId="8970" xr:uid="{00000000-0005-0000-0000-0000D1220000}"/>
    <cellStyle name="Grey 13" xfId="8971" xr:uid="{00000000-0005-0000-0000-0000D2220000}"/>
    <cellStyle name="Grey 2" xfId="8972" xr:uid="{00000000-0005-0000-0000-0000D3220000}"/>
    <cellStyle name="Grey 3" xfId="8973" xr:uid="{00000000-0005-0000-0000-0000D4220000}"/>
    <cellStyle name="Grey 4" xfId="8974" xr:uid="{00000000-0005-0000-0000-0000D5220000}"/>
    <cellStyle name="Grey 5" xfId="8975" xr:uid="{00000000-0005-0000-0000-0000D6220000}"/>
    <cellStyle name="Grey 6" xfId="8976" xr:uid="{00000000-0005-0000-0000-0000D7220000}"/>
    <cellStyle name="Grey 7" xfId="8977" xr:uid="{00000000-0005-0000-0000-0000D8220000}"/>
    <cellStyle name="Grey 8" xfId="8978" xr:uid="{00000000-0005-0000-0000-0000D9220000}"/>
    <cellStyle name="Grey 9" xfId="8979" xr:uid="{00000000-0005-0000-0000-0000DA220000}"/>
    <cellStyle name="Grey_DLF Capital Greens -Consolidated Finishes BOQ Phase II " xfId="8980" xr:uid="{00000000-0005-0000-0000-0000DB220000}"/>
    <cellStyle name="Gross Margin" xfId="8981" xr:uid="{00000000-0005-0000-0000-0000DC220000}"/>
    <cellStyle name="Gut" xfId="8982" xr:uid="{00000000-0005-0000-0000-0000DD220000}"/>
    <cellStyle name="GWh" xfId="8983" xr:uid="{00000000-0005-0000-0000-0000DE220000}"/>
    <cellStyle name="h" xfId="8984" xr:uid="{00000000-0005-0000-0000-0000DF220000}"/>
    <cellStyle name="H 2" xfId="8985" xr:uid="{00000000-0005-0000-0000-0000E0220000}"/>
    <cellStyle name="h1" xfId="8986" xr:uid="{00000000-0005-0000-0000-0000E1220000}"/>
    <cellStyle name="h2" xfId="8987" xr:uid="{00000000-0005-0000-0000-0000E2220000}"/>
    <cellStyle name="Hard Percent" xfId="8988" xr:uid="{00000000-0005-0000-0000-0000E3220000}"/>
    <cellStyle name="header" xfId="8989" xr:uid="{00000000-0005-0000-0000-0000E4220000}"/>
    <cellStyle name="Header Draft Stamp" xfId="8990" xr:uid="{00000000-0005-0000-0000-0000E5220000}"/>
    <cellStyle name="Header_Budget Oberoi Commerz 2  3 R3_08052008 (3)" xfId="8991" xr:uid="{00000000-0005-0000-0000-0000E6220000}"/>
    <cellStyle name="Header1" xfId="44" xr:uid="{00000000-0005-0000-0000-0000E7220000}"/>
    <cellStyle name="Header1 2" xfId="8992" xr:uid="{00000000-0005-0000-0000-0000E8220000}"/>
    <cellStyle name="Header1 3" xfId="8993" xr:uid="{00000000-0005-0000-0000-0000E9220000}"/>
    <cellStyle name="Header1_DLF Capital Greens -Consolidated Finishes BOQ Phase II " xfId="8994" xr:uid="{00000000-0005-0000-0000-0000EA220000}"/>
    <cellStyle name="Header2" xfId="45" xr:uid="{00000000-0005-0000-0000-0000EB220000}"/>
    <cellStyle name="Header2 2" xfId="8995" xr:uid="{00000000-0005-0000-0000-0000EC220000}"/>
    <cellStyle name="Header2 3" xfId="8996" xr:uid="{00000000-0005-0000-0000-0000ED220000}"/>
    <cellStyle name="Header2_DLF Capital Greens -Consolidated Finishes BOQ Phase II " xfId="8997" xr:uid="{00000000-0005-0000-0000-0000EE220000}"/>
    <cellStyle name="HEADING" xfId="8998" xr:uid="{00000000-0005-0000-0000-0000EF220000}"/>
    <cellStyle name="Heading 1" xfId="46" builtinId="16" customBuiltin="1"/>
    <cellStyle name="Heading 1 10" xfId="8999" xr:uid="{00000000-0005-0000-0000-0000F1220000}"/>
    <cellStyle name="Heading 1 10 2" xfId="9000" xr:uid="{00000000-0005-0000-0000-0000F2220000}"/>
    <cellStyle name="Heading 1 10 3" xfId="9001" xr:uid="{00000000-0005-0000-0000-0000F3220000}"/>
    <cellStyle name="Heading 1 10 4" xfId="9002" xr:uid="{00000000-0005-0000-0000-0000F4220000}"/>
    <cellStyle name="Heading 1 10 5" xfId="9003" xr:uid="{00000000-0005-0000-0000-0000F5220000}"/>
    <cellStyle name="Heading 1 10 6" xfId="9004" xr:uid="{00000000-0005-0000-0000-0000F6220000}"/>
    <cellStyle name="Heading 1 10 7" xfId="9005" xr:uid="{00000000-0005-0000-0000-0000F7220000}"/>
    <cellStyle name="Heading 1 10 8" xfId="9006" xr:uid="{00000000-0005-0000-0000-0000F8220000}"/>
    <cellStyle name="Heading 1 10 9" xfId="9007" xr:uid="{00000000-0005-0000-0000-0000F9220000}"/>
    <cellStyle name="Heading 1 11" xfId="9008" xr:uid="{00000000-0005-0000-0000-0000FA220000}"/>
    <cellStyle name="Heading 1 11 2" xfId="9009" xr:uid="{00000000-0005-0000-0000-0000FB220000}"/>
    <cellStyle name="Heading 1 11 3" xfId="9010" xr:uid="{00000000-0005-0000-0000-0000FC220000}"/>
    <cellStyle name="Heading 1 11 4" xfId="9011" xr:uid="{00000000-0005-0000-0000-0000FD220000}"/>
    <cellStyle name="Heading 1 11 5" xfId="9012" xr:uid="{00000000-0005-0000-0000-0000FE220000}"/>
    <cellStyle name="Heading 1 11 6" xfId="9013" xr:uid="{00000000-0005-0000-0000-0000FF220000}"/>
    <cellStyle name="Heading 1 11 7" xfId="9014" xr:uid="{00000000-0005-0000-0000-000000230000}"/>
    <cellStyle name="Heading 1 11 8" xfId="9015" xr:uid="{00000000-0005-0000-0000-000001230000}"/>
    <cellStyle name="Heading 1 11 9" xfId="9016" xr:uid="{00000000-0005-0000-0000-000002230000}"/>
    <cellStyle name="Heading 1 12" xfId="9017" xr:uid="{00000000-0005-0000-0000-000003230000}"/>
    <cellStyle name="Heading 1 12 2" xfId="9018" xr:uid="{00000000-0005-0000-0000-000004230000}"/>
    <cellStyle name="Heading 1 12 3" xfId="9019" xr:uid="{00000000-0005-0000-0000-000005230000}"/>
    <cellStyle name="Heading 1 12 4" xfId="9020" xr:uid="{00000000-0005-0000-0000-000006230000}"/>
    <cellStyle name="Heading 1 12 5" xfId="9021" xr:uid="{00000000-0005-0000-0000-000007230000}"/>
    <cellStyle name="Heading 1 12 6" xfId="9022" xr:uid="{00000000-0005-0000-0000-000008230000}"/>
    <cellStyle name="Heading 1 12 7" xfId="9023" xr:uid="{00000000-0005-0000-0000-000009230000}"/>
    <cellStyle name="Heading 1 12 8" xfId="9024" xr:uid="{00000000-0005-0000-0000-00000A230000}"/>
    <cellStyle name="Heading 1 12 9" xfId="9025" xr:uid="{00000000-0005-0000-0000-00000B230000}"/>
    <cellStyle name="Heading 1 13" xfId="9026" xr:uid="{00000000-0005-0000-0000-00000C230000}"/>
    <cellStyle name="Heading 1 13 2" xfId="9027" xr:uid="{00000000-0005-0000-0000-00000D230000}"/>
    <cellStyle name="Heading 1 13 3" xfId="9028" xr:uid="{00000000-0005-0000-0000-00000E230000}"/>
    <cellStyle name="Heading 1 13 4" xfId="9029" xr:uid="{00000000-0005-0000-0000-00000F230000}"/>
    <cellStyle name="Heading 1 13 5" xfId="9030" xr:uid="{00000000-0005-0000-0000-000010230000}"/>
    <cellStyle name="Heading 1 13 6" xfId="9031" xr:uid="{00000000-0005-0000-0000-000011230000}"/>
    <cellStyle name="Heading 1 13 7" xfId="9032" xr:uid="{00000000-0005-0000-0000-000012230000}"/>
    <cellStyle name="Heading 1 13 8" xfId="9033" xr:uid="{00000000-0005-0000-0000-000013230000}"/>
    <cellStyle name="Heading 1 13 9" xfId="9034" xr:uid="{00000000-0005-0000-0000-000014230000}"/>
    <cellStyle name="Heading 1 14" xfId="9035" xr:uid="{00000000-0005-0000-0000-000015230000}"/>
    <cellStyle name="Heading 1 14 2" xfId="9036" xr:uid="{00000000-0005-0000-0000-000016230000}"/>
    <cellStyle name="Heading 1 14 3" xfId="9037" xr:uid="{00000000-0005-0000-0000-000017230000}"/>
    <cellStyle name="Heading 1 14 4" xfId="9038" xr:uid="{00000000-0005-0000-0000-000018230000}"/>
    <cellStyle name="Heading 1 14 5" xfId="9039" xr:uid="{00000000-0005-0000-0000-000019230000}"/>
    <cellStyle name="Heading 1 14 6" xfId="9040" xr:uid="{00000000-0005-0000-0000-00001A230000}"/>
    <cellStyle name="Heading 1 14 7" xfId="9041" xr:uid="{00000000-0005-0000-0000-00001B230000}"/>
    <cellStyle name="Heading 1 14 8" xfId="9042" xr:uid="{00000000-0005-0000-0000-00001C230000}"/>
    <cellStyle name="Heading 1 14 9" xfId="9043" xr:uid="{00000000-0005-0000-0000-00001D230000}"/>
    <cellStyle name="Heading 1 15" xfId="9044" xr:uid="{00000000-0005-0000-0000-00001E230000}"/>
    <cellStyle name="Heading 1 15 2" xfId="9045" xr:uid="{00000000-0005-0000-0000-00001F230000}"/>
    <cellStyle name="Heading 1 15 3" xfId="9046" xr:uid="{00000000-0005-0000-0000-000020230000}"/>
    <cellStyle name="Heading 1 15 4" xfId="9047" xr:uid="{00000000-0005-0000-0000-000021230000}"/>
    <cellStyle name="Heading 1 15 5" xfId="9048" xr:uid="{00000000-0005-0000-0000-000022230000}"/>
    <cellStyle name="Heading 1 15 6" xfId="9049" xr:uid="{00000000-0005-0000-0000-000023230000}"/>
    <cellStyle name="Heading 1 15 7" xfId="9050" xr:uid="{00000000-0005-0000-0000-000024230000}"/>
    <cellStyle name="Heading 1 15 8" xfId="9051" xr:uid="{00000000-0005-0000-0000-000025230000}"/>
    <cellStyle name="Heading 1 15 9" xfId="9052" xr:uid="{00000000-0005-0000-0000-000026230000}"/>
    <cellStyle name="Heading 1 16" xfId="9053" xr:uid="{00000000-0005-0000-0000-000027230000}"/>
    <cellStyle name="Heading 1 16 2" xfId="9054" xr:uid="{00000000-0005-0000-0000-000028230000}"/>
    <cellStyle name="Heading 1 16 3" xfId="9055" xr:uid="{00000000-0005-0000-0000-000029230000}"/>
    <cellStyle name="Heading 1 16 4" xfId="9056" xr:uid="{00000000-0005-0000-0000-00002A230000}"/>
    <cellStyle name="Heading 1 16 5" xfId="9057" xr:uid="{00000000-0005-0000-0000-00002B230000}"/>
    <cellStyle name="Heading 1 16 6" xfId="9058" xr:uid="{00000000-0005-0000-0000-00002C230000}"/>
    <cellStyle name="Heading 1 16 7" xfId="9059" xr:uid="{00000000-0005-0000-0000-00002D230000}"/>
    <cellStyle name="Heading 1 16 8" xfId="9060" xr:uid="{00000000-0005-0000-0000-00002E230000}"/>
    <cellStyle name="Heading 1 16 9" xfId="9061" xr:uid="{00000000-0005-0000-0000-00002F230000}"/>
    <cellStyle name="Heading 1 17" xfId="9062" xr:uid="{00000000-0005-0000-0000-000030230000}"/>
    <cellStyle name="Heading 1 17 2" xfId="9063" xr:uid="{00000000-0005-0000-0000-000031230000}"/>
    <cellStyle name="Heading 1 18" xfId="9064" xr:uid="{00000000-0005-0000-0000-000032230000}"/>
    <cellStyle name="Heading 1 18 2" xfId="9065" xr:uid="{00000000-0005-0000-0000-000033230000}"/>
    <cellStyle name="Heading 1 19" xfId="9066" xr:uid="{00000000-0005-0000-0000-000034230000}"/>
    <cellStyle name="Heading 1 19 2" xfId="9067" xr:uid="{00000000-0005-0000-0000-000035230000}"/>
    <cellStyle name="Heading 1 2" xfId="9068" xr:uid="{00000000-0005-0000-0000-000036230000}"/>
    <cellStyle name="Heading 1 2 10" xfId="9069" xr:uid="{00000000-0005-0000-0000-000037230000}"/>
    <cellStyle name="Heading 1 2 10 2" xfId="9070" xr:uid="{00000000-0005-0000-0000-000038230000}"/>
    <cellStyle name="Heading 1 2 11" xfId="9071" xr:uid="{00000000-0005-0000-0000-000039230000}"/>
    <cellStyle name="Heading 1 2 12" xfId="9072" xr:uid="{00000000-0005-0000-0000-00003A230000}"/>
    <cellStyle name="Heading 1 2 13" xfId="9073" xr:uid="{00000000-0005-0000-0000-00003B230000}"/>
    <cellStyle name="Heading 1 2 14" xfId="9074" xr:uid="{00000000-0005-0000-0000-00003C230000}"/>
    <cellStyle name="Heading 1 2 2" xfId="9075" xr:uid="{00000000-0005-0000-0000-00003D230000}"/>
    <cellStyle name="Heading 1 2 2 2" xfId="9076" xr:uid="{00000000-0005-0000-0000-00003E230000}"/>
    <cellStyle name="Heading 1 2 2 3" xfId="9077" xr:uid="{00000000-0005-0000-0000-00003F230000}"/>
    <cellStyle name="Heading 1 2 2 4" xfId="9078" xr:uid="{00000000-0005-0000-0000-000040230000}"/>
    <cellStyle name="Heading 1 2 2 5" xfId="9079" xr:uid="{00000000-0005-0000-0000-000041230000}"/>
    <cellStyle name="Heading 1 2 2 6" xfId="9080" xr:uid="{00000000-0005-0000-0000-000042230000}"/>
    <cellStyle name="Heading 1 2 2 7" xfId="9081" xr:uid="{00000000-0005-0000-0000-000043230000}"/>
    <cellStyle name="Heading 1 2 2 8" xfId="9082" xr:uid="{00000000-0005-0000-0000-000044230000}"/>
    <cellStyle name="Heading 1 2 2 9" xfId="9083" xr:uid="{00000000-0005-0000-0000-000045230000}"/>
    <cellStyle name="Heading 1 2 3" xfId="9084" xr:uid="{00000000-0005-0000-0000-000046230000}"/>
    <cellStyle name="Heading 1 2 3 2" xfId="9085" xr:uid="{00000000-0005-0000-0000-000047230000}"/>
    <cellStyle name="Heading 1 2 4" xfId="9086" xr:uid="{00000000-0005-0000-0000-000048230000}"/>
    <cellStyle name="Heading 1 2 4 2" xfId="9087" xr:uid="{00000000-0005-0000-0000-000049230000}"/>
    <cellStyle name="Heading 1 2 5" xfId="9088" xr:uid="{00000000-0005-0000-0000-00004A230000}"/>
    <cellStyle name="Heading 1 2 5 2" xfId="9089" xr:uid="{00000000-0005-0000-0000-00004B230000}"/>
    <cellStyle name="Heading 1 2 6" xfId="9090" xr:uid="{00000000-0005-0000-0000-00004C230000}"/>
    <cellStyle name="Heading 1 2 6 2" xfId="9091" xr:uid="{00000000-0005-0000-0000-00004D230000}"/>
    <cellStyle name="Heading 1 2 7" xfId="9092" xr:uid="{00000000-0005-0000-0000-00004E230000}"/>
    <cellStyle name="Heading 1 2 7 2" xfId="9093" xr:uid="{00000000-0005-0000-0000-00004F230000}"/>
    <cellStyle name="Heading 1 2 8" xfId="9094" xr:uid="{00000000-0005-0000-0000-000050230000}"/>
    <cellStyle name="Heading 1 2 8 2" xfId="9095" xr:uid="{00000000-0005-0000-0000-000051230000}"/>
    <cellStyle name="Heading 1 2 9" xfId="9096" xr:uid="{00000000-0005-0000-0000-000052230000}"/>
    <cellStyle name="Heading 1 2 9 2" xfId="9097" xr:uid="{00000000-0005-0000-0000-000053230000}"/>
    <cellStyle name="Heading 1 2_2012-13 data" xfId="9098" xr:uid="{00000000-0005-0000-0000-000054230000}"/>
    <cellStyle name="Heading 1 20" xfId="9099" xr:uid="{00000000-0005-0000-0000-000055230000}"/>
    <cellStyle name="Heading 1 20 2" xfId="9100" xr:uid="{00000000-0005-0000-0000-000056230000}"/>
    <cellStyle name="Heading 1 21" xfId="9101" xr:uid="{00000000-0005-0000-0000-000057230000}"/>
    <cellStyle name="Heading 1 21 2" xfId="9102" xr:uid="{00000000-0005-0000-0000-000058230000}"/>
    <cellStyle name="Heading 1 22" xfId="9103" xr:uid="{00000000-0005-0000-0000-000059230000}"/>
    <cellStyle name="Heading 1 23" xfId="9104" xr:uid="{00000000-0005-0000-0000-00005A230000}"/>
    <cellStyle name="Heading 1 24" xfId="9105" xr:uid="{00000000-0005-0000-0000-00005B230000}"/>
    <cellStyle name="Heading 1 25" xfId="9106" xr:uid="{00000000-0005-0000-0000-00005C230000}"/>
    <cellStyle name="Heading 1 26" xfId="9107" xr:uid="{00000000-0005-0000-0000-00005D230000}"/>
    <cellStyle name="Heading 1 27" xfId="9108" xr:uid="{00000000-0005-0000-0000-00005E230000}"/>
    <cellStyle name="Heading 1 28" xfId="9109" xr:uid="{00000000-0005-0000-0000-00005F230000}"/>
    <cellStyle name="Heading 1 29" xfId="9110" xr:uid="{00000000-0005-0000-0000-000060230000}"/>
    <cellStyle name="Heading 1 3" xfId="9111" xr:uid="{00000000-0005-0000-0000-000061230000}"/>
    <cellStyle name="Heading 1 3 2" xfId="9112" xr:uid="{00000000-0005-0000-0000-000062230000}"/>
    <cellStyle name="Heading 1 3 2 2" xfId="9113" xr:uid="{00000000-0005-0000-0000-000063230000}"/>
    <cellStyle name="Heading 1 3 2 3" xfId="9114" xr:uid="{00000000-0005-0000-0000-000064230000}"/>
    <cellStyle name="Heading 1 3 2 4" xfId="9115" xr:uid="{00000000-0005-0000-0000-000065230000}"/>
    <cellStyle name="Heading 1 3 2 5" xfId="9116" xr:uid="{00000000-0005-0000-0000-000066230000}"/>
    <cellStyle name="Heading 1 3 2 6" xfId="9117" xr:uid="{00000000-0005-0000-0000-000067230000}"/>
    <cellStyle name="Heading 1 3 2 7" xfId="9118" xr:uid="{00000000-0005-0000-0000-000068230000}"/>
    <cellStyle name="Heading 1 3 2 8" xfId="9119" xr:uid="{00000000-0005-0000-0000-000069230000}"/>
    <cellStyle name="Heading 1 3 2 9" xfId="9120" xr:uid="{00000000-0005-0000-0000-00006A230000}"/>
    <cellStyle name="Heading 1 3 3" xfId="9121" xr:uid="{00000000-0005-0000-0000-00006B230000}"/>
    <cellStyle name="Heading 1 3 3 2" xfId="9122" xr:uid="{00000000-0005-0000-0000-00006C230000}"/>
    <cellStyle name="Heading 1 3 3 3" xfId="9123" xr:uid="{00000000-0005-0000-0000-00006D230000}"/>
    <cellStyle name="Heading 1 3 4" xfId="9124" xr:uid="{00000000-0005-0000-0000-00006E230000}"/>
    <cellStyle name="Heading 1 3 5" xfId="9125" xr:uid="{00000000-0005-0000-0000-00006F230000}"/>
    <cellStyle name="Heading 1 3_Ramadugu_ SWGH" xfId="9126" xr:uid="{00000000-0005-0000-0000-000070230000}"/>
    <cellStyle name="Heading 1 30" xfId="9127" xr:uid="{00000000-0005-0000-0000-000071230000}"/>
    <cellStyle name="Heading 1 31" xfId="9128" xr:uid="{00000000-0005-0000-0000-000072230000}"/>
    <cellStyle name="Heading 1 32" xfId="9129" xr:uid="{00000000-0005-0000-0000-000073230000}"/>
    <cellStyle name="Heading 1 33" xfId="9130" xr:uid="{00000000-0005-0000-0000-000074230000}"/>
    <cellStyle name="Heading 1 34" xfId="9131" xr:uid="{00000000-0005-0000-0000-000075230000}"/>
    <cellStyle name="Heading 1 35" xfId="9132" xr:uid="{00000000-0005-0000-0000-000076230000}"/>
    <cellStyle name="Heading 1 36" xfId="9133" xr:uid="{00000000-0005-0000-0000-000077230000}"/>
    <cellStyle name="Heading 1 37" xfId="9134" xr:uid="{00000000-0005-0000-0000-000078230000}"/>
    <cellStyle name="Heading 1 38" xfId="9135" xr:uid="{00000000-0005-0000-0000-000079230000}"/>
    <cellStyle name="Heading 1 39" xfId="9136" xr:uid="{00000000-0005-0000-0000-00007A230000}"/>
    <cellStyle name="Heading 1 4" xfId="9137" xr:uid="{00000000-0005-0000-0000-00007B230000}"/>
    <cellStyle name="Heading 1 4 10" xfId="9138" xr:uid="{00000000-0005-0000-0000-00007C230000}"/>
    <cellStyle name="Heading 1 4 11" xfId="9139" xr:uid="{00000000-0005-0000-0000-00007D230000}"/>
    <cellStyle name="Heading 1 4 12" xfId="9140" xr:uid="{00000000-0005-0000-0000-00007E230000}"/>
    <cellStyle name="Heading 1 4 13" xfId="9141" xr:uid="{00000000-0005-0000-0000-00007F230000}"/>
    <cellStyle name="Heading 1 4 2" xfId="9142" xr:uid="{00000000-0005-0000-0000-000080230000}"/>
    <cellStyle name="Heading 1 4 3" xfId="9143" xr:uid="{00000000-0005-0000-0000-000081230000}"/>
    <cellStyle name="Heading 1 4 4" xfId="9144" xr:uid="{00000000-0005-0000-0000-000082230000}"/>
    <cellStyle name="Heading 1 4 5" xfId="9145" xr:uid="{00000000-0005-0000-0000-000083230000}"/>
    <cellStyle name="Heading 1 4 6" xfId="9146" xr:uid="{00000000-0005-0000-0000-000084230000}"/>
    <cellStyle name="Heading 1 4 7" xfId="9147" xr:uid="{00000000-0005-0000-0000-000085230000}"/>
    <cellStyle name="Heading 1 4 8" xfId="9148" xr:uid="{00000000-0005-0000-0000-000086230000}"/>
    <cellStyle name="Heading 1 4 9" xfId="9149" xr:uid="{00000000-0005-0000-0000-000087230000}"/>
    <cellStyle name="Heading 1 4_Sheet2" xfId="9150" xr:uid="{00000000-0005-0000-0000-000088230000}"/>
    <cellStyle name="Heading 1 5" xfId="9151" xr:uid="{00000000-0005-0000-0000-000089230000}"/>
    <cellStyle name="Heading 1 5 10" xfId="9152" xr:uid="{00000000-0005-0000-0000-00008A230000}"/>
    <cellStyle name="Heading 1 5 11" xfId="9153" xr:uid="{00000000-0005-0000-0000-00008B230000}"/>
    <cellStyle name="Heading 1 5 12" xfId="9154" xr:uid="{00000000-0005-0000-0000-00008C230000}"/>
    <cellStyle name="Heading 1 5 2" xfId="9155" xr:uid="{00000000-0005-0000-0000-00008D230000}"/>
    <cellStyle name="Heading 1 5 3" xfId="9156" xr:uid="{00000000-0005-0000-0000-00008E230000}"/>
    <cellStyle name="Heading 1 5 4" xfId="9157" xr:uid="{00000000-0005-0000-0000-00008F230000}"/>
    <cellStyle name="Heading 1 5 5" xfId="9158" xr:uid="{00000000-0005-0000-0000-000090230000}"/>
    <cellStyle name="Heading 1 5 6" xfId="9159" xr:uid="{00000000-0005-0000-0000-000091230000}"/>
    <cellStyle name="Heading 1 5 7" xfId="9160" xr:uid="{00000000-0005-0000-0000-000092230000}"/>
    <cellStyle name="Heading 1 5 8" xfId="9161" xr:uid="{00000000-0005-0000-0000-000093230000}"/>
    <cellStyle name="Heading 1 5 9" xfId="9162" xr:uid="{00000000-0005-0000-0000-000094230000}"/>
    <cellStyle name="Heading 1 5_Sheet2" xfId="9163" xr:uid="{00000000-0005-0000-0000-000095230000}"/>
    <cellStyle name="Heading 1 6" xfId="9164" xr:uid="{00000000-0005-0000-0000-000096230000}"/>
    <cellStyle name="Heading 1 6 10" xfId="9165" xr:uid="{00000000-0005-0000-0000-000097230000}"/>
    <cellStyle name="Heading 1 6 11" xfId="9166" xr:uid="{00000000-0005-0000-0000-000098230000}"/>
    <cellStyle name="Heading 1 6 12" xfId="9167" xr:uid="{00000000-0005-0000-0000-000099230000}"/>
    <cellStyle name="Heading 1 6 2" xfId="9168" xr:uid="{00000000-0005-0000-0000-00009A230000}"/>
    <cellStyle name="Heading 1 6 3" xfId="9169" xr:uid="{00000000-0005-0000-0000-00009B230000}"/>
    <cellStyle name="Heading 1 6 4" xfId="9170" xr:uid="{00000000-0005-0000-0000-00009C230000}"/>
    <cellStyle name="Heading 1 6 5" xfId="9171" xr:uid="{00000000-0005-0000-0000-00009D230000}"/>
    <cellStyle name="Heading 1 6 6" xfId="9172" xr:uid="{00000000-0005-0000-0000-00009E230000}"/>
    <cellStyle name="Heading 1 6 7" xfId="9173" xr:uid="{00000000-0005-0000-0000-00009F230000}"/>
    <cellStyle name="Heading 1 6 8" xfId="9174" xr:uid="{00000000-0005-0000-0000-0000A0230000}"/>
    <cellStyle name="Heading 1 6 9" xfId="9175" xr:uid="{00000000-0005-0000-0000-0000A1230000}"/>
    <cellStyle name="Heading 1 6_Sheet2" xfId="9176" xr:uid="{00000000-0005-0000-0000-0000A2230000}"/>
    <cellStyle name="Heading 1 7" xfId="9177" xr:uid="{00000000-0005-0000-0000-0000A3230000}"/>
    <cellStyle name="Heading 1 7 10" xfId="9178" xr:uid="{00000000-0005-0000-0000-0000A4230000}"/>
    <cellStyle name="Heading 1 7 11" xfId="9179" xr:uid="{00000000-0005-0000-0000-0000A5230000}"/>
    <cellStyle name="Heading 1 7 12" xfId="9180" xr:uid="{00000000-0005-0000-0000-0000A6230000}"/>
    <cellStyle name="Heading 1 7 2" xfId="9181" xr:uid="{00000000-0005-0000-0000-0000A7230000}"/>
    <cellStyle name="Heading 1 7 3" xfId="9182" xr:uid="{00000000-0005-0000-0000-0000A8230000}"/>
    <cellStyle name="Heading 1 7 4" xfId="9183" xr:uid="{00000000-0005-0000-0000-0000A9230000}"/>
    <cellStyle name="Heading 1 7 5" xfId="9184" xr:uid="{00000000-0005-0000-0000-0000AA230000}"/>
    <cellStyle name="Heading 1 7 6" xfId="9185" xr:uid="{00000000-0005-0000-0000-0000AB230000}"/>
    <cellStyle name="Heading 1 7 7" xfId="9186" xr:uid="{00000000-0005-0000-0000-0000AC230000}"/>
    <cellStyle name="Heading 1 7 8" xfId="9187" xr:uid="{00000000-0005-0000-0000-0000AD230000}"/>
    <cellStyle name="Heading 1 7 9" xfId="9188" xr:uid="{00000000-0005-0000-0000-0000AE230000}"/>
    <cellStyle name="Heading 1 7_Sheet2" xfId="9189" xr:uid="{00000000-0005-0000-0000-0000AF230000}"/>
    <cellStyle name="Heading 1 8" xfId="9190" xr:uid="{00000000-0005-0000-0000-0000B0230000}"/>
    <cellStyle name="Heading 1 8 10" xfId="9191" xr:uid="{00000000-0005-0000-0000-0000B1230000}"/>
    <cellStyle name="Heading 1 8 11" xfId="9192" xr:uid="{00000000-0005-0000-0000-0000B2230000}"/>
    <cellStyle name="Heading 1 8 2" xfId="9193" xr:uid="{00000000-0005-0000-0000-0000B3230000}"/>
    <cellStyle name="Heading 1 8 3" xfId="9194" xr:uid="{00000000-0005-0000-0000-0000B4230000}"/>
    <cellStyle name="Heading 1 8 4" xfId="9195" xr:uid="{00000000-0005-0000-0000-0000B5230000}"/>
    <cellStyle name="Heading 1 8 5" xfId="9196" xr:uid="{00000000-0005-0000-0000-0000B6230000}"/>
    <cellStyle name="Heading 1 8 6" xfId="9197" xr:uid="{00000000-0005-0000-0000-0000B7230000}"/>
    <cellStyle name="Heading 1 8 7" xfId="9198" xr:uid="{00000000-0005-0000-0000-0000B8230000}"/>
    <cellStyle name="Heading 1 8 8" xfId="9199" xr:uid="{00000000-0005-0000-0000-0000B9230000}"/>
    <cellStyle name="Heading 1 8 9" xfId="9200" xr:uid="{00000000-0005-0000-0000-0000BA230000}"/>
    <cellStyle name="Heading 1 8_Sheet2" xfId="9201" xr:uid="{00000000-0005-0000-0000-0000BB230000}"/>
    <cellStyle name="Heading 1 9" xfId="9202" xr:uid="{00000000-0005-0000-0000-0000BC230000}"/>
    <cellStyle name="Heading 1 9 2" xfId="9203" xr:uid="{00000000-0005-0000-0000-0000BD230000}"/>
    <cellStyle name="Heading 1 9 3" xfId="9204" xr:uid="{00000000-0005-0000-0000-0000BE230000}"/>
    <cellStyle name="Heading 1 9 4" xfId="9205" xr:uid="{00000000-0005-0000-0000-0000BF230000}"/>
    <cellStyle name="Heading 1 9 5" xfId="9206" xr:uid="{00000000-0005-0000-0000-0000C0230000}"/>
    <cellStyle name="Heading 1 9 6" xfId="9207" xr:uid="{00000000-0005-0000-0000-0000C1230000}"/>
    <cellStyle name="Heading 1 9 7" xfId="9208" xr:uid="{00000000-0005-0000-0000-0000C2230000}"/>
    <cellStyle name="Heading 1 9 8" xfId="9209" xr:uid="{00000000-0005-0000-0000-0000C3230000}"/>
    <cellStyle name="Heading 1 9 9" xfId="9210" xr:uid="{00000000-0005-0000-0000-0000C4230000}"/>
    <cellStyle name="Heading 1 Above" xfId="9211" xr:uid="{00000000-0005-0000-0000-0000C5230000}"/>
    <cellStyle name="Heading 1+" xfId="9212" xr:uid="{00000000-0005-0000-0000-0000C6230000}"/>
    <cellStyle name="Heading 2" xfId="47" builtinId="17" customBuiltin="1"/>
    <cellStyle name="Heading 2 10" xfId="9213" xr:uid="{00000000-0005-0000-0000-0000C8230000}"/>
    <cellStyle name="Heading 2 10 2" xfId="9214" xr:uid="{00000000-0005-0000-0000-0000C9230000}"/>
    <cellStyle name="Heading 2 10 3" xfId="9215" xr:uid="{00000000-0005-0000-0000-0000CA230000}"/>
    <cellStyle name="Heading 2 10 4" xfId="9216" xr:uid="{00000000-0005-0000-0000-0000CB230000}"/>
    <cellStyle name="Heading 2 10 5" xfId="9217" xr:uid="{00000000-0005-0000-0000-0000CC230000}"/>
    <cellStyle name="Heading 2 10 6" xfId="9218" xr:uid="{00000000-0005-0000-0000-0000CD230000}"/>
    <cellStyle name="Heading 2 10 7" xfId="9219" xr:uid="{00000000-0005-0000-0000-0000CE230000}"/>
    <cellStyle name="Heading 2 10 8" xfId="9220" xr:uid="{00000000-0005-0000-0000-0000CF230000}"/>
    <cellStyle name="Heading 2 10 9" xfId="9221" xr:uid="{00000000-0005-0000-0000-0000D0230000}"/>
    <cellStyle name="Heading 2 11" xfId="9222" xr:uid="{00000000-0005-0000-0000-0000D1230000}"/>
    <cellStyle name="Heading 2 11 2" xfId="9223" xr:uid="{00000000-0005-0000-0000-0000D2230000}"/>
    <cellStyle name="Heading 2 11 3" xfId="9224" xr:uid="{00000000-0005-0000-0000-0000D3230000}"/>
    <cellStyle name="Heading 2 11 4" xfId="9225" xr:uid="{00000000-0005-0000-0000-0000D4230000}"/>
    <cellStyle name="Heading 2 11 5" xfId="9226" xr:uid="{00000000-0005-0000-0000-0000D5230000}"/>
    <cellStyle name="Heading 2 11 6" xfId="9227" xr:uid="{00000000-0005-0000-0000-0000D6230000}"/>
    <cellStyle name="Heading 2 11 7" xfId="9228" xr:uid="{00000000-0005-0000-0000-0000D7230000}"/>
    <cellStyle name="Heading 2 11 8" xfId="9229" xr:uid="{00000000-0005-0000-0000-0000D8230000}"/>
    <cellStyle name="Heading 2 11 9" xfId="9230" xr:uid="{00000000-0005-0000-0000-0000D9230000}"/>
    <cellStyle name="Heading 2 12" xfId="9231" xr:uid="{00000000-0005-0000-0000-0000DA230000}"/>
    <cellStyle name="Heading 2 12 2" xfId="9232" xr:uid="{00000000-0005-0000-0000-0000DB230000}"/>
    <cellStyle name="Heading 2 12 3" xfId="9233" xr:uid="{00000000-0005-0000-0000-0000DC230000}"/>
    <cellStyle name="Heading 2 12 4" xfId="9234" xr:uid="{00000000-0005-0000-0000-0000DD230000}"/>
    <cellStyle name="Heading 2 12 5" xfId="9235" xr:uid="{00000000-0005-0000-0000-0000DE230000}"/>
    <cellStyle name="Heading 2 12 6" xfId="9236" xr:uid="{00000000-0005-0000-0000-0000DF230000}"/>
    <cellStyle name="Heading 2 12 7" xfId="9237" xr:uid="{00000000-0005-0000-0000-0000E0230000}"/>
    <cellStyle name="Heading 2 12 8" xfId="9238" xr:uid="{00000000-0005-0000-0000-0000E1230000}"/>
    <cellStyle name="Heading 2 12 9" xfId="9239" xr:uid="{00000000-0005-0000-0000-0000E2230000}"/>
    <cellStyle name="Heading 2 13" xfId="9240" xr:uid="{00000000-0005-0000-0000-0000E3230000}"/>
    <cellStyle name="Heading 2 13 2" xfId="9241" xr:uid="{00000000-0005-0000-0000-0000E4230000}"/>
    <cellStyle name="Heading 2 13 3" xfId="9242" xr:uid="{00000000-0005-0000-0000-0000E5230000}"/>
    <cellStyle name="Heading 2 13 4" xfId="9243" xr:uid="{00000000-0005-0000-0000-0000E6230000}"/>
    <cellStyle name="Heading 2 13 5" xfId="9244" xr:uid="{00000000-0005-0000-0000-0000E7230000}"/>
    <cellStyle name="Heading 2 13 6" xfId="9245" xr:uid="{00000000-0005-0000-0000-0000E8230000}"/>
    <cellStyle name="Heading 2 13 7" xfId="9246" xr:uid="{00000000-0005-0000-0000-0000E9230000}"/>
    <cellStyle name="Heading 2 13 8" xfId="9247" xr:uid="{00000000-0005-0000-0000-0000EA230000}"/>
    <cellStyle name="Heading 2 13 9" xfId="9248" xr:uid="{00000000-0005-0000-0000-0000EB230000}"/>
    <cellStyle name="Heading 2 14" xfId="9249" xr:uid="{00000000-0005-0000-0000-0000EC230000}"/>
    <cellStyle name="Heading 2 14 2" xfId="9250" xr:uid="{00000000-0005-0000-0000-0000ED230000}"/>
    <cellStyle name="Heading 2 14 3" xfId="9251" xr:uid="{00000000-0005-0000-0000-0000EE230000}"/>
    <cellStyle name="Heading 2 14 4" xfId="9252" xr:uid="{00000000-0005-0000-0000-0000EF230000}"/>
    <cellStyle name="Heading 2 14 5" xfId="9253" xr:uid="{00000000-0005-0000-0000-0000F0230000}"/>
    <cellStyle name="Heading 2 14 6" xfId="9254" xr:uid="{00000000-0005-0000-0000-0000F1230000}"/>
    <cellStyle name="Heading 2 14 7" xfId="9255" xr:uid="{00000000-0005-0000-0000-0000F2230000}"/>
    <cellStyle name="Heading 2 14 8" xfId="9256" xr:uid="{00000000-0005-0000-0000-0000F3230000}"/>
    <cellStyle name="Heading 2 14 9" xfId="9257" xr:uid="{00000000-0005-0000-0000-0000F4230000}"/>
    <cellStyle name="Heading 2 15" xfId="9258" xr:uid="{00000000-0005-0000-0000-0000F5230000}"/>
    <cellStyle name="Heading 2 15 2" xfId="9259" xr:uid="{00000000-0005-0000-0000-0000F6230000}"/>
    <cellStyle name="Heading 2 15 3" xfId="9260" xr:uid="{00000000-0005-0000-0000-0000F7230000}"/>
    <cellStyle name="Heading 2 15 4" xfId="9261" xr:uid="{00000000-0005-0000-0000-0000F8230000}"/>
    <cellStyle name="Heading 2 15 5" xfId="9262" xr:uid="{00000000-0005-0000-0000-0000F9230000}"/>
    <cellStyle name="Heading 2 15 6" xfId="9263" xr:uid="{00000000-0005-0000-0000-0000FA230000}"/>
    <cellStyle name="Heading 2 15 7" xfId="9264" xr:uid="{00000000-0005-0000-0000-0000FB230000}"/>
    <cellStyle name="Heading 2 15 8" xfId="9265" xr:uid="{00000000-0005-0000-0000-0000FC230000}"/>
    <cellStyle name="Heading 2 15 9" xfId="9266" xr:uid="{00000000-0005-0000-0000-0000FD230000}"/>
    <cellStyle name="Heading 2 16" xfId="9267" xr:uid="{00000000-0005-0000-0000-0000FE230000}"/>
    <cellStyle name="Heading 2 16 2" xfId="9268" xr:uid="{00000000-0005-0000-0000-0000FF230000}"/>
    <cellStyle name="Heading 2 16 3" xfId="9269" xr:uid="{00000000-0005-0000-0000-000000240000}"/>
    <cellStyle name="Heading 2 16 4" xfId="9270" xr:uid="{00000000-0005-0000-0000-000001240000}"/>
    <cellStyle name="Heading 2 16 5" xfId="9271" xr:uid="{00000000-0005-0000-0000-000002240000}"/>
    <cellStyle name="Heading 2 16 6" xfId="9272" xr:uid="{00000000-0005-0000-0000-000003240000}"/>
    <cellStyle name="Heading 2 16 7" xfId="9273" xr:uid="{00000000-0005-0000-0000-000004240000}"/>
    <cellStyle name="Heading 2 16 8" xfId="9274" xr:uid="{00000000-0005-0000-0000-000005240000}"/>
    <cellStyle name="Heading 2 16 9" xfId="9275" xr:uid="{00000000-0005-0000-0000-000006240000}"/>
    <cellStyle name="Heading 2 17" xfId="9276" xr:uid="{00000000-0005-0000-0000-000007240000}"/>
    <cellStyle name="Heading 2 17 2" xfId="9277" xr:uid="{00000000-0005-0000-0000-000008240000}"/>
    <cellStyle name="Heading 2 18" xfId="9278" xr:uid="{00000000-0005-0000-0000-000009240000}"/>
    <cellStyle name="Heading 2 18 2" xfId="9279" xr:uid="{00000000-0005-0000-0000-00000A240000}"/>
    <cellStyle name="Heading 2 19" xfId="9280" xr:uid="{00000000-0005-0000-0000-00000B240000}"/>
    <cellStyle name="Heading 2 19 2" xfId="9281" xr:uid="{00000000-0005-0000-0000-00000C240000}"/>
    <cellStyle name="Heading 2 2" xfId="9282" xr:uid="{00000000-0005-0000-0000-00000D240000}"/>
    <cellStyle name="Heading 2 2 10" xfId="9283" xr:uid="{00000000-0005-0000-0000-00000E240000}"/>
    <cellStyle name="Heading 2 2 10 2" xfId="9284" xr:uid="{00000000-0005-0000-0000-00000F240000}"/>
    <cellStyle name="Heading 2 2 11" xfId="9285" xr:uid="{00000000-0005-0000-0000-000010240000}"/>
    <cellStyle name="Heading 2 2 12" xfId="9286" xr:uid="{00000000-0005-0000-0000-000011240000}"/>
    <cellStyle name="Heading 2 2 13" xfId="9287" xr:uid="{00000000-0005-0000-0000-000012240000}"/>
    <cellStyle name="Heading 2 2 14" xfId="9288" xr:uid="{00000000-0005-0000-0000-000013240000}"/>
    <cellStyle name="Heading 2 2 2" xfId="9289" xr:uid="{00000000-0005-0000-0000-000014240000}"/>
    <cellStyle name="Heading 2 2 2 2" xfId="9290" xr:uid="{00000000-0005-0000-0000-000015240000}"/>
    <cellStyle name="Heading 2 2 2 3" xfId="9291" xr:uid="{00000000-0005-0000-0000-000016240000}"/>
    <cellStyle name="Heading 2 2 2 4" xfId="9292" xr:uid="{00000000-0005-0000-0000-000017240000}"/>
    <cellStyle name="Heading 2 2 2 5" xfId="9293" xr:uid="{00000000-0005-0000-0000-000018240000}"/>
    <cellStyle name="Heading 2 2 2 6" xfId="9294" xr:uid="{00000000-0005-0000-0000-000019240000}"/>
    <cellStyle name="Heading 2 2 2 7" xfId="9295" xr:uid="{00000000-0005-0000-0000-00001A240000}"/>
    <cellStyle name="Heading 2 2 2 8" xfId="9296" xr:uid="{00000000-0005-0000-0000-00001B240000}"/>
    <cellStyle name="Heading 2 2 2 9" xfId="9297" xr:uid="{00000000-0005-0000-0000-00001C240000}"/>
    <cellStyle name="Heading 2 2 3" xfId="9298" xr:uid="{00000000-0005-0000-0000-00001D240000}"/>
    <cellStyle name="Heading 2 2 3 2" xfId="9299" xr:uid="{00000000-0005-0000-0000-00001E240000}"/>
    <cellStyle name="Heading 2 2 4" xfId="9300" xr:uid="{00000000-0005-0000-0000-00001F240000}"/>
    <cellStyle name="Heading 2 2 4 2" xfId="9301" xr:uid="{00000000-0005-0000-0000-000020240000}"/>
    <cellStyle name="Heading 2 2 5" xfId="9302" xr:uid="{00000000-0005-0000-0000-000021240000}"/>
    <cellStyle name="Heading 2 2 5 2" xfId="9303" xr:uid="{00000000-0005-0000-0000-000022240000}"/>
    <cellStyle name="Heading 2 2 6" xfId="9304" xr:uid="{00000000-0005-0000-0000-000023240000}"/>
    <cellStyle name="Heading 2 2 6 2" xfId="9305" xr:uid="{00000000-0005-0000-0000-000024240000}"/>
    <cellStyle name="Heading 2 2 7" xfId="9306" xr:uid="{00000000-0005-0000-0000-000025240000}"/>
    <cellStyle name="Heading 2 2 7 2" xfId="9307" xr:uid="{00000000-0005-0000-0000-000026240000}"/>
    <cellStyle name="Heading 2 2 8" xfId="9308" xr:uid="{00000000-0005-0000-0000-000027240000}"/>
    <cellStyle name="Heading 2 2 8 2" xfId="9309" xr:uid="{00000000-0005-0000-0000-000028240000}"/>
    <cellStyle name="Heading 2 2 9" xfId="9310" xr:uid="{00000000-0005-0000-0000-000029240000}"/>
    <cellStyle name="Heading 2 2 9 2" xfId="9311" xr:uid="{00000000-0005-0000-0000-00002A240000}"/>
    <cellStyle name="Heading 2 2_2012-13 data" xfId="9312" xr:uid="{00000000-0005-0000-0000-00002B240000}"/>
    <cellStyle name="Heading 2 20" xfId="9313" xr:uid="{00000000-0005-0000-0000-00002C240000}"/>
    <cellStyle name="Heading 2 20 2" xfId="9314" xr:uid="{00000000-0005-0000-0000-00002D240000}"/>
    <cellStyle name="Heading 2 21" xfId="9315" xr:uid="{00000000-0005-0000-0000-00002E240000}"/>
    <cellStyle name="Heading 2 21 2" xfId="9316" xr:uid="{00000000-0005-0000-0000-00002F240000}"/>
    <cellStyle name="Heading 2 22" xfId="9317" xr:uid="{00000000-0005-0000-0000-000030240000}"/>
    <cellStyle name="Heading 2 23" xfId="9318" xr:uid="{00000000-0005-0000-0000-000031240000}"/>
    <cellStyle name="Heading 2 24" xfId="9319" xr:uid="{00000000-0005-0000-0000-000032240000}"/>
    <cellStyle name="Heading 2 25" xfId="9320" xr:uid="{00000000-0005-0000-0000-000033240000}"/>
    <cellStyle name="Heading 2 26" xfId="9321" xr:uid="{00000000-0005-0000-0000-000034240000}"/>
    <cellStyle name="Heading 2 27" xfId="9322" xr:uid="{00000000-0005-0000-0000-000035240000}"/>
    <cellStyle name="Heading 2 28" xfId="9323" xr:uid="{00000000-0005-0000-0000-000036240000}"/>
    <cellStyle name="Heading 2 29" xfId="9324" xr:uid="{00000000-0005-0000-0000-000037240000}"/>
    <cellStyle name="Heading 2 3" xfId="9325" xr:uid="{00000000-0005-0000-0000-000038240000}"/>
    <cellStyle name="Heading 2 3 2" xfId="9326" xr:uid="{00000000-0005-0000-0000-000039240000}"/>
    <cellStyle name="Heading 2 3 2 2" xfId="9327" xr:uid="{00000000-0005-0000-0000-00003A240000}"/>
    <cellStyle name="Heading 2 3 2 3" xfId="9328" xr:uid="{00000000-0005-0000-0000-00003B240000}"/>
    <cellStyle name="Heading 2 3 2 4" xfId="9329" xr:uid="{00000000-0005-0000-0000-00003C240000}"/>
    <cellStyle name="Heading 2 3 2 5" xfId="9330" xr:uid="{00000000-0005-0000-0000-00003D240000}"/>
    <cellStyle name="Heading 2 3 2 6" xfId="9331" xr:uid="{00000000-0005-0000-0000-00003E240000}"/>
    <cellStyle name="Heading 2 3 2 7" xfId="9332" xr:uid="{00000000-0005-0000-0000-00003F240000}"/>
    <cellStyle name="Heading 2 3 2 8" xfId="9333" xr:uid="{00000000-0005-0000-0000-000040240000}"/>
    <cellStyle name="Heading 2 3 2 9" xfId="9334" xr:uid="{00000000-0005-0000-0000-000041240000}"/>
    <cellStyle name="Heading 2 3 3" xfId="9335" xr:uid="{00000000-0005-0000-0000-000042240000}"/>
    <cellStyle name="Heading 2 3 3 2" xfId="9336" xr:uid="{00000000-0005-0000-0000-000043240000}"/>
    <cellStyle name="Heading 2 3 3 3" xfId="9337" xr:uid="{00000000-0005-0000-0000-000044240000}"/>
    <cellStyle name="Heading 2 3 4" xfId="9338" xr:uid="{00000000-0005-0000-0000-000045240000}"/>
    <cellStyle name="Heading 2 3 5" xfId="9339" xr:uid="{00000000-0005-0000-0000-000046240000}"/>
    <cellStyle name="Heading 2 3_Ramadugu_ SWGH" xfId="9340" xr:uid="{00000000-0005-0000-0000-000047240000}"/>
    <cellStyle name="Heading 2 30" xfId="9341" xr:uid="{00000000-0005-0000-0000-000048240000}"/>
    <cellStyle name="Heading 2 31" xfId="9342" xr:uid="{00000000-0005-0000-0000-000049240000}"/>
    <cellStyle name="Heading 2 32" xfId="9343" xr:uid="{00000000-0005-0000-0000-00004A240000}"/>
    <cellStyle name="Heading 2 33" xfId="9344" xr:uid="{00000000-0005-0000-0000-00004B240000}"/>
    <cellStyle name="Heading 2 34" xfId="9345" xr:uid="{00000000-0005-0000-0000-00004C240000}"/>
    <cellStyle name="Heading 2 35" xfId="9346" xr:uid="{00000000-0005-0000-0000-00004D240000}"/>
    <cellStyle name="Heading 2 36" xfId="9347" xr:uid="{00000000-0005-0000-0000-00004E240000}"/>
    <cellStyle name="Heading 2 37" xfId="9348" xr:uid="{00000000-0005-0000-0000-00004F240000}"/>
    <cellStyle name="Heading 2 38" xfId="9349" xr:uid="{00000000-0005-0000-0000-000050240000}"/>
    <cellStyle name="Heading 2 39" xfId="9350" xr:uid="{00000000-0005-0000-0000-000051240000}"/>
    <cellStyle name="Heading 2 4" xfId="9351" xr:uid="{00000000-0005-0000-0000-000052240000}"/>
    <cellStyle name="Heading 2 4 10" xfId="9352" xr:uid="{00000000-0005-0000-0000-000053240000}"/>
    <cellStyle name="Heading 2 4 11" xfId="9353" xr:uid="{00000000-0005-0000-0000-000054240000}"/>
    <cellStyle name="Heading 2 4 12" xfId="9354" xr:uid="{00000000-0005-0000-0000-000055240000}"/>
    <cellStyle name="Heading 2 4 13" xfId="9355" xr:uid="{00000000-0005-0000-0000-000056240000}"/>
    <cellStyle name="Heading 2 4 2" xfId="9356" xr:uid="{00000000-0005-0000-0000-000057240000}"/>
    <cellStyle name="Heading 2 4 3" xfId="9357" xr:uid="{00000000-0005-0000-0000-000058240000}"/>
    <cellStyle name="Heading 2 4 4" xfId="9358" xr:uid="{00000000-0005-0000-0000-000059240000}"/>
    <cellStyle name="Heading 2 4 5" xfId="9359" xr:uid="{00000000-0005-0000-0000-00005A240000}"/>
    <cellStyle name="Heading 2 4 6" xfId="9360" xr:uid="{00000000-0005-0000-0000-00005B240000}"/>
    <cellStyle name="Heading 2 4 7" xfId="9361" xr:uid="{00000000-0005-0000-0000-00005C240000}"/>
    <cellStyle name="Heading 2 4 8" xfId="9362" xr:uid="{00000000-0005-0000-0000-00005D240000}"/>
    <cellStyle name="Heading 2 4 9" xfId="9363" xr:uid="{00000000-0005-0000-0000-00005E240000}"/>
    <cellStyle name="Heading 2 4_Sheet2" xfId="9364" xr:uid="{00000000-0005-0000-0000-00005F240000}"/>
    <cellStyle name="Heading 2 5" xfId="9365" xr:uid="{00000000-0005-0000-0000-000060240000}"/>
    <cellStyle name="Heading 2 5 10" xfId="9366" xr:uid="{00000000-0005-0000-0000-000061240000}"/>
    <cellStyle name="Heading 2 5 11" xfId="9367" xr:uid="{00000000-0005-0000-0000-000062240000}"/>
    <cellStyle name="Heading 2 5 12" xfId="9368" xr:uid="{00000000-0005-0000-0000-000063240000}"/>
    <cellStyle name="Heading 2 5 2" xfId="9369" xr:uid="{00000000-0005-0000-0000-000064240000}"/>
    <cellStyle name="Heading 2 5 3" xfId="9370" xr:uid="{00000000-0005-0000-0000-000065240000}"/>
    <cellStyle name="Heading 2 5 4" xfId="9371" xr:uid="{00000000-0005-0000-0000-000066240000}"/>
    <cellStyle name="Heading 2 5 5" xfId="9372" xr:uid="{00000000-0005-0000-0000-000067240000}"/>
    <cellStyle name="Heading 2 5 6" xfId="9373" xr:uid="{00000000-0005-0000-0000-000068240000}"/>
    <cellStyle name="Heading 2 5 7" xfId="9374" xr:uid="{00000000-0005-0000-0000-000069240000}"/>
    <cellStyle name="Heading 2 5 8" xfId="9375" xr:uid="{00000000-0005-0000-0000-00006A240000}"/>
    <cellStyle name="Heading 2 5 9" xfId="9376" xr:uid="{00000000-0005-0000-0000-00006B240000}"/>
    <cellStyle name="Heading 2 5_Sheet2" xfId="9377" xr:uid="{00000000-0005-0000-0000-00006C240000}"/>
    <cellStyle name="Heading 2 6" xfId="9378" xr:uid="{00000000-0005-0000-0000-00006D240000}"/>
    <cellStyle name="Heading 2 6 10" xfId="9379" xr:uid="{00000000-0005-0000-0000-00006E240000}"/>
    <cellStyle name="Heading 2 6 11" xfId="9380" xr:uid="{00000000-0005-0000-0000-00006F240000}"/>
    <cellStyle name="Heading 2 6 12" xfId="9381" xr:uid="{00000000-0005-0000-0000-000070240000}"/>
    <cellStyle name="Heading 2 6 2" xfId="9382" xr:uid="{00000000-0005-0000-0000-000071240000}"/>
    <cellStyle name="Heading 2 6 3" xfId="9383" xr:uid="{00000000-0005-0000-0000-000072240000}"/>
    <cellStyle name="Heading 2 6 4" xfId="9384" xr:uid="{00000000-0005-0000-0000-000073240000}"/>
    <cellStyle name="Heading 2 6 5" xfId="9385" xr:uid="{00000000-0005-0000-0000-000074240000}"/>
    <cellStyle name="Heading 2 6 6" xfId="9386" xr:uid="{00000000-0005-0000-0000-000075240000}"/>
    <cellStyle name="Heading 2 6 7" xfId="9387" xr:uid="{00000000-0005-0000-0000-000076240000}"/>
    <cellStyle name="Heading 2 6 8" xfId="9388" xr:uid="{00000000-0005-0000-0000-000077240000}"/>
    <cellStyle name="Heading 2 6 9" xfId="9389" xr:uid="{00000000-0005-0000-0000-000078240000}"/>
    <cellStyle name="Heading 2 6_Sheet2" xfId="9390" xr:uid="{00000000-0005-0000-0000-000079240000}"/>
    <cellStyle name="Heading 2 7" xfId="9391" xr:uid="{00000000-0005-0000-0000-00007A240000}"/>
    <cellStyle name="Heading 2 7 10" xfId="9392" xr:uid="{00000000-0005-0000-0000-00007B240000}"/>
    <cellStyle name="Heading 2 7 11" xfId="9393" xr:uid="{00000000-0005-0000-0000-00007C240000}"/>
    <cellStyle name="Heading 2 7 12" xfId="9394" xr:uid="{00000000-0005-0000-0000-00007D240000}"/>
    <cellStyle name="Heading 2 7 2" xfId="9395" xr:uid="{00000000-0005-0000-0000-00007E240000}"/>
    <cellStyle name="Heading 2 7 3" xfId="9396" xr:uid="{00000000-0005-0000-0000-00007F240000}"/>
    <cellStyle name="Heading 2 7 4" xfId="9397" xr:uid="{00000000-0005-0000-0000-000080240000}"/>
    <cellStyle name="Heading 2 7 5" xfId="9398" xr:uid="{00000000-0005-0000-0000-000081240000}"/>
    <cellStyle name="Heading 2 7 6" xfId="9399" xr:uid="{00000000-0005-0000-0000-000082240000}"/>
    <cellStyle name="Heading 2 7 7" xfId="9400" xr:uid="{00000000-0005-0000-0000-000083240000}"/>
    <cellStyle name="Heading 2 7 8" xfId="9401" xr:uid="{00000000-0005-0000-0000-000084240000}"/>
    <cellStyle name="Heading 2 7 9" xfId="9402" xr:uid="{00000000-0005-0000-0000-000085240000}"/>
    <cellStyle name="Heading 2 7_Sheet2" xfId="9403" xr:uid="{00000000-0005-0000-0000-000086240000}"/>
    <cellStyle name="Heading 2 8" xfId="9404" xr:uid="{00000000-0005-0000-0000-000087240000}"/>
    <cellStyle name="Heading 2 8 10" xfId="9405" xr:uid="{00000000-0005-0000-0000-000088240000}"/>
    <cellStyle name="Heading 2 8 11" xfId="9406" xr:uid="{00000000-0005-0000-0000-000089240000}"/>
    <cellStyle name="Heading 2 8 2" xfId="9407" xr:uid="{00000000-0005-0000-0000-00008A240000}"/>
    <cellStyle name="Heading 2 8 3" xfId="9408" xr:uid="{00000000-0005-0000-0000-00008B240000}"/>
    <cellStyle name="Heading 2 8 4" xfId="9409" xr:uid="{00000000-0005-0000-0000-00008C240000}"/>
    <cellStyle name="Heading 2 8 5" xfId="9410" xr:uid="{00000000-0005-0000-0000-00008D240000}"/>
    <cellStyle name="Heading 2 8 6" xfId="9411" xr:uid="{00000000-0005-0000-0000-00008E240000}"/>
    <cellStyle name="Heading 2 8 7" xfId="9412" xr:uid="{00000000-0005-0000-0000-00008F240000}"/>
    <cellStyle name="Heading 2 8 8" xfId="9413" xr:uid="{00000000-0005-0000-0000-000090240000}"/>
    <cellStyle name="Heading 2 8 9" xfId="9414" xr:uid="{00000000-0005-0000-0000-000091240000}"/>
    <cellStyle name="Heading 2 8_Sheet2" xfId="9415" xr:uid="{00000000-0005-0000-0000-000092240000}"/>
    <cellStyle name="Heading 2 9" xfId="9416" xr:uid="{00000000-0005-0000-0000-000093240000}"/>
    <cellStyle name="Heading 2 9 2" xfId="9417" xr:uid="{00000000-0005-0000-0000-000094240000}"/>
    <cellStyle name="Heading 2 9 3" xfId="9418" xr:uid="{00000000-0005-0000-0000-000095240000}"/>
    <cellStyle name="Heading 2 9 4" xfId="9419" xr:uid="{00000000-0005-0000-0000-000096240000}"/>
    <cellStyle name="Heading 2 9 5" xfId="9420" xr:uid="{00000000-0005-0000-0000-000097240000}"/>
    <cellStyle name="Heading 2 9 6" xfId="9421" xr:uid="{00000000-0005-0000-0000-000098240000}"/>
    <cellStyle name="Heading 2 9 7" xfId="9422" xr:uid="{00000000-0005-0000-0000-000099240000}"/>
    <cellStyle name="Heading 2 9 8" xfId="9423" xr:uid="{00000000-0005-0000-0000-00009A240000}"/>
    <cellStyle name="Heading 2 9 9" xfId="9424" xr:uid="{00000000-0005-0000-0000-00009B240000}"/>
    <cellStyle name="Heading 2 Below" xfId="9425" xr:uid="{00000000-0005-0000-0000-00009C240000}"/>
    <cellStyle name="Heading 2+" xfId="9426" xr:uid="{00000000-0005-0000-0000-00009D240000}"/>
    <cellStyle name="Heading 3" xfId="48" builtinId="18" customBuiltin="1"/>
    <cellStyle name="Heading 3 10" xfId="9427" xr:uid="{00000000-0005-0000-0000-00009F240000}"/>
    <cellStyle name="Heading 3 10 2" xfId="9428" xr:uid="{00000000-0005-0000-0000-0000A0240000}"/>
    <cellStyle name="Heading 3 10 3" xfId="9429" xr:uid="{00000000-0005-0000-0000-0000A1240000}"/>
    <cellStyle name="Heading 3 10 4" xfId="9430" xr:uid="{00000000-0005-0000-0000-0000A2240000}"/>
    <cellStyle name="Heading 3 10 5" xfId="9431" xr:uid="{00000000-0005-0000-0000-0000A3240000}"/>
    <cellStyle name="Heading 3 10 6" xfId="9432" xr:uid="{00000000-0005-0000-0000-0000A4240000}"/>
    <cellStyle name="Heading 3 10 7" xfId="9433" xr:uid="{00000000-0005-0000-0000-0000A5240000}"/>
    <cellStyle name="Heading 3 10 8" xfId="9434" xr:uid="{00000000-0005-0000-0000-0000A6240000}"/>
    <cellStyle name="Heading 3 10 9" xfId="9435" xr:uid="{00000000-0005-0000-0000-0000A7240000}"/>
    <cellStyle name="Heading 3 11" xfId="9436" xr:uid="{00000000-0005-0000-0000-0000A8240000}"/>
    <cellStyle name="Heading 3 11 2" xfId="9437" xr:uid="{00000000-0005-0000-0000-0000A9240000}"/>
    <cellStyle name="Heading 3 11 3" xfId="9438" xr:uid="{00000000-0005-0000-0000-0000AA240000}"/>
    <cellStyle name="Heading 3 11 4" xfId="9439" xr:uid="{00000000-0005-0000-0000-0000AB240000}"/>
    <cellStyle name="Heading 3 11 5" xfId="9440" xr:uid="{00000000-0005-0000-0000-0000AC240000}"/>
    <cellStyle name="Heading 3 11 6" xfId="9441" xr:uid="{00000000-0005-0000-0000-0000AD240000}"/>
    <cellStyle name="Heading 3 11 7" xfId="9442" xr:uid="{00000000-0005-0000-0000-0000AE240000}"/>
    <cellStyle name="Heading 3 11 8" xfId="9443" xr:uid="{00000000-0005-0000-0000-0000AF240000}"/>
    <cellStyle name="Heading 3 11 9" xfId="9444" xr:uid="{00000000-0005-0000-0000-0000B0240000}"/>
    <cellStyle name="Heading 3 12" xfId="9445" xr:uid="{00000000-0005-0000-0000-0000B1240000}"/>
    <cellStyle name="Heading 3 12 2" xfId="9446" xr:uid="{00000000-0005-0000-0000-0000B2240000}"/>
    <cellStyle name="Heading 3 12 3" xfId="9447" xr:uid="{00000000-0005-0000-0000-0000B3240000}"/>
    <cellStyle name="Heading 3 12 4" xfId="9448" xr:uid="{00000000-0005-0000-0000-0000B4240000}"/>
    <cellStyle name="Heading 3 12 5" xfId="9449" xr:uid="{00000000-0005-0000-0000-0000B5240000}"/>
    <cellStyle name="Heading 3 12 6" xfId="9450" xr:uid="{00000000-0005-0000-0000-0000B6240000}"/>
    <cellStyle name="Heading 3 12 7" xfId="9451" xr:uid="{00000000-0005-0000-0000-0000B7240000}"/>
    <cellStyle name="Heading 3 12 8" xfId="9452" xr:uid="{00000000-0005-0000-0000-0000B8240000}"/>
    <cellStyle name="Heading 3 12 9" xfId="9453" xr:uid="{00000000-0005-0000-0000-0000B9240000}"/>
    <cellStyle name="Heading 3 13" xfId="9454" xr:uid="{00000000-0005-0000-0000-0000BA240000}"/>
    <cellStyle name="Heading 3 13 2" xfId="9455" xr:uid="{00000000-0005-0000-0000-0000BB240000}"/>
    <cellStyle name="Heading 3 13 3" xfId="9456" xr:uid="{00000000-0005-0000-0000-0000BC240000}"/>
    <cellStyle name="Heading 3 13 4" xfId="9457" xr:uid="{00000000-0005-0000-0000-0000BD240000}"/>
    <cellStyle name="Heading 3 13 5" xfId="9458" xr:uid="{00000000-0005-0000-0000-0000BE240000}"/>
    <cellStyle name="Heading 3 13 6" xfId="9459" xr:uid="{00000000-0005-0000-0000-0000BF240000}"/>
    <cellStyle name="Heading 3 13 7" xfId="9460" xr:uid="{00000000-0005-0000-0000-0000C0240000}"/>
    <cellStyle name="Heading 3 13 8" xfId="9461" xr:uid="{00000000-0005-0000-0000-0000C1240000}"/>
    <cellStyle name="Heading 3 13 9" xfId="9462" xr:uid="{00000000-0005-0000-0000-0000C2240000}"/>
    <cellStyle name="Heading 3 14" xfId="9463" xr:uid="{00000000-0005-0000-0000-0000C3240000}"/>
    <cellStyle name="Heading 3 14 2" xfId="9464" xr:uid="{00000000-0005-0000-0000-0000C4240000}"/>
    <cellStyle name="Heading 3 14 3" xfId="9465" xr:uid="{00000000-0005-0000-0000-0000C5240000}"/>
    <cellStyle name="Heading 3 14 4" xfId="9466" xr:uid="{00000000-0005-0000-0000-0000C6240000}"/>
    <cellStyle name="Heading 3 14 5" xfId="9467" xr:uid="{00000000-0005-0000-0000-0000C7240000}"/>
    <cellStyle name="Heading 3 14 6" xfId="9468" xr:uid="{00000000-0005-0000-0000-0000C8240000}"/>
    <cellStyle name="Heading 3 14 7" xfId="9469" xr:uid="{00000000-0005-0000-0000-0000C9240000}"/>
    <cellStyle name="Heading 3 14 8" xfId="9470" xr:uid="{00000000-0005-0000-0000-0000CA240000}"/>
    <cellStyle name="Heading 3 14 9" xfId="9471" xr:uid="{00000000-0005-0000-0000-0000CB240000}"/>
    <cellStyle name="Heading 3 15" xfId="9472" xr:uid="{00000000-0005-0000-0000-0000CC240000}"/>
    <cellStyle name="Heading 3 15 2" xfId="9473" xr:uid="{00000000-0005-0000-0000-0000CD240000}"/>
    <cellStyle name="Heading 3 15 3" xfId="9474" xr:uid="{00000000-0005-0000-0000-0000CE240000}"/>
    <cellStyle name="Heading 3 15 4" xfId="9475" xr:uid="{00000000-0005-0000-0000-0000CF240000}"/>
    <cellStyle name="Heading 3 15 5" xfId="9476" xr:uid="{00000000-0005-0000-0000-0000D0240000}"/>
    <cellStyle name="Heading 3 15 6" xfId="9477" xr:uid="{00000000-0005-0000-0000-0000D1240000}"/>
    <cellStyle name="Heading 3 15 7" xfId="9478" xr:uid="{00000000-0005-0000-0000-0000D2240000}"/>
    <cellStyle name="Heading 3 15 8" xfId="9479" xr:uid="{00000000-0005-0000-0000-0000D3240000}"/>
    <cellStyle name="Heading 3 15 9" xfId="9480" xr:uid="{00000000-0005-0000-0000-0000D4240000}"/>
    <cellStyle name="Heading 3 16" xfId="9481" xr:uid="{00000000-0005-0000-0000-0000D5240000}"/>
    <cellStyle name="Heading 3 16 2" xfId="9482" xr:uid="{00000000-0005-0000-0000-0000D6240000}"/>
    <cellStyle name="Heading 3 16 3" xfId="9483" xr:uid="{00000000-0005-0000-0000-0000D7240000}"/>
    <cellStyle name="Heading 3 16 4" xfId="9484" xr:uid="{00000000-0005-0000-0000-0000D8240000}"/>
    <cellStyle name="Heading 3 16 5" xfId="9485" xr:uid="{00000000-0005-0000-0000-0000D9240000}"/>
    <cellStyle name="Heading 3 16 6" xfId="9486" xr:uid="{00000000-0005-0000-0000-0000DA240000}"/>
    <cellStyle name="Heading 3 16 7" xfId="9487" xr:uid="{00000000-0005-0000-0000-0000DB240000}"/>
    <cellStyle name="Heading 3 16 8" xfId="9488" xr:uid="{00000000-0005-0000-0000-0000DC240000}"/>
    <cellStyle name="Heading 3 16 9" xfId="9489" xr:uid="{00000000-0005-0000-0000-0000DD240000}"/>
    <cellStyle name="Heading 3 17" xfId="9490" xr:uid="{00000000-0005-0000-0000-0000DE240000}"/>
    <cellStyle name="Heading 3 17 2" xfId="9491" xr:uid="{00000000-0005-0000-0000-0000DF240000}"/>
    <cellStyle name="Heading 3 18" xfId="9492" xr:uid="{00000000-0005-0000-0000-0000E0240000}"/>
    <cellStyle name="Heading 3 18 2" xfId="9493" xr:uid="{00000000-0005-0000-0000-0000E1240000}"/>
    <cellStyle name="Heading 3 19" xfId="9494" xr:uid="{00000000-0005-0000-0000-0000E2240000}"/>
    <cellStyle name="Heading 3 19 2" xfId="9495" xr:uid="{00000000-0005-0000-0000-0000E3240000}"/>
    <cellStyle name="Heading 3 2" xfId="9496" xr:uid="{00000000-0005-0000-0000-0000E4240000}"/>
    <cellStyle name="Heading 3 2 10" xfId="9497" xr:uid="{00000000-0005-0000-0000-0000E5240000}"/>
    <cellStyle name="Heading 3 2 10 2" xfId="9498" xr:uid="{00000000-0005-0000-0000-0000E6240000}"/>
    <cellStyle name="Heading 3 2 11" xfId="9499" xr:uid="{00000000-0005-0000-0000-0000E7240000}"/>
    <cellStyle name="Heading 3 2 12" xfId="9500" xr:uid="{00000000-0005-0000-0000-0000E8240000}"/>
    <cellStyle name="Heading 3 2 13" xfId="9501" xr:uid="{00000000-0005-0000-0000-0000E9240000}"/>
    <cellStyle name="Heading 3 2 14" xfId="9502" xr:uid="{00000000-0005-0000-0000-0000EA240000}"/>
    <cellStyle name="Heading 3 2 2" xfId="9503" xr:uid="{00000000-0005-0000-0000-0000EB240000}"/>
    <cellStyle name="Heading 3 2 2 10" xfId="9504" xr:uid="{00000000-0005-0000-0000-0000EC240000}"/>
    <cellStyle name="Heading 3 2 2 11" xfId="9505" xr:uid="{00000000-0005-0000-0000-0000ED240000}"/>
    <cellStyle name="Heading 3 2 2 2" xfId="9506" xr:uid="{00000000-0005-0000-0000-0000EE240000}"/>
    <cellStyle name="Heading 3 2 2 3" xfId="9507" xr:uid="{00000000-0005-0000-0000-0000EF240000}"/>
    <cellStyle name="Heading 3 2 2 4" xfId="9508" xr:uid="{00000000-0005-0000-0000-0000F0240000}"/>
    <cellStyle name="Heading 3 2 2 5" xfId="9509" xr:uid="{00000000-0005-0000-0000-0000F1240000}"/>
    <cellStyle name="Heading 3 2 2 6" xfId="9510" xr:uid="{00000000-0005-0000-0000-0000F2240000}"/>
    <cellStyle name="Heading 3 2 2 7" xfId="9511" xr:uid="{00000000-0005-0000-0000-0000F3240000}"/>
    <cellStyle name="Heading 3 2 2 8" xfId="9512" xr:uid="{00000000-0005-0000-0000-0000F4240000}"/>
    <cellStyle name="Heading 3 2 2 9" xfId="9513" xr:uid="{00000000-0005-0000-0000-0000F5240000}"/>
    <cellStyle name="Heading 3 2 3" xfId="9514" xr:uid="{00000000-0005-0000-0000-0000F6240000}"/>
    <cellStyle name="Heading 3 2 3 2" xfId="9515" xr:uid="{00000000-0005-0000-0000-0000F7240000}"/>
    <cellStyle name="Heading 3 2 3 3" xfId="9516" xr:uid="{00000000-0005-0000-0000-0000F8240000}"/>
    <cellStyle name="Heading 3 2 4" xfId="9517" xr:uid="{00000000-0005-0000-0000-0000F9240000}"/>
    <cellStyle name="Heading 3 2 4 2" xfId="9518" xr:uid="{00000000-0005-0000-0000-0000FA240000}"/>
    <cellStyle name="Heading 3 2 4 3" xfId="9519" xr:uid="{00000000-0005-0000-0000-0000FB240000}"/>
    <cellStyle name="Heading 3 2 5" xfId="9520" xr:uid="{00000000-0005-0000-0000-0000FC240000}"/>
    <cellStyle name="Heading 3 2 5 2" xfId="9521" xr:uid="{00000000-0005-0000-0000-0000FD240000}"/>
    <cellStyle name="Heading 3 2 6" xfId="9522" xr:uid="{00000000-0005-0000-0000-0000FE240000}"/>
    <cellStyle name="Heading 3 2 6 2" xfId="9523" xr:uid="{00000000-0005-0000-0000-0000FF240000}"/>
    <cellStyle name="Heading 3 2 7" xfId="9524" xr:uid="{00000000-0005-0000-0000-000000250000}"/>
    <cellStyle name="Heading 3 2 7 2" xfId="9525" xr:uid="{00000000-0005-0000-0000-000001250000}"/>
    <cellStyle name="Heading 3 2 8" xfId="9526" xr:uid="{00000000-0005-0000-0000-000002250000}"/>
    <cellStyle name="Heading 3 2 8 2" xfId="9527" xr:uid="{00000000-0005-0000-0000-000003250000}"/>
    <cellStyle name="Heading 3 2 9" xfId="9528" xr:uid="{00000000-0005-0000-0000-000004250000}"/>
    <cellStyle name="Heading 3 2 9 2" xfId="9529" xr:uid="{00000000-0005-0000-0000-000005250000}"/>
    <cellStyle name="Heading 3 2_2012-13 data" xfId="9530" xr:uid="{00000000-0005-0000-0000-000006250000}"/>
    <cellStyle name="Heading 3 20" xfId="9531" xr:uid="{00000000-0005-0000-0000-000007250000}"/>
    <cellStyle name="Heading 3 20 2" xfId="9532" xr:uid="{00000000-0005-0000-0000-000008250000}"/>
    <cellStyle name="Heading 3 21" xfId="9533" xr:uid="{00000000-0005-0000-0000-000009250000}"/>
    <cellStyle name="Heading 3 21 2" xfId="9534" xr:uid="{00000000-0005-0000-0000-00000A250000}"/>
    <cellStyle name="Heading 3 22" xfId="9535" xr:uid="{00000000-0005-0000-0000-00000B250000}"/>
    <cellStyle name="Heading 3 23" xfId="9536" xr:uid="{00000000-0005-0000-0000-00000C250000}"/>
    <cellStyle name="Heading 3 24" xfId="9537" xr:uid="{00000000-0005-0000-0000-00000D250000}"/>
    <cellStyle name="Heading 3 25" xfId="9538" xr:uid="{00000000-0005-0000-0000-00000E250000}"/>
    <cellStyle name="Heading 3 26" xfId="9539" xr:uid="{00000000-0005-0000-0000-00000F250000}"/>
    <cellStyle name="Heading 3 27" xfId="9540" xr:uid="{00000000-0005-0000-0000-000010250000}"/>
    <cellStyle name="Heading 3 28" xfId="9541" xr:uid="{00000000-0005-0000-0000-000011250000}"/>
    <cellStyle name="Heading 3 29" xfId="9542" xr:uid="{00000000-0005-0000-0000-000012250000}"/>
    <cellStyle name="Heading 3 3" xfId="9543" xr:uid="{00000000-0005-0000-0000-000013250000}"/>
    <cellStyle name="Heading 3 3 2" xfId="9544" xr:uid="{00000000-0005-0000-0000-000014250000}"/>
    <cellStyle name="Heading 3 3 2 10" xfId="9545" xr:uid="{00000000-0005-0000-0000-000015250000}"/>
    <cellStyle name="Heading 3 3 2 11" xfId="9546" xr:uid="{00000000-0005-0000-0000-000016250000}"/>
    <cellStyle name="Heading 3 3 2 2" xfId="9547" xr:uid="{00000000-0005-0000-0000-000017250000}"/>
    <cellStyle name="Heading 3 3 2 3" xfId="9548" xr:uid="{00000000-0005-0000-0000-000018250000}"/>
    <cellStyle name="Heading 3 3 2 4" xfId="9549" xr:uid="{00000000-0005-0000-0000-000019250000}"/>
    <cellStyle name="Heading 3 3 2 5" xfId="9550" xr:uid="{00000000-0005-0000-0000-00001A250000}"/>
    <cellStyle name="Heading 3 3 2 6" xfId="9551" xr:uid="{00000000-0005-0000-0000-00001B250000}"/>
    <cellStyle name="Heading 3 3 2 7" xfId="9552" xr:uid="{00000000-0005-0000-0000-00001C250000}"/>
    <cellStyle name="Heading 3 3 2 8" xfId="9553" xr:uid="{00000000-0005-0000-0000-00001D250000}"/>
    <cellStyle name="Heading 3 3 2 9" xfId="9554" xr:uid="{00000000-0005-0000-0000-00001E250000}"/>
    <cellStyle name="Heading 3 3 3" xfId="9555" xr:uid="{00000000-0005-0000-0000-00001F250000}"/>
    <cellStyle name="Heading 3 3 3 2" xfId="9556" xr:uid="{00000000-0005-0000-0000-000020250000}"/>
    <cellStyle name="Heading 3 3 3 3" xfId="9557" xr:uid="{00000000-0005-0000-0000-000021250000}"/>
    <cellStyle name="Heading 3 3 4" xfId="9558" xr:uid="{00000000-0005-0000-0000-000022250000}"/>
    <cellStyle name="Heading 3 3 4 2" xfId="9559" xr:uid="{00000000-0005-0000-0000-000023250000}"/>
    <cellStyle name="Heading 3 3 4 3" xfId="9560" xr:uid="{00000000-0005-0000-0000-000024250000}"/>
    <cellStyle name="Heading 3 3 5" xfId="9561" xr:uid="{00000000-0005-0000-0000-000025250000}"/>
    <cellStyle name="Heading 3 3 6" xfId="9562" xr:uid="{00000000-0005-0000-0000-000026250000}"/>
    <cellStyle name="Heading 3 3_Ramadugu_ SWGH" xfId="9563" xr:uid="{00000000-0005-0000-0000-000027250000}"/>
    <cellStyle name="Heading 3 30" xfId="9564" xr:uid="{00000000-0005-0000-0000-000028250000}"/>
    <cellStyle name="Heading 3 31" xfId="9565" xr:uid="{00000000-0005-0000-0000-000029250000}"/>
    <cellStyle name="Heading 3 32" xfId="9566" xr:uid="{00000000-0005-0000-0000-00002A250000}"/>
    <cellStyle name="Heading 3 33" xfId="9567" xr:uid="{00000000-0005-0000-0000-00002B250000}"/>
    <cellStyle name="Heading 3 34" xfId="9568" xr:uid="{00000000-0005-0000-0000-00002C250000}"/>
    <cellStyle name="Heading 3 35" xfId="9569" xr:uid="{00000000-0005-0000-0000-00002D250000}"/>
    <cellStyle name="Heading 3 36" xfId="9570" xr:uid="{00000000-0005-0000-0000-00002E250000}"/>
    <cellStyle name="Heading 3 37" xfId="9571" xr:uid="{00000000-0005-0000-0000-00002F250000}"/>
    <cellStyle name="Heading 3 38" xfId="9572" xr:uid="{00000000-0005-0000-0000-000030250000}"/>
    <cellStyle name="Heading 3 39" xfId="9573" xr:uid="{00000000-0005-0000-0000-000031250000}"/>
    <cellStyle name="Heading 3 4" xfId="9574" xr:uid="{00000000-0005-0000-0000-000032250000}"/>
    <cellStyle name="Heading 3 4 10" xfId="9575" xr:uid="{00000000-0005-0000-0000-000033250000}"/>
    <cellStyle name="Heading 3 4 11" xfId="9576" xr:uid="{00000000-0005-0000-0000-000034250000}"/>
    <cellStyle name="Heading 3 4 12" xfId="9577" xr:uid="{00000000-0005-0000-0000-000035250000}"/>
    <cellStyle name="Heading 3 4 13" xfId="9578" xr:uid="{00000000-0005-0000-0000-000036250000}"/>
    <cellStyle name="Heading 3 4 14" xfId="9579" xr:uid="{00000000-0005-0000-0000-000037250000}"/>
    <cellStyle name="Heading 3 4 2" xfId="9580" xr:uid="{00000000-0005-0000-0000-000038250000}"/>
    <cellStyle name="Heading 3 4 2 2" xfId="9581" xr:uid="{00000000-0005-0000-0000-000039250000}"/>
    <cellStyle name="Heading 3 4 2 3" xfId="9582" xr:uid="{00000000-0005-0000-0000-00003A250000}"/>
    <cellStyle name="Heading 3 4 3" xfId="9583" xr:uid="{00000000-0005-0000-0000-00003B250000}"/>
    <cellStyle name="Heading 3 4 3 2" xfId="9584" xr:uid="{00000000-0005-0000-0000-00003C250000}"/>
    <cellStyle name="Heading 3 4 3 3" xfId="9585" xr:uid="{00000000-0005-0000-0000-00003D250000}"/>
    <cellStyle name="Heading 3 4 4" xfId="9586" xr:uid="{00000000-0005-0000-0000-00003E250000}"/>
    <cellStyle name="Heading 3 4 4 2" xfId="9587" xr:uid="{00000000-0005-0000-0000-00003F250000}"/>
    <cellStyle name="Heading 3 4 4 3" xfId="9588" xr:uid="{00000000-0005-0000-0000-000040250000}"/>
    <cellStyle name="Heading 3 4 5" xfId="9589" xr:uid="{00000000-0005-0000-0000-000041250000}"/>
    <cellStyle name="Heading 3 4 6" xfId="9590" xr:uid="{00000000-0005-0000-0000-000042250000}"/>
    <cellStyle name="Heading 3 4 7" xfId="9591" xr:uid="{00000000-0005-0000-0000-000043250000}"/>
    <cellStyle name="Heading 3 4 8" xfId="9592" xr:uid="{00000000-0005-0000-0000-000044250000}"/>
    <cellStyle name="Heading 3 4 9" xfId="9593" xr:uid="{00000000-0005-0000-0000-000045250000}"/>
    <cellStyle name="Heading 3 4_Sheet2" xfId="9594" xr:uid="{00000000-0005-0000-0000-000046250000}"/>
    <cellStyle name="Heading 3 5" xfId="9595" xr:uid="{00000000-0005-0000-0000-000047250000}"/>
    <cellStyle name="Heading 3 5 10" xfId="9596" xr:uid="{00000000-0005-0000-0000-000048250000}"/>
    <cellStyle name="Heading 3 5 11" xfId="9597" xr:uid="{00000000-0005-0000-0000-000049250000}"/>
    <cellStyle name="Heading 3 5 12" xfId="9598" xr:uid="{00000000-0005-0000-0000-00004A250000}"/>
    <cellStyle name="Heading 3 5 2" xfId="9599" xr:uid="{00000000-0005-0000-0000-00004B250000}"/>
    <cellStyle name="Heading 3 5 2 2" xfId="9600" xr:uid="{00000000-0005-0000-0000-00004C250000}"/>
    <cellStyle name="Heading 3 5 2 3" xfId="9601" xr:uid="{00000000-0005-0000-0000-00004D250000}"/>
    <cellStyle name="Heading 3 5 3" xfId="9602" xr:uid="{00000000-0005-0000-0000-00004E250000}"/>
    <cellStyle name="Heading 3 5 3 2" xfId="9603" xr:uid="{00000000-0005-0000-0000-00004F250000}"/>
    <cellStyle name="Heading 3 5 3 3" xfId="9604" xr:uid="{00000000-0005-0000-0000-000050250000}"/>
    <cellStyle name="Heading 3 5 4" xfId="9605" xr:uid="{00000000-0005-0000-0000-000051250000}"/>
    <cellStyle name="Heading 3 5 4 2" xfId="9606" xr:uid="{00000000-0005-0000-0000-000052250000}"/>
    <cellStyle name="Heading 3 5 4 3" xfId="9607" xr:uid="{00000000-0005-0000-0000-000053250000}"/>
    <cellStyle name="Heading 3 5 5" xfId="9608" xr:uid="{00000000-0005-0000-0000-000054250000}"/>
    <cellStyle name="Heading 3 5 6" xfId="9609" xr:uid="{00000000-0005-0000-0000-000055250000}"/>
    <cellStyle name="Heading 3 5 7" xfId="9610" xr:uid="{00000000-0005-0000-0000-000056250000}"/>
    <cellStyle name="Heading 3 5 8" xfId="9611" xr:uid="{00000000-0005-0000-0000-000057250000}"/>
    <cellStyle name="Heading 3 5 9" xfId="9612" xr:uid="{00000000-0005-0000-0000-000058250000}"/>
    <cellStyle name="Heading 3 5_Sheet2" xfId="9613" xr:uid="{00000000-0005-0000-0000-000059250000}"/>
    <cellStyle name="Heading 3 6" xfId="9614" xr:uid="{00000000-0005-0000-0000-00005A250000}"/>
    <cellStyle name="Heading 3 6 10" xfId="9615" xr:uid="{00000000-0005-0000-0000-00005B250000}"/>
    <cellStyle name="Heading 3 6 11" xfId="9616" xr:uid="{00000000-0005-0000-0000-00005C250000}"/>
    <cellStyle name="Heading 3 6 12" xfId="9617" xr:uid="{00000000-0005-0000-0000-00005D250000}"/>
    <cellStyle name="Heading 3 6 2" xfId="9618" xr:uid="{00000000-0005-0000-0000-00005E250000}"/>
    <cellStyle name="Heading 3 6 2 2" xfId="9619" xr:uid="{00000000-0005-0000-0000-00005F250000}"/>
    <cellStyle name="Heading 3 6 2 3" xfId="9620" xr:uid="{00000000-0005-0000-0000-000060250000}"/>
    <cellStyle name="Heading 3 6 3" xfId="9621" xr:uid="{00000000-0005-0000-0000-000061250000}"/>
    <cellStyle name="Heading 3 6 3 2" xfId="9622" xr:uid="{00000000-0005-0000-0000-000062250000}"/>
    <cellStyle name="Heading 3 6 3 3" xfId="9623" xr:uid="{00000000-0005-0000-0000-000063250000}"/>
    <cellStyle name="Heading 3 6 4" xfId="9624" xr:uid="{00000000-0005-0000-0000-000064250000}"/>
    <cellStyle name="Heading 3 6 4 2" xfId="9625" xr:uid="{00000000-0005-0000-0000-000065250000}"/>
    <cellStyle name="Heading 3 6 4 3" xfId="9626" xr:uid="{00000000-0005-0000-0000-000066250000}"/>
    <cellStyle name="Heading 3 6 5" xfId="9627" xr:uid="{00000000-0005-0000-0000-000067250000}"/>
    <cellStyle name="Heading 3 6 6" xfId="9628" xr:uid="{00000000-0005-0000-0000-000068250000}"/>
    <cellStyle name="Heading 3 6 7" xfId="9629" xr:uid="{00000000-0005-0000-0000-000069250000}"/>
    <cellStyle name="Heading 3 6 8" xfId="9630" xr:uid="{00000000-0005-0000-0000-00006A250000}"/>
    <cellStyle name="Heading 3 6 9" xfId="9631" xr:uid="{00000000-0005-0000-0000-00006B250000}"/>
    <cellStyle name="Heading 3 6_Sheet2" xfId="9632" xr:uid="{00000000-0005-0000-0000-00006C250000}"/>
    <cellStyle name="Heading 3 7" xfId="9633" xr:uid="{00000000-0005-0000-0000-00006D250000}"/>
    <cellStyle name="Heading 3 7 10" xfId="9634" xr:uid="{00000000-0005-0000-0000-00006E250000}"/>
    <cellStyle name="Heading 3 7 11" xfId="9635" xr:uid="{00000000-0005-0000-0000-00006F250000}"/>
    <cellStyle name="Heading 3 7 12" xfId="9636" xr:uid="{00000000-0005-0000-0000-000070250000}"/>
    <cellStyle name="Heading 3 7 2" xfId="9637" xr:uid="{00000000-0005-0000-0000-000071250000}"/>
    <cellStyle name="Heading 3 7 2 2" xfId="9638" xr:uid="{00000000-0005-0000-0000-000072250000}"/>
    <cellStyle name="Heading 3 7 2 3" xfId="9639" xr:uid="{00000000-0005-0000-0000-000073250000}"/>
    <cellStyle name="Heading 3 7 3" xfId="9640" xr:uid="{00000000-0005-0000-0000-000074250000}"/>
    <cellStyle name="Heading 3 7 3 2" xfId="9641" xr:uid="{00000000-0005-0000-0000-000075250000}"/>
    <cellStyle name="Heading 3 7 3 3" xfId="9642" xr:uid="{00000000-0005-0000-0000-000076250000}"/>
    <cellStyle name="Heading 3 7 4" xfId="9643" xr:uid="{00000000-0005-0000-0000-000077250000}"/>
    <cellStyle name="Heading 3 7 4 2" xfId="9644" xr:uid="{00000000-0005-0000-0000-000078250000}"/>
    <cellStyle name="Heading 3 7 4 3" xfId="9645" xr:uid="{00000000-0005-0000-0000-000079250000}"/>
    <cellStyle name="Heading 3 7 5" xfId="9646" xr:uid="{00000000-0005-0000-0000-00007A250000}"/>
    <cellStyle name="Heading 3 7 6" xfId="9647" xr:uid="{00000000-0005-0000-0000-00007B250000}"/>
    <cellStyle name="Heading 3 7 7" xfId="9648" xr:uid="{00000000-0005-0000-0000-00007C250000}"/>
    <cellStyle name="Heading 3 7 8" xfId="9649" xr:uid="{00000000-0005-0000-0000-00007D250000}"/>
    <cellStyle name="Heading 3 7 9" xfId="9650" xr:uid="{00000000-0005-0000-0000-00007E250000}"/>
    <cellStyle name="Heading 3 7_Sheet2" xfId="9651" xr:uid="{00000000-0005-0000-0000-00007F250000}"/>
    <cellStyle name="Heading 3 8" xfId="9652" xr:uid="{00000000-0005-0000-0000-000080250000}"/>
    <cellStyle name="Heading 3 8 10" xfId="9653" xr:uid="{00000000-0005-0000-0000-000081250000}"/>
    <cellStyle name="Heading 3 8 11" xfId="9654" xr:uid="{00000000-0005-0000-0000-000082250000}"/>
    <cellStyle name="Heading 3 8 2" xfId="9655" xr:uid="{00000000-0005-0000-0000-000083250000}"/>
    <cellStyle name="Heading 3 8 3" xfId="9656" xr:uid="{00000000-0005-0000-0000-000084250000}"/>
    <cellStyle name="Heading 3 8 4" xfId="9657" xr:uid="{00000000-0005-0000-0000-000085250000}"/>
    <cellStyle name="Heading 3 8 5" xfId="9658" xr:uid="{00000000-0005-0000-0000-000086250000}"/>
    <cellStyle name="Heading 3 8 6" xfId="9659" xr:uid="{00000000-0005-0000-0000-000087250000}"/>
    <cellStyle name="Heading 3 8 7" xfId="9660" xr:uid="{00000000-0005-0000-0000-000088250000}"/>
    <cellStyle name="Heading 3 8 8" xfId="9661" xr:uid="{00000000-0005-0000-0000-000089250000}"/>
    <cellStyle name="Heading 3 8 9" xfId="9662" xr:uid="{00000000-0005-0000-0000-00008A250000}"/>
    <cellStyle name="Heading 3 8_Sheet2" xfId="9663" xr:uid="{00000000-0005-0000-0000-00008B250000}"/>
    <cellStyle name="Heading 3 9" xfId="9664" xr:uid="{00000000-0005-0000-0000-00008C250000}"/>
    <cellStyle name="Heading 3 9 2" xfId="9665" xr:uid="{00000000-0005-0000-0000-00008D250000}"/>
    <cellStyle name="Heading 3 9 3" xfId="9666" xr:uid="{00000000-0005-0000-0000-00008E250000}"/>
    <cellStyle name="Heading 3 9 4" xfId="9667" xr:uid="{00000000-0005-0000-0000-00008F250000}"/>
    <cellStyle name="Heading 3 9 5" xfId="9668" xr:uid="{00000000-0005-0000-0000-000090250000}"/>
    <cellStyle name="Heading 3 9 6" xfId="9669" xr:uid="{00000000-0005-0000-0000-000091250000}"/>
    <cellStyle name="Heading 3 9 7" xfId="9670" xr:uid="{00000000-0005-0000-0000-000092250000}"/>
    <cellStyle name="Heading 3 9 8" xfId="9671" xr:uid="{00000000-0005-0000-0000-000093250000}"/>
    <cellStyle name="Heading 3 9 9" xfId="9672" xr:uid="{00000000-0005-0000-0000-000094250000}"/>
    <cellStyle name="Heading 3+" xfId="9673" xr:uid="{00000000-0005-0000-0000-000095250000}"/>
    <cellStyle name="Heading 4" xfId="49" builtinId="19" customBuiltin="1"/>
    <cellStyle name="Heading 4 10" xfId="9674" xr:uid="{00000000-0005-0000-0000-000097250000}"/>
    <cellStyle name="Heading 4 10 2" xfId="9675" xr:uid="{00000000-0005-0000-0000-000098250000}"/>
    <cellStyle name="Heading 4 10 3" xfId="9676" xr:uid="{00000000-0005-0000-0000-000099250000}"/>
    <cellStyle name="Heading 4 10 4" xfId="9677" xr:uid="{00000000-0005-0000-0000-00009A250000}"/>
    <cellStyle name="Heading 4 10 5" xfId="9678" xr:uid="{00000000-0005-0000-0000-00009B250000}"/>
    <cellStyle name="Heading 4 10 6" xfId="9679" xr:uid="{00000000-0005-0000-0000-00009C250000}"/>
    <cellStyle name="Heading 4 10 7" xfId="9680" xr:uid="{00000000-0005-0000-0000-00009D250000}"/>
    <cellStyle name="Heading 4 10 8" xfId="9681" xr:uid="{00000000-0005-0000-0000-00009E250000}"/>
    <cellStyle name="Heading 4 10 9" xfId="9682" xr:uid="{00000000-0005-0000-0000-00009F250000}"/>
    <cellStyle name="Heading 4 11" xfId="9683" xr:uid="{00000000-0005-0000-0000-0000A0250000}"/>
    <cellStyle name="Heading 4 11 2" xfId="9684" xr:uid="{00000000-0005-0000-0000-0000A1250000}"/>
    <cellStyle name="Heading 4 11 3" xfId="9685" xr:uid="{00000000-0005-0000-0000-0000A2250000}"/>
    <cellStyle name="Heading 4 11 4" xfId="9686" xr:uid="{00000000-0005-0000-0000-0000A3250000}"/>
    <cellStyle name="Heading 4 11 5" xfId="9687" xr:uid="{00000000-0005-0000-0000-0000A4250000}"/>
    <cellStyle name="Heading 4 11 6" xfId="9688" xr:uid="{00000000-0005-0000-0000-0000A5250000}"/>
    <cellStyle name="Heading 4 11 7" xfId="9689" xr:uid="{00000000-0005-0000-0000-0000A6250000}"/>
    <cellStyle name="Heading 4 11 8" xfId="9690" xr:uid="{00000000-0005-0000-0000-0000A7250000}"/>
    <cellStyle name="Heading 4 11 9" xfId="9691" xr:uid="{00000000-0005-0000-0000-0000A8250000}"/>
    <cellStyle name="Heading 4 12" xfId="9692" xr:uid="{00000000-0005-0000-0000-0000A9250000}"/>
    <cellStyle name="Heading 4 12 2" xfId="9693" xr:uid="{00000000-0005-0000-0000-0000AA250000}"/>
    <cellStyle name="Heading 4 12 3" xfId="9694" xr:uid="{00000000-0005-0000-0000-0000AB250000}"/>
    <cellStyle name="Heading 4 12 4" xfId="9695" xr:uid="{00000000-0005-0000-0000-0000AC250000}"/>
    <cellStyle name="Heading 4 12 5" xfId="9696" xr:uid="{00000000-0005-0000-0000-0000AD250000}"/>
    <cellStyle name="Heading 4 12 6" xfId="9697" xr:uid="{00000000-0005-0000-0000-0000AE250000}"/>
    <cellStyle name="Heading 4 12 7" xfId="9698" xr:uid="{00000000-0005-0000-0000-0000AF250000}"/>
    <cellStyle name="Heading 4 12 8" xfId="9699" xr:uid="{00000000-0005-0000-0000-0000B0250000}"/>
    <cellStyle name="Heading 4 12 9" xfId="9700" xr:uid="{00000000-0005-0000-0000-0000B1250000}"/>
    <cellStyle name="Heading 4 13" xfId="9701" xr:uid="{00000000-0005-0000-0000-0000B2250000}"/>
    <cellStyle name="Heading 4 13 2" xfId="9702" xr:uid="{00000000-0005-0000-0000-0000B3250000}"/>
    <cellStyle name="Heading 4 13 3" xfId="9703" xr:uid="{00000000-0005-0000-0000-0000B4250000}"/>
    <cellStyle name="Heading 4 13 4" xfId="9704" xr:uid="{00000000-0005-0000-0000-0000B5250000}"/>
    <cellStyle name="Heading 4 13 5" xfId="9705" xr:uid="{00000000-0005-0000-0000-0000B6250000}"/>
    <cellStyle name="Heading 4 13 6" xfId="9706" xr:uid="{00000000-0005-0000-0000-0000B7250000}"/>
    <cellStyle name="Heading 4 13 7" xfId="9707" xr:uid="{00000000-0005-0000-0000-0000B8250000}"/>
    <cellStyle name="Heading 4 13 8" xfId="9708" xr:uid="{00000000-0005-0000-0000-0000B9250000}"/>
    <cellStyle name="Heading 4 13 9" xfId="9709" xr:uid="{00000000-0005-0000-0000-0000BA250000}"/>
    <cellStyle name="Heading 4 14" xfId="9710" xr:uid="{00000000-0005-0000-0000-0000BB250000}"/>
    <cellStyle name="Heading 4 14 2" xfId="9711" xr:uid="{00000000-0005-0000-0000-0000BC250000}"/>
    <cellStyle name="Heading 4 14 3" xfId="9712" xr:uid="{00000000-0005-0000-0000-0000BD250000}"/>
    <cellStyle name="Heading 4 14 4" xfId="9713" xr:uid="{00000000-0005-0000-0000-0000BE250000}"/>
    <cellStyle name="Heading 4 14 5" xfId="9714" xr:uid="{00000000-0005-0000-0000-0000BF250000}"/>
    <cellStyle name="Heading 4 14 6" xfId="9715" xr:uid="{00000000-0005-0000-0000-0000C0250000}"/>
    <cellStyle name="Heading 4 14 7" xfId="9716" xr:uid="{00000000-0005-0000-0000-0000C1250000}"/>
    <cellStyle name="Heading 4 14 8" xfId="9717" xr:uid="{00000000-0005-0000-0000-0000C2250000}"/>
    <cellStyle name="Heading 4 14 9" xfId="9718" xr:uid="{00000000-0005-0000-0000-0000C3250000}"/>
    <cellStyle name="Heading 4 15" xfId="9719" xr:uid="{00000000-0005-0000-0000-0000C4250000}"/>
    <cellStyle name="Heading 4 15 2" xfId="9720" xr:uid="{00000000-0005-0000-0000-0000C5250000}"/>
    <cellStyle name="Heading 4 15 3" xfId="9721" xr:uid="{00000000-0005-0000-0000-0000C6250000}"/>
    <cellStyle name="Heading 4 15 4" xfId="9722" xr:uid="{00000000-0005-0000-0000-0000C7250000}"/>
    <cellStyle name="Heading 4 15 5" xfId="9723" xr:uid="{00000000-0005-0000-0000-0000C8250000}"/>
    <cellStyle name="Heading 4 15 6" xfId="9724" xr:uid="{00000000-0005-0000-0000-0000C9250000}"/>
    <cellStyle name="Heading 4 15 7" xfId="9725" xr:uid="{00000000-0005-0000-0000-0000CA250000}"/>
    <cellStyle name="Heading 4 15 8" xfId="9726" xr:uid="{00000000-0005-0000-0000-0000CB250000}"/>
    <cellStyle name="Heading 4 15 9" xfId="9727" xr:uid="{00000000-0005-0000-0000-0000CC250000}"/>
    <cellStyle name="Heading 4 16" xfId="9728" xr:uid="{00000000-0005-0000-0000-0000CD250000}"/>
    <cellStyle name="Heading 4 16 2" xfId="9729" xr:uid="{00000000-0005-0000-0000-0000CE250000}"/>
    <cellStyle name="Heading 4 16 3" xfId="9730" xr:uid="{00000000-0005-0000-0000-0000CF250000}"/>
    <cellStyle name="Heading 4 16 4" xfId="9731" xr:uid="{00000000-0005-0000-0000-0000D0250000}"/>
    <cellStyle name="Heading 4 16 5" xfId="9732" xr:uid="{00000000-0005-0000-0000-0000D1250000}"/>
    <cellStyle name="Heading 4 16 6" xfId="9733" xr:uid="{00000000-0005-0000-0000-0000D2250000}"/>
    <cellStyle name="Heading 4 16 7" xfId="9734" xr:uid="{00000000-0005-0000-0000-0000D3250000}"/>
    <cellStyle name="Heading 4 16 8" xfId="9735" xr:uid="{00000000-0005-0000-0000-0000D4250000}"/>
    <cellStyle name="Heading 4 16 9" xfId="9736" xr:uid="{00000000-0005-0000-0000-0000D5250000}"/>
    <cellStyle name="Heading 4 17" xfId="9737" xr:uid="{00000000-0005-0000-0000-0000D6250000}"/>
    <cellStyle name="Heading 4 17 2" xfId="9738" xr:uid="{00000000-0005-0000-0000-0000D7250000}"/>
    <cellStyle name="Heading 4 18" xfId="9739" xr:uid="{00000000-0005-0000-0000-0000D8250000}"/>
    <cellStyle name="Heading 4 18 2" xfId="9740" xr:uid="{00000000-0005-0000-0000-0000D9250000}"/>
    <cellStyle name="Heading 4 19" xfId="9741" xr:uid="{00000000-0005-0000-0000-0000DA250000}"/>
    <cellStyle name="Heading 4 19 2" xfId="9742" xr:uid="{00000000-0005-0000-0000-0000DB250000}"/>
    <cellStyle name="Heading 4 2" xfId="9743" xr:uid="{00000000-0005-0000-0000-0000DC250000}"/>
    <cellStyle name="Heading 4 2 10" xfId="9744" xr:uid="{00000000-0005-0000-0000-0000DD250000}"/>
    <cellStyle name="Heading 4 2 10 2" xfId="9745" xr:uid="{00000000-0005-0000-0000-0000DE250000}"/>
    <cellStyle name="Heading 4 2 11" xfId="9746" xr:uid="{00000000-0005-0000-0000-0000DF250000}"/>
    <cellStyle name="Heading 4 2 12" xfId="9747" xr:uid="{00000000-0005-0000-0000-0000E0250000}"/>
    <cellStyle name="Heading 4 2 13" xfId="9748" xr:uid="{00000000-0005-0000-0000-0000E1250000}"/>
    <cellStyle name="Heading 4 2 2" xfId="9749" xr:uid="{00000000-0005-0000-0000-0000E2250000}"/>
    <cellStyle name="Heading 4 2 2 2" xfId="9750" xr:uid="{00000000-0005-0000-0000-0000E3250000}"/>
    <cellStyle name="Heading 4 2 2 3" xfId="9751" xr:uid="{00000000-0005-0000-0000-0000E4250000}"/>
    <cellStyle name="Heading 4 2 2 4" xfId="9752" xr:uid="{00000000-0005-0000-0000-0000E5250000}"/>
    <cellStyle name="Heading 4 2 2 5" xfId="9753" xr:uid="{00000000-0005-0000-0000-0000E6250000}"/>
    <cellStyle name="Heading 4 2 2 6" xfId="9754" xr:uid="{00000000-0005-0000-0000-0000E7250000}"/>
    <cellStyle name="Heading 4 2 2 7" xfId="9755" xr:uid="{00000000-0005-0000-0000-0000E8250000}"/>
    <cellStyle name="Heading 4 2 2 8" xfId="9756" xr:uid="{00000000-0005-0000-0000-0000E9250000}"/>
    <cellStyle name="Heading 4 2 2 9" xfId="9757" xr:uid="{00000000-0005-0000-0000-0000EA250000}"/>
    <cellStyle name="Heading 4 2 3" xfId="9758" xr:uid="{00000000-0005-0000-0000-0000EB250000}"/>
    <cellStyle name="Heading 4 2 3 2" xfId="9759" xr:uid="{00000000-0005-0000-0000-0000EC250000}"/>
    <cellStyle name="Heading 4 2 4" xfId="9760" xr:uid="{00000000-0005-0000-0000-0000ED250000}"/>
    <cellStyle name="Heading 4 2 4 2" xfId="9761" xr:uid="{00000000-0005-0000-0000-0000EE250000}"/>
    <cellStyle name="Heading 4 2 5" xfId="9762" xr:uid="{00000000-0005-0000-0000-0000EF250000}"/>
    <cellStyle name="Heading 4 2 5 2" xfId="9763" xr:uid="{00000000-0005-0000-0000-0000F0250000}"/>
    <cellStyle name="Heading 4 2 6" xfId="9764" xr:uid="{00000000-0005-0000-0000-0000F1250000}"/>
    <cellStyle name="Heading 4 2 6 2" xfId="9765" xr:uid="{00000000-0005-0000-0000-0000F2250000}"/>
    <cellStyle name="Heading 4 2 7" xfId="9766" xr:uid="{00000000-0005-0000-0000-0000F3250000}"/>
    <cellStyle name="Heading 4 2 7 2" xfId="9767" xr:uid="{00000000-0005-0000-0000-0000F4250000}"/>
    <cellStyle name="Heading 4 2 8" xfId="9768" xr:uid="{00000000-0005-0000-0000-0000F5250000}"/>
    <cellStyle name="Heading 4 2 8 2" xfId="9769" xr:uid="{00000000-0005-0000-0000-0000F6250000}"/>
    <cellStyle name="Heading 4 2 9" xfId="9770" xr:uid="{00000000-0005-0000-0000-0000F7250000}"/>
    <cellStyle name="Heading 4 2 9 2" xfId="9771" xr:uid="{00000000-0005-0000-0000-0000F8250000}"/>
    <cellStyle name="Heading 4 2_Block-F LGF POur-II BBS" xfId="9772" xr:uid="{00000000-0005-0000-0000-0000F9250000}"/>
    <cellStyle name="Heading 4 20" xfId="9773" xr:uid="{00000000-0005-0000-0000-0000FA250000}"/>
    <cellStyle name="Heading 4 20 2" xfId="9774" xr:uid="{00000000-0005-0000-0000-0000FB250000}"/>
    <cellStyle name="Heading 4 21" xfId="9775" xr:uid="{00000000-0005-0000-0000-0000FC250000}"/>
    <cellStyle name="Heading 4 21 2" xfId="9776" xr:uid="{00000000-0005-0000-0000-0000FD250000}"/>
    <cellStyle name="Heading 4 22" xfId="9777" xr:uid="{00000000-0005-0000-0000-0000FE250000}"/>
    <cellStyle name="Heading 4 23" xfId="9778" xr:uid="{00000000-0005-0000-0000-0000FF250000}"/>
    <cellStyle name="Heading 4 24" xfId="9779" xr:uid="{00000000-0005-0000-0000-000000260000}"/>
    <cellStyle name="Heading 4 25" xfId="9780" xr:uid="{00000000-0005-0000-0000-000001260000}"/>
    <cellStyle name="Heading 4 26" xfId="9781" xr:uid="{00000000-0005-0000-0000-000002260000}"/>
    <cellStyle name="Heading 4 27" xfId="9782" xr:uid="{00000000-0005-0000-0000-000003260000}"/>
    <cellStyle name="Heading 4 28" xfId="9783" xr:uid="{00000000-0005-0000-0000-000004260000}"/>
    <cellStyle name="Heading 4 29" xfId="9784" xr:uid="{00000000-0005-0000-0000-000005260000}"/>
    <cellStyle name="Heading 4 3" xfId="9785" xr:uid="{00000000-0005-0000-0000-000006260000}"/>
    <cellStyle name="Heading 4 3 2" xfId="9786" xr:uid="{00000000-0005-0000-0000-000007260000}"/>
    <cellStyle name="Heading 4 3 2 2" xfId="9787" xr:uid="{00000000-0005-0000-0000-000008260000}"/>
    <cellStyle name="Heading 4 3 2 3" xfId="9788" xr:uid="{00000000-0005-0000-0000-000009260000}"/>
    <cellStyle name="Heading 4 3 2 4" xfId="9789" xr:uid="{00000000-0005-0000-0000-00000A260000}"/>
    <cellStyle name="Heading 4 3 2 5" xfId="9790" xr:uid="{00000000-0005-0000-0000-00000B260000}"/>
    <cellStyle name="Heading 4 3 2 6" xfId="9791" xr:uid="{00000000-0005-0000-0000-00000C260000}"/>
    <cellStyle name="Heading 4 3 2 7" xfId="9792" xr:uid="{00000000-0005-0000-0000-00000D260000}"/>
    <cellStyle name="Heading 4 3 2 8" xfId="9793" xr:uid="{00000000-0005-0000-0000-00000E260000}"/>
    <cellStyle name="Heading 4 3 2 9" xfId="9794" xr:uid="{00000000-0005-0000-0000-00000F260000}"/>
    <cellStyle name="Heading 4 3 3" xfId="9795" xr:uid="{00000000-0005-0000-0000-000010260000}"/>
    <cellStyle name="Heading 4 3 3 2" xfId="9796" xr:uid="{00000000-0005-0000-0000-000011260000}"/>
    <cellStyle name="Heading 4 3 3 3" xfId="9797" xr:uid="{00000000-0005-0000-0000-000012260000}"/>
    <cellStyle name="Heading 4 3 4" xfId="9798" xr:uid="{00000000-0005-0000-0000-000013260000}"/>
    <cellStyle name="Heading 4 3 5" xfId="9799" xr:uid="{00000000-0005-0000-0000-000014260000}"/>
    <cellStyle name="Heading 4 3_Ramadugu_ SWGH" xfId="9800" xr:uid="{00000000-0005-0000-0000-000015260000}"/>
    <cellStyle name="Heading 4 30" xfId="9801" xr:uid="{00000000-0005-0000-0000-000016260000}"/>
    <cellStyle name="Heading 4 31" xfId="9802" xr:uid="{00000000-0005-0000-0000-000017260000}"/>
    <cellStyle name="Heading 4 32" xfId="9803" xr:uid="{00000000-0005-0000-0000-000018260000}"/>
    <cellStyle name="Heading 4 33" xfId="9804" xr:uid="{00000000-0005-0000-0000-000019260000}"/>
    <cellStyle name="Heading 4 34" xfId="9805" xr:uid="{00000000-0005-0000-0000-00001A260000}"/>
    <cellStyle name="Heading 4 35" xfId="9806" xr:uid="{00000000-0005-0000-0000-00001B260000}"/>
    <cellStyle name="Heading 4 36" xfId="9807" xr:uid="{00000000-0005-0000-0000-00001C260000}"/>
    <cellStyle name="Heading 4 37" xfId="9808" xr:uid="{00000000-0005-0000-0000-00001D260000}"/>
    <cellStyle name="Heading 4 38" xfId="9809" xr:uid="{00000000-0005-0000-0000-00001E260000}"/>
    <cellStyle name="Heading 4 39" xfId="9810" xr:uid="{00000000-0005-0000-0000-00001F260000}"/>
    <cellStyle name="Heading 4 4" xfId="9811" xr:uid="{00000000-0005-0000-0000-000020260000}"/>
    <cellStyle name="Heading 4 4 10" xfId="9812" xr:uid="{00000000-0005-0000-0000-000021260000}"/>
    <cellStyle name="Heading 4 4 11" xfId="9813" xr:uid="{00000000-0005-0000-0000-000022260000}"/>
    <cellStyle name="Heading 4 4 12" xfId="9814" xr:uid="{00000000-0005-0000-0000-000023260000}"/>
    <cellStyle name="Heading 4 4 2" xfId="9815" xr:uid="{00000000-0005-0000-0000-000024260000}"/>
    <cellStyle name="Heading 4 4 3" xfId="9816" xr:uid="{00000000-0005-0000-0000-000025260000}"/>
    <cellStyle name="Heading 4 4 4" xfId="9817" xr:uid="{00000000-0005-0000-0000-000026260000}"/>
    <cellStyle name="Heading 4 4 5" xfId="9818" xr:uid="{00000000-0005-0000-0000-000027260000}"/>
    <cellStyle name="Heading 4 4 6" xfId="9819" xr:uid="{00000000-0005-0000-0000-000028260000}"/>
    <cellStyle name="Heading 4 4 7" xfId="9820" xr:uid="{00000000-0005-0000-0000-000029260000}"/>
    <cellStyle name="Heading 4 4 8" xfId="9821" xr:uid="{00000000-0005-0000-0000-00002A260000}"/>
    <cellStyle name="Heading 4 4 9" xfId="9822" xr:uid="{00000000-0005-0000-0000-00002B260000}"/>
    <cellStyle name="Heading 4 4_Sheet2" xfId="9823" xr:uid="{00000000-0005-0000-0000-00002C260000}"/>
    <cellStyle name="Heading 4 5" xfId="9824" xr:uid="{00000000-0005-0000-0000-00002D260000}"/>
    <cellStyle name="Heading 4 5 10" xfId="9825" xr:uid="{00000000-0005-0000-0000-00002E260000}"/>
    <cellStyle name="Heading 4 5 11" xfId="9826" xr:uid="{00000000-0005-0000-0000-00002F260000}"/>
    <cellStyle name="Heading 4 5 12" xfId="9827" xr:uid="{00000000-0005-0000-0000-000030260000}"/>
    <cellStyle name="Heading 4 5 2" xfId="9828" xr:uid="{00000000-0005-0000-0000-000031260000}"/>
    <cellStyle name="Heading 4 5 3" xfId="9829" xr:uid="{00000000-0005-0000-0000-000032260000}"/>
    <cellStyle name="Heading 4 5 4" xfId="9830" xr:uid="{00000000-0005-0000-0000-000033260000}"/>
    <cellStyle name="Heading 4 5 5" xfId="9831" xr:uid="{00000000-0005-0000-0000-000034260000}"/>
    <cellStyle name="Heading 4 5 6" xfId="9832" xr:uid="{00000000-0005-0000-0000-000035260000}"/>
    <cellStyle name="Heading 4 5 7" xfId="9833" xr:uid="{00000000-0005-0000-0000-000036260000}"/>
    <cellStyle name="Heading 4 5 8" xfId="9834" xr:uid="{00000000-0005-0000-0000-000037260000}"/>
    <cellStyle name="Heading 4 5 9" xfId="9835" xr:uid="{00000000-0005-0000-0000-000038260000}"/>
    <cellStyle name="Heading 4 5_Sheet2" xfId="9836" xr:uid="{00000000-0005-0000-0000-000039260000}"/>
    <cellStyle name="Heading 4 6" xfId="9837" xr:uid="{00000000-0005-0000-0000-00003A260000}"/>
    <cellStyle name="Heading 4 6 10" xfId="9838" xr:uid="{00000000-0005-0000-0000-00003B260000}"/>
    <cellStyle name="Heading 4 6 11" xfId="9839" xr:uid="{00000000-0005-0000-0000-00003C260000}"/>
    <cellStyle name="Heading 4 6 12" xfId="9840" xr:uid="{00000000-0005-0000-0000-00003D260000}"/>
    <cellStyle name="Heading 4 6 2" xfId="9841" xr:uid="{00000000-0005-0000-0000-00003E260000}"/>
    <cellStyle name="Heading 4 6 3" xfId="9842" xr:uid="{00000000-0005-0000-0000-00003F260000}"/>
    <cellStyle name="Heading 4 6 4" xfId="9843" xr:uid="{00000000-0005-0000-0000-000040260000}"/>
    <cellStyle name="Heading 4 6 5" xfId="9844" xr:uid="{00000000-0005-0000-0000-000041260000}"/>
    <cellStyle name="Heading 4 6 6" xfId="9845" xr:uid="{00000000-0005-0000-0000-000042260000}"/>
    <cellStyle name="Heading 4 6 7" xfId="9846" xr:uid="{00000000-0005-0000-0000-000043260000}"/>
    <cellStyle name="Heading 4 6 8" xfId="9847" xr:uid="{00000000-0005-0000-0000-000044260000}"/>
    <cellStyle name="Heading 4 6 9" xfId="9848" xr:uid="{00000000-0005-0000-0000-000045260000}"/>
    <cellStyle name="Heading 4 6_Sheet2" xfId="9849" xr:uid="{00000000-0005-0000-0000-000046260000}"/>
    <cellStyle name="Heading 4 7" xfId="9850" xr:uid="{00000000-0005-0000-0000-000047260000}"/>
    <cellStyle name="Heading 4 7 10" xfId="9851" xr:uid="{00000000-0005-0000-0000-000048260000}"/>
    <cellStyle name="Heading 4 7 11" xfId="9852" xr:uid="{00000000-0005-0000-0000-000049260000}"/>
    <cellStyle name="Heading 4 7 12" xfId="9853" xr:uid="{00000000-0005-0000-0000-00004A260000}"/>
    <cellStyle name="Heading 4 7 2" xfId="9854" xr:uid="{00000000-0005-0000-0000-00004B260000}"/>
    <cellStyle name="Heading 4 7 3" xfId="9855" xr:uid="{00000000-0005-0000-0000-00004C260000}"/>
    <cellStyle name="Heading 4 7 4" xfId="9856" xr:uid="{00000000-0005-0000-0000-00004D260000}"/>
    <cellStyle name="Heading 4 7 5" xfId="9857" xr:uid="{00000000-0005-0000-0000-00004E260000}"/>
    <cellStyle name="Heading 4 7 6" xfId="9858" xr:uid="{00000000-0005-0000-0000-00004F260000}"/>
    <cellStyle name="Heading 4 7 7" xfId="9859" xr:uid="{00000000-0005-0000-0000-000050260000}"/>
    <cellStyle name="Heading 4 7 8" xfId="9860" xr:uid="{00000000-0005-0000-0000-000051260000}"/>
    <cellStyle name="Heading 4 7 9" xfId="9861" xr:uid="{00000000-0005-0000-0000-000052260000}"/>
    <cellStyle name="Heading 4 7_Sheet2" xfId="9862" xr:uid="{00000000-0005-0000-0000-000053260000}"/>
    <cellStyle name="Heading 4 8" xfId="9863" xr:uid="{00000000-0005-0000-0000-000054260000}"/>
    <cellStyle name="Heading 4 8 10" xfId="9864" xr:uid="{00000000-0005-0000-0000-000055260000}"/>
    <cellStyle name="Heading 4 8 11" xfId="9865" xr:uid="{00000000-0005-0000-0000-000056260000}"/>
    <cellStyle name="Heading 4 8 2" xfId="9866" xr:uid="{00000000-0005-0000-0000-000057260000}"/>
    <cellStyle name="Heading 4 8 3" xfId="9867" xr:uid="{00000000-0005-0000-0000-000058260000}"/>
    <cellStyle name="Heading 4 8 4" xfId="9868" xr:uid="{00000000-0005-0000-0000-000059260000}"/>
    <cellStyle name="Heading 4 8 5" xfId="9869" xr:uid="{00000000-0005-0000-0000-00005A260000}"/>
    <cellStyle name="Heading 4 8 6" xfId="9870" xr:uid="{00000000-0005-0000-0000-00005B260000}"/>
    <cellStyle name="Heading 4 8 7" xfId="9871" xr:uid="{00000000-0005-0000-0000-00005C260000}"/>
    <cellStyle name="Heading 4 8 8" xfId="9872" xr:uid="{00000000-0005-0000-0000-00005D260000}"/>
    <cellStyle name="Heading 4 8 9" xfId="9873" xr:uid="{00000000-0005-0000-0000-00005E260000}"/>
    <cellStyle name="Heading 4 8_Sheet2" xfId="9874" xr:uid="{00000000-0005-0000-0000-00005F260000}"/>
    <cellStyle name="Heading 4 9" xfId="9875" xr:uid="{00000000-0005-0000-0000-000060260000}"/>
    <cellStyle name="Heading 4 9 2" xfId="9876" xr:uid="{00000000-0005-0000-0000-000061260000}"/>
    <cellStyle name="Heading 4 9 3" xfId="9877" xr:uid="{00000000-0005-0000-0000-000062260000}"/>
    <cellStyle name="Heading 4 9 4" xfId="9878" xr:uid="{00000000-0005-0000-0000-000063260000}"/>
    <cellStyle name="Heading 4 9 5" xfId="9879" xr:uid="{00000000-0005-0000-0000-000064260000}"/>
    <cellStyle name="Heading 4 9 6" xfId="9880" xr:uid="{00000000-0005-0000-0000-000065260000}"/>
    <cellStyle name="Heading 4 9 7" xfId="9881" xr:uid="{00000000-0005-0000-0000-000066260000}"/>
    <cellStyle name="Heading 4 9 8" xfId="9882" xr:uid="{00000000-0005-0000-0000-000067260000}"/>
    <cellStyle name="Heading 4 9 9" xfId="9883" xr:uid="{00000000-0005-0000-0000-000068260000}"/>
    <cellStyle name="Heading Bar" xfId="9884" xr:uid="{00000000-0005-0000-0000-000069260000}"/>
    <cellStyle name="Heading1" xfId="9885" xr:uid="{00000000-0005-0000-0000-00006A260000}"/>
    <cellStyle name="Heading1 1" xfId="9886" xr:uid="{00000000-0005-0000-0000-00006B260000}"/>
    <cellStyle name="Heading1 2" xfId="9887" xr:uid="{00000000-0005-0000-0000-00006C260000}"/>
    <cellStyle name="Heading1 2 2" xfId="9888" xr:uid="{00000000-0005-0000-0000-00006D260000}"/>
    <cellStyle name="Heading1 2_KC720 - JCR - Mar '11" xfId="9889" xr:uid="{00000000-0005-0000-0000-00006E260000}"/>
    <cellStyle name="Heading1 3" xfId="9890" xr:uid="{00000000-0005-0000-0000-00006F260000}"/>
    <cellStyle name="Heading1 4" xfId="9891" xr:uid="{00000000-0005-0000-0000-000070260000}"/>
    <cellStyle name="Heading1_2 Taj Dwarka_Costing_07.03.09" xfId="9892" xr:uid="{00000000-0005-0000-0000-000071260000}"/>
    <cellStyle name="Heading2" xfId="9893" xr:uid="{00000000-0005-0000-0000-000072260000}"/>
    <cellStyle name="Heading2 2" xfId="9894" xr:uid="{00000000-0005-0000-0000-000073260000}"/>
    <cellStyle name="Heading2 2 2" xfId="9895" xr:uid="{00000000-0005-0000-0000-000074260000}"/>
    <cellStyle name="Heading2 2_KC720 - JCR - Mar '11" xfId="9896" xr:uid="{00000000-0005-0000-0000-000075260000}"/>
    <cellStyle name="Heading2 3" xfId="9897" xr:uid="{00000000-0005-0000-0000-000076260000}"/>
    <cellStyle name="Heading2 4" xfId="9898" xr:uid="{00000000-0005-0000-0000-000077260000}"/>
    <cellStyle name="Heading2_Boq dpl PH3 REv2" xfId="9899" xr:uid="{00000000-0005-0000-0000-000078260000}"/>
    <cellStyle name="HeadRow" xfId="9900" xr:uid="{00000000-0005-0000-0000-000079260000}"/>
    <cellStyle name="HeadRowCol" xfId="9901" xr:uid="{00000000-0005-0000-0000-00007A260000}"/>
    <cellStyle name="helv" xfId="9902" xr:uid="{00000000-0005-0000-0000-00007B260000}"/>
    <cellStyle name="hh" xfId="9903" xr:uid="{00000000-0005-0000-0000-00007C260000}"/>
    <cellStyle name="Hidden" xfId="9904" xr:uid="{00000000-0005-0000-0000-00007D260000}"/>
    <cellStyle name="Hide" xfId="9905" xr:uid="{00000000-0005-0000-0000-00007E260000}"/>
    <cellStyle name="Hide'" xfId="9906" xr:uid="{00000000-0005-0000-0000-00007F260000}"/>
    <cellStyle name="Hide_Financings v5" xfId="9907" xr:uid="{00000000-0005-0000-0000-000080260000}"/>
    <cellStyle name="hj" xfId="9908" xr:uid="{00000000-0005-0000-0000-000081260000}"/>
    <cellStyle name="Hyperlink 10" xfId="9909" xr:uid="{00000000-0005-0000-0000-000082260000}"/>
    <cellStyle name="Hyperlink 11" xfId="9910" xr:uid="{00000000-0005-0000-0000-000083260000}"/>
    <cellStyle name="Hyperlink 2" xfId="9911" xr:uid="{00000000-0005-0000-0000-000084260000}"/>
    <cellStyle name="Hyperlink 2 2" xfId="9912" xr:uid="{00000000-0005-0000-0000-000085260000}"/>
    <cellStyle name="Hyperlink 2 2 2" xfId="9913" xr:uid="{00000000-0005-0000-0000-000086260000}"/>
    <cellStyle name="Hyperlink 2 2 3" xfId="9914" xr:uid="{00000000-0005-0000-0000-000087260000}"/>
    <cellStyle name="Hyperlink 2 3" xfId="9915" xr:uid="{00000000-0005-0000-0000-000088260000}"/>
    <cellStyle name="Hyperlink 2 3 2" xfId="9916" xr:uid="{00000000-0005-0000-0000-000089260000}"/>
    <cellStyle name="Hyperlink 2 3 2 2" xfId="9917" xr:uid="{00000000-0005-0000-0000-00008A260000}"/>
    <cellStyle name="Hyperlink 2 3 2 3" xfId="9918" xr:uid="{00000000-0005-0000-0000-00008B260000}"/>
    <cellStyle name="Hyperlink 2 3 3" xfId="9919" xr:uid="{00000000-0005-0000-0000-00008C260000}"/>
    <cellStyle name="Hyperlink 2 4" xfId="9920" xr:uid="{00000000-0005-0000-0000-00008D260000}"/>
    <cellStyle name="Hyperlink 2 4 2" xfId="9921" xr:uid="{00000000-0005-0000-0000-00008E260000}"/>
    <cellStyle name="Hyperlink 2 4 3" xfId="9922" xr:uid="{00000000-0005-0000-0000-00008F260000}"/>
    <cellStyle name="Hyperlink 2 5" xfId="9923" xr:uid="{00000000-0005-0000-0000-000090260000}"/>
    <cellStyle name="Hyperlink 2 6" xfId="9924" xr:uid="{00000000-0005-0000-0000-000091260000}"/>
    <cellStyle name="Hyperlink 2_500 KL OHSR 21.60m Staging" xfId="9925" xr:uid="{00000000-0005-0000-0000-000092260000}"/>
    <cellStyle name="Hyperlink 3" xfId="9926" xr:uid="{00000000-0005-0000-0000-000093260000}"/>
    <cellStyle name="Hyperlink 3 2" xfId="9927" xr:uid="{00000000-0005-0000-0000-000094260000}"/>
    <cellStyle name="Hyperlink 3 3" xfId="9928" xr:uid="{00000000-0005-0000-0000-000095260000}"/>
    <cellStyle name="Hyperlink 3 4" xfId="9929" xr:uid="{00000000-0005-0000-0000-000096260000}"/>
    <cellStyle name="Hyperlink 4" xfId="9930" xr:uid="{00000000-0005-0000-0000-000097260000}"/>
    <cellStyle name="Hyperlink 4 2" xfId="9931" xr:uid="{00000000-0005-0000-0000-000098260000}"/>
    <cellStyle name="Hyperlink 4 3" xfId="9932" xr:uid="{00000000-0005-0000-0000-000099260000}"/>
    <cellStyle name="Hyperlink 5" xfId="9933" xr:uid="{00000000-0005-0000-0000-00009A260000}"/>
    <cellStyle name="Hyperlink 6" xfId="9934" xr:uid="{00000000-0005-0000-0000-00009B260000}"/>
    <cellStyle name="Hyperlink 7" xfId="9935" xr:uid="{00000000-0005-0000-0000-00009C260000}"/>
    <cellStyle name="Hyperlink 8" xfId="9936" xr:uid="{00000000-0005-0000-0000-00009D260000}"/>
    <cellStyle name="Hyperlink 9" xfId="9937" xr:uid="{00000000-0005-0000-0000-00009E260000}"/>
    <cellStyle name="Hyperlink_SRAVANTHI MADAM HYDERABAD DUMMY" xfId="9938" xr:uid="{00000000-0005-0000-0000-00009F260000}"/>
    <cellStyle name="Hypertextový odkaz" xfId="9939" xr:uid="{00000000-0005-0000-0000-0000A0260000}"/>
    <cellStyle name="Hypertextový odkaz 2" xfId="9940" xr:uid="{00000000-0005-0000-0000-0000A1260000}"/>
    <cellStyle name="Hypertextový odkaz_Extra items Diff" xfId="9941" xr:uid="{00000000-0005-0000-0000-0000A2260000}"/>
    <cellStyle name="i" xfId="9942" xr:uid="{00000000-0005-0000-0000-0000A3260000}"/>
    <cellStyle name="i_BEA Merger Analysis Nov 20" xfId="9943" xr:uid="{00000000-0005-0000-0000-0000A4260000}"/>
    <cellStyle name="i_Cinderella Model v22a" xfId="9944" xr:uid="{00000000-0005-0000-0000-0000A5260000}"/>
    <cellStyle name="i_Mars Model v28" xfId="9945" xr:uid="{00000000-0005-0000-0000-0000A6260000}"/>
    <cellStyle name="Í¢" xfId="9946" xr:uid="{00000000-0005-0000-0000-0000A7260000}"/>
    <cellStyle name="ii" xfId="9947" xr:uid="{00000000-0005-0000-0000-0000A8260000}"/>
    <cellStyle name="iii" xfId="9948" xr:uid="{00000000-0005-0000-0000-0000A9260000}"/>
    <cellStyle name="INCHES" xfId="9949" xr:uid="{00000000-0005-0000-0000-0000AA260000}"/>
    <cellStyle name="INCHES 10" xfId="9950" xr:uid="{00000000-0005-0000-0000-0000AB260000}"/>
    <cellStyle name="INCHES 11" xfId="9951" xr:uid="{00000000-0005-0000-0000-0000AC260000}"/>
    <cellStyle name="INCHES 12" xfId="9952" xr:uid="{00000000-0005-0000-0000-0000AD260000}"/>
    <cellStyle name="INCHES 13" xfId="9953" xr:uid="{00000000-0005-0000-0000-0000AE260000}"/>
    <cellStyle name="INCHES 2" xfId="9954" xr:uid="{00000000-0005-0000-0000-0000AF260000}"/>
    <cellStyle name="INCHES 2 2" xfId="9955" xr:uid="{00000000-0005-0000-0000-0000B0260000}"/>
    <cellStyle name="INCHES 2 3" xfId="9956" xr:uid="{00000000-0005-0000-0000-0000B1260000}"/>
    <cellStyle name="INCHES 2 4" xfId="9957" xr:uid="{00000000-0005-0000-0000-0000B2260000}"/>
    <cellStyle name="INCHES 3" xfId="9958" xr:uid="{00000000-0005-0000-0000-0000B3260000}"/>
    <cellStyle name="INCHES 4" xfId="9959" xr:uid="{00000000-0005-0000-0000-0000B4260000}"/>
    <cellStyle name="INCHES 5" xfId="9960" xr:uid="{00000000-0005-0000-0000-0000B5260000}"/>
    <cellStyle name="INCHES 6" xfId="9961" xr:uid="{00000000-0005-0000-0000-0000B6260000}"/>
    <cellStyle name="INCHES 7" xfId="9962" xr:uid="{00000000-0005-0000-0000-0000B7260000}"/>
    <cellStyle name="INCHES 8" xfId="9963" xr:uid="{00000000-0005-0000-0000-0000B8260000}"/>
    <cellStyle name="INCHES 9" xfId="9964" xr:uid="{00000000-0005-0000-0000-0000B9260000}"/>
    <cellStyle name="INCHES_Extra items Diff" xfId="9965" xr:uid="{00000000-0005-0000-0000-0000BA260000}"/>
    <cellStyle name="Incorrecto" xfId="9966" xr:uid="{00000000-0005-0000-0000-0000BB260000}"/>
    <cellStyle name="Indent" xfId="9967" xr:uid="{00000000-0005-0000-0000-0000BC260000}"/>
    <cellStyle name="Input" xfId="50" builtinId="20" customBuiltin="1"/>
    <cellStyle name="Input [yellow]" xfId="51" xr:uid="{00000000-0005-0000-0000-0000BE260000}"/>
    <cellStyle name="Input [yellow] 10" xfId="9968" xr:uid="{00000000-0005-0000-0000-0000BF260000}"/>
    <cellStyle name="Input [yellow] 11" xfId="9969" xr:uid="{00000000-0005-0000-0000-0000C0260000}"/>
    <cellStyle name="Input [yellow] 12" xfId="9970" xr:uid="{00000000-0005-0000-0000-0000C1260000}"/>
    <cellStyle name="Input [yellow] 13" xfId="9971" xr:uid="{00000000-0005-0000-0000-0000C2260000}"/>
    <cellStyle name="Input [yellow] 2" xfId="9972" xr:uid="{00000000-0005-0000-0000-0000C3260000}"/>
    <cellStyle name="Input [yellow] 3" xfId="9973" xr:uid="{00000000-0005-0000-0000-0000C4260000}"/>
    <cellStyle name="Input [yellow] 4" xfId="9974" xr:uid="{00000000-0005-0000-0000-0000C5260000}"/>
    <cellStyle name="Input [yellow] 5" xfId="9975" xr:uid="{00000000-0005-0000-0000-0000C6260000}"/>
    <cellStyle name="Input [yellow] 6" xfId="9976" xr:uid="{00000000-0005-0000-0000-0000C7260000}"/>
    <cellStyle name="Input [yellow] 7" xfId="9977" xr:uid="{00000000-0005-0000-0000-0000C8260000}"/>
    <cellStyle name="Input [yellow] 8" xfId="9978" xr:uid="{00000000-0005-0000-0000-0000C9260000}"/>
    <cellStyle name="Input [yellow] 9" xfId="9979" xr:uid="{00000000-0005-0000-0000-0000CA260000}"/>
    <cellStyle name="Input [yellow]_DLF Capital Greens -Consolidated Finishes BOQ Phase II " xfId="9980" xr:uid="{00000000-0005-0000-0000-0000CB260000}"/>
    <cellStyle name="Input 10" xfId="9981" xr:uid="{00000000-0005-0000-0000-0000CC260000}"/>
    <cellStyle name="Input 10 2" xfId="9982" xr:uid="{00000000-0005-0000-0000-0000CD260000}"/>
    <cellStyle name="Input 10 3" xfId="9983" xr:uid="{00000000-0005-0000-0000-0000CE260000}"/>
    <cellStyle name="Input 10 4" xfId="9984" xr:uid="{00000000-0005-0000-0000-0000CF260000}"/>
    <cellStyle name="Input 10 5" xfId="9985" xr:uid="{00000000-0005-0000-0000-0000D0260000}"/>
    <cellStyle name="Input 10 6" xfId="9986" xr:uid="{00000000-0005-0000-0000-0000D1260000}"/>
    <cellStyle name="Input 10 7" xfId="9987" xr:uid="{00000000-0005-0000-0000-0000D2260000}"/>
    <cellStyle name="Input 10 8" xfId="9988" xr:uid="{00000000-0005-0000-0000-0000D3260000}"/>
    <cellStyle name="Input 10 9" xfId="9989" xr:uid="{00000000-0005-0000-0000-0000D4260000}"/>
    <cellStyle name="Input 11" xfId="9990" xr:uid="{00000000-0005-0000-0000-0000D5260000}"/>
    <cellStyle name="Input 11 2" xfId="9991" xr:uid="{00000000-0005-0000-0000-0000D6260000}"/>
    <cellStyle name="Input 11 3" xfId="9992" xr:uid="{00000000-0005-0000-0000-0000D7260000}"/>
    <cellStyle name="Input 11 4" xfId="9993" xr:uid="{00000000-0005-0000-0000-0000D8260000}"/>
    <cellStyle name="Input 11 5" xfId="9994" xr:uid="{00000000-0005-0000-0000-0000D9260000}"/>
    <cellStyle name="Input 11 6" xfId="9995" xr:uid="{00000000-0005-0000-0000-0000DA260000}"/>
    <cellStyle name="Input 11 7" xfId="9996" xr:uid="{00000000-0005-0000-0000-0000DB260000}"/>
    <cellStyle name="Input 11 8" xfId="9997" xr:uid="{00000000-0005-0000-0000-0000DC260000}"/>
    <cellStyle name="Input 11 9" xfId="9998" xr:uid="{00000000-0005-0000-0000-0000DD260000}"/>
    <cellStyle name="Input 12" xfId="9999" xr:uid="{00000000-0005-0000-0000-0000DE260000}"/>
    <cellStyle name="Input 12 2" xfId="10000" xr:uid="{00000000-0005-0000-0000-0000DF260000}"/>
    <cellStyle name="Input 12 3" xfId="10001" xr:uid="{00000000-0005-0000-0000-0000E0260000}"/>
    <cellStyle name="Input 12 4" xfId="10002" xr:uid="{00000000-0005-0000-0000-0000E1260000}"/>
    <cellStyle name="Input 12 5" xfId="10003" xr:uid="{00000000-0005-0000-0000-0000E2260000}"/>
    <cellStyle name="Input 12 6" xfId="10004" xr:uid="{00000000-0005-0000-0000-0000E3260000}"/>
    <cellStyle name="Input 12 7" xfId="10005" xr:uid="{00000000-0005-0000-0000-0000E4260000}"/>
    <cellStyle name="Input 12 8" xfId="10006" xr:uid="{00000000-0005-0000-0000-0000E5260000}"/>
    <cellStyle name="Input 12 9" xfId="10007" xr:uid="{00000000-0005-0000-0000-0000E6260000}"/>
    <cellStyle name="Input 13" xfId="10008" xr:uid="{00000000-0005-0000-0000-0000E7260000}"/>
    <cellStyle name="Input 13 2" xfId="10009" xr:uid="{00000000-0005-0000-0000-0000E8260000}"/>
    <cellStyle name="Input 13 3" xfId="10010" xr:uid="{00000000-0005-0000-0000-0000E9260000}"/>
    <cellStyle name="Input 13 4" xfId="10011" xr:uid="{00000000-0005-0000-0000-0000EA260000}"/>
    <cellStyle name="Input 13 5" xfId="10012" xr:uid="{00000000-0005-0000-0000-0000EB260000}"/>
    <cellStyle name="Input 13 6" xfId="10013" xr:uid="{00000000-0005-0000-0000-0000EC260000}"/>
    <cellStyle name="Input 13 7" xfId="10014" xr:uid="{00000000-0005-0000-0000-0000ED260000}"/>
    <cellStyle name="Input 13 8" xfId="10015" xr:uid="{00000000-0005-0000-0000-0000EE260000}"/>
    <cellStyle name="Input 13 9" xfId="10016" xr:uid="{00000000-0005-0000-0000-0000EF260000}"/>
    <cellStyle name="Input 14" xfId="10017" xr:uid="{00000000-0005-0000-0000-0000F0260000}"/>
    <cellStyle name="Input 14 2" xfId="10018" xr:uid="{00000000-0005-0000-0000-0000F1260000}"/>
    <cellStyle name="Input 14 3" xfId="10019" xr:uid="{00000000-0005-0000-0000-0000F2260000}"/>
    <cellStyle name="Input 14 4" xfId="10020" xr:uid="{00000000-0005-0000-0000-0000F3260000}"/>
    <cellStyle name="Input 14 5" xfId="10021" xr:uid="{00000000-0005-0000-0000-0000F4260000}"/>
    <cellStyle name="Input 14 6" xfId="10022" xr:uid="{00000000-0005-0000-0000-0000F5260000}"/>
    <cellStyle name="Input 14 7" xfId="10023" xr:uid="{00000000-0005-0000-0000-0000F6260000}"/>
    <cellStyle name="Input 14 8" xfId="10024" xr:uid="{00000000-0005-0000-0000-0000F7260000}"/>
    <cellStyle name="Input 14 9" xfId="10025" xr:uid="{00000000-0005-0000-0000-0000F8260000}"/>
    <cellStyle name="Input 15" xfId="10026" xr:uid="{00000000-0005-0000-0000-0000F9260000}"/>
    <cellStyle name="Input 15 2" xfId="10027" xr:uid="{00000000-0005-0000-0000-0000FA260000}"/>
    <cellStyle name="Input 15 3" xfId="10028" xr:uid="{00000000-0005-0000-0000-0000FB260000}"/>
    <cellStyle name="Input 15 4" xfId="10029" xr:uid="{00000000-0005-0000-0000-0000FC260000}"/>
    <cellStyle name="Input 15 5" xfId="10030" xr:uid="{00000000-0005-0000-0000-0000FD260000}"/>
    <cellStyle name="Input 15 6" xfId="10031" xr:uid="{00000000-0005-0000-0000-0000FE260000}"/>
    <cellStyle name="Input 15 7" xfId="10032" xr:uid="{00000000-0005-0000-0000-0000FF260000}"/>
    <cellStyle name="Input 15 8" xfId="10033" xr:uid="{00000000-0005-0000-0000-000000270000}"/>
    <cellStyle name="Input 15 9" xfId="10034" xr:uid="{00000000-0005-0000-0000-000001270000}"/>
    <cellStyle name="Input 16" xfId="10035" xr:uid="{00000000-0005-0000-0000-000002270000}"/>
    <cellStyle name="Input 16 2" xfId="10036" xr:uid="{00000000-0005-0000-0000-000003270000}"/>
    <cellStyle name="Input 16 3" xfId="10037" xr:uid="{00000000-0005-0000-0000-000004270000}"/>
    <cellStyle name="Input 16 4" xfId="10038" xr:uid="{00000000-0005-0000-0000-000005270000}"/>
    <cellStyle name="Input 16 5" xfId="10039" xr:uid="{00000000-0005-0000-0000-000006270000}"/>
    <cellStyle name="Input 16 6" xfId="10040" xr:uid="{00000000-0005-0000-0000-000007270000}"/>
    <cellStyle name="Input 16 7" xfId="10041" xr:uid="{00000000-0005-0000-0000-000008270000}"/>
    <cellStyle name="Input 16 8" xfId="10042" xr:uid="{00000000-0005-0000-0000-000009270000}"/>
    <cellStyle name="Input 16 9" xfId="10043" xr:uid="{00000000-0005-0000-0000-00000A270000}"/>
    <cellStyle name="Input 17" xfId="10044" xr:uid="{00000000-0005-0000-0000-00000B270000}"/>
    <cellStyle name="Input 17 2" xfId="10045" xr:uid="{00000000-0005-0000-0000-00000C270000}"/>
    <cellStyle name="Input 18" xfId="10046" xr:uid="{00000000-0005-0000-0000-00000D270000}"/>
    <cellStyle name="Input 18 2" xfId="10047" xr:uid="{00000000-0005-0000-0000-00000E270000}"/>
    <cellStyle name="Input 19" xfId="10048" xr:uid="{00000000-0005-0000-0000-00000F270000}"/>
    <cellStyle name="Input 19 2" xfId="10049" xr:uid="{00000000-0005-0000-0000-000010270000}"/>
    <cellStyle name="Input 2" xfId="10050" xr:uid="{00000000-0005-0000-0000-000011270000}"/>
    <cellStyle name="Input 2 10" xfId="10051" xr:uid="{00000000-0005-0000-0000-000012270000}"/>
    <cellStyle name="Input 2 10 2" xfId="10052" xr:uid="{00000000-0005-0000-0000-000013270000}"/>
    <cellStyle name="Input 2 11" xfId="10053" xr:uid="{00000000-0005-0000-0000-000014270000}"/>
    <cellStyle name="Input 2 12" xfId="10054" xr:uid="{00000000-0005-0000-0000-000015270000}"/>
    <cellStyle name="Input 2 13" xfId="10055" xr:uid="{00000000-0005-0000-0000-000016270000}"/>
    <cellStyle name="Input 2 2" xfId="10056" xr:uid="{00000000-0005-0000-0000-000017270000}"/>
    <cellStyle name="Input 2 2 10" xfId="10057" xr:uid="{00000000-0005-0000-0000-000018270000}"/>
    <cellStyle name="Input 2 2 11" xfId="10058" xr:uid="{00000000-0005-0000-0000-000019270000}"/>
    <cellStyle name="Input 2 2 2" xfId="10059" xr:uid="{00000000-0005-0000-0000-00001A270000}"/>
    <cellStyle name="Input 2 2 3" xfId="10060" xr:uid="{00000000-0005-0000-0000-00001B270000}"/>
    <cellStyle name="Input 2 2 4" xfId="10061" xr:uid="{00000000-0005-0000-0000-00001C270000}"/>
    <cellStyle name="Input 2 2 5" xfId="10062" xr:uid="{00000000-0005-0000-0000-00001D270000}"/>
    <cellStyle name="Input 2 2 6" xfId="10063" xr:uid="{00000000-0005-0000-0000-00001E270000}"/>
    <cellStyle name="Input 2 2 7" xfId="10064" xr:uid="{00000000-0005-0000-0000-00001F270000}"/>
    <cellStyle name="Input 2 2 8" xfId="10065" xr:uid="{00000000-0005-0000-0000-000020270000}"/>
    <cellStyle name="Input 2 2 9" xfId="10066" xr:uid="{00000000-0005-0000-0000-000021270000}"/>
    <cellStyle name="Input 2 3" xfId="10067" xr:uid="{00000000-0005-0000-0000-000022270000}"/>
    <cellStyle name="Input 2 3 2" xfId="10068" xr:uid="{00000000-0005-0000-0000-000023270000}"/>
    <cellStyle name="Input 2 3 3" xfId="10069" xr:uid="{00000000-0005-0000-0000-000024270000}"/>
    <cellStyle name="Input 2 4" xfId="10070" xr:uid="{00000000-0005-0000-0000-000025270000}"/>
    <cellStyle name="Input 2 4 2" xfId="10071" xr:uid="{00000000-0005-0000-0000-000026270000}"/>
    <cellStyle name="Input 2 4 3" xfId="10072" xr:uid="{00000000-0005-0000-0000-000027270000}"/>
    <cellStyle name="Input 2 5" xfId="10073" xr:uid="{00000000-0005-0000-0000-000028270000}"/>
    <cellStyle name="Input 2 5 2" xfId="10074" xr:uid="{00000000-0005-0000-0000-000029270000}"/>
    <cellStyle name="Input 2 5 3" xfId="10075" xr:uid="{00000000-0005-0000-0000-00002A270000}"/>
    <cellStyle name="Input 2 6" xfId="10076" xr:uid="{00000000-0005-0000-0000-00002B270000}"/>
    <cellStyle name="Input 2 6 2" xfId="10077" xr:uid="{00000000-0005-0000-0000-00002C270000}"/>
    <cellStyle name="Input 2 7" xfId="10078" xr:uid="{00000000-0005-0000-0000-00002D270000}"/>
    <cellStyle name="Input 2 7 2" xfId="10079" xr:uid="{00000000-0005-0000-0000-00002E270000}"/>
    <cellStyle name="Input 2 8" xfId="10080" xr:uid="{00000000-0005-0000-0000-00002F270000}"/>
    <cellStyle name="Input 2 8 2" xfId="10081" xr:uid="{00000000-0005-0000-0000-000030270000}"/>
    <cellStyle name="Input 2 9" xfId="10082" xr:uid="{00000000-0005-0000-0000-000031270000}"/>
    <cellStyle name="Input 2 9 2" xfId="10083" xr:uid="{00000000-0005-0000-0000-000032270000}"/>
    <cellStyle name="Input 2_2012-13 data" xfId="10084" xr:uid="{00000000-0005-0000-0000-000033270000}"/>
    <cellStyle name="Input 20" xfId="10085" xr:uid="{00000000-0005-0000-0000-000034270000}"/>
    <cellStyle name="Input 20 2" xfId="10086" xr:uid="{00000000-0005-0000-0000-000035270000}"/>
    <cellStyle name="Input 21" xfId="10087" xr:uid="{00000000-0005-0000-0000-000036270000}"/>
    <cellStyle name="Input 21 2" xfId="10088" xr:uid="{00000000-0005-0000-0000-000037270000}"/>
    <cellStyle name="Input 22" xfId="10089" xr:uid="{00000000-0005-0000-0000-000038270000}"/>
    <cellStyle name="Input 23" xfId="10090" xr:uid="{00000000-0005-0000-0000-000039270000}"/>
    <cellStyle name="Input 24" xfId="10091" xr:uid="{00000000-0005-0000-0000-00003A270000}"/>
    <cellStyle name="Input 25" xfId="10092" xr:uid="{00000000-0005-0000-0000-00003B270000}"/>
    <cellStyle name="Input 26" xfId="10093" xr:uid="{00000000-0005-0000-0000-00003C270000}"/>
    <cellStyle name="Input 27" xfId="10094" xr:uid="{00000000-0005-0000-0000-00003D270000}"/>
    <cellStyle name="Input 28" xfId="10095" xr:uid="{00000000-0005-0000-0000-00003E270000}"/>
    <cellStyle name="Input 29" xfId="10096" xr:uid="{00000000-0005-0000-0000-00003F270000}"/>
    <cellStyle name="Input 3" xfId="10097" xr:uid="{00000000-0005-0000-0000-000040270000}"/>
    <cellStyle name="Input 3 2" xfId="10098" xr:uid="{00000000-0005-0000-0000-000041270000}"/>
    <cellStyle name="Input 3 2 10" xfId="10099" xr:uid="{00000000-0005-0000-0000-000042270000}"/>
    <cellStyle name="Input 3 2 11" xfId="10100" xr:uid="{00000000-0005-0000-0000-000043270000}"/>
    <cellStyle name="Input 3 2 2" xfId="10101" xr:uid="{00000000-0005-0000-0000-000044270000}"/>
    <cellStyle name="Input 3 2 3" xfId="10102" xr:uid="{00000000-0005-0000-0000-000045270000}"/>
    <cellStyle name="Input 3 2 4" xfId="10103" xr:uid="{00000000-0005-0000-0000-000046270000}"/>
    <cellStyle name="Input 3 2 5" xfId="10104" xr:uid="{00000000-0005-0000-0000-000047270000}"/>
    <cellStyle name="Input 3 2 6" xfId="10105" xr:uid="{00000000-0005-0000-0000-000048270000}"/>
    <cellStyle name="Input 3 2 7" xfId="10106" xr:uid="{00000000-0005-0000-0000-000049270000}"/>
    <cellStyle name="Input 3 2 8" xfId="10107" xr:uid="{00000000-0005-0000-0000-00004A270000}"/>
    <cellStyle name="Input 3 2 9" xfId="10108" xr:uid="{00000000-0005-0000-0000-00004B270000}"/>
    <cellStyle name="Input 3 3" xfId="10109" xr:uid="{00000000-0005-0000-0000-00004C270000}"/>
    <cellStyle name="Input 3 3 2" xfId="10110" xr:uid="{00000000-0005-0000-0000-00004D270000}"/>
    <cellStyle name="Input 3 3 3" xfId="10111" xr:uid="{00000000-0005-0000-0000-00004E270000}"/>
    <cellStyle name="Input 3 4" xfId="10112" xr:uid="{00000000-0005-0000-0000-00004F270000}"/>
    <cellStyle name="Input 3 4 2" xfId="10113" xr:uid="{00000000-0005-0000-0000-000050270000}"/>
    <cellStyle name="Input 3 4 3" xfId="10114" xr:uid="{00000000-0005-0000-0000-000051270000}"/>
    <cellStyle name="Input 3 5" xfId="10115" xr:uid="{00000000-0005-0000-0000-000052270000}"/>
    <cellStyle name="Input 3 6" xfId="10116" xr:uid="{00000000-0005-0000-0000-000053270000}"/>
    <cellStyle name="Input 3_Ramadugu_ SWGH" xfId="10117" xr:uid="{00000000-0005-0000-0000-000054270000}"/>
    <cellStyle name="Input 30" xfId="10118" xr:uid="{00000000-0005-0000-0000-000055270000}"/>
    <cellStyle name="Input 31" xfId="10119" xr:uid="{00000000-0005-0000-0000-000056270000}"/>
    <cellStyle name="Input 32" xfId="10120" xr:uid="{00000000-0005-0000-0000-000057270000}"/>
    <cellStyle name="Input 33" xfId="10121" xr:uid="{00000000-0005-0000-0000-000058270000}"/>
    <cellStyle name="Input 34" xfId="10122" xr:uid="{00000000-0005-0000-0000-000059270000}"/>
    <cellStyle name="Input 35" xfId="10123" xr:uid="{00000000-0005-0000-0000-00005A270000}"/>
    <cellStyle name="Input 36" xfId="10124" xr:uid="{00000000-0005-0000-0000-00005B270000}"/>
    <cellStyle name="Input 37" xfId="10125" xr:uid="{00000000-0005-0000-0000-00005C270000}"/>
    <cellStyle name="Input 38" xfId="10126" xr:uid="{00000000-0005-0000-0000-00005D270000}"/>
    <cellStyle name="Input 39" xfId="10127" xr:uid="{00000000-0005-0000-0000-00005E270000}"/>
    <cellStyle name="Input 4" xfId="10128" xr:uid="{00000000-0005-0000-0000-00005F270000}"/>
    <cellStyle name="Input 4 10" xfId="10129" xr:uid="{00000000-0005-0000-0000-000060270000}"/>
    <cellStyle name="Input 4 11" xfId="10130" xr:uid="{00000000-0005-0000-0000-000061270000}"/>
    <cellStyle name="Input 4 12" xfId="10131" xr:uid="{00000000-0005-0000-0000-000062270000}"/>
    <cellStyle name="Input 4 13" xfId="10132" xr:uid="{00000000-0005-0000-0000-000063270000}"/>
    <cellStyle name="Input 4 14" xfId="10133" xr:uid="{00000000-0005-0000-0000-000064270000}"/>
    <cellStyle name="Input 4 2" xfId="10134" xr:uid="{00000000-0005-0000-0000-000065270000}"/>
    <cellStyle name="Input 4 2 2" xfId="10135" xr:uid="{00000000-0005-0000-0000-000066270000}"/>
    <cellStyle name="Input 4 2 3" xfId="10136" xr:uid="{00000000-0005-0000-0000-000067270000}"/>
    <cellStyle name="Input 4 3" xfId="10137" xr:uid="{00000000-0005-0000-0000-000068270000}"/>
    <cellStyle name="Input 4 3 2" xfId="10138" xr:uid="{00000000-0005-0000-0000-000069270000}"/>
    <cellStyle name="Input 4 3 3" xfId="10139" xr:uid="{00000000-0005-0000-0000-00006A270000}"/>
    <cellStyle name="Input 4 4" xfId="10140" xr:uid="{00000000-0005-0000-0000-00006B270000}"/>
    <cellStyle name="Input 4 4 2" xfId="10141" xr:uid="{00000000-0005-0000-0000-00006C270000}"/>
    <cellStyle name="Input 4 4 3" xfId="10142" xr:uid="{00000000-0005-0000-0000-00006D270000}"/>
    <cellStyle name="Input 4 5" xfId="10143" xr:uid="{00000000-0005-0000-0000-00006E270000}"/>
    <cellStyle name="Input 4 6" xfId="10144" xr:uid="{00000000-0005-0000-0000-00006F270000}"/>
    <cellStyle name="Input 4 7" xfId="10145" xr:uid="{00000000-0005-0000-0000-000070270000}"/>
    <cellStyle name="Input 4 8" xfId="10146" xr:uid="{00000000-0005-0000-0000-000071270000}"/>
    <cellStyle name="Input 4 9" xfId="10147" xr:uid="{00000000-0005-0000-0000-000072270000}"/>
    <cellStyle name="Input 4_Sheet2" xfId="10148" xr:uid="{00000000-0005-0000-0000-000073270000}"/>
    <cellStyle name="Input 40" xfId="10149" xr:uid="{00000000-0005-0000-0000-000074270000}"/>
    <cellStyle name="Input 41" xfId="10150" xr:uid="{00000000-0005-0000-0000-000075270000}"/>
    <cellStyle name="Input 42" xfId="10151" xr:uid="{00000000-0005-0000-0000-000076270000}"/>
    <cellStyle name="Input 43" xfId="10152" xr:uid="{00000000-0005-0000-0000-000077270000}"/>
    <cellStyle name="Input 44" xfId="10153" xr:uid="{00000000-0005-0000-0000-000078270000}"/>
    <cellStyle name="Input 45" xfId="10154" xr:uid="{00000000-0005-0000-0000-000079270000}"/>
    <cellStyle name="Input 46" xfId="10155" xr:uid="{00000000-0005-0000-0000-00007A270000}"/>
    <cellStyle name="Input 47" xfId="10156" xr:uid="{00000000-0005-0000-0000-00007B270000}"/>
    <cellStyle name="Input 48" xfId="10157" xr:uid="{00000000-0005-0000-0000-00007C270000}"/>
    <cellStyle name="Input 49" xfId="10158" xr:uid="{00000000-0005-0000-0000-00007D270000}"/>
    <cellStyle name="Input 5" xfId="10159" xr:uid="{00000000-0005-0000-0000-00007E270000}"/>
    <cellStyle name="Input 5 10" xfId="10160" xr:uid="{00000000-0005-0000-0000-00007F270000}"/>
    <cellStyle name="Input 5 11" xfId="10161" xr:uid="{00000000-0005-0000-0000-000080270000}"/>
    <cellStyle name="Input 5 12" xfId="10162" xr:uid="{00000000-0005-0000-0000-000081270000}"/>
    <cellStyle name="Input 5 2" xfId="10163" xr:uid="{00000000-0005-0000-0000-000082270000}"/>
    <cellStyle name="Input 5 2 2" xfId="10164" xr:uid="{00000000-0005-0000-0000-000083270000}"/>
    <cellStyle name="Input 5 2 3" xfId="10165" xr:uid="{00000000-0005-0000-0000-000084270000}"/>
    <cellStyle name="Input 5 3" xfId="10166" xr:uid="{00000000-0005-0000-0000-000085270000}"/>
    <cellStyle name="Input 5 3 2" xfId="10167" xr:uid="{00000000-0005-0000-0000-000086270000}"/>
    <cellStyle name="Input 5 3 3" xfId="10168" xr:uid="{00000000-0005-0000-0000-000087270000}"/>
    <cellStyle name="Input 5 4" xfId="10169" xr:uid="{00000000-0005-0000-0000-000088270000}"/>
    <cellStyle name="Input 5 4 2" xfId="10170" xr:uid="{00000000-0005-0000-0000-000089270000}"/>
    <cellStyle name="Input 5 4 3" xfId="10171" xr:uid="{00000000-0005-0000-0000-00008A270000}"/>
    <cellStyle name="Input 5 5" xfId="10172" xr:uid="{00000000-0005-0000-0000-00008B270000}"/>
    <cellStyle name="Input 5 6" xfId="10173" xr:uid="{00000000-0005-0000-0000-00008C270000}"/>
    <cellStyle name="Input 5 7" xfId="10174" xr:uid="{00000000-0005-0000-0000-00008D270000}"/>
    <cellStyle name="Input 5 8" xfId="10175" xr:uid="{00000000-0005-0000-0000-00008E270000}"/>
    <cellStyle name="Input 5 9" xfId="10176" xr:uid="{00000000-0005-0000-0000-00008F270000}"/>
    <cellStyle name="Input 5_Sheet2" xfId="10177" xr:uid="{00000000-0005-0000-0000-000090270000}"/>
    <cellStyle name="Input 50" xfId="10178" xr:uid="{00000000-0005-0000-0000-000091270000}"/>
    <cellStyle name="Input 51" xfId="10179" xr:uid="{00000000-0005-0000-0000-000092270000}"/>
    <cellStyle name="Input 52" xfId="10180" xr:uid="{00000000-0005-0000-0000-000093270000}"/>
    <cellStyle name="Input 53" xfId="10181" xr:uid="{00000000-0005-0000-0000-000094270000}"/>
    <cellStyle name="Input 6" xfId="10182" xr:uid="{00000000-0005-0000-0000-000095270000}"/>
    <cellStyle name="Input 6 10" xfId="10183" xr:uid="{00000000-0005-0000-0000-000096270000}"/>
    <cellStyle name="Input 6 11" xfId="10184" xr:uid="{00000000-0005-0000-0000-000097270000}"/>
    <cellStyle name="Input 6 12" xfId="10185" xr:uid="{00000000-0005-0000-0000-000098270000}"/>
    <cellStyle name="Input 6 2" xfId="10186" xr:uid="{00000000-0005-0000-0000-000099270000}"/>
    <cellStyle name="Input 6 2 2" xfId="10187" xr:uid="{00000000-0005-0000-0000-00009A270000}"/>
    <cellStyle name="Input 6 2 3" xfId="10188" xr:uid="{00000000-0005-0000-0000-00009B270000}"/>
    <cellStyle name="Input 6 3" xfId="10189" xr:uid="{00000000-0005-0000-0000-00009C270000}"/>
    <cellStyle name="Input 6 3 2" xfId="10190" xr:uid="{00000000-0005-0000-0000-00009D270000}"/>
    <cellStyle name="Input 6 3 3" xfId="10191" xr:uid="{00000000-0005-0000-0000-00009E270000}"/>
    <cellStyle name="Input 6 4" xfId="10192" xr:uid="{00000000-0005-0000-0000-00009F270000}"/>
    <cellStyle name="Input 6 4 2" xfId="10193" xr:uid="{00000000-0005-0000-0000-0000A0270000}"/>
    <cellStyle name="Input 6 4 3" xfId="10194" xr:uid="{00000000-0005-0000-0000-0000A1270000}"/>
    <cellStyle name="Input 6 5" xfId="10195" xr:uid="{00000000-0005-0000-0000-0000A2270000}"/>
    <cellStyle name="Input 6 6" xfId="10196" xr:uid="{00000000-0005-0000-0000-0000A3270000}"/>
    <cellStyle name="Input 6 7" xfId="10197" xr:uid="{00000000-0005-0000-0000-0000A4270000}"/>
    <cellStyle name="Input 6 8" xfId="10198" xr:uid="{00000000-0005-0000-0000-0000A5270000}"/>
    <cellStyle name="Input 6 9" xfId="10199" xr:uid="{00000000-0005-0000-0000-0000A6270000}"/>
    <cellStyle name="Input 6_Sheet2" xfId="10200" xr:uid="{00000000-0005-0000-0000-0000A7270000}"/>
    <cellStyle name="Input 7" xfId="10201" xr:uid="{00000000-0005-0000-0000-0000A8270000}"/>
    <cellStyle name="Input 7 10" xfId="10202" xr:uid="{00000000-0005-0000-0000-0000A9270000}"/>
    <cellStyle name="Input 7 11" xfId="10203" xr:uid="{00000000-0005-0000-0000-0000AA270000}"/>
    <cellStyle name="Input 7 12" xfId="10204" xr:uid="{00000000-0005-0000-0000-0000AB270000}"/>
    <cellStyle name="Input 7 2" xfId="10205" xr:uid="{00000000-0005-0000-0000-0000AC270000}"/>
    <cellStyle name="Input 7 2 2" xfId="10206" xr:uid="{00000000-0005-0000-0000-0000AD270000}"/>
    <cellStyle name="Input 7 2 3" xfId="10207" xr:uid="{00000000-0005-0000-0000-0000AE270000}"/>
    <cellStyle name="Input 7 3" xfId="10208" xr:uid="{00000000-0005-0000-0000-0000AF270000}"/>
    <cellStyle name="Input 7 3 2" xfId="10209" xr:uid="{00000000-0005-0000-0000-0000B0270000}"/>
    <cellStyle name="Input 7 3 3" xfId="10210" xr:uid="{00000000-0005-0000-0000-0000B1270000}"/>
    <cellStyle name="Input 7 4" xfId="10211" xr:uid="{00000000-0005-0000-0000-0000B2270000}"/>
    <cellStyle name="Input 7 4 2" xfId="10212" xr:uid="{00000000-0005-0000-0000-0000B3270000}"/>
    <cellStyle name="Input 7 4 3" xfId="10213" xr:uid="{00000000-0005-0000-0000-0000B4270000}"/>
    <cellStyle name="Input 7 5" xfId="10214" xr:uid="{00000000-0005-0000-0000-0000B5270000}"/>
    <cellStyle name="Input 7 6" xfId="10215" xr:uid="{00000000-0005-0000-0000-0000B6270000}"/>
    <cellStyle name="Input 7 7" xfId="10216" xr:uid="{00000000-0005-0000-0000-0000B7270000}"/>
    <cellStyle name="Input 7 8" xfId="10217" xr:uid="{00000000-0005-0000-0000-0000B8270000}"/>
    <cellStyle name="Input 7 9" xfId="10218" xr:uid="{00000000-0005-0000-0000-0000B9270000}"/>
    <cellStyle name="Input 7_Sheet2" xfId="10219" xr:uid="{00000000-0005-0000-0000-0000BA270000}"/>
    <cellStyle name="Input 8" xfId="10220" xr:uid="{00000000-0005-0000-0000-0000BB270000}"/>
    <cellStyle name="Input 8 10" xfId="10221" xr:uid="{00000000-0005-0000-0000-0000BC270000}"/>
    <cellStyle name="Input 8 11" xfId="10222" xr:uid="{00000000-0005-0000-0000-0000BD270000}"/>
    <cellStyle name="Input 8 2" xfId="10223" xr:uid="{00000000-0005-0000-0000-0000BE270000}"/>
    <cellStyle name="Input 8 3" xfId="10224" xr:uid="{00000000-0005-0000-0000-0000BF270000}"/>
    <cellStyle name="Input 8 4" xfId="10225" xr:uid="{00000000-0005-0000-0000-0000C0270000}"/>
    <cellStyle name="Input 8 5" xfId="10226" xr:uid="{00000000-0005-0000-0000-0000C1270000}"/>
    <cellStyle name="Input 8 6" xfId="10227" xr:uid="{00000000-0005-0000-0000-0000C2270000}"/>
    <cellStyle name="Input 8 7" xfId="10228" xr:uid="{00000000-0005-0000-0000-0000C3270000}"/>
    <cellStyle name="Input 8 8" xfId="10229" xr:uid="{00000000-0005-0000-0000-0000C4270000}"/>
    <cellStyle name="Input 8 9" xfId="10230" xr:uid="{00000000-0005-0000-0000-0000C5270000}"/>
    <cellStyle name="Input 8_Sheet2" xfId="10231" xr:uid="{00000000-0005-0000-0000-0000C6270000}"/>
    <cellStyle name="Input 9" xfId="10232" xr:uid="{00000000-0005-0000-0000-0000C7270000}"/>
    <cellStyle name="Input 9 2" xfId="10233" xr:uid="{00000000-0005-0000-0000-0000C8270000}"/>
    <cellStyle name="Input 9 3" xfId="10234" xr:uid="{00000000-0005-0000-0000-0000C9270000}"/>
    <cellStyle name="Input 9 4" xfId="10235" xr:uid="{00000000-0005-0000-0000-0000CA270000}"/>
    <cellStyle name="Input 9 5" xfId="10236" xr:uid="{00000000-0005-0000-0000-0000CB270000}"/>
    <cellStyle name="Input 9 6" xfId="10237" xr:uid="{00000000-0005-0000-0000-0000CC270000}"/>
    <cellStyle name="Input 9 7" xfId="10238" xr:uid="{00000000-0005-0000-0000-0000CD270000}"/>
    <cellStyle name="Input 9 8" xfId="10239" xr:uid="{00000000-0005-0000-0000-0000CE270000}"/>
    <cellStyle name="Input 9 9" xfId="10240" xr:uid="{00000000-0005-0000-0000-0000CF270000}"/>
    <cellStyle name="Input Cells" xfId="10241" xr:uid="{00000000-0005-0000-0000-0000D0270000}"/>
    <cellStyle name="Input Currency" xfId="10242" xr:uid="{00000000-0005-0000-0000-0000D1270000}"/>
    <cellStyle name="Input Currency 2" xfId="10243" xr:uid="{00000000-0005-0000-0000-0000D2270000}"/>
    <cellStyle name="Input Currency_Budget Oberoi Commerz 2  3 R3_08052008 (3)" xfId="10244" xr:uid="{00000000-0005-0000-0000-0000D3270000}"/>
    <cellStyle name="Input Date" xfId="10245" xr:uid="{00000000-0005-0000-0000-0000D4270000}"/>
    <cellStyle name="Input Fixed [0]" xfId="10246" xr:uid="{00000000-0005-0000-0000-0000D5270000}"/>
    <cellStyle name="Input Multiple" xfId="10247" xr:uid="{00000000-0005-0000-0000-0000D6270000}"/>
    <cellStyle name="Input Normal" xfId="10248" xr:uid="{00000000-0005-0000-0000-0000D7270000}"/>
    <cellStyle name="Input Percent" xfId="10249" xr:uid="{00000000-0005-0000-0000-0000D8270000}"/>
    <cellStyle name="Input Percent [2]" xfId="10250" xr:uid="{00000000-0005-0000-0000-0000D9270000}"/>
    <cellStyle name="Input Percent_Budget Oberoi Commerz 2  3 R3_08052008 (3)" xfId="10251" xr:uid="{00000000-0005-0000-0000-0000DA270000}"/>
    <cellStyle name="Input Titles" xfId="10252" xr:uid="{00000000-0005-0000-0000-0000DB270000}"/>
    <cellStyle name="input value" xfId="10253" xr:uid="{00000000-0005-0000-0000-0000DC270000}"/>
    <cellStyle name="Input1" xfId="10254" xr:uid="{00000000-0005-0000-0000-0000DD270000}"/>
    <cellStyle name="Input2" xfId="10255" xr:uid="{00000000-0005-0000-0000-0000DE270000}"/>
    <cellStyle name="InputBlueFont" xfId="10256" xr:uid="{00000000-0005-0000-0000-0000DF270000}"/>
    <cellStyle name="InputCurrency" xfId="10257" xr:uid="{00000000-0005-0000-0000-0000E0270000}"/>
    <cellStyle name="InputNormal" xfId="10258" xr:uid="{00000000-0005-0000-0000-0000E1270000}"/>
    <cellStyle name="Integer Text" xfId="10259" xr:uid="{00000000-0005-0000-0000-0000E2270000}"/>
    <cellStyle name="iu" xfId="10260" xr:uid="{00000000-0005-0000-0000-0000E3270000}"/>
    <cellStyle name="k" xfId="10261" xr:uid="{00000000-0005-0000-0000-0000E4270000}"/>
    <cellStyle name="k 2" xfId="10262" xr:uid="{00000000-0005-0000-0000-0000E5270000}"/>
    <cellStyle name="KGName" xfId="10263" xr:uid="{00000000-0005-0000-0000-0000E6270000}"/>
    <cellStyle name="KG-Nr" xfId="10264" xr:uid="{00000000-0005-0000-0000-0000E7270000}"/>
    <cellStyle name="Kol.-Titel" xfId="10265" xr:uid="{00000000-0005-0000-0000-0000E8270000}"/>
    <cellStyle name="KP_Normal" xfId="10266" xr:uid="{00000000-0005-0000-0000-0000E9270000}"/>
    <cellStyle name="kutch" xfId="10267" xr:uid="{00000000-0005-0000-0000-0000EA270000}"/>
    <cellStyle name="L" xfId="10268" xr:uid="{00000000-0005-0000-0000-0000EB270000}"/>
    <cellStyle name="L 2" xfId="10269" xr:uid="{00000000-0005-0000-0000-0000EC270000}"/>
    <cellStyle name="L_004 - May' 08 - Reconcilation" xfId="10270" xr:uid="{00000000-0005-0000-0000-0000ED270000}"/>
    <cellStyle name="L_005- June '08- Reconciliation" xfId="10271" xr:uid="{00000000-0005-0000-0000-0000EE270000}"/>
    <cellStyle name="L_006- July '08- Reconciliation" xfId="10272" xr:uid="{00000000-0005-0000-0000-0000EF270000}"/>
    <cellStyle name="L_22nd RA Bill- March-10 @ Magnolia B L Gupta" xfId="10273" xr:uid="{00000000-0005-0000-0000-0000F0270000}"/>
    <cellStyle name="L_adj 15acre Jun08" xfId="10274" xr:uid="{00000000-0005-0000-0000-0000F1270000}"/>
    <cellStyle name="L_Adj 7B Report June 07- Feb 08" xfId="10275" xr:uid="{00000000-0005-0000-0000-0000F2270000}"/>
    <cellStyle name="L_adjustment 7A Apr-Oct08" xfId="10276" xr:uid="{00000000-0005-0000-0000-0000F3270000}"/>
    <cellStyle name="L_Billing New Formet" xfId="10277" xr:uid="{00000000-0005-0000-0000-0000F4270000}"/>
    <cellStyle name="L_Blank formats annexures -  Cost plus" xfId="10278" xr:uid="{00000000-0005-0000-0000-0000F5270000}"/>
    <cellStyle name="L_Book1" xfId="10279" xr:uid="{00000000-0005-0000-0000-0000F6270000}"/>
    <cellStyle name="L_Book1 (39)" xfId="10280" xr:uid="{00000000-0005-0000-0000-0000F7270000}"/>
    <cellStyle name="L_Book3" xfId="10281" xr:uid="{00000000-0005-0000-0000-0000F8270000}"/>
    <cellStyle name="L_BOQ" xfId="10282" xr:uid="{00000000-0005-0000-0000-0000F9270000}"/>
    <cellStyle name="L_Budget &amp; Costing - MICO" xfId="10283" xr:uid="{00000000-0005-0000-0000-0000FA270000}"/>
    <cellStyle name="L_CONTRACT REVIEW- JASOLA TOWERS-FEB07" xfId="10284" xr:uid="{00000000-0005-0000-0000-0000FB270000}"/>
    <cellStyle name="L_Copy of Costing" xfId="10285" xr:uid="{00000000-0005-0000-0000-0000FC270000}"/>
    <cellStyle name="L_Copy of Costing_Gurgaon 1 _29.07.04 _ MDS" xfId="10286" xr:uid="{00000000-0005-0000-0000-0000FD270000}"/>
    <cellStyle name="L_Copy of Oberoi RA Bill 22 August 0804.09.08 Revised " xfId="10287" xr:uid="{00000000-0005-0000-0000-0000FE270000}"/>
    <cellStyle name="L_Copy of Plant  eqpt (2)" xfId="10288" xr:uid="{00000000-0005-0000-0000-0000FF270000}"/>
    <cellStyle name="L_Copy of Progress tracker Mar Apr 08" xfId="10289" xr:uid="{00000000-0005-0000-0000-000000280000}"/>
    <cellStyle name="L_Copy of PSE-IT Noida-r 3" xfId="10290" xr:uid="{00000000-0005-0000-0000-000001280000}"/>
    <cellStyle name="L_Copy of Transferable Material VAT Liablity - SBM Homes (Sep-2010) (2) (2)" xfId="10291" xr:uid="{00000000-0005-0000-0000-000002280000}"/>
    <cellStyle name="L_Costing - ITC Main Revised Qty- 11.01_ ITC Main" xfId="10292" xr:uid="{00000000-0005-0000-0000-000003280000}"/>
    <cellStyle name="L_Costing - MBD Books-20.12" xfId="10293" xr:uid="{00000000-0005-0000-0000-000004280000}"/>
    <cellStyle name="L_Costing_Birla Sugar_9.4.05" xfId="10294" xr:uid="{00000000-0005-0000-0000-000005280000}"/>
    <cellStyle name="L_Costing_District Court" xfId="10295" xr:uid="{00000000-0005-0000-0000-000006280000}"/>
    <cellStyle name="L_Costing_Hero Honda_Haridwar" xfId="10296" xr:uid="{00000000-0005-0000-0000-000007280000}"/>
    <cellStyle name="L_Costing_Indian Chancery_4.06.06" xfId="10297" xr:uid="{00000000-0005-0000-0000-000008280000}"/>
    <cellStyle name="L_Costing_Inst. Bld-Emirates Group-Noida-13.06.06" xfId="10298" xr:uid="{00000000-0005-0000-0000-000009280000}"/>
    <cellStyle name="L_Costing_Nicholas_21.12.04" xfId="10299" xr:uid="{00000000-0005-0000-0000-00000A280000}"/>
    <cellStyle name="L_Disallowed Cost 200309" xfId="10300" xr:uid="{00000000-0005-0000-0000-00000B280000}"/>
    <cellStyle name="L_Disallowed cost MOI" xfId="10301" xr:uid="{00000000-0005-0000-0000-00000C280000}"/>
    <cellStyle name="L_DLF Agrrement _ Formats _10A" xfId="10302" xr:uid="{00000000-0005-0000-0000-00000D280000}"/>
    <cellStyle name="L_DLF Capital Greens -Consolidated Finishes BOQ Phase I " xfId="10303" xr:uid="{00000000-0005-0000-0000-00000E280000}"/>
    <cellStyle name="L_DLF Capital Greens -Consolidated Finishes BOQ Phase II " xfId="10304" xr:uid="{00000000-0005-0000-0000-00000F280000}"/>
    <cellStyle name="L_DLF Cyber Tower _02.06.05 l" xfId="10305" xr:uid="{00000000-0005-0000-0000-000010280000}"/>
    <cellStyle name="L_Drawing Release Schedule" xfId="10306" xr:uid="{00000000-0005-0000-0000-000011280000}"/>
    <cellStyle name="L_drawings Register" xfId="10307" xr:uid="{00000000-0005-0000-0000-000012280000}"/>
    <cellStyle name="L_drawings Register as on 01-12-08" xfId="10308" xr:uid="{00000000-0005-0000-0000-000013280000}"/>
    <cellStyle name="L_drawings Register as on 040409" xfId="10309" xr:uid="{00000000-0005-0000-0000-000014280000}"/>
    <cellStyle name="L_drawings Register as on 040909" xfId="10310" xr:uid="{00000000-0005-0000-0000-000015280000}"/>
    <cellStyle name="L_drawings Register as on 240409" xfId="10311" xr:uid="{00000000-0005-0000-0000-000016280000}"/>
    <cellStyle name="L_drawings Register as on 240909" xfId="10312" xr:uid="{00000000-0005-0000-0000-000017280000}"/>
    <cellStyle name="L_drawings Register as on 28-1-09" xfId="10313" xr:uid="{00000000-0005-0000-0000-000018280000}"/>
    <cellStyle name="L_drawings Register as on 300609" xfId="10314" xr:uid="{00000000-0005-0000-0000-000019280000}"/>
    <cellStyle name="L_drawings Register as on 310709" xfId="10315" xr:uid="{00000000-0005-0000-0000-00001A280000}"/>
    <cellStyle name="L_drawings Register as on02-3-09" xfId="10316" xr:uid="{00000000-0005-0000-0000-00001B280000}"/>
    <cellStyle name="L_Final Report-JUne 07" xfId="10317" xr:uid="{00000000-0005-0000-0000-00001C280000}"/>
    <cellStyle name="L_Final Summary IT HYderabad June 08" xfId="10318" xr:uid="{00000000-0005-0000-0000-00001D280000}"/>
    <cellStyle name="L_form" xfId="10319" xr:uid="{00000000-0005-0000-0000-00001E280000}"/>
    <cellStyle name="L_IRS-Civil" xfId="10320" xr:uid="{00000000-0005-0000-0000-00001F280000}"/>
    <cellStyle name="L_IRS-Civil (4)" xfId="10321" xr:uid="{00000000-0005-0000-0000-000020280000}"/>
    <cellStyle name="L_it noida_budget_draft_200506" xfId="10322" xr:uid="{00000000-0005-0000-0000-000021280000}"/>
    <cellStyle name="L_IT PARK GACHIBOWLI_P &amp; M HIRE CHARGES" xfId="10323" xr:uid="{00000000-0005-0000-0000-000022280000}"/>
    <cellStyle name="L_Item Rate Bill RA-10 March 11 (Homes)" xfId="10324" xr:uid="{00000000-0005-0000-0000-000023280000}"/>
    <cellStyle name="L_ITN AUG MPR" xfId="10325" xr:uid="{00000000-0005-0000-0000-000024280000}"/>
    <cellStyle name="L_Jasola Recon April-08" xfId="10326" xr:uid="{00000000-0005-0000-0000-000025280000}"/>
    <cellStyle name="L_Jasola Recon Feb-07" xfId="10327" xr:uid="{00000000-0005-0000-0000-000026280000}"/>
    <cellStyle name="L_kks" xfId="10328" xr:uid="{00000000-0005-0000-0000-000027280000}"/>
    <cellStyle name="L_Major quantities _Inst. Bld-Emirates Group-Noida" xfId="10329" xr:uid="{00000000-0005-0000-0000-000028280000}"/>
    <cellStyle name="L_Major quantities_Hero Honda_Haridwar" xfId="10330" xr:uid="{00000000-0005-0000-0000-000029280000}"/>
    <cellStyle name="L_Material Reco (SBM Homes)" xfId="10331" xr:uid="{00000000-0005-0000-0000-00002A280000}"/>
    <cellStyle name="L_Material Reco May-2011 (SBM Homes)" xfId="10332" xr:uid="{00000000-0005-0000-0000-00002B280000}"/>
    <cellStyle name="L_May Photos" xfId="10333" xr:uid="{00000000-0005-0000-0000-00002C280000}"/>
    <cellStyle name="L_medicity_26.09.05 _ MDS" xfId="10334" xr:uid="{00000000-0005-0000-0000-00002D280000}"/>
    <cellStyle name="L_Monthwise Idling cost - Magnolias (rev 2)" xfId="10335" xr:uid="{00000000-0005-0000-0000-00002E280000}"/>
    <cellStyle name="L_MPR Jan 2009" xfId="10336" xr:uid="{00000000-0005-0000-0000-00002F280000}"/>
    <cellStyle name="L_MPR OCT" xfId="10337" xr:uid="{00000000-0005-0000-0000-000030280000}"/>
    <cellStyle name="L_MPR_July_08" xfId="10338" xr:uid="{00000000-0005-0000-0000-000031280000}"/>
    <cellStyle name="L_MPR1 as per June'08" xfId="10339" xr:uid="{00000000-0005-0000-0000-000032280000}"/>
    <cellStyle name="L_Noida Mall Cost Audit Reply Mar 08 090608" xfId="10340" xr:uid="{00000000-0005-0000-0000-000033280000}"/>
    <cellStyle name="L_Oberoi RA Bill 23 Sept 08 061008" xfId="10341" xr:uid="{00000000-0005-0000-0000-000034280000}"/>
    <cellStyle name="L_Org Chart" xfId="10342" xr:uid="{00000000-0005-0000-0000-000035280000}"/>
    <cellStyle name="L_P &amp; M STAFF" xfId="10343" xr:uid="{00000000-0005-0000-0000-000036280000}"/>
    <cellStyle name="L_P&amp;E Trail_1" xfId="10344" xr:uid="{00000000-0005-0000-0000-000037280000}"/>
    <cellStyle name="L_Pogress tracker June 08" xfId="10345" xr:uid="{00000000-0005-0000-0000-000038280000}"/>
    <cellStyle name="L_Pogress tracker May 08" xfId="10346" xr:uid="{00000000-0005-0000-0000-000039280000}"/>
    <cellStyle name="L_PresentationCONTRACT REVIEW" xfId="10347" xr:uid="{00000000-0005-0000-0000-00003A280000}"/>
    <cellStyle name="L_Programme_Vytilla_DLF Riverside" xfId="10348" xr:uid="{00000000-0005-0000-0000-00003B280000}"/>
    <cellStyle name="L_PSE-IT Noida-r 3" xfId="10349" xr:uid="{00000000-0005-0000-0000-00003C280000}"/>
    <cellStyle name="L_R F I  LOG" xfId="10350" xr:uid="{00000000-0005-0000-0000-00003D280000}"/>
    <cellStyle name="L_Rate Ana " xfId="10351" xr:uid="{00000000-0005-0000-0000-00003E280000}"/>
    <cellStyle name="L_RATE ANALYSIS_Sample" xfId="10352" xr:uid="{00000000-0005-0000-0000-00003F280000}"/>
    <cellStyle name="L_Reconciliation for May '08" xfId="10353" xr:uid="{00000000-0005-0000-0000-000040280000}"/>
    <cellStyle name="L_reconcillation upto sep-08" xfId="10354" xr:uid="{00000000-0005-0000-0000-000041280000}"/>
    <cellStyle name="L_Register" xfId="10355" xr:uid="{00000000-0005-0000-0000-000042280000}"/>
    <cellStyle name="L_Res-Item Rate Analysis-r2_ RAP4" xfId="10356" xr:uid="{00000000-0005-0000-0000-000043280000}"/>
    <cellStyle name="L_Res-Item Rate Analysis-r2_Tapan" xfId="10357" xr:uid="{00000000-0005-0000-0000-000044280000}"/>
    <cellStyle name="L_SBM School 6th RA Bill 09 Feb-10 Rev" xfId="10358" xr:uid="{00000000-0005-0000-0000-000045280000}"/>
    <cellStyle name="L_SBM School 8th RA Bill-April-10" xfId="10359" xr:uid="{00000000-0005-0000-0000-000046280000}"/>
    <cellStyle name="L_SBM School Final Bill-(10-05 to12-2010)" xfId="10360" xr:uid="{00000000-0005-0000-0000-000047280000}"/>
    <cellStyle name="L_SCOPE OF WORK STR-FIN-SPCL-CONTRACT" xfId="10361" xr:uid="{00000000-0005-0000-0000-000048280000}"/>
    <cellStyle name="L_Sheet1" xfId="10362" xr:uid="{00000000-0005-0000-0000-000049280000}"/>
    <cellStyle name="L_Submitted_27.10.05" xfId="10363" xr:uid="{00000000-0005-0000-0000-00004A280000}"/>
    <cellStyle name="L_Summary 15 acre Final" xfId="10364" xr:uid="{00000000-0005-0000-0000-00004B280000}"/>
    <cellStyle name="L_Transferable Material VAT Liablity - SBM Homes (Sep-2010)" xfId="10365" xr:uid="{00000000-0005-0000-0000-00004C280000}"/>
    <cellStyle name="L_Vytilla-Cochin" xfId="10366" xr:uid="{00000000-0005-0000-0000-00004D280000}"/>
    <cellStyle name="L_Working_Submitted" xfId="10367" xr:uid="{00000000-0005-0000-0000-00004E280000}"/>
    <cellStyle name="L_WPR 21 to 27 Jan '08" xfId="10368" xr:uid="{00000000-0005-0000-0000-00004F280000}"/>
    <cellStyle name="L_WPR 28th Jan 08 to 03rd Feb '08" xfId="10369" xr:uid="{00000000-0005-0000-0000-000050280000}"/>
    <cellStyle name="L_WPR- DLF INFOCITY CHENNAI - 13.08.07 TO 19.08.07" xfId="10370" xr:uid="{00000000-0005-0000-0000-000051280000}"/>
    <cellStyle name="L_WPR_25th Aug_to_31st Aug_08" xfId="10371" xr:uid="{00000000-0005-0000-0000-000052280000}"/>
    <cellStyle name="L_WPR_31st_Mar_to_5th_Apr_08" xfId="10372" xr:uid="{00000000-0005-0000-0000-000053280000}"/>
    <cellStyle name="L_Z-Labour Camp Detail" xfId="10373" xr:uid="{00000000-0005-0000-0000-000054280000}"/>
    <cellStyle name="Labels - Style3" xfId="10374" xr:uid="{00000000-0005-0000-0000-000055280000}"/>
    <cellStyle name="Labels - Style3 2" xfId="10375" xr:uid="{00000000-0005-0000-0000-000056280000}"/>
    <cellStyle name="Labels - Style3 3" xfId="10376" xr:uid="{00000000-0005-0000-0000-000057280000}"/>
    <cellStyle name="Large Page Heading" xfId="10377" xr:uid="{00000000-0005-0000-0000-000058280000}"/>
    <cellStyle name="Length" xfId="10378" xr:uid="{00000000-0005-0000-0000-000059280000}"/>
    <cellStyle name="Length 2" xfId="10379" xr:uid="{00000000-0005-0000-0000-00005A280000}"/>
    <cellStyle name="Length_DLF Capital Greens -Consolidated Finishes BOQ Phase II " xfId="10380" xr:uid="{00000000-0005-0000-0000-00005B280000}"/>
    <cellStyle name="Level 2 Total" xfId="10381" xr:uid="{00000000-0005-0000-0000-00005C280000}"/>
    <cellStyle name="level 3" xfId="10382" xr:uid="{00000000-0005-0000-0000-00005D280000}"/>
    <cellStyle name="level3" xfId="10383" xr:uid="{00000000-0005-0000-0000-00005E280000}"/>
    <cellStyle name="level3 2" xfId="10384" xr:uid="{00000000-0005-0000-0000-00005F280000}"/>
    <cellStyle name="Lien hypertexte" xfId="10385" xr:uid="{00000000-0005-0000-0000-000060280000}"/>
    <cellStyle name="Lien hypertexte visité" xfId="10386" xr:uid="{00000000-0005-0000-0000-000061280000}"/>
    <cellStyle name="Lien hypertexte_PROJ J1 01 IN AFT 0701 COST FW  0001 C 071207 Sourcing Plan" xfId="10387" xr:uid="{00000000-0005-0000-0000-000062280000}"/>
    <cellStyle name="ligne_detail" xfId="10388" xr:uid="{00000000-0005-0000-0000-000063280000}"/>
    <cellStyle name="Line No." xfId="10389" xr:uid="{00000000-0005-0000-0000-000064280000}"/>
    <cellStyle name="LineItem" xfId="10390" xr:uid="{00000000-0005-0000-0000-000065280000}"/>
    <cellStyle name="Linie" xfId="10391" xr:uid="{00000000-0005-0000-0000-000066280000}"/>
    <cellStyle name="Linie-nr" xfId="10392" xr:uid="{00000000-0005-0000-0000-000067280000}"/>
    <cellStyle name="Link" xfId="10393" xr:uid="{00000000-0005-0000-0000-000068280000}"/>
    <cellStyle name="Link Currency (0)" xfId="10394" xr:uid="{00000000-0005-0000-0000-000069280000}"/>
    <cellStyle name="Link Currency (0) 10" xfId="10395" xr:uid="{00000000-0005-0000-0000-00006A280000}"/>
    <cellStyle name="Link Currency (0) 11" xfId="10396" xr:uid="{00000000-0005-0000-0000-00006B280000}"/>
    <cellStyle name="Link Currency (0) 2" xfId="10397" xr:uid="{00000000-0005-0000-0000-00006C280000}"/>
    <cellStyle name="Link Currency (0) 2 2" xfId="10398" xr:uid="{00000000-0005-0000-0000-00006D280000}"/>
    <cellStyle name="Link Currency (0) 3" xfId="10399" xr:uid="{00000000-0005-0000-0000-00006E280000}"/>
    <cellStyle name="Link Currency (0) 3 2" xfId="10400" xr:uid="{00000000-0005-0000-0000-00006F280000}"/>
    <cellStyle name="Link Currency (0) 4" xfId="10401" xr:uid="{00000000-0005-0000-0000-000070280000}"/>
    <cellStyle name="Link Currency (0) 5" xfId="10402" xr:uid="{00000000-0005-0000-0000-000071280000}"/>
    <cellStyle name="Link Currency (0) 6" xfId="10403" xr:uid="{00000000-0005-0000-0000-000072280000}"/>
    <cellStyle name="Link Currency (0) 7" xfId="10404" xr:uid="{00000000-0005-0000-0000-000073280000}"/>
    <cellStyle name="Link Currency (0) 8" xfId="10405" xr:uid="{00000000-0005-0000-0000-000074280000}"/>
    <cellStyle name="Link Currency (0) 9" xfId="10406" xr:uid="{00000000-0005-0000-0000-000075280000}"/>
    <cellStyle name="Link Currency (2)" xfId="10407" xr:uid="{00000000-0005-0000-0000-000076280000}"/>
    <cellStyle name="Link Units (0)" xfId="10408" xr:uid="{00000000-0005-0000-0000-000077280000}"/>
    <cellStyle name="Link Units (0) 10" xfId="10409" xr:uid="{00000000-0005-0000-0000-000078280000}"/>
    <cellStyle name="Link Units (0) 11" xfId="10410" xr:uid="{00000000-0005-0000-0000-000079280000}"/>
    <cellStyle name="Link Units (0) 2" xfId="10411" xr:uid="{00000000-0005-0000-0000-00007A280000}"/>
    <cellStyle name="Link Units (0) 2 2" xfId="10412" xr:uid="{00000000-0005-0000-0000-00007B280000}"/>
    <cellStyle name="Link Units (0) 3" xfId="10413" xr:uid="{00000000-0005-0000-0000-00007C280000}"/>
    <cellStyle name="Link Units (0) 3 2" xfId="10414" xr:uid="{00000000-0005-0000-0000-00007D280000}"/>
    <cellStyle name="Link Units (0) 4" xfId="10415" xr:uid="{00000000-0005-0000-0000-00007E280000}"/>
    <cellStyle name="Link Units (0) 5" xfId="10416" xr:uid="{00000000-0005-0000-0000-00007F280000}"/>
    <cellStyle name="Link Units (0) 6" xfId="10417" xr:uid="{00000000-0005-0000-0000-000080280000}"/>
    <cellStyle name="Link Units (0) 7" xfId="10418" xr:uid="{00000000-0005-0000-0000-000081280000}"/>
    <cellStyle name="Link Units (0) 8" xfId="10419" xr:uid="{00000000-0005-0000-0000-000082280000}"/>
    <cellStyle name="Link Units (0) 9" xfId="10420" xr:uid="{00000000-0005-0000-0000-000083280000}"/>
    <cellStyle name="Link Units (1)" xfId="10421" xr:uid="{00000000-0005-0000-0000-000084280000}"/>
    <cellStyle name="Link Units (1) 10" xfId="10422" xr:uid="{00000000-0005-0000-0000-000085280000}"/>
    <cellStyle name="Link Units (1) 11" xfId="10423" xr:uid="{00000000-0005-0000-0000-000086280000}"/>
    <cellStyle name="Link Units (1) 2" xfId="10424" xr:uid="{00000000-0005-0000-0000-000087280000}"/>
    <cellStyle name="Link Units (1) 2 2" xfId="10425" xr:uid="{00000000-0005-0000-0000-000088280000}"/>
    <cellStyle name="Link Units (1) 3" xfId="10426" xr:uid="{00000000-0005-0000-0000-000089280000}"/>
    <cellStyle name="Link Units (1) 3 2" xfId="10427" xr:uid="{00000000-0005-0000-0000-00008A280000}"/>
    <cellStyle name="Link Units (1) 4" xfId="10428" xr:uid="{00000000-0005-0000-0000-00008B280000}"/>
    <cellStyle name="Link Units (1) 5" xfId="10429" xr:uid="{00000000-0005-0000-0000-00008C280000}"/>
    <cellStyle name="Link Units (1) 6" xfId="10430" xr:uid="{00000000-0005-0000-0000-00008D280000}"/>
    <cellStyle name="Link Units (1) 7" xfId="10431" xr:uid="{00000000-0005-0000-0000-00008E280000}"/>
    <cellStyle name="Link Units (1) 8" xfId="10432" xr:uid="{00000000-0005-0000-0000-00008F280000}"/>
    <cellStyle name="Link Units (1) 9" xfId="10433" xr:uid="{00000000-0005-0000-0000-000090280000}"/>
    <cellStyle name="Link Units (2)" xfId="10434" xr:uid="{00000000-0005-0000-0000-000091280000}"/>
    <cellStyle name="Linked Cell" xfId="52" builtinId="24" customBuiltin="1"/>
    <cellStyle name="Linked Cell 10" xfId="10435" xr:uid="{00000000-0005-0000-0000-000093280000}"/>
    <cellStyle name="Linked Cell 10 2" xfId="10436" xr:uid="{00000000-0005-0000-0000-000094280000}"/>
    <cellStyle name="Linked Cell 10 3" xfId="10437" xr:uid="{00000000-0005-0000-0000-000095280000}"/>
    <cellStyle name="Linked Cell 10 4" xfId="10438" xr:uid="{00000000-0005-0000-0000-000096280000}"/>
    <cellStyle name="Linked Cell 10 5" xfId="10439" xr:uid="{00000000-0005-0000-0000-000097280000}"/>
    <cellStyle name="Linked Cell 10 6" xfId="10440" xr:uid="{00000000-0005-0000-0000-000098280000}"/>
    <cellStyle name="Linked Cell 10 7" xfId="10441" xr:uid="{00000000-0005-0000-0000-000099280000}"/>
    <cellStyle name="Linked Cell 10 8" xfId="10442" xr:uid="{00000000-0005-0000-0000-00009A280000}"/>
    <cellStyle name="Linked Cell 10 9" xfId="10443" xr:uid="{00000000-0005-0000-0000-00009B280000}"/>
    <cellStyle name="Linked Cell 11" xfId="10444" xr:uid="{00000000-0005-0000-0000-00009C280000}"/>
    <cellStyle name="Linked Cell 11 2" xfId="10445" xr:uid="{00000000-0005-0000-0000-00009D280000}"/>
    <cellStyle name="Linked Cell 11 3" xfId="10446" xr:uid="{00000000-0005-0000-0000-00009E280000}"/>
    <cellStyle name="Linked Cell 11 4" xfId="10447" xr:uid="{00000000-0005-0000-0000-00009F280000}"/>
    <cellStyle name="Linked Cell 11 5" xfId="10448" xr:uid="{00000000-0005-0000-0000-0000A0280000}"/>
    <cellStyle name="Linked Cell 11 6" xfId="10449" xr:uid="{00000000-0005-0000-0000-0000A1280000}"/>
    <cellStyle name="Linked Cell 11 7" xfId="10450" xr:uid="{00000000-0005-0000-0000-0000A2280000}"/>
    <cellStyle name="Linked Cell 11 8" xfId="10451" xr:uid="{00000000-0005-0000-0000-0000A3280000}"/>
    <cellStyle name="Linked Cell 11 9" xfId="10452" xr:uid="{00000000-0005-0000-0000-0000A4280000}"/>
    <cellStyle name="Linked Cell 12" xfId="10453" xr:uid="{00000000-0005-0000-0000-0000A5280000}"/>
    <cellStyle name="Linked Cell 12 2" xfId="10454" xr:uid="{00000000-0005-0000-0000-0000A6280000}"/>
    <cellStyle name="Linked Cell 12 3" xfId="10455" xr:uid="{00000000-0005-0000-0000-0000A7280000}"/>
    <cellStyle name="Linked Cell 12 4" xfId="10456" xr:uid="{00000000-0005-0000-0000-0000A8280000}"/>
    <cellStyle name="Linked Cell 12 5" xfId="10457" xr:uid="{00000000-0005-0000-0000-0000A9280000}"/>
    <cellStyle name="Linked Cell 12 6" xfId="10458" xr:uid="{00000000-0005-0000-0000-0000AA280000}"/>
    <cellStyle name="Linked Cell 12 7" xfId="10459" xr:uid="{00000000-0005-0000-0000-0000AB280000}"/>
    <cellStyle name="Linked Cell 12 8" xfId="10460" xr:uid="{00000000-0005-0000-0000-0000AC280000}"/>
    <cellStyle name="Linked Cell 12 9" xfId="10461" xr:uid="{00000000-0005-0000-0000-0000AD280000}"/>
    <cellStyle name="Linked Cell 13" xfId="10462" xr:uid="{00000000-0005-0000-0000-0000AE280000}"/>
    <cellStyle name="Linked Cell 13 2" xfId="10463" xr:uid="{00000000-0005-0000-0000-0000AF280000}"/>
    <cellStyle name="Linked Cell 13 3" xfId="10464" xr:uid="{00000000-0005-0000-0000-0000B0280000}"/>
    <cellStyle name="Linked Cell 13 4" xfId="10465" xr:uid="{00000000-0005-0000-0000-0000B1280000}"/>
    <cellStyle name="Linked Cell 13 5" xfId="10466" xr:uid="{00000000-0005-0000-0000-0000B2280000}"/>
    <cellStyle name="Linked Cell 13 6" xfId="10467" xr:uid="{00000000-0005-0000-0000-0000B3280000}"/>
    <cellStyle name="Linked Cell 13 7" xfId="10468" xr:uid="{00000000-0005-0000-0000-0000B4280000}"/>
    <cellStyle name="Linked Cell 13 8" xfId="10469" xr:uid="{00000000-0005-0000-0000-0000B5280000}"/>
    <cellStyle name="Linked Cell 13 9" xfId="10470" xr:uid="{00000000-0005-0000-0000-0000B6280000}"/>
    <cellStyle name="Linked Cell 14" xfId="10471" xr:uid="{00000000-0005-0000-0000-0000B7280000}"/>
    <cellStyle name="Linked Cell 14 2" xfId="10472" xr:uid="{00000000-0005-0000-0000-0000B8280000}"/>
    <cellStyle name="Linked Cell 14 3" xfId="10473" xr:uid="{00000000-0005-0000-0000-0000B9280000}"/>
    <cellStyle name="Linked Cell 14 4" xfId="10474" xr:uid="{00000000-0005-0000-0000-0000BA280000}"/>
    <cellStyle name="Linked Cell 14 5" xfId="10475" xr:uid="{00000000-0005-0000-0000-0000BB280000}"/>
    <cellStyle name="Linked Cell 14 6" xfId="10476" xr:uid="{00000000-0005-0000-0000-0000BC280000}"/>
    <cellStyle name="Linked Cell 14 7" xfId="10477" xr:uid="{00000000-0005-0000-0000-0000BD280000}"/>
    <cellStyle name="Linked Cell 14 8" xfId="10478" xr:uid="{00000000-0005-0000-0000-0000BE280000}"/>
    <cellStyle name="Linked Cell 14 9" xfId="10479" xr:uid="{00000000-0005-0000-0000-0000BF280000}"/>
    <cellStyle name="Linked Cell 15" xfId="10480" xr:uid="{00000000-0005-0000-0000-0000C0280000}"/>
    <cellStyle name="Linked Cell 15 2" xfId="10481" xr:uid="{00000000-0005-0000-0000-0000C1280000}"/>
    <cellStyle name="Linked Cell 15 3" xfId="10482" xr:uid="{00000000-0005-0000-0000-0000C2280000}"/>
    <cellStyle name="Linked Cell 15 4" xfId="10483" xr:uid="{00000000-0005-0000-0000-0000C3280000}"/>
    <cellStyle name="Linked Cell 15 5" xfId="10484" xr:uid="{00000000-0005-0000-0000-0000C4280000}"/>
    <cellStyle name="Linked Cell 15 6" xfId="10485" xr:uid="{00000000-0005-0000-0000-0000C5280000}"/>
    <cellStyle name="Linked Cell 15 7" xfId="10486" xr:uid="{00000000-0005-0000-0000-0000C6280000}"/>
    <cellStyle name="Linked Cell 15 8" xfId="10487" xr:uid="{00000000-0005-0000-0000-0000C7280000}"/>
    <cellStyle name="Linked Cell 15 9" xfId="10488" xr:uid="{00000000-0005-0000-0000-0000C8280000}"/>
    <cellStyle name="Linked Cell 16" xfId="10489" xr:uid="{00000000-0005-0000-0000-0000C9280000}"/>
    <cellStyle name="Linked Cell 16 2" xfId="10490" xr:uid="{00000000-0005-0000-0000-0000CA280000}"/>
    <cellStyle name="Linked Cell 16 3" xfId="10491" xr:uid="{00000000-0005-0000-0000-0000CB280000}"/>
    <cellStyle name="Linked Cell 16 4" xfId="10492" xr:uid="{00000000-0005-0000-0000-0000CC280000}"/>
    <cellStyle name="Linked Cell 16 5" xfId="10493" xr:uid="{00000000-0005-0000-0000-0000CD280000}"/>
    <cellStyle name="Linked Cell 16 6" xfId="10494" xr:uid="{00000000-0005-0000-0000-0000CE280000}"/>
    <cellStyle name="Linked Cell 16 7" xfId="10495" xr:uid="{00000000-0005-0000-0000-0000CF280000}"/>
    <cellStyle name="Linked Cell 16 8" xfId="10496" xr:uid="{00000000-0005-0000-0000-0000D0280000}"/>
    <cellStyle name="Linked Cell 16 9" xfId="10497" xr:uid="{00000000-0005-0000-0000-0000D1280000}"/>
    <cellStyle name="Linked Cell 17" xfId="10498" xr:uid="{00000000-0005-0000-0000-0000D2280000}"/>
    <cellStyle name="Linked Cell 17 2" xfId="10499" xr:uid="{00000000-0005-0000-0000-0000D3280000}"/>
    <cellStyle name="Linked Cell 18" xfId="10500" xr:uid="{00000000-0005-0000-0000-0000D4280000}"/>
    <cellStyle name="Linked Cell 18 2" xfId="10501" xr:uid="{00000000-0005-0000-0000-0000D5280000}"/>
    <cellStyle name="Linked Cell 19" xfId="10502" xr:uid="{00000000-0005-0000-0000-0000D6280000}"/>
    <cellStyle name="Linked Cell 19 2" xfId="10503" xr:uid="{00000000-0005-0000-0000-0000D7280000}"/>
    <cellStyle name="Linked Cell 2" xfId="10504" xr:uid="{00000000-0005-0000-0000-0000D8280000}"/>
    <cellStyle name="Linked Cell 2 10" xfId="10505" xr:uid="{00000000-0005-0000-0000-0000D9280000}"/>
    <cellStyle name="Linked Cell 2 10 2" xfId="10506" xr:uid="{00000000-0005-0000-0000-0000DA280000}"/>
    <cellStyle name="Linked Cell 2 11" xfId="10507" xr:uid="{00000000-0005-0000-0000-0000DB280000}"/>
    <cellStyle name="Linked Cell 2 12" xfId="10508" xr:uid="{00000000-0005-0000-0000-0000DC280000}"/>
    <cellStyle name="Linked Cell 2 13" xfId="10509" xr:uid="{00000000-0005-0000-0000-0000DD280000}"/>
    <cellStyle name="Linked Cell 2 2" xfId="10510" xr:uid="{00000000-0005-0000-0000-0000DE280000}"/>
    <cellStyle name="Linked Cell 2 2 2" xfId="10511" xr:uid="{00000000-0005-0000-0000-0000DF280000}"/>
    <cellStyle name="Linked Cell 2 2 3" xfId="10512" xr:uid="{00000000-0005-0000-0000-0000E0280000}"/>
    <cellStyle name="Linked Cell 2 2 4" xfId="10513" xr:uid="{00000000-0005-0000-0000-0000E1280000}"/>
    <cellStyle name="Linked Cell 2 2 5" xfId="10514" xr:uid="{00000000-0005-0000-0000-0000E2280000}"/>
    <cellStyle name="Linked Cell 2 2 6" xfId="10515" xr:uid="{00000000-0005-0000-0000-0000E3280000}"/>
    <cellStyle name="Linked Cell 2 2 7" xfId="10516" xr:uid="{00000000-0005-0000-0000-0000E4280000}"/>
    <cellStyle name="Linked Cell 2 2 8" xfId="10517" xr:uid="{00000000-0005-0000-0000-0000E5280000}"/>
    <cellStyle name="Linked Cell 2 2 9" xfId="10518" xr:uid="{00000000-0005-0000-0000-0000E6280000}"/>
    <cellStyle name="Linked Cell 2 3" xfId="10519" xr:uid="{00000000-0005-0000-0000-0000E7280000}"/>
    <cellStyle name="Linked Cell 2 3 2" xfId="10520" xr:uid="{00000000-0005-0000-0000-0000E8280000}"/>
    <cellStyle name="Linked Cell 2 4" xfId="10521" xr:uid="{00000000-0005-0000-0000-0000E9280000}"/>
    <cellStyle name="Linked Cell 2 4 2" xfId="10522" xr:uid="{00000000-0005-0000-0000-0000EA280000}"/>
    <cellStyle name="Linked Cell 2 5" xfId="10523" xr:uid="{00000000-0005-0000-0000-0000EB280000}"/>
    <cellStyle name="Linked Cell 2 5 2" xfId="10524" xr:uid="{00000000-0005-0000-0000-0000EC280000}"/>
    <cellStyle name="Linked Cell 2 6" xfId="10525" xr:uid="{00000000-0005-0000-0000-0000ED280000}"/>
    <cellStyle name="Linked Cell 2 6 2" xfId="10526" xr:uid="{00000000-0005-0000-0000-0000EE280000}"/>
    <cellStyle name="Linked Cell 2 7" xfId="10527" xr:uid="{00000000-0005-0000-0000-0000EF280000}"/>
    <cellStyle name="Linked Cell 2 7 2" xfId="10528" xr:uid="{00000000-0005-0000-0000-0000F0280000}"/>
    <cellStyle name="Linked Cell 2 8" xfId="10529" xr:uid="{00000000-0005-0000-0000-0000F1280000}"/>
    <cellStyle name="Linked Cell 2 8 2" xfId="10530" xr:uid="{00000000-0005-0000-0000-0000F2280000}"/>
    <cellStyle name="Linked Cell 2 9" xfId="10531" xr:uid="{00000000-0005-0000-0000-0000F3280000}"/>
    <cellStyle name="Linked Cell 2 9 2" xfId="10532" xr:uid="{00000000-0005-0000-0000-0000F4280000}"/>
    <cellStyle name="Linked Cell 2_2012-13 data" xfId="10533" xr:uid="{00000000-0005-0000-0000-0000F5280000}"/>
    <cellStyle name="Linked Cell 20" xfId="10534" xr:uid="{00000000-0005-0000-0000-0000F6280000}"/>
    <cellStyle name="Linked Cell 20 2" xfId="10535" xr:uid="{00000000-0005-0000-0000-0000F7280000}"/>
    <cellStyle name="Linked Cell 21" xfId="10536" xr:uid="{00000000-0005-0000-0000-0000F8280000}"/>
    <cellStyle name="Linked Cell 21 2" xfId="10537" xr:uid="{00000000-0005-0000-0000-0000F9280000}"/>
    <cellStyle name="Linked Cell 22" xfId="10538" xr:uid="{00000000-0005-0000-0000-0000FA280000}"/>
    <cellStyle name="Linked Cell 23" xfId="10539" xr:uid="{00000000-0005-0000-0000-0000FB280000}"/>
    <cellStyle name="Linked Cell 24" xfId="10540" xr:uid="{00000000-0005-0000-0000-0000FC280000}"/>
    <cellStyle name="Linked Cell 25" xfId="10541" xr:uid="{00000000-0005-0000-0000-0000FD280000}"/>
    <cellStyle name="Linked Cell 26" xfId="10542" xr:uid="{00000000-0005-0000-0000-0000FE280000}"/>
    <cellStyle name="Linked Cell 27" xfId="10543" xr:uid="{00000000-0005-0000-0000-0000FF280000}"/>
    <cellStyle name="Linked Cell 28" xfId="10544" xr:uid="{00000000-0005-0000-0000-000000290000}"/>
    <cellStyle name="Linked Cell 29" xfId="10545" xr:uid="{00000000-0005-0000-0000-000001290000}"/>
    <cellStyle name="Linked Cell 3" xfId="10546" xr:uid="{00000000-0005-0000-0000-000002290000}"/>
    <cellStyle name="Linked Cell 3 2" xfId="10547" xr:uid="{00000000-0005-0000-0000-000003290000}"/>
    <cellStyle name="Linked Cell 3 2 2" xfId="10548" xr:uid="{00000000-0005-0000-0000-000004290000}"/>
    <cellStyle name="Linked Cell 3 2 3" xfId="10549" xr:uid="{00000000-0005-0000-0000-000005290000}"/>
    <cellStyle name="Linked Cell 3 2 4" xfId="10550" xr:uid="{00000000-0005-0000-0000-000006290000}"/>
    <cellStyle name="Linked Cell 3 2 5" xfId="10551" xr:uid="{00000000-0005-0000-0000-000007290000}"/>
    <cellStyle name="Linked Cell 3 2 6" xfId="10552" xr:uid="{00000000-0005-0000-0000-000008290000}"/>
    <cellStyle name="Linked Cell 3 2 7" xfId="10553" xr:uid="{00000000-0005-0000-0000-000009290000}"/>
    <cellStyle name="Linked Cell 3 2 8" xfId="10554" xr:uid="{00000000-0005-0000-0000-00000A290000}"/>
    <cellStyle name="Linked Cell 3 2 9" xfId="10555" xr:uid="{00000000-0005-0000-0000-00000B290000}"/>
    <cellStyle name="Linked Cell 3 3" xfId="10556" xr:uid="{00000000-0005-0000-0000-00000C290000}"/>
    <cellStyle name="Linked Cell 3 3 2" xfId="10557" xr:uid="{00000000-0005-0000-0000-00000D290000}"/>
    <cellStyle name="Linked Cell 3 3 3" xfId="10558" xr:uid="{00000000-0005-0000-0000-00000E290000}"/>
    <cellStyle name="Linked Cell 3 4" xfId="10559" xr:uid="{00000000-0005-0000-0000-00000F290000}"/>
    <cellStyle name="Linked Cell 3 5" xfId="10560" xr:uid="{00000000-0005-0000-0000-000010290000}"/>
    <cellStyle name="Linked Cell 3_Ramadugu_ SWGH" xfId="10561" xr:uid="{00000000-0005-0000-0000-000011290000}"/>
    <cellStyle name="Linked Cell 30" xfId="10562" xr:uid="{00000000-0005-0000-0000-000012290000}"/>
    <cellStyle name="Linked Cell 31" xfId="10563" xr:uid="{00000000-0005-0000-0000-000013290000}"/>
    <cellStyle name="Linked Cell 32" xfId="10564" xr:uid="{00000000-0005-0000-0000-000014290000}"/>
    <cellStyle name="Linked Cell 33" xfId="10565" xr:uid="{00000000-0005-0000-0000-000015290000}"/>
    <cellStyle name="Linked Cell 34" xfId="10566" xr:uid="{00000000-0005-0000-0000-000016290000}"/>
    <cellStyle name="Linked Cell 35" xfId="10567" xr:uid="{00000000-0005-0000-0000-000017290000}"/>
    <cellStyle name="Linked Cell 36" xfId="10568" xr:uid="{00000000-0005-0000-0000-000018290000}"/>
    <cellStyle name="Linked Cell 37" xfId="10569" xr:uid="{00000000-0005-0000-0000-000019290000}"/>
    <cellStyle name="Linked Cell 38" xfId="10570" xr:uid="{00000000-0005-0000-0000-00001A290000}"/>
    <cellStyle name="Linked Cell 4" xfId="10571" xr:uid="{00000000-0005-0000-0000-00001B290000}"/>
    <cellStyle name="Linked Cell 4 10" xfId="10572" xr:uid="{00000000-0005-0000-0000-00001C290000}"/>
    <cellStyle name="Linked Cell 4 11" xfId="10573" xr:uid="{00000000-0005-0000-0000-00001D290000}"/>
    <cellStyle name="Linked Cell 4 12" xfId="10574" xr:uid="{00000000-0005-0000-0000-00001E290000}"/>
    <cellStyle name="Linked Cell 4 2" xfId="10575" xr:uid="{00000000-0005-0000-0000-00001F290000}"/>
    <cellStyle name="Linked Cell 4 3" xfId="10576" xr:uid="{00000000-0005-0000-0000-000020290000}"/>
    <cellStyle name="Linked Cell 4 4" xfId="10577" xr:uid="{00000000-0005-0000-0000-000021290000}"/>
    <cellStyle name="Linked Cell 4 5" xfId="10578" xr:uid="{00000000-0005-0000-0000-000022290000}"/>
    <cellStyle name="Linked Cell 4 6" xfId="10579" xr:uid="{00000000-0005-0000-0000-000023290000}"/>
    <cellStyle name="Linked Cell 4 7" xfId="10580" xr:uid="{00000000-0005-0000-0000-000024290000}"/>
    <cellStyle name="Linked Cell 4 8" xfId="10581" xr:uid="{00000000-0005-0000-0000-000025290000}"/>
    <cellStyle name="Linked Cell 4 9" xfId="10582" xr:uid="{00000000-0005-0000-0000-000026290000}"/>
    <cellStyle name="Linked Cell 5" xfId="10583" xr:uid="{00000000-0005-0000-0000-000027290000}"/>
    <cellStyle name="Linked Cell 5 10" xfId="10584" xr:uid="{00000000-0005-0000-0000-000028290000}"/>
    <cellStyle name="Linked Cell 5 11" xfId="10585" xr:uid="{00000000-0005-0000-0000-000029290000}"/>
    <cellStyle name="Linked Cell 5 12" xfId="10586" xr:uid="{00000000-0005-0000-0000-00002A290000}"/>
    <cellStyle name="Linked Cell 5 2" xfId="10587" xr:uid="{00000000-0005-0000-0000-00002B290000}"/>
    <cellStyle name="Linked Cell 5 3" xfId="10588" xr:uid="{00000000-0005-0000-0000-00002C290000}"/>
    <cellStyle name="Linked Cell 5 4" xfId="10589" xr:uid="{00000000-0005-0000-0000-00002D290000}"/>
    <cellStyle name="Linked Cell 5 5" xfId="10590" xr:uid="{00000000-0005-0000-0000-00002E290000}"/>
    <cellStyle name="Linked Cell 5 6" xfId="10591" xr:uid="{00000000-0005-0000-0000-00002F290000}"/>
    <cellStyle name="Linked Cell 5 7" xfId="10592" xr:uid="{00000000-0005-0000-0000-000030290000}"/>
    <cellStyle name="Linked Cell 5 8" xfId="10593" xr:uid="{00000000-0005-0000-0000-000031290000}"/>
    <cellStyle name="Linked Cell 5 9" xfId="10594" xr:uid="{00000000-0005-0000-0000-000032290000}"/>
    <cellStyle name="Linked Cell 6" xfId="10595" xr:uid="{00000000-0005-0000-0000-000033290000}"/>
    <cellStyle name="Linked Cell 6 10" xfId="10596" xr:uid="{00000000-0005-0000-0000-000034290000}"/>
    <cellStyle name="Linked Cell 6 11" xfId="10597" xr:uid="{00000000-0005-0000-0000-000035290000}"/>
    <cellStyle name="Linked Cell 6 12" xfId="10598" xr:uid="{00000000-0005-0000-0000-000036290000}"/>
    <cellStyle name="Linked Cell 6 2" xfId="10599" xr:uid="{00000000-0005-0000-0000-000037290000}"/>
    <cellStyle name="Linked Cell 6 3" xfId="10600" xr:uid="{00000000-0005-0000-0000-000038290000}"/>
    <cellStyle name="Linked Cell 6 4" xfId="10601" xr:uid="{00000000-0005-0000-0000-000039290000}"/>
    <cellStyle name="Linked Cell 6 5" xfId="10602" xr:uid="{00000000-0005-0000-0000-00003A290000}"/>
    <cellStyle name="Linked Cell 6 6" xfId="10603" xr:uid="{00000000-0005-0000-0000-00003B290000}"/>
    <cellStyle name="Linked Cell 6 7" xfId="10604" xr:uid="{00000000-0005-0000-0000-00003C290000}"/>
    <cellStyle name="Linked Cell 6 8" xfId="10605" xr:uid="{00000000-0005-0000-0000-00003D290000}"/>
    <cellStyle name="Linked Cell 6 9" xfId="10606" xr:uid="{00000000-0005-0000-0000-00003E290000}"/>
    <cellStyle name="Linked Cell 7" xfId="10607" xr:uid="{00000000-0005-0000-0000-00003F290000}"/>
    <cellStyle name="Linked Cell 7 10" xfId="10608" xr:uid="{00000000-0005-0000-0000-000040290000}"/>
    <cellStyle name="Linked Cell 7 11" xfId="10609" xr:uid="{00000000-0005-0000-0000-000041290000}"/>
    <cellStyle name="Linked Cell 7 12" xfId="10610" xr:uid="{00000000-0005-0000-0000-000042290000}"/>
    <cellStyle name="Linked Cell 7 2" xfId="10611" xr:uid="{00000000-0005-0000-0000-000043290000}"/>
    <cellStyle name="Linked Cell 7 3" xfId="10612" xr:uid="{00000000-0005-0000-0000-000044290000}"/>
    <cellStyle name="Linked Cell 7 4" xfId="10613" xr:uid="{00000000-0005-0000-0000-000045290000}"/>
    <cellStyle name="Linked Cell 7 5" xfId="10614" xr:uid="{00000000-0005-0000-0000-000046290000}"/>
    <cellStyle name="Linked Cell 7 6" xfId="10615" xr:uid="{00000000-0005-0000-0000-000047290000}"/>
    <cellStyle name="Linked Cell 7 7" xfId="10616" xr:uid="{00000000-0005-0000-0000-000048290000}"/>
    <cellStyle name="Linked Cell 7 8" xfId="10617" xr:uid="{00000000-0005-0000-0000-000049290000}"/>
    <cellStyle name="Linked Cell 7 9" xfId="10618" xr:uid="{00000000-0005-0000-0000-00004A290000}"/>
    <cellStyle name="Linked Cell 8" xfId="10619" xr:uid="{00000000-0005-0000-0000-00004B290000}"/>
    <cellStyle name="Linked Cell 8 2" xfId="10620" xr:uid="{00000000-0005-0000-0000-00004C290000}"/>
    <cellStyle name="Linked Cell 8 3" xfId="10621" xr:uid="{00000000-0005-0000-0000-00004D290000}"/>
    <cellStyle name="Linked Cell 8 4" xfId="10622" xr:uid="{00000000-0005-0000-0000-00004E290000}"/>
    <cellStyle name="Linked Cell 8 5" xfId="10623" xr:uid="{00000000-0005-0000-0000-00004F290000}"/>
    <cellStyle name="Linked Cell 8 6" xfId="10624" xr:uid="{00000000-0005-0000-0000-000050290000}"/>
    <cellStyle name="Linked Cell 8 7" xfId="10625" xr:uid="{00000000-0005-0000-0000-000051290000}"/>
    <cellStyle name="Linked Cell 8 8" xfId="10626" xr:uid="{00000000-0005-0000-0000-000052290000}"/>
    <cellStyle name="Linked Cell 8 9" xfId="10627" xr:uid="{00000000-0005-0000-0000-000053290000}"/>
    <cellStyle name="Linked Cell 9" xfId="10628" xr:uid="{00000000-0005-0000-0000-000054290000}"/>
    <cellStyle name="Linked Cell 9 2" xfId="10629" xr:uid="{00000000-0005-0000-0000-000055290000}"/>
    <cellStyle name="Linked Cell 9 3" xfId="10630" xr:uid="{00000000-0005-0000-0000-000056290000}"/>
    <cellStyle name="Linked Cell 9 4" xfId="10631" xr:uid="{00000000-0005-0000-0000-000057290000}"/>
    <cellStyle name="Linked Cell 9 5" xfId="10632" xr:uid="{00000000-0005-0000-0000-000058290000}"/>
    <cellStyle name="Linked Cell 9 6" xfId="10633" xr:uid="{00000000-0005-0000-0000-000059290000}"/>
    <cellStyle name="Linked Cell 9 7" xfId="10634" xr:uid="{00000000-0005-0000-0000-00005A290000}"/>
    <cellStyle name="Linked Cell 9 8" xfId="10635" xr:uid="{00000000-0005-0000-0000-00005B290000}"/>
    <cellStyle name="Linked Cell 9 9" xfId="10636" xr:uid="{00000000-0005-0000-0000-00005C290000}"/>
    <cellStyle name="Linked Cells" xfId="10637" xr:uid="{00000000-0005-0000-0000-00005D290000}"/>
    <cellStyle name="lm" xfId="10638" xr:uid="{00000000-0005-0000-0000-00005E290000}"/>
    <cellStyle name="M" xfId="10639" xr:uid="{00000000-0005-0000-0000-00005F290000}"/>
    <cellStyle name="M 2" xfId="10640" xr:uid="{00000000-0005-0000-0000-000060290000}"/>
    <cellStyle name="M head" xfId="53" xr:uid="{00000000-0005-0000-0000-000061290000}"/>
    <cellStyle name="M head 2" xfId="10641" xr:uid="{00000000-0005-0000-0000-000062290000}"/>
    <cellStyle name="M head 3" xfId="10642" xr:uid="{00000000-0005-0000-0000-000063290000}"/>
    <cellStyle name="M head 4" xfId="10643" xr:uid="{00000000-0005-0000-0000-000064290000}"/>
    <cellStyle name="M Head 5" xfId="10644" xr:uid="{00000000-0005-0000-0000-000065290000}"/>
    <cellStyle name="M Head 6" xfId="10645" xr:uid="{00000000-0005-0000-0000-000066290000}"/>
    <cellStyle name="M Head 7" xfId="10646" xr:uid="{00000000-0005-0000-0000-000067290000}"/>
    <cellStyle name="M Head 8" xfId="10647" xr:uid="{00000000-0005-0000-0000-000068290000}"/>
    <cellStyle name="M Head 9" xfId="10648" xr:uid="{00000000-0005-0000-0000-000069290000}"/>
    <cellStyle name="M head_Boggula (Mahadev RIAD)" xfId="10649" xr:uid="{00000000-0005-0000-0000-00006A290000}"/>
    <cellStyle name="m/d/yy" xfId="10650" xr:uid="{00000000-0005-0000-0000-00006B290000}"/>
    <cellStyle name="M_004 - May' 08 - Reconcilation" xfId="10651" xr:uid="{00000000-0005-0000-0000-00006C290000}"/>
    <cellStyle name="M_005- June '08- Reconciliation" xfId="10652" xr:uid="{00000000-0005-0000-0000-00006D290000}"/>
    <cellStyle name="M_006- July '08- Reconciliation" xfId="10653" xr:uid="{00000000-0005-0000-0000-00006E290000}"/>
    <cellStyle name="M_22nd RA Bill- March-10 @ Magnolia B L Gupta" xfId="10654" xr:uid="{00000000-0005-0000-0000-00006F290000}"/>
    <cellStyle name="M_adj 15acre Jun08" xfId="10655" xr:uid="{00000000-0005-0000-0000-000070290000}"/>
    <cellStyle name="M_Adj 7B Report June 07- Feb 08" xfId="10656" xr:uid="{00000000-0005-0000-0000-000071290000}"/>
    <cellStyle name="M_adjustment 7A Apr-Oct08" xfId="10657" xr:uid="{00000000-0005-0000-0000-000072290000}"/>
    <cellStyle name="M_Billing New Formet" xfId="10658" xr:uid="{00000000-0005-0000-0000-000073290000}"/>
    <cellStyle name="M_Blank formats annexures -  Cost plus" xfId="10659" xr:uid="{00000000-0005-0000-0000-000074290000}"/>
    <cellStyle name="M_Book1" xfId="10660" xr:uid="{00000000-0005-0000-0000-000075290000}"/>
    <cellStyle name="M_Book1 (39)" xfId="10661" xr:uid="{00000000-0005-0000-0000-000076290000}"/>
    <cellStyle name="M_Book3" xfId="10662" xr:uid="{00000000-0005-0000-0000-000077290000}"/>
    <cellStyle name="M_BOQ" xfId="10663" xr:uid="{00000000-0005-0000-0000-000078290000}"/>
    <cellStyle name="M_Budget &amp; Costing - MICO" xfId="10664" xr:uid="{00000000-0005-0000-0000-000079290000}"/>
    <cellStyle name="M_CONTRACT REVIEW- JASOLA TOWERS-FEB07" xfId="10665" xr:uid="{00000000-0005-0000-0000-00007A290000}"/>
    <cellStyle name="M_Copy of Costing" xfId="10666" xr:uid="{00000000-0005-0000-0000-00007B290000}"/>
    <cellStyle name="M_Copy of Costing_Gurgaon 1 _29.07.04 _ MDS" xfId="10667" xr:uid="{00000000-0005-0000-0000-00007C290000}"/>
    <cellStyle name="M_Copy of Oberoi RA Bill 22 August 0804.09.08 Revised " xfId="10668" xr:uid="{00000000-0005-0000-0000-00007D290000}"/>
    <cellStyle name="M_Copy of Plant  eqpt (2)" xfId="10669" xr:uid="{00000000-0005-0000-0000-00007E290000}"/>
    <cellStyle name="M_Copy of Progress tracker Mar Apr 08" xfId="10670" xr:uid="{00000000-0005-0000-0000-00007F290000}"/>
    <cellStyle name="M_Copy of PSE-IT Noida-r 3" xfId="10671" xr:uid="{00000000-0005-0000-0000-000080290000}"/>
    <cellStyle name="M_Copy of Transferable Material VAT Liablity - SBM Homes (Sep-2010) (2) (2)" xfId="10672" xr:uid="{00000000-0005-0000-0000-000081290000}"/>
    <cellStyle name="M_Costing - ITC Main Revised Qty- 11.01_ ITC Main" xfId="10673" xr:uid="{00000000-0005-0000-0000-000082290000}"/>
    <cellStyle name="M_Costing - MBD Books-20.12" xfId="10674" xr:uid="{00000000-0005-0000-0000-000083290000}"/>
    <cellStyle name="M_Costing_Birla Sugar_9.4.05" xfId="10675" xr:uid="{00000000-0005-0000-0000-000084290000}"/>
    <cellStyle name="M_Costing_District Court" xfId="10676" xr:uid="{00000000-0005-0000-0000-000085290000}"/>
    <cellStyle name="M_Costing_Hero Honda_Haridwar" xfId="10677" xr:uid="{00000000-0005-0000-0000-000086290000}"/>
    <cellStyle name="M_Costing_Indian Chancery_4.06.06" xfId="10678" xr:uid="{00000000-0005-0000-0000-000087290000}"/>
    <cellStyle name="M_Costing_Inst. Bld-Emirates Group-Noida-13.06.06" xfId="10679" xr:uid="{00000000-0005-0000-0000-000088290000}"/>
    <cellStyle name="M_Costing_Nicholas_21.12.04" xfId="10680" xr:uid="{00000000-0005-0000-0000-000089290000}"/>
    <cellStyle name="M_Disallowed Cost 200309" xfId="10681" xr:uid="{00000000-0005-0000-0000-00008A290000}"/>
    <cellStyle name="M_Disallowed cost MOI" xfId="10682" xr:uid="{00000000-0005-0000-0000-00008B290000}"/>
    <cellStyle name="M_DLF Agrrement _ Formats _10A" xfId="10683" xr:uid="{00000000-0005-0000-0000-00008C290000}"/>
    <cellStyle name="M_DLF Capital Greens -Consolidated Finishes BOQ Phase I " xfId="10684" xr:uid="{00000000-0005-0000-0000-00008D290000}"/>
    <cellStyle name="M_DLF Capital Greens -Consolidated Finishes BOQ Phase II " xfId="10685" xr:uid="{00000000-0005-0000-0000-00008E290000}"/>
    <cellStyle name="M_DLF Cyber Tower _02.06.05 l" xfId="10686" xr:uid="{00000000-0005-0000-0000-00008F290000}"/>
    <cellStyle name="M_Drawing Release Schedule" xfId="10687" xr:uid="{00000000-0005-0000-0000-000090290000}"/>
    <cellStyle name="M_drawings Register" xfId="10688" xr:uid="{00000000-0005-0000-0000-000091290000}"/>
    <cellStyle name="M_drawings Register as on 01-12-08" xfId="10689" xr:uid="{00000000-0005-0000-0000-000092290000}"/>
    <cellStyle name="M_drawings Register as on 040409" xfId="10690" xr:uid="{00000000-0005-0000-0000-000093290000}"/>
    <cellStyle name="M_drawings Register as on 040909" xfId="10691" xr:uid="{00000000-0005-0000-0000-000094290000}"/>
    <cellStyle name="M_drawings Register as on 240409" xfId="10692" xr:uid="{00000000-0005-0000-0000-000095290000}"/>
    <cellStyle name="M_drawings Register as on 240909" xfId="10693" xr:uid="{00000000-0005-0000-0000-000096290000}"/>
    <cellStyle name="M_drawings Register as on 28-1-09" xfId="10694" xr:uid="{00000000-0005-0000-0000-000097290000}"/>
    <cellStyle name="M_drawings Register as on 300609" xfId="10695" xr:uid="{00000000-0005-0000-0000-000098290000}"/>
    <cellStyle name="M_drawings Register as on 310709" xfId="10696" xr:uid="{00000000-0005-0000-0000-000099290000}"/>
    <cellStyle name="M_drawings Register as on02-3-09" xfId="10697" xr:uid="{00000000-0005-0000-0000-00009A290000}"/>
    <cellStyle name="M_Final Report-JUne 07" xfId="10698" xr:uid="{00000000-0005-0000-0000-00009B290000}"/>
    <cellStyle name="M_Final Summary IT HYderabad June 08" xfId="10699" xr:uid="{00000000-0005-0000-0000-00009C290000}"/>
    <cellStyle name="M_form" xfId="10700" xr:uid="{00000000-0005-0000-0000-00009D290000}"/>
    <cellStyle name="M_IRS-Civil" xfId="10701" xr:uid="{00000000-0005-0000-0000-00009E290000}"/>
    <cellStyle name="M_IRS-Civil (4)" xfId="10702" xr:uid="{00000000-0005-0000-0000-00009F290000}"/>
    <cellStyle name="M_it noida_budget_draft_200506" xfId="10703" xr:uid="{00000000-0005-0000-0000-0000A0290000}"/>
    <cellStyle name="M_IT PARK GACHIBOWLI_P &amp; M HIRE CHARGES" xfId="10704" xr:uid="{00000000-0005-0000-0000-0000A1290000}"/>
    <cellStyle name="M_Item Rate Bill RA-10 March 11 (Homes)" xfId="10705" xr:uid="{00000000-0005-0000-0000-0000A2290000}"/>
    <cellStyle name="M_ITN AUG MPR" xfId="10706" xr:uid="{00000000-0005-0000-0000-0000A3290000}"/>
    <cellStyle name="M_Jasola Recon April-08" xfId="10707" xr:uid="{00000000-0005-0000-0000-0000A4290000}"/>
    <cellStyle name="M_Jasola Recon Feb-07" xfId="10708" xr:uid="{00000000-0005-0000-0000-0000A5290000}"/>
    <cellStyle name="M_kks" xfId="10709" xr:uid="{00000000-0005-0000-0000-0000A6290000}"/>
    <cellStyle name="m_Macros" xfId="10710" xr:uid="{00000000-0005-0000-0000-0000A7290000}"/>
    <cellStyle name="M_Major quantities _Inst. Bld-Emirates Group-Noida" xfId="10711" xr:uid="{00000000-0005-0000-0000-0000A8290000}"/>
    <cellStyle name="M_Major quantities_Hero Honda_Haridwar" xfId="10712" xr:uid="{00000000-0005-0000-0000-0000A9290000}"/>
    <cellStyle name="m_Manager" xfId="10713" xr:uid="{00000000-0005-0000-0000-0000AA290000}"/>
    <cellStyle name="M_Material Reco (SBM Homes)" xfId="10714" xr:uid="{00000000-0005-0000-0000-0000AB290000}"/>
    <cellStyle name="M_Material Reco May-2011 (SBM Homes)" xfId="10715" xr:uid="{00000000-0005-0000-0000-0000AC290000}"/>
    <cellStyle name="M_May Photos" xfId="10716" xr:uid="{00000000-0005-0000-0000-0000AD290000}"/>
    <cellStyle name="M_medicity_26.09.05 _ MDS" xfId="10717" xr:uid="{00000000-0005-0000-0000-0000AE290000}"/>
    <cellStyle name="M_Monthwise Idling cost - Magnolias (rev 2)" xfId="10718" xr:uid="{00000000-0005-0000-0000-0000AF290000}"/>
    <cellStyle name="M_MPR Jan 2009" xfId="10719" xr:uid="{00000000-0005-0000-0000-0000B0290000}"/>
    <cellStyle name="M_MPR OCT" xfId="10720" xr:uid="{00000000-0005-0000-0000-0000B1290000}"/>
    <cellStyle name="M_MPR_July_08" xfId="10721" xr:uid="{00000000-0005-0000-0000-0000B2290000}"/>
    <cellStyle name="M_MPR1 as per June'08" xfId="10722" xr:uid="{00000000-0005-0000-0000-0000B3290000}"/>
    <cellStyle name="M_Noida Mall Cost Audit Reply Mar 08 090608" xfId="10723" xr:uid="{00000000-0005-0000-0000-0000B4290000}"/>
    <cellStyle name="M_Oberoi RA Bill 23 Sept 08 061008" xfId="10724" xr:uid="{00000000-0005-0000-0000-0000B5290000}"/>
    <cellStyle name="M_Org Chart" xfId="10725" xr:uid="{00000000-0005-0000-0000-0000B6290000}"/>
    <cellStyle name="M_P &amp; M STAFF" xfId="10726" xr:uid="{00000000-0005-0000-0000-0000B7290000}"/>
    <cellStyle name="M_P&amp;E Trail_1" xfId="10727" xr:uid="{00000000-0005-0000-0000-0000B8290000}"/>
    <cellStyle name="M_Pogress tracker June 08" xfId="10728" xr:uid="{00000000-0005-0000-0000-0000B9290000}"/>
    <cellStyle name="M_Pogress tracker May 08" xfId="10729" xr:uid="{00000000-0005-0000-0000-0000BA290000}"/>
    <cellStyle name="M_PresentationCONTRACT REVIEW" xfId="10730" xr:uid="{00000000-0005-0000-0000-0000BB290000}"/>
    <cellStyle name="M_Programme_Vytilla_DLF Riverside" xfId="10731" xr:uid="{00000000-0005-0000-0000-0000BC290000}"/>
    <cellStyle name="M_PSE-IT Noida-r 3" xfId="10732" xr:uid="{00000000-0005-0000-0000-0000BD290000}"/>
    <cellStyle name="M_R F I  LOG" xfId="10733" xr:uid="{00000000-0005-0000-0000-0000BE290000}"/>
    <cellStyle name="M_Rate Ana " xfId="10734" xr:uid="{00000000-0005-0000-0000-0000BF290000}"/>
    <cellStyle name="M_RATE ANALYSIS_Sample" xfId="10735" xr:uid="{00000000-0005-0000-0000-0000C0290000}"/>
    <cellStyle name="M_Reconciliation for May '08" xfId="10736" xr:uid="{00000000-0005-0000-0000-0000C1290000}"/>
    <cellStyle name="M_reconcillation upto sep-08" xfId="10737" xr:uid="{00000000-0005-0000-0000-0000C2290000}"/>
    <cellStyle name="M_Register" xfId="10738" xr:uid="{00000000-0005-0000-0000-0000C3290000}"/>
    <cellStyle name="M_Res-Item Rate Analysis-r2_ RAP4" xfId="10739" xr:uid="{00000000-0005-0000-0000-0000C4290000}"/>
    <cellStyle name="M_Res-Item Rate Analysis-r2_Tapan" xfId="10740" xr:uid="{00000000-0005-0000-0000-0000C5290000}"/>
    <cellStyle name="M_SBM School 6th RA Bill 09 Feb-10 Rev" xfId="10741" xr:uid="{00000000-0005-0000-0000-0000C6290000}"/>
    <cellStyle name="M_SBM School 8th RA Bill-April-10" xfId="10742" xr:uid="{00000000-0005-0000-0000-0000C7290000}"/>
    <cellStyle name="M_SBM School Final Bill-(10-05 to12-2010)" xfId="10743" xr:uid="{00000000-0005-0000-0000-0000C8290000}"/>
    <cellStyle name="M_SCOPE OF WORK STR-FIN-SPCL-CONTRACT" xfId="10744" xr:uid="{00000000-0005-0000-0000-0000C9290000}"/>
    <cellStyle name="M_Sheet1" xfId="10745" xr:uid="{00000000-0005-0000-0000-0000CA290000}"/>
    <cellStyle name="M_Submitted_27.10.05" xfId="10746" xr:uid="{00000000-0005-0000-0000-0000CB290000}"/>
    <cellStyle name="M_Summary 15 acre Final" xfId="10747" xr:uid="{00000000-0005-0000-0000-0000CC290000}"/>
    <cellStyle name="M_Transferable Material VAT Liablity - SBM Homes (Sep-2010)" xfId="10748" xr:uid="{00000000-0005-0000-0000-0000CD290000}"/>
    <cellStyle name="M_Vytilla-Cochin" xfId="10749" xr:uid="{00000000-0005-0000-0000-0000CE290000}"/>
    <cellStyle name="M_Working_Submitted" xfId="10750" xr:uid="{00000000-0005-0000-0000-0000CF290000}"/>
    <cellStyle name="M_WPR 21 to 27 Jan '08" xfId="10751" xr:uid="{00000000-0005-0000-0000-0000D0290000}"/>
    <cellStyle name="M_WPR 28th Jan 08 to 03rd Feb '08" xfId="10752" xr:uid="{00000000-0005-0000-0000-0000D1290000}"/>
    <cellStyle name="M_WPR- DLF INFOCITY CHENNAI - 13.08.07 TO 19.08.07" xfId="10753" xr:uid="{00000000-0005-0000-0000-0000D2290000}"/>
    <cellStyle name="M_WPR_25th Aug_to_31st Aug_08" xfId="10754" xr:uid="{00000000-0005-0000-0000-0000D3290000}"/>
    <cellStyle name="M_WPR_31st_Mar_to_5th_Apr_08" xfId="10755" xr:uid="{00000000-0005-0000-0000-0000D4290000}"/>
    <cellStyle name="M_Z-Labour Camp Detail" xfId="10756" xr:uid="{00000000-0005-0000-0000-0000D5290000}"/>
    <cellStyle name="M-0" xfId="10757" xr:uid="{00000000-0005-0000-0000-0000D6290000}"/>
    <cellStyle name="M-0 2" xfId="10758" xr:uid="{00000000-0005-0000-0000-0000D7290000}"/>
    <cellStyle name="M-0_DLF Capital Greens -Consolidated Finishes BOQ Phase II " xfId="10759" xr:uid="{00000000-0005-0000-0000-0000D8290000}"/>
    <cellStyle name="MacroCode" xfId="10760" xr:uid="{00000000-0005-0000-0000-0000D9290000}"/>
    <cellStyle name="Main Heading" xfId="10761" xr:uid="{00000000-0005-0000-0000-0000DA290000}"/>
    <cellStyle name="MainDescription" xfId="10762" xr:uid="{00000000-0005-0000-0000-0000DB290000}"/>
    <cellStyle name="Major Total" xfId="10763" xr:uid="{00000000-0005-0000-0000-0000DC290000}"/>
    <cellStyle name="MANKAD" xfId="54" xr:uid="{00000000-0005-0000-0000-0000DD290000}"/>
    <cellStyle name="MANKAD 2" xfId="10764" xr:uid="{00000000-0005-0000-0000-0000DE290000}"/>
    <cellStyle name="MANKAD 2 2" xfId="10765" xr:uid="{00000000-0005-0000-0000-0000DF290000}"/>
    <cellStyle name="MANKAD 2 3" xfId="10766" xr:uid="{00000000-0005-0000-0000-0000E0290000}"/>
    <cellStyle name="MANKAD 3" xfId="10767" xr:uid="{00000000-0005-0000-0000-0000E1290000}"/>
    <cellStyle name="MANKAD 4" xfId="10768" xr:uid="{00000000-0005-0000-0000-0000E2290000}"/>
    <cellStyle name="MANKAD 5" xfId="10769" xr:uid="{00000000-0005-0000-0000-0000E3290000}"/>
    <cellStyle name="MANKAD_AH Mancherial Estimate" xfId="10770" xr:uid="{00000000-0005-0000-0000-0000E4290000}"/>
    <cellStyle name="Marge" xfId="10771" xr:uid="{00000000-0005-0000-0000-0000E5290000}"/>
    <cellStyle name="Measure" xfId="10772" xr:uid="{00000000-0005-0000-0000-0000E6290000}"/>
    <cellStyle name="Measure 2" xfId="10773" xr:uid="{00000000-0005-0000-0000-0000E7290000}"/>
    <cellStyle name="Microsoft Excel found an error in the formula you entered. Do you want to accept the correction proposed below?_x000a__x000a_|_x000a__x000a_• To accept the correction, click Yes._x000a_• To close this message and correct the formula yourself, click No." xfId="10774" xr:uid="{00000000-0005-0000-0000-0000E8290000}"/>
    <cellStyle name="MidTotal" xfId="10775" xr:uid="{00000000-0005-0000-0000-0000E9290000}"/>
    <cellStyle name="MidTotal 2" xfId="10776" xr:uid="{00000000-0005-0000-0000-0000EA290000}"/>
    <cellStyle name="Migliaia (0)_Camera matrimoniale (3) megaros" xfId="10777" xr:uid="{00000000-0005-0000-0000-0000EB290000}"/>
    <cellStyle name="Migliaia_cross border" xfId="10778" xr:uid="{00000000-0005-0000-0000-0000EC290000}"/>
    <cellStyle name="Mike" xfId="10779" xr:uid="{00000000-0005-0000-0000-0000ED290000}"/>
    <cellStyle name="mike1" xfId="10780" xr:uid="{00000000-0005-0000-0000-0000EE290000}"/>
    <cellStyle name="mike2" xfId="10781" xr:uid="{00000000-0005-0000-0000-0000EF290000}"/>
    <cellStyle name="mil" xfId="10782" xr:uid="{00000000-0005-0000-0000-0000F0290000}"/>
    <cellStyle name="Millares [0]_2AV_M_M " xfId="10783" xr:uid="{00000000-0005-0000-0000-0000F1290000}"/>
    <cellStyle name="Millares_2AV_M_M " xfId="10784" xr:uid="{00000000-0005-0000-0000-0000F2290000}"/>
    <cellStyle name="Milliers [0]_!!!GO" xfId="10785" xr:uid="{00000000-0005-0000-0000-0000F3290000}"/>
    <cellStyle name="Milliers_!!!GO" xfId="10786" xr:uid="{00000000-0005-0000-0000-0000F4290000}"/>
    <cellStyle name="Minor Head" xfId="10787" xr:uid="{00000000-0005-0000-0000-0000F5290000}"/>
    <cellStyle name="Minor Head 2" xfId="10788" xr:uid="{00000000-0005-0000-0000-0000F6290000}"/>
    <cellStyle name="Minor Head 3" xfId="10789" xr:uid="{00000000-0005-0000-0000-0000F7290000}"/>
    <cellStyle name="m-o" xfId="10790" xr:uid="{00000000-0005-0000-0000-0000F8290000}"/>
    <cellStyle name="m-o 2" xfId="10791" xr:uid="{00000000-0005-0000-0000-0000F9290000}"/>
    <cellStyle name="m-o_DLF Capital Greens -Consolidated Finishes BOQ Phase II " xfId="10792" xr:uid="{00000000-0005-0000-0000-0000FA290000}"/>
    <cellStyle name="Model" xfId="10793" xr:uid="{00000000-0005-0000-0000-0000FB290000}"/>
    <cellStyle name="Moeda [0]_Bow_Acq" xfId="10794" xr:uid="{00000000-0005-0000-0000-0000FC290000}"/>
    <cellStyle name="Moeda_Bow_Acq" xfId="10795" xr:uid="{00000000-0005-0000-0000-0000FD290000}"/>
    <cellStyle name="Moneda [0]_2AV_M_M" xfId="10796" xr:uid="{00000000-0005-0000-0000-0000FE290000}"/>
    <cellStyle name="Moneda_2AV_M_M " xfId="10797" xr:uid="{00000000-0005-0000-0000-0000FF290000}"/>
    <cellStyle name="Monétaire [0]_!!!GO" xfId="10798" xr:uid="{00000000-0005-0000-0000-0000002A0000}"/>
    <cellStyle name="Monétaire_!!!GO" xfId="10799" xr:uid="{00000000-0005-0000-0000-0000012A0000}"/>
    <cellStyle name="Monétaire0" xfId="10800" xr:uid="{00000000-0005-0000-0000-0000022A0000}"/>
    <cellStyle name="MS_Arabic" xfId="10801" xr:uid="{00000000-0005-0000-0000-0000032A0000}"/>
    <cellStyle name="mult" xfId="10802" xr:uid="{00000000-0005-0000-0000-0000042A0000}"/>
    <cellStyle name="Multiple" xfId="10803" xr:uid="{00000000-0005-0000-0000-0000052A0000}"/>
    <cellStyle name="Multiple [0]" xfId="10804" xr:uid="{00000000-0005-0000-0000-0000062A0000}"/>
    <cellStyle name="Multiple [1]" xfId="10805" xr:uid="{00000000-0005-0000-0000-0000072A0000}"/>
    <cellStyle name="Multiple_~0205992" xfId="10806" xr:uid="{00000000-0005-0000-0000-0000082A0000}"/>
    <cellStyle name="MultipleBelow" xfId="10807" xr:uid="{00000000-0005-0000-0000-0000092A0000}"/>
    <cellStyle name="multiples" xfId="10808" xr:uid="{00000000-0005-0000-0000-00000A2A0000}"/>
    <cellStyle name="multipoles" xfId="10809" xr:uid="{00000000-0005-0000-0000-00000B2A0000}"/>
    <cellStyle name="n" xfId="10810" xr:uid="{00000000-0005-0000-0000-00000C2A0000}"/>
    <cellStyle name="n 2" xfId="10811" xr:uid="{00000000-0005-0000-0000-00000D2A0000}"/>
    <cellStyle name="n2" xfId="10812" xr:uid="{00000000-0005-0000-0000-00000E2A0000}"/>
    <cellStyle name="NA is zero" xfId="10813" xr:uid="{00000000-0005-0000-0000-00000F2A0000}"/>
    <cellStyle name="Neutral" xfId="55" builtinId="28" customBuiltin="1"/>
    <cellStyle name="Neutral 10" xfId="10814" xr:uid="{00000000-0005-0000-0000-0000112A0000}"/>
    <cellStyle name="Neutral 10 2" xfId="10815" xr:uid="{00000000-0005-0000-0000-0000122A0000}"/>
    <cellStyle name="Neutral 10 3" xfId="10816" xr:uid="{00000000-0005-0000-0000-0000132A0000}"/>
    <cellStyle name="Neutral 10 4" xfId="10817" xr:uid="{00000000-0005-0000-0000-0000142A0000}"/>
    <cellStyle name="Neutral 10 5" xfId="10818" xr:uid="{00000000-0005-0000-0000-0000152A0000}"/>
    <cellStyle name="Neutral 10 6" xfId="10819" xr:uid="{00000000-0005-0000-0000-0000162A0000}"/>
    <cellStyle name="Neutral 10 7" xfId="10820" xr:uid="{00000000-0005-0000-0000-0000172A0000}"/>
    <cellStyle name="Neutral 10 8" xfId="10821" xr:uid="{00000000-0005-0000-0000-0000182A0000}"/>
    <cellStyle name="Neutral 10 9" xfId="10822" xr:uid="{00000000-0005-0000-0000-0000192A0000}"/>
    <cellStyle name="Neutral 11" xfId="10823" xr:uid="{00000000-0005-0000-0000-00001A2A0000}"/>
    <cellStyle name="Neutral 11 2" xfId="10824" xr:uid="{00000000-0005-0000-0000-00001B2A0000}"/>
    <cellStyle name="Neutral 11 3" xfId="10825" xr:uid="{00000000-0005-0000-0000-00001C2A0000}"/>
    <cellStyle name="Neutral 11 4" xfId="10826" xr:uid="{00000000-0005-0000-0000-00001D2A0000}"/>
    <cellStyle name="Neutral 11 5" xfId="10827" xr:uid="{00000000-0005-0000-0000-00001E2A0000}"/>
    <cellStyle name="Neutral 11 6" xfId="10828" xr:uid="{00000000-0005-0000-0000-00001F2A0000}"/>
    <cellStyle name="Neutral 11 7" xfId="10829" xr:uid="{00000000-0005-0000-0000-0000202A0000}"/>
    <cellStyle name="Neutral 11 8" xfId="10830" xr:uid="{00000000-0005-0000-0000-0000212A0000}"/>
    <cellStyle name="Neutral 11 9" xfId="10831" xr:uid="{00000000-0005-0000-0000-0000222A0000}"/>
    <cellStyle name="Neutral 12" xfId="10832" xr:uid="{00000000-0005-0000-0000-0000232A0000}"/>
    <cellStyle name="Neutral 12 2" xfId="10833" xr:uid="{00000000-0005-0000-0000-0000242A0000}"/>
    <cellStyle name="Neutral 12 3" xfId="10834" xr:uid="{00000000-0005-0000-0000-0000252A0000}"/>
    <cellStyle name="Neutral 12 4" xfId="10835" xr:uid="{00000000-0005-0000-0000-0000262A0000}"/>
    <cellStyle name="Neutral 12 5" xfId="10836" xr:uid="{00000000-0005-0000-0000-0000272A0000}"/>
    <cellStyle name="Neutral 12 6" xfId="10837" xr:uid="{00000000-0005-0000-0000-0000282A0000}"/>
    <cellStyle name="Neutral 12 7" xfId="10838" xr:uid="{00000000-0005-0000-0000-0000292A0000}"/>
    <cellStyle name="Neutral 12 8" xfId="10839" xr:uid="{00000000-0005-0000-0000-00002A2A0000}"/>
    <cellStyle name="Neutral 12 9" xfId="10840" xr:uid="{00000000-0005-0000-0000-00002B2A0000}"/>
    <cellStyle name="Neutral 13" xfId="10841" xr:uid="{00000000-0005-0000-0000-00002C2A0000}"/>
    <cellStyle name="Neutral 13 2" xfId="10842" xr:uid="{00000000-0005-0000-0000-00002D2A0000}"/>
    <cellStyle name="Neutral 13 3" xfId="10843" xr:uid="{00000000-0005-0000-0000-00002E2A0000}"/>
    <cellStyle name="Neutral 13 4" xfId="10844" xr:uid="{00000000-0005-0000-0000-00002F2A0000}"/>
    <cellStyle name="Neutral 13 5" xfId="10845" xr:uid="{00000000-0005-0000-0000-0000302A0000}"/>
    <cellStyle name="Neutral 13 6" xfId="10846" xr:uid="{00000000-0005-0000-0000-0000312A0000}"/>
    <cellStyle name="Neutral 13 7" xfId="10847" xr:uid="{00000000-0005-0000-0000-0000322A0000}"/>
    <cellStyle name="Neutral 13 8" xfId="10848" xr:uid="{00000000-0005-0000-0000-0000332A0000}"/>
    <cellStyle name="Neutral 13 9" xfId="10849" xr:uid="{00000000-0005-0000-0000-0000342A0000}"/>
    <cellStyle name="Neutral 14" xfId="10850" xr:uid="{00000000-0005-0000-0000-0000352A0000}"/>
    <cellStyle name="Neutral 14 2" xfId="10851" xr:uid="{00000000-0005-0000-0000-0000362A0000}"/>
    <cellStyle name="Neutral 14 3" xfId="10852" xr:uid="{00000000-0005-0000-0000-0000372A0000}"/>
    <cellStyle name="Neutral 14 4" xfId="10853" xr:uid="{00000000-0005-0000-0000-0000382A0000}"/>
    <cellStyle name="Neutral 14 5" xfId="10854" xr:uid="{00000000-0005-0000-0000-0000392A0000}"/>
    <cellStyle name="Neutral 14 6" xfId="10855" xr:uid="{00000000-0005-0000-0000-00003A2A0000}"/>
    <cellStyle name="Neutral 14 7" xfId="10856" xr:uid="{00000000-0005-0000-0000-00003B2A0000}"/>
    <cellStyle name="Neutral 14 8" xfId="10857" xr:uid="{00000000-0005-0000-0000-00003C2A0000}"/>
    <cellStyle name="Neutral 14 9" xfId="10858" xr:uid="{00000000-0005-0000-0000-00003D2A0000}"/>
    <cellStyle name="Neutral 15" xfId="10859" xr:uid="{00000000-0005-0000-0000-00003E2A0000}"/>
    <cellStyle name="Neutral 15 2" xfId="10860" xr:uid="{00000000-0005-0000-0000-00003F2A0000}"/>
    <cellStyle name="Neutral 15 3" xfId="10861" xr:uid="{00000000-0005-0000-0000-0000402A0000}"/>
    <cellStyle name="Neutral 15 4" xfId="10862" xr:uid="{00000000-0005-0000-0000-0000412A0000}"/>
    <cellStyle name="Neutral 15 5" xfId="10863" xr:uid="{00000000-0005-0000-0000-0000422A0000}"/>
    <cellStyle name="Neutral 15 6" xfId="10864" xr:uid="{00000000-0005-0000-0000-0000432A0000}"/>
    <cellStyle name="Neutral 15 7" xfId="10865" xr:uid="{00000000-0005-0000-0000-0000442A0000}"/>
    <cellStyle name="Neutral 15 8" xfId="10866" xr:uid="{00000000-0005-0000-0000-0000452A0000}"/>
    <cellStyle name="Neutral 15 9" xfId="10867" xr:uid="{00000000-0005-0000-0000-0000462A0000}"/>
    <cellStyle name="Neutral 16" xfId="10868" xr:uid="{00000000-0005-0000-0000-0000472A0000}"/>
    <cellStyle name="Neutral 16 2" xfId="10869" xr:uid="{00000000-0005-0000-0000-0000482A0000}"/>
    <cellStyle name="Neutral 16 3" xfId="10870" xr:uid="{00000000-0005-0000-0000-0000492A0000}"/>
    <cellStyle name="Neutral 16 4" xfId="10871" xr:uid="{00000000-0005-0000-0000-00004A2A0000}"/>
    <cellStyle name="Neutral 16 5" xfId="10872" xr:uid="{00000000-0005-0000-0000-00004B2A0000}"/>
    <cellStyle name="Neutral 16 6" xfId="10873" xr:uid="{00000000-0005-0000-0000-00004C2A0000}"/>
    <cellStyle name="Neutral 16 7" xfId="10874" xr:uid="{00000000-0005-0000-0000-00004D2A0000}"/>
    <cellStyle name="Neutral 16 8" xfId="10875" xr:uid="{00000000-0005-0000-0000-00004E2A0000}"/>
    <cellStyle name="Neutral 16 9" xfId="10876" xr:uid="{00000000-0005-0000-0000-00004F2A0000}"/>
    <cellStyle name="Neutral 17" xfId="10877" xr:uid="{00000000-0005-0000-0000-0000502A0000}"/>
    <cellStyle name="Neutral 17 2" xfId="10878" xr:uid="{00000000-0005-0000-0000-0000512A0000}"/>
    <cellStyle name="Neutral 18" xfId="10879" xr:uid="{00000000-0005-0000-0000-0000522A0000}"/>
    <cellStyle name="Neutral 18 2" xfId="10880" xr:uid="{00000000-0005-0000-0000-0000532A0000}"/>
    <cellStyle name="Neutral 19" xfId="10881" xr:uid="{00000000-0005-0000-0000-0000542A0000}"/>
    <cellStyle name="Neutral 19 2" xfId="10882" xr:uid="{00000000-0005-0000-0000-0000552A0000}"/>
    <cellStyle name="Neutral 2" xfId="10883" xr:uid="{00000000-0005-0000-0000-0000562A0000}"/>
    <cellStyle name="Neutral 2 10" xfId="10884" xr:uid="{00000000-0005-0000-0000-0000572A0000}"/>
    <cellStyle name="Neutral 2 10 2" xfId="10885" xr:uid="{00000000-0005-0000-0000-0000582A0000}"/>
    <cellStyle name="Neutral 2 11" xfId="10886" xr:uid="{00000000-0005-0000-0000-0000592A0000}"/>
    <cellStyle name="Neutral 2 12" xfId="10887" xr:uid="{00000000-0005-0000-0000-00005A2A0000}"/>
    <cellStyle name="Neutral 2 13" xfId="10888" xr:uid="{00000000-0005-0000-0000-00005B2A0000}"/>
    <cellStyle name="Neutral 2 2" xfId="10889" xr:uid="{00000000-0005-0000-0000-00005C2A0000}"/>
    <cellStyle name="Neutral 2 2 2" xfId="10890" xr:uid="{00000000-0005-0000-0000-00005D2A0000}"/>
    <cellStyle name="Neutral 2 2 3" xfId="10891" xr:uid="{00000000-0005-0000-0000-00005E2A0000}"/>
    <cellStyle name="Neutral 2 2 4" xfId="10892" xr:uid="{00000000-0005-0000-0000-00005F2A0000}"/>
    <cellStyle name="Neutral 2 2 5" xfId="10893" xr:uid="{00000000-0005-0000-0000-0000602A0000}"/>
    <cellStyle name="Neutral 2 2 6" xfId="10894" xr:uid="{00000000-0005-0000-0000-0000612A0000}"/>
    <cellStyle name="Neutral 2 2 7" xfId="10895" xr:uid="{00000000-0005-0000-0000-0000622A0000}"/>
    <cellStyle name="Neutral 2 2 8" xfId="10896" xr:uid="{00000000-0005-0000-0000-0000632A0000}"/>
    <cellStyle name="Neutral 2 2 9" xfId="10897" xr:uid="{00000000-0005-0000-0000-0000642A0000}"/>
    <cellStyle name="Neutral 2 3" xfId="10898" xr:uid="{00000000-0005-0000-0000-0000652A0000}"/>
    <cellStyle name="Neutral 2 3 2" xfId="10899" xr:uid="{00000000-0005-0000-0000-0000662A0000}"/>
    <cellStyle name="Neutral 2 4" xfId="10900" xr:uid="{00000000-0005-0000-0000-0000672A0000}"/>
    <cellStyle name="Neutral 2 4 2" xfId="10901" xr:uid="{00000000-0005-0000-0000-0000682A0000}"/>
    <cellStyle name="Neutral 2 5" xfId="10902" xr:uid="{00000000-0005-0000-0000-0000692A0000}"/>
    <cellStyle name="Neutral 2 5 2" xfId="10903" xr:uid="{00000000-0005-0000-0000-00006A2A0000}"/>
    <cellStyle name="Neutral 2 6" xfId="10904" xr:uid="{00000000-0005-0000-0000-00006B2A0000}"/>
    <cellStyle name="Neutral 2 6 2" xfId="10905" xr:uid="{00000000-0005-0000-0000-00006C2A0000}"/>
    <cellStyle name="Neutral 2 7" xfId="10906" xr:uid="{00000000-0005-0000-0000-00006D2A0000}"/>
    <cellStyle name="Neutral 2 7 2" xfId="10907" xr:uid="{00000000-0005-0000-0000-00006E2A0000}"/>
    <cellStyle name="Neutral 2 8" xfId="10908" xr:uid="{00000000-0005-0000-0000-00006F2A0000}"/>
    <cellStyle name="Neutral 2 8 2" xfId="10909" xr:uid="{00000000-0005-0000-0000-0000702A0000}"/>
    <cellStyle name="Neutral 2 9" xfId="10910" xr:uid="{00000000-0005-0000-0000-0000712A0000}"/>
    <cellStyle name="Neutral 2 9 2" xfId="10911" xr:uid="{00000000-0005-0000-0000-0000722A0000}"/>
    <cellStyle name="Neutral 2_Block-F LGF POur-II BBS" xfId="10912" xr:uid="{00000000-0005-0000-0000-0000732A0000}"/>
    <cellStyle name="Neutral 20" xfId="10913" xr:uid="{00000000-0005-0000-0000-0000742A0000}"/>
    <cellStyle name="Neutral 20 2" xfId="10914" xr:uid="{00000000-0005-0000-0000-0000752A0000}"/>
    <cellStyle name="Neutral 21" xfId="10915" xr:uid="{00000000-0005-0000-0000-0000762A0000}"/>
    <cellStyle name="Neutral 21 2" xfId="10916" xr:uid="{00000000-0005-0000-0000-0000772A0000}"/>
    <cellStyle name="Neutral 22" xfId="10917" xr:uid="{00000000-0005-0000-0000-0000782A0000}"/>
    <cellStyle name="Neutral 23" xfId="10918" xr:uid="{00000000-0005-0000-0000-0000792A0000}"/>
    <cellStyle name="Neutral 24" xfId="10919" xr:uid="{00000000-0005-0000-0000-00007A2A0000}"/>
    <cellStyle name="Neutral 25" xfId="10920" xr:uid="{00000000-0005-0000-0000-00007B2A0000}"/>
    <cellStyle name="Neutral 26" xfId="10921" xr:uid="{00000000-0005-0000-0000-00007C2A0000}"/>
    <cellStyle name="Neutral 27" xfId="10922" xr:uid="{00000000-0005-0000-0000-00007D2A0000}"/>
    <cellStyle name="Neutral 28" xfId="10923" xr:uid="{00000000-0005-0000-0000-00007E2A0000}"/>
    <cellStyle name="Neutral 29" xfId="10924" xr:uid="{00000000-0005-0000-0000-00007F2A0000}"/>
    <cellStyle name="Neutral 3" xfId="10925" xr:uid="{00000000-0005-0000-0000-0000802A0000}"/>
    <cellStyle name="Neutral 3 2" xfId="10926" xr:uid="{00000000-0005-0000-0000-0000812A0000}"/>
    <cellStyle name="Neutral 3 2 2" xfId="10927" xr:uid="{00000000-0005-0000-0000-0000822A0000}"/>
    <cellStyle name="Neutral 3 2 3" xfId="10928" xr:uid="{00000000-0005-0000-0000-0000832A0000}"/>
    <cellStyle name="Neutral 3 2 4" xfId="10929" xr:uid="{00000000-0005-0000-0000-0000842A0000}"/>
    <cellStyle name="Neutral 3 2 5" xfId="10930" xr:uid="{00000000-0005-0000-0000-0000852A0000}"/>
    <cellStyle name="Neutral 3 2 6" xfId="10931" xr:uid="{00000000-0005-0000-0000-0000862A0000}"/>
    <cellStyle name="Neutral 3 2 7" xfId="10932" xr:uid="{00000000-0005-0000-0000-0000872A0000}"/>
    <cellStyle name="Neutral 3 2 8" xfId="10933" xr:uid="{00000000-0005-0000-0000-0000882A0000}"/>
    <cellStyle name="Neutral 3 2 9" xfId="10934" xr:uid="{00000000-0005-0000-0000-0000892A0000}"/>
    <cellStyle name="Neutral 3 3" xfId="10935" xr:uid="{00000000-0005-0000-0000-00008A2A0000}"/>
    <cellStyle name="Neutral 3 3 2" xfId="10936" xr:uid="{00000000-0005-0000-0000-00008B2A0000}"/>
    <cellStyle name="Neutral 3 3 3" xfId="10937" xr:uid="{00000000-0005-0000-0000-00008C2A0000}"/>
    <cellStyle name="Neutral 3 4" xfId="10938" xr:uid="{00000000-0005-0000-0000-00008D2A0000}"/>
    <cellStyle name="Neutral 3 5" xfId="10939" xr:uid="{00000000-0005-0000-0000-00008E2A0000}"/>
    <cellStyle name="Neutral 3_Ramadugu_ SWGH" xfId="10940" xr:uid="{00000000-0005-0000-0000-00008F2A0000}"/>
    <cellStyle name="Neutral 30" xfId="10941" xr:uid="{00000000-0005-0000-0000-0000902A0000}"/>
    <cellStyle name="Neutral 31" xfId="10942" xr:uid="{00000000-0005-0000-0000-0000912A0000}"/>
    <cellStyle name="Neutral 32" xfId="10943" xr:uid="{00000000-0005-0000-0000-0000922A0000}"/>
    <cellStyle name="Neutral 33" xfId="10944" xr:uid="{00000000-0005-0000-0000-0000932A0000}"/>
    <cellStyle name="Neutral 34" xfId="10945" xr:uid="{00000000-0005-0000-0000-0000942A0000}"/>
    <cellStyle name="Neutral 35" xfId="10946" xr:uid="{00000000-0005-0000-0000-0000952A0000}"/>
    <cellStyle name="Neutral 36" xfId="10947" xr:uid="{00000000-0005-0000-0000-0000962A0000}"/>
    <cellStyle name="Neutral 37" xfId="10948" xr:uid="{00000000-0005-0000-0000-0000972A0000}"/>
    <cellStyle name="Neutral 38" xfId="10949" xr:uid="{00000000-0005-0000-0000-0000982A0000}"/>
    <cellStyle name="Neutral 39" xfId="10950" xr:uid="{00000000-0005-0000-0000-0000992A0000}"/>
    <cellStyle name="Neutral 4" xfId="10951" xr:uid="{00000000-0005-0000-0000-00009A2A0000}"/>
    <cellStyle name="Neutral 4 10" xfId="10952" xr:uid="{00000000-0005-0000-0000-00009B2A0000}"/>
    <cellStyle name="Neutral 4 11" xfId="10953" xr:uid="{00000000-0005-0000-0000-00009C2A0000}"/>
    <cellStyle name="Neutral 4 12" xfId="10954" xr:uid="{00000000-0005-0000-0000-00009D2A0000}"/>
    <cellStyle name="Neutral 4 2" xfId="10955" xr:uid="{00000000-0005-0000-0000-00009E2A0000}"/>
    <cellStyle name="Neutral 4 3" xfId="10956" xr:uid="{00000000-0005-0000-0000-00009F2A0000}"/>
    <cellStyle name="Neutral 4 4" xfId="10957" xr:uid="{00000000-0005-0000-0000-0000A02A0000}"/>
    <cellStyle name="Neutral 4 5" xfId="10958" xr:uid="{00000000-0005-0000-0000-0000A12A0000}"/>
    <cellStyle name="Neutral 4 6" xfId="10959" xr:uid="{00000000-0005-0000-0000-0000A22A0000}"/>
    <cellStyle name="Neutral 4 7" xfId="10960" xr:uid="{00000000-0005-0000-0000-0000A32A0000}"/>
    <cellStyle name="Neutral 4 8" xfId="10961" xr:uid="{00000000-0005-0000-0000-0000A42A0000}"/>
    <cellStyle name="Neutral 4 9" xfId="10962" xr:uid="{00000000-0005-0000-0000-0000A52A0000}"/>
    <cellStyle name="Neutral 4_Sheet2" xfId="10963" xr:uid="{00000000-0005-0000-0000-0000A62A0000}"/>
    <cellStyle name="Neutral 5" xfId="10964" xr:uid="{00000000-0005-0000-0000-0000A72A0000}"/>
    <cellStyle name="Neutral 5 10" xfId="10965" xr:uid="{00000000-0005-0000-0000-0000A82A0000}"/>
    <cellStyle name="Neutral 5 11" xfId="10966" xr:uid="{00000000-0005-0000-0000-0000A92A0000}"/>
    <cellStyle name="Neutral 5 12" xfId="10967" xr:uid="{00000000-0005-0000-0000-0000AA2A0000}"/>
    <cellStyle name="Neutral 5 2" xfId="10968" xr:uid="{00000000-0005-0000-0000-0000AB2A0000}"/>
    <cellStyle name="Neutral 5 3" xfId="10969" xr:uid="{00000000-0005-0000-0000-0000AC2A0000}"/>
    <cellStyle name="Neutral 5 4" xfId="10970" xr:uid="{00000000-0005-0000-0000-0000AD2A0000}"/>
    <cellStyle name="Neutral 5 5" xfId="10971" xr:uid="{00000000-0005-0000-0000-0000AE2A0000}"/>
    <cellStyle name="Neutral 5 6" xfId="10972" xr:uid="{00000000-0005-0000-0000-0000AF2A0000}"/>
    <cellStyle name="Neutral 5 7" xfId="10973" xr:uid="{00000000-0005-0000-0000-0000B02A0000}"/>
    <cellStyle name="Neutral 5 8" xfId="10974" xr:uid="{00000000-0005-0000-0000-0000B12A0000}"/>
    <cellStyle name="Neutral 5 9" xfId="10975" xr:uid="{00000000-0005-0000-0000-0000B22A0000}"/>
    <cellStyle name="Neutral 5_Sheet2" xfId="10976" xr:uid="{00000000-0005-0000-0000-0000B32A0000}"/>
    <cellStyle name="Neutral 6" xfId="10977" xr:uid="{00000000-0005-0000-0000-0000B42A0000}"/>
    <cellStyle name="Neutral 6 10" xfId="10978" xr:uid="{00000000-0005-0000-0000-0000B52A0000}"/>
    <cellStyle name="Neutral 6 11" xfId="10979" xr:uid="{00000000-0005-0000-0000-0000B62A0000}"/>
    <cellStyle name="Neutral 6 12" xfId="10980" xr:uid="{00000000-0005-0000-0000-0000B72A0000}"/>
    <cellStyle name="Neutral 6 2" xfId="10981" xr:uid="{00000000-0005-0000-0000-0000B82A0000}"/>
    <cellStyle name="Neutral 6 3" xfId="10982" xr:uid="{00000000-0005-0000-0000-0000B92A0000}"/>
    <cellStyle name="Neutral 6 4" xfId="10983" xr:uid="{00000000-0005-0000-0000-0000BA2A0000}"/>
    <cellStyle name="Neutral 6 5" xfId="10984" xr:uid="{00000000-0005-0000-0000-0000BB2A0000}"/>
    <cellStyle name="Neutral 6 6" xfId="10985" xr:uid="{00000000-0005-0000-0000-0000BC2A0000}"/>
    <cellStyle name="Neutral 6 7" xfId="10986" xr:uid="{00000000-0005-0000-0000-0000BD2A0000}"/>
    <cellStyle name="Neutral 6 8" xfId="10987" xr:uid="{00000000-0005-0000-0000-0000BE2A0000}"/>
    <cellStyle name="Neutral 6 9" xfId="10988" xr:uid="{00000000-0005-0000-0000-0000BF2A0000}"/>
    <cellStyle name="Neutral 6_Sheet2" xfId="10989" xr:uid="{00000000-0005-0000-0000-0000C02A0000}"/>
    <cellStyle name="Neutral 7" xfId="10990" xr:uid="{00000000-0005-0000-0000-0000C12A0000}"/>
    <cellStyle name="Neutral 7 10" xfId="10991" xr:uid="{00000000-0005-0000-0000-0000C22A0000}"/>
    <cellStyle name="Neutral 7 11" xfId="10992" xr:uid="{00000000-0005-0000-0000-0000C32A0000}"/>
    <cellStyle name="Neutral 7 12" xfId="10993" xr:uid="{00000000-0005-0000-0000-0000C42A0000}"/>
    <cellStyle name="Neutral 7 2" xfId="10994" xr:uid="{00000000-0005-0000-0000-0000C52A0000}"/>
    <cellStyle name="Neutral 7 3" xfId="10995" xr:uid="{00000000-0005-0000-0000-0000C62A0000}"/>
    <cellStyle name="Neutral 7 4" xfId="10996" xr:uid="{00000000-0005-0000-0000-0000C72A0000}"/>
    <cellStyle name="Neutral 7 5" xfId="10997" xr:uid="{00000000-0005-0000-0000-0000C82A0000}"/>
    <cellStyle name="Neutral 7 6" xfId="10998" xr:uid="{00000000-0005-0000-0000-0000C92A0000}"/>
    <cellStyle name="Neutral 7 7" xfId="10999" xr:uid="{00000000-0005-0000-0000-0000CA2A0000}"/>
    <cellStyle name="Neutral 7 8" xfId="11000" xr:uid="{00000000-0005-0000-0000-0000CB2A0000}"/>
    <cellStyle name="Neutral 7 9" xfId="11001" xr:uid="{00000000-0005-0000-0000-0000CC2A0000}"/>
    <cellStyle name="Neutral 7_Sheet2" xfId="11002" xr:uid="{00000000-0005-0000-0000-0000CD2A0000}"/>
    <cellStyle name="Neutral 8" xfId="11003" xr:uid="{00000000-0005-0000-0000-0000CE2A0000}"/>
    <cellStyle name="Neutral 8 10" xfId="11004" xr:uid="{00000000-0005-0000-0000-0000CF2A0000}"/>
    <cellStyle name="Neutral 8 11" xfId="11005" xr:uid="{00000000-0005-0000-0000-0000D02A0000}"/>
    <cellStyle name="Neutral 8 2" xfId="11006" xr:uid="{00000000-0005-0000-0000-0000D12A0000}"/>
    <cellStyle name="Neutral 8 3" xfId="11007" xr:uid="{00000000-0005-0000-0000-0000D22A0000}"/>
    <cellStyle name="Neutral 8 4" xfId="11008" xr:uid="{00000000-0005-0000-0000-0000D32A0000}"/>
    <cellStyle name="Neutral 8 5" xfId="11009" xr:uid="{00000000-0005-0000-0000-0000D42A0000}"/>
    <cellStyle name="Neutral 8 6" xfId="11010" xr:uid="{00000000-0005-0000-0000-0000D52A0000}"/>
    <cellStyle name="Neutral 8 7" xfId="11011" xr:uid="{00000000-0005-0000-0000-0000D62A0000}"/>
    <cellStyle name="Neutral 8 8" xfId="11012" xr:uid="{00000000-0005-0000-0000-0000D72A0000}"/>
    <cellStyle name="Neutral 8 9" xfId="11013" xr:uid="{00000000-0005-0000-0000-0000D82A0000}"/>
    <cellStyle name="Neutral 8_Sheet2" xfId="11014" xr:uid="{00000000-0005-0000-0000-0000D92A0000}"/>
    <cellStyle name="Neutral 9" xfId="11015" xr:uid="{00000000-0005-0000-0000-0000DA2A0000}"/>
    <cellStyle name="Neutral 9 2" xfId="11016" xr:uid="{00000000-0005-0000-0000-0000DB2A0000}"/>
    <cellStyle name="Neutral 9 3" xfId="11017" xr:uid="{00000000-0005-0000-0000-0000DC2A0000}"/>
    <cellStyle name="Neutral 9 4" xfId="11018" xr:uid="{00000000-0005-0000-0000-0000DD2A0000}"/>
    <cellStyle name="Neutral 9 5" xfId="11019" xr:uid="{00000000-0005-0000-0000-0000DE2A0000}"/>
    <cellStyle name="Neutral 9 6" xfId="11020" xr:uid="{00000000-0005-0000-0000-0000DF2A0000}"/>
    <cellStyle name="Neutral 9 7" xfId="11021" xr:uid="{00000000-0005-0000-0000-0000E02A0000}"/>
    <cellStyle name="Neutral 9 8" xfId="11022" xr:uid="{00000000-0005-0000-0000-0000E12A0000}"/>
    <cellStyle name="Neutral 9 9" xfId="11023" xr:uid="{00000000-0005-0000-0000-0000E22A0000}"/>
    <cellStyle name="New Times Roman" xfId="11024" xr:uid="{00000000-0005-0000-0000-0000E32A0000}"/>
    <cellStyle name="NewPeso" xfId="11025" xr:uid="{00000000-0005-0000-0000-0000E42A0000}"/>
    <cellStyle name="nf" xfId="11026" xr:uid="{00000000-0005-0000-0000-0000E52A0000}"/>
    <cellStyle name="no dec" xfId="56" xr:uid="{00000000-0005-0000-0000-0000E62A0000}"/>
    <cellStyle name="no dec 2" xfId="11027" xr:uid="{00000000-0005-0000-0000-0000E72A0000}"/>
    <cellStyle name="no dec 2 2" xfId="11028" xr:uid="{00000000-0005-0000-0000-0000E82A0000}"/>
    <cellStyle name="no dec 3" xfId="11029" xr:uid="{00000000-0005-0000-0000-0000E92A0000}"/>
    <cellStyle name="no dec 4" xfId="11030" xr:uid="{00000000-0005-0000-0000-0000EA2A0000}"/>
    <cellStyle name="no dec 5" xfId="11031" xr:uid="{00000000-0005-0000-0000-0000EB2A0000}"/>
    <cellStyle name="no dec_COMPOUND WALL TO IWHB - CHANDRAGIRI" xfId="11032" xr:uid="{00000000-0005-0000-0000-0000EC2A0000}"/>
    <cellStyle name="No-definido" xfId="11033" xr:uid="{00000000-0005-0000-0000-0000ED2A0000}"/>
    <cellStyle name="Non défini" xfId="11034" xr:uid="{00000000-0005-0000-0000-0000EE2A0000}"/>
    <cellStyle name="norma" xfId="11035" xr:uid="{00000000-0005-0000-0000-0000EF2A0000}"/>
    <cellStyle name="Normal" xfId="0" builtinId="0"/>
    <cellStyle name="Normal--" xfId="11036" xr:uid="{00000000-0005-0000-0000-0000F12A0000}"/>
    <cellStyle name="Normal - Style1" xfId="57" xr:uid="{00000000-0005-0000-0000-0000F22A0000}"/>
    <cellStyle name="Normal - Style1 10" xfId="11037" xr:uid="{00000000-0005-0000-0000-0000F32A0000}"/>
    <cellStyle name="Normal - Style1 10 2" xfId="11038" xr:uid="{00000000-0005-0000-0000-0000F42A0000}"/>
    <cellStyle name="Normal - Style1 11" xfId="11039" xr:uid="{00000000-0005-0000-0000-0000F52A0000}"/>
    <cellStyle name="Normal - Style1 12" xfId="11040" xr:uid="{00000000-0005-0000-0000-0000F62A0000}"/>
    <cellStyle name="Normal - Style1 2" xfId="99" xr:uid="{00000000-0005-0000-0000-0000F72A0000}"/>
    <cellStyle name="Normal - Style1 2 10" xfId="11041" xr:uid="{00000000-0005-0000-0000-0000F82A0000}"/>
    <cellStyle name="Normal - Style1 2 10 2" xfId="11042" xr:uid="{00000000-0005-0000-0000-0000F92A0000}"/>
    <cellStyle name="Normal - Style1 2 10 2 2" xfId="11043" xr:uid="{00000000-0005-0000-0000-0000FA2A0000}"/>
    <cellStyle name="Normal - Style1 2 10 3" xfId="11044" xr:uid="{00000000-0005-0000-0000-0000FB2A0000}"/>
    <cellStyle name="Normal - Style1 2 10 4" xfId="11045" xr:uid="{00000000-0005-0000-0000-0000FC2A0000}"/>
    <cellStyle name="Normal - Style1 2 10 5" xfId="11046" xr:uid="{00000000-0005-0000-0000-0000FD2A0000}"/>
    <cellStyle name="Normal - Style1 2 10 6" xfId="11047" xr:uid="{00000000-0005-0000-0000-0000FE2A0000}"/>
    <cellStyle name="Normal - Style1 2 10 7" xfId="11048" xr:uid="{00000000-0005-0000-0000-0000FF2A0000}"/>
    <cellStyle name="Normal - Style1 2 10 8" xfId="11049" xr:uid="{00000000-0005-0000-0000-0000002B0000}"/>
    <cellStyle name="Normal - Style1 2 11" xfId="11050" xr:uid="{00000000-0005-0000-0000-0000012B0000}"/>
    <cellStyle name="Normal - Style1 2 11 2" xfId="11051" xr:uid="{00000000-0005-0000-0000-0000022B0000}"/>
    <cellStyle name="Normal - Style1 2 11 3" xfId="11052" xr:uid="{00000000-0005-0000-0000-0000032B0000}"/>
    <cellStyle name="Normal - Style1 2 11 4" xfId="11053" xr:uid="{00000000-0005-0000-0000-0000042B0000}"/>
    <cellStyle name="Normal - Style1 2 11 5" xfId="11054" xr:uid="{00000000-0005-0000-0000-0000052B0000}"/>
    <cellStyle name="Normal - Style1 2 11 6" xfId="11055" xr:uid="{00000000-0005-0000-0000-0000062B0000}"/>
    <cellStyle name="Normal - Style1 2 11 7" xfId="11056" xr:uid="{00000000-0005-0000-0000-0000072B0000}"/>
    <cellStyle name="Normal - Style1 2 11 8" xfId="11057" xr:uid="{00000000-0005-0000-0000-0000082B0000}"/>
    <cellStyle name="Normal - Style1 2 12" xfId="11058" xr:uid="{00000000-0005-0000-0000-0000092B0000}"/>
    <cellStyle name="Normal - Style1 2 13" xfId="11059" xr:uid="{00000000-0005-0000-0000-00000A2B0000}"/>
    <cellStyle name="Normal - Style1 2 14" xfId="11060" xr:uid="{00000000-0005-0000-0000-00000B2B0000}"/>
    <cellStyle name="Normal - Style1 2 15" xfId="11061" xr:uid="{00000000-0005-0000-0000-00000C2B0000}"/>
    <cellStyle name="Normal - Style1 2 16" xfId="11062" xr:uid="{00000000-0005-0000-0000-00000D2B0000}"/>
    <cellStyle name="Normal - Style1 2 17" xfId="11063" xr:uid="{00000000-0005-0000-0000-00000E2B0000}"/>
    <cellStyle name="Normal - Style1 2 18" xfId="11064" xr:uid="{00000000-0005-0000-0000-00000F2B0000}"/>
    <cellStyle name="Normal - Style1 2 2" xfId="11065" xr:uid="{00000000-0005-0000-0000-0000102B0000}"/>
    <cellStyle name="Normal - Style1 2 2 10" xfId="11066" xr:uid="{00000000-0005-0000-0000-0000112B0000}"/>
    <cellStyle name="Normal - Style1 2 2 10 2" xfId="11067" xr:uid="{00000000-0005-0000-0000-0000122B0000}"/>
    <cellStyle name="Normal - Style1 2 2 10 3" xfId="11068" xr:uid="{00000000-0005-0000-0000-0000132B0000}"/>
    <cellStyle name="Normal - Style1 2 2 10 4" xfId="11069" xr:uid="{00000000-0005-0000-0000-0000142B0000}"/>
    <cellStyle name="Normal - Style1 2 2 10 5" xfId="11070" xr:uid="{00000000-0005-0000-0000-0000152B0000}"/>
    <cellStyle name="Normal - Style1 2 2 10 6" xfId="11071" xr:uid="{00000000-0005-0000-0000-0000162B0000}"/>
    <cellStyle name="Normal - Style1 2 2 10 7" xfId="11072" xr:uid="{00000000-0005-0000-0000-0000172B0000}"/>
    <cellStyle name="Normal - Style1 2 2 10 8" xfId="11073" xr:uid="{00000000-0005-0000-0000-0000182B0000}"/>
    <cellStyle name="Normal - Style1 2 2 11" xfId="11074" xr:uid="{00000000-0005-0000-0000-0000192B0000}"/>
    <cellStyle name="Normal - Style1 2 2 12" xfId="11075" xr:uid="{00000000-0005-0000-0000-00001A2B0000}"/>
    <cellStyle name="Normal - Style1 2 2 13" xfId="11076" xr:uid="{00000000-0005-0000-0000-00001B2B0000}"/>
    <cellStyle name="Normal - Style1 2 2 14" xfId="11077" xr:uid="{00000000-0005-0000-0000-00001C2B0000}"/>
    <cellStyle name="Normal - Style1 2 2 15" xfId="11078" xr:uid="{00000000-0005-0000-0000-00001D2B0000}"/>
    <cellStyle name="Normal - Style1 2 2 16" xfId="11079" xr:uid="{00000000-0005-0000-0000-00001E2B0000}"/>
    <cellStyle name="Normal - Style1 2 2 17" xfId="11080" xr:uid="{00000000-0005-0000-0000-00001F2B0000}"/>
    <cellStyle name="Normal - Style1 2 2 2" xfId="11081" xr:uid="{00000000-0005-0000-0000-0000202B0000}"/>
    <cellStyle name="Normal - Style1 2 2 2 2" xfId="11082" xr:uid="{00000000-0005-0000-0000-0000212B0000}"/>
    <cellStyle name="Normal - Style1 2 2 2 3" xfId="11083" xr:uid="{00000000-0005-0000-0000-0000222B0000}"/>
    <cellStyle name="Normal - Style1 2 2 2 4" xfId="11084" xr:uid="{00000000-0005-0000-0000-0000232B0000}"/>
    <cellStyle name="Normal - Style1 2 2 2 5" xfId="11085" xr:uid="{00000000-0005-0000-0000-0000242B0000}"/>
    <cellStyle name="Normal - Style1 2 2 2 6" xfId="11086" xr:uid="{00000000-0005-0000-0000-0000252B0000}"/>
    <cellStyle name="Normal - Style1 2 2 2 7" xfId="11087" xr:uid="{00000000-0005-0000-0000-0000262B0000}"/>
    <cellStyle name="Normal - Style1 2 2 2 8" xfId="11088" xr:uid="{00000000-0005-0000-0000-0000272B0000}"/>
    <cellStyle name="Normal - Style1 2 2 3" xfId="11089" xr:uid="{00000000-0005-0000-0000-0000282B0000}"/>
    <cellStyle name="Normal - Style1 2 2 3 2" xfId="11090" xr:uid="{00000000-0005-0000-0000-0000292B0000}"/>
    <cellStyle name="Normal - Style1 2 2 3 3" xfId="11091" xr:uid="{00000000-0005-0000-0000-00002A2B0000}"/>
    <cellStyle name="Normal - Style1 2 2 3 4" xfId="11092" xr:uid="{00000000-0005-0000-0000-00002B2B0000}"/>
    <cellStyle name="Normal - Style1 2 2 3 5" xfId="11093" xr:uid="{00000000-0005-0000-0000-00002C2B0000}"/>
    <cellStyle name="Normal - Style1 2 2 3 6" xfId="11094" xr:uid="{00000000-0005-0000-0000-00002D2B0000}"/>
    <cellStyle name="Normal - Style1 2 2 3 7" xfId="11095" xr:uid="{00000000-0005-0000-0000-00002E2B0000}"/>
    <cellStyle name="Normal - Style1 2 2 3 8" xfId="11096" xr:uid="{00000000-0005-0000-0000-00002F2B0000}"/>
    <cellStyle name="Normal - Style1 2 2 4" xfId="11097" xr:uid="{00000000-0005-0000-0000-0000302B0000}"/>
    <cellStyle name="Normal - Style1 2 2 4 2" xfId="11098" xr:uid="{00000000-0005-0000-0000-0000312B0000}"/>
    <cellStyle name="Normal - Style1 2 2 4 3" xfId="11099" xr:uid="{00000000-0005-0000-0000-0000322B0000}"/>
    <cellStyle name="Normal - Style1 2 2 4 4" xfId="11100" xr:uid="{00000000-0005-0000-0000-0000332B0000}"/>
    <cellStyle name="Normal - Style1 2 2 4 5" xfId="11101" xr:uid="{00000000-0005-0000-0000-0000342B0000}"/>
    <cellStyle name="Normal - Style1 2 2 4 6" xfId="11102" xr:uid="{00000000-0005-0000-0000-0000352B0000}"/>
    <cellStyle name="Normal - Style1 2 2 4 7" xfId="11103" xr:uid="{00000000-0005-0000-0000-0000362B0000}"/>
    <cellStyle name="Normal - Style1 2 2 4 8" xfId="11104" xr:uid="{00000000-0005-0000-0000-0000372B0000}"/>
    <cellStyle name="Normal - Style1 2 2 5" xfId="11105" xr:uid="{00000000-0005-0000-0000-0000382B0000}"/>
    <cellStyle name="Normal - Style1 2 2 5 2" xfId="11106" xr:uid="{00000000-0005-0000-0000-0000392B0000}"/>
    <cellStyle name="Normal - Style1 2 2 5 3" xfId="11107" xr:uid="{00000000-0005-0000-0000-00003A2B0000}"/>
    <cellStyle name="Normal - Style1 2 2 5 4" xfId="11108" xr:uid="{00000000-0005-0000-0000-00003B2B0000}"/>
    <cellStyle name="Normal - Style1 2 2 5 5" xfId="11109" xr:uid="{00000000-0005-0000-0000-00003C2B0000}"/>
    <cellStyle name="Normal - Style1 2 2 5 6" xfId="11110" xr:uid="{00000000-0005-0000-0000-00003D2B0000}"/>
    <cellStyle name="Normal - Style1 2 2 5 7" xfId="11111" xr:uid="{00000000-0005-0000-0000-00003E2B0000}"/>
    <cellStyle name="Normal - Style1 2 2 5 8" xfId="11112" xr:uid="{00000000-0005-0000-0000-00003F2B0000}"/>
    <cellStyle name="Normal - Style1 2 2 6" xfId="11113" xr:uid="{00000000-0005-0000-0000-0000402B0000}"/>
    <cellStyle name="Normal - Style1 2 2 6 2" xfId="11114" xr:uid="{00000000-0005-0000-0000-0000412B0000}"/>
    <cellStyle name="Normal - Style1 2 2 6 3" xfId="11115" xr:uid="{00000000-0005-0000-0000-0000422B0000}"/>
    <cellStyle name="Normal - Style1 2 2 6 4" xfId="11116" xr:uid="{00000000-0005-0000-0000-0000432B0000}"/>
    <cellStyle name="Normal - Style1 2 2 6 5" xfId="11117" xr:uid="{00000000-0005-0000-0000-0000442B0000}"/>
    <cellStyle name="Normal - Style1 2 2 6 6" xfId="11118" xr:uid="{00000000-0005-0000-0000-0000452B0000}"/>
    <cellStyle name="Normal - Style1 2 2 6 7" xfId="11119" xr:uid="{00000000-0005-0000-0000-0000462B0000}"/>
    <cellStyle name="Normal - Style1 2 2 6 8" xfId="11120" xr:uid="{00000000-0005-0000-0000-0000472B0000}"/>
    <cellStyle name="Normal - Style1 2 2 7" xfId="11121" xr:uid="{00000000-0005-0000-0000-0000482B0000}"/>
    <cellStyle name="Normal - Style1 2 2 7 2" xfId="11122" xr:uid="{00000000-0005-0000-0000-0000492B0000}"/>
    <cellStyle name="Normal - Style1 2 2 7 3" xfId="11123" xr:uid="{00000000-0005-0000-0000-00004A2B0000}"/>
    <cellStyle name="Normal - Style1 2 2 7 4" xfId="11124" xr:uid="{00000000-0005-0000-0000-00004B2B0000}"/>
    <cellStyle name="Normal - Style1 2 2 7 5" xfId="11125" xr:uid="{00000000-0005-0000-0000-00004C2B0000}"/>
    <cellStyle name="Normal - Style1 2 2 7 6" xfId="11126" xr:uid="{00000000-0005-0000-0000-00004D2B0000}"/>
    <cellStyle name="Normal - Style1 2 2 7 7" xfId="11127" xr:uid="{00000000-0005-0000-0000-00004E2B0000}"/>
    <cellStyle name="Normal - Style1 2 2 7 8" xfId="11128" xr:uid="{00000000-0005-0000-0000-00004F2B0000}"/>
    <cellStyle name="Normal - Style1 2 2 8" xfId="11129" xr:uid="{00000000-0005-0000-0000-0000502B0000}"/>
    <cellStyle name="Normal - Style1 2 2 8 2" xfId="11130" xr:uid="{00000000-0005-0000-0000-0000512B0000}"/>
    <cellStyle name="Normal - Style1 2 2 8 3" xfId="11131" xr:uid="{00000000-0005-0000-0000-0000522B0000}"/>
    <cellStyle name="Normal - Style1 2 2 8 4" xfId="11132" xr:uid="{00000000-0005-0000-0000-0000532B0000}"/>
    <cellStyle name="Normal - Style1 2 2 8 5" xfId="11133" xr:uid="{00000000-0005-0000-0000-0000542B0000}"/>
    <cellStyle name="Normal - Style1 2 2 8 6" xfId="11134" xr:uid="{00000000-0005-0000-0000-0000552B0000}"/>
    <cellStyle name="Normal - Style1 2 2 8 7" xfId="11135" xr:uid="{00000000-0005-0000-0000-0000562B0000}"/>
    <cellStyle name="Normal - Style1 2 2 8 8" xfId="11136" xr:uid="{00000000-0005-0000-0000-0000572B0000}"/>
    <cellStyle name="Normal - Style1 2 2 9" xfId="11137" xr:uid="{00000000-0005-0000-0000-0000582B0000}"/>
    <cellStyle name="Normal - Style1 2 2 9 2" xfId="11138" xr:uid="{00000000-0005-0000-0000-0000592B0000}"/>
    <cellStyle name="Normal - Style1 2 2 9 3" xfId="11139" xr:uid="{00000000-0005-0000-0000-00005A2B0000}"/>
    <cellStyle name="Normal - Style1 2 2 9 4" xfId="11140" xr:uid="{00000000-0005-0000-0000-00005B2B0000}"/>
    <cellStyle name="Normal - Style1 2 2 9 5" xfId="11141" xr:uid="{00000000-0005-0000-0000-00005C2B0000}"/>
    <cellStyle name="Normal - Style1 2 2 9 6" xfId="11142" xr:uid="{00000000-0005-0000-0000-00005D2B0000}"/>
    <cellStyle name="Normal - Style1 2 2 9 7" xfId="11143" xr:uid="{00000000-0005-0000-0000-00005E2B0000}"/>
    <cellStyle name="Normal - Style1 2 2 9 8" xfId="11144" xr:uid="{00000000-0005-0000-0000-00005F2B0000}"/>
    <cellStyle name="Normal - Style1 2 3" xfId="11145" xr:uid="{00000000-0005-0000-0000-0000602B0000}"/>
    <cellStyle name="Normal - Style1 2 3 2" xfId="11146" xr:uid="{00000000-0005-0000-0000-0000612B0000}"/>
    <cellStyle name="Normal - Style1 2 3 3" xfId="11147" xr:uid="{00000000-0005-0000-0000-0000622B0000}"/>
    <cellStyle name="Normal - Style1 2 3 4" xfId="11148" xr:uid="{00000000-0005-0000-0000-0000632B0000}"/>
    <cellStyle name="Normal - Style1 2 3 5" xfId="11149" xr:uid="{00000000-0005-0000-0000-0000642B0000}"/>
    <cellStyle name="Normal - Style1 2 3 6" xfId="11150" xr:uid="{00000000-0005-0000-0000-0000652B0000}"/>
    <cellStyle name="Normal - Style1 2 3 7" xfId="11151" xr:uid="{00000000-0005-0000-0000-0000662B0000}"/>
    <cellStyle name="Normal - Style1 2 3 8" xfId="11152" xr:uid="{00000000-0005-0000-0000-0000672B0000}"/>
    <cellStyle name="Normal - Style1 2 4" xfId="11153" xr:uid="{00000000-0005-0000-0000-0000682B0000}"/>
    <cellStyle name="Normal - Style1 2 4 2" xfId="11154" xr:uid="{00000000-0005-0000-0000-0000692B0000}"/>
    <cellStyle name="Normal - Style1 2 4 3" xfId="11155" xr:uid="{00000000-0005-0000-0000-00006A2B0000}"/>
    <cellStyle name="Normal - Style1 2 4 4" xfId="11156" xr:uid="{00000000-0005-0000-0000-00006B2B0000}"/>
    <cellStyle name="Normal - Style1 2 4 5" xfId="11157" xr:uid="{00000000-0005-0000-0000-00006C2B0000}"/>
    <cellStyle name="Normal - Style1 2 4 6" xfId="11158" xr:uid="{00000000-0005-0000-0000-00006D2B0000}"/>
    <cellStyle name="Normal - Style1 2 4 7" xfId="11159" xr:uid="{00000000-0005-0000-0000-00006E2B0000}"/>
    <cellStyle name="Normal - Style1 2 4 8" xfId="11160" xr:uid="{00000000-0005-0000-0000-00006F2B0000}"/>
    <cellStyle name="Normal - Style1 2 5" xfId="11161" xr:uid="{00000000-0005-0000-0000-0000702B0000}"/>
    <cellStyle name="Normal - Style1 2 5 2" xfId="11162" xr:uid="{00000000-0005-0000-0000-0000712B0000}"/>
    <cellStyle name="Normal - Style1 2 5 3" xfId="11163" xr:uid="{00000000-0005-0000-0000-0000722B0000}"/>
    <cellStyle name="Normal - Style1 2 5 4" xfId="11164" xr:uid="{00000000-0005-0000-0000-0000732B0000}"/>
    <cellStyle name="Normal - Style1 2 5 5" xfId="11165" xr:uid="{00000000-0005-0000-0000-0000742B0000}"/>
    <cellStyle name="Normal - Style1 2 5 6" xfId="11166" xr:uid="{00000000-0005-0000-0000-0000752B0000}"/>
    <cellStyle name="Normal - Style1 2 5 7" xfId="11167" xr:uid="{00000000-0005-0000-0000-0000762B0000}"/>
    <cellStyle name="Normal - Style1 2 5 8" xfId="11168" xr:uid="{00000000-0005-0000-0000-0000772B0000}"/>
    <cellStyle name="Normal - Style1 2 6" xfId="11169" xr:uid="{00000000-0005-0000-0000-0000782B0000}"/>
    <cellStyle name="Normal - Style1 2 6 2" xfId="11170" xr:uid="{00000000-0005-0000-0000-0000792B0000}"/>
    <cellStyle name="Normal - Style1 2 6 3" xfId="11171" xr:uid="{00000000-0005-0000-0000-00007A2B0000}"/>
    <cellStyle name="Normal - Style1 2 6 4" xfId="11172" xr:uid="{00000000-0005-0000-0000-00007B2B0000}"/>
    <cellStyle name="Normal - Style1 2 6 5" xfId="11173" xr:uid="{00000000-0005-0000-0000-00007C2B0000}"/>
    <cellStyle name="Normal - Style1 2 6 6" xfId="11174" xr:uid="{00000000-0005-0000-0000-00007D2B0000}"/>
    <cellStyle name="Normal - Style1 2 6 7" xfId="11175" xr:uid="{00000000-0005-0000-0000-00007E2B0000}"/>
    <cellStyle name="Normal - Style1 2 6 8" xfId="11176" xr:uid="{00000000-0005-0000-0000-00007F2B0000}"/>
    <cellStyle name="Normal - Style1 2 7" xfId="11177" xr:uid="{00000000-0005-0000-0000-0000802B0000}"/>
    <cellStyle name="Normal - Style1 2 7 2" xfId="11178" xr:uid="{00000000-0005-0000-0000-0000812B0000}"/>
    <cellStyle name="Normal - Style1 2 7 3" xfId="11179" xr:uid="{00000000-0005-0000-0000-0000822B0000}"/>
    <cellStyle name="Normal - Style1 2 7 4" xfId="11180" xr:uid="{00000000-0005-0000-0000-0000832B0000}"/>
    <cellStyle name="Normal - Style1 2 7 5" xfId="11181" xr:uid="{00000000-0005-0000-0000-0000842B0000}"/>
    <cellStyle name="Normal - Style1 2 7 6" xfId="11182" xr:uid="{00000000-0005-0000-0000-0000852B0000}"/>
    <cellStyle name="Normal - Style1 2 7 7" xfId="11183" xr:uid="{00000000-0005-0000-0000-0000862B0000}"/>
    <cellStyle name="Normal - Style1 2 7 8" xfId="11184" xr:uid="{00000000-0005-0000-0000-0000872B0000}"/>
    <cellStyle name="Normal - Style1 2 8" xfId="11185" xr:uid="{00000000-0005-0000-0000-0000882B0000}"/>
    <cellStyle name="Normal - Style1 2 8 2" xfId="11186" xr:uid="{00000000-0005-0000-0000-0000892B0000}"/>
    <cellStyle name="Normal - Style1 2 8 3" xfId="11187" xr:uid="{00000000-0005-0000-0000-00008A2B0000}"/>
    <cellStyle name="Normal - Style1 2 8 4" xfId="11188" xr:uid="{00000000-0005-0000-0000-00008B2B0000}"/>
    <cellStyle name="Normal - Style1 2 8 5" xfId="11189" xr:uid="{00000000-0005-0000-0000-00008C2B0000}"/>
    <cellStyle name="Normal - Style1 2 8 6" xfId="11190" xr:uid="{00000000-0005-0000-0000-00008D2B0000}"/>
    <cellStyle name="Normal - Style1 2 8 7" xfId="11191" xr:uid="{00000000-0005-0000-0000-00008E2B0000}"/>
    <cellStyle name="Normal - Style1 2 8 8" xfId="11192" xr:uid="{00000000-0005-0000-0000-00008F2B0000}"/>
    <cellStyle name="Normal - Style1 2 9" xfId="11193" xr:uid="{00000000-0005-0000-0000-0000902B0000}"/>
    <cellStyle name="Normal - Style1 2 9 2" xfId="11194" xr:uid="{00000000-0005-0000-0000-0000912B0000}"/>
    <cellStyle name="Normal - Style1 2 9 3" xfId="11195" xr:uid="{00000000-0005-0000-0000-0000922B0000}"/>
    <cellStyle name="Normal - Style1 2 9 4" xfId="11196" xr:uid="{00000000-0005-0000-0000-0000932B0000}"/>
    <cellStyle name="Normal - Style1 2 9 5" xfId="11197" xr:uid="{00000000-0005-0000-0000-0000942B0000}"/>
    <cellStyle name="Normal - Style1 2 9 6" xfId="11198" xr:uid="{00000000-0005-0000-0000-0000952B0000}"/>
    <cellStyle name="Normal - Style1 2 9 7" xfId="11199" xr:uid="{00000000-0005-0000-0000-0000962B0000}"/>
    <cellStyle name="Normal - Style1 2 9 8" xfId="11200" xr:uid="{00000000-0005-0000-0000-0000972B0000}"/>
    <cellStyle name="Normal - Style1 2_1) NREGS  Report Uppudi" xfId="11201" xr:uid="{00000000-0005-0000-0000-0000982B0000}"/>
    <cellStyle name="Normal - Style1 3" xfId="11202" xr:uid="{00000000-0005-0000-0000-0000992B0000}"/>
    <cellStyle name="Normal - Style1 3 10" xfId="11203" xr:uid="{00000000-0005-0000-0000-00009A2B0000}"/>
    <cellStyle name="Normal - Style1 3 10 2" xfId="11204" xr:uid="{00000000-0005-0000-0000-00009B2B0000}"/>
    <cellStyle name="Normal - Style1 3 10 3" xfId="11205" xr:uid="{00000000-0005-0000-0000-00009C2B0000}"/>
    <cellStyle name="Normal - Style1 3 10 4" xfId="11206" xr:uid="{00000000-0005-0000-0000-00009D2B0000}"/>
    <cellStyle name="Normal - Style1 3 10 5" xfId="11207" xr:uid="{00000000-0005-0000-0000-00009E2B0000}"/>
    <cellStyle name="Normal - Style1 3 10 6" xfId="11208" xr:uid="{00000000-0005-0000-0000-00009F2B0000}"/>
    <cellStyle name="Normal - Style1 3 10 7" xfId="11209" xr:uid="{00000000-0005-0000-0000-0000A02B0000}"/>
    <cellStyle name="Normal - Style1 3 10 8" xfId="11210" xr:uid="{00000000-0005-0000-0000-0000A12B0000}"/>
    <cellStyle name="Normal - Style1 3 11" xfId="11211" xr:uid="{00000000-0005-0000-0000-0000A22B0000}"/>
    <cellStyle name="Normal - Style1 3 12" xfId="11212" xr:uid="{00000000-0005-0000-0000-0000A32B0000}"/>
    <cellStyle name="Normal - Style1 3 13" xfId="11213" xr:uid="{00000000-0005-0000-0000-0000A42B0000}"/>
    <cellStyle name="Normal - Style1 3 14" xfId="11214" xr:uid="{00000000-0005-0000-0000-0000A52B0000}"/>
    <cellStyle name="Normal - Style1 3 15" xfId="11215" xr:uid="{00000000-0005-0000-0000-0000A62B0000}"/>
    <cellStyle name="Normal - Style1 3 16" xfId="11216" xr:uid="{00000000-0005-0000-0000-0000A72B0000}"/>
    <cellStyle name="Normal - Style1 3 17" xfId="11217" xr:uid="{00000000-0005-0000-0000-0000A82B0000}"/>
    <cellStyle name="Normal - Style1 3 2" xfId="11218" xr:uid="{00000000-0005-0000-0000-0000A92B0000}"/>
    <cellStyle name="Normal - Style1 3 2 2" xfId="11219" xr:uid="{00000000-0005-0000-0000-0000AA2B0000}"/>
    <cellStyle name="Normal - Style1 3 2 3" xfId="11220" xr:uid="{00000000-0005-0000-0000-0000AB2B0000}"/>
    <cellStyle name="Normal - Style1 3 2 4" xfId="11221" xr:uid="{00000000-0005-0000-0000-0000AC2B0000}"/>
    <cellStyle name="Normal - Style1 3 2 5" xfId="11222" xr:uid="{00000000-0005-0000-0000-0000AD2B0000}"/>
    <cellStyle name="Normal - Style1 3 2 6" xfId="11223" xr:uid="{00000000-0005-0000-0000-0000AE2B0000}"/>
    <cellStyle name="Normal - Style1 3 2 7" xfId="11224" xr:uid="{00000000-0005-0000-0000-0000AF2B0000}"/>
    <cellStyle name="Normal - Style1 3 2 8" xfId="11225" xr:uid="{00000000-0005-0000-0000-0000B02B0000}"/>
    <cellStyle name="Normal - Style1 3 3" xfId="11226" xr:uid="{00000000-0005-0000-0000-0000B12B0000}"/>
    <cellStyle name="Normal - Style1 3 3 2" xfId="11227" xr:uid="{00000000-0005-0000-0000-0000B22B0000}"/>
    <cellStyle name="Normal - Style1 3 3 3" xfId="11228" xr:uid="{00000000-0005-0000-0000-0000B32B0000}"/>
    <cellStyle name="Normal - Style1 3 3 4" xfId="11229" xr:uid="{00000000-0005-0000-0000-0000B42B0000}"/>
    <cellStyle name="Normal - Style1 3 3 5" xfId="11230" xr:uid="{00000000-0005-0000-0000-0000B52B0000}"/>
    <cellStyle name="Normal - Style1 3 3 6" xfId="11231" xr:uid="{00000000-0005-0000-0000-0000B62B0000}"/>
    <cellStyle name="Normal - Style1 3 3 7" xfId="11232" xr:uid="{00000000-0005-0000-0000-0000B72B0000}"/>
    <cellStyle name="Normal - Style1 3 3 8" xfId="11233" xr:uid="{00000000-0005-0000-0000-0000B82B0000}"/>
    <cellStyle name="Normal - Style1 3 4" xfId="11234" xr:uid="{00000000-0005-0000-0000-0000B92B0000}"/>
    <cellStyle name="Normal - Style1 3 4 2" xfId="11235" xr:uid="{00000000-0005-0000-0000-0000BA2B0000}"/>
    <cellStyle name="Normal - Style1 3 4 3" xfId="11236" xr:uid="{00000000-0005-0000-0000-0000BB2B0000}"/>
    <cellStyle name="Normal - Style1 3 4 4" xfId="11237" xr:uid="{00000000-0005-0000-0000-0000BC2B0000}"/>
    <cellStyle name="Normal - Style1 3 4 5" xfId="11238" xr:uid="{00000000-0005-0000-0000-0000BD2B0000}"/>
    <cellStyle name="Normal - Style1 3 4 6" xfId="11239" xr:uid="{00000000-0005-0000-0000-0000BE2B0000}"/>
    <cellStyle name="Normal - Style1 3 4 7" xfId="11240" xr:uid="{00000000-0005-0000-0000-0000BF2B0000}"/>
    <cellStyle name="Normal - Style1 3 4 8" xfId="11241" xr:uid="{00000000-0005-0000-0000-0000C02B0000}"/>
    <cellStyle name="Normal - Style1 3 5" xfId="11242" xr:uid="{00000000-0005-0000-0000-0000C12B0000}"/>
    <cellStyle name="Normal - Style1 3 5 2" xfId="11243" xr:uid="{00000000-0005-0000-0000-0000C22B0000}"/>
    <cellStyle name="Normal - Style1 3 5 3" xfId="11244" xr:uid="{00000000-0005-0000-0000-0000C32B0000}"/>
    <cellStyle name="Normal - Style1 3 5 4" xfId="11245" xr:uid="{00000000-0005-0000-0000-0000C42B0000}"/>
    <cellStyle name="Normal - Style1 3 5 5" xfId="11246" xr:uid="{00000000-0005-0000-0000-0000C52B0000}"/>
    <cellStyle name="Normal - Style1 3 5 6" xfId="11247" xr:uid="{00000000-0005-0000-0000-0000C62B0000}"/>
    <cellStyle name="Normal - Style1 3 5 7" xfId="11248" xr:uid="{00000000-0005-0000-0000-0000C72B0000}"/>
    <cellStyle name="Normal - Style1 3 5 8" xfId="11249" xr:uid="{00000000-0005-0000-0000-0000C82B0000}"/>
    <cellStyle name="Normal - Style1 3 6" xfId="11250" xr:uid="{00000000-0005-0000-0000-0000C92B0000}"/>
    <cellStyle name="Normal - Style1 3 6 2" xfId="11251" xr:uid="{00000000-0005-0000-0000-0000CA2B0000}"/>
    <cellStyle name="Normal - Style1 3 6 3" xfId="11252" xr:uid="{00000000-0005-0000-0000-0000CB2B0000}"/>
    <cellStyle name="Normal - Style1 3 6 4" xfId="11253" xr:uid="{00000000-0005-0000-0000-0000CC2B0000}"/>
    <cellStyle name="Normal - Style1 3 6 5" xfId="11254" xr:uid="{00000000-0005-0000-0000-0000CD2B0000}"/>
    <cellStyle name="Normal - Style1 3 6 6" xfId="11255" xr:uid="{00000000-0005-0000-0000-0000CE2B0000}"/>
    <cellStyle name="Normal - Style1 3 6 7" xfId="11256" xr:uid="{00000000-0005-0000-0000-0000CF2B0000}"/>
    <cellStyle name="Normal - Style1 3 6 8" xfId="11257" xr:uid="{00000000-0005-0000-0000-0000D02B0000}"/>
    <cellStyle name="Normal - Style1 3 7" xfId="11258" xr:uid="{00000000-0005-0000-0000-0000D12B0000}"/>
    <cellStyle name="Normal - Style1 3 7 2" xfId="11259" xr:uid="{00000000-0005-0000-0000-0000D22B0000}"/>
    <cellStyle name="Normal - Style1 3 7 3" xfId="11260" xr:uid="{00000000-0005-0000-0000-0000D32B0000}"/>
    <cellStyle name="Normal - Style1 3 7 4" xfId="11261" xr:uid="{00000000-0005-0000-0000-0000D42B0000}"/>
    <cellStyle name="Normal - Style1 3 7 5" xfId="11262" xr:uid="{00000000-0005-0000-0000-0000D52B0000}"/>
    <cellStyle name="Normal - Style1 3 7 6" xfId="11263" xr:uid="{00000000-0005-0000-0000-0000D62B0000}"/>
    <cellStyle name="Normal - Style1 3 7 7" xfId="11264" xr:uid="{00000000-0005-0000-0000-0000D72B0000}"/>
    <cellStyle name="Normal - Style1 3 7 8" xfId="11265" xr:uid="{00000000-0005-0000-0000-0000D82B0000}"/>
    <cellStyle name="Normal - Style1 3 8" xfId="11266" xr:uid="{00000000-0005-0000-0000-0000D92B0000}"/>
    <cellStyle name="Normal - Style1 3 8 2" xfId="11267" xr:uid="{00000000-0005-0000-0000-0000DA2B0000}"/>
    <cellStyle name="Normal - Style1 3 8 3" xfId="11268" xr:uid="{00000000-0005-0000-0000-0000DB2B0000}"/>
    <cellStyle name="Normal - Style1 3 8 4" xfId="11269" xr:uid="{00000000-0005-0000-0000-0000DC2B0000}"/>
    <cellStyle name="Normal - Style1 3 8 5" xfId="11270" xr:uid="{00000000-0005-0000-0000-0000DD2B0000}"/>
    <cellStyle name="Normal - Style1 3 8 6" xfId="11271" xr:uid="{00000000-0005-0000-0000-0000DE2B0000}"/>
    <cellStyle name="Normal - Style1 3 8 7" xfId="11272" xr:uid="{00000000-0005-0000-0000-0000DF2B0000}"/>
    <cellStyle name="Normal - Style1 3 8 8" xfId="11273" xr:uid="{00000000-0005-0000-0000-0000E02B0000}"/>
    <cellStyle name="Normal - Style1 3 9" xfId="11274" xr:uid="{00000000-0005-0000-0000-0000E12B0000}"/>
    <cellStyle name="Normal - Style1 3 9 2" xfId="11275" xr:uid="{00000000-0005-0000-0000-0000E22B0000}"/>
    <cellStyle name="Normal - Style1 3 9 3" xfId="11276" xr:uid="{00000000-0005-0000-0000-0000E32B0000}"/>
    <cellStyle name="Normal - Style1 3 9 4" xfId="11277" xr:uid="{00000000-0005-0000-0000-0000E42B0000}"/>
    <cellStyle name="Normal - Style1 3 9 5" xfId="11278" xr:uid="{00000000-0005-0000-0000-0000E52B0000}"/>
    <cellStyle name="Normal - Style1 3 9 6" xfId="11279" xr:uid="{00000000-0005-0000-0000-0000E62B0000}"/>
    <cellStyle name="Normal - Style1 3 9 7" xfId="11280" xr:uid="{00000000-0005-0000-0000-0000E72B0000}"/>
    <cellStyle name="Normal - Style1 3 9 8" xfId="11281" xr:uid="{00000000-0005-0000-0000-0000E82B0000}"/>
    <cellStyle name="Normal - Style1 4" xfId="11282" xr:uid="{00000000-0005-0000-0000-0000E92B0000}"/>
    <cellStyle name="Normal - Style1 5" xfId="11283" xr:uid="{00000000-0005-0000-0000-0000EA2B0000}"/>
    <cellStyle name="Normal - Style1 5 2" xfId="11284" xr:uid="{00000000-0005-0000-0000-0000EB2B0000}"/>
    <cellStyle name="Normal - Style1 5 3" xfId="11285" xr:uid="{00000000-0005-0000-0000-0000EC2B0000}"/>
    <cellStyle name="Normal - Style1 6" xfId="11286" xr:uid="{00000000-0005-0000-0000-0000ED2B0000}"/>
    <cellStyle name="Normal - Style1 6 2" xfId="11287" xr:uid="{00000000-0005-0000-0000-0000EE2B0000}"/>
    <cellStyle name="Normal - Style1 7" xfId="11288" xr:uid="{00000000-0005-0000-0000-0000EF2B0000}"/>
    <cellStyle name="Normal - Style1 7 2" xfId="11289" xr:uid="{00000000-0005-0000-0000-0000F02B0000}"/>
    <cellStyle name="Normal - Style1 8" xfId="11290" xr:uid="{00000000-0005-0000-0000-0000F12B0000}"/>
    <cellStyle name="Normal - Style1 8 2" xfId="11291" xr:uid="{00000000-0005-0000-0000-0000F22B0000}"/>
    <cellStyle name="Normal - Style1 9" xfId="11292" xr:uid="{00000000-0005-0000-0000-0000F32B0000}"/>
    <cellStyle name="Normal - Style1 9 2" xfId="11293" xr:uid="{00000000-0005-0000-0000-0000F42B0000}"/>
    <cellStyle name="Normal - Style1_1_Pattapupalem_road estt-NCRMP" xfId="11294" xr:uid="{00000000-0005-0000-0000-0000F52B0000}"/>
    <cellStyle name="Normal [0]" xfId="11295" xr:uid="{00000000-0005-0000-0000-0000F62B0000}"/>
    <cellStyle name="Normal [1]" xfId="11296" xr:uid="{00000000-0005-0000-0000-0000F72B0000}"/>
    <cellStyle name="Normal [2]" xfId="11297" xr:uid="{00000000-0005-0000-0000-0000F82B0000}"/>
    <cellStyle name="Normal [3]" xfId="11298" xr:uid="{00000000-0005-0000-0000-0000F92B0000}"/>
    <cellStyle name="Normal 10" xfId="11299" xr:uid="{00000000-0005-0000-0000-0000FA2B0000}"/>
    <cellStyle name="Normal 10 10" xfId="11300" xr:uid="{00000000-0005-0000-0000-0000FB2B0000}"/>
    <cellStyle name="Normal 10 10 2" xfId="11301" xr:uid="{00000000-0005-0000-0000-0000FC2B0000}"/>
    <cellStyle name="Normal 10 10 3" xfId="11302" xr:uid="{00000000-0005-0000-0000-0000FD2B0000}"/>
    <cellStyle name="Normal 10 10 4" xfId="11303" xr:uid="{00000000-0005-0000-0000-0000FE2B0000}"/>
    <cellStyle name="Normal 10 10 5" xfId="11304" xr:uid="{00000000-0005-0000-0000-0000FF2B0000}"/>
    <cellStyle name="Normal 10 10 6" xfId="11305" xr:uid="{00000000-0005-0000-0000-0000002C0000}"/>
    <cellStyle name="Normal 10 10 7" xfId="11306" xr:uid="{00000000-0005-0000-0000-0000012C0000}"/>
    <cellStyle name="Normal 10 10 8" xfId="11307" xr:uid="{00000000-0005-0000-0000-0000022C0000}"/>
    <cellStyle name="Normal 10 11" xfId="11308" xr:uid="{00000000-0005-0000-0000-0000032C0000}"/>
    <cellStyle name="Normal 10 11 2" xfId="11309" xr:uid="{00000000-0005-0000-0000-0000042C0000}"/>
    <cellStyle name="Normal 10 11 3" xfId="11310" xr:uid="{00000000-0005-0000-0000-0000052C0000}"/>
    <cellStyle name="Normal 10 11 4" xfId="11311" xr:uid="{00000000-0005-0000-0000-0000062C0000}"/>
    <cellStyle name="Normal 10 11 5" xfId="11312" xr:uid="{00000000-0005-0000-0000-0000072C0000}"/>
    <cellStyle name="Normal 10 11 6" xfId="11313" xr:uid="{00000000-0005-0000-0000-0000082C0000}"/>
    <cellStyle name="Normal 10 11 7" xfId="11314" xr:uid="{00000000-0005-0000-0000-0000092C0000}"/>
    <cellStyle name="Normal 10 11 8" xfId="11315" xr:uid="{00000000-0005-0000-0000-00000A2C0000}"/>
    <cellStyle name="Normal 10 12" xfId="11316" xr:uid="{00000000-0005-0000-0000-00000B2C0000}"/>
    <cellStyle name="Normal 10 12 2" xfId="11317" xr:uid="{00000000-0005-0000-0000-00000C2C0000}"/>
    <cellStyle name="Normal 10 12 3" xfId="11318" xr:uid="{00000000-0005-0000-0000-00000D2C0000}"/>
    <cellStyle name="Normal 10 12 4" xfId="11319" xr:uid="{00000000-0005-0000-0000-00000E2C0000}"/>
    <cellStyle name="Normal 10 12 5" xfId="11320" xr:uid="{00000000-0005-0000-0000-00000F2C0000}"/>
    <cellStyle name="Normal 10 12 6" xfId="11321" xr:uid="{00000000-0005-0000-0000-0000102C0000}"/>
    <cellStyle name="Normal 10 12 7" xfId="11322" xr:uid="{00000000-0005-0000-0000-0000112C0000}"/>
    <cellStyle name="Normal 10 12 8" xfId="11323" xr:uid="{00000000-0005-0000-0000-0000122C0000}"/>
    <cellStyle name="Normal 10 13" xfId="11324" xr:uid="{00000000-0005-0000-0000-0000132C0000}"/>
    <cellStyle name="Normal 10 14" xfId="11325" xr:uid="{00000000-0005-0000-0000-0000142C0000}"/>
    <cellStyle name="Normal 10 14 2" xfId="11326" xr:uid="{00000000-0005-0000-0000-0000152C0000}"/>
    <cellStyle name="Normal 10 14 3" xfId="11327" xr:uid="{00000000-0005-0000-0000-0000162C0000}"/>
    <cellStyle name="Normal 10 15" xfId="11328" xr:uid="{00000000-0005-0000-0000-0000172C0000}"/>
    <cellStyle name="Normal 10 16" xfId="11329" xr:uid="{00000000-0005-0000-0000-0000182C0000}"/>
    <cellStyle name="Normal 10 16 2" xfId="11330" xr:uid="{00000000-0005-0000-0000-0000192C0000}"/>
    <cellStyle name="Normal 10 17" xfId="11331" xr:uid="{00000000-0005-0000-0000-00001A2C0000}"/>
    <cellStyle name="Normal 10 18" xfId="11332" xr:uid="{00000000-0005-0000-0000-00001B2C0000}"/>
    <cellStyle name="Normal 10 19" xfId="11333" xr:uid="{00000000-0005-0000-0000-00001C2C0000}"/>
    <cellStyle name="Normal 10 2" xfId="11334" xr:uid="{00000000-0005-0000-0000-00001D2C0000}"/>
    <cellStyle name="Normal 10 2 10" xfId="11335" xr:uid="{00000000-0005-0000-0000-00001E2C0000}"/>
    <cellStyle name="Normal 10 2 10 2" xfId="11336" xr:uid="{00000000-0005-0000-0000-00001F2C0000}"/>
    <cellStyle name="Normal 10 2 10 3" xfId="11337" xr:uid="{00000000-0005-0000-0000-0000202C0000}"/>
    <cellStyle name="Normal 10 2 10 4" xfId="11338" xr:uid="{00000000-0005-0000-0000-0000212C0000}"/>
    <cellStyle name="Normal 10 2 10 5" xfId="11339" xr:uid="{00000000-0005-0000-0000-0000222C0000}"/>
    <cellStyle name="Normal 10 2 10 6" xfId="11340" xr:uid="{00000000-0005-0000-0000-0000232C0000}"/>
    <cellStyle name="Normal 10 2 10 7" xfId="11341" xr:uid="{00000000-0005-0000-0000-0000242C0000}"/>
    <cellStyle name="Normal 10 2 10 8" xfId="11342" xr:uid="{00000000-0005-0000-0000-0000252C0000}"/>
    <cellStyle name="Normal 10 2 11" xfId="11343" xr:uid="{00000000-0005-0000-0000-0000262C0000}"/>
    <cellStyle name="Normal 10 2 12" xfId="11344" xr:uid="{00000000-0005-0000-0000-0000272C0000}"/>
    <cellStyle name="Normal 10 2 13" xfId="11345" xr:uid="{00000000-0005-0000-0000-0000282C0000}"/>
    <cellStyle name="Normal 10 2 14" xfId="11346" xr:uid="{00000000-0005-0000-0000-0000292C0000}"/>
    <cellStyle name="Normal 10 2 15" xfId="11347" xr:uid="{00000000-0005-0000-0000-00002A2C0000}"/>
    <cellStyle name="Normal 10 2 16" xfId="11348" xr:uid="{00000000-0005-0000-0000-00002B2C0000}"/>
    <cellStyle name="Normal 10 2 17" xfId="11349" xr:uid="{00000000-0005-0000-0000-00002C2C0000}"/>
    <cellStyle name="Normal 10 2 18" xfId="11350" xr:uid="{00000000-0005-0000-0000-00002D2C0000}"/>
    <cellStyle name="Normal 10 2 19" xfId="11351" xr:uid="{00000000-0005-0000-0000-00002E2C0000}"/>
    <cellStyle name="Normal 10 2 2" xfId="11352" xr:uid="{00000000-0005-0000-0000-00002F2C0000}"/>
    <cellStyle name="Normal 10 2 2 10" xfId="11353" xr:uid="{00000000-0005-0000-0000-0000302C0000}"/>
    <cellStyle name="Normal 10 2 2 11" xfId="11354" xr:uid="{00000000-0005-0000-0000-0000312C0000}"/>
    <cellStyle name="Normal 10 2 2 2" xfId="11355" xr:uid="{00000000-0005-0000-0000-0000322C0000}"/>
    <cellStyle name="Normal 10 2 2 2 2" xfId="11356" xr:uid="{00000000-0005-0000-0000-0000332C0000}"/>
    <cellStyle name="Normal 10 2 2 2 3" xfId="11357" xr:uid="{00000000-0005-0000-0000-0000342C0000}"/>
    <cellStyle name="Normal 10 2 2 3" xfId="11358" xr:uid="{00000000-0005-0000-0000-0000352C0000}"/>
    <cellStyle name="Normal 10 2 2 4" xfId="11359" xr:uid="{00000000-0005-0000-0000-0000362C0000}"/>
    <cellStyle name="Normal 10 2 2 5" xfId="11360" xr:uid="{00000000-0005-0000-0000-0000372C0000}"/>
    <cellStyle name="Normal 10 2 2 6" xfId="11361" xr:uid="{00000000-0005-0000-0000-0000382C0000}"/>
    <cellStyle name="Normal 10 2 2 7" xfId="11362" xr:uid="{00000000-0005-0000-0000-0000392C0000}"/>
    <cellStyle name="Normal 10 2 2 8" xfId="11363" xr:uid="{00000000-0005-0000-0000-00003A2C0000}"/>
    <cellStyle name="Normal 10 2 2 9" xfId="11364" xr:uid="{00000000-0005-0000-0000-00003B2C0000}"/>
    <cellStyle name="Normal 10 2 3" xfId="11365" xr:uid="{00000000-0005-0000-0000-00003C2C0000}"/>
    <cellStyle name="Normal 10 2 3 2" xfId="11366" xr:uid="{00000000-0005-0000-0000-00003D2C0000}"/>
    <cellStyle name="Normal 10 2 3 3" xfId="11367" xr:uid="{00000000-0005-0000-0000-00003E2C0000}"/>
    <cellStyle name="Normal 10 2 3 4" xfId="11368" xr:uid="{00000000-0005-0000-0000-00003F2C0000}"/>
    <cellStyle name="Normal 10 2 3 5" xfId="11369" xr:uid="{00000000-0005-0000-0000-0000402C0000}"/>
    <cellStyle name="Normal 10 2 3 6" xfId="11370" xr:uid="{00000000-0005-0000-0000-0000412C0000}"/>
    <cellStyle name="Normal 10 2 3 7" xfId="11371" xr:uid="{00000000-0005-0000-0000-0000422C0000}"/>
    <cellStyle name="Normal 10 2 3 8" xfId="11372" xr:uid="{00000000-0005-0000-0000-0000432C0000}"/>
    <cellStyle name="Normal 10 2 4" xfId="11373" xr:uid="{00000000-0005-0000-0000-0000442C0000}"/>
    <cellStyle name="Normal 10 2 4 2" xfId="11374" xr:uid="{00000000-0005-0000-0000-0000452C0000}"/>
    <cellStyle name="Normal 10 2 4 3" xfId="11375" xr:uid="{00000000-0005-0000-0000-0000462C0000}"/>
    <cellStyle name="Normal 10 2 4 4" xfId="11376" xr:uid="{00000000-0005-0000-0000-0000472C0000}"/>
    <cellStyle name="Normal 10 2 4 5" xfId="11377" xr:uid="{00000000-0005-0000-0000-0000482C0000}"/>
    <cellStyle name="Normal 10 2 4 6" xfId="11378" xr:uid="{00000000-0005-0000-0000-0000492C0000}"/>
    <cellStyle name="Normal 10 2 4 7" xfId="11379" xr:uid="{00000000-0005-0000-0000-00004A2C0000}"/>
    <cellStyle name="Normal 10 2 4 8" xfId="11380" xr:uid="{00000000-0005-0000-0000-00004B2C0000}"/>
    <cellStyle name="Normal 10 2 5" xfId="11381" xr:uid="{00000000-0005-0000-0000-00004C2C0000}"/>
    <cellStyle name="Normal 10 2 5 2" xfId="11382" xr:uid="{00000000-0005-0000-0000-00004D2C0000}"/>
    <cellStyle name="Normal 10 2 5 3" xfId="11383" xr:uid="{00000000-0005-0000-0000-00004E2C0000}"/>
    <cellStyle name="Normal 10 2 5 4" xfId="11384" xr:uid="{00000000-0005-0000-0000-00004F2C0000}"/>
    <cellStyle name="Normal 10 2 5 5" xfId="11385" xr:uid="{00000000-0005-0000-0000-0000502C0000}"/>
    <cellStyle name="Normal 10 2 5 6" xfId="11386" xr:uid="{00000000-0005-0000-0000-0000512C0000}"/>
    <cellStyle name="Normal 10 2 5 7" xfId="11387" xr:uid="{00000000-0005-0000-0000-0000522C0000}"/>
    <cellStyle name="Normal 10 2 5 8" xfId="11388" xr:uid="{00000000-0005-0000-0000-0000532C0000}"/>
    <cellStyle name="Normal 10 2 6" xfId="11389" xr:uid="{00000000-0005-0000-0000-0000542C0000}"/>
    <cellStyle name="Normal 10 2 6 2" xfId="11390" xr:uid="{00000000-0005-0000-0000-0000552C0000}"/>
    <cellStyle name="Normal 10 2 6 3" xfId="11391" xr:uid="{00000000-0005-0000-0000-0000562C0000}"/>
    <cellStyle name="Normal 10 2 6 4" xfId="11392" xr:uid="{00000000-0005-0000-0000-0000572C0000}"/>
    <cellStyle name="Normal 10 2 6 5" xfId="11393" xr:uid="{00000000-0005-0000-0000-0000582C0000}"/>
    <cellStyle name="Normal 10 2 6 6" xfId="11394" xr:uid="{00000000-0005-0000-0000-0000592C0000}"/>
    <cellStyle name="Normal 10 2 6 7" xfId="11395" xr:uid="{00000000-0005-0000-0000-00005A2C0000}"/>
    <cellStyle name="Normal 10 2 6 8" xfId="11396" xr:uid="{00000000-0005-0000-0000-00005B2C0000}"/>
    <cellStyle name="Normal 10 2 7" xfId="11397" xr:uid="{00000000-0005-0000-0000-00005C2C0000}"/>
    <cellStyle name="Normal 10 2 7 2" xfId="11398" xr:uid="{00000000-0005-0000-0000-00005D2C0000}"/>
    <cellStyle name="Normal 10 2 7 3" xfId="11399" xr:uid="{00000000-0005-0000-0000-00005E2C0000}"/>
    <cellStyle name="Normal 10 2 7 4" xfId="11400" xr:uid="{00000000-0005-0000-0000-00005F2C0000}"/>
    <cellStyle name="Normal 10 2 7 5" xfId="11401" xr:uid="{00000000-0005-0000-0000-0000602C0000}"/>
    <cellStyle name="Normal 10 2 7 6" xfId="11402" xr:uid="{00000000-0005-0000-0000-0000612C0000}"/>
    <cellStyle name="Normal 10 2 7 7" xfId="11403" xr:uid="{00000000-0005-0000-0000-0000622C0000}"/>
    <cellStyle name="Normal 10 2 7 8" xfId="11404" xr:uid="{00000000-0005-0000-0000-0000632C0000}"/>
    <cellStyle name="Normal 10 2 8" xfId="11405" xr:uid="{00000000-0005-0000-0000-0000642C0000}"/>
    <cellStyle name="Normal 10 2 8 2" xfId="11406" xr:uid="{00000000-0005-0000-0000-0000652C0000}"/>
    <cellStyle name="Normal 10 2 8 3" xfId="11407" xr:uid="{00000000-0005-0000-0000-0000662C0000}"/>
    <cellStyle name="Normal 10 2 8 4" xfId="11408" xr:uid="{00000000-0005-0000-0000-0000672C0000}"/>
    <cellStyle name="Normal 10 2 8 5" xfId="11409" xr:uid="{00000000-0005-0000-0000-0000682C0000}"/>
    <cellStyle name="Normal 10 2 8 6" xfId="11410" xr:uid="{00000000-0005-0000-0000-0000692C0000}"/>
    <cellStyle name="Normal 10 2 8 7" xfId="11411" xr:uid="{00000000-0005-0000-0000-00006A2C0000}"/>
    <cellStyle name="Normal 10 2 8 8" xfId="11412" xr:uid="{00000000-0005-0000-0000-00006B2C0000}"/>
    <cellStyle name="Normal 10 2 9" xfId="11413" xr:uid="{00000000-0005-0000-0000-00006C2C0000}"/>
    <cellStyle name="Normal 10 2 9 2" xfId="11414" xr:uid="{00000000-0005-0000-0000-00006D2C0000}"/>
    <cellStyle name="Normal 10 2 9 3" xfId="11415" xr:uid="{00000000-0005-0000-0000-00006E2C0000}"/>
    <cellStyle name="Normal 10 2 9 4" xfId="11416" xr:uid="{00000000-0005-0000-0000-00006F2C0000}"/>
    <cellStyle name="Normal 10 2 9 5" xfId="11417" xr:uid="{00000000-0005-0000-0000-0000702C0000}"/>
    <cellStyle name="Normal 10 2 9 6" xfId="11418" xr:uid="{00000000-0005-0000-0000-0000712C0000}"/>
    <cellStyle name="Normal 10 2 9 7" xfId="11419" xr:uid="{00000000-0005-0000-0000-0000722C0000}"/>
    <cellStyle name="Normal 10 2 9 8" xfId="11420" xr:uid="{00000000-0005-0000-0000-0000732C0000}"/>
    <cellStyle name="Normal 10 2_NERELLA ADDITIONAL CLASS ROOMS IN FF" xfId="11421" xr:uid="{00000000-0005-0000-0000-0000742C0000}"/>
    <cellStyle name="Normal 10 3" xfId="11422" xr:uid="{00000000-0005-0000-0000-0000752C0000}"/>
    <cellStyle name="Normal 10 3 2" xfId="11423" xr:uid="{00000000-0005-0000-0000-0000762C0000}"/>
    <cellStyle name="Normal 10 3 2 2" xfId="11424" xr:uid="{00000000-0005-0000-0000-0000772C0000}"/>
    <cellStyle name="Normal 10 3 2 3" xfId="11425" xr:uid="{00000000-0005-0000-0000-0000782C0000}"/>
    <cellStyle name="Normal 10 3 3" xfId="11426" xr:uid="{00000000-0005-0000-0000-0000792C0000}"/>
    <cellStyle name="Normal 10 3 4" xfId="11427" xr:uid="{00000000-0005-0000-0000-00007A2C0000}"/>
    <cellStyle name="Normal 10 4" xfId="11428" xr:uid="{00000000-0005-0000-0000-00007B2C0000}"/>
    <cellStyle name="Normal 10 4 10" xfId="11429" xr:uid="{00000000-0005-0000-0000-00007C2C0000}"/>
    <cellStyle name="Normal 10 4 2" xfId="11430" xr:uid="{00000000-0005-0000-0000-00007D2C0000}"/>
    <cellStyle name="Normal 10 4 3" xfId="11431" xr:uid="{00000000-0005-0000-0000-00007E2C0000}"/>
    <cellStyle name="Normal 10 4 4" xfId="11432" xr:uid="{00000000-0005-0000-0000-00007F2C0000}"/>
    <cellStyle name="Normal 10 4 5" xfId="11433" xr:uid="{00000000-0005-0000-0000-0000802C0000}"/>
    <cellStyle name="Normal 10 4 6" xfId="11434" xr:uid="{00000000-0005-0000-0000-0000812C0000}"/>
    <cellStyle name="Normal 10 4 7" xfId="11435" xr:uid="{00000000-0005-0000-0000-0000822C0000}"/>
    <cellStyle name="Normal 10 4 8" xfId="11436" xr:uid="{00000000-0005-0000-0000-0000832C0000}"/>
    <cellStyle name="Normal 10 4 9" xfId="11437" xr:uid="{00000000-0005-0000-0000-0000842C0000}"/>
    <cellStyle name="Normal 10 5" xfId="11438" xr:uid="{00000000-0005-0000-0000-0000852C0000}"/>
    <cellStyle name="Normal 10 5 2" xfId="11439" xr:uid="{00000000-0005-0000-0000-0000862C0000}"/>
    <cellStyle name="Normal 10 5 3" xfId="11440" xr:uid="{00000000-0005-0000-0000-0000872C0000}"/>
    <cellStyle name="Normal 10 5 4" xfId="11441" xr:uid="{00000000-0005-0000-0000-0000882C0000}"/>
    <cellStyle name="Normal 10 5 5" xfId="11442" xr:uid="{00000000-0005-0000-0000-0000892C0000}"/>
    <cellStyle name="Normal 10 5 6" xfId="11443" xr:uid="{00000000-0005-0000-0000-00008A2C0000}"/>
    <cellStyle name="Normal 10 5 7" xfId="11444" xr:uid="{00000000-0005-0000-0000-00008B2C0000}"/>
    <cellStyle name="Normal 10 5 8" xfId="11445" xr:uid="{00000000-0005-0000-0000-00008C2C0000}"/>
    <cellStyle name="Normal 10 6" xfId="11446" xr:uid="{00000000-0005-0000-0000-00008D2C0000}"/>
    <cellStyle name="Normal 10 6 10" xfId="11447" xr:uid="{00000000-0005-0000-0000-00008E2C0000}"/>
    <cellStyle name="Normal 10 6 2" xfId="11448" xr:uid="{00000000-0005-0000-0000-00008F2C0000}"/>
    <cellStyle name="Normal 10 6 3" xfId="11449" xr:uid="{00000000-0005-0000-0000-0000902C0000}"/>
    <cellStyle name="Normal 10 6 4" xfId="11450" xr:uid="{00000000-0005-0000-0000-0000912C0000}"/>
    <cellStyle name="Normal 10 6 5" xfId="11451" xr:uid="{00000000-0005-0000-0000-0000922C0000}"/>
    <cellStyle name="Normal 10 6 6" xfId="11452" xr:uid="{00000000-0005-0000-0000-0000932C0000}"/>
    <cellStyle name="Normal 10 6 7" xfId="11453" xr:uid="{00000000-0005-0000-0000-0000942C0000}"/>
    <cellStyle name="Normal 10 6 8" xfId="11454" xr:uid="{00000000-0005-0000-0000-0000952C0000}"/>
    <cellStyle name="Normal 10 6 9" xfId="11455" xr:uid="{00000000-0005-0000-0000-0000962C0000}"/>
    <cellStyle name="Normal 10 7" xfId="11456" xr:uid="{00000000-0005-0000-0000-0000972C0000}"/>
    <cellStyle name="Normal 10 7 10" xfId="11457" xr:uid="{00000000-0005-0000-0000-0000982C0000}"/>
    <cellStyle name="Normal 10 7 2" xfId="11458" xr:uid="{00000000-0005-0000-0000-0000992C0000}"/>
    <cellStyle name="Normal 10 7 3" xfId="11459" xr:uid="{00000000-0005-0000-0000-00009A2C0000}"/>
    <cellStyle name="Normal 10 7 4" xfId="11460" xr:uid="{00000000-0005-0000-0000-00009B2C0000}"/>
    <cellStyle name="Normal 10 7 5" xfId="11461" xr:uid="{00000000-0005-0000-0000-00009C2C0000}"/>
    <cellStyle name="Normal 10 7 6" xfId="11462" xr:uid="{00000000-0005-0000-0000-00009D2C0000}"/>
    <cellStyle name="Normal 10 7 7" xfId="11463" xr:uid="{00000000-0005-0000-0000-00009E2C0000}"/>
    <cellStyle name="Normal 10 7 8" xfId="11464" xr:uid="{00000000-0005-0000-0000-00009F2C0000}"/>
    <cellStyle name="Normal 10 7 9" xfId="11465" xr:uid="{00000000-0005-0000-0000-0000A02C0000}"/>
    <cellStyle name="Normal 10 8" xfId="11466" xr:uid="{00000000-0005-0000-0000-0000A12C0000}"/>
    <cellStyle name="Normal 10 8 10" xfId="11467" xr:uid="{00000000-0005-0000-0000-0000A22C0000}"/>
    <cellStyle name="Normal 10 8 2" xfId="11468" xr:uid="{00000000-0005-0000-0000-0000A32C0000}"/>
    <cellStyle name="Normal 10 8 3" xfId="11469" xr:uid="{00000000-0005-0000-0000-0000A42C0000}"/>
    <cellStyle name="Normal 10 8 4" xfId="11470" xr:uid="{00000000-0005-0000-0000-0000A52C0000}"/>
    <cellStyle name="Normal 10 8 5" xfId="11471" xr:uid="{00000000-0005-0000-0000-0000A62C0000}"/>
    <cellStyle name="Normal 10 8 6" xfId="11472" xr:uid="{00000000-0005-0000-0000-0000A72C0000}"/>
    <cellStyle name="Normal 10 8 7" xfId="11473" xr:uid="{00000000-0005-0000-0000-0000A82C0000}"/>
    <cellStyle name="Normal 10 8 8" xfId="11474" xr:uid="{00000000-0005-0000-0000-0000A92C0000}"/>
    <cellStyle name="Normal 10 8 9" xfId="11475" xr:uid="{00000000-0005-0000-0000-0000AA2C0000}"/>
    <cellStyle name="Normal 10 9" xfId="11476" xr:uid="{00000000-0005-0000-0000-0000AB2C0000}"/>
    <cellStyle name="Normal 10 9 2" xfId="11477" xr:uid="{00000000-0005-0000-0000-0000AC2C0000}"/>
    <cellStyle name="Normal 10 9 3" xfId="11478" xr:uid="{00000000-0005-0000-0000-0000AD2C0000}"/>
    <cellStyle name="Normal 10 9 4" xfId="11479" xr:uid="{00000000-0005-0000-0000-0000AE2C0000}"/>
    <cellStyle name="Normal 10 9 5" xfId="11480" xr:uid="{00000000-0005-0000-0000-0000AF2C0000}"/>
    <cellStyle name="Normal 10 9 6" xfId="11481" xr:uid="{00000000-0005-0000-0000-0000B02C0000}"/>
    <cellStyle name="Normal 10 9 7" xfId="11482" xr:uid="{00000000-0005-0000-0000-0000B12C0000}"/>
    <cellStyle name="Normal 10 9 8" xfId="11483" xr:uid="{00000000-0005-0000-0000-0000B22C0000}"/>
    <cellStyle name="Normal 10_356.32 lakhs estimate-KAMALAPUR TO AMUDALAPALLY" xfId="11484" xr:uid="{00000000-0005-0000-0000-0000B32C0000}"/>
    <cellStyle name="Normal 100" xfId="11485" xr:uid="{00000000-0005-0000-0000-0000B42C0000}"/>
    <cellStyle name="Normal 100 2" xfId="11486" xr:uid="{00000000-0005-0000-0000-0000B52C0000}"/>
    <cellStyle name="Normal 100 3" xfId="11487" xr:uid="{00000000-0005-0000-0000-0000B62C0000}"/>
    <cellStyle name="Normal 101" xfId="11488" xr:uid="{00000000-0005-0000-0000-0000B72C0000}"/>
    <cellStyle name="Normal 101 2" xfId="11489" xr:uid="{00000000-0005-0000-0000-0000B82C0000}"/>
    <cellStyle name="Normal 101 3" xfId="11490" xr:uid="{00000000-0005-0000-0000-0000B92C0000}"/>
    <cellStyle name="Normal 102" xfId="11491" xr:uid="{00000000-0005-0000-0000-0000BA2C0000}"/>
    <cellStyle name="Normal 102 2" xfId="11492" xr:uid="{00000000-0005-0000-0000-0000BB2C0000}"/>
    <cellStyle name="Normal 102 3" xfId="11493" xr:uid="{00000000-0005-0000-0000-0000BC2C0000}"/>
    <cellStyle name="Normal 103" xfId="11494" xr:uid="{00000000-0005-0000-0000-0000BD2C0000}"/>
    <cellStyle name="Normal 103 2" xfId="11495" xr:uid="{00000000-0005-0000-0000-0000BE2C0000}"/>
    <cellStyle name="Normal 103 3" xfId="11496" xr:uid="{00000000-0005-0000-0000-0000BF2C0000}"/>
    <cellStyle name="Normal 104" xfId="11497" xr:uid="{00000000-0005-0000-0000-0000C02C0000}"/>
    <cellStyle name="Normal 104 2" xfId="11498" xr:uid="{00000000-0005-0000-0000-0000C12C0000}"/>
    <cellStyle name="Normal 104 3" xfId="11499" xr:uid="{00000000-0005-0000-0000-0000C22C0000}"/>
    <cellStyle name="Normal 105" xfId="11500" xr:uid="{00000000-0005-0000-0000-0000C32C0000}"/>
    <cellStyle name="Normal 105 2" xfId="11501" xr:uid="{00000000-0005-0000-0000-0000C42C0000}"/>
    <cellStyle name="Normal 105 3" xfId="11502" xr:uid="{00000000-0005-0000-0000-0000C52C0000}"/>
    <cellStyle name="Normal 106" xfId="11503" xr:uid="{00000000-0005-0000-0000-0000C62C0000}"/>
    <cellStyle name="Normal 106 2" xfId="11504" xr:uid="{00000000-0005-0000-0000-0000C72C0000}"/>
    <cellStyle name="Normal 107" xfId="11505" xr:uid="{00000000-0005-0000-0000-0000C82C0000}"/>
    <cellStyle name="Normal 107 2" xfId="11506" xr:uid="{00000000-0005-0000-0000-0000C92C0000}"/>
    <cellStyle name="Normal 108" xfId="11507" xr:uid="{00000000-0005-0000-0000-0000CA2C0000}"/>
    <cellStyle name="Normal 108 2" xfId="11508" xr:uid="{00000000-0005-0000-0000-0000CB2C0000}"/>
    <cellStyle name="Normal 108 3" xfId="11509" xr:uid="{00000000-0005-0000-0000-0000CC2C0000}"/>
    <cellStyle name="Normal 109" xfId="11510" xr:uid="{00000000-0005-0000-0000-0000CD2C0000}"/>
    <cellStyle name="Normal 109 2" xfId="11511" xr:uid="{00000000-0005-0000-0000-0000CE2C0000}"/>
    <cellStyle name="Normal 11" xfId="11512" xr:uid="{00000000-0005-0000-0000-0000CF2C0000}"/>
    <cellStyle name="Normal 11 10" xfId="11513" xr:uid="{00000000-0005-0000-0000-0000D02C0000}"/>
    <cellStyle name="Normal 11 10 2" xfId="11514" xr:uid="{00000000-0005-0000-0000-0000D12C0000}"/>
    <cellStyle name="Normal 11 10 3" xfId="11515" xr:uid="{00000000-0005-0000-0000-0000D22C0000}"/>
    <cellStyle name="Normal 11 10 4" xfId="11516" xr:uid="{00000000-0005-0000-0000-0000D32C0000}"/>
    <cellStyle name="Normal 11 10 5" xfId="11517" xr:uid="{00000000-0005-0000-0000-0000D42C0000}"/>
    <cellStyle name="Normal 11 10 6" xfId="11518" xr:uid="{00000000-0005-0000-0000-0000D52C0000}"/>
    <cellStyle name="Normal 11 10 7" xfId="11519" xr:uid="{00000000-0005-0000-0000-0000D62C0000}"/>
    <cellStyle name="Normal 11 10 8" xfId="11520" xr:uid="{00000000-0005-0000-0000-0000D72C0000}"/>
    <cellStyle name="Normal 11 11" xfId="11521" xr:uid="{00000000-0005-0000-0000-0000D82C0000}"/>
    <cellStyle name="Normal 11 12" xfId="11522" xr:uid="{00000000-0005-0000-0000-0000D92C0000}"/>
    <cellStyle name="Normal 11 13" xfId="11523" xr:uid="{00000000-0005-0000-0000-0000DA2C0000}"/>
    <cellStyle name="Normal 11 14" xfId="11524" xr:uid="{00000000-0005-0000-0000-0000DB2C0000}"/>
    <cellStyle name="Normal 11 14 2" xfId="11525" xr:uid="{00000000-0005-0000-0000-0000DC2C0000}"/>
    <cellStyle name="Normal 11 14 2 2" xfId="11526" xr:uid="{00000000-0005-0000-0000-0000DD2C0000}"/>
    <cellStyle name="Normal 11 14 2 3" xfId="11527" xr:uid="{00000000-0005-0000-0000-0000DE2C0000}"/>
    <cellStyle name="Normal 11 15" xfId="11528" xr:uid="{00000000-0005-0000-0000-0000DF2C0000}"/>
    <cellStyle name="Normal 11 16" xfId="11529" xr:uid="{00000000-0005-0000-0000-0000E02C0000}"/>
    <cellStyle name="Normal 11 17" xfId="11530" xr:uid="{00000000-0005-0000-0000-0000E12C0000}"/>
    <cellStyle name="Normal 11 18" xfId="11531" xr:uid="{00000000-0005-0000-0000-0000E22C0000}"/>
    <cellStyle name="Normal 11 2" xfId="11532" xr:uid="{00000000-0005-0000-0000-0000E32C0000}"/>
    <cellStyle name="Normal 11 2 10" xfId="11533" xr:uid="{00000000-0005-0000-0000-0000E42C0000}"/>
    <cellStyle name="Normal 11 2 2" xfId="11534" xr:uid="{00000000-0005-0000-0000-0000E52C0000}"/>
    <cellStyle name="Normal 11 2 2 2" xfId="11535" xr:uid="{00000000-0005-0000-0000-0000E62C0000}"/>
    <cellStyle name="Normal 11 2 3" xfId="11536" xr:uid="{00000000-0005-0000-0000-0000E72C0000}"/>
    <cellStyle name="Normal 11 2 4" xfId="11537" xr:uid="{00000000-0005-0000-0000-0000E82C0000}"/>
    <cellStyle name="Normal 11 2 5" xfId="11538" xr:uid="{00000000-0005-0000-0000-0000E92C0000}"/>
    <cellStyle name="Normal 11 2 6" xfId="11539" xr:uid="{00000000-0005-0000-0000-0000EA2C0000}"/>
    <cellStyle name="Normal 11 2 7" xfId="11540" xr:uid="{00000000-0005-0000-0000-0000EB2C0000}"/>
    <cellStyle name="Normal 11 2 8" xfId="11541" xr:uid="{00000000-0005-0000-0000-0000EC2C0000}"/>
    <cellStyle name="Normal 11 2 9" xfId="11542" xr:uid="{00000000-0005-0000-0000-0000ED2C0000}"/>
    <cellStyle name="Normal 11 3" xfId="11543" xr:uid="{00000000-0005-0000-0000-0000EE2C0000}"/>
    <cellStyle name="Normal 11 3 10" xfId="11544" xr:uid="{00000000-0005-0000-0000-0000EF2C0000}"/>
    <cellStyle name="Normal 11 3 2" xfId="11545" xr:uid="{00000000-0005-0000-0000-0000F02C0000}"/>
    <cellStyle name="Normal 11 3 2 2" xfId="11546" xr:uid="{00000000-0005-0000-0000-0000F12C0000}"/>
    <cellStyle name="Normal 11 3 2 2 2" xfId="11547" xr:uid="{00000000-0005-0000-0000-0000F22C0000}"/>
    <cellStyle name="Normal 11 3 2 2 3" xfId="11548" xr:uid="{00000000-0005-0000-0000-0000F32C0000}"/>
    <cellStyle name="Normal 11 3 2 2 3 2" xfId="11549" xr:uid="{00000000-0005-0000-0000-0000F42C0000}"/>
    <cellStyle name="Normal 11 3 2 3" xfId="11550" xr:uid="{00000000-0005-0000-0000-0000F52C0000}"/>
    <cellStyle name="Normal 11 3 3" xfId="11551" xr:uid="{00000000-0005-0000-0000-0000F62C0000}"/>
    <cellStyle name="Normal 11 3 4" xfId="11552" xr:uid="{00000000-0005-0000-0000-0000F72C0000}"/>
    <cellStyle name="Normal 11 3 5" xfId="11553" xr:uid="{00000000-0005-0000-0000-0000F82C0000}"/>
    <cellStyle name="Normal 11 3 6" xfId="11554" xr:uid="{00000000-0005-0000-0000-0000F92C0000}"/>
    <cellStyle name="Normal 11 3 7" xfId="11555" xr:uid="{00000000-0005-0000-0000-0000FA2C0000}"/>
    <cellStyle name="Normal 11 3 8" xfId="11556" xr:uid="{00000000-0005-0000-0000-0000FB2C0000}"/>
    <cellStyle name="Normal 11 3 9" xfId="11557" xr:uid="{00000000-0005-0000-0000-0000FC2C0000}"/>
    <cellStyle name="Normal 11 4" xfId="11558" xr:uid="{00000000-0005-0000-0000-0000FD2C0000}"/>
    <cellStyle name="Normal 11 4 2" xfId="11559" xr:uid="{00000000-0005-0000-0000-0000FE2C0000}"/>
    <cellStyle name="Normal 11 4 3" xfId="11560" xr:uid="{00000000-0005-0000-0000-0000FF2C0000}"/>
    <cellStyle name="Normal 11 4 4" xfId="11561" xr:uid="{00000000-0005-0000-0000-0000002D0000}"/>
    <cellStyle name="Normal 11 4 5" xfId="11562" xr:uid="{00000000-0005-0000-0000-0000012D0000}"/>
    <cellStyle name="Normal 11 4 6" xfId="11563" xr:uid="{00000000-0005-0000-0000-0000022D0000}"/>
    <cellStyle name="Normal 11 4 7" xfId="11564" xr:uid="{00000000-0005-0000-0000-0000032D0000}"/>
    <cellStyle name="Normal 11 4 8" xfId="11565" xr:uid="{00000000-0005-0000-0000-0000042D0000}"/>
    <cellStyle name="Normal 11 5" xfId="11566" xr:uid="{00000000-0005-0000-0000-0000052D0000}"/>
    <cellStyle name="Normal 11 5 2" xfId="11567" xr:uid="{00000000-0005-0000-0000-0000062D0000}"/>
    <cellStyle name="Normal 11 5 2 2" xfId="11568" xr:uid="{00000000-0005-0000-0000-0000072D0000}"/>
    <cellStyle name="Normal 11 5 2 2 2" xfId="11569" xr:uid="{00000000-0005-0000-0000-0000082D0000}"/>
    <cellStyle name="Normal 11 5 2 3" xfId="11570" xr:uid="{00000000-0005-0000-0000-0000092D0000}"/>
    <cellStyle name="Normal 11 5 3" xfId="11571" xr:uid="{00000000-0005-0000-0000-00000A2D0000}"/>
    <cellStyle name="Normal 11 5 3 2" xfId="11572" xr:uid="{00000000-0005-0000-0000-00000B2D0000}"/>
    <cellStyle name="Normal 11 5 4" xfId="11573" xr:uid="{00000000-0005-0000-0000-00000C2D0000}"/>
    <cellStyle name="Normal 11 5 5" xfId="11574" xr:uid="{00000000-0005-0000-0000-00000D2D0000}"/>
    <cellStyle name="Normal 11 5 6" xfId="11575" xr:uid="{00000000-0005-0000-0000-00000E2D0000}"/>
    <cellStyle name="Normal 11 5 7" xfId="11576" xr:uid="{00000000-0005-0000-0000-00000F2D0000}"/>
    <cellStyle name="Normal 11 5 8" xfId="11577" xr:uid="{00000000-0005-0000-0000-0000102D0000}"/>
    <cellStyle name="Normal 11 6" xfId="11578" xr:uid="{00000000-0005-0000-0000-0000112D0000}"/>
    <cellStyle name="Normal 11 6 2" xfId="11579" xr:uid="{00000000-0005-0000-0000-0000122D0000}"/>
    <cellStyle name="Normal 11 6 2 2" xfId="11580" xr:uid="{00000000-0005-0000-0000-0000132D0000}"/>
    <cellStyle name="Normal 11 6 2 2 2" xfId="11581" xr:uid="{00000000-0005-0000-0000-0000142D0000}"/>
    <cellStyle name="Normal 11 6 2 2 2 2" xfId="11582" xr:uid="{00000000-0005-0000-0000-0000152D0000}"/>
    <cellStyle name="Normal 11 6 2 2 2 3" xfId="11583" xr:uid="{00000000-0005-0000-0000-0000162D0000}"/>
    <cellStyle name="Normal 11 6 2 2 3" xfId="11584" xr:uid="{00000000-0005-0000-0000-0000172D0000}"/>
    <cellStyle name="Normal 11 6 2 3" xfId="11585" xr:uid="{00000000-0005-0000-0000-0000182D0000}"/>
    <cellStyle name="Normal 11 6 2 3 2" xfId="11586" xr:uid="{00000000-0005-0000-0000-0000192D0000}"/>
    <cellStyle name="Normal 11 6 2 3 3" xfId="11587" xr:uid="{00000000-0005-0000-0000-00001A2D0000}"/>
    <cellStyle name="Normal 11 6 2 4" xfId="11588" xr:uid="{00000000-0005-0000-0000-00001B2D0000}"/>
    <cellStyle name="Normal 11 6 3" xfId="11589" xr:uid="{00000000-0005-0000-0000-00001C2D0000}"/>
    <cellStyle name="Normal 11 6 4" xfId="11590" xr:uid="{00000000-0005-0000-0000-00001D2D0000}"/>
    <cellStyle name="Normal 11 6 5" xfId="11591" xr:uid="{00000000-0005-0000-0000-00001E2D0000}"/>
    <cellStyle name="Normal 11 6 6" xfId="11592" xr:uid="{00000000-0005-0000-0000-00001F2D0000}"/>
    <cellStyle name="Normal 11 6 7" xfId="11593" xr:uid="{00000000-0005-0000-0000-0000202D0000}"/>
    <cellStyle name="Normal 11 6 8" xfId="11594" xr:uid="{00000000-0005-0000-0000-0000212D0000}"/>
    <cellStyle name="Normal 11 7" xfId="11595" xr:uid="{00000000-0005-0000-0000-0000222D0000}"/>
    <cellStyle name="Normal 11 7 2" xfId="11596" xr:uid="{00000000-0005-0000-0000-0000232D0000}"/>
    <cellStyle name="Normal 11 7 3" xfId="11597" xr:uid="{00000000-0005-0000-0000-0000242D0000}"/>
    <cellStyle name="Normal 11 7 4" xfId="11598" xr:uid="{00000000-0005-0000-0000-0000252D0000}"/>
    <cellStyle name="Normal 11 7 4 2" xfId="11599" xr:uid="{00000000-0005-0000-0000-0000262D0000}"/>
    <cellStyle name="Normal 11 7 5" xfId="11600" xr:uid="{00000000-0005-0000-0000-0000272D0000}"/>
    <cellStyle name="Normal 11 7 6" xfId="11601" xr:uid="{00000000-0005-0000-0000-0000282D0000}"/>
    <cellStyle name="Normal 11 7 7" xfId="11602" xr:uid="{00000000-0005-0000-0000-0000292D0000}"/>
    <cellStyle name="Normal 11 7 8" xfId="11603" xr:uid="{00000000-0005-0000-0000-00002A2D0000}"/>
    <cellStyle name="Normal 11 8" xfId="11604" xr:uid="{00000000-0005-0000-0000-00002B2D0000}"/>
    <cellStyle name="Normal 11 8 2" xfId="11605" xr:uid="{00000000-0005-0000-0000-00002C2D0000}"/>
    <cellStyle name="Normal 11 8 3" xfId="11606" xr:uid="{00000000-0005-0000-0000-00002D2D0000}"/>
    <cellStyle name="Normal 11 8 4" xfId="11607" xr:uid="{00000000-0005-0000-0000-00002E2D0000}"/>
    <cellStyle name="Normal 11 8 5" xfId="11608" xr:uid="{00000000-0005-0000-0000-00002F2D0000}"/>
    <cellStyle name="Normal 11 8 6" xfId="11609" xr:uid="{00000000-0005-0000-0000-0000302D0000}"/>
    <cellStyle name="Normal 11 8 7" xfId="11610" xr:uid="{00000000-0005-0000-0000-0000312D0000}"/>
    <cellStyle name="Normal 11 8 8" xfId="11611" xr:uid="{00000000-0005-0000-0000-0000322D0000}"/>
    <cellStyle name="Normal 11 9" xfId="11612" xr:uid="{00000000-0005-0000-0000-0000332D0000}"/>
    <cellStyle name="Normal 11 9 2" xfId="11613" xr:uid="{00000000-0005-0000-0000-0000342D0000}"/>
    <cellStyle name="Normal 11 9 3" xfId="11614" xr:uid="{00000000-0005-0000-0000-0000352D0000}"/>
    <cellStyle name="Normal 11 9 4" xfId="11615" xr:uid="{00000000-0005-0000-0000-0000362D0000}"/>
    <cellStyle name="Normal 11 9 5" xfId="11616" xr:uid="{00000000-0005-0000-0000-0000372D0000}"/>
    <cellStyle name="Normal 11 9 6" xfId="11617" xr:uid="{00000000-0005-0000-0000-0000382D0000}"/>
    <cellStyle name="Normal 11 9 7" xfId="11618" xr:uid="{00000000-0005-0000-0000-0000392D0000}"/>
    <cellStyle name="Normal 11 9 8" xfId="11619" xr:uid="{00000000-0005-0000-0000-00003A2D0000}"/>
    <cellStyle name="Normal 11_Block-A-UGF-Pour-1-QTY CORRECTED" xfId="11620" xr:uid="{00000000-0005-0000-0000-00003B2D0000}"/>
    <cellStyle name="Normal 110" xfId="11621" xr:uid="{00000000-0005-0000-0000-00003C2D0000}"/>
    <cellStyle name="Normal 110 2" xfId="11622" xr:uid="{00000000-0005-0000-0000-00003D2D0000}"/>
    <cellStyle name="Normal 110 3" xfId="11623" xr:uid="{00000000-0005-0000-0000-00003E2D0000}"/>
    <cellStyle name="Normal 111" xfId="11624" xr:uid="{00000000-0005-0000-0000-00003F2D0000}"/>
    <cellStyle name="Normal 111 2" xfId="11625" xr:uid="{00000000-0005-0000-0000-0000402D0000}"/>
    <cellStyle name="Normal 111 3" xfId="11626" xr:uid="{00000000-0005-0000-0000-0000412D0000}"/>
    <cellStyle name="Normal 112" xfId="11627" xr:uid="{00000000-0005-0000-0000-0000422D0000}"/>
    <cellStyle name="Normal 112 2" xfId="11628" xr:uid="{00000000-0005-0000-0000-0000432D0000}"/>
    <cellStyle name="Normal 112 3" xfId="11629" xr:uid="{00000000-0005-0000-0000-0000442D0000}"/>
    <cellStyle name="Normal 113" xfId="11630" xr:uid="{00000000-0005-0000-0000-0000452D0000}"/>
    <cellStyle name="Normal 113 2" xfId="11631" xr:uid="{00000000-0005-0000-0000-0000462D0000}"/>
    <cellStyle name="Normal 113 3" xfId="11632" xr:uid="{00000000-0005-0000-0000-0000472D0000}"/>
    <cellStyle name="Normal 114" xfId="11633" xr:uid="{00000000-0005-0000-0000-0000482D0000}"/>
    <cellStyle name="Normal 114 2" xfId="11634" xr:uid="{00000000-0005-0000-0000-0000492D0000}"/>
    <cellStyle name="Normal 114 3" xfId="11635" xr:uid="{00000000-0005-0000-0000-00004A2D0000}"/>
    <cellStyle name="Normal 114 5" xfId="11636" xr:uid="{00000000-0005-0000-0000-00004B2D0000}"/>
    <cellStyle name="Normal 115" xfId="11637" xr:uid="{00000000-0005-0000-0000-00004C2D0000}"/>
    <cellStyle name="Normal 115 2" xfId="11638" xr:uid="{00000000-0005-0000-0000-00004D2D0000}"/>
    <cellStyle name="Normal 115 3" xfId="11639" xr:uid="{00000000-0005-0000-0000-00004E2D0000}"/>
    <cellStyle name="Normal 115 4" xfId="11640" xr:uid="{00000000-0005-0000-0000-00004F2D0000}"/>
    <cellStyle name="Normal 116" xfId="11641" xr:uid="{00000000-0005-0000-0000-0000502D0000}"/>
    <cellStyle name="Normal 116 2" xfId="11642" xr:uid="{00000000-0005-0000-0000-0000512D0000}"/>
    <cellStyle name="Normal 116 3" xfId="11643" xr:uid="{00000000-0005-0000-0000-0000522D0000}"/>
    <cellStyle name="Normal 117" xfId="11644" xr:uid="{00000000-0005-0000-0000-0000532D0000}"/>
    <cellStyle name="Normal 117 2" xfId="11645" xr:uid="{00000000-0005-0000-0000-0000542D0000}"/>
    <cellStyle name="Normal 117 3" xfId="11646" xr:uid="{00000000-0005-0000-0000-0000552D0000}"/>
    <cellStyle name="Normal 118" xfId="11647" xr:uid="{00000000-0005-0000-0000-0000562D0000}"/>
    <cellStyle name="Normal 119" xfId="11648" xr:uid="{00000000-0005-0000-0000-0000572D0000}"/>
    <cellStyle name="Normal 119 2" xfId="11649" xr:uid="{00000000-0005-0000-0000-0000582D0000}"/>
    <cellStyle name="Normal 12" xfId="11650" xr:uid="{00000000-0005-0000-0000-0000592D0000}"/>
    <cellStyle name="Normal 12 10" xfId="11651" xr:uid="{00000000-0005-0000-0000-00005A2D0000}"/>
    <cellStyle name="Normal 12 11" xfId="11652" xr:uid="{00000000-0005-0000-0000-00005B2D0000}"/>
    <cellStyle name="Normal 12 12" xfId="11653" xr:uid="{00000000-0005-0000-0000-00005C2D0000}"/>
    <cellStyle name="Normal 12 13" xfId="11654" xr:uid="{00000000-0005-0000-0000-00005D2D0000}"/>
    <cellStyle name="Normal 12 14" xfId="11655" xr:uid="{00000000-0005-0000-0000-00005E2D0000}"/>
    <cellStyle name="Normal 12 15" xfId="11656" xr:uid="{00000000-0005-0000-0000-00005F2D0000}"/>
    <cellStyle name="Normal 12 16" xfId="11657" xr:uid="{00000000-0005-0000-0000-0000602D0000}"/>
    <cellStyle name="Normal 12 17" xfId="11658" xr:uid="{00000000-0005-0000-0000-0000612D0000}"/>
    <cellStyle name="Normal 12 18" xfId="11659" xr:uid="{00000000-0005-0000-0000-0000622D0000}"/>
    <cellStyle name="Normal 12 19" xfId="11660" xr:uid="{00000000-0005-0000-0000-0000632D0000}"/>
    <cellStyle name="Normal 12 2" xfId="11661" xr:uid="{00000000-0005-0000-0000-0000642D0000}"/>
    <cellStyle name="Normal 12 2 10" xfId="11662" xr:uid="{00000000-0005-0000-0000-0000652D0000}"/>
    <cellStyle name="Normal 12 2 11" xfId="11663" xr:uid="{00000000-0005-0000-0000-0000662D0000}"/>
    <cellStyle name="Normal 12 2 2" xfId="11664" xr:uid="{00000000-0005-0000-0000-0000672D0000}"/>
    <cellStyle name="Normal 12 2 2 2" xfId="11665" xr:uid="{00000000-0005-0000-0000-0000682D0000}"/>
    <cellStyle name="Normal 12 2 2 3" xfId="11666" xr:uid="{00000000-0005-0000-0000-0000692D0000}"/>
    <cellStyle name="Normal 12 2 3" xfId="11667" xr:uid="{00000000-0005-0000-0000-00006A2D0000}"/>
    <cellStyle name="Normal 12 2 3 2" xfId="11668" xr:uid="{00000000-0005-0000-0000-00006B2D0000}"/>
    <cellStyle name="Normal 12 2 3 3" xfId="11669" xr:uid="{00000000-0005-0000-0000-00006C2D0000}"/>
    <cellStyle name="Normal 12 2 4" xfId="11670" xr:uid="{00000000-0005-0000-0000-00006D2D0000}"/>
    <cellStyle name="Normal 12 2 4 2" xfId="11671" xr:uid="{00000000-0005-0000-0000-00006E2D0000}"/>
    <cellStyle name="Normal 12 2 4 3" xfId="11672" xr:uid="{00000000-0005-0000-0000-00006F2D0000}"/>
    <cellStyle name="Normal 12 2 5" xfId="11673" xr:uid="{00000000-0005-0000-0000-0000702D0000}"/>
    <cellStyle name="Normal 12 2 5 2" xfId="11674" xr:uid="{00000000-0005-0000-0000-0000712D0000}"/>
    <cellStyle name="Normal 12 2 5 3" xfId="11675" xr:uid="{00000000-0005-0000-0000-0000722D0000}"/>
    <cellStyle name="Normal 12 2 6" xfId="11676" xr:uid="{00000000-0005-0000-0000-0000732D0000}"/>
    <cellStyle name="Normal 12 2 6 2" xfId="11677" xr:uid="{00000000-0005-0000-0000-0000742D0000}"/>
    <cellStyle name="Normal 12 2 6 3" xfId="11678" xr:uid="{00000000-0005-0000-0000-0000752D0000}"/>
    <cellStyle name="Normal 12 2 7" xfId="11679" xr:uid="{00000000-0005-0000-0000-0000762D0000}"/>
    <cellStyle name="Normal 12 2 8" xfId="11680" xr:uid="{00000000-0005-0000-0000-0000772D0000}"/>
    <cellStyle name="Normal 12 2 9" xfId="11681" xr:uid="{00000000-0005-0000-0000-0000782D0000}"/>
    <cellStyle name="Normal 12 20" xfId="11682" xr:uid="{00000000-0005-0000-0000-0000792D0000}"/>
    <cellStyle name="Normal 12 21" xfId="11683" xr:uid="{00000000-0005-0000-0000-00007A2D0000}"/>
    <cellStyle name="Normal 12 22" xfId="11684" xr:uid="{00000000-0005-0000-0000-00007B2D0000}"/>
    <cellStyle name="Normal 12 23" xfId="11685" xr:uid="{00000000-0005-0000-0000-00007C2D0000}"/>
    <cellStyle name="Normal 12 24" xfId="11686" xr:uid="{00000000-0005-0000-0000-00007D2D0000}"/>
    <cellStyle name="Normal 12 25" xfId="11687" xr:uid="{00000000-0005-0000-0000-00007E2D0000}"/>
    <cellStyle name="Normal 12 26" xfId="11688" xr:uid="{00000000-0005-0000-0000-00007F2D0000}"/>
    <cellStyle name="Normal 12 27" xfId="11689" xr:uid="{00000000-0005-0000-0000-0000802D0000}"/>
    <cellStyle name="Normal 12 28" xfId="11690" xr:uid="{00000000-0005-0000-0000-0000812D0000}"/>
    <cellStyle name="Normal 12 29" xfId="11691" xr:uid="{00000000-0005-0000-0000-0000822D0000}"/>
    <cellStyle name="Normal 12 29 2" xfId="11692" xr:uid="{00000000-0005-0000-0000-0000832D0000}"/>
    <cellStyle name="Normal 12 3" xfId="11693" xr:uid="{00000000-0005-0000-0000-0000842D0000}"/>
    <cellStyle name="Normal 12 3 10" xfId="11694" xr:uid="{00000000-0005-0000-0000-0000852D0000}"/>
    <cellStyle name="Normal 12 3 2" xfId="11695" xr:uid="{00000000-0005-0000-0000-0000862D0000}"/>
    <cellStyle name="Normal 12 3 2 2" xfId="11696" xr:uid="{00000000-0005-0000-0000-0000872D0000}"/>
    <cellStyle name="Normal 12 3 2 2 2" xfId="11697" xr:uid="{00000000-0005-0000-0000-0000882D0000}"/>
    <cellStyle name="Normal 12 3 2 2 2 2" xfId="11698" xr:uid="{00000000-0005-0000-0000-0000892D0000}"/>
    <cellStyle name="Normal 12 3 2 2 2 2 2" xfId="11699" xr:uid="{00000000-0005-0000-0000-00008A2D0000}"/>
    <cellStyle name="Normal 12 3 2 2 2 3" xfId="11700" xr:uid="{00000000-0005-0000-0000-00008B2D0000}"/>
    <cellStyle name="Normal 12 3 2 2 3" xfId="11701" xr:uid="{00000000-0005-0000-0000-00008C2D0000}"/>
    <cellStyle name="Normal 12 3 2 2 3 2" xfId="11702" xr:uid="{00000000-0005-0000-0000-00008D2D0000}"/>
    <cellStyle name="Normal 12 3 2 2 4" xfId="11703" xr:uid="{00000000-0005-0000-0000-00008E2D0000}"/>
    <cellStyle name="Normal 12 3 2 2 4 2" xfId="11704" xr:uid="{00000000-0005-0000-0000-00008F2D0000}"/>
    <cellStyle name="Normal 12 3 2 2 5" xfId="11705" xr:uid="{00000000-0005-0000-0000-0000902D0000}"/>
    <cellStyle name="Normal 12 3 2 3" xfId="11706" xr:uid="{00000000-0005-0000-0000-0000912D0000}"/>
    <cellStyle name="Normal 12 3 2 3 2" xfId="11707" xr:uid="{00000000-0005-0000-0000-0000922D0000}"/>
    <cellStyle name="Normal 12 3 2 3 2 2" xfId="11708" xr:uid="{00000000-0005-0000-0000-0000932D0000}"/>
    <cellStyle name="Normal 12 3 2 3 2 2 2" xfId="11709" xr:uid="{00000000-0005-0000-0000-0000942D0000}"/>
    <cellStyle name="Normal 12 3 2 3 2 3" xfId="11710" xr:uid="{00000000-0005-0000-0000-0000952D0000}"/>
    <cellStyle name="Normal 12 3 2 3 3" xfId="11711" xr:uid="{00000000-0005-0000-0000-0000962D0000}"/>
    <cellStyle name="Normal 12 3 2 3 3 2" xfId="11712" xr:uid="{00000000-0005-0000-0000-0000972D0000}"/>
    <cellStyle name="Normal 12 3 2 3 4" xfId="11713" xr:uid="{00000000-0005-0000-0000-0000982D0000}"/>
    <cellStyle name="Normal 12 3 2 3 4 2" xfId="11714" xr:uid="{00000000-0005-0000-0000-0000992D0000}"/>
    <cellStyle name="Normal 12 3 2 3 5" xfId="11715" xr:uid="{00000000-0005-0000-0000-00009A2D0000}"/>
    <cellStyle name="Normal 12 3 2 4" xfId="11716" xr:uid="{00000000-0005-0000-0000-00009B2D0000}"/>
    <cellStyle name="Normal 12 3 2 4 2" xfId="11717" xr:uid="{00000000-0005-0000-0000-00009C2D0000}"/>
    <cellStyle name="Normal 12 3 2 4 2 2" xfId="11718" xr:uid="{00000000-0005-0000-0000-00009D2D0000}"/>
    <cellStyle name="Normal 12 3 2 4 3" xfId="11719" xr:uid="{00000000-0005-0000-0000-00009E2D0000}"/>
    <cellStyle name="Normal 12 3 2 5" xfId="11720" xr:uid="{00000000-0005-0000-0000-00009F2D0000}"/>
    <cellStyle name="Normal 12 3 2 5 2" xfId="11721" xr:uid="{00000000-0005-0000-0000-0000A02D0000}"/>
    <cellStyle name="Normal 12 3 2 6" xfId="11722" xr:uid="{00000000-0005-0000-0000-0000A12D0000}"/>
    <cellStyle name="Normal 12 3 2 6 2" xfId="11723" xr:uid="{00000000-0005-0000-0000-0000A22D0000}"/>
    <cellStyle name="Normal 12 3 2 7" xfId="11724" xr:uid="{00000000-0005-0000-0000-0000A32D0000}"/>
    <cellStyle name="Normal 12 3 3" xfId="11725" xr:uid="{00000000-0005-0000-0000-0000A42D0000}"/>
    <cellStyle name="Normal 12 3 3 2" xfId="11726" xr:uid="{00000000-0005-0000-0000-0000A52D0000}"/>
    <cellStyle name="Normal 12 3 3 2 2" xfId="11727" xr:uid="{00000000-0005-0000-0000-0000A62D0000}"/>
    <cellStyle name="Normal 12 3 3 2 2 2" xfId="11728" xr:uid="{00000000-0005-0000-0000-0000A72D0000}"/>
    <cellStyle name="Normal 12 3 3 2 3" xfId="11729" xr:uid="{00000000-0005-0000-0000-0000A82D0000}"/>
    <cellStyle name="Normal 12 3 3 3" xfId="11730" xr:uid="{00000000-0005-0000-0000-0000A92D0000}"/>
    <cellStyle name="Normal 12 3 3 3 2" xfId="11731" xr:uid="{00000000-0005-0000-0000-0000AA2D0000}"/>
    <cellStyle name="Normal 12 3 3 4" xfId="11732" xr:uid="{00000000-0005-0000-0000-0000AB2D0000}"/>
    <cellStyle name="Normal 12 3 3 4 2" xfId="11733" xr:uid="{00000000-0005-0000-0000-0000AC2D0000}"/>
    <cellStyle name="Normal 12 3 3 5" xfId="11734" xr:uid="{00000000-0005-0000-0000-0000AD2D0000}"/>
    <cellStyle name="Normal 12 3 4" xfId="11735" xr:uid="{00000000-0005-0000-0000-0000AE2D0000}"/>
    <cellStyle name="Normal 12 3 4 2" xfId="11736" xr:uid="{00000000-0005-0000-0000-0000AF2D0000}"/>
    <cellStyle name="Normal 12 3 4 2 2" xfId="11737" xr:uid="{00000000-0005-0000-0000-0000B02D0000}"/>
    <cellStyle name="Normal 12 3 4 2 2 2" xfId="11738" xr:uid="{00000000-0005-0000-0000-0000B12D0000}"/>
    <cellStyle name="Normal 12 3 4 2 3" xfId="11739" xr:uid="{00000000-0005-0000-0000-0000B22D0000}"/>
    <cellStyle name="Normal 12 3 4 3" xfId="11740" xr:uid="{00000000-0005-0000-0000-0000B32D0000}"/>
    <cellStyle name="Normal 12 3 4 3 2" xfId="11741" xr:uid="{00000000-0005-0000-0000-0000B42D0000}"/>
    <cellStyle name="Normal 12 3 4 4" xfId="11742" xr:uid="{00000000-0005-0000-0000-0000B52D0000}"/>
    <cellStyle name="Normal 12 3 4 4 2" xfId="11743" xr:uid="{00000000-0005-0000-0000-0000B62D0000}"/>
    <cellStyle name="Normal 12 3 4 5" xfId="11744" xr:uid="{00000000-0005-0000-0000-0000B72D0000}"/>
    <cellStyle name="Normal 12 3 5" xfId="11745" xr:uid="{00000000-0005-0000-0000-0000B82D0000}"/>
    <cellStyle name="Normal 12 3 5 2" xfId="11746" xr:uid="{00000000-0005-0000-0000-0000B92D0000}"/>
    <cellStyle name="Normal 12 3 5 2 2" xfId="11747" xr:uid="{00000000-0005-0000-0000-0000BA2D0000}"/>
    <cellStyle name="Normal 12 3 5 2 2 2" xfId="11748" xr:uid="{00000000-0005-0000-0000-0000BB2D0000}"/>
    <cellStyle name="Normal 12 3 5 2 3" xfId="11749" xr:uid="{00000000-0005-0000-0000-0000BC2D0000}"/>
    <cellStyle name="Normal 12 3 5 3" xfId="11750" xr:uid="{00000000-0005-0000-0000-0000BD2D0000}"/>
    <cellStyle name="Normal 12 3 5 3 2" xfId="11751" xr:uid="{00000000-0005-0000-0000-0000BE2D0000}"/>
    <cellStyle name="Normal 12 3 5 4" xfId="11752" xr:uid="{00000000-0005-0000-0000-0000BF2D0000}"/>
    <cellStyle name="Normal 12 3 5 4 2" xfId="11753" xr:uid="{00000000-0005-0000-0000-0000C02D0000}"/>
    <cellStyle name="Normal 12 3 5 5" xfId="11754" xr:uid="{00000000-0005-0000-0000-0000C12D0000}"/>
    <cellStyle name="Normal 12 3 6" xfId="11755" xr:uid="{00000000-0005-0000-0000-0000C22D0000}"/>
    <cellStyle name="Normal 12 3 6 2" xfId="11756" xr:uid="{00000000-0005-0000-0000-0000C32D0000}"/>
    <cellStyle name="Normal 12 3 6 2 2" xfId="11757" xr:uid="{00000000-0005-0000-0000-0000C42D0000}"/>
    <cellStyle name="Normal 12 3 6 2 2 2" xfId="11758" xr:uid="{00000000-0005-0000-0000-0000C52D0000}"/>
    <cellStyle name="Normal 12 3 6 2 3" xfId="11759" xr:uid="{00000000-0005-0000-0000-0000C62D0000}"/>
    <cellStyle name="Normal 12 3 6 3" xfId="11760" xr:uid="{00000000-0005-0000-0000-0000C72D0000}"/>
    <cellStyle name="Normal 12 3 6 3 2" xfId="11761" xr:uid="{00000000-0005-0000-0000-0000C82D0000}"/>
    <cellStyle name="Normal 12 3 6 4" xfId="11762" xr:uid="{00000000-0005-0000-0000-0000C92D0000}"/>
    <cellStyle name="Normal 12 3 6 4 2" xfId="11763" xr:uid="{00000000-0005-0000-0000-0000CA2D0000}"/>
    <cellStyle name="Normal 12 3 6 5" xfId="11764" xr:uid="{00000000-0005-0000-0000-0000CB2D0000}"/>
    <cellStyle name="Normal 12 3 7" xfId="11765" xr:uid="{00000000-0005-0000-0000-0000CC2D0000}"/>
    <cellStyle name="Normal 12 3 7 2" xfId="11766" xr:uid="{00000000-0005-0000-0000-0000CD2D0000}"/>
    <cellStyle name="Normal 12 3 7 2 2" xfId="11767" xr:uid="{00000000-0005-0000-0000-0000CE2D0000}"/>
    <cellStyle name="Normal 12 3 7 3" xfId="11768" xr:uid="{00000000-0005-0000-0000-0000CF2D0000}"/>
    <cellStyle name="Normal 12 3 8" xfId="11769" xr:uid="{00000000-0005-0000-0000-0000D02D0000}"/>
    <cellStyle name="Normal 12 3 8 2" xfId="11770" xr:uid="{00000000-0005-0000-0000-0000D12D0000}"/>
    <cellStyle name="Normal 12 3 9" xfId="11771" xr:uid="{00000000-0005-0000-0000-0000D22D0000}"/>
    <cellStyle name="Normal 12 3 9 2" xfId="11772" xr:uid="{00000000-0005-0000-0000-0000D32D0000}"/>
    <cellStyle name="Normal 12 30" xfId="11773" xr:uid="{00000000-0005-0000-0000-0000D42D0000}"/>
    <cellStyle name="Normal 12 30 2" xfId="11774" xr:uid="{00000000-0005-0000-0000-0000D52D0000}"/>
    <cellStyle name="Normal 12 30 2 2" xfId="11775" xr:uid="{00000000-0005-0000-0000-0000D62D0000}"/>
    <cellStyle name="Normal 12 31" xfId="11776" xr:uid="{00000000-0005-0000-0000-0000D72D0000}"/>
    <cellStyle name="Normal 12 4" xfId="11777" xr:uid="{00000000-0005-0000-0000-0000D82D0000}"/>
    <cellStyle name="Normal 12 5" xfId="11778" xr:uid="{00000000-0005-0000-0000-0000D92D0000}"/>
    <cellStyle name="Normal 12 5 2" xfId="11779" xr:uid="{00000000-0005-0000-0000-0000DA2D0000}"/>
    <cellStyle name="Normal 12 6" xfId="11780" xr:uid="{00000000-0005-0000-0000-0000DB2D0000}"/>
    <cellStyle name="Normal 12 7" xfId="11781" xr:uid="{00000000-0005-0000-0000-0000DC2D0000}"/>
    <cellStyle name="Normal 12 8" xfId="11782" xr:uid="{00000000-0005-0000-0000-0000DD2D0000}"/>
    <cellStyle name="Normal 12 9" xfId="11783" xr:uid="{00000000-0005-0000-0000-0000DE2D0000}"/>
    <cellStyle name="Normal 12_B Block  Column LGF to UGF Lvl" xfId="11784" xr:uid="{00000000-0005-0000-0000-0000DF2D0000}"/>
    <cellStyle name="Normal 120" xfId="11785" xr:uid="{00000000-0005-0000-0000-0000E02D0000}"/>
    <cellStyle name="Normal 121" xfId="11786" xr:uid="{00000000-0005-0000-0000-0000E12D0000}"/>
    <cellStyle name="Normal 122" xfId="11787" xr:uid="{00000000-0005-0000-0000-0000E22D0000}"/>
    <cellStyle name="Normal 123" xfId="11788" xr:uid="{00000000-0005-0000-0000-0000E32D0000}"/>
    <cellStyle name="Normal 123 2" xfId="11789" xr:uid="{00000000-0005-0000-0000-0000E42D0000}"/>
    <cellStyle name="Normal 124" xfId="11790" xr:uid="{00000000-0005-0000-0000-0000E52D0000}"/>
    <cellStyle name="Normal 124 2" xfId="11791" xr:uid="{00000000-0005-0000-0000-0000E62D0000}"/>
    <cellStyle name="Normal 124 3" xfId="11792" xr:uid="{00000000-0005-0000-0000-0000E72D0000}"/>
    <cellStyle name="Normal 124 4" xfId="11793" xr:uid="{00000000-0005-0000-0000-0000E82D0000}"/>
    <cellStyle name="Normal 124 4 2" xfId="11794" xr:uid="{00000000-0005-0000-0000-0000E92D0000}"/>
    <cellStyle name="Normal 124 5" xfId="11795" xr:uid="{00000000-0005-0000-0000-0000EA2D0000}"/>
    <cellStyle name="Normal 125" xfId="11796" xr:uid="{00000000-0005-0000-0000-0000EB2D0000}"/>
    <cellStyle name="Normal 125 2" xfId="11797" xr:uid="{00000000-0005-0000-0000-0000EC2D0000}"/>
    <cellStyle name="Normal 125 3" xfId="11798" xr:uid="{00000000-0005-0000-0000-0000ED2D0000}"/>
    <cellStyle name="Normal 126" xfId="11799" xr:uid="{00000000-0005-0000-0000-0000EE2D0000}"/>
    <cellStyle name="Normal 126 2" xfId="11800" xr:uid="{00000000-0005-0000-0000-0000EF2D0000}"/>
    <cellStyle name="Normal 127" xfId="11801" xr:uid="{00000000-0005-0000-0000-0000F02D0000}"/>
    <cellStyle name="Normal 127 2" xfId="11802" xr:uid="{00000000-0005-0000-0000-0000F12D0000}"/>
    <cellStyle name="Normal 127 3" xfId="11803" xr:uid="{00000000-0005-0000-0000-0000F22D0000}"/>
    <cellStyle name="Normal 127 3 2" xfId="11804" xr:uid="{00000000-0005-0000-0000-0000F32D0000}"/>
    <cellStyle name="Normal 128" xfId="11805" xr:uid="{00000000-0005-0000-0000-0000F42D0000}"/>
    <cellStyle name="Normal 128 2" xfId="11806" xr:uid="{00000000-0005-0000-0000-0000F52D0000}"/>
    <cellStyle name="Normal 129" xfId="11807" xr:uid="{00000000-0005-0000-0000-0000F62D0000}"/>
    <cellStyle name="Normal 13" xfId="11808" xr:uid="{00000000-0005-0000-0000-0000F72D0000}"/>
    <cellStyle name="Normal 13 10" xfId="11809" xr:uid="{00000000-0005-0000-0000-0000F82D0000}"/>
    <cellStyle name="Normal 13 10 2" xfId="11810" xr:uid="{00000000-0005-0000-0000-0000F92D0000}"/>
    <cellStyle name="Normal 13 10 3" xfId="11811" xr:uid="{00000000-0005-0000-0000-0000FA2D0000}"/>
    <cellStyle name="Normal 13 10 4" xfId="11812" xr:uid="{00000000-0005-0000-0000-0000FB2D0000}"/>
    <cellStyle name="Normal 13 10 5" xfId="11813" xr:uid="{00000000-0005-0000-0000-0000FC2D0000}"/>
    <cellStyle name="Normal 13 10 6" xfId="11814" xr:uid="{00000000-0005-0000-0000-0000FD2D0000}"/>
    <cellStyle name="Normal 13 10 7" xfId="11815" xr:uid="{00000000-0005-0000-0000-0000FE2D0000}"/>
    <cellStyle name="Normal 13 10 8" xfId="11816" xr:uid="{00000000-0005-0000-0000-0000FF2D0000}"/>
    <cellStyle name="Normal 13 11" xfId="11817" xr:uid="{00000000-0005-0000-0000-0000002E0000}"/>
    <cellStyle name="Normal 13 12" xfId="11818" xr:uid="{00000000-0005-0000-0000-0000012E0000}"/>
    <cellStyle name="Normal 13 13" xfId="11819" xr:uid="{00000000-0005-0000-0000-0000022E0000}"/>
    <cellStyle name="Normal 13 14" xfId="11820" xr:uid="{00000000-0005-0000-0000-0000032E0000}"/>
    <cellStyle name="Normal 13 15" xfId="11821" xr:uid="{00000000-0005-0000-0000-0000042E0000}"/>
    <cellStyle name="Normal 13 16" xfId="11822" xr:uid="{00000000-0005-0000-0000-0000052E0000}"/>
    <cellStyle name="Normal 13 17" xfId="11823" xr:uid="{00000000-0005-0000-0000-0000062E0000}"/>
    <cellStyle name="Normal 13 2" xfId="11824" xr:uid="{00000000-0005-0000-0000-0000072E0000}"/>
    <cellStyle name="Normal 13 2 10" xfId="11825" xr:uid="{00000000-0005-0000-0000-0000082E0000}"/>
    <cellStyle name="Normal 13 2 11" xfId="11826" xr:uid="{00000000-0005-0000-0000-0000092E0000}"/>
    <cellStyle name="Normal 13 2 2" xfId="11827" xr:uid="{00000000-0005-0000-0000-00000A2E0000}"/>
    <cellStyle name="Normal 13 2 2 10" xfId="11828" xr:uid="{00000000-0005-0000-0000-00000B2E0000}"/>
    <cellStyle name="Normal 13 2 2 2" xfId="11829" xr:uid="{00000000-0005-0000-0000-00000C2E0000}"/>
    <cellStyle name="Normal 13 2 2 2 2" xfId="11830" xr:uid="{00000000-0005-0000-0000-00000D2E0000}"/>
    <cellStyle name="Normal 13 2 2 2 3" xfId="11831" xr:uid="{00000000-0005-0000-0000-00000E2E0000}"/>
    <cellStyle name="Normal 13 2 2 2 4" xfId="11832" xr:uid="{00000000-0005-0000-0000-00000F2E0000}"/>
    <cellStyle name="Normal 13 2 2 2 5" xfId="11833" xr:uid="{00000000-0005-0000-0000-0000102E0000}"/>
    <cellStyle name="Normal 13 2 2 3" xfId="11834" xr:uid="{00000000-0005-0000-0000-0000112E0000}"/>
    <cellStyle name="Normal 13 2 2 3 2" xfId="11835" xr:uid="{00000000-0005-0000-0000-0000122E0000}"/>
    <cellStyle name="Normal 13 2 2 3 3" xfId="11836" xr:uid="{00000000-0005-0000-0000-0000132E0000}"/>
    <cellStyle name="Normal 13 2 2 4" xfId="11837" xr:uid="{00000000-0005-0000-0000-0000142E0000}"/>
    <cellStyle name="Normal 13 2 2 4 2" xfId="11838" xr:uid="{00000000-0005-0000-0000-0000152E0000}"/>
    <cellStyle name="Normal 13 2 2 4 3" xfId="11839" xr:uid="{00000000-0005-0000-0000-0000162E0000}"/>
    <cellStyle name="Normal 13 2 2 5" xfId="11840" xr:uid="{00000000-0005-0000-0000-0000172E0000}"/>
    <cellStyle name="Normal 13 2 2 5 2" xfId="11841" xr:uid="{00000000-0005-0000-0000-0000182E0000}"/>
    <cellStyle name="Normal 13 2 2 5 3" xfId="11842" xr:uid="{00000000-0005-0000-0000-0000192E0000}"/>
    <cellStyle name="Normal 13 2 2 6" xfId="11843" xr:uid="{00000000-0005-0000-0000-00001A2E0000}"/>
    <cellStyle name="Normal 13 2 2 6 2" xfId="11844" xr:uid="{00000000-0005-0000-0000-00001B2E0000}"/>
    <cellStyle name="Normal 13 2 2 6 3" xfId="11845" xr:uid="{00000000-0005-0000-0000-00001C2E0000}"/>
    <cellStyle name="Normal 13 2 2 7" xfId="11846" xr:uid="{00000000-0005-0000-0000-00001D2E0000}"/>
    <cellStyle name="Normal 13 2 2 7 2" xfId="11847" xr:uid="{00000000-0005-0000-0000-00001E2E0000}"/>
    <cellStyle name="Normal 13 2 2 7 3" xfId="11848" xr:uid="{00000000-0005-0000-0000-00001F2E0000}"/>
    <cellStyle name="Normal 13 2 2 8" xfId="11849" xr:uid="{00000000-0005-0000-0000-0000202E0000}"/>
    <cellStyle name="Normal 13 2 2 8 2" xfId="11850" xr:uid="{00000000-0005-0000-0000-0000212E0000}"/>
    <cellStyle name="Normal 13 2 2 8 3" xfId="11851" xr:uid="{00000000-0005-0000-0000-0000222E0000}"/>
    <cellStyle name="Normal 13 2 2 9" xfId="11852" xr:uid="{00000000-0005-0000-0000-0000232E0000}"/>
    <cellStyle name="Normal 13 2 2_Sheet2" xfId="11853" xr:uid="{00000000-0005-0000-0000-0000242E0000}"/>
    <cellStyle name="Normal 13 2 3" xfId="11854" xr:uid="{00000000-0005-0000-0000-0000252E0000}"/>
    <cellStyle name="Normal 13 2 3 2" xfId="11855" xr:uid="{00000000-0005-0000-0000-0000262E0000}"/>
    <cellStyle name="Normal 13 2 3 3" xfId="11856" xr:uid="{00000000-0005-0000-0000-0000272E0000}"/>
    <cellStyle name="Normal 13 2 3 4" xfId="11857" xr:uid="{00000000-0005-0000-0000-0000282E0000}"/>
    <cellStyle name="Normal 13 2 4" xfId="11858" xr:uid="{00000000-0005-0000-0000-0000292E0000}"/>
    <cellStyle name="Normal 13 2 4 2" xfId="11859" xr:uid="{00000000-0005-0000-0000-00002A2E0000}"/>
    <cellStyle name="Normal 13 2 4 3" xfId="11860" xr:uid="{00000000-0005-0000-0000-00002B2E0000}"/>
    <cellStyle name="Normal 13 2 5" xfId="11861" xr:uid="{00000000-0005-0000-0000-00002C2E0000}"/>
    <cellStyle name="Normal 13 2 5 2" xfId="11862" xr:uid="{00000000-0005-0000-0000-00002D2E0000}"/>
    <cellStyle name="Normal 13 2 5 3" xfId="11863" xr:uid="{00000000-0005-0000-0000-00002E2E0000}"/>
    <cellStyle name="Normal 13 2 6" xfId="11864" xr:uid="{00000000-0005-0000-0000-00002F2E0000}"/>
    <cellStyle name="Normal 13 2 6 2" xfId="11865" xr:uid="{00000000-0005-0000-0000-0000302E0000}"/>
    <cellStyle name="Normal 13 2 6 3" xfId="11866" xr:uid="{00000000-0005-0000-0000-0000312E0000}"/>
    <cellStyle name="Normal 13 2 7" xfId="11867" xr:uid="{00000000-0005-0000-0000-0000322E0000}"/>
    <cellStyle name="Normal 13 2 7 2" xfId="11868" xr:uid="{00000000-0005-0000-0000-0000332E0000}"/>
    <cellStyle name="Normal 13 2 7 3" xfId="11869" xr:uid="{00000000-0005-0000-0000-0000342E0000}"/>
    <cellStyle name="Normal 13 2 8" xfId="11870" xr:uid="{00000000-0005-0000-0000-0000352E0000}"/>
    <cellStyle name="Normal 13 2 8 2" xfId="11871" xr:uid="{00000000-0005-0000-0000-0000362E0000}"/>
    <cellStyle name="Normal 13 2 8 3" xfId="11872" xr:uid="{00000000-0005-0000-0000-0000372E0000}"/>
    <cellStyle name="Normal 13 2 9" xfId="11873" xr:uid="{00000000-0005-0000-0000-0000382E0000}"/>
    <cellStyle name="Normal 13 2 9 2" xfId="11874" xr:uid="{00000000-0005-0000-0000-0000392E0000}"/>
    <cellStyle name="Normal 13 2 9 3" xfId="11875" xr:uid="{00000000-0005-0000-0000-00003A2E0000}"/>
    <cellStyle name="Normal 13 2_Ibrahimnagar SSR 2014-15 (PART A &amp; B)" xfId="11876" xr:uid="{00000000-0005-0000-0000-00003B2E0000}"/>
    <cellStyle name="Normal 13 3" xfId="11877" xr:uid="{00000000-0005-0000-0000-00003C2E0000}"/>
    <cellStyle name="Normal 13 3 10" xfId="11878" xr:uid="{00000000-0005-0000-0000-00003D2E0000}"/>
    <cellStyle name="Normal 13 3 2" xfId="11879" xr:uid="{00000000-0005-0000-0000-00003E2E0000}"/>
    <cellStyle name="Normal 13 3 2 2" xfId="11880" xr:uid="{00000000-0005-0000-0000-00003F2E0000}"/>
    <cellStyle name="Normal 13 3 2 2 2" xfId="11881" xr:uid="{00000000-0005-0000-0000-0000402E0000}"/>
    <cellStyle name="Normal 13 3 2 2 3" xfId="11882" xr:uid="{00000000-0005-0000-0000-0000412E0000}"/>
    <cellStyle name="Normal 13 3 2 3" xfId="11883" xr:uid="{00000000-0005-0000-0000-0000422E0000}"/>
    <cellStyle name="Normal 13 3 2 3 2" xfId="11884" xr:uid="{00000000-0005-0000-0000-0000432E0000}"/>
    <cellStyle name="Normal 13 3 2 4" xfId="11885" xr:uid="{00000000-0005-0000-0000-0000442E0000}"/>
    <cellStyle name="Normal 13 3 3" xfId="11886" xr:uid="{00000000-0005-0000-0000-0000452E0000}"/>
    <cellStyle name="Normal 13 3 3 2" xfId="11887" xr:uid="{00000000-0005-0000-0000-0000462E0000}"/>
    <cellStyle name="Normal 13 3 3 3" xfId="11888" xr:uid="{00000000-0005-0000-0000-0000472E0000}"/>
    <cellStyle name="Normal 13 3 4" xfId="11889" xr:uid="{00000000-0005-0000-0000-0000482E0000}"/>
    <cellStyle name="Normal 13 3 4 2" xfId="11890" xr:uid="{00000000-0005-0000-0000-0000492E0000}"/>
    <cellStyle name="Normal 13 3 4 3" xfId="11891" xr:uid="{00000000-0005-0000-0000-00004A2E0000}"/>
    <cellStyle name="Normal 13 3 5" xfId="11892" xr:uid="{00000000-0005-0000-0000-00004B2E0000}"/>
    <cellStyle name="Normal 13 3 5 2" xfId="11893" xr:uid="{00000000-0005-0000-0000-00004C2E0000}"/>
    <cellStyle name="Normal 13 3 5 3" xfId="11894" xr:uid="{00000000-0005-0000-0000-00004D2E0000}"/>
    <cellStyle name="Normal 13 3 6" xfId="11895" xr:uid="{00000000-0005-0000-0000-00004E2E0000}"/>
    <cellStyle name="Normal 13 3 7" xfId="11896" xr:uid="{00000000-0005-0000-0000-00004F2E0000}"/>
    <cellStyle name="Normal 13 3 8" xfId="11897" xr:uid="{00000000-0005-0000-0000-0000502E0000}"/>
    <cellStyle name="Normal 13 3 9" xfId="11898" xr:uid="{00000000-0005-0000-0000-0000512E0000}"/>
    <cellStyle name="Normal 13 4" xfId="11899" xr:uid="{00000000-0005-0000-0000-0000522E0000}"/>
    <cellStyle name="Normal 13 4 10" xfId="11900" xr:uid="{00000000-0005-0000-0000-0000532E0000}"/>
    <cellStyle name="Normal 13 4 2" xfId="11901" xr:uid="{00000000-0005-0000-0000-0000542E0000}"/>
    <cellStyle name="Normal 13 4 2 2" xfId="11902" xr:uid="{00000000-0005-0000-0000-0000552E0000}"/>
    <cellStyle name="Normal 13 4 3" xfId="11903" xr:uid="{00000000-0005-0000-0000-0000562E0000}"/>
    <cellStyle name="Normal 13 4 4" xfId="11904" xr:uid="{00000000-0005-0000-0000-0000572E0000}"/>
    <cellStyle name="Normal 13 4 5" xfId="11905" xr:uid="{00000000-0005-0000-0000-0000582E0000}"/>
    <cellStyle name="Normal 13 4 6" xfId="11906" xr:uid="{00000000-0005-0000-0000-0000592E0000}"/>
    <cellStyle name="Normal 13 4 7" xfId="11907" xr:uid="{00000000-0005-0000-0000-00005A2E0000}"/>
    <cellStyle name="Normal 13 4 8" xfId="11908" xr:uid="{00000000-0005-0000-0000-00005B2E0000}"/>
    <cellStyle name="Normal 13 4 9" xfId="11909" xr:uid="{00000000-0005-0000-0000-00005C2E0000}"/>
    <cellStyle name="Normal 13 5" xfId="11910" xr:uid="{00000000-0005-0000-0000-00005D2E0000}"/>
    <cellStyle name="Normal 13 5 2" xfId="11911" xr:uid="{00000000-0005-0000-0000-00005E2E0000}"/>
    <cellStyle name="Normal 13 5 2 2" xfId="11912" xr:uid="{00000000-0005-0000-0000-00005F2E0000}"/>
    <cellStyle name="Normal 13 5 2 2 2" xfId="11913" xr:uid="{00000000-0005-0000-0000-0000602E0000}"/>
    <cellStyle name="Normal 13 5 2 2 3" xfId="11914" xr:uid="{00000000-0005-0000-0000-0000612E0000}"/>
    <cellStyle name="Normal 13 5 2 2 3 2" xfId="11915" xr:uid="{00000000-0005-0000-0000-0000622E0000}"/>
    <cellStyle name="Normal 13 5 2 3" xfId="11916" xr:uid="{00000000-0005-0000-0000-0000632E0000}"/>
    <cellStyle name="Normal 13 5 2 3 2" xfId="11917" xr:uid="{00000000-0005-0000-0000-0000642E0000}"/>
    <cellStyle name="Normal 13 5 2 3 3" xfId="11918" xr:uid="{00000000-0005-0000-0000-0000652E0000}"/>
    <cellStyle name="Normal 13 5 2 3 3 2" xfId="11919" xr:uid="{00000000-0005-0000-0000-0000662E0000}"/>
    <cellStyle name="Normal 13 5 2 3 3 3" xfId="11920" xr:uid="{00000000-0005-0000-0000-0000672E0000}"/>
    <cellStyle name="Normal 13 5 2 3 3 3 2" xfId="11921" xr:uid="{00000000-0005-0000-0000-0000682E0000}"/>
    <cellStyle name="Normal 13 5 2 3 3 3 3" xfId="11922" xr:uid="{00000000-0005-0000-0000-0000692E0000}"/>
    <cellStyle name="Normal 13 5 2 3 3 3 4" xfId="11923" xr:uid="{00000000-0005-0000-0000-00006A2E0000}"/>
    <cellStyle name="Normal 13 5 2 3 3 4" xfId="11924" xr:uid="{00000000-0005-0000-0000-00006B2E0000}"/>
    <cellStyle name="Normal 13 5 2 4" xfId="11925" xr:uid="{00000000-0005-0000-0000-00006C2E0000}"/>
    <cellStyle name="Normal 13 5 3" xfId="11926" xr:uid="{00000000-0005-0000-0000-00006D2E0000}"/>
    <cellStyle name="Normal 13 5 3 2" xfId="11927" xr:uid="{00000000-0005-0000-0000-00006E2E0000}"/>
    <cellStyle name="Normal 13 5 3 3" xfId="11928" xr:uid="{00000000-0005-0000-0000-00006F2E0000}"/>
    <cellStyle name="Normal 13 5 3 4" xfId="11929" xr:uid="{00000000-0005-0000-0000-0000702E0000}"/>
    <cellStyle name="Normal 13 5 4" xfId="11930" xr:uid="{00000000-0005-0000-0000-0000712E0000}"/>
    <cellStyle name="Normal 13 5 5" xfId="11931" xr:uid="{00000000-0005-0000-0000-0000722E0000}"/>
    <cellStyle name="Normal 13 5 6" xfId="11932" xr:uid="{00000000-0005-0000-0000-0000732E0000}"/>
    <cellStyle name="Normal 13 5 7" xfId="11933" xr:uid="{00000000-0005-0000-0000-0000742E0000}"/>
    <cellStyle name="Normal 13 5 8" xfId="11934" xr:uid="{00000000-0005-0000-0000-0000752E0000}"/>
    <cellStyle name="Normal 13 6" xfId="11935" xr:uid="{00000000-0005-0000-0000-0000762E0000}"/>
    <cellStyle name="Normal 13 6 10" xfId="11936" xr:uid="{00000000-0005-0000-0000-0000772E0000}"/>
    <cellStyle name="Normal 13 6 2" xfId="11937" xr:uid="{00000000-0005-0000-0000-0000782E0000}"/>
    <cellStyle name="Normal 13 6 2 2" xfId="11938" xr:uid="{00000000-0005-0000-0000-0000792E0000}"/>
    <cellStyle name="Normal 13 6 2 3" xfId="11939" xr:uid="{00000000-0005-0000-0000-00007A2E0000}"/>
    <cellStyle name="Normal 13 6 3" xfId="11940" xr:uid="{00000000-0005-0000-0000-00007B2E0000}"/>
    <cellStyle name="Normal 13 6 4" xfId="11941" xr:uid="{00000000-0005-0000-0000-00007C2E0000}"/>
    <cellStyle name="Normal 13 6 5" xfId="11942" xr:uid="{00000000-0005-0000-0000-00007D2E0000}"/>
    <cellStyle name="Normal 13 6 6" xfId="11943" xr:uid="{00000000-0005-0000-0000-00007E2E0000}"/>
    <cellStyle name="Normal 13 6 7" xfId="11944" xr:uid="{00000000-0005-0000-0000-00007F2E0000}"/>
    <cellStyle name="Normal 13 6 8" xfId="11945" xr:uid="{00000000-0005-0000-0000-0000802E0000}"/>
    <cellStyle name="Normal 13 6 9" xfId="11946" xr:uid="{00000000-0005-0000-0000-0000812E0000}"/>
    <cellStyle name="Normal 13 7" xfId="11947" xr:uid="{00000000-0005-0000-0000-0000822E0000}"/>
    <cellStyle name="Normal 13 7 10" xfId="11948" xr:uid="{00000000-0005-0000-0000-0000832E0000}"/>
    <cellStyle name="Normal 13 7 2" xfId="11949" xr:uid="{00000000-0005-0000-0000-0000842E0000}"/>
    <cellStyle name="Normal 13 7 3" xfId="11950" xr:uid="{00000000-0005-0000-0000-0000852E0000}"/>
    <cellStyle name="Normal 13 7 4" xfId="11951" xr:uid="{00000000-0005-0000-0000-0000862E0000}"/>
    <cellStyle name="Normal 13 7 5" xfId="11952" xr:uid="{00000000-0005-0000-0000-0000872E0000}"/>
    <cellStyle name="Normal 13 7 6" xfId="11953" xr:uid="{00000000-0005-0000-0000-0000882E0000}"/>
    <cellStyle name="Normal 13 7 7" xfId="11954" xr:uid="{00000000-0005-0000-0000-0000892E0000}"/>
    <cellStyle name="Normal 13 7 8" xfId="11955" xr:uid="{00000000-0005-0000-0000-00008A2E0000}"/>
    <cellStyle name="Normal 13 7 9" xfId="11956" xr:uid="{00000000-0005-0000-0000-00008B2E0000}"/>
    <cellStyle name="Normal 13 8" xfId="11957" xr:uid="{00000000-0005-0000-0000-00008C2E0000}"/>
    <cellStyle name="Normal 13 8 2" xfId="11958" xr:uid="{00000000-0005-0000-0000-00008D2E0000}"/>
    <cellStyle name="Normal 13 8 2 2" xfId="11959" xr:uid="{00000000-0005-0000-0000-00008E2E0000}"/>
    <cellStyle name="Normal 13 8 2 2 2" xfId="11960" xr:uid="{00000000-0005-0000-0000-00008F2E0000}"/>
    <cellStyle name="Normal 13 8 2 2 2 2" xfId="11961" xr:uid="{00000000-0005-0000-0000-0000902E0000}"/>
    <cellStyle name="Normal 13 8 2 2 2 3" xfId="11962" xr:uid="{00000000-0005-0000-0000-0000912E0000}"/>
    <cellStyle name="Normal 13 8 2 2 2 4" xfId="11963" xr:uid="{00000000-0005-0000-0000-0000922E0000}"/>
    <cellStyle name="Normal 13 8 2 2 3" xfId="11964" xr:uid="{00000000-0005-0000-0000-0000932E0000}"/>
    <cellStyle name="Normal 13 8 2 3" xfId="11965" xr:uid="{00000000-0005-0000-0000-0000942E0000}"/>
    <cellStyle name="Normal 13 8 2 3 2" xfId="11966" xr:uid="{00000000-0005-0000-0000-0000952E0000}"/>
    <cellStyle name="Normal 13 8 2 3 2 2" xfId="11967" xr:uid="{00000000-0005-0000-0000-0000962E0000}"/>
    <cellStyle name="Normal 13 8 2 3 2 3" xfId="11968" xr:uid="{00000000-0005-0000-0000-0000972E0000}"/>
    <cellStyle name="Normal 13 8 2 3 3" xfId="11969" xr:uid="{00000000-0005-0000-0000-0000982E0000}"/>
    <cellStyle name="Normal 13 8 2 4" xfId="11970" xr:uid="{00000000-0005-0000-0000-0000992E0000}"/>
    <cellStyle name="Normal 13 8 3" xfId="11971" xr:uid="{00000000-0005-0000-0000-00009A2E0000}"/>
    <cellStyle name="Normal 13 8 3 2" xfId="11972" xr:uid="{00000000-0005-0000-0000-00009B2E0000}"/>
    <cellStyle name="Normal 13 8 3 3" xfId="11973" xr:uid="{00000000-0005-0000-0000-00009C2E0000}"/>
    <cellStyle name="Normal 13 8 3 3 2" xfId="11974" xr:uid="{00000000-0005-0000-0000-00009D2E0000}"/>
    <cellStyle name="Normal 13 8 4" xfId="11975" xr:uid="{00000000-0005-0000-0000-00009E2E0000}"/>
    <cellStyle name="Normal 13 8 5" xfId="11976" xr:uid="{00000000-0005-0000-0000-00009F2E0000}"/>
    <cellStyle name="Normal 13 8 6" xfId="11977" xr:uid="{00000000-0005-0000-0000-0000A02E0000}"/>
    <cellStyle name="Normal 13 8 7" xfId="11978" xr:uid="{00000000-0005-0000-0000-0000A12E0000}"/>
    <cellStyle name="Normal 13 8 8" xfId="11979" xr:uid="{00000000-0005-0000-0000-0000A22E0000}"/>
    <cellStyle name="Normal 13 9" xfId="11980" xr:uid="{00000000-0005-0000-0000-0000A32E0000}"/>
    <cellStyle name="Normal 13 9 2" xfId="11981" xr:uid="{00000000-0005-0000-0000-0000A42E0000}"/>
    <cellStyle name="Normal 13 9 2 2" xfId="11982" xr:uid="{00000000-0005-0000-0000-0000A52E0000}"/>
    <cellStyle name="Normal 13 9 3" xfId="11983" xr:uid="{00000000-0005-0000-0000-0000A62E0000}"/>
    <cellStyle name="Normal 13 9 3 2" xfId="11984" xr:uid="{00000000-0005-0000-0000-0000A72E0000}"/>
    <cellStyle name="Normal 13 9 3 3" xfId="11985" xr:uid="{00000000-0005-0000-0000-0000A82E0000}"/>
    <cellStyle name="Normal 13 9 3 3 2" xfId="11986" xr:uid="{00000000-0005-0000-0000-0000A92E0000}"/>
    <cellStyle name="Normal 13 9 4" xfId="11987" xr:uid="{00000000-0005-0000-0000-0000AA2E0000}"/>
    <cellStyle name="Normal 13 9 5" xfId="11988" xr:uid="{00000000-0005-0000-0000-0000AB2E0000}"/>
    <cellStyle name="Normal 13 9 6" xfId="11989" xr:uid="{00000000-0005-0000-0000-0000AC2E0000}"/>
    <cellStyle name="Normal 13 9 7" xfId="11990" xr:uid="{00000000-0005-0000-0000-0000AD2E0000}"/>
    <cellStyle name="Normal 13 9 8" xfId="11991" xr:uid="{00000000-0005-0000-0000-0000AE2E0000}"/>
    <cellStyle name="Normal 13_Davok Highway16062010_Final" xfId="11992" xr:uid="{00000000-0005-0000-0000-0000AF2E0000}"/>
    <cellStyle name="Normal 130" xfId="11993" xr:uid="{00000000-0005-0000-0000-0000B02E0000}"/>
    <cellStyle name="Normal 130 2" xfId="11994" xr:uid="{00000000-0005-0000-0000-0000B12E0000}"/>
    <cellStyle name="Normal 131" xfId="11995" xr:uid="{00000000-0005-0000-0000-0000B22E0000}"/>
    <cellStyle name="Normal 131 2" xfId="11996" xr:uid="{00000000-0005-0000-0000-0000B32E0000}"/>
    <cellStyle name="Normal 132" xfId="11997" xr:uid="{00000000-0005-0000-0000-0000B42E0000}"/>
    <cellStyle name="Normal 132 2" xfId="11998" xr:uid="{00000000-0005-0000-0000-0000B52E0000}"/>
    <cellStyle name="Normal 133" xfId="11999" xr:uid="{00000000-0005-0000-0000-0000B62E0000}"/>
    <cellStyle name="Normal 134" xfId="12000" xr:uid="{00000000-0005-0000-0000-0000B72E0000}"/>
    <cellStyle name="Normal 135" xfId="12001" xr:uid="{00000000-0005-0000-0000-0000B82E0000}"/>
    <cellStyle name="Normal 136" xfId="12002" xr:uid="{00000000-0005-0000-0000-0000B92E0000}"/>
    <cellStyle name="Normal 137" xfId="12003" xr:uid="{00000000-0005-0000-0000-0000BA2E0000}"/>
    <cellStyle name="Normal 138" xfId="12004" xr:uid="{00000000-0005-0000-0000-0000BB2E0000}"/>
    <cellStyle name="Normal 138 2 3" xfId="12005" xr:uid="{00000000-0005-0000-0000-0000BC2E0000}"/>
    <cellStyle name="Normal 139" xfId="12006" xr:uid="{00000000-0005-0000-0000-0000BD2E0000}"/>
    <cellStyle name="Normal 14" xfId="12007" xr:uid="{00000000-0005-0000-0000-0000BE2E0000}"/>
    <cellStyle name="Normal 14 10" xfId="12008" xr:uid="{00000000-0005-0000-0000-0000BF2E0000}"/>
    <cellStyle name="Normal 14 10 2" xfId="12009" xr:uid="{00000000-0005-0000-0000-0000C02E0000}"/>
    <cellStyle name="Normal 14 10 3" xfId="12010" xr:uid="{00000000-0005-0000-0000-0000C12E0000}"/>
    <cellStyle name="Normal 14 10 4" xfId="12011" xr:uid="{00000000-0005-0000-0000-0000C22E0000}"/>
    <cellStyle name="Normal 14 10 5" xfId="12012" xr:uid="{00000000-0005-0000-0000-0000C32E0000}"/>
    <cellStyle name="Normal 14 10 6" xfId="12013" xr:uid="{00000000-0005-0000-0000-0000C42E0000}"/>
    <cellStyle name="Normal 14 10 7" xfId="12014" xr:uid="{00000000-0005-0000-0000-0000C52E0000}"/>
    <cellStyle name="Normal 14 10 8" xfId="12015" xr:uid="{00000000-0005-0000-0000-0000C62E0000}"/>
    <cellStyle name="Normal 14 11" xfId="12016" xr:uid="{00000000-0005-0000-0000-0000C72E0000}"/>
    <cellStyle name="Normal 14 12" xfId="12017" xr:uid="{00000000-0005-0000-0000-0000C82E0000}"/>
    <cellStyle name="Normal 14 13" xfId="12018" xr:uid="{00000000-0005-0000-0000-0000C92E0000}"/>
    <cellStyle name="Normal 14 14" xfId="12019" xr:uid="{00000000-0005-0000-0000-0000CA2E0000}"/>
    <cellStyle name="Normal 14 15" xfId="12020" xr:uid="{00000000-0005-0000-0000-0000CB2E0000}"/>
    <cellStyle name="Normal 14 16" xfId="12021" xr:uid="{00000000-0005-0000-0000-0000CC2E0000}"/>
    <cellStyle name="Normal 14 17" xfId="12022" xr:uid="{00000000-0005-0000-0000-0000CD2E0000}"/>
    <cellStyle name="Normal 14 2" xfId="12023" xr:uid="{00000000-0005-0000-0000-0000CE2E0000}"/>
    <cellStyle name="Normal 14 2 10" xfId="12024" xr:uid="{00000000-0005-0000-0000-0000CF2E0000}"/>
    <cellStyle name="Normal 14 2 2" xfId="12025" xr:uid="{00000000-0005-0000-0000-0000D02E0000}"/>
    <cellStyle name="Normal 14 2 2 2" xfId="12026" xr:uid="{00000000-0005-0000-0000-0000D12E0000}"/>
    <cellStyle name="Normal 14 2 2 3" xfId="12027" xr:uid="{00000000-0005-0000-0000-0000D22E0000}"/>
    <cellStyle name="Normal 14 2 2 4" xfId="12028" xr:uid="{00000000-0005-0000-0000-0000D32E0000}"/>
    <cellStyle name="Normal 14 2 2 5" xfId="12029" xr:uid="{00000000-0005-0000-0000-0000D42E0000}"/>
    <cellStyle name="Normal 14 2 3" xfId="12030" xr:uid="{00000000-0005-0000-0000-0000D52E0000}"/>
    <cellStyle name="Normal 14 2 3 2" xfId="12031" xr:uid="{00000000-0005-0000-0000-0000D62E0000}"/>
    <cellStyle name="Normal 14 2 3 3" xfId="12032" xr:uid="{00000000-0005-0000-0000-0000D72E0000}"/>
    <cellStyle name="Normal 14 2 4" xfId="12033" xr:uid="{00000000-0005-0000-0000-0000D82E0000}"/>
    <cellStyle name="Normal 14 2 4 2" xfId="12034" xr:uid="{00000000-0005-0000-0000-0000D92E0000}"/>
    <cellStyle name="Normal 14 2 4 3" xfId="12035" xr:uid="{00000000-0005-0000-0000-0000DA2E0000}"/>
    <cellStyle name="Normal 14 2 5" xfId="12036" xr:uid="{00000000-0005-0000-0000-0000DB2E0000}"/>
    <cellStyle name="Normal 14 2 5 2" xfId="12037" xr:uid="{00000000-0005-0000-0000-0000DC2E0000}"/>
    <cellStyle name="Normal 14 2 5 3" xfId="12038" xr:uid="{00000000-0005-0000-0000-0000DD2E0000}"/>
    <cellStyle name="Normal 14 2 6" xfId="12039" xr:uid="{00000000-0005-0000-0000-0000DE2E0000}"/>
    <cellStyle name="Normal 14 2 6 2" xfId="12040" xr:uid="{00000000-0005-0000-0000-0000DF2E0000}"/>
    <cellStyle name="Normal 14 2 6 3" xfId="12041" xr:uid="{00000000-0005-0000-0000-0000E02E0000}"/>
    <cellStyle name="Normal 14 2 7" xfId="12042" xr:uid="{00000000-0005-0000-0000-0000E12E0000}"/>
    <cellStyle name="Normal 14 2 8" xfId="12043" xr:uid="{00000000-0005-0000-0000-0000E22E0000}"/>
    <cellStyle name="Normal 14 2 9" xfId="12044" xr:uid="{00000000-0005-0000-0000-0000E32E0000}"/>
    <cellStyle name="Normal 14 2_Sheet2" xfId="12045" xr:uid="{00000000-0005-0000-0000-0000E42E0000}"/>
    <cellStyle name="Normal 14 3" xfId="12046" xr:uid="{00000000-0005-0000-0000-0000E52E0000}"/>
    <cellStyle name="Normal 14 3 2" xfId="12047" xr:uid="{00000000-0005-0000-0000-0000E62E0000}"/>
    <cellStyle name="Normal 14 3 3" xfId="12048" xr:uid="{00000000-0005-0000-0000-0000E72E0000}"/>
    <cellStyle name="Normal 14 3 4" xfId="12049" xr:uid="{00000000-0005-0000-0000-0000E82E0000}"/>
    <cellStyle name="Normal 14 3 5" xfId="12050" xr:uid="{00000000-0005-0000-0000-0000E92E0000}"/>
    <cellStyle name="Normal 14 3 6" xfId="12051" xr:uid="{00000000-0005-0000-0000-0000EA2E0000}"/>
    <cellStyle name="Normal 14 3 7" xfId="12052" xr:uid="{00000000-0005-0000-0000-0000EB2E0000}"/>
    <cellStyle name="Normal 14 3 8" xfId="12053" xr:uid="{00000000-0005-0000-0000-0000EC2E0000}"/>
    <cellStyle name="Normal 14 4" xfId="12054" xr:uid="{00000000-0005-0000-0000-0000ED2E0000}"/>
    <cellStyle name="Normal 14 4 2" xfId="12055" xr:uid="{00000000-0005-0000-0000-0000EE2E0000}"/>
    <cellStyle name="Normal 14 4 2 2" xfId="12056" xr:uid="{00000000-0005-0000-0000-0000EF2E0000}"/>
    <cellStyle name="Normal 14 4 2 2 2" xfId="12057" xr:uid="{00000000-0005-0000-0000-0000F02E0000}"/>
    <cellStyle name="Normal 14 4 2 2 2 2" xfId="12058" xr:uid="{00000000-0005-0000-0000-0000F12E0000}"/>
    <cellStyle name="Normal 14 4 2 2 3" xfId="12059" xr:uid="{00000000-0005-0000-0000-0000F22E0000}"/>
    <cellStyle name="Normal 14 4 2 3" xfId="12060" xr:uid="{00000000-0005-0000-0000-0000F32E0000}"/>
    <cellStyle name="Normal 14 4 3" xfId="12061" xr:uid="{00000000-0005-0000-0000-0000F42E0000}"/>
    <cellStyle name="Normal 14 4 4" xfId="12062" xr:uid="{00000000-0005-0000-0000-0000F52E0000}"/>
    <cellStyle name="Normal 14 4 5" xfId="12063" xr:uid="{00000000-0005-0000-0000-0000F62E0000}"/>
    <cellStyle name="Normal 14 4 6" xfId="12064" xr:uid="{00000000-0005-0000-0000-0000F72E0000}"/>
    <cellStyle name="Normal 14 4 7" xfId="12065" xr:uid="{00000000-0005-0000-0000-0000F82E0000}"/>
    <cellStyle name="Normal 14 4 8" xfId="12066" xr:uid="{00000000-0005-0000-0000-0000F92E0000}"/>
    <cellStyle name="Normal 14 5" xfId="12067" xr:uid="{00000000-0005-0000-0000-0000FA2E0000}"/>
    <cellStyle name="Normal 14 5 2" xfId="12068" xr:uid="{00000000-0005-0000-0000-0000FB2E0000}"/>
    <cellStyle name="Normal 14 5 3" xfId="12069" xr:uid="{00000000-0005-0000-0000-0000FC2E0000}"/>
    <cellStyle name="Normal 14 5 4" xfId="12070" xr:uid="{00000000-0005-0000-0000-0000FD2E0000}"/>
    <cellStyle name="Normal 14 5 5" xfId="12071" xr:uid="{00000000-0005-0000-0000-0000FE2E0000}"/>
    <cellStyle name="Normal 14 5 6" xfId="12072" xr:uid="{00000000-0005-0000-0000-0000FF2E0000}"/>
    <cellStyle name="Normal 14 5 7" xfId="12073" xr:uid="{00000000-0005-0000-0000-0000002F0000}"/>
    <cellStyle name="Normal 14 5 8" xfId="12074" xr:uid="{00000000-0005-0000-0000-0000012F0000}"/>
    <cellStyle name="Normal 14 6" xfId="12075" xr:uid="{00000000-0005-0000-0000-0000022F0000}"/>
    <cellStyle name="Normal 14 6 2" xfId="12076" xr:uid="{00000000-0005-0000-0000-0000032F0000}"/>
    <cellStyle name="Normal 14 6 3" xfId="12077" xr:uid="{00000000-0005-0000-0000-0000042F0000}"/>
    <cellStyle name="Normal 14 6 4" xfId="12078" xr:uid="{00000000-0005-0000-0000-0000052F0000}"/>
    <cellStyle name="Normal 14 6 5" xfId="12079" xr:uid="{00000000-0005-0000-0000-0000062F0000}"/>
    <cellStyle name="Normal 14 6 6" xfId="12080" xr:uid="{00000000-0005-0000-0000-0000072F0000}"/>
    <cellStyle name="Normal 14 6 7" xfId="12081" xr:uid="{00000000-0005-0000-0000-0000082F0000}"/>
    <cellStyle name="Normal 14 6 8" xfId="12082" xr:uid="{00000000-0005-0000-0000-0000092F0000}"/>
    <cellStyle name="Normal 14 7" xfId="12083" xr:uid="{00000000-0005-0000-0000-00000A2F0000}"/>
    <cellStyle name="Normal 14 7 2" xfId="12084" xr:uid="{00000000-0005-0000-0000-00000B2F0000}"/>
    <cellStyle name="Normal 14 7 3" xfId="12085" xr:uid="{00000000-0005-0000-0000-00000C2F0000}"/>
    <cellStyle name="Normal 14 7 4" xfId="12086" xr:uid="{00000000-0005-0000-0000-00000D2F0000}"/>
    <cellStyle name="Normal 14 7 5" xfId="12087" xr:uid="{00000000-0005-0000-0000-00000E2F0000}"/>
    <cellStyle name="Normal 14 7 6" xfId="12088" xr:uid="{00000000-0005-0000-0000-00000F2F0000}"/>
    <cellStyle name="Normal 14 7 7" xfId="12089" xr:uid="{00000000-0005-0000-0000-0000102F0000}"/>
    <cellStyle name="Normal 14 7 8" xfId="12090" xr:uid="{00000000-0005-0000-0000-0000112F0000}"/>
    <cellStyle name="Normal 14 8" xfId="12091" xr:uid="{00000000-0005-0000-0000-0000122F0000}"/>
    <cellStyle name="Normal 14 8 2" xfId="12092" xr:uid="{00000000-0005-0000-0000-0000132F0000}"/>
    <cellStyle name="Normal 14 8 3" xfId="12093" xr:uid="{00000000-0005-0000-0000-0000142F0000}"/>
    <cellStyle name="Normal 14 8 4" xfId="12094" xr:uid="{00000000-0005-0000-0000-0000152F0000}"/>
    <cellStyle name="Normal 14 8 5" xfId="12095" xr:uid="{00000000-0005-0000-0000-0000162F0000}"/>
    <cellStyle name="Normal 14 8 6" xfId="12096" xr:uid="{00000000-0005-0000-0000-0000172F0000}"/>
    <cellStyle name="Normal 14 8 7" xfId="12097" xr:uid="{00000000-0005-0000-0000-0000182F0000}"/>
    <cellStyle name="Normal 14 8 8" xfId="12098" xr:uid="{00000000-0005-0000-0000-0000192F0000}"/>
    <cellStyle name="Normal 14 9" xfId="12099" xr:uid="{00000000-0005-0000-0000-00001A2F0000}"/>
    <cellStyle name="Normal 14 9 2" xfId="12100" xr:uid="{00000000-0005-0000-0000-00001B2F0000}"/>
    <cellStyle name="Normal 14 9 3" xfId="12101" xr:uid="{00000000-0005-0000-0000-00001C2F0000}"/>
    <cellStyle name="Normal 14 9 4" xfId="12102" xr:uid="{00000000-0005-0000-0000-00001D2F0000}"/>
    <cellStyle name="Normal 14 9 5" xfId="12103" xr:uid="{00000000-0005-0000-0000-00001E2F0000}"/>
    <cellStyle name="Normal 14 9 6" xfId="12104" xr:uid="{00000000-0005-0000-0000-00001F2F0000}"/>
    <cellStyle name="Normal 14 9 7" xfId="12105" xr:uid="{00000000-0005-0000-0000-0000202F0000}"/>
    <cellStyle name="Normal 14 9 8" xfId="12106" xr:uid="{00000000-0005-0000-0000-0000212F0000}"/>
    <cellStyle name="Normal 14_Sheet2" xfId="12107" xr:uid="{00000000-0005-0000-0000-0000222F0000}"/>
    <cellStyle name="Normal 140" xfId="12108" xr:uid="{00000000-0005-0000-0000-0000232F0000}"/>
    <cellStyle name="Normal 141" xfId="12109" xr:uid="{00000000-0005-0000-0000-0000242F0000}"/>
    <cellStyle name="Normal 142" xfId="12110" xr:uid="{00000000-0005-0000-0000-0000252F0000}"/>
    <cellStyle name="Normal 143" xfId="12111" xr:uid="{00000000-0005-0000-0000-0000262F0000}"/>
    <cellStyle name="Normal 144" xfId="12112" xr:uid="{00000000-0005-0000-0000-0000272F0000}"/>
    <cellStyle name="Normal 145" xfId="12113" xr:uid="{00000000-0005-0000-0000-0000282F0000}"/>
    <cellStyle name="Normal 146" xfId="12114" xr:uid="{00000000-0005-0000-0000-0000292F0000}"/>
    <cellStyle name="Normal 147" xfId="12115" xr:uid="{00000000-0005-0000-0000-00002A2F0000}"/>
    <cellStyle name="Normal 148" xfId="12116" xr:uid="{00000000-0005-0000-0000-00002B2F0000}"/>
    <cellStyle name="Normal 149" xfId="12117" xr:uid="{00000000-0005-0000-0000-00002C2F0000}"/>
    <cellStyle name="Normal 15" xfId="12118" xr:uid="{00000000-0005-0000-0000-00002D2F0000}"/>
    <cellStyle name="Normal 15 10" xfId="12119" xr:uid="{00000000-0005-0000-0000-00002E2F0000}"/>
    <cellStyle name="Normal 15 10 2" xfId="12120" xr:uid="{00000000-0005-0000-0000-00002F2F0000}"/>
    <cellStyle name="Normal 15 10 3" xfId="12121" xr:uid="{00000000-0005-0000-0000-0000302F0000}"/>
    <cellStyle name="Normal 15 10 4" xfId="12122" xr:uid="{00000000-0005-0000-0000-0000312F0000}"/>
    <cellStyle name="Normal 15 10 5" xfId="12123" xr:uid="{00000000-0005-0000-0000-0000322F0000}"/>
    <cellStyle name="Normal 15 10 6" xfId="12124" xr:uid="{00000000-0005-0000-0000-0000332F0000}"/>
    <cellStyle name="Normal 15 10 7" xfId="12125" xr:uid="{00000000-0005-0000-0000-0000342F0000}"/>
    <cellStyle name="Normal 15 10 8" xfId="12126" xr:uid="{00000000-0005-0000-0000-0000352F0000}"/>
    <cellStyle name="Normal 15 11" xfId="12127" xr:uid="{00000000-0005-0000-0000-0000362F0000}"/>
    <cellStyle name="Normal 15 12" xfId="12128" xr:uid="{00000000-0005-0000-0000-0000372F0000}"/>
    <cellStyle name="Normal 15 13" xfId="12129" xr:uid="{00000000-0005-0000-0000-0000382F0000}"/>
    <cellStyle name="Normal 15 14" xfId="12130" xr:uid="{00000000-0005-0000-0000-0000392F0000}"/>
    <cellStyle name="Normal 15 15" xfId="12131" xr:uid="{00000000-0005-0000-0000-00003A2F0000}"/>
    <cellStyle name="Normal 15 16" xfId="12132" xr:uid="{00000000-0005-0000-0000-00003B2F0000}"/>
    <cellStyle name="Normal 15 17" xfId="12133" xr:uid="{00000000-0005-0000-0000-00003C2F0000}"/>
    <cellStyle name="Normal 15 2" xfId="12134" xr:uid="{00000000-0005-0000-0000-00003D2F0000}"/>
    <cellStyle name="Normal 15 2 2" xfId="12135" xr:uid="{00000000-0005-0000-0000-00003E2F0000}"/>
    <cellStyle name="Normal 15 2 3" xfId="12136" xr:uid="{00000000-0005-0000-0000-00003F2F0000}"/>
    <cellStyle name="Normal 15 2 4" xfId="12137" xr:uid="{00000000-0005-0000-0000-0000402F0000}"/>
    <cellStyle name="Normal 15 2 5" xfId="12138" xr:uid="{00000000-0005-0000-0000-0000412F0000}"/>
    <cellStyle name="Normal 15 3" xfId="12139" xr:uid="{00000000-0005-0000-0000-0000422F0000}"/>
    <cellStyle name="Normal 15 3 10" xfId="12140" xr:uid="{00000000-0005-0000-0000-0000432F0000}"/>
    <cellStyle name="Normal 15 3 2" xfId="12141" xr:uid="{00000000-0005-0000-0000-0000442F0000}"/>
    <cellStyle name="Normal 15 3 3" xfId="12142" xr:uid="{00000000-0005-0000-0000-0000452F0000}"/>
    <cellStyle name="Normal 15 3 4" xfId="12143" xr:uid="{00000000-0005-0000-0000-0000462F0000}"/>
    <cellStyle name="Normal 15 3 5" xfId="12144" xr:uid="{00000000-0005-0000-0000-0000472F0000}"/>
    <cellStyle name="Normal 15 3 6" xfId="12145" xr:uid="{00000000-0005-0000-0000-0000482F0000}"/>
    <cellStyle name="Normal 15 3 7" xfId="12146" xr:uid="{00000000-0005-0000-0000-0000492F0000}"/>
    <cellStyle name="Normal 15 3 8" xfId="12147" xr:uid="{00000000-0005-0000-0000-00004A2F0000}"/>
    <cellStyle name="Normal 15 3 9" xfId="12148" xr:uid="{00000000-0005-0000-0000-00004B2F0000}"/>
    <cellStyle name="Normal 15 4" xfId="12149" xr:uid="{00000000-0005-0000-0000-00004C2F0000}"/>
    <cellStyle name="Normal 15 4 2" xfId="12150" xr:uid="{00000000-0005-0000-0000-00004D2F0000}"/>
    <cellStyle name="Normal 15 4 3" xfId="12151" xr:uid="{00000000-0005-0000-0000-00004E2F0000}"/>
    <cellStyle name="Normal 15 4 4" xfId="12152" xr:uid="{00000000-0005-0000-0000-00004F2F0000}"/>
    <cellStyle name="Normal 15 4 5" xfId="12153" xr:uid="{00000000-0005-0000-0000-0000502F0000}"/>
    <cellStyle name="Normal 15 4 6" xfId="12154" xr:uid="{00000000-0005-0000-0000-0000512F0000}"/>
    <cellStyle name="Normal 15 4 7" xfId="12155" xr:uid="{00000000-0005-0000-0000-0000522F0000}"/>
    <cellStyle name="Normal 15 4 8" xfId="12156" xr:uid="{00000000-0005-0000-0000-0000532F0000}"/>
    <cellStyle name="Normal 15 5" xfId="12157" xr:uid="{00000000-0005-0000-0000-0000542F0000}"/>
    <cellStyle name="Normal 15 5 2" xfId="12158" xr:uid="{00000000-0005-0000-0000-0000552F0000}"/>
    <cellStyle name="Normal 15 5 3" xfId="12159" xr:uid="{00000000-0005-0000-0000-0000562F0000}"/>
    <cellStyle name="Normal 15 5 4" xfId="12160" xr:uid="{00000000-0005-0000-0000-0000572F0000}"/>
    <cellStyle name="Normal 15 5 5" xfId="12161" xr:uid="{00000000-0005-0000-0000-0000582F0000}"/>
    <cellStyle name="Normal 15 5 6" xfId="12162" xr:uid="{00000000-0005-0000-0000-0000592F0000}"/>
    <cellStyle name="Normal 15 5 7" xfId="12163" xr:uid="{00000000-0005-0000-0000-00005A2F0000}"/>
    <cellStyle name="Normal 15 5 8" xfId="12164" xr:uid="{00000000-0005-0000-0000-00005B2F0000}"/>
    <cellStyle name="Normal 15 6" xfId="12165" xr:uid="{00000000-0005-0000-0000-00005C2F0000}"/>
    <cellStyle name="Normal 15 6 2" xfId="12166" xr:uid="{00000000-0005-0000-0000-00005D2F0000}"/>
    <cellStyle name="Normal 15 6 3" xfId="12167" xr:uid="{00000000-0005-0000-0000-00005E2F0000}"/>
    <cellStyle name="Normal 15 6 4" xfId="12168" xr:uid="{00000000-0005-0000-0000-00005F2F0000}"/>
    <cellStyle name="Normal 15 6 5" xfId="12169" xr:uid="{00000000-0005-0000-0000-0000602F0000}"/>
    <cellStyle name="Normal 15 6 6" xfId="12170" xr:uid="{00000000-0005-0000-0000-0000612F0000}"/>
    <cellStyle name="Normal 15 6 7" xfId="12171" xr:uid="{00000000-0005-0000-0000-0000622F0000}"/>
    <cellStyle name="Normal 15 6 8" xfId="12172" xr:uid="{00000000-0005-0000-0000-0000632F0000}"/>
    <cellStyle name="Normal 15 7" xfId="12173" xr:uid="{00000000-0005-0000-0000-0000642F0000}"/>
    <cellStyle name="Normal 15 7 2" xfId="12174" xr:uid="{00000000-0005-0000-0000-0000652F0000}"/>
    <cellStyle name="Normal 15 7 3" xfId="12175" xr:uid="{00000000-0005-0000-0000-0000662F0000}"/>
    <cellStyle name="Normal 15 7 4" xfId="12176" xr:uid="{00000000-0005-0000-0000-0000672F0000}"/>
    <cellStyle name="Normal 15 7 5" xfId="12177" xr:uid="{00000000-0005-0000-0000-0000682F0000}"/>
    <cellStyle name="Normal 15 7 6" xfId="12178" xr:uid="{00000000-0005-0000-0000-0000692F0000}"/>
    <cellStyle name="Normal 15 7 7" xfId="12179" xr:uid="{00000000-0005-0000-0000-00006A2F0000}"/>
    <cellStyle name="Normal 15 7 8" xfId="12180" xr:uid="{00000000-0005-0000-0000-00006B2F0000}"/>
    <cellStyle name="Normal 15 8" xfId="12181" xr:uid="{00000000-0005-0000-0000-00006C2F0000}"/>
    <cellStyle name="Normal 15 8 2" xfId="12182" xr:uid="{00000000-0005-0000-0000-00006D2F0000}"/>
    <cellStyle name="Normal 15 8 3" xfId="12183" xr:uid="{00000000-0005-0000-0000-00006E2F0000}"/>
    <cellStyle name="Normal 15 8 4" xfId="12184" xr:uid="{00000000-0005-0000-0000-00006F2F0000}"/>
    <cellStyle name="Normal 15 8 5" xfId="12185" xr:uid="{00000000-0005-0000-0000-0000702F0000}"/>
    <cellStyle name="Normal 15 8 6" xfId="12186" xr:uid="{00000000-0005-0000-0000-0000712F0000}"/>
    <cellStyle name="Normal 15 8 7" xfId="12187" xr:uid="{00000000-0005-0000-0000-0000722F0000}"/>
    <cellStyle name="Normal 15 8 8" xfId="12188" xr:uid="{00000000-0005-0000-0000-0000732F0000}"/>
    <cellStyle name="Normal 15 9" xfId="12189" xr:uid="{00000000-0005-0000-0000-0000742F0000}"/>
    <cellStyle name="Normal 15 9 2" xfId="12190" xr:uid="{00000000-0005-0000-0000-0000752F0000}"/>
    <cellStyle name="Normal 15 9 3" xfId="12191" xr:uid="{00000000-0005-0000-0000-0000762F0000}"/>
    <cellStyle name="Normal 15 9 4" xfId="12192" xr:uid="{00000000-0005-0000-0000-0000772F0000}"/>
    <cellStyle name="Normal 15 9 5" xfId="12193" xr:uid="{00000000-0005-0000-0000-0000782F0000}"/>
    <cellStyle name="Normal 15 9 6" xfId="12194" xr:uid="{00000000-0005-0000-0000-0000792F0000}"/>
    <cellStyle name="Normal 15 9 7" xfId="12195" xr:uid="{00000000-0005-0000-0000-00007A2F0000}"/>
    <cellStyle name="Normal 15 9 8" xfId="12196" xr:uid="{00000000-0005-0000-0000-00007B2F0000}"/>
    <cellStyle name="Normal 15_Davok Highway16062010_Final" xfId="12197" xr:uid="{00000000-0005-0000-0000-00007C2F0000}"/>
    <cellStyle name="Normal 150" xfId="12198" xr:uid="{00000000-0005-0000-0000-00007D2F0000}"/>
    <cellStyle name="Normal 151" xfId="12199" xr:uid="{00000000-0005-0000-0000-00007E2F0000}"/>
    <cellStyle name="Normal 152" xfId="12200" xr:uid="{00000000-0005-0000-0000-00007F2F0000}"/>
    <cellStyle name="Normal 153" xfId="12201" xr:uid="{00000000-0005-0000-0000-0000802F0000}"/>
    <cellStyle name="Normal 153 2" xfId="12202" xr:uid="{00000000-0005-0000-0000-0000812F0000}"/>
    <cellStyle name="Normal 154" xfId="12203" xr:uid="{00000000-0005-0000-0000-0000822F0000}"/>
    <cellStyle name="Normal 154 2" xfId="12204" xr:uid="{00000000-0005-0000-0000-0000832F0000}"/>
    <cellStyle name="Normal 155" xfId="12205" xr:uid="{00000000-0005-0000-0000-0000842F0000}"/>
    <cellStyle name="Normal 155 2" xfId="12206" xr:uid="{00000000-0005-0000-0000-0000852F0000}"/>
    <cellStyle name="Normal 155 3" xfId="12207" xr:uid="{00000000-0005-0000-0000-0000862F0000}"/>
    <cellStyle name="Normal 156" xfId="12208" xr:uid="{00000000-0005-0000-0000-0000872F0000}"/>
    <cellStyle name="Normal 156 2" xfId="12209" xr:uid="{00000000-0005-0000-0000-0000882F0000}"/>
    <cellStyle name="Normal 157" xfId="12210" xr:uid="{00000000-0005-0000-0000-0000892F0000}"/>
    <cellStyle name="Normal 157 2" xfId="12211" xr:uid="{00000000-0005-0000-0000-00008A2F0000}"/>
    <cellStyle name="Normal 158" xfId="12212" xr:uid="{00000000-0005-0000-0000-00008B2F0000}"/>
    <cellStyle name="Normal 158 2" xfId="12213" xr:uid="{00000000-0005-0000-0000-00008C2F0000}"/>
    <cellStyle name="Normal 159" xfId="12214" xr:uid="{00000000-0005-0000-0000-00008D2F0000}"/>
    <cellStyle name="Normal 16" xfId="12215" xr:uid="{00000000-0005-0000-0000-00008E2F0000}"/>
    <cellStyle name="Normal 16 2" xfId="12216" xr:uid="{00000000-0005-0000-0000-00008F2F0000}"/>
    <cellStyle name="Normal 16 2 2" xfId="12217" xr:uid="{00000000-0005-0000-0000-0000902F0000}"/>
    <cellStyle name="Normal 16 2 2 2" xfId="12218" xr:uid="{00000000-0005-0000-0000-0000912F0000}"/>
    <cellStyle name="Normal 16 2 2 3" xfId="12219" xr:uid="{00000000-0005-0000-0000-0000922F0000}"/>
    <cellStyle name="Normal 16 2 2 4" xfId="12220" xr:uid="{00000000-0005-0000-0000-0000932F0000}"/>
    <cellStyle name="Normal 16 2 2 5" xfId="12221" xr:uid="{00000000-0005-0000-0000-0000942F0000}"/>
    <cellStyle name="Normal 16 2 3" xfId="12222" xr:uid="{00000000-0005-0000-0000-0000952F0000}"/>
    <cellStyle name="Normal 16 2 3 2" xfId="12223" xr:uid="{00000000-0005-0000-0000-0000962F0000}"/>
    <cellStyle name="Normal 16 2 3 3" xfId="12224" xr:uid="{00000000-0005-0000-0000-0000972F0000}"/>
    <cellStyle name="Normal 16 2 4" xfId="12225" xr:uid="{00000000-0005-0000-0000-0000982F0000}"/>
    <cellStyle name="Normal 16 2 5" xfId="12226" xr:uid="{00000000-0005-0000-0000-0000992F0000}"/>
    <cellStyle name="Normal 16 3" xfId="12227" xr:uid="{00000000-0005-0000-0000-00009A2F0000}"/>
    <cellStyle name="Normal 16 3 2" xfId="12228" xr:uid="{00000000-0005-0000-0000-00009B2F0000}"/>
    <cellStyle name="Normal 16 3 3" xfId="12229" xr:uid="{00000000-0005-0000-0000-00009C2F0000}"/>
    <cellStyle name="Normal 16 3 4" xfId="12230" xr:uid="{00000000-0005-0000-0000-00009D2F0000}"/>
    <cellStyle name="Normal 16 3 5" xfId="12231" xr:uid="{00000000-0005-0000-0000-00009E2F0000}"/>
    <cellStyle name="Normal 16 3 6" xfId="12232" xr:uid="{00000000-0005-0000-0000-00009F2F0000}"/>
    <cellStyle name="Normal 16 3 7" xfId="12233" xr:uid="{00000000-0005-0000-0000-0000A02F0000}"/>
    <cellStyle name="Normal 16 3 8" xfId="12234" xr:uid="{00000000-0005-0000-0000-0000A12F0000}"/>
    <cellStyle name="Normal 16 3 9" xfId="12235" xr:uid="{00000000-0005-0000-0000-0000A22F0000}"/>
    <cellStyle name="Normal 16 4" xfId="12236" xr:uid="{00000000-0005-0000-0000-0000A32F0000}"/>
    <cellStyle name="Normal 16 4 2" xfId="12237" xr:uid="{00000000-0005-0000-0000-0000A42F0000}"/>
    <cellStyle name="Normal 16 5" xfId="12238" xr:uid="{00000000-0005-0000-0000-0000A52F0000}"/>
    <cellStyle name="Normal 16 5 2" xfId="12239" xr:uid="{00000000-0005-0000-0000-0000A62F0000}"/>
    <cellStyle name="Normal 16 6" xfId="12240" xr:uid="{00000000-0005-0000-0000-0000A72F0000}"/>
    <cellStyle name="Normal 16 6 2" xfId="12241" xr:uid="{00000000-0005-0000-0000-0000A82F0000}"/>
    <cellStyle name="Normal 16 7" xfId="12242" xr:uid="{00000000-0005-0000-0000-0000A92F0000}"/>
    <cellStyle name="Normal 16 7 2" xfId="12243" xr:uid="{00000000-0005-0000-0000-0000AA2F0000}"/>
    <cellStyle name="Normal 16 8" xfId="12244" xr:uid="{00000000-0005-0000-0000-0000AB2F0000}"/>
    <cellStyle name="Normal 16 8 2" xfId="12245" xr:uid="{00000000-0005-0000-0000-0000AC2F0000}"/>
    <cellStyle name="Normal 16_NERELLA ADDITIONAL CLASS ROOMS IN FF" xfId="12246" xr:uid="{00000000-0005-0000-0000-0000AD2F0000}"/>
    <cellStyle name="Normal 160" xfId="12247" xr:uid="{00000000-0005-0000-0000-0000AE2F0000}"/>
    <cellStyle name="Normal 161" xfId="12248" xr:uid="{00000000-0005-0000-0000-0000AF2F0000}"/>
    <cellStyle name="Normal 162" xfId="12249" xr:uid="{00000000-0005-0000-0000-0000B02F0000}"/>
    <cellStyle name="Normal 165" xfId="12250" xr:uid="{00000000-0005-0000-0000-0000B12F0000}"/>
    <cellStyle name="Normal 166" xfId="12251" xr:uid="{00000000-0005-0000-0000-0000B22F0000}"/>
    <cellStyle name="Normal 167" xfId="12252" xr:uid="{00000000-0005-0000-0000-0000B32F0000}"/>
    <cellStyle name="Normal 168" xfId="12253" xr:uid="{00000000-0005-0000-0000-0000B42F0000}"/>
    <cellStyle name="Normal 169" xfId="12254" xr:uid="{00000000-0005-0000-0000-0000B52F0000}"/>
    <cellStyle name="Normal 17" xfId="12255" xr:uid="{00000000-0005-0000-0000-0000B62F0000}"/>
    <cellStyle name="Normal 17 10" xfId="12256" xr:uid="{00000000-0005-0000-0000-0000B72F0000}"/>
    <cellStyle name="Normal 17 11" xfId="12257" xr:uid="{00000000-0005-0000-0000-0000B82F0000}"/>
    <cellStyle name="Normal 17 12" xfId="12258" xr:uid="{00000000-0005-0000-0000-0000B92F0000}"/>
    <cellStyle name="Normal 17 2" xfId="12259" xr:uid="{00000000-0005-0000-0000-0000BA2F0000}"/>
    <cellStyle name="Normal 17 2 10" xfId="12260" xr:uid="{00000000-0005-0000-0000-0000BB2F0000}"/>
    <cellStyle name="Normal 17 2 2" xfId="12261" xr:uid="{00000000-0005-0000-0000-0000BC2F0000}"/>
    <cellStyle name="Normal 17 2 2 2" xfId="12262" xr:uid="{00000000-0005-0000-0000-0000BD2F0000}"/>
    <cellStyle name="Normal 17 2 2 3" xfId="12263" xr:uid="{00000000-0005-0000-0000-0000BE2F0000}"/>
    <cellStyle name="Normal 17 2 2 4" xfId="12264" xr:uid="{00000000-0005-0000-0000-0000BF2F0000}"/>
    <cellStyle name="Normal 17 2 2 5" xfId="12265" xr:uid="{00000000-0005-0000-0000-0000C02F0000}"/>
    <cellStyle name="Normal 17 2 2 6" xfId="12266" xr:uid="{00000000-0005-0000-0000-0000C12F0000}"/>
    <cellStyle name="Normal 17 2 2 7" xfId="12267" xr:uid="{00000000-0005-0000-0000-0000C22F0000}"/>
    <cellStyle name="Normal 17 2 2 8" xfId="12268" xr:uid="{00000000-0005-0000-0000-0000C32F0000}"/>
    <cellStyle name="Normal 17 2 2 9" xfId="12269" xr:uid="{00000000-0005-0000-0000-0000C42F0000}"/>
    <cellStyle name="Normal 17 2 3" xfId="12270" xr:uid="{00000000-0005-0000-0000-0000C52F0000}"/>
    <cellStyle name="Normal 17 2 3 2" xfId="12271" xr:uid="{00000000-0005-0000-0000-0000C62F0000}"/>
    <cellStyle name="Normal 17 2 3 2 2" xfId="12272" xr:uid="{00000000-0005-0000-0000-0000C72F0000}"/>
    <cellStyle name="Normal 17 2 3 2 3" xfId="12273" xr:uid="{00000000-0005-0000-0000-0000C82F0000}"/>
    <cellStyle name="Normal 17 2 3 2 4" xfId="12274" xr:uid="{00000000-0005-0000-0000-0000C92F0000}"/>
    <cellStyle name="Normal 17 2 3 3" xfId="12275" xr:uid="{00000000-0005-0000-0000-0000CA2F0000}"/>
    <cellStyle name="Normal 17 2 3 3 2" xfId="12276" xr:uid="{00000000-0005-0000-0000-0000CB2F0000}"/>
    <cellStyle name="Normal 17 2 3 3 3" xfId="12277" xr:uid="{00000000-0005-0000-0000-0000CC2F0000}"/>
    <cellStyle name="Normal 17 2 3 3 4" xfId="12278" xr:uid="{00000000-0005-0000-0000-0000CD2F0000}"/>
    <cellStyle name="Normal 17 2 4" xfId="12279" xr:uid="{00000000-0005-0000-0000-0000CE2F0000}"/>
    <cellStyle name="Normal 17 2 5" xfId="12280" xr:uid="{00000000-0005-0000-0000-0000CF2F0000}"/>
    <cellStyle name="Normal 17 2 6" xfId="12281" xr:uid="{00000000-0005-0000-0000-0000D02F0000}"/>
    <cellStyle name="Normal 17 2 7" xfId="12282" xr:uid="{00000000-0005-0000-0000-0000D12F0000}"/>
    <cellStyle name="Normal 17 2 8" xfId="12283" xr:uid="{00000000-0005-0000-0000-0000D22F0000}"/>
    <cellStyle name="Normal 17 2 9" xfId="12284" xr:uid="{00000000-0005-0000-0000-0000D32F0000}"/>
    <cellStyle name="Normal 17 2_NERELLA ADDITIONAL CLASS ROOMS IN FF" xfId="12285" xr:uid="{00000000-0005-0000-0000-0000D42F0000}"/>
    <cellStyle name="Normal 17 3" xfId="12286" xr:uid="{00000000-0005-0000-0000-0000D52F0000}"/>
    <cellStyle name="Normal 17 3 10" xfId="12287" xr:uid="{00000000-0005-0000-0000-0000D62F0000}"/>
    <cellStyle name="Normal 17 3 11" xfId="12288" xr:uid="{00000000-0005-0000-0000-0000D72F0000}"/>
    <cellStyle name="Normal 17 3 2" xfId="12289" xr:uid="{00000000-0005-0000-0000-0000D82F0000}"/>
    <cellStyle name="Normal 17 3 2 2" xfId="12290" xr:uid="{00000000-0005-0000-0000-0000D92F0000}"/>
    <cellStyle name="Normal 17 3 2 3" xfId="12291" xr:uid="{00000000-0005-0000-0000-0000DA2F0000}"/>
    <cellStyle name="Normal 17 3 3" xfId="12292" xr:uid="{00000000-0005-0000-0000-0000DB2F0000}"/>
    <cellStyle name="Normal 17 3 4" xfId="12293" xr:uid="{00000000-0005-0000-0000-0000DC2F0000}"/>
    <cellStyle name="Normal 17 3 5" xfId="12294" xr:uid="{00000000-0005-0000-0000-0000DD2F0000}"/>
    <cellStyle name="Normal 17 3 6" xfId="12295" xr:uid="{00000000-0005-0000-0000-0000DE2F0000}"/>
    <cellStyle name="Normal 17 3 7" xfId="12296" xr:uid="{00000000-0005-0000-0000-0000DF2F0000}"/>
    <cellStyle name="Normal 17 3 8" xfId="12297" xr:uid="{00000000-0005-0000-0000-0000E02F0000}"/>
    <cellStyle name="Normal 17 3 9" xfId="12298" xr:uid="{00000000-0005-0000-0000-0000E12F0000}"/>
    <cellStyle name="Normal 17 3_Sheet2" xfId="12299" xr:uid="{00000000-0005-0000-0000-0000E22F0000}"/>
    <cellStyle name="Normal 17 4" xfId="12300" xr:uid="{00000000-0005-0000-0000-0000E32F0000}"/>
    <cellStyle name="Normal 17 4 10" xfId="12301" xr:uid="{00000000-0005-0000-0000-0000E42F0000}"/>
    <cellStyle name="Normal 17 4 2" xfId="12302" xr:uid="{00000000-0005-0000-0000-0000E52F0000}"/>
    <cellStyle name="Normal 17 4 3" xfId="12303" xr:uid="{00000000-0005-0000-0000-0000E62F0000}"/>
    <cellStyle name="Normal 17 4 4" xfId="12304" xr:uid="{00000000-0005-0000-0000-0000E72F0000}"/>
    <cellStyle name="Normal 17 4 5" xfId="12305" xr:uid="{00000000-0005-0000-0000-0000E82F0000}"/>
    <cellStyle name="Normal 17 4 6" xfId="12306" xr:uid="{00000000-0005-0000-0000-0000E92F0000}"/>
    <cellStyle name="Normal 17 4 7" xfId="12307" xr:uid="{00000000-0005-0000-0000-0000EA2F0000}"/>
    <cellStyle name="Normal 17 4 8" xfId="12308" xr:uid="{00000000-0005-0000-0000-0000EB2F0000}"/>
    <cellStyle name="Normal 17 4 9" xfId="12309" xr:uid="{00000000-0005-0000-0000-0000EC2F0000}"/>
    <cellStyle name="Normal 17 4_Sheet2" xfId="12310" xr:uid="{00000000-0005-0000-0000-0000ED2F0000}"/>
    <cellStyle name="Normal 17 5" xfId="12311" xr:uid="{00000000-0005-0000-0000-0000EE2F0000}"/>
    <cellStyle name="Normal 17 5 2" xfId="12312" xr:uid="{00000000-0005-0000-0000-0000EF2F0000}"/>
    <cellStyle name="Normal 17 5 3" xfId="12313" xr:uid="{00000000-0005-0000-0000-0000F02F0000}"/>
    <cellStyle name="Normal 17 5 4" xfId="12314" xr:uid="{00000000-0005-0000-0000-0000F12F0000}"/>
    <cellStyle name="Normal 17 6" xfId="12315" xr:uid="{00000000-0005-0000-0000-0000F22F0000}"/>
    <cellStyle name="Normal 17 6 2" xfId="12316" xr:uid="{00000000-0005-0000-0000-0000F32F0000}"/>
    <cellStyle name="Normal 17 7" xfId="12317" xr:uid="{00000000-0005-0000-0000-0000F42F0000}"/>
    <cellStyle name="Normal 17 8" xfId="12318" xr:uid="{00000000-0005-0000-0000-0000F52F0000}"/>
    <cellStyle name="Normal 17 8 2" xfId="12319" xr:uid="{00000000-0005-0000-0000-0000F62F0000}"/>
    <cellStyle name="Normal 17 8 3" xfId="12320" xr:uid="{00000000-0005-0000-0000-0000F72F0000}"/>
    <cellStyle name="Normal 17 8 4" xfId="12321" xr:uid="{00000000-0005-0000-0000-0000F82F0000}"/>
    <cellStyle name="Normal 17 9" xfId="12322" xr:uid="{00000000-0005-0000-0000-0000F92F0000}"/>
    <cellStyle name="Normal 17_Abst for J.P.nagar" xfId="12323" xr:uid="{00000000-0005-0000-0000-0000FA2F0000}"/>
    <cellStyle name="Normal 170" xfId="12324" xr:uid="{00000000-0005-0000-0000-0000FB2F0000}"/>
    <cellStyle name="Normal 171" xfId="12325" xr:uid="{00000000-0005-0000-0000-0000FC2F0000}"/>
    <cellStyle name="Normal 173" xfId="12326" xr:uid="{00000000-0005-0000-0000-0000FD2F0000}"/>
    <cellStyle name="Normal 174" xfId="12327" xr:uid="{00000000-0005-0000-0000-0000FE2F0000}"/>
    <cellStyle name="Normal 175" xfId="12328" xr:uid="{00000000-0005-0000-0000-0000FF2F0000}"/>
    <cellStyle name="Normal 177" xfId="12329" xr:uid="{00000000-0005-0000-0000-000000300000}"/>
    <cellStyle name="Normal 179" xfId="12330" xr:uid="{00000000-0005-0000-0000-000001300000}"/>
    <cellStyle name="Normal 18" xfId="12331" xr:uid="{00000000-0005-0000-0000-000002300000}"/>
    <cellStyle name="Normal 18 10" xfId="12332" xr:uid="{00000000-0005-0000-0000-000003300000}"/>
    <cellStyle name="Normal 18 2" xfId="12333" xr:uid="{00000000-0005-0000-0000-000004300000}"/>
    <cellStyle name="Normal 18 2 2" xfId="12334" xr:uid="{00000000-0005-0000-0000-000005300000}"/>
    <cellStyle name="Normal 18 2 2 2" xfId="12335" xr:uid="{00000000-0005-0000-0000-000006300000}"/>
    <cellStyle name="Normal 18 2 2 3" xfId="12336" xr:uid="{00000000-0005-0000-0000-000007300000}"/>
    <cellStyle name="Normal 18 2 3" xfId="12337" xr:uid="{00000000-0005-0000-0000-000008300000}"/>
    <cellStyle name="Normal 18 2 4" xfId="12338" xr:uid="{00000000-0005-0000-0000-000009300000}"/>
    <cellStyle name="Normal 18 2 5" xfId="12339" xr:uid="{00000000-0005-0000-0000-00000A300000}"/>
    <cellStyle name="Normal 18 3" xfId="12340" xr:uid="{00000000-0005-0000-0000-00000B300000}"/>
    <cellStyle name="Normal 18 3 2" xfId="12341" xr:uid="{00000000-0005-0000-0000-00000C300000}"/>
    <cellStyle name="Normal 18 3 2 2" xfId="12342" xr:uid="{00000000-0005-0000-0000-00000D300000}"/>
    <cellStyle name="Normal 18 3 2 3" xfId="12343" xr:uid="{00000000-0005-0000-0000-00000E300000}"/>
    <cellStyle name="Normal 18 3 2 4" xfId="12344" xr:uid="{00000000-0005-0000-0000-00000F300000}"/>
    <cellStyle name="Normal 18 3 3" xfId="12345" xr:uid="{00000000-0005-0000-0000-000010300000}"/>
    <cellStyle name="Normal 18 3 4" xfId="12346" xr:uid="{00000000-0005-0000-0000-000011300000}"/>
    <cellStyle name="Normal 18 3 5" xfId="12347" xr:uid="{00000000-0005-0000-0000-000012300000}"/>
    <cellStyle name="Normal 18 3 6" xfId="12348" xr:uid="{00000000-0005-0000-0000-000013300000}"/>
    <cellStyle name="Normal 18 3 7" xfId="12349" xr:uid="{00000000-0005-0000-0000-000014300000}"/>
    <cellStyle name="Normal 18 3 8" xfId="12350" xr:uid="{00000000-0005-0000-0000-000015300000}"/>
    <cellStyle name="Normal 18 3 9" xfId="12351" xr:uid="{00000000-0005-0000-0000-000016300000}"/>
    <cellStyle name="Normal 18 4" xfId="12352" xr:uid="{00000000-0005-0000-0000-000017300000}"/>
    <cellStyle name="Normal 18 5" xfId="12353" xr:uid="{00000000-0005-0000-0000-000018300000}"/>
    <cellStyle name="Normal 18 5 2" xfId="12354" xr:uid="{00000000-0005-0000-0000-000019300000}"/>
    <cellStyle name="Normal 18 6" xfId="12355" xr:uid="{00000000-0005-0000-0000-00001A300000}"/>
    <cellStyle name="Normal 18 7" xfId="12356" xr:uid="{00000000-0005-0000-0000-00001B300000}"/>
    <cellStyle name="Normal 18 8" xfId="12357" xr:uid="{00000000-0005-0000-0000-00001C300000}"/>
    <cellStyle name="Normal 18 9" xfId="12358" xr:uid="{00000000-0005-0000-0000-00001D300000}"/>
    <cellStyle name="Normal 18_CHC Asifabad Estimate" xfId="12359" xr:uid="{00000000-0005-0000-0000-00001E300000}"/>
    <cellStyle name="Normal 180" xfId="12360" xr:uid="{00000000-0005-0000-0000-00001F300000}"/>
    <cellStyle name="Normal 181" xfId="12361" xr:uid="{00000000-0005-0000-0000-000020300000}"/>
    <cellStyle name="Normal 182" xfId="12362" xr:uid="{00000000-0005-0000-0000-000021300000}"/>
    <cellStyle name="Normal 183" xfId="12363" xr:uid="{00000000-0005-0000-0000-000022300000}"/>
    <cellStyle name="Normal 184" xfId="12364" xr:uid="{00000000-0005-0000-0000-000023300000}"/>
    <cellStyle name="Normal 185" xfId="12365" xr:uid="{00000000-0005-0000-0000-000024300000}"/>
    <cellStyle name="Normal 188" xfId="12366" xr:uid="{00000000-0005-0000-0000-000025300000}"/>
    <cellStyle name="Normal 189" xfId="12367" xr:uid="{00000000-0005-0000-0000-000026300000}"/>
    <cellStyle name="Normal 19" xfId="12368" xr:uid="{00000000-0005-0000-0000-000027300000}"/>
    <cellStyle name="Normal 19 2" xfId="12369" xr:uid="{00000000-0005-0000-0000-000028300000}"/>
    <cellStyle name="Normal 19 2 2" xfId="12370" xr:uid="{00000000-0005-0000-0000-000029300000}"/>
    <cellStyle name="Normal 19 2 2 2" xfId="12371" xr:uid="{00000000-0005-0000-0000-00002A300000}"/>
    <cellStyle name="Normal 19 2 2 3" xfId="12372" xr:uid="{00000000-0005-0000-0000-00002B300000}"/>
    <cellStyle name="Normal 19 2 3" xfId="12373" xr:uid="{00000000-0005-0000-0000-00002C300000}"/>
    <cellStyle name="Normal 19 2 4" xfId="12374" xr:uid="{00000000-0005-0000-0000-00002D300000}"/>
    <cellStyle name="Normal 19 2_Sheet2" xfId="12375" xr:uid="{00000000-0005-0000-0000-00002E300000}"/>
    <cellStyle name="Normal 19 3" xfId="12376" xr:uid="{00000000-0005-0000-0000-00002F300000}"/>
    <cellStyle name="Normal 19 3 2" xfId="12377" xr:uid="{00000000-0005-0000-0000-000030300000}"/>
    <cellStyle name="Normal 19 3 2 2" xfId="12378" xr:uid="{00000000-0005-0000-0000-000031300000}"/>
    <cellStyle name="Normal 19 3 2 2 2" xfId="12379" xr:uid="{00000000-0005-0000-0000-000032300000}"/>
    <cellStyle name="Normal 19 3 2 2 3" xfId="12380" xr:uid="{00000000-0005-0000-0000-000033300000}"/>
    <cellStyle name="Normal 19 3 2 3" xfId="12381" xr:uid="{00000000-0005-0000-0000-000034300000}"/>
    <cellStyle name="Normal 19 3 2 4" xfId="12382" xr:uid="{00000000-0005-0000-0000-000035300000}"/>
    <cellStyle name="Normal 19 3 2 5" xfId="12383" xr:uid="{00000000-0005-0000-0000-000036300000}"/>
    <cellStyle name="Normal 19 3 3" xfId="12384" xr:uid="{00000000-0005-0000-0000-000037300000}"/>
    <cellStyle name="Normal 19 3 3 2" xfId="12385" xr:uid="{00000000-0005-0000-0000-000038300000}"/>
    <cellStyle name="Normal 19 3 4" xfId="12386" xr:uid="{00000000-0005-0000-0000-000039300000}"/>
    <cellStyle name="Normal 19 3 5" xfId="12387" xr:uid="{00000000-0005-0000-0000-00003A300000}"/>
    <cellStyle name="Normal 19 3 6" xfId="12388" xr:uid="{00000000-0005-0000-0000-00003B300000}"/>
    <cellStyle name="Normal 19 3 7" xfId="12389" xr:uid="{00000000-0005-0000-0000-00003C300000}"/>
    <cellStyle name="Normal 19 3 8" xfId="12390" xr:uid="{00000000-0005-0000-0000-00003D300000}"/>
    <cellStyle name="Normal 19 3 9" xfId="12391" xr:uid="{00000000-0005-0000-0000-00003E300000}"/>
    <cellStyle name="Normal 19 4" xfId="12392" xr:uid="{00000000-0005-0000-0000-00003F300000}"/>
    <cellStyle name="Normal 19 4 2" xfId="12393" xr:uid="{00000000-0005-0000-0000-000040300000}"/>
    <cellStyle name="Normal 19 4 3" xfId="12394" xr:uid="{00000000-0005-0000-0000-000041300000}"/>
    <cellStyle name="Normal 19 5" xfId="12395" xr:uid="{00000000-0005-0000-0000-000042300000}"/>
    <cellStyle name="Normal 19 5 2" xfId="12396" xr:uid="{00000000-0005-0000-0000-000043300000}"/>
    <cellStyle name="Normal 19 6" xfId="12397" xr:uid="{00000000-0005-0000-0000-000044300000}"/>
    <cellStyle name="Normal 19 7" xfId="12398" xr:uid="{00000000-0005-0000-0000-000045300000}"/>
    <cellStyle name="Normal 19 8" xfId="12399" xr:uid="{00000000-0005-0000-0000-000046300000}"/>
    <cellStyle name="Normal 19 9" xfId="12400" xr:uid="{00000000-0005-0000-0000-000047300000}"/>
    <cellStyle name="Normal 19_CHC Asifabad Estimate" xfId="12401" xr:uid="{00000000-0005-0000-0000-000048300000}"/>
    <cellStyle name="Normal 2" xfId="58" xr:uid="{00000000-0005-0000-0000-000049300000}"/>
    <cellStyle name="Normal 2 10" xfId="12402" xr:uid="{00000000-0005-0000-0000-00004A300000}"/>
    <cellStyle name="Normal 2 10 11" xfId="12403" xr:uid="{00000000-0005-0000-0000-00004B300000}"/>
    <cellStyle name="Normal 2 10 2" xfId="12404" xr:uid="{00000000-0005-0000-0000-00004C300000}"/>
    <cellStyle name="Normal 2 10 2 2" xfId="12405" xr:uid="{00000000-0005-0000-0000-00004D300000}"/>
    <cellStyle name="Normal 2 10 3" xfId="12406" xr:uid="{00000000-0005-0000-0000-00004E300000}"/>
    <cellStyle name="Normal 2 10 3 2" xfId="12407" xr:uid="{00000000-0005-0000-0000-00004F300000}"/>
    <cellStyle name="Normal 2 10 4" xfId="12408" xr:uid="{00000000-0005-0000-0000-000050300000}"/>
    <cellStyle name="Normal 2 10 5" xfId="12409" xr:uid="{00000000-0005-0000-0000-000051300000}"/>
    <cellStyle name="Normal 2 10 6" xfId="12410" xr:uid="{00000000-0005-0000-0000-000052300000}"/>
    <cellStyle name="Normal 2 11" xfId="12411" xr:uid="{00000000-0005-0000-0000-000053300000}"/>
    <cellStyle name="Normal 2 11 2" xfId="12412" xr:uid="{00000000-0005-0000-0000-000054300000}"/>
    <cellStyle name="Normal 2 11 2 2" xfId="12413" xr:uid="{00000000-0005-0000-0000-000055300000}"/>
    <cellStyle name="Normal 2 11 2 2 2" xfId="12414" xr:uid="{00000000-0005-0000-0000-000056300000}"/>
    <cellStyle name="Normal 2 11 2 2 2 2" xfId="12415" xr:uid="{00000000-0005-0000-0000-000057300000}"/>
    <cellStyle name="Normal 2 11 2 2 2 2 2" xfId="12416" xr:uid="{00000000-0005-0000-0000-000058300000}"/>
    <cellStyle name="Normal 2 11 2 2 2 3" xfId="12417" xr:uid="{00000000-0005-0000-0000-000059300000}"/>
    <cellStyle name="Normal 2 11 2 2 3" xfId="12418" xr:uid="{00000000-0005-0000-0000-00005A300000}"/>
    <cellStyle name="Normal 2 11 2 3" xfId="12419" xr:uid="{00000000-0005-0000-0000-00005B300000}"/>
    <cellStyle name="Normal 2 11 3" xfId="12420" xr:uid="{00000000-0005-0000-0000-00005C300000}"/>
    <cellStyle name="Normal 2 11 3 2" xfId="12421" xr:uid="{00000000-0005-0000-0000-00005D300000}"/>
    <cellStyle name="Normal 2 11 3 2 2" xfId="12422" xr:uid="{00000000-0005-0000-0000-00005E300000}"/>
    <cellStyle name="Normal 2 11 3 3" xfId="12423" xr:uid="{00000000-0005-0000-0000-00005F300000}"/>
    <cellStyle name="Normal 2 11 3 3 2" xfId="12424" xr:uid="{00000000-0005-0000-0000-000060300000}"/>
    <cellStyle name="Normal 2 11 3 4" xfId="12425" xr:uid="{00000000-0005-0000-0000-000061300000}"/>
    <cellStyle name="Normal 2 11 3 4 2" xfId="12426" xr:uid="{00000000-0005-0000-0000-000062300000}"/>
    <cellStyle name="Normal 2 11 3 4 2 2" xfId="12427" xr:uid="{00000000-0005-0000-0000-000063300000}"/>
    <cellStyle name="Normal 2 11 3 4 2 2 2" xfId="12428" xr:uid="{00000000-0005-0000-0000-000064300000}"/>
    <cellStyle name="Normal 2 11 3 4 2 2 3" xfId="12429" xr:uid="{00000000-0005-0000-0000-000065300000}"/>
    <cellStyle name="Normal 2 11 3 4 2 2 3 2" xfId="12430" xr:uid="{00000000-0005-0000-0000-000066300000}"/>
    <cellStyle name="Normal 2 11 3 4 2 2 3 2 2" xfId="12431" xr:uid="{00000000-0005-0000-0000-000067300000}"/>
    <cellStyle name="Normal 2 11 3 4 2 3" xfId="12432" xr:uid="{00000000-0005-0000-0000-000068300000}"/>
    <cellStyle name="Normal 2 11 3 4 3" xfId="12433" xr:uid="{00000000-0005-0000-0000-000069300000}"/>
    <cellStyle name="Normal 2 11 3 5" xfId="12434" xr:uid="{00000000-0005-0000-0000-00006A300000}"/>
    <cellStyle name="Normal 2 11 3 5 2" xfId="12435" xr:uid="{00000000-0005-0000-0000-00006B300000}"/>
    <cellStyle name="Normal 2 11 3 5 3" xfId="12436" xr:uid="{00000000-0005-0000-0000-00006C300000}"/>
    <cellStyle name="Normal 2 11 3 5 4" xfId="12437" xr:uid="{00000000-0005-0000-0000-00006D300000}"/>
    <cellStyle name="Normal 2 11 3 5 4 2" xfId="12438" xr:uid="{00000000-0005-0000-0000-00006E300000}"/>
    <cellStyle name="Normal 2 11 3 6" xfId="12439" xr:uid="{00000000-0005-0000-0000-00006F300000}"/>
    <cellStyle name="Normal 2 11 4" xfId="12440" xr:uid="{00000000-0005-0000-0000-000070300000}"/>
    <cellStyle name="Normal 2 11 5" xfId="12441" xr:uid="{00000000-0005-0000-0000-000071300000}"/>
    <cellStyle name="Normal 2 11 6" xfId="12442" xr:uid="{00000000-0005-0000-0000-000072300000}"/>
    <cellStyle name="Normal 2 11 7" xfId="12443" xr:uid="{00000000-0005-0000-0000-000073300000}"/>
    <cellStyle name="Normal 2 12" xfId="12444" xr:uid="{00000000-0005-0000-0000-000074300000}"/>
    <cellStyle name="Normal 2 12 2" xfId="12445" xr:uid="{00000000-0005-0000-0000-000075300000}"/>
    <cellStyle name="Normal 2 12 2 2" xfId="12446" xr:uid="{00000000-0005-0000-0000-000076300000}"/>
    <cellStyle name="Normal 2 12 2 3" xfId="12447" xr:uid="{00000000-0005-0000-0000-000077300000}"/>
    <cellStyle name="Normal 2 12 3" xfId="12448" xr:uid="{00000000-0005-0000-0000-000078300000}"/>
    <cellStyle name="Normal 2 12 3 2" xfId="12449" xr:uid="{00000000-0005-0000-0000-000079300000}"/>
    <cellStyle name="Normal 2 12 4" xfId="12450" xr:uid="{00000000-0005-0000-0000-00007A300000}"/>
    <cellStyle name="Normal 2 12 5" xfId="12451" xr:uid="{00000000-0005-0000-0000-00007B300000}"/>
    <cellStyle name="Normal 2 12 6" xfId="12452" xr:uid="{00000000-0005-0000-0000-00007C300000}"/>
    <cellStyle name="Normal 2 13" xfId="12453" xr:uid="{00000000-0005-0000-0000-00007D300000}"/>
    <cellStyle name="Normal 2 13 2" xfId="12454" xr:uid="{00000000-0005-0000-0000-00007E300000}"/>
    <cellStyle name="Normal 2 13 2 2" xfId="12455" xr:uid="{00000000-0005-0000-0000-00007F300000}"/>
    <cellStyle name="Normal 2 13 3" xfId="12456" xr:uid="{00000000-0005-0000-0000-000080300000}"/>
    <cellStyle name="Normal 2 13 3 2" xfId="12457" xr:uid="{00000000-0005-0000-0000-000081300000}"/>
    <cellStyle name="Normal 2 13 4" xfId="12458" xr:uid="{00000000-0005-0000-0000-000082300000}"/>
    <cellStyle name="Normal 2 13 5" xfId="12459" xr:uid="{00000000-0005-0000-0000-000083300000}"/>
    <cellStyle name="Normal 2 13 6" xfId="12460" xr:uid="{00000000-0005-0000-0000-000084300000}"/>
    <cellStyle name="Normal 2 14" xfId="12461" xr:uid="{00000000-0005-0000-0000-000085300000}"/>
    <cellStyle name="Normal 2 14 2" xfId="12462" xr:uid="{00000000-0005-0000-0000-000086300000}"/>
    <cellStyle name="Normal 2 14 2 2" xfId="12463" xr:uid="{00000000-0005-0000-0000-000087300000}"/>
    <cellStyle name="Normal 2 14 2 3" xfId="12464" xr:uid="{00000000-0005-0000-0000-000088300000}"/>
    <cellStyle name="Normal 2 14 3" xfId="12465" xr:uid="{00000000-0005-0000-0000-000089300000}"/>
    <cellStyle name="Normal 2 14 3 2" xfId="12466" xr:uid="{00000000-0005-0000-0000-00008A300000}"/>
    <cellStyle name="Normal 2 14 3 3" xfId="12467" xr:uid="{00000000-0005-0000-0000-00008B300000}"/>
    <cellStyle name="Normal 2 14 4" xfId="12468" xr:uid="{00000000-0005-0000-0000-00008C300000}"/>
    <cellStyle name="Normal 2 14 5" xfId="12469" xr:uid="{00000000-0005-0000-0000-00008D300000}"/>
    <cellStyle name="Normal 2 15" xfId="12470" xr:uid="{00000000-0005-0000-0000-00008E300000}"/>
    <cellStyle name="Normal 2 15 2" xfId="12471" xr:uid="{00000000-0005-0000-0000-00008F300000}"/>
    <cellStyle name="Normal 2 15 3" xfId="12472" xr:uid="{00000000-0005-0000-0000-000090300000}"/>
    <cellStyle name="Normal 2 15 4" xfId="12473" xr:uid="{00000000-0005-0000-0000-000091300000}"/>
    <cellStyle name="Normal 2 15 5" xfId="12474" xr:uid="{00000000-0005-0000-0000-000092300000}"/>
    <cellStyle name="Normal 2 16" xfId="12475" xr:uid="{00000000-0005-0000-0000-000093300000}"/>
    <cellStyle name="Normal 2 16 2" xfId="12476" xr:uid="{00000000-0005-0000-0000-000094300000}"/>
    <cellStyle name="Normal 2 16 3" xfId="12477" xr:uid="{00000000-0005-0000-0000-000095300000}"/>
    <cellStyle name="Normal 2 16 4" xfId="12478" xr:uid="{00000000-0005-0000-0000-000096300000}"/>
    <cellStyle name="Normal 2 16 5" xfId="12479" xr:uid="{00000000-0005-0000-0000-000097300000}"/>
    <cellStyle name="Normal 2 17" xfId="12480" xr:uid="{00000000-0005-0000-0000-000098300000}"/>
    <cellStyle name="Normal 2 17 2" xfId="12481" xr:uid="{00000000-0005-0000-0000-000099300000}"/>
    <cellStyle name="Normal 2 17 3" xfId="12482" xr:uid="{00000000-0005-0000-0000-00009A300000}"/>
    <cellStyle name="Normal 2 17 4" xfId="12483" xr:uid="{00000000-0005-0000-0000-00009B300000}"/>
    <cellStyle name="Normal 2 18" xfId="12484" xr:uid="{00000000-0005-0000-0000-00009C300000}"/>
    <cellStyle name="Normal 2 18 2" xfId="12485" xr:uid="{00000000-0005-0000-0000-00009D300000}"/>
    <cellStyle name="Normal 2 18 3" xfId="12486" xr:uid="{00000000-0005-0000-0000-00009E300000}"/>
    <cellStyle name="Normal 2 18 4" xfId="12487" xr:uid="{00000000-0005-0000-0000-00009F300000}"/>
    <cellStyle name="Normal 2 19" xfId="12488" xr:uid="{00000000-0005-0000-0000-0000A0300000}"/>
    <cellStyle name="Normal 2 19 2" xfId="12489" xr:uid="{00000000-0005-0000-0000-0000A1300000}"/>
    <cellStyle name="Normal 2 19 2 2" xfId="12490" xr:uid="{00000000-0005-0000-0000-0000A2300000}"/>
    <cellStyle name="Normal 2 19 3" xfId="12491" xr:uid="{00000000-0005-0000-0000-0000A3300000}"/>
    <cellStyle name="Normal 2 19 4" xfId="12492" xr:uid="{00000000-0005-0000-0000-0000A4300000}"/>
    <cellStyle name="Normal 2 2" xfId="59" xr:uid="{00000000-0005-0000-0000-0000A5300000}"/>
    <cellStyle name="Normal 2 2 10" xfId="12493" xr:uid="{00000000-0005-0000-0000-0000A6300000}"/>
    <cellStyle name="Normal 2 2 11" xfId="12494" xr:uid="{00000000-0005-0000-0000-0000A7300000}"/>
    <cellStyle name="Normal 2 2 12" xfId="12495" xr:uid="{00000000-0005-0000-0000-0000A8300000}"/>
    <cellStyle name="Normal 2 2 13" xfId="12496" xr:uid="{00000000-0005-0000-0000-0000A9300000}"/>
    <cellStyle name="Normal 2 2 14" xfId="12497" xr:uid="{00000000-0005-0000-0000-0000AA300000}"/>
    <cellStyle name="Normal 2 2 14 2" xfId="12498" xr:uid="{00000000-0005-0000-0000-0000AB300000}"/>
    <cellStyle name="Normal 2 2 14 3" xfId="12499" xr:uid="{00000000-0005-0000-0000-0000AC300000}"/>
    <cellStyle name="Normal 2 2 14 3 2" xfId="12500" xr:uid="{00000000-0005-0000-0000-0000AD300000}"/>
    <cellStyle name="Normal 2 2 15" xfId="12501" xr:uid="{00000000-0005-0000-0000-0000AE300000}"/>
    <cellStyle name="Normal 2 2 16" xfId="12502" xr:uid="{00000000-0005-0000-0000-0000AF300000}"/>
    <cellStyle name="Normal 2 2 17" xfId="12503" xr:uid="{00000000-0005-0000-0000-0000B0300000}"/>
    <cellStyle name="Normal 2 2 18" xfId="12504" xr:uid="{00000000-0005-0000-0000-0000B1300000}"/>
    <cellStyle name="Normal 2 2 19" xfId="12505" xr:uid="{00000000-0005-0000-0000-0000B2300000}"/>
    <cellStyle name="Normal 2 2 19 2" xfId="12506" xr:uid="{00000000-0005-0000-0000-0000B3300000}"/>
    <cellStyle name="Normal 2 2 2" xfId="96" xr:uid="{00000000-0005-0000-0000-0000B4300000}"/>
    <cellStyle name="Normal 2 2 2 10" xfId="12507" xr:uid="{00000000-0005-0000-0000-0000B5300000}"/>
    <cellStyle name="Normal 2 2 2 11" xfId="12508" xr:uid="{00000000-0005-0000-0000-0000B6300000}"/>
    <cellStyle name="Normal 2 2 2 12" xfId="12509" xr:uid="{00000000-0005-0000-0000-0000B7300000}"/>
    <cellStyle name="Normal 2 2 2 13" xfId="12510" xr:uid="{00000000-0005-0000-0000-0000B8300000}"/>
    <cellStyle name="Normal 2 2 2 14" xfId="12511" xr:uid="{00000000-0005-0000-0000-0000B9300000}"/>
    <cellStyle name="Normal 2 2 2 15" xfId="12512" xr:uid="{00000000-0005-0000-0000-0000BA300000}"/>
    <cellStyle name="Normal 2 2 2 16" xfId="12513" xr:uid="{00000000-0005-0000-0000-0000BB300000}"/>
    <cellStyle name="Normal 2 2 2 2" xfId="12514" xr:uid="{00000000-0005-0000-0000-0000BC300000}"/>
    <cellStyle name="Normal 2 2 2 2 2" xfId="12515" xr:uid="{00000000-0005-0000-0000-0000BD300000}"/>
    <cellStyle name="Normal 2 2 2 2 2 2" xfId="12516" xr:uid="{00000000-0005-0000-0000-0000BE300000}"/>
    <cellStyle name="Normal 2 2 2 2 2 3" xfId="12517" xr:uid="{00000000-0005-0000-0000-0000BF300000}"/>
    <cellStyle name="Normal 2 2 2 2 2 4" xfId="12518" xr:uid="{00000000-0005-0000-0000-0000C0300000}"/>
    <cellStyle name="Normal 2 2 2 2 2 5" xfId="12519" xr:uid="{00000000-0005-0000-0000-0000C1300000}"/>
    <cellStyle name="Normal 2 2 2 2 2 6" xfId="12520" xr:uid="{00000000-0005-0000-0000-0000C2300000}"/>
    <cellStyle name="Normal 2 2 2 2 2 7" xfId="12521" xr:uid="{00000000-0005-0000-0000-0000C3300000}"/>
    <cellStyle name="Normal 2 2 2 2 2 8" xfId="12522" xr:uid="{00000000-0005-0000-0000-0000C4300000}"/>
    <cellStyle name="Normal 2 2 2 2 3" xfId="12523" xr:uid="{00000000-0005-0000-0000-0000C5300000}"/>
    <cellStyle name="Normal 2 2 2 2 4" xfId="12524" xr:uid="{00000000-0005-0000-0000-0000C6300000}"/>
    <cellStyle name="Normal 2 2 2 2 5" xfId="12525" xr:uid="{00000000-0005-0000-0000-0000C7300000}"/>
    <cellStyle name="Normal 2 2 2 2 6" xfId="12526" xr:uid="{00000000-0005-0000-0000-0000C8300000}"/>
    <cellStyle name="Normal 2 2 2 3" xfId="12527" xr:uid="{00000000-0005-0000-0000-0000C9300000}"/>
    <cellStyle name="Normal 2 2 2 3 2" xfId="12528" xr:uid="{00000000-0005-0000-0000-0000CA300000}"/>
    <cellStyle name="Normal 2 2 2 4" xfId="12529" xr:uid="{00000000-0005-0000-0000-0000CB300000}"/>
    <cellStyle name="Normal 2 2 2 4 2" xfId="12530" xr:uid="{00000000-0005-0000-0000-0000CC300000}"/>
    <cellStyle name="Normal 2 2 2 5" xfId="12531" xr:uid="{00000000-0005-0000-0000-0000CD300000}"/>
    <cellStyle name="Normal 2 2 2 5 2" xfId="12532" xr:uid="{00000000-0005-0000-0000-0000CE300000}"/>
    <cellStyle name="Normal 2 2 2 6" xfId="12533" xr:uid="{00000000-0005-0000-0000-0000CF300000}"/>
    <cellStyle name="Normal 2 2 2 7" xfId="12534" xr:uid="{00000000-0005-0000-0000-0000D0300000}"/>
    <cellStyle name="Normal 2 2 2 8" xfId="12535" xr:uid="{00000000-0005-0000-0000-0000D1300000}"/>
    <cellStyle name="Normal 2 2 2 9" xfId="12536" xr:uid="{00000000-0005-0000-0000-0000D2300000}"/>
    <cellStyle name="Normal 2 2 2_Achampally-Gattu (Ganga)" xfId="12537" xr:uid="{00000000-0005-0000-0000-0000D3300000}"/>
    <cellStyle name="Normal 2 2 20" xfId="12538" xr:uid="{00000000-0005-0000-0000-0000D4300000}"/>
    <cellStyle name="Normal 2 2 21" xfId="12539" xr:uid="{00000000-0005-0000-0000-0000D5300000}"/>
    <cellStyle name="Normal 2 2 21 2" xfId="12540" xr:uid="{00000000-0005-0000-0000-0000D6300000}"/>
    <cellStyle name="Normal 2 2 22" xfId="12541" xr:uid="{00000000-0005-0000-0000-0000D7300000}"/>
    <cellStyle name="Normal 2 2 23" xfId="12542" xr:uid="{00000000-0005-0000-0000-0000D8300000}"/>
    <cellStyle name="Normal 2 2 24" xfId="12543" xr:uid="{00000000-0005-0000-0000-0000D9300000}"/>
    <cellStyle name="Normal 2 2 25" xfId="12544" xr:uid="{00000000-0005-0000-0000-0000DA300000}"/>
    <cellStyle name="Normal 2 2 25 2" xfId="12545" xr:uid="{00000000-0005-0000-0000-0000DB300000}"/>
    <cellStyle name="Normal 2 2 26" xfId="12546" xr:uid="{00000000-0005-0000-0000-0000DC300000}"/>
    <cellStyle name="Normal 2 2 27" xfId="12547" xr:uid="{00000000-0005-0000-0000-0000DD300000}"/>
    <cellStyle name="Normal 2 2 28" xfId="12548" xr:uid="{00000000-0005-0000-0000-0000DE300000}"/>
    <cellStyle name="Normal 2 2 29" xfId="12549" xr:uid="{00000000-0005-0000-0000-0000DF300000}"/>
    <cellStyle name="Normal 2 2 3" xfId="12550" xr:uid="{00000000-0005-0000-0000-0000E0300000}"/>
    <cellStyle name="Normal 2 2 3 10" xfId="12551" xr:uid="{00000000-0005-0000-0000-0000E1300000}"/>
    <cellStyle name="Normal 2 2 3 11" xfId="12552" xr:uid="{00000000-0005-0000-0000-0000E2300000}"/>
    <cellStyle name="Normal 2 2 3 12" xfId="12553" xr:uid="{00000000-0005-0000-0000-0000E3300000}"/>
    <cellStyle name="Normal 2 2 3 13" xfId="12554" xr:uid="{00000000-0005-0000-0000-0000E4300000}"/>
    <cellStyle name="Normal 2 2 3 14" xfId="12555" xr:uid="{00000000-0005-0000-0000-0000E5300000}"/>
    <cellStyle name="Normal 2 2 3 2" xfId="12556" xr:uid="{00000000-0005-0000-0000-0000E6300000}"/>
    <cellStyle name="Normal 2 2 3 2 2" xfId="12557" xr:uid="{00000000-0005-0000-0000-0000E7300000}"/>
    <cellStyle name="Normal 2 2 3 3" xfId="12558" xr:uid="{00000000-0005-0000-0000-0000E8300000}"/>
    <cellStyle name="Normal 2 2 3 3 2" xfId="12559" xr:uid="{00000000-0005-0000-0000-0000E9300000}"/>
    <cellStyle name="Normal 2 2 3 4" xfId="12560" xr:uid="{00000000-0005-0000-0000-0000EA300000}"/>
    <cellStyle name="Normal 2 2 3 5" xfId="12561" xr:uid="{00000000-0005-0000-0000-0000EB300000}"/>
    <cellStyle name="Normal 2 2 3 6" xfId="12562" xr:uid="{00000000-0005-0000-0000-0000EC300000}"/>
    <cellStyle name="Normal 2 2 3 7" xfId="12563" xr:uid="{00000000-0005-0000-0000-0000ED300000}"/>
    <cellStyle name="Normal 2 2 3 8" xfId="12564" xr:uid="{00000000-0005-0000-0000-0000EE300000}"/>
    <cellStyle name="Normal 2 2 3 9" xfId="12565" xr:uid="{00000000-0005-0000-0000-0000EF300000}"/>
    <cellStyle name="Normal 2 2 30" xfId="12566" xr:uid="{00000000-0005-0000-0000-0000F0300000}"/>
    <cellStyle name="Normal 2 2 31" xfId="12567" xr:uid="{00000000-0005-0000-0000-0000F1300000}"/>
    <cellStyle name="Normal 2 2 31 2" xfId="12568" xr:uid="{00000000-0005-0000-0000-0000F2300000}"/>
    <cellStyle name="Normal 2 2 31 3" xfId="12569" xr:uid="{00000000-0005-0000-0000-0000F3300000}"/>
    <cellStyle name="Normal 2 2 32" xfId="12570" xr:uid="{00000000-0005-0000-0000-0000F4300000}"/>
    <cellStyle name="Normal 2 2 33" xfId="12571" xr:uid="{00000000-0005-0000-0000-0000F5300000}"/>
    <cellStyle name="Normal 2 2 34" xfId="12572" xr:uid="{00000000-0005-0000-0000-0000F6300000}"/>
    <cellStyle name="Normal 2 2 35" xfId="12573" xr:uid="{00000000-0005-0000-0000-0000F7300000}"/>
    <cellStyle name="Normal 2 2 36" xfId="12574" xr:uid="{00000000-0005-0000-0000-0000F8300000}"/>
    <cellStyle name="Normal 2 2 37" xfId="12575" xr:uid="{00000000-0005-0000-0000-0000F9300000}"/>
    <cellStyle name="Normal 2 2 38" xfId="12576" xr:uid="{00000000-0005-0000-0000-0000FA300000}"/>
    <cellStyle name="Normal 2 2 4" xfId="12577" xr:uid="{00000000-0005-0000-0000-0000FB300000}"/>
    <cellStyle name="Normal 2 2 4 10" xfId="12578" xr:uid="{00000000-0005-0000-0000-0000FC300000}"/>
    <cellStyle name="Normal 2 2 4 2" xfId="12579" xr:uid="{00000000-0005-0000-0000-0000FD300000}"/>
    <cellStyle name="Normal 2 2 4 2 2" xfId="12580" xr:uid="{00000000-0005-0000-0000-0000FE300000}"/>
    <cellStyle name="Normal 2 2 4 3" xfId="12581" xr:uid="{00000000-0005-0000-0000-0000FF300000}"/>
    <cellStyle name="Normal 2 2 4 4" xfId="12582" xr:uid="{00000000-0005-0000-0000-000000310000}"/>
    <cellStyle name="Normal 2 2 4 5" xfId="12583" xr:uid="{00000000-0005-0000-0000-000001310000}"/>
    <cellStyle name="Normal 2 2 4 6" xfId="12584" xr:uid="{00000000-0005-0000-0000-000002310000}"/>
    <cellStyle name="Normal 2 2 4 7" xfId="12585" xr:uid="{00000000-0005-0000-0000-000003310000}"/>
    <cellStyle name="Normal 2 2 4 8" xfId="12586" xr:uid="{00000000-0005-0000-0000-000004310000}"/>
    <cellStyle name="Normal 2 2 4 9" xfId="12587" xr:uid="{00000000-0005-0000-0000-000005310000}"/>
    <cellStyle name="Normal 2 2 5" xfId="12588" xr:uid="{00000000-0005-0000-0000-000006310000}"/>
    <cellStyle name="Normal 2 2 5 2" xfId="12589" xr:uid="{00000000-0005-0000-0000-000007310000}"/>
    <cellStyle name="Normal 2 2 5 3" xfId="12590" xr:uid="{00000000-0005-0000-0000-000008310000}"/>
    <cellStyle name="Normal 2 2 5 4" xfId="12591" xr:uid="{00000000-0005-0000-0000-000009310000}"/>
    <cellStyle name="Normal 2 2 6" xfId="12592" xr:uid="{00000000-0005-0000-0000-00000A310000}"/>
    <cellStyle name="Normal 2 2 6 2" xfId="12593" xr:uid="{00000000-0005-0000-0000-00000B310000}"/>
    <cellStyle name="Normal 2 2 6 3" xfId="12594" xr:uid="{00000000-0005-0000-0000-00000C310000}"/>
    <cellStyle name="Normal 2 2 7" xfId="12595" xr:uid="{00000000-0005-0000-0000-00000D310000}"/>
    <cellStyle name="Normal 2 2 7 2" xfId="12596" xr:uid="{00000000-0005-0000-0000-00000E310000}"/>
    <cellStyle name="Normal 2 2 8" xfId="12597" xr:uid="{00000000-0005-0000-0000-00000F310000}"/>
    <cellStyle name="Normal 2 2 8 2" xfId="12598" xr:uid="{00000000-0005-0000-0000-000010310000}"/>
    <cellStyle name="Normal 2 2 9" xfId="12599" xr:uid="{00000000-0005-0000-0000-000011310000}"/>
    <cellStyle name="Normal 2 2 9 2" xfId="12600" xr:uid="{00000000-0005-0000-0000-000012310000}"/>
    <cellStyle name="Normal 2 2_2_AP02X016 - KP Kunta" xfId="12601" xr:uid="{00000000-0005-0000-0000-000013310000}"/>
    <cellStyle name="Normal 2 20" xfId="12602" xr:uid="{00000000-0005-0000-0000-000014310000}"/>
    <cellStyle name="Normal 2 20 2" xfId="12603" xr:uid="{00000000-0005-0000-0000-000015310000}"/>
    <cellStyle name="Normal 2 20 2 2" xfId="12604" xr:uid="{00000000-0005-0000-0000-000016310000}"/>
    <cellStyle name="Normal 2 20 3" xfId="12605" xr:uid="{00000000-0005-0000-0000-000017310000}"/>
    <cellStyle name="Normal 2 20 3 2" xfId="12606" xr:uid="{00000000-0005-0000-0000-000018310000}"/>
    <cellStyle name="Normal 2 20 4" xfId="12607" xr:uid="{00000000-0005-0000-0000-000019310000}"/>
    <cellStyle name="Normal 2 21" xfId="12608" xr:uid="{00000000-0005-0000-0000-00001A310000}"/>
    <cellStyle name="Normal 2 21 2" xfId="12609" xr:uid="{00000000-0005-0000-0000-00001B310000}"/>
    <cellStyle name="Normal 2 21 2 2" xfId="12610" xr:uid="{00000000-0005-0000-0000-00001C310000}"/>
    <cellStyle name="Normal 2 21 3" xfId="12611" xr:uid="{00000000-0005-0000-0000-00001D310000}"/>
    <cellStyle name="Normal 2 21 3 2" xfId="12612" xr:uid="{00000000-0005-0000-0000-00001E310000}"/>
    <cellStyle name="Normal 2 21 4" xfId="12613" xr:uid="{00000000-0005-0000-0000-00001F310000}"/>
    <cellStyle name="Normal 2 21 5" xfId="12614" xr:uid="{00000000-0005-0000-0000-000020310000}"/>
    <cellStyle name="Normal 2 21 6" xfId="12615" xr:uid="{00000000-0005-0000-0000-000021310000}"/>
    <cellStyle name="Normal 2 22" xfId="12616" xr:uid="{00000000-0005-0000-0000-000022310000}"/>
    <cellStyle name="Normal 2 22 2" xfId="12617" xr:uid="{00000000-0005-0000-0000-000023310000}"/>
    <cellStyle name="Normal 2 22 2 2" xfId="12618" xr:uid="{00000000-0005-0000-0000-000024310000}"/>
    <cellStyle name="Normal 2 22 3" xfId="12619" xr:uid="{00000000-0005-0000-0000-000025310000}"/>
    <cellStyle name="Normal 2 22 3 2" xfId="12620" xr:uid="{00000000-0005-0000-0000-000026310000}"/>
    <cellStyle name="Normal 2 22 4" xfId="12621" xr:uid="{00000000-0005-0000-0000-000027310000}"/>
    <cellStyle name="Normal 2 23" xfId="12622" xr:uid="{00000000-0005-0000-0000-000028310000}"/>
    <cellStyle name="Normal 2 23 2" xfId="12623" xr:uid="{00000000-0005-0000-0000-000029310000}"/>
    <cellStyle name="Normal 2 23 2 2" xfId="12624" xr:uid="{00000000-0005-0000-0000-00002A310000}"/>
    <cellStyle name="Normal 2 23 2 3" xfId="12625" xr:uid="{00000000-0005-0000-0000-00002B310000}"/>
    <cellStyle name="Normal 2 23 2 4" xfId="12626" xr:uid="{00000000-0005-0000-0000-00002C310000}"/>
    <cellStyle name="Normal 2 23 3" xfId="12627" xr:uid="{00000000-0005-0000-0000-00002D310000}"/>
    <cellStyle name="Normal 2 23 3 2" xfId="12628" xr:uid="{00000000-0005-0000-0000-00002E310000}"/>
    <cellStyle name="Normal 2 23 3 3" xfId="12629" xr:uid="{00000000-0005-0000-0000-00002F310000}"/>
    <cellStyle name="Normal 2 23 3 4" xfId="12630" xr:uid="{00000000-0005-0000-0000-000030310000}"/>
    <cellStyle name="Normal 2 23 4" xfId="12631" xr:uid="{00000000-0005-0000-0000-000031310000}"/>
    <cellStyle name="Normal 2 23 4 2" xfId="12632" xr:uid="{00000000-0005-0000-0000-000032310000}"/>
    <cellStyle name="Normal 2 23 4 3" xfId="12633" xr:uid="{00000000-0005-0000-0000-000033310000}"/>
    <cellStyle name="Normal 2 23 5" xfId="12634" xr:uid="{00000000-0005-0000-0000-000034310000}"/>
    <cellStyle name="Normal 2 23 6" xfId="12635" xr:uid="{00000000-0005-0000-0000-000035310000}"/>
    <cellStyle name="Normal 2 23 7" xfId="12636" xr:uid="{00000000-0005-0000-0000-000036310000}"/>
    <cellStyle name="Normal 2 23 8" xfId="12637" xr:uid="{00000000-0005-0000-0000-000037310000}"/>
    <cellStyle name="Normal 2 23 9" xfId="12638" xr:uid="{00000000-0005-0000-0000-000038310000}"/>
    <cellStyle name="Normal 2 24" xfId="12639" xr:uid="{00000000-0005-0000-0000-000039310000}"/>
    <cellStyle name="Normal 2 24 2" xfId="12640" xr:uid="{00000000-0005-0000-0000-00003A310000}"/>
    <cellStyle name="Normal 2 24 2 2" xfId="12641" xr:uid="{00000000-0005-0000-0000-00003B310000}"/>
    <cellStyle name="Normal 2 24 2 3" xfId="12642" xr:uid="{00000000-0005-0000-0000-00003C310000}"/>
    <cellStyle name="Normal 2 24 2 4" xfId="12643" xr:uid="{00000000-0005-0000-0000-00003D310000}"/>
    <cellStyle name="Normal 2 24 3" xfId="12644" xr:uid="{00000000-0005-0000-0000-00003E310000}"/>
    <cellStyle name="Normal 2 24 3 2" xfId="12645" xr:uid="{00000000-0005-0000-0000-00003F310000}"/>
    <cellStyle name="Normal 2 24 3 3" xfId="12646" xr:uid="{00000000-0005-0000-0000-000040310000}"/>
    <cellStyle name="Normal 2 24 3 4" xfId="12647" xr:uid="{00000000-0005-0000-0000-000041310000}"/>
    <cellStyle name="Normal 2 24 4" xfId="12648" xr:uid="{00000000-0005-0000-0000-000042310000}"/>
    <cellStyle name="Normal 2 24 4 2" xfId="12649" xr:uid="{00000000-0005-0000-0000-000043310000}"/>
    <cellStyle name="Normal 2 24 4 3" xfId="12650" xr:uid="{00000000-0005-0000-0000-000044310000}"/>
    <cellStyle name="Normal 2 24 5" xfId="12651" xr:uid="{00000000-0005-0000-0000-000045310000}"/>
    <cellStyle name="Normal 2 24 6" xfId="12652" xr:uid="{00000000-0005-0000-0000-000046310000}"/>
    <cellStyle name="Normal 2 24 7" xfId="12653" xr:uid="{00000000-0005-0000-0000-000047310000}"/>
    <cellStyle name="Normal 2 24 8" xfId="12654" xr:uid="{00000000-0005-0000-0000-000048310000}"/>
    <cellStyle name="Normal 2 24 9" xfId="12655" xr:uid="{00000000-0005-0000-0000-000049310000}"/>
    <cellStyle name="Normal 2 25" xfId="12656" xr:uid="{00000000-0005-0000-0000-00004A310000}"/>
    <cellStyle name="Normal 2 25 2" xfId="12657" xr:uid="{00000000-0005-0000-0000-00004B310000}"/>
    <cellStyle name="Normal 2 25 2 2" xfId="12658" xr:uid="{00000000-0005-0000-0000-00004C310000}"/>
    <cellStyle name="Normal 2 25 2 3" xfId="12659" xr:uid="{00000000-0005-0000-0000-00004D310000}"/>
    <cellStyle name="Normal 2 25 2 4" xfId="12660" xr:uid="{00000000-0005-0000-0000-00004E310000}"/>
    <cellStyle name="Normal 2 25 3" xfId="12661" xr:uid="{00000000-0005-0000-0000-00004F310000}"/>
    <cellStyle name="Normal 2 25 3 2" xfId="12662" xr:uid="{00000000-0005-0000-0000-000050310000}"/>
    <cellStyle name="Normal 2 25 3 3" xfId="12663" xr:uid="{00000000-0005-0000-0000-000051310000}"/>
    <cellStyle name="Normal 2 25 3 4" xfId="12664" xr:uid="{00000000-0005-0000-0000-000052310000}"/>
    <cellStyle name="Normal 2 25 4" xfId="12665" xr:uid="{00000000-0005-0000-0000-000053310000}"/>
    <cellStyle name="Normal 2 25 4 2" xfId="12666" xr:uid="{00000000-0005-0000-0000-000054310000}"/>
    <cellStyle name="Normal 2 25 4 3" xfId="12667" xr:uid="{00000000-0005-0000-0000-000055310000}"/>
    <cellStyle name="Normal 2 25 5" xfId="12668" xr:uid="{00000000-0005-0000-0000-000056310000}"/>
    <cellStyle name="Normal 2 25 6" xfId="12669" xr:uid="{00000000-0005-0000-0000-000057310000}"/>
    <cellStyle name="Normal 2 25 7" xfId="12670" xr:uid="{00000000-0005-0000-0000-000058310000}"/>
    <cellStyle name="Normal 2 25 8" xfId="12671" xr:uid="{00000000-0005-0000-0000-000059310000}"/>
    <cellStyle name="Normal 2 25 9" xfId="12672" xr:uid="{00000000-0005-0000-0000-00005A310000}"/>
    <cellStyle name="Normal 2 26" xfId="12673" xr:uid="{00000000-0005-0000-0000-00005B310000}"/>
    <cellStyle name="Normal 2 26 2" xfId="12674" xr:uid="{00000000-0005-0000-0000-00005C310000}"/>
    <cellStyle name="Normal 2 26 2 2" xfId="12675" xr:uid="{00000000-0005-0000-0000-00005D310000}"/>
    <cellStyle name="Normal 2 26 2 3" xfId="12676" xr:uid="{00000000-0005-0000-0000-00005E310000}"/>
    <cellStyle name="Normal 2 26 2 4" xfId="12677" xr:uid="{00000000-0005-0000-0000-00005F310000}"/>
    <cellStyle name="Normal 2 26 3" xfId="12678" xr:uid="{00000000-0005-0000-0000-000060310000}"/>
    <cellStyle name="Normal 2 26 3 2" xfId="12679" xr:uid="{00000000-0005-0000-0000-000061310000}"/>
    <cellStyle name="Normal 2 26 3 3" xfId="12680" xr:uid="{00000000-0005-0000-0000-000062310000}"/>
    <cellStyle name="Normal 2 26 3 4" xfId="12681" xr:uid="{00000000-0005-0000-0000-000063310000}"/>
    <cellStyle name="Normal 2 26 4" xfId="12682" xr:uid="{00000000-0005-0000-0000-000064310000}"/>
    <cellStyle name="Normal 2 26 4 2" xfId="12683" xr:uid="{00000000-0005-0000-0000-000065310000}"/>
    <cellStyle name="Normal 2 26 4 3" xfId="12684" xr:uid="{00000000-0005-0000-0000-000066310000}"/>
    <cellStyle name="Normal 2 26 5" xfId="12685" xr:uid="{00000000-0005-0000-0000-000067310000}"/>
    <cellStyle name="Normal 2 26 6" xfId="12686" xr:uid="{00000000-0005-0000-0000-000068310000}"/>
    <cellStyle name="Normal 2 26 7" xfId="12687" xr:uid="{00000000-0005-0000-0000-000069310000}"/>
    <cellStyle name="Normal 2 26 8" xfId="12688" xr:uid="{00000000-0005-0000-0000-00006A310000}"/>
    <cellStyle name="Normal 2 26 9" xfId="12689" xr:uid="{00000000-0005-0000-0000-00006B310000}"/>
    <cellStyle name="Normal 2 27" xfId="12690" xr:uid="{00000000-0005-0000-0000-00006C310000}"/>
    <cellStyle name="Normal 2 27 2" xfId="12691" xr:uid="{00000000-0005-0000-0000-00006D310000}"/>
    <cellStyle name="Normal 2 27 2 2" xfId="12692" xr:uid="{00000000-0005-0000-0000-00006E310000}"/>
    <cellStyle name="Normal 2 27 2 3" xfId="12693" xr:uid="{00000000-0005-0000-0000-00006F310000}"/>
    <cellStyle name="Normal 2 27 2 4" xfId="12694" xr:uid="{00000000-0005-0000-0000-000070310000}"/>
    <cellStyle name="Normal 2 27 3" xfId="12695" xr:uid="{00000000-0005-0000-0000-000071310000}"/>
    <cellStyle name="Normal 2 27 3 2" xfId="12696" xr:uid="{00000000-0005-0000-0000-000072310000}"/>
    <cellStyle name="Normal 2 27 3 3" xfId="12697" xr:uid="{00000000-0005-0000-0000-000073310000}"/>
    <cellStyle name="Normal 2 27 3 4" xfId="12698" xr:uid="{00000000-0005-0000-0000-000074310000}"/>
    <cellStyle name="Normal 2 27 4" xfId="12699" xr:uid="{00000000-0005-0000-0000-000075310000}"/>
    <cellStyle name="Normal 2 27 4 2" xfId="12700" xr:uid="{00000000-0005-0000-0000-000076310000}"/>
    <cellStyle name="Normal 2 27 4 3" xfId="12701" xr:uid="{00000000-0005-0000-0000-000077310000}"/>
    <cellStyle name="Normal 2 27 5" xfId="12702" xr:uid="{00000000-0005-0000-0000-000078310000}"/>
    <cellStyle name="Normal 2 27 6" xfId="12703" xr:uid="{00000000-0005-0000-0000-000079310000}"/>
    <cellStyle name="Normal 2 27 7" xfId="12704" xr:uid="{00000000-0005-0000-0000-00007A310000}"/>
    <cellStyle name="Normal 2 27 8" xfId="12705" xr:uid="{00000000-0005-0000-0000-00007B310000}"/>
    <cellStyle name="Normal 2 27 9" xfId="12706" xr:uid="{00000000-0005-0000-0000-00007C310000}"/>
    <cellStyle name="Normal 2 28" xfId="12707" xr:uid="{00000000-0005-0000-0000-00007D310000}"/>
    <cellStyle name="Normal 2 28 2" xfId="12708" xr:uid="{00000000-0005-0000-0000-00007E310000}"/>
    <cellStyle name="Normal 2 28 2 2" xfId="12709" xr:uid="{00000000-0005-0000-0000-00007F310000}"/>
    <cellStyle name="Normal 2 28 2 3" xfId="12710" xr:uid="{00000000-0005-0000-0000-000080310000}"/>
    <cellStyle name="Normal 2 28 2 4" xfId="12711" xr:uid="{00000000-0005-0000-0000-000081310000}"/>
    <cellStyle name="Normal 2 28 3" xfId="12712" xr:uid="{00000000-0005-0000-0000-000082310000}"/>
    <cellStyle name="Normal 2 28 3 2" xfId="12713" xr:uid="{00000000-0005-0000-0000-000083310000}"/>
    <cellStyle name="Normal 2 28 3 3" xfId="12714" xr:uid="{00000000-0005-0000-0000-000084310000}"/>
    <cellStyle name="Normal 2 28 3 4" xfId="12715" xr:uid="{00000000-0005-0000-0000-000085310000}"/>
    <cellStyle name="Normal 2 28 4" xfId="12716" xr:uid="{00000000-0005-0000-0000-000086310000}"/>
    <cellStyle name="Normal 2 28 4 2" xfId="12717" xr:uid="{00000000-0005-0000-0000-000087310000}"/>
    <cellStyle name="Normal 2 28 4 3" xfId="12718" xr:uid="{00000000-0005-0000-0000-000088310000}"/>
    <cellStyle name="Normal 2 28 5" xfId="12719" xr:uid="{00000000-0005-0000-0000-000089310000}"/>
    <cellStyle name="Normal 2 28 6" xfId="12720" xr:uid="{00000000-0005-0000-0000-00008A310000}"/>
    <cellStyle name="Normal 2 28 7" xfId="12721" xr:uid="{00000000-0005-0000-0000-00008B310000}"/>
    <cellStyle name="Normal 2 28 8" xfId="12722" xr:uid="{00000000-0005-0000-0000-00008C310000}"/>
    <cellStyle name="Normal 2 28 9" xfId="12723" xr:uid="{00000000-0005-0000-0000-00008D310000}"/>
    <cellStyle name="Normal 2 29" xfId="12724" xr:uid="{00000000-0005-0000-0000-00008E310000}"/>
    <cellStyle name="Normal 2 29 2" xfId="12725" xr:uid="{00000000-0005-0000-0000-00008F310000}"/>
    <cellStyle name="Normal 2 29 2 2" xfId="12726" xr:uid="{00000000-0005-0000-0000-000090310000}"/>
    <cellStyle name="Normal 2 29 2 3" xfId="12727" xr:uid="{00000000-0005-0000-0000-000091310000}"/>
    <cellStyle name="Normal 2 29 2 4" xfId="12728" xr:uid="{00000000-0005-0000-0000-000092310000}"/>
    <cellStyle name="Normal 2 29 3" xfId="12729" xr:uid="{00000000-0005-0000-0000-000093310000}"/>
    <cellStyle name="Normal 2 29 3 2" xfId="12730" xr:uid="{00000000-0005-0000-0000-000094310000}"/>
    <cellStyle name="Normal 2 29 3 3" xfId="12731" xr:uid="{00000000-0005-0000-0000-000095310000}"/>
    <cellStyle name="Normal 2 29 3 4" xfId="12732" xr:uid="{00000000-0005-0000-0000-000096310000}"/>
    <cellStyle name="Normal 2 29 4" xfId="12733" xr:uid="{00000000-0005-0000-0000-000097310000}"/>
    <cellStyle name="Normal 2 29 4 2" xfId="12734" xr:uid="{00000000-0005-0000-0000-000098310000}"/>
    <cellStyle name="Normal 2 29 4 3" xfId="12735" xr:uid="{00000000-0005-0000-0000-000099310000}"/>
    <cellStyle name="Normal 2 29 5" xfId="12736" xr:uid="{00000000-0005-0000-0000-00009A310000}"/>
    <cellStyle name="Normal 2 29 6" xfId="12737" xr:uid="{00000000-0005-0000-0000-00009B310000}"/>
    <cellStyle name="Normal 2 29 7" xfId="12738" xr:uid="{00000000-0005-0000-0000-00009C310000}"/>
    <cellStyle name="Normal 2 29 8" xfId="12739" xr:uid="{00000000-0005-0000-0000-00009D310000}"/>
    <cellStyle name="Normal 2 29 9" xfId="12740" xr:uid="{00000000-0005-0000-0000-00009E310000}"/>
    <cellStyle name="Normal 2 3" xfId="12741" xr:uid="{00000000-0005-0000-0000-00009F310000}"/>
    <cellStyle name="Normal 2 3 10" xfId="12742" xr:uid="{00000000-0005-0000-0000-0000A0310000}"/>
    <cellStyle name="Normal 2 3 10 2" xfId="12743" xr:uid="{00000000-0005-0000-0000-0000A1310000}"/>
    <cellStyle name="Normal 2 3 10 3" xfId="12744" xr:uid="{00000000-0005-0000-0000-0000A2310000}"/>
    <cellStyle name="Normal 2 3 10 4" xfId="12745" xr:uid="{00000000-0005-0000-0000-0000A3310000}"/>
    <cellStyle name="Normal 2 3 10 5" xfId="12746" xr:uid="{00000000-0005-0000-0000-0000A4310000}"/>
    <cellStyle name="Normal 2 3 10 6" xfId="12747" xr:uid="{00000000-0005-0000-0000-0000A5310000}"/>
    <cellStyle name="Normal 2 3 10 7" xfId="12748" xr:uid="{00000000-0005-0000-0000-0000A6310000}"/>
    <cellStyle name="Normal 2 3 10 8" xfId="12749" xr:uid="{00000000-0005-0000-0000-0000A7310000}"/>
    <cellStyle name="Normal 2 3 11" xfId="12750" xr:uid="{00000000-0005-0000-0000-0000A8310000}"/>
    <cellStyle name="Normal 2 3 11 2" xfId="12751" xr:uid="{00000000-0005-0000-0000-0000A9310000}"/>
    <cellStyle name="Normal 2 3 11 3" xfId="12752" xr:uid="{00000000-0005-0000-0000-0000AA310000}"/>
    <cellStyle name="Normal 2 3 11 4" xfId="12753" xr:uid="{00000000-0005-0000-0000-0000AB310000}"/>
    <cellStyle name="Normal 2 3 11 5" xfId="12754" xr:uid="{00000000-0005-0000-0000-0000AC310000}"/>
    <cellStyle name="Normal 2 3 11 6" xfId="12755" xr:uid="{00000000-0005-0000-0000-0000AD310000}"/>
    <cellStyle name="Normal 2 3 11 7" xfId="12756" xr:uid="{00000000-0005-0000-0000-0000AE310000}"/>
    <cellStyle name="Normal 2 3 11 8" xfId="12757" xr:uid="{00000000-0005-0000-0000-0000AF310000}"/>
    <cellStyle name="Normal 2 3 12" xfId="12758" xr:uid="{00000000-0005-0000-0000-0000B0310000}"/>
    <cellStyle name="Normal 2 3 13" xfId="12759" xr:uid="{00000000-0005-0000-0000-0000B1310000}"/>
    <cellStyle name="Normal 2 3 14" xfId="12760" xr:uid="{00000000-0005-0000-0000-0000B2310000}"/>
    <cellStyle name="Normal 2 3 15" xfId="12761" xr:uid="{00000000-0005-0000-0000-0000B3310000}"/>
    <cellStyle name="Normal 2 3 16" xfId="12762" xr:uid="{00000000-0005-0000-0000-0000B4310000}"/>
    <cellStyle name="Normal 2 3 17" xfId="12763" xr:uid="{00000000-0005-0000-0000-0000B5310000}"/>
    <cellStyle name="Normal 2 3 18" xfId="12764" xr:uid="{00000000-0005-0000-0000-0000B6310000}"/>
    <cellStyle name="Normal 2 3 19" xfId="12765" xr:uid="{00000000-0005-0000-0000-0000B7310000}"/>
    <cellStyle name="Normal 2 3 2" xfId="12766" xr:uid="{00000000-0005-0000-0000-0000B8310000}"/>
    <cellStyle name="Normal 2 3 2 2" xfId="12767" xr:uid="{00000000-0005-0000-0000-0000B9310000}"/>
    <cellStyle name="Normal 2 3 2 2 2" xfId="12768" xr:uid="{00000000-0005-0000-0000-0000BA310000}"/>
    <cellStyle name="Normal 2 3 2 2 2 2" xfId="12769" xr:uid="{00000000-0005-0000-0000-0000BB310000}"/>
    <cellStyle name="Normal 2 3 2 2 3" xfId="12770" xr:uid="{00000000-0005-0000-0000-0000BC310000}"/>
    <cellStyle name="Normal 2 3 2 2_Data 2012-2013  Providing approach road (CC Roads)" xfId="12771" xr:uid="{00000000-0005-0000-0000-0000BD310000}"/>
    <cellStyle name="Normal 2 3 2 3" xfId="12772" xr:uid="{00000000-0005-0000-0000-0000BE310000}"/>
    <cellStyle name="Normal 2 3 2 3 2" xfId="12773" xr:uid="{00000000-0005-0000-0000-0000BF310000}"/>
    <cellStyle name="Normal 2 3 2 3 2 2" xfId="12774" xr:uid="{00000000-0005-0000-0000-0000C0310000}"/>
    <cellStyle name="Normal 2 3 2 3 3" xfId="12775" xr:uid="{00000000-0005-0000-0000-0000C1310000}"/>
    <cellStyle name="Normal 2 3 2 3 4" xfId="12776" xr:uid="{00000000-0005-0000-0000-0000C2310000}"/>
    <cellStyle name="Normal 2 3 2 4" xfId="12777" xr:uid="{00000000-0005-0000-0000-0000C3310000}"/>
    <cellStyle name="Normal 2 3 2 4 2" xfId="12778" xr:uid="{00000000-0005-0000-0000-0000C4310000}"/>
    <cellStyle name="Normal 2 3 2 4 3" xfId="12779" xr:uid="{00000000-0005-0000-0000-0000C5310000}"/>
    <cellStyle name="Normal 2 3 2 5" xfId="12780" xr:uid="{00000000-0005-0000-0000-0000C6310000}"/>
    <cellStyle name="Normal 2 3 2 6" xfId="12781" xr:uid="{00000000-0005-0000-0000-0000C7310000}"/>
    <cellStyle name="Normal 2 3 2 7" xfId="12782" xr:uid="{00000000-0005-0000-0000-0000C8310000}"/>
    <cellStyle name="Normal 2 3 2 8" xfId="12783" xr:uid="{00000000-0005-0000-0000-0000C9310000}"/>
    <cellStyle name="Normal 2 3 2 9" xfId="12784" xr:uid="{00000000-0005-0000-0000-0000CA310000}"/>
    <cellStyle name="Normal 2 3 2_AH Bhainsa Estimate" xfId="12785" xr:uid="{00000000-0005-0000-0000-0000CB310000}"/>
    <cellStyle name="Normal 2 3 20" xfId="12786" xr:uid="{00000000-0005-0000-0000-0000CC310000}"/>
    <cellStyle name="Normal 2 3 3" xfId="12787" xr:uid="{00000000-0005-0000-0000-0000CD310000}"/>
    <cellStyle name="Normal 2 3 3 2" xfId="12788" xr:uid="{00000000-0005-0000-0000-0000CE310000}"/>
    <cellStyle name="Normal 2 3 3 2 2" xfId="12789" xr:uid="{00000000-0005-0000-0000-0000CF310000}"/>
    <cellStyle name="Normal 2 3 3 2 3" xfId="12790" xr:uid="{00000000-0005-0000-0000-0000D0310000}"/>
    <cellStyle name="Normal 2 3 3 3" xfId="12791" xr:uid="{00000000-0005-0000-0000-0000D1310000}"/>
    <cellStyle name="Normal 2 3 3 4" xfId="12792" xr:uid="{00000000-0005-0000-0000-0000D2310000}"/>
    <cellStyle name="Normal 2 3 3 5" xfId="12793" xr:uid="{00000000-0005-0000-0000-0000D3310000}"/>
    <cellStyle name="Normal 2 3 3 6" xfId="12794" xr:uid="{00000000-0005-0000-0000-0000D4310000}"/>
    <cellStyle name="Normal 2 3 3 7" xfId="12795" xr:uid="{00000000-0005-0000-0000-0000D5310000}"/>
    <cellStyle name="Normal 2 3 3 8" xfId="12796" xr:uid="{00000000-0005-0000-0000-0000D6310000}"/>
    <cellStyle name="Normal 2 3 4" xfId="12797" xr:uid="{00000000-0005-0000-0000-0000D7310000}"/>
    <cellStyle name="Normal 2 3 4 10" xfId="12798" xr:uid="{00000000-0005-0000-0000-0000D8310000}"/>
    <cellStyle name="Normal 2 3 4 2" xfId="12799" xr:uid="{00000000-0005-0000-0000-0000D9310000}"/>
    <cellStyle name="Normal 2 3 4 3" xfId="12800" xr:uid="{00000000-0005-0000-0000-0000DA310000}"/>
    <cellStyle name="Normal 2 3 4 4" xfId="12801" xr:uid="{00000000-0005-0000-0000-0000DB310000}"/>
    <cellStyle name="Normal 2 3 4 5" xfId="12802" xr:uid="{00000000-0005-0000-0000-0000DC310000}"/>
    <cellStyle name="Normal 2 3 4 6" xfId="12803" xr:uid="{00000000-0005-0000-0000-0000DD310000}"/>
    <cellStyle name="Normal 2 3 4 7" xfId="12804" xr:uid="{00000000-0005-0000-0000-0000DE310000}"/>
    <cellStyle name="Normal 2 3 4 8" xfId="12805" xr:uid="{00000000-0005-0000-0000-0000DF310000}"/>
    <cellStyle name="Normal 2 3 4 9" xfId="12806" xr:uid="{00000000-0005-0000-0000-0000E0310000}"/>
    <cellStyle name="Normal 2 3 5" xfId="12807" xr:uid="{00000000-0005-0000-0000-0000E1310000}"/>
    <cellStyle name="Normal 2 3 5 10" xfId="12808" xr:uid="{00000000-0005-0000-0000-0000E2310000}"/>
    <cellStyle name="Normal 2 3 5 2" xfId="12809" xr:uid="{00000000-0005-0000-0000-0000E3310000}"/>
    <cellStyle name="Normal 2 3 5 3" xfId="12810" xr:uid="{00000000-0005-0000-0000-0000E4310000}"/>
    <cellStyle name="Normal 2 3 5 4" xfId="12811" xr:uid="{00000000-0005-0000-0000-0000E5310000}"/>
    <cellStyle name="Normal 2 3 5 5" xfId="12812" xr:uid="{00000000-0005-0000-0000-0000E6310000}"/>
    <cellStyle name="Normal 2 3 5 6" xfId="12813" xr:uid="{00000000-0005-0000-0000-0000E7310000}"/>
    <cellStyle name="Normal 2 3 5 7" xfId="12814" xr:uid="{00000000-0005-0000-0000-0000E8310000}"/>
    <cellStyle name="Normal 2 3 5 8" xfId="12815" xr:uid="{00000000-0005-0000-0000-0000E9310000}"/>
    <cellStyle name="Normal 2 3 5 9" xfId="12816" xr:uid="{00000000-0005-0000-0000-0000EA310000}"/>
    <cellStyle name="Normal 2 3 6" xfId="12817" xr:uid="{00000000-0005-0000-0000-0000EB310000}"/>
    <cellStyle name="Normal 2 3 6 10" xfId="12818" xr:uid="{00000000-0005-0000-0000-0000EC310000}"/>
    <cellStyle name="Normal 2 3 6 2" xfId="12819" xr:uid="{00000000-0005-0000-0000-0000ED310000}"/>
    <cellStyle name="Normal 2 3 6 3" xfId="12820" xr:uid="{00000000-0005-0000-0000-0000EE310000}"/>
    <cellStyle name="Normal 2 3 6 4" xfId="12821" xr:uid="{00000000-0005-0000-0000-0000EF310000}"/>
    <cellStyle name="Normal 2 3 6 5" xfId="12822" xr:uid="{00000000-0005-0000-0000-0000F0310000}"/>
    <cellStyle name="Normal 2 3 6 6" xfId="12823" xr:uid="{00000000-0005-0000-0000-0000F1310000}"/>
    <cellStyle name="Normal 2 3 6 7" xfId="12824" xr:uid="{00000000-0005-0000-0000-0000F2310000}"/>
    <cellStyle name="Normal 2 3 6 8" xfId="12825" xr:uid="{00000000-0005-0000-0000-0000F3310000}"/>
    <cellStyle name="Normal 2 3 6 9" xfId="12826" xr:uid="{00000000-0005-0000-0000-0000F4310000}"/>
    <cellStyle name="Normal 2 3 7" xfId="12827" xr:uid="{00000000-0005-0000-0000-0000F5310000}"/>
    <cellStyle name="Normal 2 3 7 10" xfId="12828" xr:uid="{00000000-0005-0000-0000-0000F6310000}"/>
    <cellStyle name="Normal 2 3 7 2" xfId="12829" xr:uid="{00000000-0005-0000-0000-0000F7310000}"/>
    <cellStyle name="Normal 2 3 7 3" xfId="12830" xr:uid="{00000000-0005-0000-0000-0000F8310000}"/>
    <cellStyle name="Normal 2 3 7 4" xfId="12831" xr:uid="{00000000-0005-0000-0000-0000F9310000}"/>
    <cellStyle name="Normal 2 3 7 5" xfId="12832" xr:uid="{00000000-0005-0000-0000-0000FA310000}"/>
    <cellStyle name="Normal 2 3 7 6" xfId="12833" xr:uid="{00000000-0005-0000-0000-0000FB310000}"/>
    <cellStyle name="Normal 2 3 7 7" xfId="12834" xr:uid="{00000000-0005-0000-0000-0000FC310000}"/>
    <cellStyle name="Normal 2 3 7 8" xfId="12835" xr:uid="{00000000-0005-0000-0000-0000FD310000}"/>
    <cellStyle name="Normal 2 3 7 9" xfId="12836" xr:uid="{00000000-0005-0000-0000-0000FE310000}"/>
    <cellStyle name="Normal 2 3 8" xfId="12837" xr:uid="{00000000-0005-0000-0000-0000FF310000}"/>
    <cellStyle name="Normal 2 3 8 10" xfId="12838" xr:uid="{00000000-0005-0000-0000-000000320000}"/>
    <cellStyle name="Normal 2 3 8 2" xfId="12839" xr:uid="{00000000-0005-0000-0000-000001320000}"/>
    <cellStyle name="Normal 2 3 8 2 2" xfId="12840" xr:uid="{00000000-0005-0000-0000-000002320000}"/>
    <cellStyle name="Normal 2 3 8 3" xfId="12841" xr:uid="{00000000-0005-0000-0000-000003320000}"/>
    <cellStyle name="Normal 2 3 8 4" xfId="12842" xr:uid="{00000000-0005-0000-0000-000004320000}"/>
    <cellStyle name="Normal 2 3 8 5" xfId="12843" xr:uid="{00000000-0005-0000-0000-000005320000}"/>
    <cellStyle name="Normal 2 3 8 6" xfId="12844" xr:uid="{00000000-0005-0000-0000-000006320000}"/>
    <cellStyle name="Normal 2 3 8 7" xfId="12845" xr:uid="{00000000-0005-0000-0000-000007320000}"/>
    <cellStyle name="Normal 2 3 8 8" xfId="12846" xr:uid="{00000000-0005-0000-0000-000008320000}"/>
    <cellStyle name="Normal 2 3 8 9" xfId="12847" xr:uid="{00000000-0005-0000-0000-000009320000}"/>
    <cellStyle name="Normal 2 3 9" xfId="12848" xr:uid="{00000000-0005-0000-0000-00000A320000}"/>
    <cellStyle name="Normal 2 3 9 10" xfId="12849" xr:uid="{00000000-0005-0000-0000-00000B320000}"/>
    <cellStyle name="Normal 2 3 9 2" xfId="12850" xr:uid="{00000000-0005-0000-0000-00000C320000}"/>
    <cellStyle name="Normal 2 3 9 3" xfId="12851" xr:uid="{00000000-0005-0000-0000-00000D320000}"/>
    <cellStyle name="Normal 2 3 9 4" xfId="12852" xr:uid="{00000000-0005-0000-0000-00000E320000}"/>
    <cellStyle name="Normal 2 3 9 5" xfId="12853" xr:uid="{00000000-0005-0000-0000-00000F320000}"/>
    <cellStyle name="Normal 2 3 9 6" xfId="12854" xr:uid="{00000000-0005-0000-0000-000010320000}"/>
    <cellStyle name="Normal 2 3 9 7" xfId="12855" xr:uid="{00000000-0005-0000-0000-000011320000}"/>
    <cellStyle name="Normal 2 3 9 8" xfId="12856" xr:uid="{00000000-0005-0000-0000-000012320000}"/>
    <cellStyle name="Normal 2 3 9 9" xfId="12857" xr:uid="{00000000-0005-0000-0000-000013320000}"/>
    <cellStyle name="Normal 2 3_8 column Model Estimate" xfId="12858" xr:uid="{00000000-0005-0000-0000-000014320000}"/>
    <cellStyle name="Normal 2 30" xfId="12859" xr:uid="{00000000-0005-0000-0000-000015320000}"/>
    <cellStyle name="Normal 2 30 2" xfId="12860" xr:uid="{00000000-0005-0000-0000-000016320000}"/>
    <cellStyle name="Normal 2 30 2 2" xfId="12861" xr:uid="{00000000-0005-0000-0000-000017320000}"/>
    <cellStyle name="Normal 2 30 2 3" xfId="12862" xr:uid="{00000000-0005-0000-0000-000018320000}"/>
    <cellStyle name="Normal 2 30 2 4" xfId="12863" xr:uid="{00000000-0005-0000-0000-000019320000}"/>
    <cellStyle name="Normal 2 30 3" xfId="12864" xr:uid="{00000000-0005-0000-0000-00001A320000}"/>
    <cellStyle name="Normal 2 30 3 2" xfId="12865" xr:uid="{00000000-0005-0000-0000-00001B320000}"/>
    <cellStyle name="Normal 2 30 3 3" xfId="12866" xr:uid="{00000000-0005-0000-0000-00001C320000}"/>
    <cellStyle name="Normal 2 30 3 4" xfId="12867" xr:uid="{00000000-0005-0000-0000-00001D320000}"/>
    <cellStyle name="Normal 2 30 4" xfId="12868" xr:uid="{00000000-0005-0000-0000-00001E320000}"/>
    <cellStyle name="Normal 2 30 4 2" xfId="12869" xr:uid="{00000000-0005-0000-0000-00001F320000}"/>
    <cellStyle name="Normal 2 30 4 3" xfId="12870" xr:uid="{00000000-0005-0000-0000-000020320000}"/>
    <cellStyle name="Normal 2 30 5" xfId="12871" xr:uid="{00000000-0005-0000-0000-000021320000}"/>
    <cellStyle name="Normal 2 30 6" xfId="12872" xr:uid="{00000000-0005-0000-0000-000022320000}"/>
    <cellStyle name="Normal 2 30 7" xfId="12873" xr:uid="{00000000-0005-0000-0000-000023320000}"/>
    <cellStyle name="Normal 2 30 8" xfId="12874" xr:uid="{00000000-0005-0000-0000-000024320000}"/>
    <cellStyle name="Normal 2 30 9" xfId="12875" xr:uid="{00000000-0005-0000-0000-000025320000}"/>
    <cellStyle name="Normal 2 31" xfId="12876" xr:uid="{00000000-0005-0000-0000-000026320000}"/>
    <cellStyle name="Normal 2 31 2" xfId="12877" xr:uid="{00000000-0005-0000-0000-000027320000}"/>
    <cellStyle name="Normal 2 31 2 2" xfId="12878" xr:uid="{00000000-0005-0000-0000-000028320000}"/>
    <cellStyle name="Normal 2 31 2 3" xfId="12879" xr:uid="{00000000-0005-0000-0000-000029320000}"/>
    <cellStyle name="Normal 2 31 2 4" xfId="12880" xr:uid="{00000000-0005-0000-0000-00002A320000}"/>
    <cellStyle name="Normal 2 31 3" xfId="12881" xr:uid="{00000000-0005-0000-0000-00002B320000}"/>
    <cellStyle name="Normal 2 31 3 2" xfId="12882" xr:uid="{00000000-0005-0000-0000-00002C320000}"/>
    <cellStyle name="Normal 2 31 3 3" xfId="12883" xr:uid="{00000000-0005-0000-0000-00002D320000}"/>
    <cellStyle name="Normal 2 31 3 4" xfId="12884" xr:uid="{00000000-0005-0000-0000-00002E320000}"/>
    <cellStyle name="Normal 2 31 4" xfId="12885" xr:uid="{00000000-0005-0000-0000-00002F320000}"/>
    <cellStyle name="Normal 2 31 4 2" xfId="12886" xr:uid="{00000000-0005-0000-0000-000030320000}"/>
    <cellStyle name="Normal 2 31 4 3" xfId="12887" xr:uid="{00000000-0005-0000-0000-000031320000}"/>
    <cellStyle name="Normal 2 31 5" xfId="12888" xr:uid="{00000000-0005-0000-0000-000032320000}"/>
    <cellStyle name="Normal 2 31 6" xfId="12889" xr:uid="{00000000-0005-0000-0000-000033320000}"/>
    <cellStyle name="Normal 2 31 7" xfId="12890" xr:uid="{00000000-0005-0000-0000-000034320000}"/>
    <cellStyle name="Normal 2 31 8" xfId="12891" xr:uid="{00000000-0005-0000-0000-000035320000}"/>
    <cellStyle name="Normal 2 31 9" xfId="12892" xr:uid="{00000000-0005-0000-0000-000036320000}"/>
    <cellStyle name="Normal 2 32" xfId="12893" xr:uid="{00000000-0005-0000-0000-000037320000}"/>
    <cellStyle name="Normal 2 32 2" xfId="12894" xr:uid="{00000000-0005-0000-0000-000038320000}"/>
    <cellStyle name="Normal 2 32 2 2" xfId="12895" xr:uid="{00000000-0005-0000-0000-000039320000}"/>
    <cellStyle name="Normal 2 32 2 3" xfId="12896" xr:uid="{00000000-0005-0000-0000-00003A320000}"/>
    <cellStyle name="Normal 2 32 3" xfId="12897" xr:uid="{00000000-0005-0000-0000-00003B320000}"/>
    <cellStyle name="Normal 2 32 4" xfId="12898" xr:uid="{00000000-0005-0000-0000-00003C320000}"/>
    <cellStyle name="Normal 2 32 5" xfId="12899" xr:uid="{00000000-0005-0000-0000-00003D320000}"/>
    <cellStyle name="Normal 2 32 6" xfId="12900" xr:uid="{00000000-0005-0000-0000-00003E320000}"/>
    <cellStyle name="Normal 2 32 7" xfId="12901" xr:uid="{00000000-0005-0000-0000-00003F320000}"/>
    <cellStyle name="Normal 2 32 8" xfId="12902" xr:uid="{00000000-0005-0000-0000-000040320000}"/>
    <cellStyle name="Normal 2 32 9" xfId="12903" xr:uid="{00000000-0005-0000-0000-000041320000}"/>
    <cellStyle name="Normal 2 33" xfId="12904" xr:uid="{00000000-0005-0000-0000-000042320000}"/>
    <cellStyle name="Normal 2 33 2" xfId="12905" xr:uid="{00000000-0005-0000-0000-000043320000}"/>
    <cellStyle name="Normal 2 33 2 2" xfId="12906" xr:uid="{00000000-0005-0000-0000-000044320000}"/>
    <cellStyle name="Normal 2 33 2 3" xfId="12907" xr:uid="{00000000-0005-0000-0000-000045320000}"/>
    <cellStyle name="Normal 2 33 3" xfId="12908" xr:uid="{00000000-0005-0000-0000-000046320000}"/>
    <cellStyle name="Normal 2 33 4" xfId="12909" xr:uid="{00000000-0005-0000-0000-000047320000}"/>
    <cellStyle name="Normal 2 33 5" xfId="12910" xr:uid="{00000000-0005-0000-0000-000048320000}"/>
    <cellStyle name="Normal 2 33 6" xfId="12911" xr:uid="{00000000-0005-0000-0000-000049320000}"/>
    <cellStyle name="Normal 2 33 7" xfId="12912" xr:uid="{00000000-0005-0000-0000-00004A320000}"/>
    <cellStyle name="Normal 2 33 8" xfId="12913" xr:uid="{00000000-0005-0000-0000-00004B320000}"/>
    <cellStyle name="Normal 2 33 9" xfId="12914" xr:uid="{00000000-0005-0000-0000-00004C320000}"/>
    <cellStyle name="Normal 2 34" xfId="12915" xr:uid="{00000000-0005-0000-0000-00004D320000}"/>
    <cellStyle name="Normal 2 34 2" xfId="12916" xr:uid="{00000000-0005-0000-0000-00004E320000}"/>
    <cellStyle name="Normal 2 34 2 2" xfId="12917" xr:uid="{00000000-0005-0000-0000-00004F320000}"/>
    <cellStyle name="Normal 2 34 2 3" xfId="12918" xr:uid="{00000000-0005-0000-0000-000050320000}"/>
    <cellStyle name="Normal 2 34 3" xfId="12919" xr:uid="{00000000-0005-0000-0000-000051320000}"/>
    <cellStyle name="Normal 2 34 4" xfId="12920" xr:uid="{00000000-0005-0000-0000-000052320000}"/>
    <cellStyle name="Normal 2 34 5" xfId="12921" xr:uid="{00000000-0005-0000-0000-000053320000}"/>
    <cellStyle name="Normal 2 34 6" xfId="12922" xr:uid="{00000000-0005-0000-0000-000054320000}"/>
    <cellStyle name="Normal 2 34 7" xfId="12923" xr:uid="{00000000-0005-0000-0000-000055320000}"/>
    <cellStyle name="Normal 2 34 8" xfId="12924" xr:uid="{00000000-0005-0000-0000-000056320000}"/>
    <cellStyle name="Normal 2 34 9" xfId="12925" xr:uid="{00000000-0005-0000-0000-000057320000}"/>
    <cellStyle name="Normal 2 35" xfId="12926" xr:uid="{00000000-0005-0000-0000-000058320000}"/>
    <cellStyle name="Normal 2 35 2" xfId="12927" xr:uid="{00000000-0005-0000-0000-000059320000}"/>
    <cellStyle name="Normal 2 35 2 2" xfId="12928" xr:uid="{00000000-0005-0000-0000-00005A320000}"/>
    <cellStyle name="Normal 2 35 2 3" xfId="12929" xr:uid="{00000000-0005-0000-0000-00005B320000}"/>
    <cellStyle name="Normal 2 35 3" xfId="12930" xr:uid="{00000000-0005-0000-0000-00005C320000}"/>
    <cellStyle name="Normal 2 35 4" xfId="12931" xr:uid="{00000000-0005-0000-0000-00005D320000}"/>
    <cellStyle name="Normal 2 35 5" xfId="12932" xr:uid="{00000000-0005-0000-0000-00005E320000}"/>
    <cellStyle name="Normal 2 35 6" xfId="12933" xr:uid="{00000000-0005-0000-0000-00005F320000}"/>
    <cellStyle name="Normal 2 35 7" xfId="12934" xr:uid="{00000000-0005-0000-0000-000060320000}"/>
    <cellStyle name="Normal 2 35 8" xfId="12935" xr:uid="{00000000-0005-0000-0000-000061320000}"/>
    <cellStyle name="Normal 2 35 9" xfId="12936" xr:uid="{00000000-0005-0000-0000-000062320000}"/>
    <cellStyle name="Normal 2 36" xfId="12937" xr:uid="{00000000-0005-0000-0000-000063320000}"/>
    <cellStyle name="Normal 2 36 2" xfId="12938" xr:uid="{00000000-0005-0000-0000-000064320000}"/>
    <cellStyle name="Normal 2 36 3" xfId="12939" xr:uid="{00000000-0005-0000-0000-000065320000}"/>
    <cellStyle name="Normal 2 36 4" xfId="12940" xr:uid="{00000000-0005-0000-0000-000066320000}"/>
    <cellStyle name="Normal 2 36 5" xfId="12941" xr:uid="{00000000-0005-0000-0000-000067320000}"/>
    <cellStyle name="Normal 2 36 6" xfId="12942" xr:uid="{00000000-0005-0000-0000-000068320000}"/>
    <cellStyle name="Normal 2 36 7" xfId="12943" xr:uid="{00000000-0005-0000-0000-000069320000}"/>
    <cellStyle name="Normal 2 36 8" xfId="12944" xr:uid="{00000000-0005-0000-0000-00006A320000}"/>
    <cellStyle name="Normal 2 36 9" xfId="12945" xr:uid="{00000000-0005-0000-0000-00006B320000}"/>
    <cellStyle name="Normal 2 37" xfId="12946" xr:uid="{00000000-0005-0000-0000-00006C320000}"/>
    <cellStyle name="Normal 2 37 2" xfId="12947" xr:uid="{00000000-0005-0000-0000-00006D320000}"/>
    <cellStyle name="Normal 2 37 3" xfId="12948" xr:uid="{00000000-0005-0000-0000-00006E320000}"/>
    <cellStyle name="Normal 2 37 4" xfId="12949" xr:uid="{00000000-0005-0000-0000-00006F320000}"/>
    <cellStyle name="Normal 2 37 5" xfId="12950" xr:uid="{00000000-0005-0000-0000-000070320000}"/>
    <cellStyle name="Normal 2 37 6" xfId="12951" xr:uid="{00000000-0005-0000-0000-000071320000}"/>
    <cellStyle name="Normal 2 37 7" xfId="12952" xr:uid="{00000000-0005-0000-0000-000072320000}"/>
    <cellStyle name="Normal 2 37 8" xfId="12953" xr:uid="{00000000-0005-0000-0000-000073320000}"/>
    <cellStyle name="Normal 2 37 9" xfId="12954" xr:uid="{00000000-0005-0000-0000-000074320000}"/>
    <cellStyle name="Normal 2 38" xfId="12955" xr:uid="{00000000-0005-0000-0000-000075320000}"/>
    <cellStyle name="Normal 2 38 2" xfId="12956" xr:uid="{00000000-0005-0000-0000-000076320000}"/>
    <cellStyle name="Normal 2 38 3" xfId="12957" xr:uid="{00000000-0005-0000-0000-000077320000}"/>
    <cellStyle name="Normal 2 38 4" xfId="12958" xr:uid="{00000000-0005-0000-0000-000078320000}"/>
    <cellStyle name="Normal 2 38 5" xfId="12959" xr:uid="{00000000-0005-0000-0000-000079320000}"/>
    <cellStyle name="Normal 2 38 6" xfId="12960" xr:uid="{00000000-0005-0000-0000-00007A320000}"/>
    <cellStyle name="Normal 2 38 7" xfId="12961" xr:uid="{00000000-0005-0000-0000-00007B320000}"/>
    <cellStyle name="Normal 2 38 8" xfId="12962" xr:uid="{00000000-0005-0000-0000-00007C320000}"/>
    <cellStyle name="Normal 2 39" xfId="12963" xr:uid="{00000000-0005-0000-0000-00007D320000}"/>
    <cellStyle name="Normal 2 39 2" xfId="12964" xr:uid="{00000000-0005-0000-0000-00007E320000}"/>
    <cellStyle name="Normal 2 39 3" xfId="12965" xr:uid="{00000000-0005-0000-0000-00007F320000}"/>
    <cellStyle name="Normal 2 39 4" xfId="12966" xr:uid="{00000000-0005-0000-0000-000080320000}"/>
    <cellStyle name="Normal 2 39 5" xfId="12967" xr:uid="{00000000-0005-0000-0000-000081320000}"/>
    <cellStyle name="Normal 2 39 6" xfId="12968" xr:uid="{00000000-0005-0000-0000-000082320000}"/>
    <cellStyle name="Normal 2 39 7" xfId="12969" xr:uid="{00000000-0005-0000-0000-000083320000}"/>
    <cellStyle name="Normal 2 39 8" xfId="12970" xr:uid="{00000000-0005-0000-0000-000084320000}"/>
    <cellStyle name="Normal 2 4" xfId="12971" xr:uid="{00000000-0005-0000-0000-000085320000}"/>
    <cellStyle name="Normal 2 4 10" xfId="12972" xr:uid="{00000000-0005-0000-0000-000086320000}"/>
    <cellStyle name="Normal 2 4 10 2" xfId="12973" xr:uid="{00000000-0005-0000-0000-000087320000}"/>
    <cellStyle name="Normal 2 4 11" xfId="12974" xr:uid="{00000000-0005-0000-0000-000088320000}"/>
    <cellStyle name="Normal 2 4 11 2" xfId="12975" xr:uid="{00000000-0005-0000-0000-000089320000}"/>
    <cellStyle name="Normal 2 4 12" xfId="12976" xr:uid="{00000000-0005-0000-0000-00008A320000}"/>
    <cellStyle name="Normal 2 4 12 2" xfId="12977" xr:uid="{00000000-0005-0000-0000-00008B320000}"/>
    <cellStyle name="Normal 2 4 13" xfId="12978" xr:uid="{00000000-0005-0000-0000-00008C320000}"/>
    <cellStyle name="Normal 2 4 13 2" xfId="12979" xr:uid="{00000000-0005-0000-0000-00008D320000}"/>
    <cellStyle name="Normal 2 4 14" xfId="12980" xr:uid="{00000000-0005-0000-0000-00008E320000}"/>
    <cellStyle name="Normal 2 4 14 2" xfId="12981" xr:uid="{00000000-0005-0000-0000-00008F320000}"/>
    <cellStyle name="Normal 2 4 15" xfId="12982" xr:uid="{00000000-0005-0000-0000-000090320000}"/>
    <cellStyle name="Normal 2 4 15 2" xfId="12983" xr:uid="{00000000-0005-0000-0000-000091320000}"/>
    <cellStyle name="Normal 2 4 16" xfId="12984" xr:uid="{00000000-0005-0000-0000-000092320000}"/>
    <cellStyle name="Normal 2 4 16 2" xfId="12985" xr:uid="{00000000-0005-0000-0000-000093320000}"/>
    <cellStyle name="Normal 2 4 17" xfId="12986" xr:uid="{00000000-0005-0000-0000-000094320000}"/>
    <cellStyle name="Normal 2 4 17 2" xfId="12987" xr:uid="{00000000-0005-0000-0000-000095320000}"/>
    <cellStyle name="Normal 2 4 18" xfId="12988" xr:uid="{00000000-0005-0000-0000-000096320000}"/>
    <cellStyle name="Normal 2 4 18 2" xfId="12989" xr:uid="{00000000-0005-0000-0000-000097320000}"/>
    <cellStyle name="Normal 2 4 19" xfId="12990" xr:uid="{00000000-0005-0000-0000-000098320000}"/>
    <cellStyle name="Normal 2 4 19 2" xfId="12991" xr:uid="{00000000-0005-0000-0000-000099320000}"/>
    <cellStyle name="Normal 2 4 2" xfId="12992" xr:uid="{00000000-0005-0000-0000-00009A320000}"/>
    <cellStyle name="Normal 2 4 2 10" xfId="12993" xr:uid="{00000000-0005-0000-0000-00009B320000}"/>
    <cellStyle name="Normal 2 4 2 2" xfId="12994" xr:uid="{00000000-0005-0000-0000-00009C320000}"/>
    <cellStyle name="Normal 2 4 2 2 2" xfId="12995" xr:uid="{00000000-0005-0000-0000-00009D320000}"/>
    <cellStyle name="Normal 2 4 2 2 3" xfId="12996" xr:uid="{00000000-0005-0000-0000-00009E320000}"/>
    <cellStyle name="Normal 2 4 2 2 4" xfId="12997" xr:uid="{00000000-0005-0000-0000-00009F320000}"/>
    <cellStyle name="Normal 2 4 2 3" xfId="12998" xr:uid="{00000000-0005-0000-0000-0000A0320000}"/>
    <cellStyle name="Normal 2 4 2 4" xfId="12999" xr:uid="{00000000-0005-0000-0000-0000A1320000}"/>
    <cellStyle name="Normal 2 4 2 5" xfId="13000" xr:uid="{00000000-0005-0000-0000-0000A2320000}"/>
    <cellStyle name="Normal 2 4 2 6" xfId="13001" xr:uid="{00000000-0005-0000-0000-0000A3320000}"/>
    <cellStyle name="Normal 2 4 2 7" xfId="13002" xr:uid="{00000000-0005-0000-0000-0000A4320000}"/>
    <cellStyle name="Normal 2 4 2 8" xfId="13003" xr:uid="{00000000-0005-0000-0000-0000A5320000}"/>
    <cellStyle name="Normal 2 4 2 9" xfId="13004" xr:uid="{00000000-0005-0000-0000-0000A6320000}"/>
    <cellStyle name="Normal 2 4 2_NERELLA ADDITIONAL CLASS ROOMS IN FF" xfId="13005" xr:uid="{00000000-0005-0000-0000-0000A7320000}"/>
    <cellStyle name="Normal 2 4 20" xfId="13006" xr:uid="{00000000-0005-0000-0000-0000A8320000}"/>
    <cellStyle name="Normal 2 4 20 2" xfId="13007" xr:uid="{00000000-0005-0000-0000-0000A9320000}"/>
    <cellStyle name="Normal 2 4 21" xfId="13008" xr:uid="{00000000-0005-0000-0000-0000AA320000}"/>
    <cellStyle name="Normal 2 4 21 2" xfId="13009" xr:uid="{00000000-0005-0000-0000-0000AB320000}"/>
    <cellStyle name="Normal 2 4 22" xfId="13010" xr:uid="{00000000-0005-0000-0000-0000AC320000}"/>
    <cellStyle name="Normal 2 4 22 2" xfId="13011" xr:uid="{00000000-0005-0000-0000-0000AD320000}"/>
    <cellStyle name="Normal 2 4 23" xfId="13012" xr:uid="{00000000-0005-0000-0000-0000AE320000}"/>
    <cellStyle name="Normal 2 4 23 2" xfId="13013" xr:uid="{00000000-0005-0000-0000-0000AF320000}"/>
    <cellStyle name="Normal 2 4 24" xfId="13014" xr:uid="{00000000-0005-0000-0000-0000B0320000}"/>
    <cellStyle name="Normal 2 4 24 2" xfId="13015" xr:uid="{00000000-0005-0000-0000-0000B1320000}"/>
    <cellStyle name="Normal 2 4 25" xfId="13016" xr:uid="{00000000-0005-0000-0000-0000B2320000}"/>
    <cellStyle name="Normal 2 4 25 2" xfId="13017" xr:uid="{00000000-0005-0000-0000-0000B3320000}"/>
    <cellStyle name="Normal 2 4 26" xfId="13018" xr:uid="{00000000-0005-0000-0000-0000B4320000}"/>
    <cellStyle name="Normal 2 4 26 2" xfId="13019" xr:uid="{00000000-0005-0000-0000-0000B5320000}"/>
    <cellStyle name="Normal 2 4 27" xfId="13020" xr:uid="{00000000-0005-0000-0000-0000B6320000}"/>
    <cellStyle name="Normal 2 4 27 2" xfId="13021" xr:uid="{00000000-0005-0000-0000-0000B7320000}"/>
    <cellStyle name="Normal 2 4 28" xfId="13022" xr:uid="{00000000-0005-0000-0000-0000B8320000}"/>
    <cellStyle name="Normal 2 4 28 2" xfId="13023" xr:uid="{00000000-0005-0000-0000-0000B9320000}"/>
    <cellStyle name="Normal 2 4 29" xfId="13024" xr:uid="{00000000-0005-0000-0000-0000BA320000}"/>
    <cellStyle name="Normal 2 4 29 2" xfId="13025" xr:uid="{00000000-0005-0000-0000-0000BB320000}"/>
    <cellStyle name="Normal 2 4 3" xfId="13026" xr:uid="{00000000-0005-0000-0000-0000BC320000}"/>
    <cellStyle name="Normal 2 4 3 2" xfId="13027" xr:uid="{00000000-0005-0000-0000-0000BD320000}"/>
    <cellStyle name="Normal 2 4 30" xfId="13028" xr:uid="{00000000-0005-0000-0000-0000BE320000}"/>
    <cellStyle name="Normal 2 4 30 2" xfId="13029" xr:uid="{00000000-0005-0000-0000-0000BF320000}"/>
    <cellStyle name="Normal 2 4 31" xfId="13030" xr:uid="{00000000-0005-0000-0000-0000C0320000}"/>
    <cellStyle name="Normal 2 4 31 2" xfId="13031" xr:uid="{00000000-0005-0000-0000-0000C1320000}"/>
    <cellStyle name="Normal 2 4 32" xfId="13032" xr:uid="{00000000-0005-0000-0000-0000C2320000}"/>
    <cellStyle name="Normal 2 4 32 2" xfId="13033" xr:uid="{00000000-0005-0000-0000-0000C3320000}"/>
    <cellStyle name="Normal 2 4 33" xfId="13034" xr:uid="{00000000-0005-0000-0000-0000C4320000}"/>
    <cellStyle name="Normal 2 4 33 2" xfId="13035" xr:uid="{00000000-0005-0000-0000-0000C5320000}"/>
    <cellStyle name="Normal 2 4 34" xfId="13036" xr:uid="{00000000-0005-0000-0000-0000C6320000}"/>
    <cellStyle name="Normal 2 4 34 2" xfId="13037" xr:uid="{00000000-0005-0000-0000-0000C7320000}"/>
    <cellStyle name="Normal 2 4 35" xfId="13038" xr:uid="{00000000-0005-0000-0000-0000C8320000}"/>
    <cellStyle name="Normal 2 4 35 2" xfId="13039" xr:uid="{00000000-0005-0000-0000-0000C9320000}"/>
    <cellStyle name="Normal 2 4 36" xfId="13040" xr:uid="{00000000-0005-0000-0000-0000CA320000}"/>
    <cellStyle name="Normal 2 4 36 2" xfId="13041" xr:uid="{00000000-0005-0000-0000-0000CB320000}"/>
    <cellStyle name="Normal 2 4 37" xfId="13042" xr:uid="{00000000-0005-0000-0000-0000CC320000}"/>
    <cellStyle name="Normal 2 4 37 2" xfId="13043" xr:uid="{00000000-0005-0000-0000-0000CD320000}"/>
    <cellStyle name="Normal 2 4 38" xfId="13044" xr:uid="{00000000-0005-0000-0000-0000CE320000}"/>
    <cellStyle name="Normal 2 4 38 2" xfId="13045" xr:uid="{00000000-0005-0000-0000-0000CF320000}"/>
    <cellStyle name="Normal 2 4 39" xfId="13046" xr:uid="{00000000-0005-0000-0000-0000D0320000}"/>
    <cellStyle name="Normal 2 4 39 2" xfId="13047" xr:uid="{00000000-0005-0000-0000-0000D1320000}"/>
    <cellStyle name="Normal 2 4 4" xfId="13048" xr:uid="{00000000-0005-0000-0000-0000D2320000}"/>
    <cellStyle name="Normal 2 4 4 2" xfId="13049" xr:uid="{00000000-0005-0000-0000-0000D3320000}"/>
    <cellStyle name="Normal 2 4 4 2 2" xfId="13050" xr:uid="{00000000-0005-0000-0000-0000D4320000}"/>
    <cellStyle name="Normal 2 4 4 2 3" xfId="13051" xr:uid="{00000000-0005-0000-0000-0000D5320000}"/>
    <cellStyle name="Normal 2 4 4 3" xfId="13052" xr:uid="{00000000-0005-0000-0000-0000D6320000}"/>
    <cellStyle name="Normal 2 4 4 4" xfId="13053" xr:uid="{00000000-0005-0000-0000-0000D7320000}"/>
    <cellStyle name="Normal 2 4 4 5" xfId="13054" xr:uid="{00000000-0005-0000-0000-0000D8320000}"/>
    <cellStyle name="Normal 2 4 40" xfId="13055" xr:uid="{00000000-0005-0000-0000-0000D9320000}"/>
    <cellStyle name="Normal 2 4 40 2" xfId="13056" xr:uid="{00000000-0005-0000-0000-0000DA320000}"/>
    <cellStyle name="Normal 2 4 41" xfId="13057" xr:uid="{00000000-0005-0000-0000-0000DB320000}"/>
    <cellStyle name="Normal 2 4 41 2" xfId="13058" xr:uid="{00000000-0005-0000-0000-0000DC320000}"/>
    <cellStyle name="Normal 2 4 42" xfId="13059" xr:uid="{00000000-0005-0000-0000-0000DD320000}"/>
    <cellStyle name="Normal 2 4 43" xfId="13060" xr:uid="{00000000-0005-0000-0000-0000DE320000}"/>
    <cellStyle name="Normal 2 4 44" xfId="13061" xr:uid="{00000000-0005-0000-0000-0000DF320000}"/>
    <cellStyle name="Normal 2 4 5" xfId="13062" xr:uid="{00000000-0005-0000-0000-0000E0320000}"/>
    <cellStyle name="Normal 2 4 5 2" xfId="13063" xr:uid="{00000000-0005-0000-0000-0000E1320000}"/>
    <cellStyle name="Normal 2 4 5 3" xfId="13064" xr:uid="{00000000-0005-0000-0000-0000E2320000}"/>
    <cellStyle name="Normal 2 4 5 4" xfId="13065" xr:uid="{00000000-0005-0000-0000-0000E3320000}"/>
    <cellStyle name="Normal 2 4 6" xfId="13066" xr:uid="{00000000-0005-0000-0000-0000E4320000}"/>
    <cellStyle name="Normal 2 4 6 2" xfId="13067" xr:uid="{00000000-0005-0000-0000-0000E5320000}"/>
    <cellStyle name="Normal 2 4 7" xfId="13068" xr:uid="{00000000-0005-0000-0000-0000E6320000}"/>
    <cellStyle name="Normal 2 4 7 2" xfId="13069" xr:uid="{00000000-0005-0000-0000-0000E7320000}"/>
    <cellStyle name="Normal 2 4 8" xfId="13070" xr:uid="{00000000-0005-0000-0000-0000E8320000}"/>
    <cellStyle name="Normal 2 4 8 2" xfId="13071" xr:uid="{00000000-0005-0000-0000-0000E9320000}"/>
    <cellStyle name="Normal 2 4 9" xfId="13072" xr:uid="{00000000-0005-0000-0000-0000EA320000}"/>
    <cellStyle name="Normal 2 4 9 2" xfId="13073" xr:uid="{00000000-0005-0000-0000-0000EB320000}"/>
    <cellStyle name="Normal 2 4_AH Mancherial Estimate" xfId="13074" xr:uid="{00000000-0005-0000-0000-0000EC320000}"/>
    <cellStyle name="Normal 2 40" xfId="13075" xr:uid="{00000000-0005-0000-0000-0000ED320000}"/>
    <cellStyle name="Normal 2 40 2" xfId="13076" xr:uid="{00000000-0005-0000-0000-0000EE320000}"/>
    <cellStyle name="Normal 2 40 3" xfId="13077" xr:uid="{00000000-0005-0000-0000-0000EF320000}"/>
    <cellStyle name="Normal 2 40 4" xfId="13078" xr:uid="{00000000-0005-0000-0000-0000F0320000}"/>
    <cellStyle name="Normal 2 40 5" xfId="13079" xr:uid="{00000000-0005-0000-0000-0000F1320000}"/>
    <cellStyle name="Normal 2 40 6" xfId="13080" xr:uid="{00000000-0005-0000-0000-0000F2320000}"/>
    <cellStyle name="Normal 2 40 7" xfId="13081" xr:uid="{00000000-0005-0000-0000-0000F3320000}"/>
    <cellStyle name="Normal 2 40 8" xfId="13082" xr:uid="{00000000-0005-0000-0000-0000F4320000}"/>
    <cellStyle name="Normal 2 41" xfId="13083" xr:uid="{00000000-0005-0000-0000-0000F5320000}"/>
    <cellStyle name="Normal 2 41 2" xfId="13084" xr:uid="{00000000-0005-0000-0000-0000F6320000}"/>
    <cellStyle name="Normal 2 41 3" xfId="13085" xr:uid="{00000000-0005-0000-0000-0000F7320000}"/>
    <cellStyle name="Normal 2 41 4" xfId="13086" xr:uid="{00000000-0005-0000-0000-0000F8320000}"/>
    <cellStyle name="Normal 2 41 5" xfId="13087" xr:uid="{00000000-0005-0000-0000-0000F9320000}"/>
    <cellStyle name="Normal 2 41 6" xfId="13088" xr:uid="{00000000-0005-0000-0000-0000FA320000}"/>
    <cellStyle name="Normal 2 41 7" xfId="13089" xr:uid="{00000000-0005-0000-0000-0000FB320000}"/>
    <cellStyle name="Normal 2 41 8" xfId="13090" xr:uid="{00000000-0005-0000-0000-0000FC320000}"/>
    <cellStyle name="Normal 2 42" xfId="13091" xr:uid="{00000000-0005-0000-0000-0000FD320000}"/>
    <cellStyle name="Normal 2 42 2" xfId="13092" xr:uid="{00000000-0005-0000-0000-0000FE320000}"/>
    <cellStyle name="Normal 2 42 3" xfId="13093" xr:uid="{00000000-0005-0000-0000-0000FF320000}"/>
    <cellStyle name="Normal 2 42 4" xfId="13094" xr:uid="{00000000-0005-0000-0000-000000330000}"/>
    <cellStyle name="Normal 2 42 5" xfId="13095" xr:uid="{00000000-0005-0000-0000-000001330000}"/>
    <cellStyle name="Normal 2 42 6" xfId="13096" xr:uid="{00000000-0005-0000-0000-000002330000}"/>
    <cellStyle name="Normal 2 42 7" xfId="13097" xr:uid="{00000000-0005-0000-0000-000003330000}"/>
    <cellStyle name="Normal 2 42 8" xfId="13098" xr:uid="{00000000-0005-0000-0000-000004330000}"/>
    <cellStyle name="Normal 2 43" xfId="13099" xr:uid="{00000000-0005-0000-0000-000005330000}"/>
    <cellStyle name="Normal 2 43 2" xfId="13100" xr:uid="{00000000-0005-0000-0000-000006330000}"/>
    <cellStyle name="Normal 2 43 3" xfId="13101" xr:uid="{00000000-0005-0000-0000-000007330000}"/>
    <cellStyle name="Normal 2 43 4" xfId="13102" xr:uid="{00000000-0005-0000-0000-000008330000}"/>
    <cellStyle name="Normal 2 43 5" xfId="13103" xr:uid="{00000000-0005-0000-0000-000009330000}"/>
    <cellStyle name="Normal 2 43 6" xfId="13104" xr:uid="{00000000-0005-0000-0000-00000A330000}"/>
    <cellStyle name="Normal 2 43 7" xfId="13105" xr:uid="{00000000-0005-0000-0000-00000B330000}"/>
    <cellStyle name="Normal 2 43 8" xfId="13106" xr:uid="{00000000-0005-0000-0000-00000C330000}"/>
    <cellStyle name="Normal 2 44" xfId="13107" xr:uid="{00000000-0005-0000-0000-00000D330000}"/>
    <cellStyle name="Normal 2 44 2" xfId="13108" xr:uid="{00000000-0005-0000-0000-00000E330000}"/>
    <cellStyle name="Normal 2 44 3" xfId="13109" xr:uid="{00000000-0005-0000-0000-00000F330000}"/>
    <cellStyle name="Normal 2 44 4" xfId="13110" xr:uid="{00000000-0005-0000-0000-000010330000}"/>
    <cellStyle name="Normal 2 44 5" xfId="13111" xr:uid="{00000000-0005-0000-0000-000011330000}"/>
    <cellStyle name="Normal 2 44 6" xfId="13112" xr:uid="{00000000-0005-0000-0000-000012330000}"/>
    <cellStyle name="Normal 2 44 7" xfId="13113" xr:uid="{00000000-0005-0000-0000-000013330000}"/>
    <cellStyle name="Normal 2 44 8" xfId="13114" xr:uid="{00000000-0005-0000-0000-000014330000}"/>
    <cellStyle name="Normal 2 45" xfId="13115" xr:uid="{00000000-0005-0000-0000-000015330000}"/>
    <cellStyle name="Normal 2 45 2" xfId="13116" xr:uid="{00000000-0005-0000-0000-000016330000}"/>
    <cellStyle name="Normal 2 45 3" xfId="13117" xr:uid="{00000000-0005-0000-0000-000017330000}"/>
    <cellStyle name="Normal 2 45 4" xfId="13118" xr:uid="{00000000-0005-0000-0000-000018330000}"/>
    <cellStyle name="Normal 2 45 5" xfId="13119" xr:uid="{00000000-0005-0000-0000-000019330000}"/>
    <cellStyle name="Normal 2 45 6" xfId="13120" xr:uid="{00000000-0005-0000-0000-00001A330000}"/>
    <cellStyle name="Normal 2 45 7" xfId="13121" xr:uid="{00000000-0005-0000-0000-00001B330000}"/>
    <cellStyle name="Normal 2 45 8" xfId="13122" xr:uid="{00000000-0005-0000-0000-00001C330000}"/>
    <cellStyle name="Normal 2 46" xfId="13123" xr:uid="{00000000-0005-0000-0000-00001D330000}"/>
    <cellStyle name="Normal 2 46 2" xfId="13124" xr:uid="{00000000-0005-0000-0000-00001E330000}"/>
    <cellStyle name="Normal 2 46 3" xfId="13125" xr:uid="{00000000-0005-0000-0000-00001F330000}"/>
    <cellStyle name="Normal 2 46 4" xfId="13126" xr:uid="{00000000-0005-0000-0000-000020330000}"/>
    <cellStyle name="Normal 2 46 5" xfId="13127" xr:uid="{00000000-0005-0000-0000-000021330000}"/>
    <cellStyle name="Normal 2 46 6" xfId="13128" xr:uid="{00000000-0005-0000-0000-000022330000}"/>
    <cellStyle name="Normal 2 46 7" xfId="13129" xr:uid="{00000000-0005-0000-0000-000023330000}"/>
    <cellStyle name="Normal 2 46 8" xfId="13130" xr:uid="{00000000-0005-0000-0000-000024330000}"/>
    <cellStyle name="Normal 2 47" xfId="13131" xr:uid="{00000000-0005-0000-0000-000025330000}"/>
    <cellStyle name="Normal 2 47 2" xfId="13132" xr:uid="{00000000-0005-0000-0000-000026330000}"/>
    <cellStyle name="Normal 2 47 3" xfId="13133" xr:uid="{00000000-0005-0000-0000-000027330000}"/>
    <cellStyle name="Normal 2 47 4" xfId="13134" xr:uid="{00000000-0005-0000-0000-000028330000}"/>
    <cellStyle name="Normal 2 47 5" xfId="13135" xr:uid="{00000000-0005-0000-0000-000029330000}"/>
    <cellStyle name="Normal 2 47 6" xfId="13136" xr:uid="{00000000-0005-0000-0000-00002A330000}"/>
    <cellStyle name="Normal 2 47 7" xfId="13137" xr:uid="{00000000-0005-0000-0000-00002B330000}"/>
    <cellStyle name="Normal 2 47 8" xfId="13138" xr:uid="{00000000-0005-0000-0000-00002C330000}"/>
    <cellStyle name="Normal 2 48" xfId="13139" xr:uid="{00000000-0005-0000-0000-00002D330000}"/>
    <cellStyle name="Normal 2 48 2" xfId="13140" xr:uid="{00000000-0005-0000-0000-00002E330000}"/>
    <cellStyle name="Normal 2 48 3" xfId="13141" xr:uid="{00000000-0005-0000-0000-00002F330000}"/>
    <cellStyle name="Normal 2 48 4" xfId="13142" xr:uid="{00000000-0005-0000-0000-000030330000}"/>
    <cellStyle name="Normal 2 48 5" xfId="13143" xr:uid="{00000000-0005-0000-0000-000031330000}"/>
    <cellStyle name="Normal 2 48 6" xfId="13144" xr:uid="{00000000-0005-0000-0000-000032330000}"/>
    <cellStyle name="Normal 2 48 7" xfId="13145" xr:uid="{00000000-0005-0000-0000-000033330000}"/>
    <cellStyle name="Normal 2 48 8" xfId="13146" xr:uid="{00000000-0005-0000-0000-000034330000}"/>
    <cellStyle name="Normal 2 49" xfId="13147" xr:uid="{00000000-0005-0000-0000-000035330000}"/>
    <cellStyle name="Normal 2 49 2" xfId="13148" xr:uid="{00000000-0005-0000-0000-000036330000}"/>
    <cellStyle name="Normal 2 49 3" xfId="13149" xr:uid="{00000000-0005-0000-0000-000037330000}"/>
    <cellStyle name="Normal 2 49 4" xfId="13150" xr:uid="{00000000-0005-0000-0000-000038330000}"/>
    <cellStyle name="Normal 2 49 5" xfId="13151" xr:uid="{00000000-0005-0000-0000-000039330000}"/>
    <cellStyle name="Normal 2 49 6" xfId="13152" xr:uid="{00000000-0005-0000-0000-00003A330000}"/>
    <cellStyle name="Normal 2 49 7" xfId="13153" xr:uid="{00000000-0005-0000-0000-00003B330000}"/>
    <cellStyle name="Normal 2 49 8" xfId="13154" xr:uid="{00000000-0005-0000-0000-00003C330000}"/>
    <cellStyle name="Normal 2 5" xfId="13155" xr:uid="{00000000-0005-0000-0000-00003D330000}"/>
    <cellStyle name="Normal 2 5 10" xfId="13156" xr:uid="{00000000-0005-0000-0000-00003E330000}"/>
    <cellStyle name="Normal 2 5 10 2" xfId="13157" xr:uid="{00000000-0005-0000-0000-00003F330000}"/>
    <cellStyle name="Normal 2 5 11" xfId="13158" xr:uid="{00000000-0005-0000-0000-000040330000}"/>
    <cellStyle name="Normal 2 5 11 2" xfId="13159" xr:uid="{00000000-0005-0000-0000-000041330000}"/>
    <cellStyle name="Normal 2 5 12" xfId="13160" xr:uid="{00000000-0005-0000-0000-000042330000}"/>
    <cellStyle name="Normal 2 5 12 2" xfId="13161" xr:uid="{00000000-0005-0000-0000-000043330000}"/>
    <cellStyle name="Normal 2 5 13" xfId="13162" xr:uid="{00000000-0005-0000-0000-000044330000}"/>
    <cellStyle name="Normal 2 5 13 2" xfId="13163" xr:uid="{00000000-0005-0000-0000-000045330000}"/>
    <cellStyle name="Normal 2 5 14" xfId="13164" xr:uid="{00000000-0005-0000-0000-000046330000}"/>
    <cellStyle name="Normal 2 5 14 2" xfId="13165" xr:uid="{00000000-0005-0000-0000-000047330000}"/>
    <cellStyle name="Normal 2 5 15" xfId="13166" xr:uid="{00000000-0005-0000-0000-000048330000}"/>
    <cellStyle name="Normal 2 5 15 2" xfId="13167" xr:uid="{00000000-0005-0000-0000-000049330000}"/>
    <cellStyle name="Normal 2 5 16" xfId="13168" xr:uid="{00000000-0005-0000-0000-00004A330000}"/>
    <cellStyle name="Normal 2 5 16 2" xfId="13169" xr:uid="{00000000-0005-0000-0000-00004B330000}"/>
    <cellStyle name="Normal 2 5 17" xfId="13170" xr:uid="{00000000-0005-0000-0000-00004C330000}"/>
    <cellStyle name="Normal 2 5 17 2" xfId="13171" xr:uid="{00000000-0005-0000-0000-00004D330000}"/>
    <cellStyle name="Normal 2 5 18" xfId="13172" xr:uid="{00000000-0005-0000-0000-00004E330000}"/>
    <cellStyle name="Normal 2 5 18 2" xfId="13173" xr:uid="{00000000-0005-0000-0000-00004F330000}"/>
    <cellStyle name="Normal 2 5 19" xfId="13174" xr:uid="{00000000-0005-0000-0000-000050330000}"/>
    <cellStyle name="Normal 2 5 19 2" xfId="13175" xr:uid="{00000000-0005-0000-0000-000051330000}"/>
    <cellStyle name="Normal 2 5 2" xfId="13176" xr:uid="{00000000-0005-0000-0000-000052330000}"/>
    <cellStyle name="Normal 2 5 2 10" xfId="13177" xr:uid="{00000000-0005-0000-0000-000053330000}"/>
    <cellStyle name="Normal 2 5 2 2" xfId="13178" xr:uid="{00000000-0005-0000-0000-000054330000}"/>
    <cellStyle name="Normal 2 5 2 2 2" xfId="13179" xr:uid="{00000000-0005-0000-0000-000055330000}"/>
    <cellStyle name="Normal 2 5 2 2 3" xfId="13180" xr:uid="{00000000-0005-0000-0000-000056330000}"/>
    <cellStyle name="Normal 2 5 2 3" xfId="13181" xr:uid="{00000000-0005-0000-0000-000057330000}"/>
    <cellStyle name="Normal 2 5 2 3 2" xfId="13182" xr:uid="{00000000-0005-0000-0000-000058330000}"/>
    <cellStyle name="Normal 2 5 2 3 3" xfId="13183" xr:uid="{00000000-0005-0000-0000-000059330000}"/>
    <cellStyle name="Normal 2 5 2 4" xfId="13184" xr:uid="{00000000-0005-0000-0000-00005A330000}"/>
    <cellStyle name="Normal 2 5 2 5" xfId="13185" xr:uid="{00000000-0005-0000-0000-00005B330000}"/>
    <cellStyle name="Normal 2 5 2 6" xfId="13186" xr:uid="{00000000-0005-0000-0000-00005C330000}"/>
    <cellStyle name="Normal 2 5 2 7" xfId="13187" xr:uid="{00000000-0005-0000-0000-00005D330000}"/>
    <cellStyle name="Normal 2 5 2 8" xfId="13188" xr:uid="{00000000-0005-0000-0000-00005E330000}"/>
    <cellStyle name="Normal 2 5 2 9" xfId="13189" xr:uid="{00000000-0005-0000-0000-00005F330000}"/>
    <cellStyle name="Normal 2 5 20" xfId="13190" xr:uid="{00000000-0005-0000-0000-000060330000}"/>
    <cellStyle name="Normal 2 5 20 2" xfId="13191" xr:uid="{00000000-0005-0000-0000-000061330000}"/>
    <cellStyle name="Normal 2 5 21" xfId="13192" xr:uid="{00000000-0005-0000-0000-000062330000}"/>
    <cellStyle name="Normal 2 5 21 2" xfId="13193" xr:uid="{00000000-0005-0000-0000-000063330000}"/>
    <cellStyle name="Normal 2 5 22" xfId="13194" xr:uid="{00000000-0005-0000-0000-000064330000}"/>
    <cellStyle name="Normal 2 5 22 2" xfId="13195" xr:uid="{00000000-0005-0000-0000-000065330000}"/>
    <cellStyle name="Normal 2 5 23" xfId="13196" xr:uid="{00000000-0005-0000-0000-000066330000}"/>
    <cellStyle name="Normal 2 5 23 2" xfId="13197" xr:uid="{00000000-0005-0000-0000-000067330000}"/>
    <cellStyle name="Normal 2 5 24" xfId="13198" xr:uid="{00000000-0005-0000-0000-000068330000}"/>
    <cellStyle name="Normal 2 5 24 2" xfId="13199" xr:uid="{00000000-0005-0000-0000-000069330000}"/>
    <cellStyle name="Normal 2 5 25" xfId="13200" xr:uid="{00000000-0005-0000-0000-00006A330000}"/>
    <cellStyle name="Normal 2 5 25 2" xfId="13201" xr:uid="{00000000-0005-0000-0000-00006B330000}"/>
    <cellStyle name="Normal 2 5 26" xfId="13202" xr:uid="{00000000-0005-0000-0000-00006C330000}"/>
    <cellStyle name="Normal 2 5 3" xfId="13203" xr:uid="{00000000-0005-0000-0000-00006D330000}"/>
    <cellStyle name="Normal 2 5 3 2" xfId="13204" xr:uid="{00000000-0005-0000-0000-00006E330000}"/>
    <cellStyle name="Normal 2 5 3 3" xfId="13205" xr:uid="{00000000-0005-0000-0000-00006F330000}"/>
    <cellStyle name="Normal 2 5 3 4" xfId="13206" xr:uid="{00000000-0005-0000-0000-000070330000}"/>
    <cellStyle name="Normal 2 5 4" xfId="13207" xr:uid="{00000000-0005-0000-0000-000071330000}"/>
    <cellStyle name="Normal 2 5 4 2" xfId="13208" xr:uid="{00000000-0005-0000-0000-000072330000}"/>
    <cellStyle name="Normal 2 5 4 3" xfId="13209" xr:uid="{00000000-0005-0000-0000-000073330000}"/>
    <cellStyle name="Normal 2 5 4 4" xfId="13210" xr:uid="{00000000-0005-0000-0000-000074330000}"/>
    <cellStyle name="Normal 2 5 5" xfId="13211" xr:uid="{00000000-0005-0000-0000-000075330000}"/>
    <cellStyle name="Normal 2 5 5 2" xfId="13212" xr:uid="{00000000-0005-0000-0000-000076330000}"/>
    <cellStyle name="Normal 2 5 5 3" xfId="13213" xr:uid="{00000000-0005-0000-0000-000077330000}"/>
    <cellStyle name="Normal 2 5 5 4" xfId="13214" xr:uid="{00000000-0005-0000-0000-000078330000}"/>
    <cellStyle name="Normal 2 5 6" xfId="13215" xr:uid="{00000000-0005-0000-0000-000079330000}"/>
    <cellStyle name="Normal 2 5 6 2" xfId="13216" xr:uid="{00000000-0005-0000-0000-00007A330000}"/>
    <cellStyle name="Normal 2 5 6 3" xfId="13217" xr:uid="{00000000-0005-0000-0000-00007B330000}"/>
    <cellStyle name="Normal 2 5 6 4" xfId="13218" xr:uid="{00000000-0005-0000-0000-00007C330000}"/>
    <cellStyle name="Normal 2 5 7" xfId="13219" xr:uid="{00000000-0005-0000-0000-00007D330000}"/>
    <cellStyle name="Normal 2 5 7 2" xfId="13220" xr:uid="{00000000-0005-0000-0000-00007E330000}"/>
    <cellStyle name="Normal 2 5 8" xfId="13221" xr:uid="{00000000-0005-0000-0000-00007F330000}"/>
    <cellStyle name="Normal 2 5 8 2" xfId="13222" xr:uid="{00000000-0005-0000-0000-000080330000}"/>
    <cellStyle name="Normal 2 5 9" xfId="13223" xr:uid="{00000000-0005-0000-0000-000081330000}"/>
    <cellStyle name="Normal 2 5 9 2" xfId="13224" xr:uid="{00000000-0005-0000-0000-000082330000}"/>
    <cellStyle name="Normal 2 5_Sheet2" xfId="13225" xr:uid="{00000000-0005-0000-0000-000083330000}"/>
    <cellStyle name="Normal 2 50" xfId="13226" xr:uid="{00000000-0005-0000-0000-000084330000}"/>
    <cellStyle name="Normal 2 50 2" xfId="13227" xr:uid="{00000000-0005-0000-0000-000085330000}"/>
    <cellStyle name="Normal 2 50 3" xfId="13228" xr:uid="{00000000-0005-0000-0000-000086330000}"/>
    <cellStyle name="Normal 2 50 4" xfId="13229" xr:uid="{00000000-0005-0000-0000-000087330000}"/>
    <cellStyle name="Normal 2 50 5" xfId="13230" xr:uid="{00000000-0005-0000-0000-000088330000}"/>
    <cellStyle name="Normal 2 50 6" xfId="13231" xr:uid="{00000000-0005-0000-0000-000089330000}"/>
    <cellStyle name="Normal 2 50 7" xfId="13232" xr:uid="{00000000-0005-0000-0000-00008A330000}"/>
    <cellStyle name="Normal 2 50 8" xfId="13233" xr:uid="{00000000-0005-0000-0000-00008B330000}"/>
    <cellStyle name="Normal 2 51" xfId="13234" xr:uid="{00000000-0005-0000-0000-00008C330000}"/>
    <cellStyle name="Normal 2 51 2" xfId="13235" xr:uid="{00000000-0005-0000-0000-00008D330000}"/>
    <cellStyle name="Normal 2 51 3" xfId="13236" xr:uid="{00000000-0005-0000-0000-00008E330000}"/>
    <cellStyle name="Normal 2 51 4" xfId="13237" xr:uid="{00000000-0005-0000-0000-00008F330000}"/>
    <cellStyle name="Normal 2 51 5" xfId="13238" xr:uid="{00000000-0005-0000-0000-000090330000}"/>
    <cellStyle name="Normal 2 51 6" xfId="13239" xr:uid="{00000000-0005-0000-0000-000091330000}"/>
    <cellStyle name="Normal 2 51 7" xfId="13240" xr:uid="{00000000-0005-0000-0000-000092330000}"/>
    <cellStyle name="Normal 2 51 8" xfId="13241" xr:uid="{00000000-0005-0000-0000-000093330000}"/>
    <cellStyle name="Normal 2 52" xfId="13242" xr:uid="{00000000-0005-0000-0000-000094330000}"/>
    <cellStyle name="Normal 2 52 2" xfId="13243" xr:uid="{00000000-0005-0000-0000-000095330000}"/>
    <cellStyle name="Normal 2 52 3" xfId="13244" xr:uid="{00000000-0005-0000-0000-000096330000}"/>
    <cellStyle name="Normal 2 52 4" xfId="13245" xr:uid="{00000000-0005-0000-0000-000097330000}"/>
    <cellStyle name="Normal 2 52 5" xfId="13246" xr:uid="{00000000-0005-0000-0000-000098330000}"/>
    <cellStyle name="Normal 2 52 6" xfId="13247" xr:uid="{00000000-0005-0000-0000-000099330000}"/>
    <cellStyle name="Normal 2 52 7" xfId="13248" xr:uid="{00000000-0005-0000-0000-00009A330000}"/>
    <cellStyle name="Normal 2 52 8" xfId="13249" xr:uid="{00000000-0005-0000-0000-00009B330000}"/>
    <cellStyle name="Normal 2 53" xfId="13250" xr:uid="{00000000-0005-0000-0000-00009C330000}"/>
    <cellStyle name="Normal 2 53 2" xfId="13251" xr:uid="{00000000-0005-0000-0000-00009D330000}"/>
    <cellStyle name="Normal 2 53 3" xfId="13252" xr:uid="{00000000-0005-0000-0000-00009E330000}"/>
    <cellStyle name="Normal 2 53 4" xfId="13253" xr:uid="{00000000-0005-0000-0000-00009F330000}"/>
    <cellStyle name="Normal 2 53 5" xfId="13254" xr:uid="{00000000-0005-0000-0000-0000A0330000}"/>
    <cellStyle name="Normal 2 53 6" xfId="13255" xr:uid="{00000000-0005-0000-0000-0000A1330000}"/>
    <cellStyle name="Normal 2 53 7" xfId="13256" xr:uid="{00000000-0005-0000-0000-0000A2330000}"/>
    <cellStyle name="Normal 2 53 8" xfId="13257" xr:uid="{00000000-0005-0000-0000-0000A3330000}"/>
    <cellStyle name="Normal 2 54" xfId="13258" xr:uid="{00000000-0005-0000-0000-0000A4330000}"/>
    <cellStyle name="Normal 2 54 2" xfId="13259" xr:uid="{00000000-0005-0000-0000-0000A5330000}"/>
    <cellStyle name="Normal 2 54 3" xfId="13260" xr:uid="{00000000-0005-0000-0000-0000A6330000}"/>
    <cellStyle name="Normal 2 54 4" xfId="13261" xr:uid="{00000000-0005-0000-0000-0000A7330000}"/>
    <cellStyle name="Normal 2 54 5" xfId="13262" xr:uid="{00000000-0005-0000-0000-0000A8330000}"/>
    <cellStyle name="Normal 2 54 6" xfId="13263" xr:uid="{00000000-0005-0000-0000-0000A9330000}"/>
    <cellStyle name="Normal 2 54 7" xfId="13264" xr:uid="{00000000-0005-0000-0000-0000AA330000}"/>
    <cellStyle name="Normal 2 54 8" xfId="13265" xr:uid="{00000000-0005-0000-0000-0000AB330000}"/>
    <cellStyle name="Normal 2 55" xfId="13266" xr:uid="{00000000-0005-0000-0000-0000AC330000}"/>
    <cellStyle name="Normal 2 55 2" xfId="13267" xr:uid="{00000000-0005-0000-0000-0000AD330000}"/>
    <cellStyle name="Normal 2 55 3" xfId="13268" xr:uid="{00000000-0005-0000-0000-0000AE330000}"/>
    <cellStyle name="Normal 2 55 4" xfId="13269" xr:uid="{00000000-0005-0000-0000-0000AF330000}"/>
    <cellStyle name="Normal 2 55 5" xfId="13270" xr:uid="{00000000-0005-0000-0000-0000B0330000}"/>
    <cellStyle name="Normal 2 55 6" xfId="13271" xr:uid="{00000000-0005-0000-0000-0000B1330000}"/>
    <cellStyle name="Normal 2 55 7" xfId="13272" xr:uid="{00000000-0005-0000-0000-0000B2330000}"/>
    <cellStyle name="Normal 2 55 8" xfId="13273" xr:uid="{00000000-0005-0000-0000-0000B3330000}"/>
    <cellStyle name="Normal 2 56" xfId="13274" xr:uid="{00000000-0005-0000-0000-0000B4330000}"/>
    <cellStyle name="Normal 2 56 2" xfId="13275" xr:uid="{00000000-0005-0000-0000-0000B5330000}"/>
    <cellStyle name="Normal 2 56 3" xfId="13276" xr:uid="{00000000-0005-0000-0000-0000B6330000}"/>
    <cellStyle name="Normal 2 56 4" xfId="13277" xr:uid="{00000000-0005-0000-0000-0000B7330000}"/>
    <cellStyle name="Normal 2 56 5" xfId="13278" xr:uid="{00000000-0005-0000-0000-0000B8330000}"/>
    <cellStyle name="Normal 2 56 6" xfId="13279" xr:uid="{00000000-0005-0000-0000-0000B9330000}"/>
    <cellStyle name="Normal 2 56 7" xfId="13280" xr:uid="{00000000-0005-0000-0000-0000BA330000}"/>
    <cellStyle name="Normal 2 56 8" xfId="13281" xr:uid="{00000000-0005-0000-0000-0000BB330000}"/>
    <cellStyle name="Normal 2 57" xfId="13282" xr:uid="{00000000-0005-0000-0000-0000BC330000}"/>
    <cellStyle name="Normal 2 57 2" xfId="13283" xr:uid="{00000000-0005-0000-0000-0000BD330000}"/>
    <cellStyle name="Normal 2 57 3" xfId="13284" xr:uid="{00000000-0005-0000-0000-0000BE330000}"/>
    <cellStyle name="Normal 2 57 4" xfId="13285" xr:uid="{00000000-0005-0000-0000-0000BF330000}"/>
    <cellStyle name="Normal 2 57 5" xfId="13286" xr:uid="{00000000-0005-0000-0000-0000C0330000}"/>
    <cellStyle name="Normal 2 57 6" xfId="13287" xr:uid="{00000000-0005-0000-0000-0000C1330000}"/>
    <cellStyle name="Normal 2 57 7" xfId="13288" xr:uid="{00000000-0005-0000-0000-0000C2330000}"/>
    <cellStyle name="Normal 2 57 8" xfId="13289" xr:uid="{00000000-0005-0000-0000-0000C3330000}"/>
    <cellStyle name="Normal 2 58" xfId="13290" xr:uid="{00000000-0005-0000-0000-0000C4330000}"/>
    <cellStyle name="Normal 2 58 2" xfId="13291" xr:uid="{00000000-0005-0000-0000-0000C5330000}"/>
    <cellStyle name="Normal 2 58 3" xfId="13292" xr:uid="{00000000-0005-0000-0000-0000C6330000}"/>
    <cellStyle name="Normal 2 58 4" xfId="13293" xr:uid="{00000000-0005-0000-0000-0000C7330000}"/>
    <cellStyle name="Normal 2 58 5" xfId="13294" xr:uid="{00000000-0005-0000-0000-0000C8330000}"/>
    <cellStyle name="Normal 2 58 6" xfId="13295" xr:uid="{00000000-0005-0000-0000-0000C9330000}"/>
    <cellStyle name="Normal 2 58 7" xfId="13296" xr:uid="{00000000-0005-0000-0000-0000CA330000}"/>
    <cellStyle name="Normal 2 58 8" xfId="13297" xr:uid="{00000000-0005-0000-0000-0000CB330000}"/>
    <cellStyle name="Normal 2 59" xfId="13298" xr:uid="{00000000-0005-0000-0000-0000CC330000}"/>
    <cellStyle name="Normal 2 59 2" xfId="13299" xr:uid="{00000000-0005-0000-0000-0000CD330000}"/>
    <cellStyle name="Normal 2 59 3" xfId="13300" xr:uid="{00000000-0005-0000-0000-0000CE330000}"/>
    <cellStyle name="Normal 2 59 4" xfId="13301" xr:uid="{00000000-0005-0000-0000-0000CF330000}"/>
    <cellStyle name="Normal 2 59 5" xfId="13302" xr:uid="{00000000-0005-0000-0000-0000D0330000}"/>
    <cellStyle name="Normal 2 59 6" xfId="13303" xr:uid="{00000000-0005-0000-0000-0000D1330000}"/>
    <cellStyle name="Normal 2 59 7" xfId="13304" xr:uid="{00000000-0005-0000-0000-0000D2330000}"/>
    <cellStyle name="Normal 2 59 8" xfId="13305" xr:uid="{00000000-0005-0000-0000-0000D3330000}"/>
    <cellStyle name="Normal 2 6" xfId="13306" xr:uid="{00000000-0005-0000-0000-0000D4330000}"/>
    <cellStyle name="Normal 2 6 10" xfId="13307" xr:uid="{00000000-0005-0000-0000-0000D5330000}"/>
    <cellStyle name="Normal 2 6 11" xfId="13308" xr:uid="{00000000-0005-0000-0000-0000D6330000}"/>
    <cellStyle name="Normal 2 6 2" xfId="13309" xr:uid="{00000000-0005-0000-0000-0000D7330000}"/>
    <cellStyle name="Normal 2 6 2 2" xfId="13310" xr:uid="{00000000-0005-0000-0000-0000D8330000}"/>
    <cellStyle name="Normal 2 6 2 2 2" xfId="13311" xr:uid="{00000000-0005-0000-0000-0000D9330000}"/>
    <cellStyle name="Normal 2 6 2 2 3" xfId="13312" xr:uid="{00000000-0005-0000-0000-0000DA330000}"/>
    <cellStyle name="Normal 2 6 2 3" xfId="13313" xr:uid="{00000000-0005-0000-0000-0000DB330000}"/>
    <cellStyle name="Normal 2 6 2 4" xfId="13314" xr:uid="{00000000-0005-0000-0000-0000DC330000}"/>
    <cellStyle name="Normal 2 6 3" xfId="13315" xr:uid="{00000000-0005-0000-0000-0000DD330000}"/>
    <cellStyle name="Normal 2 6 3 2" xfId="13316" xr:uid="{00000000-0005-0000-0000-0000DE330000}"/>
    <cellStyle name="Normal 2 6 4" xfId="13317" xr:uid="{00000000-0005-0000-0000-0000DF330000}"/>
    <cellStyle name="Normal 2 6 5" xfId="13318" xr:uid="{00000000-0005-0000-0000-0000E0330000}"/>
    <cellStyle name="Normal 2 6 6" xfId="13319" xr:uid="{00000000-0005-0000-0000-0000E1330000}"/>
    <cellStyle name="Normal 2 6 7" xfId="13320" xr:uid="{00000000-0005-0000-0000-0000E2330000}"/>
    <cellStyle name="Normal 2 6 8" xfId="13321" xr:uid="{00000000-0005-0000-0000-0000E3330000}"/>
    <cellStyle name="Normal 2 6 9" xfId="13322" xr:uid="{00000000-0005-0000-0000-0000E4330000}"/>
    <cellStyle name="Normal 2 6_Sheet2" xfId="13323" xr:uid="{00000000-0005-0000-0000-0000E5330000}"/>
    <cellStyle name="Normal 2 60" xfId="13324" xr:uid="{00000000-0005-0000-0000-0000E6330000}"/>
    <cellStyle name="Normal 2 60 2" xfId="13325" xr:uid="{00000000-0005-0000-0000-0000E7330000}"/>
    <cellStyle name="Normal 2 60 3" xfId="13326" xr:uid="{00000000-0005-0000-0000-0000E8330000}"/>
    <cellStyle name="Normal 2 60 4" xfId="13327" xr:uid="{00000000-0005-0000-0000-0000E9330000}"/>
    <cellStyle name="Normal 2 60 5" xfId="13328" xr:uid="{00000000-0005-0000-0000-0000EA330000}"/>
    <cellStyle name="Normal 2 60 6" xfId="13329" xr:uid="{00000000-0005-0000-0000-0000EB330000}"/>
    <cellStyle name="Normal 2 60 7" xfId="13330" xr:uid="{00000000-0005-0000-0000-0000EC330000}"/>
    <cellStyle name="Normal 2 60 8" xfId="13331" xr:uid="{00000000-0005-0000-0000-0000ED330000}"/>
    <cellStyle name="Normal 2 61" xfId="13332" xr:uid="{00000000-0005-0000-0000-0000EE330000}"/>
    <cellStyle name="Normal 2 61 2" xfId="13333" xr:uid="{00000000-0005-0000-0000-0000EF330000}"/>
    <cellStyle name="Normal 2 61 3" xfId="13334" xr:uid="{00000000-0005-0000-0000-0000F0330000}"/>
    <cellStyle name="Normal 2 61 4" xfId="13335" xr:uid="{00000000-0005-0000-0000-0000F1330000}"/>
    <cellStyle name="Normal 2 61 5" xfId="13336" xr:uid="{00000000-0005-0000-0000-0000F2330000}"/>
    <cellStyle name="Normal 2 61 6" xfId="13337" xr:uid="{00000000-0005-0000-0000-0000F3330000}"/>
    <cellStyle name="Normal 2 61 7" xfId="13338" xr:uid="{00000000-0005-0000-0000-0000F4330000}"/>
    <cellStyle name="Normal 2 61 8" xfId="13339" xr:uid="{00000000-0005-0000-0000-0000F5330000}"/>
    <cellStyle name="Normal 2 62" xfId="13340" xr:uid="{00000000-0005-0000-0000-0000F6330000}"/>
    <cellStyle name="Normal 2 62 2" xfId="13341" xr:uid="{00000000-0005-0000-0000-0000F7330000}"/>
    <cellStyle name="Normal 2 62 3" xfId="13342" xr:uid="{00000000-0005-0000-0000-0000F8330000}"/>
    <cellStyle name="Normal 2 62 4" xfId="13343" xr:uid="{00000000-0005-0000-0000-0000F9330000}"/>
    <cellStyle name="Normal 2 62 5" xfId="13344" xr:uid="{00000000-0005-0000-0000-0000FA330000}"/>
    <cellStyle name="Normal 2 62 6" xfId="13345" xr:uid="{00000000-0005-0000-0000-0000FB330000}"/>
    <cellStyle name="Normal 2 62 7" xfId="13346" xr:uid="{00000000-0005-0000-0000-0000FC330000}"/>
    <cellStyle name="Normal 2 62 8" xfId="13347" xr:uid="{00000000-0005-0000-0000-0000FD330000}"/>
    <cellStyle name="Normal 2 63" xfId="13348" xr:uid="{00000000-0005-0000-0000-0000FE330000}"/>
    <cellStyle name="Normal 2 63 2" xfId="13349" xr:uid="{00000000-0005-0000-0000-0000FF330000}"/>
    <cellStyle name="Normal 2 63 3" xfId="13350" xr:uid="{00000000-0005-0000-0000-000000340000}"/>
    <cellStyle name="Normal 2 63 4" xfId="13351" xr:uid="{00000000-0005-0000-0000-000001340000}"/>
    <cellStyle name="Normal 2 63 5" xfId="13352" xr:uid="{00000000-0005-0000-0000-000002340000}"/>
    <cellStyle name="Normal 2 63 6" xfId="13353" xr:uid="{00000000-0005-0000-0000-000003340000}"/>
    <cellStyle name="Normal 2 63 7" xfId="13354" xr:uid="{00000000-0005-0000-0000-000004340000}"/>
    <cellStyle name="Normal 2 63 8" xfId="13355" xr:uid="{00000000-0005-0000-0000-000005340000}"/>
    <cellStyle name="Normal 2 64" xfId="13356" xr:uid="{00000000-0005-0000-0000-000006340000}"/>
    <cellStyle name="Normal 2 65" xfId="13357" xr:uid="{00000000-0005-0000-0000-000007340000}"/>
    <cellStyle name="Normal 2 66" xfId="13358" xr:uid="{00000000-0005-0000-0000-000008340000}"/>
    <cellStyle name="Normal 2 67" xfId="13359" xr:uid="{00000000-0005-0000-0000-000009340000}"/>
    <cellStyle name="Normal 2 68" xfId="13360" xr:uid="{00000000-0005-0000-0000-00000A340000}"/>
    <cellStyle name="Normal 2 69" xfId="13361" xr:uid="{00000000-0005-0000-0000-00000B340000}"/>
    <cellStyle name="Normal 2 7" xfId="13362" xr:uid="{00000000-0005-0000-0000-00000C340000}"/>
    <cellStyle name="Normal 2 7 10" xfId="13363" xr:uid="{00000000-0005-0000-0000-00000D340000}"/>
    <cellStyle name="Normal 2 7 11" xfId="13364" xr:uid="{00000000-0005-0000-0000-00000E340000}"/>
    <cellStyle name="Normal 2 7 2" xfId="13365" xr:uid="{00000000-0005-0000-0000-00000F340000}"/>
    <cellStyle name="Normal 2 7 2 2" xfId="13366" xr:uid="{00000000-0005-0000-0000-000010340000}"/>
    <cellStyle name="Normal 2 7 2 3" xfId="13367" xr:uid="{00000000-0005-0000-0000-000011340000}"/>
    <cellStyle name="Normal 2 7 2 4" xfId="13368" xr:uid="{00000000-0005-0000-0000-000012340000}"/>
    <cellStyle name="Normal 2 7 3" xfId="13369" xr:uid="{00000000-0005-0000-0000-000013340000}"/>
    <cellStyle name="Normal 2 7 3 2" xfId="13370" xr:uid="{00000000-0005-0000-0000-000014340000}"/>
    <cellStyle name="Normal 2 7 4" xfId="13371" xr:uid="{00000000-0005-0000-0000-000015340000}"/>
    <cellStyle name="Normal 2 7 5" xfId="13372" xr:uid="{00000000-0005-0000-0000-000016340000}"/>
    <cellStyle name="Normal 2 7 6" xfId="13373" xr:uid="{00000000-0005-0000-0000-000017340000}"/>
    <cellStyle name="Normal 2 7 7" xfId="13374" xr:uid="{00000000-0005-0000-0000-000018340000}"/>
    <cellStyle name="Normal 2 7 8" xfId="13375" xr:uid="{00000000-0005-0000-0000-000019340000}"/>
    <cellStyle name="Normal 2 7 9" xfId="13376" xr:uid="{00000000-0005-0000-0000-00001A340000}"/>
    <cellStyle name="Normal 2 70" xfId="13377" xr:uid="{00000000-0005-0000-0000-00001B340000}"/>
    <cellStyle name="Normal 2 71" xfId="13378" xr:uid="{00000000-0005-0000-0000-00001C340000}"/>
    <cellStyle name="Normal 2 72" xfId="13379" xr:uid="{00000000-0005-0000-0000-00001D340000}"/>
    <cellStyle name="Normal 2 73" xfId="13380" xr:uid="{00000000-0005-0000-0000-00001E340000}"/>
    <cellStyle name="Normal 2 74" xfId="13381" xr:uid="{00000000-0005-0000-0000-00001F340000}"/>
    <cellStyle name="Normal 2 75" xfId="13382" xr:uid="{00000000-0005-0000-0000-000020340000}"/>
    <cellStyle name="Normal 2 8" xfId="13383" xr:uid="{00000000-0005-0000-0000-000021340000}"/>
    <cellStyle name="Normal 2 8 2" xfId="13384" xr:uid="{00000000-0005-0000-0000-000022340000}"/>
    <cellStyle name="Normal 2 8 2 2" xfId="13385" xr:uid="{00000000-0005-0000-0000-000023340000}"/>
    <cellStyle name="Normal 2 8 3" xfId="13386" xr:uid="{00000000-0005-0000-0000-000024340000}"/>
    <cellStyle name="Normal 2 8 3 2" xfId="13387" xr:uid="{00000000-0005-0000-0000-000025340000}"/>
    <cellStyle name="Normal 2 8 4" xfId="13388" xr:uid="{00000000-0005-0000-0000-000026340000}"/>
    <cellStyle name="Normal 2 8 5" xfId="13389" xr:uid="{00000000-0005-0000-0000-000027340000}"/>
    <cellStyle name="Normal 2 8 6" xfId="13390" xr:uid="{00000000-0005-0000-0000-000028340000}"/>
    <cellStyle name="Normal 2 9" xfId="13391" xr:uid="{00000000-0005-0000-0000-000029340000}"/>
    <cellStyle name="Normal 2 9 2" xfId="13392" xr:uid="{00000000-0005-0000-0000-00002A340000}"/>
    <cellStyle name="Normal 2 9 2 2" xfId="13393" xr:uid="{00000000-0005-0000-0000-00002B340000}"/>
    <cellStyle name="Normal 2 9 3" xfId="13394" xr:uid="{00000000-0005-0000-0000-00002C340000}"/>
    <cellStyle name="Normal 2 9 3 2" xfId="13395" xr:uid="{00000000-0005-0000-0000-00002D340000}"/>
    <cellStyle name="Normal 2 9 4" xfId="13396" xr:uid="{00000000-0005-0000-0000-00002E340000}"/>
    <cellStyle name="Normal 2 9 5" xfId="13397" xr:uid="{00000000-0005-0000-0000-00002F340000}"/>
    <cellStyle name="Normal 2 9 6" xfId="13398" xr:uid="{00000000-0005-0000-0000-000030340000}"/>
    <cellStyle name="Normal 2_ ZPHS (G) at Enkoor (V&amp;M) 22.08 L" xfId="13399" xr:uid="{00000000-0005-0000-0000-000031340000}"/>
    <cellStyle name="Normal 20" xfId="13400" xr:uid="{00000000-0005-0000-0000-000032340000}"/>
    <cellStyle name="Normal 20 10" xfId="13401" xr:uid="{00000000-0005-0000-0000-000033340000}"/>
    <cellStyle name="Normal 20 11" xfId="13402" xr:uid="{00000000-0005-0000-0000-000034340000}"/>
    <cellStyle name="Normal 20 2" xfId="13403" xr:uid="{00000000-0005-0000-0000-000035340000}"/>
    <cellStyle name="Normal 20 2 2" xfId="13404" xr:uid="{00000000-0005-0000-0000-000036340000}"/>
    <cellStyle name="Normal 20 2 2 2" xfId="13405" xr:uid="{00000000-0005-0000-0000-000037340000}"/>
    <cellStyle name="Normal 20 2 2 3" xfId="13406" xr:uid="{00000000-0005-0000-0000-000038340000}"/>
    <cellStyle name="Normal 20 2 2 4" xfId="13407" xr:uid="{00000000-0005-0000-0000-000039340000}"/>
    <cellStyle name="Normal 20 2 3" xfId="13408" xr:uid="{00000000-0005-0000-0000-00003A340000}"/>
    <cellStyle name="Normal 20 2 3 2" xfId="13409" xr:uid="{00000000-0005-0000-0000-00003B340000}"/>
    <cellStyle name="Normal 20 2 3 3" xfId="13410" xr:uid="{00000000-0005-0000-0000-00003C340000}"/>
    <cellStyle name="Normal 20 2 4" xfId="13411" xr:uid="{00000000-0005-0000-0000-00003D340000}"/>
    <cellStyle name="Normal 20 2 4 2" xfId="13412" xr:uid="{00000000-0005-0000-0000-00003E340000}"/>
    <cellStyle name="Normal 20 2 4 3" xfId="13413" xr:uid="{00000000-0005-0000-0000-00003F340000}"/>
    <cellStyle name="Normal 20 2 5" xfId="13414" xr:uid="{00000000-0005-0000-0000-000040340000}"/>
    <cellStyle name="Normal 20 2 6" xfId="13415" xr:uid="{00000000-0005-0000-0000-000041340000}"/>
    <cellStyle name="Normal 20 3" xfId="13416" xr:uid="{00000000-0005-0000-0000-000042340000}"/>
    <cellStyle name="Normal 20 3 2" xfId="13417" xr:uid="{00000000-0005-0000-0000-000043340000}"/>
    <cellStyle name="Normal 20 3 3" xfId="13418" xr:uid="{00000000-0005-0000-0000-000044340000}"/>
    <cellStyle name="Normal 20 3 4" xfId="13419" xr:uid="{00000000-0005-0000-0000-000045340000}"/>
    <cellStyle name="Normal 20 3 5" xfId="13420" xr:uid="{00000000-0005-0000-0000-000046340000}"/>
    <cellStyle name="Normal 20 4" xfId="13421" xr:uid="{00000000-0005-0000-0000-000047340000}"/>
    <cellStyle name="Normal 20 4 2" xfId="13422" xr:uid="{00000000-0005-0000-0000-000048340000}"/>
    <cellStyle name="Normal 20 4 3" xfId="13423" xr:uid="{00000000-0005-0000-0000-000049340000}"/>
    <cellStyle name="Normal 20 5" xfId="13424" xr:uid="{00000000-0005-0000-0000-00004A340000}"/>
    <cellStyle name="Normal 20 5 2" xfId="13425" xr:uid="{00000000-0005-0000-0000-00004B340000}"/>
    <cellStyle name="Normal 20 5 3" xfId="13426" xr:uid="{00000000-0005-0000-0000-00004C340000}"/>
    <cellStyle name="Normal 20 5 4" xfId="13427" xr:uid="{00000000-0005-0000-0000-00004D340000}"/>
    <cellStyle name="Normal 20 5 5" xfId="13428" xr:uid="{00000000-0005-0000-0000-00004E340000}"/>
    <cellStyle name="Normal 20 6" xfId="13429" xr:uid="{00000000-0005-0000-0000-00004F340000}"/>
    <cellStyle name="Normal 20 6 2" xfId="13430" xr:uid="{00000000-0005-0000-0000-000050340000}"/>
    <cellStyle name="Normal 20 6 3" xfId="13431" xr:uid="{00000000-0005-0000-0000-000051340000}"/>
    <cellStyle name="Normal 20 7" xfId="13432" xr:uid="{00000000-0005-0000-0000-000052340000}"/>
    <cellStyle name="Normal 20 7 2" xfId="13433" xr:uid="{00000000-0005-0000-0000-000053340000}"/>
    <cellStyle name="Normal 20 7 3" xfId="13434" xr:uid="{00000000-0005-0000-0000-000054340000}"/>
    <cellStyle name="Normal 20 8" xfId="13435" xr:uid="{00000000-0005-0000-0000-000055340000}"/>
    <cellStyle name="Normal 20 9" xfId="13436" xr:uid="{00000000-0005-0000-0000-000056340000}"/>
    <cellStyle name="Normal 20_M.BOOK" xfId="13437" xr:uid="{00000000-0005-0000-0000-000057340000}"/>
    <cellStyle name="Normal 21" xfId="13438" xr:uid="{00000000-0005-0000-0000-000058340000}"/>
    <cellStyle name="Normal 21 10" xfId="13439" xr:uid="{00000000-0005-0000-0000-000059340000}"/>
    <cellStyle name="Normal 21 2" xfId="13440" xr:uid="{00000000-0005-0000-0000-00005A340000}"/>
    <cellStyle name="Normal 21 2 2" xfId="13441" xr:uid="{00000000-0005-0000-0000-00005B340000}"/>
    <cellStyle name="Normal 21 2 3" xfId="13442" xr:uid="{00000000-0005-0000-0000-00005C340000}"/>
    <cellStyle name="Normal 21 2 4" xfId="13443" xr:uid="{00000000-0005-0000-0000-00005D340000}"/>
    <cellStyle name="Normal 21 2 5" xfId="13444" xr:uid="{00000000-0005-0000-0000-00005E340000}"/>
    <cellStyle name="Normal 21 2 6" xfId="13445" xr:uid="{00000000-0005-0000-0000-00005F340000}"/>
    <cellStyle name="Normal 21 3" xfId="13446" xr:uid="{00000000-0005-0000-0000-000060340000}"/>
    <cellStyle name="Normal 21 3 2" xfId="13447" xr:uid="{00000000-0005-0000-0000-000061340000}"/>
    <cellStyle name="Normal 21 3 3" xfId="13448" xr:uid="{00000000-0005-0000-0000-000062340000}"/>
    <cellStyle name="Normal 21 4" xfId="13449" xr:uid="{00000000-0005-0000-0000-000063340000}"/>
    <cellStyle name="Normal 21 4 2" xfId="13450" xr:uid="{00000000-0005-0000-0000-000064340000}"/>
    <cellStyle name="Normal 21 4 2 2" xfId="13451" xr:uid="{00000000-0005-0000-0000-000065340000}"/>
    <cellStyle name="Normal 21 4 2 2 2" xfId="13452" xr:uid="{00000000-0005-0000-0000-000066340000}"/>
    <cellStyle name="Normal 21 4 2 2 3" xfId="13453" xr:uid="{00000000-0005-0000-0000-000067340000}"/>
    <cellStyle name="Normal 21 4 2 3" xfId="13454" xr:uid="{00000000-0005-0000-0000-000068340000}"/>
    <cellStyle name="Normal 21 4 2 3 2" xfId="13455" xr:uid="{00000000-0005-0000-0000-000069340000}"/>
    <cellStyle name="Normal 21 4 2 4" xfId="13456" xr:uid="{00000000-0005-0000-0000-00006A340000}"/>
    <cellStyle name="Normal 21 4 2_Sheet2" xfId="13457" xr:uid="{00000000-0005-0000-0000-00006B340000}"/>
    <cellStyle name="Normal 21 4 3" xfId="13458" xr:uid="{00000000-0005-0000-0000-00006C340000}"/>
    <cellStyle name="Normal 21 4 3 2" xfId="13459" xr:uid="{00000000-0005-0000-0000-00006D340000}"/>
    <cellStyle name="Normal 21 4 4" xfId="13460" xr:uid="{00000000-0005-0000-0000-00006E340000}"/>
    <cellStyle name="Normal 21 4 5" xfId="13461" xr:uid="{00000000-0005-0000-0000-00006F340000}"/>
    <cellStyle name="Normal 21 4 6" xfId="13462" xr:uid="{00000000-0005-0000-0000-000070340000}"/>
    <cellStyle name="Normal 21 4 7" xfId="13463" xr:uid="{00000000-0005-0000-0000-000071340000}"/>
    <cellStyle name="Normal 21 4_Sheet2" xfId="13464" xr:uid="{00000000-0005-0000-0000-000072340000}"/>
    <cellStyle name="Normal 21 5" xfId="13465" xr:uid="{00000000-0005-0000-0000-000073340000}"/>
    <cellStyle name="Normal 21 5 2" xfId="13466" xr:uid="{00000000-0005-0000-0000-000074340000}"/>
    <cellStyle name="Normal 21 5 2 2" xfId="13467" xr:uid="{00000000-0005-0000-0000-000075340000}"/>
    <cellStyle name="Normal 21 5 2 2 2" xfId="13468" xr:uid="{00000000-0005-0000-0000-000076340000}"/>
    <cellStyle name="Normal 21 5 2 2 2 2" xfId="13469" xr:uid="{00000000-0005-0000-0000-000077340000}"/>
    <cellStyle name="Normal 21 5 2 2 2 3" xfId="13470" xr:uid="{00000000-0005-0000-0000-000078340000}"/>
    <cellStyle name="Normal 21 5 2 2 2 4" xfId="13471" xr:uid="{00000000-0005-0000-0000-000079340000}"/>
    <cellStyle name="Normal 21 5 2 2 3" xfId="13472" xr:uid="{00000000-0005-0000-0000-00007A340000}"/>
    <cellStyle name="Normal 21 5 3" xfId="13473" xr:uid="{00000000-0005-0000-0000-00007B340000}"/>
    <cellStyle name="Normal 21 5 4" xfId="13474" xr:uid="{00000000-0005-0000-0000-00007C340000}"/>
    <cellStyle name="Normal 21 5_Sheet2" xfId="13475" xr:uid="{00000000-0005-0000-0000-00007D340000}"/>
    <cellStyle name="Normal 21 6" xfId="13476" xr:uid="{00000000-0005-0000-0000-00007E340000}"/>
    <cellStyle name="Normal 21 6 2" xfId="13477" xr:uid="{00000000-0005-0000-0000-00007F340000}"/>
    <cellStyle name="Normal 21 6 2 2" xfId="13478" xr:uid="{00000000-0005-0000-0000-000080340000}"/>
    <cellStyle name="Normal 21 6 2 3" xfId="13479" xr:uid="{00000000-0005-0000-0000-000081340000}"/>
    <cellStyle name="Normal 21 6 3" xfId="13480" xr:uid="{00000000-0005-0000-0000-000082340000}"/>
    <cellStyle name="Normal 21 7" xfId="13481" xr:uid="{00000000-0005-0000-0000-000083340000}"/>
    <cellStyle name="Normal 21 7 2" xfId="13482" xr:uid="{00000000-0005-0000-0000-000084340000}"/>
    <cellStyle name="Normal 21 8" xfId="13483" xr:uid="{00000000-0005-0000-0000-000085340000}"/>
    <cellStyle name="Normal 21 9" xfId="13484" xr:uid="{00000000-0005-0000-0000-000086340000}"/>
    <cellStyle name="Normal 21_CHC Asifabad Estimate" xfId="13485" xr:uid="{00000000-0005-0000-0000-000087340000}"/>
    <cellStyle name="Normal 22" xfId="13486" xr:uid="{00000000-0005-0000-0000-000088340000}"/>
    <cellStyle name="Normal 22 10" xfId="13487" xr:uid="{00000000-0005-0000-0000-000089340000}"/>
    <cellStyle name="Normal 22 2" xfId="13488" xr:uid="{00000000-0005-0000-0000-00008A340000}"/>
    <cellStyle name="Normal 22 2 2" xfId="13489" xr:uid="{00000000-0005-0000-0000-00008B340000}"/>
    <cellStyle name="Normal 22 2 3" xfId="13490" xr:uid="{00000000-0005-0000-0000-00008C340000}"/>
    <cellStyle name="Normal 22 2 4" xfId="13491" xr:uid="{00000000-0005-0000-0000-00008D340000}"/>
    <cellStyle name="Normal 22 2 5" xfId="13492" xr:uid="{00000000-0005-0000-0000-00008E340000}"/>
    <cellStyle name="Normal 22 3" xfId="13493" xr:uid="{00000000-0005-0000-0000-00008F340000}"/>
    <cellStyle name="Normal 22 3 2" xfId="13494" xr:uid="{00000000-0005-0000-0000-000090340000}"/>
    <cellStyle name="Normal 22 3 3" xfId="13495" xr:uid="{00000000-0005-0000-0000-000091340000}"/>
    <cellStyle name="Normal 22 3 4" xfId="13496" xr:uid="{00000000-0005-0000-0000-000092340000}"/>
    <cellStyle name="Normal 22 3 5" xfId="13497" xr:uid="{00000000-0005-0000-0000-000093340000}"/>
    <cellStyle name="Normal 22 4" xfId="13498" xr:uid="{00000000-0005-0000-0000-000094340000}"/>
    <cellStyle name="Normal 22 4 2" xfId="13499" xr:uid="{00000000-0005-0000-0000-000095340000}"/>
    <cellStyle name="Normal 22 4 3" xfId="13500" xr:uid="{00000000-0005-0000-0000-000096340000}"/>
    <cellStyle name="Normal 22 4 4" xfId="13501" xr:uid="{00000000-0005-0000-0000-000097340000}"/>
    <cellStyle name="Normal 22 4 5" xfId="13502" xr:uid="{00000000-0005-0000-0000-000098340000}"/>
    <cellStyle name="Normal 22 5" xfId="13503" xr:uid="{00000000-0005-0000-0000-000099340000}"/>
    <cellStyle name="Normal 22 5 2" xfId="13504" xr:uid="{00000000-0005-0000-0000-00009A340000}"/>
    <cellStyle name="Normal 22 5 3" xfId="13505" xr:uid="{00000000-0005-0000-0000-00009B340000}"/>
    <cellStyle name="Normal 22 5 4" xfId="13506" xr:uid="{00000000-0005-0000-0000-00009C340000}"/>
    <cellStyle name="Normal 22 5 5" xfId="13507" xr:uid="{00000000-0005-0000-0000-00009D340000}"/>
    <cellStyle name="Normal 22 6" xfId="13508" xr:uid="{00000000-0005-0000-0000-00009E340000}"/>
    <cellStyle name="Normal 22 6 2" xfId="13509" xr:uid="{00000000-0005-0000-0000-00009F340000}"/>
    <cellStyle name="Normal 22 6 3" xfId="13510" xr:uid="{00000000-0005-0000-0000-0000A0340000}"/>
    <cellStyle name="Normal 22 7" xfId="13511" xr:uid="{00000000-0005-0000-0000-0000A1340000}"/>
    <cellStyle name="Normal 22 8" xfId="13512" xr:uid="{00000000-0005-0000-0000-0000A2340000}"/>
    <cellStyle name="Normal 22 9" xfId="13513" xr:uid="{00000000-0005-0000-0000-0000A3340000}"/>
    <cellStyle name="Normal 22_Sheet2" xfId="13514" xr:uid="{00000000-0005-0000-0000-0000A4340000}"/>
    <cellStyle name="Normal 23" xfId="13515" xr:uid="{00000000-0005-0000-0000-0000A5340000}"/>
    <cellStyle name="Normal 23 10" xfId="13516" xr:uid="{00000000-0005-0000-0000-0000A6340000}"/>
    <cellStyle name="Normal 23 10 2" xfId="13517" xr:uid="{00000000-0005-0000-0000-0000A7340000}"/>
    <cellStyle name="Normal 23 11" xfId="13518" xr:uid="{00000000-0005-0000-0000-0000A8340000}"/>
    <cellStyle name="Normal 23 12" xfId="13519" xr:uid="{00000000-0005-0000-0000-0000A9340000}"/>
    <cellStyle name="Normal 23 2" xfId="13520" xr:uid="{00000000-0005-0000-0000-0000AA340000}"/>
    <cellStyle name="Normal 23 2 2" xfId="13521" xr:uid="{00000000-0005-0000-0000-0000AB340000}"/>
    <cellStyle name="Normal 23 2 2 2" xfId="13522" xr:uid="{00000000-0005-0000-0000-0000AC340000}"/>
    <cellStyle name="Normal 23 2 3" xfId="13523" xr:uid="{00000000-0005-0000-0000-0000AD340000}"/>
    <cellStyle name="Normal 23 2 4" xfId="13524" xr:uid="{00000000-0005-0000-0000-0000AE340000}"/>
    <cellStyle name="Normal 23 2 5" xfId="13525" xr:uid="{00000000-0005-0000-0000-0000AF340000}"/>
    <cellStyle name="Normal 23 3" xfId="13526" xr:uid="{00000000-0005-0000-0000-0000B0340000}"/>
    <cellStyle name="Normal 23 3 2" xfId="13527" xr:uid="{00000000-0005-0000-0000-0000B1340000}"/>
    <cellStyle name="Normal 23 3 2 2" xfId="13528" xr:uid="{00000000-0005-0000-0000-0000B2340000}"/>
    <cellStyle name="Normal 23 3 2 2 2" xfId="13529" xr:uid="{00000000-0005-0000-0000-0000B3340000}"/>
    <cellStyle name="Normal 23 3 2 2 2 2" xfId="13530" xr:uid="{00000000-0005-0000-0000-0000B4340000}"/>
    <cellStyle name="Normal 23 3 2 2 3" xfId="13531" xr:uid="{00000000-0005-0000-0000-0000B5340000}"/>
    <cellStyle name="Normal 23 3 2 3" xfId="13532" xr:uid="{00000000-0005-0000-0000-0000B6340000}"/>
    <cellStyle name="Normal 23 3 2 3 2" xfId="13533" xr:uid="{00000000-0005-0000-0000-0000B7340000}"/>
    <cellStyle name="Normal 23 3 2 4" xfId="13534" xr:uid="{00000000-0005-0000-0000-0000B8340000}"/>
    <cellStyle name="Normal 23 3 2 4 2" xfId="13535" xr:uid="{00000000-0005-0000-0000-0000B9340000}"/>
    <cellStyle name="Normal 23 3 2 5" xfId="13536" xr:uid="{00000000-0005-0000-0000-0000BA340000}"/>
    <cellStyle name="Normal 23 3 3" xfId="13537" xr:uid="{00000000-0005-0000-0000-0000BB340000}"/>
    <cellStyle name="Normal 23 3 3 2" xfId="13538" xr:uid="{00000000-0005-0000-0000-0000BC340000}"/>
    <cellStyle name="Normal 23 3 3 2 2" xfId="13539" xr:uid="{00000000-0005-0000-0000-0000BD340000}"/>
    <cellStyle name="Normal 23 3 3 2 2 2" xfId="13540" xr:uid="{00000000-0005-0000-0000-0000BE340000}"/>
    <cellStyle name="Normal 23 3 3 2 3" xfId="13541" xr:uid="{00000000-0005-0000-0000-0000BF340000}"/>
    <cellStyle name="Normal 23 3 3 3" xfId="13542" xr:uid="{00000000-0005-0000-0000-0000C0340000}"/>
    <cellStyle name="Normal 23 3 3 3 2" xfId="13543" xr:uid="{00000000-0005-0000-0000-0000C1340000}"/>
    <cellStyle name="Normal 23 3 3 4" xfId="13544" xr:uid="{00000000-0005-0000-0000-0000C2340000}"/>
    <cellStyle name="Normal 23 3 3 4 2" xfId="13545" xr:uid="{00000000-0005-0000-0000-0000C3340000}"/>
    <cellStyle name="Normal 23 3 3 5" xfId="13546" xr:uid="{00000000-0005-0000-0000-0000C4340000}"/>
    <cellStyle name="Normal 23 3 4" xfId="13547" xr:uid="{00000000-0005-0000-0000-0000C5340000}"/>
    <cellStyle name="Normal 23 3 4 2" xfId="13548" xr:uid="{00000000-0005-0000-0000-0000C6340000}"/>
    <cellStyle name="Normal 23 3 4 2 2" xfId="13549" xr:uid="{00000000-0005-0000-0000-0000C7340000}"/>
    <cellStyle name="Normal 23 3 4 3" xfId="13550" xr:uid="{00000000-0005-0000-0000-0000C8340000}"/>
    <cellStyle name="Normal 23 3 5" xfId="13551" xr:uid="{00000000-0005-0000-0000-0000C9340000}"/>
    <cellStyle name="Normal 23 3 5 2" xfId="13552" xr:uid="{00000000-0005-0000-0000-0000CA340000}"/>
    <cellStyle name="Normal 23 3 6" xfId="13553" xr:uid="{00000000-0005-0000-0000-0000CB340000}"/>
    <cellStyle name="Normal 23 3 6 2" xfId="13554" xr:uid="{00000000-0005-0000-0000-0000CC340000}"/>
    <cellStyle name="Normal 23 3 7" xfId="13555" xr:uid="{00000000-0005-0000-0000-0000CD340000}"/>
    <cellStyle name="Normal 23 4" xfId="13556" xr:uid="{00000000-0005-0000-0000-0000CE340000}"/>
    <cellStyle name="Normal 23 4 2" xfId="13557" xr:uid="{00000000-0005-0000-0000-0000CF340000}"/>
    <cellStyle name="Normal 23 4 2 2" xfId="13558" xr:uid="{00000000-0005-0000-0000-0000D0340000}"/>
    <cellStyle name="Normal 23 4 2 2 2" xfId="13559" xr:uid="{00000000-0005-0000-0000-0000D1340000}"/>
    <cellStyle name="Normal 23 4 2 3" xfId="13560" xr:uid="{00000000-0005-0000-0000-0000D2340000}"/>
    <cellStyle name="Normal 23 4 3" xfId="13561" xr:uid="{00000000-0005-0000-0000-0000D3340000}"/>
    <cellStyle name="Normal 23 4 3 2" xfId="13562" xr:uid="{00000000-0005-0000-0000-0000D4340000}"/>
    <cellStyle name="Normal 23 4 4" xfId="13563" xr:uid="{00000000-0005-0000-0000-0000D5340000}"/>
    <cellStyle name="Normal 23 4 4 2" xfId="13564" xr:uid="{00000000-0005-0000-0000-0000D6340000}"/>
    <cellStyle name="Normal 23 4 5" xfId="13565" xr:uid="{00000000-0005-0000-0000-0000D7340000}"/>
    <cellStyle name="Normal 23 5" xfId="13566" xr:uid="{00000000-0005-0000-0000-0000D8340000}"/>
    <cellStyle name="Normal 23 5 2" xfId="13567" xr:uid="{00000000-0005-0000-0000-0000D9340000}"/>
    <cellStyle name="Normal 23 5 2 2" xfId="13568" xr:uid="{00000000-0005-0000-0000-0000DA340000}"/>
    <cellStyle name="Normal 23 5 2 2 2" xfId="13569" xr:uid="{00000000-0005-0000-0000-0000DB340000}"/>
    <cellStyle name="Normal 23 5 2 3" xfId="13570" xr:uid="{00000000-0005-0000-0000-0000DC340000}"/>
    <cellStyle name="Normal 23 5 3" xfId="13571" xr:uid="{00000000-0005-0000-0000-0000DD340000}"/>
    <cellStyle name="Normal 23 5 3 2" xfId="13572" xr:uid="{00000000-0005-0000-0000-0000DE340000}"/>
    <cellStyle name="Normal 23 5 4" xfId="13573" xr:uid="{00000000-0005-0000-0000-0000DF340000}"/>
    <cellStyle name="Normal 23 5 4 2" xfId="13574" xr:uid="{00000000-0005-0000-0000-0000E0340000}"/>
    <cellStyle name="Normal 23 5 5" xfId="13575" xr:uid="{00000000-0005-0000-0000-0000E1340000}"/>
    <cellStyle name="Normal 23 6" xfId="13576" xr:uid="{00000000-0005-0000-0000-0000E2340000}"/>
    <cellStyle name="Normal 23 6 2" xfId="13577" xr:uid="{00000000-0005-0000-0000-0000E3340000}"/>
    <cellStyle name="Normal 23 6 2 2" xfId="13578" xr:uid="{00000000-0005-0000-0000-0000E4340000}"/>
    <cellStyle name="Normal 23 6 2 2 2" xfId="13579" xr:uid="{00000000-0005-0000-0000-0000E5340000}"/>
    <cellStyle name="Normal 23 6 2 3" xfId="13580" xr:uid="{00000000-0005-0000-0000-0000E6340000}"/>
    <cellStyle name="Normal 23 6 3" xfId="13581" xr:uid="{00000000-0005-0000-0000-0000E7340000}"/>
    <cellStyle name="Normal 23 6 3 2" xfId="13582" xr:uid="{00000000-0005-0000-0000-0000E8340000}"/>
    <cellStyle name="Normal 23 6 4" xfId="13583" xr:uid="{00000000-0005-0000-0000-0000E9340000}"/>
    <cellStyle name="Normal 23 6 4 2" xfId="13584" xr:uid="{00000000-0005-0000-0000-0000EA340000}"/>
    <cellStyle name="Normal 23 6 5" xfId="13585" xr:uid="{00000000-0005-0000-0000-0000EB340000}"/>
    <cellStyle name="Normal 23 7" xfId="13586" xr:uid="{00000000-0005-0000-0000-0000EC340000}"/>
    <cellStyle name="Normal 23 7 2" xfId="13587" xr:uid="{00000000-0005-0000-0000-0000ED340000}"/>
    <cellStyle name="Normal 23 7 2 2" xfId="13588" xr:uid="{00000000-0005-0000-0000-0000EE340000}"/>
    <cellStyle name="Normal 23 7 2 2 2" xfId="13589" xr:uid="{00000000-0005-0000-0000-0000EF340000}"/>
    <cellStyle name="Normal 23 7 2 3" xfId="13590" xr:uid="{00000000-0005-0000-0000-0000F0340000}"/>
    <cellStyle name="Normal 23 7 3" xfId="13591" xr:uid="{00000000-0005-0000-0000-0000F1340000}"/>
    <cellStyle name="Normal 23 7 3 2" xfId="13592" xr:uid="{00000000-0005-0000-0000-0000F2340000}"/>
    <cellStyle name="Normal 23 7 4" xfId="13593" xr:uid="{00000000-0005-0000-0000-0000F3340000}"/>
    <cellStyle name="Normal 23 7 4 2" xfId="13594" xr:uid="{00000000-0005-0000-0000-0000F4340000}"/>
    <cellStyle name="Normal 23 7 5" xfId="13595" xr:uid="{00000000-0005-0000-0000-0000F5340000}"/>
    <cellStyle name="Normal 23 8" xfId="13596" xr:uid="{00000000-0005-0000-0000-0000F6340000}"/>
    <cellStyle name="Normal 23 8 2" xfId="13597" xr:uid="{00000000-0005-0000-0000-0000F7340000}"/>
    <cellStyle name="Normal 23 8 2 2" xfId="13598" xr:uid="{00000000-0005-0000-0000-0000F8340000}"/>
    <cellStyle name="Normal 23 8 3" xfId="13599" xr:uid="{00000000-0005-0000-0000-0000F9340000}"/>
    <cellStyle name="Normal 23 9" xfId="13600" xr:uid="{00000000-0005-0000-0000-0000FA340000}"/>
    <cellStyle name="Normal 23 9 2" xfId="13601" xr:uid="{00000000-0005-0000-0000-0000FB340000}"/>
    <cellStyle name="Normal 23_Sheet2" xfId="13602" xr:uid="{00000000-0005-0000-0000-0000FC340000}"/>
    <cellStyle name="Normal 24" xfId="95" xr:uid="{00000000-0005-0000-0000-0000FD340000}"/>
    <cellStyle name="Normal 24 2" xfId="98" xr:uid="{00000000-0005-0000-0000-0000FE340000}"/>
    <cellStyle name="Normal 24 2 2" xfId="13603" xr:uid="{00000000-0005-0000-0000-0000FF340000}"/>
    <cellStyle name="Normal 24 2 2 2" xfId="13604" xr:uid="{00000000-0005-0000-0000-000000350000}"/>
    <cellStyle name="Normal 24 2 2 3" xfId="13605" xr:uid="{00000000-0005-0000-0000-000001350000}"/>
    <cellStyle name="Normal 24 2 3" xfId="13606" xr:uid="{00000000-0005-0000-0000-000002350000}"/>
    <cellStyle name="Normal 24 2 3 2" xfId="13607" xr:uid="{00000000-0005-0000-0000-000003350000}"/>
    <cellStyle name="Normal 24 2 3 3" xfId="13608" xr:uid="{00000000-0005-0000-0000-000004350000}"/>
    <cellStyle name="Normal 24 2 3 3 2" xfId="13609" xr:uid="{00000000-0005-0000-0000-000005350000}"/>
    <cellStyle name="Normal 24 2 3 4" xfId="13610" xr:uid="{00000000-0005-0000-0000-000006350000}"/>
    <cellStyle name="Normal 24 2 4" xfId="13611" xr:uid="{00000000-0005-0000-0000-000007350000}"/>
    <cellStyle name="Normal 24 2 5" xfId="13612" xr:uid="{00000000-0005-0000-0000-000008350000}"/>
    <cellStyle name="Normal 24 2 6" xfId="13613" xr:uid="{00000000-0005-0000-0000-000009350000}"/>
    <cellStyle name="Normal 24 2 7" xfId="13614" xr:uid="{00000000-0005-0000-0000-00000A350000}"/>
    <cellStyle name="Normal 24 2 8" xfId="13615" xr:uid="{00000000-0005-0000-0000-00000B350000}"/>
    <cellStyle name="Normal 24 2 9" xfId="13616" xr:uid="{00000000-0005-0000-0000-00000C350000}"/>
    <cellStyle name="Normal 24 3" xfId="13617" xr:uid="{00000000-0005-0000-0000-00000D350000}"/>
    <cellStyle name="Normal 24 3 2" xfId="13618" xr:uid="{00000000-0005-0000-0000-00000E350000}"/>
    <cellStyle name="Normal 24 3 3" xfId="13619" xr:uid="{00000000-0005-0000-0000-00000F350000}"/>
    <cellStyle name="Normal 24 3 3 2" xfId="13620" xr:uid="{00000000-0005-0000-0000-000010350000}"/>
    <cellStyle name="Normal 24 3 3 2 2" xfId="13621" xr:uid="{00000000-0005-0000-0000-000011350000}"/>
    <cellStyle name="Normal 24 3 4" xfId="13622" xr:uid="{00000000-0005-0000-0000-000012350000}"/>
    <cellStyle name="Normal 24 3 5" xfId="13623" xr:uid="{00000000-0005-0000-0000-000013350000}"/>
    <cellStyle name="Normal 24 4" xfId="13624" xr:uid="{00000000-0005-0000-0000-000014350000}"/>
    <cellStyle name="Normal 24 5" xfId="13625" xr:uid="{00000000-0005-0000-0000-000015350000}"/>
    <cellStyle name="Normal 24 5 2" xfId="13626" xr:uid="{00000000-0005-0000-0000-000016350000}"/>
    <cellStyle name="Normal 24 6" xfId="13627" xr:uid="{00000000-0005-0000-0000-000017350000}"/>
    <cellStyle name="Normal 24 7" xfId="13628" xr:uid="{00000000-0005-0000-0000-000018350000}"/>
    <cellStyle name="Normal 24 8" xfId="97" xr:uid="{00000000-0005-0000-0000-000019350000}"/>
    <cellStyle name="Normal 24 9" xfId="13629" xr:uid="{00000000-0005-0000-0000-00001A350000}"/>
    <cellStyle name="Normal 24_Sheet2" xfId="13630" xr:uid="{00000000-0005-0000-0000-00001B350000}"/>
    <cellStyle name="Normal 25" xfId="13631" xr:uid="{00000000-0005-0000-0000-00001C350000}"/>
    <cellStyle name="Normal 25 10" xfId="13632" xr:uid="{00000000-0005-0000-0000-00001D350000}"/>
    <cellStyle name="Normal 25 11" xfId="13633" xr:uid="{00000000-0005-0000-0000-00001E350000}"/>
    <cellStyle name="Normal 25 12" xfId="13634" xr:uid="{00000000-0005-0000-0000-00001F350000}"/>
    <cellStyle name="Normal 25 13" xfId="13635" xr:uid="{00000000-0005-0000-0000-000020350000}"/>
    <cellStyle name="Normal 25 14" xfId="13636" xr:uid="{00000000-0005-0000-0000-000021350000}"/>
    <cellStyle name="Normal 25 15" xfId="13637" xr:uid="{00000000-0005-0000-0000-000022350000}"/>
    <cellStyle name="Normal 25 16" xfId="13638" xr:uid="{00000000-0005-0000-0000-000023350000}"/>
    <cellStyle name="Normal 25 2" xfId="13639" xr:uid="{00000000-0005-0000-0000-000024350000}"/>
    <cellStyle name="Normal 25 2 10" xfId="13640" xr:uid="{00000000-0005-0000-0000-000025350000}"/>
    <cellStyle name="Normal 25 2 11" xfId="13641" xr:uid="{00000000-0005-0000-0000-000026350000}"/>
    <cellStyle name="Normal 25 2 2" xfId="13642" xr:uid="{00000000-0005-0000-0000-000027350000}"/>
    <cellStyle name="Normal 25 2 2 2" xfId="13643" xr:uid="{00000000-0005-0000-0000-000028350000}"/>
    <cellStyle name="Normal 25 2 2 2 2" xfId="13644" xr:uid="{00000000-0005-0000-0000-000029350000}"/>
    <cellStyle name="Normal 25 2 2 2 3" xfId="13645" xr:uid="{00000000-0005-0000-0000-00002A350000}"/>
    <cellStyle name="Normal 25 2 2 3" xfId="13646" xr:uid="{00000000-0005-0000-0000-00002B350000}"/>
    <cellStyle name="Normal 25 2 2 4" xfId="13647" xr:uid="{00000000-0005-0000-0000-00002C350000}"/>
    <cellStyle name="Normal 25 2 3" xfId="13648" xr:uid="{00000000-0005-0000-0000-00002D350000}"/>
    <cellStyle name="Normal 25 2 3 2" xfId="13649" xr:uid="{00000000-0005-0000-0000-00002E350000}"/>
    <cellStyle name="Normal 25 2 3 3" xfId="13650" xr:uid="{00000000-0005-0000-0000-00002F350000}"/>
    <cellStyle name="Normal 25 2 4" xfId="13651" xr:uid="{00000000-0005-0000-0000-000030350000}"/>
    <cellStyle name="Normal 25 2 5" xfId="13652" xr:uid="{00000000-0005-0000-0000-000031350000}"/>
    <cellStyle name="Normal 25 2 6" xfId="13653" xr:uid="{00000000-0005-0000-0000-000032350000}"/>
    <cellStyle name="Normal 25 2 7" xfId="13654" xr:uid="{00000000-0005-0000-0000-000033350000}"/>
    <cellStyle name="Normal 25 2 8" xfId="13655" xr:uid="{00000000-0005-0000-0000-000034350000}"/>
    <cellStyle name="Normal 25 2 9" xfId="13656" xr:uid="{00000000-0005-0000-0000-000035350000}"/>
    <cellStyle name="Normal 25 3" xfId="13657" xr:uid="{00000000-0005-0000-0000-000036350000}"/>
    <cellStyle name="Normal 25 3 10" xfId="13658" xr:uid="{00000000-0005-0000-0000-000037350000}"/>
    <cellStyle name="Normal 25 3 2" xfId="13659" xr:uid="{00000000-0005-0000-0000-000038350000}"/>
    <cellStyle name="Normal 25 3 2 2" xfId="13660" xr:uid="{00000000-0005-0000-0000-000039350000}"/>
    <cellStyle name="Normal 25 3 2 3" xfId="13661" xr:uid="{00000000-0005-0000-0000-00003A350000}"/>
    <cellStyle name="Normal 25 3 2 4" xfId="13662" xr:uid="{00000000-0005-0000-0000-00003B350000}"/>
    <cellStyle name="Normal 25 3 3" xfId="13663" xr:uid="{00000000-0005-0000-0000-00003C350000}"/>
    <cellStyle name="Normal 25 3 4" xfId="13664" xr:uid="{00000000-0005-0000-0000-00003D350000}"/>
    <cellStyle name="Normal 25 3 5" xfId="13665" xr:uid="{00000000-0005-0000-0000-00003E350000}"/>
    <cellStyle name="Normal 25 3 6" xfId="13666" xr:uid="{00000000-0005-0000-0000-00003F350000}"/>
    <cellStyle name="Normal 25 3 7" xfId="13667" xr:uid="{00000000-0005-0000-0000-000040350000}"/>
    <cellStyle name="Normal 25 3 8" xfId="13668" xr:uid="{00000000-0005-0000-0000-000041350000}"/>
    <cellStyle name="Normal 25 3 9" xfId="13669" xr:uid="{00000000-0005-0000-0000-000042350000}"/>
    <cellStyle name="Normal 25 4" xfId="13670" xr:uid="{00000000-0005-0000-0000-000043350000}"/>
    <cellStyle name="Normal 25 4 10" xfId="13671" xr:uid="{00000000-0005-0000-0000-000044350000}"/>
    <cellStyle name="Normal 25 4 11" xfId="13672" xr:uid="{00000000-0005-0000-0000-000045350000}"/>
    <cellStyle name="Normal 25 4 2" xfId="13673" xr:uid="{00000000-0005-0000-0000-000046350000}"/>
    <cellStyle name="Normal 25 4 3" xfId="13674" xr:uid="{00000000-0005-0000-0000-000047350000}"/>
    <cellStyle name="Normal 25 4 4" xfId="13675" xr:uid="{00000000-0005-0000-0000-000048350000}"/>
    <cellStyle name="Normal 25 4 5" xfId="13676" xr:uid="{00000000-0005-0000-0000-000049350000}"/>
    <cellStyle name="Normal 25 4 6" xfId="13677" xr:uid="{00000000-0005-0000-0000-00004A350000}"/>
    <cellStyle name="Normal 25 4 7" xfId="13678" xr:uid="{00000000-0005-0000-0000-00004B350000}"/>
    <cellStyle name="Normal 25 4 8" xfId="13679" xr:uid="{00000000-0005-0000-0000-00004C350000}"/>
    <cellStyle name="Normal 25 4 9" xfId="13680" xr:uid="{00000000-0005-0000-0000-00004D350000}"/>
    <cellStyle name="Normal 25 5" xfId="13681" xr:uid="{00000000-0005-0000-0000-00004E350000}"/>
    <cellStyle name="Normal 25 5 2" xfId="13682" xr:uid="{00000000-0005-0000-0000-00004F350000}"/>
    <cellStyle name="Normal 25 6" xfId="13683" xr:uid="{00000000-0005-0000-0000-000050350000}"/>
    <cellStyle name="Normal 25 7" xfId="13684" xr:uid="{00000000-0005-0000-0000-000051350000}"/>
    <cellStyle name="Normal 25 8" xfId="13685" xr:uid="{00000000-0005-0000-0000-000052350000}"/>
    <cellStyle name="Normal 25 9" xfId="13686" xr:uid="{00000000-0005-0000-0000-000053350000}"/>
    <cellStyle name="Normal 25_AH Bhainsa Estimate" xfId="13687" xr:uid="{00000000-0005-0000-0000-000054350000}"/>
    <cellStyle name="Normal 26" xfId="13688" xr:uid="{00000000-0005-0000-0000-000055350000}"/>
    <cellStyle name="Normal 26 10" xfId="13689" xr:uid="{00000000-0005-0000-0000-000056350000}"/>
    <cellStyle name="Normal 26 11" xfId="13690" xr:uid="{00000000-0005-0000-0000-000057350000}"/>
    <cellStyle name="Normal 26 12" xfId="13691" xr:uid="{00000000-0005-0000-0000-000058350000}"/>
    <cellStyle name="Normal 26 13" xfId="13692" xr:uid="{00000000-0005-0000-0000-000059350000}"/>
    <cellStyle name="Normal 26 14" xfId="13693" xr:uid="{00000000-0005-0000-0000-00005A350000}"/>
    <cellStyle name="Normal 26 15" xfId="13694" xr:uid="{00000000-0005-0000-0000-00005B350000}"/>
    <cellStyle name="Normal 26 2" xfId="13695" xr:uid="{00000000-0005-0000-0000-00005C350000}"/>
    <cellStyle name="Normal 26 2 10" xfId="13696" xr:uid="{00000000-0005-0000-0000-00005D350000}"/>
    <cellStyle name="Normal 26 2 11" xfId="13697" xr:uid="{00000000-0005-0000-0000-00005E350000}"/>
    <cellStyle name="Normal 26 2 2" xfId="13698" xr:uid="{00000000-0005-0000-0000-00005F350000}"/>
    <cellStyle name="Normal 26 2 2 10" xfId="13699" xr:uid="{00000000-0005-0000-0000-000060350000}"/>
    <cellStyle name="Normal 26 2 2 11" xfId="13700" xr:uid="{00000000-0005-0000-0000-000061350000}"/>
    <cellStyle name="Normal 26 2 2 2" xfId="13701" xr:uid="{00000000-0005-0000-0000-000062350000}"/>
    <cellStyle name="Normal 26 2 2 2 2" xfId="13702" xr:uid="{00000000-0005-0000-0000-000063350000}"/>
    <cellStyle name="Normal 26 2 2 2 3" xfId="13703" xr:uid="{00000000-0005-0000-0000-000064350000}"/>
    <cellStyle name="Normal 26 2 2 3" xfId="13704" xr:uid="{00000000-0005-0000-0000-000065350000}"/>
    <cellStyle name="Normal 26 2 2 4" xfId="13705" xr:uid="{00000000-0005-0000-0000-000066350000}"/>
    <cellStyle name="Normal 26 2 2 5" xfId="13706" xr:uid="{00000000-0005-0000-0000-000067350000}"/>
    <cellStyle name="Normal 26 2 2 6" xfId="13707" xr:uid="{00000000-0005-0000-0000-000068350000}"/>
    <cellStyle name="Normal 26 2 2 7" xfId="13708" xr:uid="{00000000-0005-0000-0000-000069350000}"/>
    <cellStyle name="Normal 26 2 2 8" xfId="13709" xr:uid="{00000000-0005-0000-0000-00006A350000}"/>
    <cellStyle name="Normal 26 2 2 9" xfId="13710" xr:uid="{00000000-0005-0000-0000-00006B350000}"/>
    <cellStyle name="Normal 26 2 3" xfId="13711" xr:uid="{00000000-0005-0000-0000-00006C350000}"/>
    <cellStyle name="Normal 26 2 3 2" xfId="13712" xr:uid="{00000000-0005-0000-0000-00006D350000}"/>
    <cellStyle name="Normal 26 2 3 3" xfId="13713" xr:uid="{00000000-0005-0000-0000-00006E350000}"/>
    <cellStyle name="Normal 26 2 3_Sheet2" xfId="13714" xr:uid="{00000000-0005-0000-0000-00006F350000}"/>
    <cellStyle name="Normal 26 2 4" xfId="13715" xr:uid="{00000000-0005-0000-0000-000070350000}"/>
    <cellStyle name="Normal 26 2 4 2" xfId="13716" xr:uid="{00000000-0005-0000-0000-000071350000}"/>
    <cellStyle name="Normal 26 2 5" xfId="13717" xr:uid="{00000000-0005-0000-0000-000072350000}"/>
    <cellStyle name="Normal 26 2 5 2" xfId="13718" xr:uid="{00000000-0005-0000-0000-000073350000}"/>
    <cellStyle name="Normal 26 2 6" xfId="13719" xr:uid="{00000000-0005-0000-0000-000074350000}"/>
    <cellStyle name="Normal 26 2 7" xfId="13720" xr:uid="{00000000-0005-0000-0000-000075350000}"/>
    <cellStyle name="Normal 26 2 8" xfId="13721" xr:uid="{00000000-0005-0000-0000-000076350000}"/>
    <cellStyle name="Normal 26 2 9" xfId="13722" xr:uid="{00000000-0005-0000-0000-000077350000}"/>
    <cellStyle name="Normal 26 2_Sheet2" xfId="13723" xr:uid="{00000000-0005-0000-0000-000078350000}"/>
    <cellStyle name="Normal 26 3" xfId="13724" xr:uid="{00000000-0005-0000-0000-000079350000}"/>
    <cellStyle name="Normal 26 3 10" xfId="13725" xr:uid="{00000000-0005-0000-0000-00007A350000}"/>
    <cellStyle name="Normal 26 3 2" xfId="13726" xr:uid="{00000000-0005-0000-0000-00007B350000}"/>
    <cellStyle name="Normal 26 3 2 2" xfId="13727" xr:uid="{00000000-0005-0000-0000-00007C350000}"/>
    <cellStyle name="Normal 26 3 2 3" xfId="13728" xr:uid="{00000000-0005-0000-0000-00007D350000}"/>
    <cellStyle name="Normal 26 3 2 4" xfId="13729" xr:uid="{00000000-0005-0000-0000-00007E350000}"/>
    <cellStyle name="Normal 26 3 3" xfId="13730" xr:uid="{00000000-0005-0000-0000-00007F350000}"/>
    <cellStyle name="Normal 26 3 4" xfId="13731" xr:uid="{00000000-0005-0000-0000-000080350000}"/>
    <cellStyle name="Normal 26 3 5" xfId="13732" xr:uid="{00000000-0005-0000-0000-000081350000}"/>
    <cellStyle name="Normal 26 3 6" xfId="13733" xr:uid="{00000000-0005-0000-0000-000082350000}"/>
    <cellStyle name="Normal 26 3 7" xfId="13734" xr:uid="{00000000-0005-0000-0000-000083350000}"/>
    <cellStyle name="Normal 26 3 8" xfId="13735" xr:uid="{00000000-0005-0000-0000-000084350000}"/>
    <cellStyle name="Normal 26 3 9" xfId="13736" xr:uid="{00000000-0005-0000-0000-000085350000}"/>
    <cellStyle name="Normal 26 3_Sheet2" xfId="13737" xr:uid="{00000000-0005-0000-0000-000086350000}"/>
    <cellStyle name="Normal 26 4" xfId="13738" xr:uid="{00000000-0005-0000-0000-000087350000}"/>
    <cellStyle name="Normal 26 5" xfId="13739" xr:uid="{00000000-0005-0000-0000-000088350000}"/>
    <cellStyle name="Normal 26 5 2" xfId="13740" xr:uid="{00000000-0005-0000-0000-000089350000}"/>
    <cellStyle name="Normal 26 6" xfId="13741" xr:uid="{00000000-0005-0000-0000-00008A350000}"/>
    <cellStyle name="Normal 26 7" xfId="13742" xr:uid="{00000000-0005-0000-0000-00008B350000}"/>
    <cellStyle name="Normal 26 8" xfId="13743" xr:uid="{00000000-0005-0000-0000-00008C350000}"/>
    <cellStyle name="Normal 26 9" xfId="13744" xr:uid="{00000000-0005-0000-0000-00008D350000}"/>
    <cellStyle name="Normal 26_AH Bhainsa Estimate" xfId="13745" xr:uid="{00000000-0005-0000-0000-00008E350000}"/>
    <cellStyle name="Normal 27" xfId="13746" xr:uid="{00000000-0005-0000-0000-00008F350000}"/>
    <cellStyle name="Normal 27 10" xfId="13747" xr:uid="{00000000-0005-0000-0000-000090350000}"/>
    <cellStyle name="Normal 27 11" xfId="13748" xr:uid="{00000000-0005-0000-0000-000091350000}"/>
    <cellStyle name="Normal 27 12" xfId="13749" xr:uid="{00000000-0005-0000-0000-000092350000}"/>
    <cellStyle name="Normal 27 13" xfId="13750" xr:uid="{00000000-0005-0000-0000-000093350000}"/>
    <cellStyle name="Normal 27 14" xfId="13751" xr:uid="{00000000-0005-0000-0000-000094350000}"/>
    <cellStyle name="Normal 27 2" xfId="13752" xr:uid="{00000000-0005-0000-0000-000095350000}"/>
    <cellStyle name="Normal 27 2 10" xfId="13753" xr:uid="{00000000-0005-0000-0000-000096350000}"/>
    <cellStyle name="Normal 27 2 11" xfId="13754" xr:uid="{00000000-0005-0000-0000-000097350000}"/>
    <cellStyle name="Normal 27 2 2" xfId="13755" xr:uid="{00000000-0005-0000-0000-000098350000}"/>
    <cellStyle name="Normal 27 2 2 2" xfId="13756" xr:uid="{00000000-0005-0000-0000-000099350000}"/>
    <cellStyle name="Normal 27 2 2 2 2" xfId="13757" xr:uid="{00000000-0005-0000-0000-00009A350000}"/>
    <cellStyle name="Normal 27 2 2 2 3" xfId="13758" xr:uid="{00000000-0005-0000-0000-00009B350000}"/>
    <cellStyle name="Normal 27 2 2 3" xfId="13759" xr:uid="{00000000-0005-0000-0000-00009C350000}"/>
    <cellStyle name="Normal 27 2 2 4" xfId="13760" xr:uid="{00000000-0005-0000-0000-00009D350000}"/>
    <cellStyle name="Normal 27 2 3" xfId="13761" xr:uid="{00000000-0005-0000-0000-00009E350000}"/>
    <cellStyle name="Normal 27 2 4" xfId="13762" xr:uid="{00000000-0005-0000-0000-00009F350000}"/>
    <cellStyle name="Normal 27 2 5" xfId="13763" xr:uid="{00000000-0005-0000-0000-0000A0350000}"/>
    <cellStyle name="Normal 27 2 6" xfId="13764" xr:uid="{00000000-0005-0000-0000-0000A1350000}"/>
    <cellStyle name="Normal 27 2 7" xfId="13765" xr:uid="{00000000-0005-0000-0000-0000A2350000}"/>
    <cellStyle name="Normal 27 2 8" xfId="13766" xr:uid="{00000000-0005-0000-0000-0000A3350000}"/>
    <cellStyle name="Normal 27 2 9" xfId="13767" xr:uid="{00000000-0005-0000-0000-0000A4350000}"/>
    <cellStyle name="Normal 27 2_Sheet2" xfId="13768" xr:uid="{00000000-0005-0000-0000-0000A5350000}"/>
    <cellStyle name="Normal 27 3" xfId="13769" xr:uid="{00000000-0005-0000-0000-0000A6350000}"/>
    <cellStyle name="Normal 27 3 10" xfId="13770" xr:uid="{00000000-0005-0000-0000-0000A7350000}"/>
    <cellStyle name="Normal 27 3 2" xfId="13771" xr:uid="{00000000-0005-0000-0000-0000A8350000}"/>
    <cellStyle name="Normal 27 3 2 2" xfId="13772" xr:uid="{00000000-0005-0000-0000-0000A9350000}"/>
    <cellStyle name="Normal 27 3 2 3" xfId="13773" xr:uid="{00000000-0005-0000-0000-0000AA350000}"/>
    <cellStyle name="Normal 27 3 2 4" xfId="13774" xr:uid="{00000000-0005-0000-0000-0000AB350000}"/>
    <cellStyle name="Normal 27 3 3" xfId="13775" xr:uid="{00000000-0005-0000-0000-0000AC350000}"/>
    <cellStyle name="Normal 27 3 4" xfId="13776" xr:uid="{00000000-0005-0000-0000-0000AD350000}"/>
    <cellStyle name="Normal 27 3 5" xfId="13777" xr:uid="{00000000-0005-0000-0000-0000AE350000}"/>
    <cellStyle name="Normal 27 3 6" xfId="13778" xr:uid="{00000000-0005-0000-0000-0000AF350000}"/>
    <cellStyle name="Normal 27 3 7" xfId="13779" xr:uid="{00000000-0005-0000-0000-0000B0350000}"/>
    <cellStyle name="Normal 27 3 8" xfId="13780" xr:uid="{00000000-0005-0000-0000-0000B1350000}"/>
    <cellStyle name="Normal 27 3 9" xfId="13781" xr:uid="{00000000-0005-0000-0000-0000B2350000}"/>
    <cellStyle name="Normal 27 4" xfId="13782" xr:uid="{00000000-0005-0000-0000-0000B3350000}"/>
    <cellStyle name="Normal 27 4 2" xfId="13783" xr:uid="{00000000-0005-0000-0000-0000B4350000}"/>
    <cellStyle name="Normal 27 5" xfId="13784" xr:uid="{00000000-0005-0000-0000-0000B5350000}"/>
    <cellStyle name="Normal 27 5 2" xfId="13785" xr:uid="{00000000-0005-0000-0000-0000B6350000}"/>
    <cellStyle name="Normal 27 6" xfId="13786" xr:uid="{00000000-0005-0000-0000-0000B7350000}"/>
    <cellStyle name="Normal 27 7" xfId="13787" xr:uid="{00000000-0005-0000-0000-0000B8350000}"/>
    <cellStyle name="Normal 27 8" xfId="13788" xr:uid="{00000000-0005-0000-0000-0000B9350000}"/>
    <cellStyle name="Normal 27 9" xfId="13789" xr:uid="{00000000-0005-0000-0000-0000BA350000}"/>
    <cellStyle name="Normal 27_AH Bhainsa Estimate" xfId="13790" xr:uid="{00000000-0005-0000-0000-0000BB350000}"/>
    <cellStyle name="Normal 28" xfId="13791" xr:uid="{00000000-0005-0000-0000-0000BC350000}"/>
    <cellStyle name="Normal 28 10" xfId="13792" xr:uid="{00000000-0005-0000-0000-0000BD350000}"/>
    <cellStyle name="Normal 28 11" xfId="13793" xr:uid="{00000000-0005-0000-0000-0000BE350000}"/>
    <cellStyle name="Normal 28 12" xfId="13794" xr:uid="{00000000-0005-0000-0000-0000BF350000}"/>
    <cellStyle name="Normal 28 2" xfId="13795" xr:uid="{00000000-0005-0000-0000-0000C0350000}"/>
    <cellStyle name="Normal 28 2 2" xfId="13796" xr:uid="{00000000-0005-0000-0000-0000C1350000}"/>
    <cellStyle name="Normal 28 2 2 2" xfId="13797" xr:uid="{00000000-0005-0000-0000-0000C2350000}"/>
    <cellStyle name="Normal 28 2 2 2 2" xfId="13798" xr:uid="{00000000-0005-0000-0000-0000C3350000}"/>
    <cellStyle name="Normal 28 2 2 2 2 2" xfId="13799" xr:uid="{00000000-0005-0000-0000-0000C4350000}"/>
    <cellStyle name="Normal 28 2 2 2 3" xfId="13800" xr:uid="{00000000-0005-0000-0000-0000C5350000}"/>
    <cellStyle name="Normal 28 2 2 2 4" xfId="13801" xr:uid="{00000000-0005-0000-0000-0000C6350000}"/>
    <cellStyle name="Normal 28 2 2 2 5" xfId="13802" xr:uid="{00000000-0005-0000-0000-0000C7350000}"/>
    <cellStyle name="Normal 28 2 2 2 6" xfId="13803" xr:uid="{00000000-0005-0000-0000-0000C8350000}"/>
    <cellStyle name="Normal 28 2 2 2 7" xfId="13804" xr:uid="{00000000-0005-0000-0000-0000C9350000}"/>
    <cellStyle name="Normal 28 2 2 2 8" xfId="13805" xr:uid="{00000000-0005-0000-0000-0000CA350000}"/>
    <cellStyle name="Normal 28 2 2 2 9" xfId="13806" xr:uid="{00000000-0005-0000-0000-0000CB350000}"/>
    <cellStyle name="Normal 28 2 2 3" xfId="13807" xr:uid="{00000000-0005-0000-0000-0000CC350000}"/>
    <cellStyle name="Normal 28 2 2 3 2" xfId="13808" xr:uid="{00000000-0005-0000-0000-0000CD350000}"/>
    <cellStyle name="Normal 28 2 2 4" xfId="13809" xr:uid="{00000000-0005-0000-0000-0000CE350000}"/>
    <cellStyle name="Normal 28 2 2 4 2" xfId="13810" xr:uid="{00000000-0005-0000-0000-0000CF350000}"/>
    <cellStyle name="Normal 28 2 2 5" xfId="13811" xr:uid="{00000000-0005-0000-0000-0000D0350000}"/>
    <cellStyle name="Normal 28 2 3" xfId="13812" xr:uid="{00000000-0005-0000-0000-0000D1350000}"/>
    <cellStyle name="Normal 28 2 3 2" xfId="13813" xr:uid="{00000000-0005-0000-0000-0000D2350000}"/>
    <cellStyle name="Normal 28 2 3 2 2" xfId="13814" xr:uid="{00000000-0005-0000-0000-0000D3350000}"/>
    <cellStyle name="Normal 28 2 3 2 2 2" xfId="13815" xr:uid="{00000000-0005-0000-0000-0000D4350000}"/>
    <cellStyle name="Normal 28 2 3 2 3" xfId="13816" xr:uid="{00000000-0005-0000-0000-0000D5350000}"/>
    <cellStyle name="Normal 28 2 3 3" xfId="13817" xr:uid="{00000000-0005-0000-0000-0000D6350000}"/>
    <cellStyle name="Normal 28 2 3 3 2" xfId="13818" xr:uid="{00000000-0005-0000-0000-0000D7350000}"/>
    <cellStyle name="Normal 28 2 3 4" xfId="13819" xr:uid="{00000000-0005-0000-0000-0000D8350000}"/>
    <cellStyle name="Normal 28 2 3 4 2" xfId="13820" xr:uid="{00000000-0005-0000-0000-0000D9350000}"/>
    <cellStyle name="Normal 28 2 3 5" xfId="13821" xr:uid="{00000000-0005-0000-0000-0000DA350000}"/>
    <cellStyle name="Normal 28 2 4" xfId="13822" xr:uid="{00000000-0005-0000-0000-0000DB350000}"/>
    <cellStyle name="Normal 28 2 4 2" xfId="13823" xr:uid="{00000000-0005-0000-0000-0000DC350000}"/>
    <cellStyle name="Normal 28 2 4 2 2" xfId="13824" xr:uid="{00000000-0005-0000-0000-0000DD350000}"/>
    <cellStyle name="Normal 28 2 4 3" xfId="13825" xr:uid="{00000000-0005-0000-0000-0000DE350000}"/>
    <cellStyle name="Normal 28 2 5" xfId="13826" xr:uid="{00000000-0005-0000-0000-0000DF350000}"/>
    <cellStyle name="Normal 28 2 5 2" xfId="13827" xr:uid="{00000000-0005-0000-0000-0000E0350000}"/>
    <cellStyle name="Normal 28 2 6" xfId="13828" xr:uid="{00000000-0005-0000-0000-0000E1350000}"/>
    <cellStyle name="Normal 28 2 6 2" xfId="13829" xr:uid="{00000000-0005-0000-0000-0000E2350000}"/>
    <cellStyle name="Normal 28 2 7" xfId="13830" xr:uid="{00000000-0005-0000-0000-0000E3350000}"/>
    <cellStyle name="Normal 28 2_Sheet2" xfId="13831" xr:uid="{00000000-0005-0000-0000-0000E4350000}"/>
    <cellStyle name="Normal 28 3" xfId="13832" xr:uid="{00000000-0005-0000-0000-0000E5350000}"/>
    <cellStyle name="Normal 28 3 2" xfId="13833" xr:uid="{00000000-0005-0000-0000-0000E6350000}"/>
    <cellStyle name="Normal 28 3 2 2" xfId="13834" xr:uid="{00000000-0005-0000-0000-0000E7350000}"/>
    <cellStyle name="Normal 28 3 2 2 2" xfId="13835" xr:uid="{00000000-0005-0000-0000-0000E8350000}"/>
    <cellStyle name="Normal 28 3 2 3" xfId="13836" xr:uid="{00000000-0005-0000-0000-0000E9350000}"/>
    <cellStyle name="Normal 28 3 2 4" xfId="13837" xr:uid="{00000000-0005-0000-0000-0000EA350000}"/>
    <cellStyle name="Normal 28 3 3" xfId="13838" xr:uid="{00000000-0005-0000-0000-0000EB350000}"/>
    <cellStyle name="Normal 28 3 3 2" xfId="13839" xr:uid="{00000000-0005-0000-0000-0000EC350000}"/>
    <cellStyle name="Normal 28 3 4" xfId="13840" xr:uid="{00000000-0005-0000-0000-0000ED350000}"/>
    <cellStyle name="Normal 28 3 4 2" xfId="13841" xr:uid="{00000000-0005-0000-0000-0000EE350000}"/>
    <cellStyle name="Normal 28 3 5" xfId="13842" xr:uid="{00000000-0005-0000-0000-0000EF350000}"/>
    <cellStyle name="Normal 28 4" xfId="13843" xr:uid="{00000000-0005-0000-0000-0000F0350000}"/>
    <cellStyle name="Normal 28 4 2" xfId="13844" xr:uid="{00000000-0005-0000-0000-0000F1350000}"/>
    <cellStyle name="Normal 28 4 2 2" xfId="13845" xr:uid="{00000000-0005-0000-0000-0000F2350000}"/>
    <cellStyle name="Normal 28 4 2 2 2" xfId="13846" xr:uid="{00000000-0005-0000-0000-0000F3350000}"/>
    <cellStyle name="Normal 28 4 2 3" xfId="13847" xr:uid="{00000000-0005-0000-0000-0000F4350000}"/>
    <cellStyle name="Normal 28 4 3" xfId="13848" xr:uid="{00000000-0005-0000-0000-0000F5350000}"/>
    <cellStyle name="Normal 28 4 3 2" xfId="13849" xr:uid="{00000000-0005-0000-0000-0000F6350000}"/>
    <cellStyle name="Normal 28 4 4" xfId="13850" xr:uid="{00000000-0005-0000-0000-0000F7350000}"/>
    <cellStyle name="Normal 28 4 4 2" xfId="13851" xr:uid="{00000000-0005-0000-0000-0000F8350000}"/>
    <cellStyle name="Normal 28 4 5" xfId="13852" xr:uid="{00000000-0005-0000-0000-0000F9350000}"/>
    <cellStyle name="Normal 28 5" xfId="13853" xr:uid="{00000000-0005-0000-0000-0000FA350000}"/>
    <cellStyle name="Normal 28 5 2" xfId="13854" xr:uid="{00000000-0005-0000-0000-0000FB350000}"/>
    <cellStyle name="Normal 28 5 2 2" xfId="13855" xr:uid="{00000000-0005-0000-0000-0000FC350000}"/>
    <cellStyle name="Normal 28 5 2 2 2" xfId="13856" xr:uid="{00000000-0005-0000-0000-0000FD350000}"/>
    <cellStyle name="Normal 28 5 2 3" xfId="13857" xr:uid="{00000000-0005-0000-0000-0000FE350000}"/>
    <cellStyle name="Normal 28 5 3" xfId="13858" xr:uid="{00000000-0005-0000-0000-0000FF350000}"/>
    <cellStyle name="Normal 28 5 3 2" xfId="13859" xr:uid="{00000000-0005-0000-0000-000000360000}"/>
    <cellStyle name="Normal 28 5 4" xfId="13860" xr:uid="{00000000-0005-0000-0000-000001360000}"/>
    <cellStyle name="Normal 28 5 4 2" xfId="13861" xr:uid="{00000000-0005-0000-0000-000002360000}"/>
    <cellStyle name="Normal 28 5 5" xfId="13862" xr:uid="{00000000-0005-0000-0000-000003360000}"/>
    <cellStyle name="Normal 28 6" xfId="13863" xr:uid="{00000000-0005-0000-0000-000004360000}"/>
    <cellStyle name="Normal 28 6 2" xfId="13864" xr:uid="{00000000-0005-0000-0000-000005360000}"/>
    <cellStyle name="Normal 28 6 2 2" xfId="13865" xr:uid="{00000000-0005-0000-0000-000006360000}"/>
    <cellStyle name="Normal 28 6 2 2 2" xfId="13866" xr:uid="{00000000-0005-0000-0000-000007360000}"/>
    <cellStyle name="Normal 28 6 2 3" xfId="13867" xr:uid="{00000000-0005-0000-0000-000008360000}"/>
    <cellStyle name="Normal 28 6 3" xfId="13868" xr:uid="{00000000-0005-0000-0000-000009360000}"/>
    <cellStyle name="Normal 28 6 3 2" xfId="13869" xr:uid="{00000000-0005-0000-0000-00000A360000}"/>
    <cellStyle name="Normal 28 6 4" xfId="13870" xr:uid="{00000000-0005-0000-0000-00000B360000}"/>
    <cellStyle name="Normal 28 6 4 2" xfId="13871" xr:uid="{00000000-0005-0000-0000-00000C360000}"/>
    <cellStyle name="Normal 28 6 5" xfId="13872" xr:uid="{00000000-0005-0000-0000-00000D360000}"/>
    <cellStyle name="Normal 28 7" xfId="13873" xr:uid="{00000000-0005-0000-0000-00000E360000}"/>
    <cellStyle name="Normal 28 7 2" xfId="13874" xr:uid="{00000000-0005-0000-0000-00000F360000}"/>
    <cellStyle name="Normal 28 7 2 2" xfId="13875" xr:uid="{00000000-0005-0000-0000-000010360000}"/>
    <cellStyle name="Normal 28 7 3" xfId="13876" xr:uid="{00000000-0005-0000-0000-000011360000}"/>
    <cellStyle name="Normal 28 8" xfId="13877" xr:uid="{00000000-0005-0000-0000-000012360000}"/>
    <cellStyle name="Normal 28 8 2" xfId="13878" xr:uid="{00000000-0005-0000-0000-000013360000}"/>
    <cellStyle name="Normal 28 9" xfId="13879" xr:uid="{00000000-0005-0000-0000-000014360000}"/>
    <cellStyle name="Normal 28 9 2" xfId="13880" xr:uid="{00000000-0005-0000-0000-000015360000}"/>
    <cellStyle name="Normal 28_AH Bhainsa Estimate" xfId="13881" xr:uid="{00000000-0005-0000-0000-000016360000}"/>
    <cellStyle name="Normal 29" xfId="13882" xr:uid="{00000000-0005-0000-0000-000017360000}"/>
    <cellStyle name="Normal 29 10" xfId="13883" xr:uid="{00000000-0005-0000-0000-000018360000}"/>
    <cellStyle name="Normal 29 11" xfId="13884" xr:uid="{00000000-0005-0000-0000-000019360000}"/>
    <cellStyle name="Normal 29 12" xfId="13885" xr:uid="{00000000-0005-0000-0000-00001A360000}"/>
    <cellStyle name="Normal 29 13" xfId="13886" xr:uid="{00000000-0005-0000-0000-00001B360000}"/>
    <cellStyle name="Normal 29 14" xfId="13887" xr:uid="{00000000-0005-0000-0000-00001C360000}"/>
    <cellStyle name="Normal 29 15" xfId="13888" xr:uid="{00000000-0005-0000-0000-00001D360000}"/>
    <cellStyle name="Normal 29 16" xfId="13889" xr:uid="{00000000-0005-0000-0000-00001E360000}"/>
    <cellStyle name="Normal 29 2" xfId="13890" xr:uid="{00000000-0005-0000-0000-00001F360000}"/>
    <cellStyle name="Normal 29 2 10" xfId="13891" xr:uid="{00000000-0005-0000-0000-000020360000}"/>
    <cellStyle name="Normal 29 2 11" xfId="13892" xr:uid="{00000000-0005-0000-0000-000021360000}"/>
    <cellStyle name="Normal 29 2 2" xfId="13893" xr:uid="{00000000-0005-0000-0000-000022360000}"/>
    <cellStyle name="Normal 29 2 2 2" xfId="13894" xr:uid="{00000000-0005-0000-0000-000023360000}"/>
    <cellStyle name="Normal 29 2 2 2 2" xfId="13895" xr:uid="{00000000-0005-0000-0000-000024360000}"/>
    <cellStyle name="Normal 29 2 2 2 2 2" xfId="13896" xr:uid="{00000000-0005-0000-0000-000025360000}"/>
    <cellStyle name="Normal 29 2 2 2 3" xfId="13897" xr:uid="{00000000-0005-0000-0000-000026360000}"/>
    <cellStyle name="Normal 29 2 2 3" xfId="13898" xr:uid="{00000000-0005-0000-0000-000027360000}"/>
    <cellStyle name="Normal 29 2 2 3 2" xfId="13899" xr:uid="{00000000-0005-0000-0000-000028360000}"/>
    <cellStyle name="Normal 29 2 2 4" xfId="13900" xr:uid="{00000000-0005-0000-0000-000029360000}"/>
    <cellStyle name="Normal 29 2 2 4 2" xfId="13901" xr:uid="{00000000-0005-0000-0000-00002A360000}"/>
    <cellStyle name="Normal 29 2 2 5" xfId="13902" xr:uid="{00000000-0005-0000-0000-00002B360000}"/>
    <cellStyle name="Normal 29 2 3" xfId="13903" xr:uid="{00000000-0005-0000-0000-00002C360000}"/>
    <cellStyle name="Normal 29 2 3 2" xfId="13904" xr:uid="{00000000-0005-0000-0000-00002D360000}"/>
    <cellStyle name="Normal 29 2 3 2 2" xfId="13905" xr:uid="{00000000-0005-0000-0000-00002E360000}"/>
    <cellStyle name="Normal 29 2 3 2 2 2" xfId="13906" xr:uid="{00000000-0005-0000-0000-00002F360000}"/>
    <cellStyle name="Normal 29 2 3 2 3" xfId="13907" xr:uid="{00000000-0005-0000-0000-000030360000}"/>
    <cellStyle name="Normal 29 2 3 3" xfId="13908" xr:uid="{00000000-0005-0000-0000-000031360000}"/>
    <cellStyle name="Normal 29 2 3 3 2" xfId="13909" xr:uid="{00000000-0005-0000-0000-000032360000}"/>
    <cellStyle name="Normal 29 2 3 4" xfId="13910" xr:uid="{00000000-0005-0000-0000-000033360000}"/>
    <cellStyle name="Normal 29 2 3 4 2" xfId="13911" xr:uid="{00000000-0005-0000-0000-000034360000}"/>
    <cellStyle name="Normal 29 2 3 5" xfId="13912" xr:uid="{00000000-0005-0000-0000-000035360000}"/>
    <cellStyle name="Normal 29 2 4" xfId="13913" xr:uid="{00000000-0005-0000-0000-000036360000}"/>
    <cellStyle name="Normal 29 2 4 2" xfId="13914" xr:uid="{00000000-0005-0000-0000-000037360000}"/>
    <cellStyle name="Normal 29 2 4 2 2" xfId="13915" xr:uid="{00000000-0005-0000-0000-000038360000}"/>
    <cellStyle name="Normal 29 2 4 3" xfId="13916" xr:uid="{00000000-0005-0000-0000-000039360000}"/>
    <cellStyle name="Normal 29 2 4 4" xfId="13917" xr:uid="{00000000-0005-0000-0000-00003A360000}"/>
    <cellStyle name="Normal 29 2 5" xfId="13918" xr:uid="{00000000-0005-0000-0000-00003B360000}"/>
    <cellStyle name="Normal 29 2 5 2" xfId="13919" xr:uid="{00000000-0005-0000-0000-00003C360000}"/>
    <cellStyle name="Normal 29 2 6" xfId="13920" xr:uid="{00000000-0005-0000-0000-00003D360000}"/>
    <cellStyle name="Normal 29 2 6 2" xfId="13921" xr:uid="{00000000-0005-0000-0000-00003E360000}"/>
    <cellStyle name="Normal 29 2 7" xfId="13922" xr:uid="{00000000-0005-0000-0000-00003F360000}"/>
    <cellStyle name="Normal 29 2 8" xfId="13923" xr:uid="{00000000-0005-0000-0000-000040360000}"/>
    <cellStyle name="Normal 29 2 9" xfId="13924" xr:uid="{00000000-0005-0000-0000-000041360000}"/>
    <cellStyle name="Normal 29 2_AH Bhainsa Estimate" xfId="13925" xr:uid="{00000000-0005-0000-0000-000042360000}"/>
    <cellStyle name="Normal 29 3" xfId="13926" xr:uid="{00000000-0005-0000-0000-000043360000}"/>
    <cellStyle name="Normal 29 3 10" xfId="13927" xr:uid="{00000000-0005-0000-0000-000044360000}"/>
    <cellStyle name="Normal 29 3 2" xfId="13928" xr:uid="{00000000-0005-0000-0000-000045360000}"/>
    <cellStyle name="Normal 29 3 2 2" xfId="13929" xr:uid="{00000000-0005-0000-0000-000046360000}"/>
    <cellStyle name="Normal 29 3 2 2 2" xfId="13930" xr:uid="{00000000-0005-0000-0000-000047360000}"/>
    <cellStyle name="Normal 29 3 2 3" xfId="13931" xr:uid="{00000000-0005-0000-0000-000048360000}"/>
    <cellStyle name="Normal 29 3 2 4" xfId="13932" xr:uid="{00000000-0005-0000-0000-000049360000}"/>
    <cellStyle name="Normal 29 3 3" xfId="13933" xr:uid="{00000000-0005-0000-0000-00004A360000}"/>
    <cellStyle name="Normal 29 3 3 2" xfId="13934" xr:uid="{00000000-0005-0000-0000-00004B360000}"/>
    <cellStyle name="Normal 29 3 4" xfId="13935" xr:uid="{00000000-0005-0000-0000-00004C360000}"/>
    <cellStyle name="Normal 29 3 4 2" xfId="13936" xr:uid="{00000000-0005-0000-0000-00004D360000}"/>
    <cellStyle name="Normal 29 3 5" xfId="13937" xr:uid="{00000000-0005-0000-0000-00004E360000}"/>
    <cellStyle name="Normal 29 3 6" xfId="13938" xr:uid="{00000000-0005-0000-0000-00004F360000}"/>
    <cellStyle name="Normal 29 3 7" xfId="13939" xr:uid="{00000000-0005-0000-0000-000050360000}"/>
    <cellStyle name="Normal 29 3 8" xfId="13940" xr:uid="{00000000-0005-0000-0000-000051360000}"/>
    <cellStyle name="Normal 29 3 9" xfId="13941" xr:uid="{00000000-0005-0000-0000-000052360000}"/>
    <cellStyle name="Normal 29 4" xfId="13942" xr:uid="{00000000-0005-0000-0000-000053360000}"/>
    <cellStyle name="Normal 29 4 2" xfId="13943" xr:uid="{00000000-0005-0000-0000-000054360000}"/>
    <cellStyle name="Normal 29 4 2 2" xfId="13944" xr:uid="{00000000-0005-0000-0000-000055360000}"/>
    <cellStyle name="Normal 29 4 2 2 2" xfId="13945" xr:uid="{00000000-0005-0000-0000-000056360000}"/>
    <cellStyle name="Normal 29 4 2 3" xfId="13946" xr:uid="{00000000-0005-0000-0000-000057360000}"/>
    <cellStyle name="Normal 29 4 3" xfId="13947" xr:uid="{00000000-0005-0000-0000-000058360000}"/>
    <cellStyle name="Normal 29 4 3 2" xfId="13948" xr:uid="{00000000-0005-0000-0000-000059360000}"/>
    <cellStyle name="Normal 29 4 4" xfId="13949" xr:uid="{00000000-0005-0000-0000-00005A360000}"/>
    <cellStyle name="Normal 29 4 4 2" xfId="13950" xr:uid="{00000000-0005-0000-0000-00005B360000}"/>
    <cellStyle name="Normal 29 4 5" xfId="13951" xr:uid="{00000000-0005-0000-0000-00005C360000}"/>
    <cellStyle name="Normal 29 5" xfId="13952" xr:uid="{00000000-0005-0000-0000-00005D360000}"/>
    <cellStyle name="Normal 29 5 2" xfId="13953" xr:uid="{00000000-0005-0000-0000-00005E360000}"/>
    <cellStyle name="Normal 29 5 2 2" xfId="13954" xr:uid="{00000000-0005-0000-0000-00005F360000}"/>
    <cellStyle name="Normal 29 5 2 2 2" xfId="13955" xr:uid="{00000000-0005-0000-0000-000060360000}"/>
    <cellStyle name="Normal 29 5 2 3" xfId="13956" xr:uid="{00000000-0005-0000-0000-000061360000}"/>
    <cellStyle name="Normal 29 5 3" xfId="13957" xr:uid="{00000000-0005-0000-0000-000062360000}"/>
    <cellStyle name="Normal 29 5 3 2" xfId="13958" xr:uid="{00000000-0005-0000-0000-000063360000}"/>
    <cellStyle name="Normal 29 5 4" xfId="13959" xr:uid="{00000000-0005-0000-0000-000064360000}"/>
    <cellStyle name="Normal 29 5 4 2" xfId="13960" xr:uid="{00000000-0005-0000-0000-000065360000}"/>
    <cellStyle name="Normal 29 5 5" xfId="13961" xr:uid="{00000000-0005-0000-0000-000066360000}"/>
    <cellStyle name="Normal 29 6" xfId="13962" xr:uid="{00000000-0005-0000-0000-000067360000}"/>
    <cellStyle name="Normal 29 6 2" xfId="13963" xr:uid="{00000000-0005-0000-0000-000068360000}"/>
    <cellStyle name="Normal 29 6 2 2" xfId="13964" xr:uid="{00000000-0005-0000-0000-000069360000}"/>
    <cellStyle name="Normal 29 6 2 2 2" xfId="13965" xr:uid="{00000000-0005-0000-0000-00006A360000}"/>
    <cellStyle name="Normal 29 6 2 3" xfId="13966" xr:uid="{00000000-0005-0000-0000-00006B360000}"/>
    <cellStyle name="Normal 29 6 3" xfId="13967" xr:uid="{00000000-0005-0000-0000-00006C360000}"/>
    <cellStyle name="Normal 29 6 3 2" xfId="13968" xr:uid="{00000000-0005-0000-0000-00006D360000}"/>
    <cellStyle name="Normal 29 6 4" xfId="13969" xr:uid="{00000000-0005-0000-0000-00006E360000}"/>
    <cellStyle name="Normal 29 6 4 2" xfId="13970" xr:uid="{00000000-0005-0000-0000-00006F360000}"/>
    <cellStyle name="Normal 29 6 5" xfId="13971" xr:uid="{00000000-0005-0000-0000-000070360000}"/>
    <cellStyle name="Normal 29 7" xfId="13972" xr:uid="{00000000-0005-0000-0000-000071360000}"/>
    <cellStyle name="Normal 29 7 2" xfId="13973" xr:uid="{00000000-0005-0000-0000-000072360000}"/>
    <cellStyle name="Normal 29 7 2 2" xfId="13974" xr:uid="{00000000-0005-0000-0000-000073360000}"/>
    <cellStyle name="Normal 29 7 3" xfId="13975" xr:uid="{00000000-0005-0000-0000-000074360000}"/>
    <cellStyle name="Normal 29 8" xfId="13976" xr:uid="{00000000-0005-0000-0000-000075360000}"/>
    <cellStyle name="Normal 29 8 2" xfId="13977" xr:uid="{00000000-0005-0000-0000-000076360000}"/>
    <cellStyle name="Normal 29 9" xfId="13978" xr:uid="{00000000-0005-0000-0000-000077360000}"/>
    <cellStyle name="Normal 29 9 2" xfId="13979" xr:uid="{00000000-0005-0000-0000-000078360000}"/>
    <cellStyle name="Normal 29_AH Bhainsa Estimate" xfId="13980" xr:uid="{00000000-0005-0000-0000-000079360000}"/>
    <cellStyle name="Normal 3" xfId="60" xr:uid="{00000000-0005-0000-0000-00007A360000}"/>
    <cellStyle name="Normal 3 10" xfId="13981" xr:uid="{00000000-0005-0000-0000-00007B360000}"/>
    <cellStyle name="Normal 3 10 10" xfId="13982" xr:uid="{00000000-0005-0000-0000-00007C360000}"/>
    <cellStyle name="Normal 3 10 11" xfId="13983" xr:uid="{00000000-0005-0000-0000-00007D360000}"/>
    <cellStyle name="Normal 3 10 2" xfId="13984" xr:uid="{00000000-0005-0000-0000-00007E360000}"/>
    <cellStyle name="Normal 3 10 2 2" xfId="13985" xr:uid="{00000000-0005-0000-0000-00007F360000}"/>
    <cellStyle name="Normal 3 10 2 3" xfId="13986" xr:uid="{00000000-0005-0000-0000-000080360000}"/>
    <cellStyle name="Normal 3 10 3" xfId="13987" xr:uid="{00000000-0005-0000-0000-000081360000}"/>
    <cellStyle name="Normal 3 10 3 2" xfId="13988" xr:uid="{00000000-0005-0000-0000-000082360000}"/>
    <cellStyle name="Normal 3 10 3 3" xfId="13989" xr:uid="{00000000-0005-0000-0000-000083360000}"/>
    <cellStyle name="Normal 3 10 4" xfId="13990" xr:uid="{00000000-0005-0000-0000-000084360000}"/>
    <cellStyle name="Normal 3 10 4 2" xfId="13991" xr:uid="{00000000-0005-0000-0000-000085360000}"/>
    <cellStyle name="Normal 3 10 4 3" xfId="13992" xr:uid="{00000000-0005-0000-0000-000086360000}"/>
    <cellStyle name="Normal 3 10 5" xfId="13993" xr:uid="{00000000-0005-0000-0000-000087360000}"/>
    <cellStyle name="Normal 3 10 5 2" xfId="13994" xr:uid="{00000000-0005-0000-0000-000088360000}"/>
    <cellStyle name="Normal 3 10 5 3" xfId="13995" xr:uid="{00000000-0005-0000-0000-000089360000}"/>
    <cellStyle name="Normal 3 10 6" xfId="13996" xr:uid="{00000000-0005-0000-0000-00008A360000}"/>
    <cellStyle name="Normal 3 10 6 2" xfId="13997" xr:uid="{00000000-0005-0000-0000-00008B360000}"/>
    <cellStyle name="Normal 3 10 6 3" xfId="13998" xr:uid="{00000000-0005-0000-0000-00008C360000}"/>
    <cellStyle name="Normal 3 10 7" xfId="13999" xr:uid="{00000000-0005-0000-0000-00008D360000}"/>
    <cellStyle name="Normal 3 10 8" xfId="14000" xr:uid="{00000000-0005-0000-0000-00008E360000}"/>
    <cellStyle name="Normal 3 10 9" xfId="14001" xr:uid="{00000000-0005-0000-0000-00008F360000}"/>
    <cellStyle name="Normal 3 11" xfId="14002" xr:uid="{00000000-0005-0000-0000-000090360000}"/>
    <cellStyle name="Normal 3 11 10" xfId="14003" xr:uid="{00000000-0005-0000-0000-000091360000}"/>
    <cellStyle name="Normal 3 11 2" xfId="14004" xr:uid="{00000000-0005-0000-0000-000092360000}"/>
    <cellStyle name="Normal 3 11 2 2" xfId="14005" xr:uid="{00000000-0005-0000-0000-000093360000}"/>
    <cellStyle name="Normal 3 11 3" xfId="14006" xr:uid="{00000000-0005-0000-0000-000094360000}"/>
    <cellStyle name="Normal 3 11 4" xfId="14007" xr:uid="{00000000-0005-0000-0000-000095360000}"/>
    <cellStyle name="Normal 3 11 5" xfId="14008" xr:uid="{00000000-0005-0000-0000-000096360000}"/>
    <cellStyle name="Normal 3 11 6" xfId="14009" xr:uid="{00000000-0005-0000-0000-000097360000}"/>
    <cellStyle name="Normal 3 11 7" xfId="14010" xr:uid="{00000000-0005-0000-0000-000098360000}"/>
    <cellStyle name="Normal 3 11 8" xfId="14011" xr:uid="{00000000-0005-0000-0000-000099360000}"/>
    <cellStyle name="Normal 3 11 9" xfId="14012" xr:uid="{00000000-0005-0000-0000-00009A360000}"/>
    <cellStyle name="Normal 3 11_Sheet1" xfId="14013" xr:uid="{00000000-0005-0000-0000-00009B360000}"/>
    <cellStyle name="Normal 3 12" xfId="14014" xr:uid="{00000000-0005-0000-0000-00009C360000}"/>
    <cellStyle name="Normal 3 12 10" xfId="14015" xr:uid="{00000000-0005-0000-0000-00009D360000}"/>
    <cellStyle name="Normal 3 12 2" xfId="14016" xr:uid="{00000000-0005-0000-0000-00009E360000}"/>
    <cellStyle name="Normal 3 12 2 2" xfId="14017" xr:uid="{00000000-0005-0000-0000-00009F360000}"/>
    <cellStyle name="Normal 3 12 3" xfId="14018" xr:uid="{00000000-0005-0000-0000-0000A0360000}"/>
    <cellStyle name="Normal 3 12 3 2" xfId="14019" xr:uid="{00000000-0005-0000-0000-0000A1360000}"/>
    <cellStyle name="Normal 3 12 4" xfId="14020" xr:uid="{00000000-0005-0000-0000-0000A2360000}"/>
    <cellStyle name="Normal 3 12 5" xfId="14021" xr:uid="{00000000-0005-0000-0000-0000A3360000}"/>
    <cellStyle name="Normal 3 12 6" xfId="14022" xr:uid="{00000000-0005-0000-0000-0000A4360000}"/>
    <cellStyle name="Normal 3 12 7" xfId="14023" xr:uid="{00000000-0005-0000-0000-0000A5360000}"/>
    <cellStyle name="Normal 3 12 8" xfId="14024" xr:uid="{00000000-0005-0000-0000-0000A6360000}"/>
    <cellStyle name="Normal 3 12 9" xfId="14025" xr:uid="{00000000-0005-0000-0000-0000A7360000}"/>
    <cellStyle name="Normal 3 13" xfId="14026" xr:uid="{00000000-0005-0000-0000-0000A8360000}"/>
    <cellStyle name="Normal 3 13 2" xfId="14027" xr:uid="{00000000-0005-0000-0000-0000A9360000}"/>
    <cellStyle name="Normal 3 13 2 2" xfId="14028" xr:uid="{00000000-0005-0000-0000-0000AA360000}"/>
    <cellStyle name="Normal 3 13 3" xfId="14029" xr:uid="{00000000-0005-0000-0000-0000AB360000}"/>
    <cellStyle name="Normal 3 13 3 2" xfId="14030" xr:uid="{00000000-0005-0000-0000-0000AC360000}"/>
    <cellStyle name="Normal 3 13 4" xfId="14031" xr:uid="{00000000-0005-0000-0000-0000AD360000}"/>
    <cellStyle name="Normal 3 13 5" xfId="14032" xr:uid="{00000000-0005-0000-0000-0000AE360000}"/>
    <cellStyle name="Normal 3 13 6" xfId="14033" xr:uid="{00000000-0005-0000-0000-0000AF360000}"/>
    <cellStyle name="Normal 3 14" xfId="14034" xr:uid="{00000000-0005-0000-0000-0000B0360000}"/>
    <cellStyle name="Normal 3 14 2" xfId="14035" xr:uid="{00000000-0005-0000-0000-0000B1360000}"/>
    <cellStyle name="Normal 3 14 2 2" xfId="14036" xr:uid="{00000000-0005-0000-0000-0000B2360000}"/>
    <cellStyle name="Normal 3 14 3" xfId="14037" xr:uid="{00000000-0005-0000-0000-0000B3360000}"/>
    <cellStyle name="Normal 3 14 3 2" xfId="14038" xr:uid="{00000000-0005-0000-0000-0000B4360000}"/>
    <cellStyle name="Normal 3 14 4" xfId="14039" xr:uid="{00000000-0005-0000-0000-0000B5360000}"/>
    <cellStyle name="Normal 3 14 5" xfId="14040" xr:uid="{00000000-0005-0000-0000-0000B6360000}"/>
    <cellStyle name="Normal 3 14 6" xfId="14041" xr:uid="{00000000-0005-0000-0000-0000B7360000}"/>
    <cellStyle name="Normal 3 15" xfId="14042" xr:uid="{00000000-0005-0000-0000-0000B8360000}"/>
    <cellStyle name="Normal 3 15 2" xfId="14043" xr:uid="{00000000-0005-0000-0000-0000B9360000}"/>
    <cellStyle name="Normal 3 15 2 2" xfId="14044" xr:uid="{00000000-0005-0000-0000-0000BA360000}"/>
    <cellStyle name="Normal 3 15 2 3" xfId="14045" xr:uid="{00000000-0005-0000-0000-0000BB360000}"/>
    <cellStyle name="Normal 3 15 2 4" xfId="14046" xr:uid="{00000000-0005-0000-0000-0000BC360000}"/>
    <cellStyle name="Normal 3 15 3" xfId="14047" xr:uid="{00000000-0005-0000-0000-0000BD360000}"/>
    <cellStyle name="Normal 3 15 3 2" xfId="14048" xr:uid="{00000000-0005-0000-0000-0000BE360000}"/>
    <cellStyle name="Normal 3 15 4" xfId="14049" xr:uid="{00000000-0005-0000-0000-0000BF360000}"/>
    <cellStyle name="Normal 3 15 5" xfId="14050" xr:uid="{00000000-0005-0000-0000-0000C0360000}"/>
    <cellStyle name="Normal 3 15 6" xfId="14051" xr:uid="{00000000-0005-0000-0000-0000C1360000}"/>
    <cellStyle name="Normal 3 16" xfId="14052" xr:uid="{00000000-0005-0000-0000-0000C2360000}"/>
    <cellStyle name="Normal 3 16 2" xfId="14053" xr:uid="{00000000-0005-0000-0000-0000C3360000}"/>
    <cellStyle name="Normal 3 16 2 2" xfId="14054" xr:uid="{00000000-0005-0000-0000-0000C4360000}"/>
    <cellStyle name="Normal 3 16 3" xfId="14055" xr:uid="{00000000-0005-0000-0000-0000C5360000}"/>
    <cellStyle name="Normal 3 16 3 2" xfId="14056" xr:uid="{00000000-0005-0000-0000-0000C6360000}"/>
    <cellStyle name="Normal 3 16 4" xfId="14057" xr:uid="{00000000-0005-0000-0000-0000C7360000}"/>
    <cellStyle name="Normal 3 16 5" xfId="14058" xr:uid="{00000000-0005-0000-0000-0000C8360000}"/>
    <cellStyle name="Normal 3 16 6" xfId="14059" xr:uid="{00000000-0005-0000-0000-0000C9360000}"/>
    <cellStyle name="Normal 3 17" xfId="14060" xr:uid="{00000000-0005-0000-0000-0000CA360000}"/>
    <cellStyle name="Normal 3 17 2" xfId="14061" xr:uid="{00000000-0005-0000-0000-0000CB360000}"/>
    <cellStyle name="Normal 3 17 2 2" xfId="14062" xr:uid="{00000000-0005-0000-0000-0000CC360000}"/>
    <cellStyle name="Normal 3 17 2 3" xfId="14063" xr:uid="{00000000-0005-0000-0000-0000CD360000}"/>
    <cellStyle name="Normal 3 17 2 4" xfId="14064" xr:uid="{00000000-0005-0000-0000-0000CE360000}"/>
    <cellStyle name="Normal 3 17 2 5" xfId="14065" xr:uid="{00000000-0005-0000-0000-0000CF360000}"/>
    <cellStyle name="Normal 3 17 3" xfId="14066" xr:uid="{00000000-0005-0000-0000-0000D0360000}"/>
    <cellStyle name="Normal 3 17 3 2" xfId="14067" xr:uid="{00000000-0005-0000-0000-0000D1360000}"/>
    <cellStyle name="Normal 3 17 4" xfId="14068" xr:uid="{00000000-0005-0000-0000-0000D2360000}"/>
    <cellStyle name="Normal 3 17 4 2" xfId="14069" xr:uid="{00000000-0005-0000-0000-0000D3360000}"/>
    <cellStyle name="Normal 3 17 5" xfId="14070" xr:uid="{00000000-0005-0000-0000-0000D4360000}"/>
    <cellStyle name="Normal 3 17 6" xfId="14071" xr:uid="{00000000-0005-0000-0000-0000D5360000}"/>
    <cellStyle name="Normal 3 18" xfId="14072" xr:uid="{00000000-0005-0000-0000-0000D6360000}"/>
    <cellStyle name="Normal 3 18 2" xfId="14073" xr:uid="{00000000-0005-0000-0000-0000D7360000}"/>
    <cellStyle name="Normal 3 18 2 2" xfId="14074" xr:uid="{00000000-0005-0000-0000-0000D8360000}"/>
    <cellStyle name="Normal 3 18 3" xfId="14075" xr:uid="{00000000-0005-0000-0000-0000D9360000}"/>
    <cellStyle name="Normal 3 18 3 2" xfId="14076" xr:uid="{00000000-0005-0000-0000-0000DA360000}"/>
    <cellStyle name="Normal 3 18 4" xfId="14077" xr:uid="{00000000-0005-0000-0000-0000DB360000}"/>
    <cellStyle name="Normal 3 18 5" xfId="14078" xr:uid="{00000000-0005-0000-0000-0000DC360000}"/>
    <cellStyle name="Normal 3 18 6" xfId="14079" xr:uid="{00000000-0005-0000-0000-0000DD360000}"/>
    <cellStyle name="Normal 3 19" xfId="14080" xr:uid="{00000000-0005-0000-0000-0000DE360000}"/>
    <cellStyle name="Normal 3 19 2" xfId="14081" xr:uid="{00000000-0005-0000-0000-0000DF360000}"/>
    <cellStyle name="Normal 3 19 2 2" xfId="14082" xr:uid="{00000000-0005-0000-0000-0000E0360000}"/>
    <cellStyle name="Normal 3 19 3" xfId="14083" xr:uid="{00000000-0005-0000-0000-0000E1360000}"/>
    <cellStyle name="Normal 3 19 3 2" xfId="14084" xr:uid="{00000000-0005-0000-0000-0000E2360000}"/>
    <cellStyle name="Normal 3 19 4" xfId="14085" xr:uid="{00000000-0005-0000-0000-0000E3360000}"/>
    <cellStyle name="Normal 3 19 5" xfId="14086" xr:uid="{00000000-0005-0000-0000-0000E4360000}"/>
    <cellStyle name="Normal 3 19 6" xfId="14087" xr:uid="{00000000-0005-0000-0000-0000E5360000}"/>
    <cellStyle name="Normal 3 2" xfId="14088" xr:uid="{00000000-0005-0000-0000-0000E6360000}"/>
    <cellStyle name="Normal 3 2 10" xfId="14089" xr:uid="{00000000-0005-0000-0000-0000E7360000}"/>
    <cellStyle name="Normal 3 2 10 2" xfId="14090" xr:uid="{00000000-0005-0000-0000-0000E8360000}"/>
    <cellStyle name="Normal 3 2 10 3" xfId="14091" xr:uid="{00000000-0005-0000-0000-0000E9360000}"/>
    <cellStyle name="Normal 3 2 10 4" xfId="14092" xr:uid="{00000000-0005-0000-0000-0000EA360000}"/>
    <cellStyle name="Normal 3 2 10 5" xfId="14093" xr:uid="{00000000-0005-0000-0000-0000EB360000}"/>
    <cellStyle name="Normal 3 2 10 6" xfId="14094" xr:uid="{00000000-0005-0000-0000-0000EC360000}"/>
    <cellStyle name="Normal 3 2 10 7" xfId="14095" xr:uid="{00000000-0005-0000-0000-0000ED360000}"/>
    <cellStyle name="Normal 3 2 10 8" xfId="14096" xr:uid="{00000000-0005-0000-0000-0000EE360000}"/>
    <cellStyle name="Normal 3 2 11" xfId="14097" xr:uid="{00000000-0005-0000-0000-0000EF360000}"/>
    <cellStyle name="Normal 3 2 12" xfId="14098" xr:uid="{00000000-0005-0000-0000-0000F0360000}"/>
    <cellStyle name="Normal 3 2 13" xfId="14099" xr:uid="{00000000-0005-0000-0000-0000F1360000}"/>
    <cellStyle name="Normal 3 2 14" xfId="14100" xr:uid="{00000000-0005-0000-0000-0000F2360000}"/>
    <cellStyle name="Normal 3 2 15" xfId="14101" xr:uid="{00000000-0005-0000-0000-0000F3360000}"/>
    <cellStyle name="Normal 3 2 16" xfId="14102" xr:uid="{00000000-0005-0000-0000-0000F4360000}"/>
    <cellStyle name="Normal 3 2 17" xfId="14103" xr:uid="{00000000-0005-0000-0000-0000F5360000}"/>
    <cellStyle name="Normal 3 2 18" xfId="14104" xr:uid="{00000000-0005-0000-0000-0000F6360000}"/>
    <cellStyle name="Normal 3 2 18 2" xfId="14105" xr:uid="{00000000-0005-0000-0000-0000F7360000}"/>
    <cellStyle name="Normal 3 2 18 3" xfId="14106" xr:uid="{00000000-0005-0000-0000-0000F8360000}"/>
    <cellStyle name="Normal 3 2 19" xfId="14107" xr:uid="{00000000-0005-0000-0000-0000F9360000}"/>
    <cellStyle name="Normal 3 2 2" xfId="14108" xr:uid="{00000000-0005-0000-0000-0000FA360000}"/>
    <cellStyle name="Normal 3 2 2 10" xfId="14109" xr:uid="{00000000-0005-0000-0000-0000FB360000}"/>
    <cellStyle name="Normal 3 2 2 11" xfId="14110" xr:uid="{00000000-0005-0000-0000-0000FC360000}"/>
    <cellStyle name="Normal 3 2 2 2" xfId="14111" xr:uid="{00000000-0005-0000-0000-0000FD360000}"/>
    <cellStyle name="Normal 3 2 2 2 2" xfId="14112" xr:uid="{00000000-0005-0000-0000-0000FE360000}"/>
    <cellStyle name="Normal 3 2 2 2 2 2" xfId="14113" xr:uid="{00000000-0005-0000-0000-0000FF360000}"/>
    <cellStyle name="Normal 3 2 2 2 2 3" xfId="14114" xr:uid="{00000000-0005-0000-0000-000000370000}"/>
    <cellStyle name="Normal 3 2 2 2 3" xfId="14115" xr:uid="{00000000-0005-0000-0000-000001370000}"/>
    <cellStyle name="Normal 3 2 2 2 4" xfId="14116" xr:uid="{00000000-0005-0000-0000-000002370000}"/>
    <cellStyle name="Normal 3 2 2 3" xfId="14117" xr:uid="{00000000-0005-0000-0000-000003370000}"/>
    <cellStyle name="Normal 3 2 2 3 2" xfId="14118" xr:uid="{00000000-0005-0000-0000-000004370000}"/>
    <cellStyle name="Normal 3 2 2 3 3" xfId="14119" xr:uid="{00000000-0005-0000-0000-000005370000}"/>
    <cellStyle name="Normal 3 2 2 4" xfId="14120" xr:uid="{00000000-0005-0000-0000-000006370000}"/>
    <cellStyle name="Normal 3 2 2 4 2" xfId="14121" xr:uid="{00000000-0005-0000-0000-000007370000}"/>
    <cellStyle name="Normal 3 2 2 5" xfId="14122" xr:uid="{00000000-0005-0000-0000-000008370000}"/>
    <cellStyle name="Normal 3 2 2 5 2" xfId="14123" xr:uid="{00000000-0005-0000-0000-000009370000}"/>
    <cellStyle name="Normal 3 2 2 6" xfId="14124" xr:uid="{00000000-0005-0000-0000-00000A370000}"/>
    <cellStyle name="Normal 3 2 2 6 2" xfId="14125" xr:uid="{00000000-0005-0000-0000-00000B370000}"/>
    <cellStyle name="Normal 3 2 2 7" xfId="14126" xr:uid="{00000000-0005-0000-0000-00000C370000}"/>
    <cellStyle name="Normal 3 2 2 7 2" xfId="14127" xr:uid="{00000000-0005-0000-0000-00000D370000}"/>
    <cellStyle name="Normal 3 2 2 8" xfId="14128" xr:uid="{00000000-0005-0000-0000-00000E370000}"/>
    <cellStyle name="Normal 3 2 2 8 2" xfId="14129" xr:uid="{00000000-0005-0000-0000-00000F370000}"/>
    <cellStyle name="Normal 3 2 2 9" xfId="14130" xr:uid="{00000000-0005-0000-0000-000010370000}"/>
    <cellStyle name="Normal 3 2 2 9 2" xfId="14131" xr:uid="{00000000-0005-0000-0000-000011370000}"/>
    <cellStyle name="Normal 3 2 2_AH Bhainsa Estimate" xfId="14132" xr:uid="{00000000-0005-0000-0000-000012370000}"/>
    <cellStyle name="Normal 3 2 20" xfId="14133" xr:uid="{00000000-0005-0000-0000-000013370000}"/>
    <cellStyle name="Normal 3 2 21" xfId="14134" xr:uid="{00000000-0005-0000-0000-000014370000}"/>
    <cellStyle name="Normal 3 2 22" xfId="14135" xr:uid="{00000000-0005-0000-0000-000015370000}"/>
    <cellStyle name="Normal 3 2 23" xfId="14136" xr:uid="{00000000-0005-0000-0000-000016370000}"/>
    <cellStyle name="Normal 3 2 24" xfId="14137" xr:uid="{00000000-0005-0000-0000-000017370000}"/>
    <cellStyle name="Normal 3 2 25" xfId="14138" xr:uid="{00000000-0005-0000-0000-000018370000}"/>
    <cellStyle name="Normal 3 2 26" xfId="14139" xr:uid="{00000000-0005-0000-0000-000019370000}"/>
    <cellStyle name="Normal 3 2 27" xfId="14140" xr:uid="{00000000-0005-0000-0000-00001A370000}"/>
    <cellStyle name="Normal 3 2 28" xfId="14141" xr:uid="{00000000-0005-0000-0000-00001B370000}"/>
    <cellStyle name="Normal 3 2 29" xfId="14142" xr:uid="{00000000-0005-0000-0000-00001C370000}"/>
    <cellStyle name="Normal 3 2 3" xfId="14143" xr:uid="{00000000-0005-0000-0000-00001D370000}"/>
    <cellStyle name="Normal 3 2 3 10" xfId="14144" xr:uid="{00000000-0005-0000-0000-00001E370000}"/>
    <cellStyle name="Normal 3 2 3 11" xfId="14145" xr:uid="{00000000-0005-0000-0000-00001F370000}"/>
    <cellStyle name="Normal 3 2 3 2" xfId="14146" xr:uid="{00000000-0005-0000-0000-000020370000}"/>
    <cellStyle name="Normal 3 2 3 2 2" xfId="14147" xr:uid="{00000000-0005-0000-0000-000021370000}"/>
    <cellStyle name="Normal 3 2 3 2 2 2" xfId="14148" xr:uid="{00000000-0005-0000-0000-000022370000}"/>
    <cellStyle name="Normal 3 2 3 2 2 3" xfId="14149" xr:uid="{00000000-0005-0000-0000-000023370000}"/>
    <cellStyle name="Normal 3 2 3 2 3" xfId="14150" xr:uid="{00000000-0005-0000-0000-000024370000}"/>
    <cellStyle name="Normal 3 2 3 2 4" xfId="14151" xr:uid="{00000000-0005-0000-0000-000025370000}"/>
    <cellStyle name="Normal 3 2 3 3" xfId="14152" xr:uid="{00000000-0005-0000-0000-000026370000}"/>
    <cellStyle name="Normal 3 2 3 3 2" xfId="14153" xr:uid="{00000000-0005-0000-0000-000027370000}"/>
    <cellStyle name="Normal 3 2 3 3 2 2" xfId="14154" xr:uid="{00000000-0005-0000-0000-000028370000}"/>
    <cellStyle name="Normal 3 2 3 3 2 3" xfId="14155" xr:uid="{00000000-0005-0000-0000-000029370000}"/>
    <cellStyle name="Normal 3 2 3 3 2 3 2" xfId="14156" xr:uid="{00000000-0005-0000-0000-00002A370000}"/>
    <cellStyle name="Normal 3 2 3 3 2 3 2 2" xfId="14157" xr:uid="{00000000-0005-0000-0000-00002B370000}"/>
    <cellStyle name="Normal 3 2 3 3 2 3 2 3" xfId="14158" xr:uid="{00000000-0005-0000-0000-00002C370000}"/>
    <cellStyle name="Normal 3 2 3 3 2 3 2 4" xfId="14159" xr:uid="{00000000-0005-0000-0000-00002D370000}"/>
    <cellStyle name="Normal 3 2 3 3 2 3 2 5" xfId="14160" xr:uid="{00000000-0005-0000-0000-00002E370000}"/>
    <cellStyle name="Normal 3 2 3 3 3" xfId="14161" xr:uid="{00000000-0005-0000-0000-00002F370000}"/>
    <cellStyle name="Normal 3 2 3 3 4" xfId="14162" xr:uid="{00000000-0005-0000-0000-000030370000}"/>
    <cellStyle name="Normal 3 2 3 3 5" xfId="14163" xr:uid="{00000000-0005-0000-0000-000031370000}"/>
    <cellStyle name="Normal 3 2 3 4" xfId="14164" xr:uid="{00000000-0005-0000-0000-000032370000}"/>
    <cellStyle name="Normal 3 2 3 4 2" xfId="14165" xr:uid="{00000000-0005-0000-0000-000033370000}"/>
    <cellStyle name="Normal 3 2 3 5" xfId="14166" xr:uid="{00000000-0005-0000-0000-000034370000}"/>
    <cellStyle name="Normal 3 2 3 5 2" xfId="14167" xr:uid="{00000000-0005-0000-0000-000035370000}"/>
    <cellStyle name="Normal 3 2 3 5 3" xfId="14168" xr:uid="{00000000-0005-0000-0000-000036370000}"/>
    <cellStyle name="Normal 3 2 3 6" xfId="14169" xr:uid="{00000000-0005-0000-0000-000037370000}"/>
    <cellStyle name="Normal 3 2 3 7" xfId="14170" xr:uid="{00000000-0005-0000-0000-000038370000}"/>
    <cellStyle name="Normal 3 2 3 8" xfId="14171" xr:uid="{00000000-0005-0000-0000-000039370000}"/>
    <cellStyle name="Normal 3 2 3 9" xfId="14172" xr:uid="{00000000-0005-0000-0000-00003A370000}"/>
    <cellStyle name="Normal 3 2 30" xfId="14173" xr:uid="{00000000-0005-0000-0000-00003B370000}"/>
    <cellStyle name="Normal 3 2 31" xfId="14174" xr:uid="{00000000-0005-0000-0000-00003C370000}"/>
    <cellStyle name="Normal 3 2 32" xfId="14175" xr:uid="{00000000-0005-0000-0000-00003D370000}"/>
    <cellStyle name="Normal 3 2 33" xfId="14176" xr:uid="{00000000-0005-0000-0000-00003E370000}"/>
    <cellStyle name="Normal 3 2 34" xfId="14177" xr:uid="{00000000-0005-0000-0000-00003F370000}"/>
    <cellStyle name="Normal 3 2 35" xfId="14178" xr:uid="{00000000-0005-0000-0000-000040370000}"/>
    <cellStyle name="Normal 3 2 36" xfId="14179" xr:uid="{00000000-0005-0000-0000-000041370000}"/>
    <cellStyle name="Normal 3 2 37" xfId="14180" xr:uid="{00000000-0005-0000-0000-000042370000}"/>
    <cellStyle name="Normal 3 2 38" xfId="14181" xr:uid="{00000000-0005-0000-0000-000043370000}"/>
    <cellStyle name="Normal 3 2 39" xfId="14182" xr:uid="{00000000-0005-0000-0000-000044370000}"/>
    <cellStyle name="Normal 3 2 4" xfId="14183" xr:uid="{00000000-0005-0000-0000-000045370000}"/>
    <cellStyle name="Normal 3 2 4 10" xfId="14184" xr:uid="{00000000-0005-0000-0000-000046370000}"/>
    <cellStyle name="Normal 3 2 4 2" xfId="14185" xr:uid="{00000000-0005-0000-0000-000047370000}"/>
    <cellStyle name="Normal 3 2 4 3" xfId="14186" xr:uid="{00000000-0005-0000-0000-000048370000}"/>
    <cellStyle name="Normal 3 2 4 4" xfId="14187" xr:uid="{00000000-0005-0000-0000-000049370000}"/>
    <cellStyle name="Normal 3 2 4 5" xfId="14188" xr:uid="{00000000-0005-0000-0000-00004A370000}"/>
    <cellStyle name="Normal 3 2 4 6" xfId="14189" xr:uid="{00000000-0005-0000-0000-00004B370000}"/>
    <cellStyle name="Normal 3 2 4 7" xfId="14190" xr:uid="{00000000-0005-0000-0000-00004C370000}"/>
    <cellStyle name="Normal 3 2 4 8" xfId="14191" xr:uid="{00000000-0005-0000-0000-00004D370000}"/>
    <cellStyle name="Normal 3 2 4 9" xfId="14192" xr:uid="{00000000-0005-0000-0000-00004E370000}"/>
    <cellStyle name="Normal 3 2 40" xfId="14193" xr:uid="{00000000-0005-0000-0000-00004F370000}"/>
    <cellStyle name="Normal 3 2 41" xfId="14194" xr:uid="{00000000-0005-0000-0000-000050370000}"/>
    <cellStyle name="Normal 3 2 42" xfId="14195" xr:uid="{00000000-0005-0000-0000-000051370000}"/>
    <cellStyle name="Normal 3 2 43" xfId="14196" xr:uid="{00000000-0005-0000-0000-000052370000}"/>
    <cellStyle name="Normal 3 2 44" xfId="14197" xr:uid="{00000000-0005-0000-0000-000053370000}"/>
    <cellStyle name="Normal 3 2 45" xfId="14198" xr:uid="{00000000-0005-0000-0000-000054370000}"/>
    <cellStyle name="Normal 3 2 46" xfId="14199" xr:uid="{00000000-0005-0000-0000-000055370000}"/>
    <cellStyle name="Normal 3 2 47" xfId="14200" xr:uid="{00000000-0005-0000-0000-000056370000}"/>
    <cellStyle name="Normal 3 2 48" xfId="14201" xr:uid="{00000000-0005-0000-0000-000057370000}"/>
    <cellStyle name="Normal 3 2 49" xfId="14202" xr:uid="{00000000-0005-0000-0000-000058370000}"/>
    <cellStyle name="Normal 3 2 5" xfId="14203" xr:uid="{00000000-0005-0000-0000-000059370000}"/>
    <cellStyle name="Normal 3 2 5 10" xfId="14204" xr:uid="{00000000-0005-0000-0000-00005A370000}"/>
    <cellStyle name="Normal 3 2 5 2" xfId="14205" xr:uid="{00000000-0005-0000-0000-00005B370000}"/>
    <cellStyle name="Normal 3 2 5 3" xfId="14206" xr:uid="{00000000-0005-0000-0000-00005C370000}"/>
    <cellStyle name="Normal 3 2 5 4" xfId="14207" xr:uid="{00000000-0005-0000-0000-00005D370000}"/>
    <cellStyle name="Normal 3 2 5 5" xfId="14208" xr:uid="{00000000-0005-0000-0000-00005E370000}"/>
    <cellStyle name="Normal 3 2 5 6" xfId="14209" xr:uid="{00000000-0005-0000-0000-00005F370000}"/>
    <cellStyle name="Normal 3 2 5 7" xfId="14210" xr:uid="{00000000-0005-0000-0000-000060370000}"/>
    <cellStyle name="Normal 3 2 5 8" xfId="14211" xr:uid="{00000000-0005-0000-0000-000061370000}"/>
    <cellStyle name="Normal 3 2 5 9" xfId="14212" xr:uid="{00000000-0005-0000-0000-000062370000}"/>
    <cellStyle name="Normal 3 2 50" xfId="14213" xr:uid="{00000000-0005-0000-0000-000063370000}"/>
    <cellStyle name="Normal 3 2 51" xfId="14214" xr:uid="{00000000-0005-0000-0000-000064370000}"/>
    <cellStyle name="Normal 3 2 52" xfId="14215" xr:uid="{00000000-0005-0000-0000-000065370000}"/>
    <cellStyle name="Normal 3 2 53" xfId="14216" xr:uid="{00000000-0005-0000-0000-000066370000}"/>
    <cellStyle name="Normal 3 2 54" xfId="14217" xr:uid="{00000000-0005-0000-0000-000067370000}"/>
    <cellStyle name="Normal 3 2 55" xfId="14218" xr:uid="{00000000-0005-0000-0000-000068370000}"/>
    <cellStyle name="Normal 3 2 56" xfId="14219" xr:uid="{00000000-0005-0000-0000-000069370000}"/>
    <cellStyle name="Normal 3 2 57" xfId="14220" xr:uid="{00000000-0005-0000-0000-00006A370000}"/>
    <cellStyle name="Normal 3 2 58" xfId="14221" xr:uid="{00000000-0005-0000-0000-00006B370000}"/>
    <cellStyle name="Normal 3 2 59" xfId="14222" xr:uid="{00000000-0005-0000-0000-00006C370000}"/>
    <cellStyle name="Normal 3 2 6" xfId="14223" xr:uid="{00000000-0005-0000-0000-00006D370000}"/>
    <cellStyle name="Normal 3 2 6 10" xfId="14224" xr:uid="{00000000-0005-0000-0000-00006E370000}"/>
    <cellStyle name="Normal 3 2 6 2" xfId="14225" xr:uid="{00000000-0005-0000-0000-00006F370000}"/>
    <cellStyle name="Normal 3 2 6 3" xfId="14226" xr:uid="{00000000-0005-0000-0000-000070370000}"/>
    <cellStyle name="Normal 3 2 6 4" xfId="14227" xr:uid="{00000000-0005-0000-0000-000071370000}"/>
    <cellStyle name="Normal 3 2 6 5" xfId="14228" xr:uid="{00000000-0005-0000-0000-000072370000}"/>
    <cellStyle name="Normal 3 2 6 6" xfId="14229" xr:uid="{00000000-0005-0000-0000-000073370000}"/>
    <cellStyle name="Normal 3 2 6 7" xfId="14230" xr:uid="{00000000-0005-0000-0000-000074370000}"/>
    <cellStyle name="Normal 3 2 6 8" xfId="14231" xr:uid="{00000000-0005-0000-0000-000075370000}"/>
    <cellStyle name="Normal 3 2 6 9" xfId="14232" xr:uid="{00000000-0005-0000-0000-000076370000}"/>
    <cellStyle name="Normal 3 2 60" xfId="14233" xr:uid="{00000000-0005-0000-0000-000077370000}"/>
    <cellStyle name="Normal 3 2 61" xfId="14234" xr:uid="{00000000-0005-0000-0000-000078370000}"/>
    <cellStyle name="Normal 3 2 62" xfId="14235" xr:uid="{00000000-0005-0000-0000-000079370000}"/>
    <cellStyle name="Normal 3 2 63" xfId="14236" xr:uid="{00000000-0005-0000-0000-00007A370000}"/>
    <cellStyle name="Normal 3 2 64" xfId="14237" xr:uid="{00000000-0005-0000-0000-00007B370000}"/>
    <cellStyle name="Normal 3 2 65" xfId="14238" xr:uid="{00000000-0005-0000-0000-00007C370000}"/>
    <cellStyle name="Normal 3 2 66" xfId="14239" xr:uid="{00000000-0005-0000-0000-00007D370000}"/>
    <cellStyle name="Normal 3 2 67" xfId="14240" xr:uid="{00000000-0005-0000-0000-00007E370000}"/>
    <cellStyle name="Normal 3 2 68" xfId="14241" xr:uid="{00000000-0005-0000-0000-00007F370000}"/>
    <cellStyle name="Normal 3 2 69" xfId="14242" xr:uid="{00000000-0005-0000-0000-000080370000}"/>
    <cellStyle name="Normal 3 2 7" xfId="14243" xr:uid="{00000000-0005-0000-0000-000081370000}"/>
    <cellStyle name="Normal 3 2 7 2" xfId="14244" xr:uid="{00000000-0005-0000-0000-000082370000}"/>
    <cellStyle name="Normal 3 2 7 3" xfId="14245" xr:uid="{00000000-0005-0000-0000-000083370000}"/>
    <cellStyle name="Normal 3 2 7 4" xfId="14246" xr:uid="{00000000-0005-0000-0000-000084370000}"/>
    <cellStyle name="Normal 3 2 7 5" xfId="14247" xr:uid="{00000000-0005-0000-0000-000085370000}"/>
    <cellStyle name="Normal 3 2 7 6" xfId="14248" xr:uid="{00000000-0005-0000-0000-000086370000}"/>
    <cellStyle name="Normal 3 2 7 7" xfId="14249" xr:uid="{00000000-0005-0000-0000-000087370000}"/>
    <cellStyle name="Normal 3 2 7 8" xfId="14250" xr:uid="{00000000-0005-0000-0000-000088370000}"/>
    <cellStyle name="Normal 3 2 70" xfId="14251" xr:uid="{00000000-0005-0000-0000-000089370000}"/>
    <cellStyle name="Normal 3 2 71" xfId="14252" xr:uid="{00000000-0005-0000-0000-00008A370000}"/>
    <cellStyle name="Normal 3 2 72" xfId="14253" xr:uid="{00000000-0005-0000-0000-00008B370000}"/>
    <cellStyle name="Normal 3 2 8" xfId="14254" xr:uid="{00000000-0005-0000-0000-00008C370000}"/>
    <cellStyle name="Normal 3 2 8 2" xfId="14255" xr:uid="{00000000-0005-0000-0000-00008D370000}"/>
    <cellStyle name="Normal 3 2 8 3" xfId="14256" xr:uid="{00000000-0005-0000-0000-00008E370000}"/>
    <cellStyle name="Normal 3 2 8 4" xfId="14257" xr:uid="{00000000-0005-0000-0000-00008F370000}"/>
    <cellStyle name="Normal 3 2 8 5" xfId="14258" xr:uid="{00000000-0005-0000-0000-000090370000}"/>
    <cellStyle name="Normal 3 2 8 6" xfId="14259" xr:uid="{00000000-0005-0000-0000-000091370000}"/>
    <cellStyle name="Normal 3 2 8 7" xfId="14260" xr:uid="{00000000-0005-0000-0000-000092370000}"/>
    <cellStyle name="Normal 3 2 8 8" xfId="14261" xr:uid="{00000000-0005-0000-0000-000093370000}"/>
    <cellStyle name="Normal 3 2 9" xfId="14262" xr:uid="{00000000-0005-0000-0000-000094370000}"/>
    <cellStyle name="Normal 3 2 9 2" xfId="14263" xr:uid="{00000000-0005-0000-0000-000095370000}"/>
    <cellStyle name="Normal 3 2 9 3" xfId="14264" xr:uid="{00000000-0005-0000-0000-000096370000}"/>
    <cellStyle name="Normal 3 2 9 4" xfId="14265" xr:uid="{00000000-0005-0000-0000-000097370000}"/>
    <cellStyle name="Normal 3 2 9 5" xfId="14266" xr:uid="{00000000-0005-0000-0000-000098370000}"/>
    <cellStyle name="Normal 3 2 9 6" xfId="14267" xr:uid="{00000000-0005-0000-0000-000099370000}"/>
    <cellStyle name="Normal 3 2 9 7" xfId="14268" xr:uid="{00000000-0005-0000-0000-00009A370000}"/>
    <cellStyle name="Normal 3 2 9 8" xfId="14269" xr:uid="{00000000-0005-0000-0000-00009B370000}"/>
    <cellStyle name="Normal 3 2_(9) 3 ACRs (GF) &amp; 2 ACRs (FF)" xfId="14270" xr:uid="{00000000-0005-0000-0000-00009C370000}"/>
    <cellStyle name="Normal 3 20" xfId="14271" xr:uid="{00000000-0005-0000-0000-00009D370000}"/>
    <cellStyle name="Normal 3 20 2" xfId="14272" xr:uid="{00000000-0005-0000-0000-00009E370000}"/>
    <cellStyle name="Normal 3 20 2 2" xfId="14273" xr:uid="{00000000-0005-0000-0000-00009F370000}"/>
    <cellStyle name="Normal 3 20 3" xfId="14274" xr:uid="{00000000-0005-0000-0000-0000A0370000}"/>
    <cellStyle name="Normal 3 20 3 2" xfId="14275" xr:uid="{00000000-0005-0000-0000-0000A1370000}"/>
    <cellStyle name="Normal 3 20 4" xfId="14276" xr:uid="{00000000-0005-0000-0000-0000A2370000}"/>
    <cellStyle name="Normal 3 20 5" xfId="14277" xr:uid="{00000000-0005-0000-0000-0000A3370000}"/>
    <cellStyle name="Normal 3 20 6" xfId="14278" xr:uid="{00000000-0005-0000-0000-0000A4370000}"/>
    <cellStyle name="Normal 3 21" xfId="14279" xr:uid="{00000000-0005-0000-0000-0000A5370000}"/>
    <cellStyle name="Normal 3 21 2" xfId="14280" xr:uid="{00000000-0005-0000-0000-0000A6370000}"/>
    <cellStyle name="Normal 3 21 2 2" xfId="14281" xr:uid="{00000000-0005-0000-0000-0000A7370000}"/>
    <cellStyle name="Normal 3 21 3" xfId="14282" xr:uid="{00000000-0005-0000-0000-0000A8370000}"/>
    <cellStyle name="Normal 3 21 3 2" xfId="14283" xr:uid="{00000000-0005-0000-0000-0000A9370000}"/>
    <cellStyle name="Normal 3 21 4" xfId="14284" xr:uid="{00000000-0005-0000-0000-0000AA370000}"/>
    <cellStyle name="Normal 3 22" xfId="14285" xr:uid="{00000000-0005-0000-0000-0000AB370000}"/>
    <cellStyle name="Normal 3 22 2" xfId="14286" xr:uid="{00000000-0005-0000-0000-0000AC370000}"/>
    <cellStyle name="Normal 3 22 2 2" xfId="14287" xr:uid="{00000000-0005-0000-0000-0000AD370000}"/>
    <cellStyle name="Normal 3 22 3" xfId="14288" xr:uid="{00000000-0005-0000-0000-0000AE370000}"/>
    <cellStyle name="Normal 3 22 3 2" xfId="14289" xr:uid="{00000000-0005-0000-0000-0000AF370000}"/>
    <cellStyle name="Normal 3 22 4" xfId="14290" xr:uid="{00000000-0005-0000-0000-0000B0370000}"/>
    <cellStyle name="Normal 3 23" xfId="14291" xr:uid="{00000000-0005-0000-0000-0000B1370000}"/>
    <cellStyle name="Normal 3 23 2" xfId="14292" xr:uid="{00000000-0005-0000-0000-0000B2370000}"/>
    <cellStyle name="Normal 3 23 2 2" xfId="14293" xr:uid="{00000000-0005-0000-0000-0000B3370000}"/>
    <cellStyle name="Normal 3 23 3" xfId="14294" xr:uid="{00000000-0005-0000-0000-0000B4370000}"/>
    <cellStyle name="Normal 3 23 3 2" xfId="14295" xr:uid="{00000000-0005-0000-0000-0000B5370000}"/>
    <cellStyle name="Normal 3 23 4" xfId="14296" xr:uid="{00000000-0005-0000-0000-0000B6370000}"/>
    <cellStyle name="Normal 3 24" xfId="14297" xr:uid="{00000000-0005-0000-0000-0000B7370000}"/>
    <cellStyle name="Normal 3 24 2" xfId="14298" xr:uid="{00000000-0005-0000-0000-0000B8370000}"/>
    <cellStyle name="Normal 3 24 2 2" xfId="14299" xr:uid="{00000000-0005-0000-0000-0000B9370000}"/>
    <cellStyle name="Normal 3 24 3" xfId="14300" xr:uid="{00000000-0005-0000-0000-0000BA370000}"/>
    <cellStyle name="Normal 3 24 3 2" xfId="14301" xr:uid="{00000000-0005-0000-0000-0000BB370000}"/>
    <cellStyle name="Normal 3 24 4" xfId="14302" xr:uid="{00000000-0005-0000-0000-0000BC370000}"/>
    <cellStyle name="Normal 3 25" xfId="14303" xr:uid="{00000000-0005-0000-0000-0000BD370000}"/>
    <cellStyle name="Normal 3 25 2" xfId="14304" xr:uid="{00000000-0005-0000-0000-0000BE370000}"/>
    <cellStyle name="Normal 3 25 2 2" xfId="14305" xr:uid="{00000000-0005-0000-0000-0000BF370000}"/>
    <cellStyle name="Normal 3 25 3" xfId="14306" xr:uid="{00000000-0005-0000-0000-0000C0370000}"/>
    <cellStyle name="Normal 3 25 3 2" xfId="14307" xr:uid="{00000000-0005-0000-0000-0000C1370000}"/>
    <cellStyle name="Normal 3 25 4" xfId="14308" xr:uid="{00000000-0005-0000-0000-0000C2370000}"/>
    <cellStyle name="Normal 3 25 5" xfId="14309" xr:uid="{00000000-0005-0000-0000-0000C3370000}"/>
    <cellStyle name="Normal 3 25 6" xfId="14310" xr:uid="{00000000-0005-0000-0000-0000C4370000}"/>
    <cellStyle name="Normal 3 26" xfId="14311" xr:uid="{00000000-0005-0000-0000-0000C5370000}"/>
    <cellStyle name="Normal 3 26 2" xfId="14312" xr:uid="{00000000-0005-0000-0000-0000C6370000}"/>
    <cellStyle name="Normal 3 26 2 2" xfId="14313" xr:uid="{00000000-0005-0000-0000-0000C7370000}"/>
    <cellStyle name="Normal 3 26 3" xfId="14314" xr:uid="{00000000-0005-0000-0000-0000C8370000}"/>
    <cellStyle name="Normal 3 26 3 2" xfId="14315" xr:uid="{00000000-0005-0000-0000-0000C9370000}"/>
    <cellStyle name="Normal 3 26 4" xfId="14316" xr:uid="{00000000-0005-0000-0000-0000CA370000}"/>
    <cellStyle name="Normal 3 26 5" xfId="14317" xr:uid="{00000000-0005-0000-0000-0000CB370000}"/>
    <cellStyle name="Normal 3 26 6" xfId="14318" xr:uid="{00000000-0005-0000-0000-0000CC370000}"/>
    <cellStyle name="Normal 3 27" xfId="14319" xr:uid="{00000000-0005-0000-0000-0000CD370000}"/>
    <cellStyle name="Normal 3 27 2" xfId="14320" xr:uid="{00000000-0005-0000-0000-0000CE370000}"/>
    <cellStyle name="Normal 3 27 2 2" xfId="14321" xr:uid="{00000000-0005-0000-0000-0000CF370000}"/>
    <cellStyle name="Normal 3 27 3" xfId="14322" xr:uid="{00000000-0005-0000-0000-0000D0370000}"/>
    <cellStyle name="Normal 3 27 3 2" xfId="14323" xr:uid="{00000000-0005-0000-0000-0000D1370000}"/>
    <cellStyle name="Normal 3 27 4" xfId="14324" xr:uid="{00000000-0005-0000-0000-0000D2370000}"/>
    <cellStyle name="Normal 3 27 5" xfId="14325" xr:uid="{00000000-0005-0000-0000-0000D3370000}"/>
    <cellStyle name="Normal 3 27 6" xfId="14326" xr:uid="{00000000-0005-0000-0000-0000D4370000}"/>
    <cellStyle name="Normal 3 28" xfId="14327" xr:uid="{00000000-0005-0000-0000-0000D5370000}"/>
    <cellStyle name="Normal 3 28 2" xfId="14328" xr:uid="{00000000-0005-0000-0000-0000D6370000}"/>
    <cellStyle name="Normal 3 28 2 2" xfId="14329" xr:uid="{00000000-0005-0000-0000-0000D7370000}"/>
    <cellStyle name="Normal 3 28 3" xfId="14330" xr:uid="{00000000-0005-0000-0000-0000D8370000}"/>
    <cellStyle name="Normal 3 28 3 2" xfId="14331" xr:uid="{00000000-0005-0000-0000-0000D9370000}"/>
    <cellStyle name="Normal 3 28 4" xfId="14332" xr:uid="{00000000-0005-0000-0000-0000DA370000}"/>
    <cellStyle name="Normal 3 28 5" xfId="14333" xr:uid="{00000000-0005-0000-0000-0000DB370000}"/>
    <cellStyle name="Normal 3 28 6" xfId="14334" xr:uid="{00000000-0005-0000-0000-0000DC370000}"/>
    <cellStyle name="Normal 3 29" xfId="14335" xr:uid="{00000000-0005-0000-0000-0000DD370000}"/>
    <cellStyle name="Normal 3 29 2" xfId="14336" xr:uid="{00000000-0005-0000-0000-0000DE370000}"/>
    <cellStyle name="Normal 3 29 2 2" xfId="14337" xr:uid="{00000000-0005-0000-0000-0000DF370000}"/>
    <cellStyle name="Normal 3 29 3" xfId="14338" xr:uid="{00000000-0005-0000-0000-0000E0370000}"/>
    <cellStyle name="Normal 3 29 3 2" xfId="14339" xr:uid="{00000000-0005-0000-0000-0000E1370000}"/>
    <cellStyle name="Normal 3 29 4" xfId="14340" xr:uid="{00000000-0005-0000-0000-0000E2370000}"/>
    <cellStyle name="Normal 3 29 5" xfId="14341" xr:uid="{00000000-0005-0000-0000-0000E3370000}"/>
    <cellStyle name="Normal 3 29 6" xfId="14342" xr:uid="{00000000-0005-0000-0000-0000E4370000}"/>
    <cellStyle name="Normal 3 3" xfId="14343" xr:uid="{00000000-0005-0000-0000-0000E5370000}"/>
    <cellStyle name="Normal 3 3 2" xfId="14344" xr:uid="{00000000-0005-0000-0000-0000E6370000}"/>
    <cellStyle name="Normal 3 3 2 10" xfId="14345" xr:uid="{00000000-0005-0000-0000-0000E7370000}"/>
    <cellStyle name="Normal 3 3 2 10 2" xfId="14346" xr:uid="{00000000-0005-0000-0000-0000E8370000}"/>
    <cellStyle name="Normal 3 3 2 10 3" xfId="14347" xr:uid="{00000000-0005-0000-0000-0000E9370000}"/>
    <cellStyle name="Normal 3 3 2 11" xfId="14348" xr:uid="{00000000-0005-0000-0000-0000EA370000}"/>
    <cellStyle name="Normal 3 3 2 11 2" xfId="14349" xr:uid="{00000000-0005-0000-0000-0000EB370000}"/>
    <cellStyle name="Normal 3 3 2 11 3" xfId="14350" xr:uid="{00000000-0005-0000-0000-0000EC370000}"/>
    <cellStyle name="Normal 3 3 2 12" xfId="14351" xr:uid="{00000000-0005-0000-0000-0000ED370000}"/>
    <cellStyle name="Normal 3 3 2 12 2" xfId="14352" xr:uid="{00000000-0005-0000-0000-0000EE370000}"/>
    <cellStyle name="Normal 3 3 2 12 3" xfId="14353" xr:uid="{00000000-0005-0000-0000-0000EF370000}"/>
    <cellStyle name="Normal 3 3 2 13" xfId="14354" xr:uid="{00000000-0005-0000-0000-0000F0370000}"/>
    <cellStyle name="Normal 3 3 2 14" xfId="14355" xr:uid="{00000000-0005-0000-0000-0000F1370000}"/>
    <cellStyle name="Normal 3 3 2 2" xfId="14356" xr:uid="{00000000-0005-0000-0000-0000F2370000}"/>
    <cellStyle name="Normal 3 3 2 2 10" xfId="14357" xr:uid="{00000000-0005-0000-0000-0000F3370000}"/>
    <cellStyle name="Normal 3 3 2 2 2" xfId="14358" xr:uid="{00000000-0005-0000-0000-0000F4370000}"/>
    <cellStyle name="Normal 3 3 2 2 2 2" xfId="14359" xr:uid="{00000000-0005-0000-0000-0000F5370000}"/>
    <cellStyle name="Normal 3 3 2 2 2 3" xfId="14360" xr:uid="{00000000-0005-0000-0000-0000F6370000}"/>
    <cellStyle name="Normal 3 3 2 2 2 4" xfId="14361" xr:uid="{00000000-0005-0000-0000-0000F7370000}"/>
    <cellStyle name="Normal 3 3 2 2 2 5" xfId="14362" xr:uid="{00000000-0005-0000-0000-0000F8370000}"/>
    <cellStyle name="Normal 3 3 2 2 3" xfId="14363" xr:uid="{00000000-0005-0000-0000-0000F9370000}"/>
    <cellStyle name="Normal 3 3 2 2 3 2" xfId="14364" xr:uid="{00000000-0005-0000-0000-0000FA370000}"/>
    <cellStyle name="Normal 3 3 2 2 3 3" xfId="14365" xr:uid="{00000000-0005-0000-0000-0000FB370000}"/>
    <cellStyle name="Normal 3 3 2 2 3 4" xfId="14366" xr:uid="{00000000-0005-0000-0000-0000FC370000}"/>
    <cellStyle name="Normal 3 3 2 2 3 5" xfId="14367" xr:uid="{00000000-0005-0000-0000-0000FD370000}"/>
    <cellStyle name="Normal 3 3 2 2 4" xfId="14368" xr:uid="{00000000-0005-0000-0000-0000FE370000}"/>
    <cellStyle name="Normal 3 3 2 2 4 2" xfId="14369" xr:uid="{00000000-0005-0000-0000-0000FF370000}"/>
    <cellStyle name="Normal 3 3 2 2 4 3" xfId="14370" xr:uid="{00000000-0005-0000-0000-000000380000}"/>
    <cellStyle name="Normal 3 3 2 2 4 4" xfId="14371" xr:uid="{00000000-0005-0000-0000-000001380000}"/>
    <cellStyle name="Normal 3 3 2 2 4 5" xfId="14372" xr:uid="{00000000-0005-0000-0000-000002380000}"/>
    <cellStyle name="Normal 3 3 2 2 5" xfId="14373" xr:uid="{00000000-0005-0000-0000-000003380000}"/>
    <cellStyle name="Normal 3 3 2 2 5 2" xfId="14374" xr:uid="{00000000-0005-0000-0000-000004380000}"/>
    <cellStyle name="Normal 3 3 2 2 5 3" xfId="14375" xr:uid="{00000000-0005-0000-0000-000005380000}"/>
    <cellStyle name="Normal 3 3 2 2 6" xfId="14376" xr:uid="{00000000-0005-0000-0000-000006380000}"/>
    <cellStyle name="Normal 3 3 2 2 6 2" xfId="14377" xr:uid="{00000000-0005-0000-0000-000007380000}"/>
    <cellStyle name="Normal 3 3 2 2 6 3" xfId="14378" xr:uid="{00000000-0005-0000-0000-000008380000}"/>
    <cellStyle name="Normal 3 3 2 2 7" xfId="14379" xr:uid="{00000000-0005-0000-0000-000009380000}"/>
    <cellStyle name="Normal 3 3 2 2 8" xfId="14380" xr:uid="{00000000-0005-0000-0000-00000A380000}"/>
    <cellStyle name="Normal 3 3 2 2 9" xfId="14381" xr:uid="{00000000-0005-0000-0000-00000B380000}"/>
    <cellStyle name="Normal 3 3 2 3" xfId="14382" xr:uid="{00000000-0005-0000-0000-00000C380000}"/>
    <cellStyle name="Normal 3 3 2 3 2" xfId="14383" xr:uid="{00000000-0005-0000-0000-00000D380000}"/>
    <cellStyle name="Normal 3 3 2 3 2 2" xfId="14384" xr:uid="{00000000-0005-0000-0000-00000E380000}"/>
    <cellStyle name="Normal 3 3 2 3 2 3" xfId="14385" xr:uid="{00000000-0005-0000-0000-00000F380000}"/>
    <cellStyle name="Normal 3 3 2 3 3" xfId="14386" xr:uid="{00000000-0005-0000-0000-000010380000}"/>
    <cellStyle name="Normal 3 3 2 3 3 2" xfId="14387" xr:uid="{00000000-0005-0000-0000-000011380000}"/>
    <cellStyle name="Normal 3 3 2 3 3 3" xfId="14388" xr:uid="{00000000-0005-0000-0000-000012380000}"/>
    <cellStyle name="Normal 3 3 2 3 4" xfId="14389" xr:uid="{00000000-0005-0000-0000-000013380000}"/>
    <cellStyle name="Normal 3 3 2 3 4 2" xfId="14390" xr:uid="{00000000-0005-0000-0000-000014380000}"/>
    <cellStyle name="Normal 3 3 2 3 4 3" xfId="14391" xr:uid="{00000000-0005-0000-0000-000015380000}"/>
    <cellStyle name="Normal 3 3 2 3 5" xfId="14392" xr:uid="{00000000-0005-0000-0000-000016380000}"/>
    <cellStyle name="Normal 3 3 2 3 5 2" xfId="14393" xr:uid="{00000000-0005-0000-0000-000017380000}"/>
    <cellStyle name="Normal 3 3 2 3 5 3" xfId="14394" xr:uid="{00000000-0005-0000-0000-000018380000}"/>
    <cellStyle name="Normal 3 3 2 3 6" xfId="14395" xr:uid="{00000000-0005-0000-0000-000019380000}"/>
    <cellStyle name="Normal 3 3 2 3 6 2" xfId="14396" xr:uid="{00000000-0005-0000-0000-00001A380000}"/>
    <cellStyle name="Normal 3 3 2 3 6 3" xfId="14397" xr:uid="{00000000-0005-0000-0000-00001B380000}"/>
    <cellStyle name="Normal 3 3 2 3 7" xfId="14398" xr:uid="{00000000-0005-0000-0000-00001C380000}"/>
    <cellStyle name="Normal 3 3 2 3 8" xfId="14399" xr:uid="{00000000-0005-0000-0000-00001D380000}"/>
    <cellStyle name="Normal 3 3 2 4" xfId="14400" xr:uid="{00000000-0005-0000-0000-00001E380000}"/>
    <cellStyle name="Normal 3 3 2 4 2" xfId="14401" xr:uid="{00000000-0005-0000-0000-00001F380000}"/>
    <cellStyle name="Normal 3 3 2 4 2 2" xfId="14402" xr:uid="{00000000-0005-0000-0000-000020380000}"/>
    <cellStyle name="Normal 3 3 2 4 2 3" xfId="14403" xr:uid="{00000000-0005-0000-0000-000021380000}"/>
    <cellStyle name="Normal 3 3 2 4 3" xfId="14404" xr:uid="{00000000-0005-0000-0000-000022380000}"/>
    <cellStyle name="Normal 3 3 2 4 3 2" xfId="14405" xr:uid="{00000000-0005-0000-0000-000023380000}"/>
    <cellStyle name="Normal 3 3 2 4 3 3" xfId="14406" xr:uid="{00000000-0005-0000-0000-000024380000}"/>
    <cellStyle name="Normal 3 3 2 4 4" xfId="14407" xr:uid="{00000000-0005-0000-0000-000025380000}"/>
    <cellStyle name="Normal 3 3 2 4 4 2" xfId="14408" xr:uid="{00000000-0005-0000-0000-000026380000}"/>
    <cellStyle name="Normal 3 3 2 4 4 3" xfId="14409" xr:uid="{00000000-0005-0000-0000-000027380000}"/>
    <cellStyle name="Normal 3 3 2 4 5" xfId="14410" xr:uid="{00000000-0005-0000-0000-000028380000}"/>
    <cellStyle name="Normal 3 3 2 4 5 2" xfId="14411" xr:uid="{00000000-0005-0000-0000-000029380000}"/>
    <cellStyle name="Normal 3 3 2 4 5 3" xfId="14412" xr:uid="{00000000-0005-0000-0000-00002A380000}"/>
    <cellStyle name="Normal 3 3 2 4 6" xfId="14413" xr:uid="{00000000-0005-0000-0000-00002B380000}"/>
    <cellStyle name="Normal 3 3 2 4 6 2" xfId="14414" xr:uid="{00000000-0005-0000-0000-00002C380000}"/>
    <cellStyle name="Normal 3 3 2 4 6 3" xfId="14415" xr:uid="{00000000-0005-0000-0000-00002D380000}"/>
    <cellStyle name="Normal 3 3 2 4 7" xfId="14416" xr:uid="{00000000-0005-0000-0000-00002E380000}"/>
    <cellStyle name="Normal 3 3 2 4 8" xfId="14417" xr:uid="{00000000-0005-0000-0000-00002F380000}"/>
    <cellStyle name="Normal 3 3 2 5" xfId="14418" xr:uid="{00000000-0005-0000-0000-000030380000}"/>
    <cellStyle name="Normal 3 3 2 5 2" xfId="14419" xr:uid="{00000000-0005-0000-0000-000031380000}"/>
    <cellStyle name="Normal 3 3 2 5 2 2" xfId="14420" xr:uid="{00000000-0005-0000-0000-000032380000}"/>
    <cellStyle name="Normal 3 3 2 5 2 3" xfId="14421" xr:uid="{00000000-0005-0000-0000-000033380000}"/>
    <cellStyle name="Normal 3 3 2 5 3" xfId="14422" xr:uid="{00000000-0005-0000-0000-000034380000}"/>
    <cellStyle name="Normal 3 3 2 5 3 2" xfId="14423" xr:uid="{00000000-0005-0000-0000-000035380000}"/>
    <cellStyle name="Normal 3 3 2 5 3 3" xfId="14424" xr:uid="{00000000-0005-0000-0000-000036380000}"/>
    <cellStyle name="Normal 3 3 2 5 4" xfId="14425" xr:uid="{00000000-0005-0000-0000-000037380000}"/>
    <cellStyle name="Normal 3 3 2 5 4 2" xfId="14426" xr:uid="{00000000-0005-0000-0000-000038380000}"/>
    <cellStyle name="Normal 3 3 2 5 4 3" xfId="14427" xr:uid="{00000000-0005-0000-0000-000039380000}"/>
    <cellStyle name="Normal 3 3 2 5 5" xfId="14428" xr:uid="{00000000-0005-0000-0000-00003A380000}"/>
    <cellStyle name="Normal 3 3 2 5 5 2" xfId="14429" xr:uid="{00000000-0005-0000-0000-00003B380000}"/>
    <cellStyle name="Normal 3 3 2 5 5 3" xfId="14430" xr:uid="{00000000-0005-0000-0000-00003C380000}"/>
    <cellStyle name="Normal 3 3 2 5 6" xfId="14431" xr:uid="{00000000-0005-0000-0000-00003D380000}"/>
    <cellStyle name="Normal 3 3 2 5 6 2" xfId="14432" xr:uid="{00000000-0005-0000-0000-00003E380000}"/>
    <cellStyle name="Normal 3 3 2 5 6 3" xfId="14433" xr:uid="{00000000-0005-0000-0000-00003F380000}"/>
    <cellStyle name="Normal 3 3 2 5 7" xfId="14434" xr:uid="{00000000-0005-0000-0000-000040380000}"/>
    <cellStyle name="Normal 3 3 2 5 8" xfId="14435" xr:uid="{00000000-0005-0000-0000-000041380000}"/>
    <cellStyle name="Normal 3 3 2 6" xfId="14436" xr:uid="{00000000-0005-0000-0000-000042380000}"/>
    <cellStyle name="Normal 3 3 2 6 2" xfId="14437" xr:uid="{00000000-0005-0000-0000-000043380000}"/>
    <cellStyle name="Normal 3 3 2 6 2 2" xfId="14438" xr:uid="{00000000-0005-0000-0000-000044380000}"/>
    <cellStyle name="Normal 3 3 2 6 2 3" xfId="14439" xr:uid="{00000000-0005-0000-0000-000045380000}"/>
    <cellStyle name="Normal 3 3 2 6 3" xfId="14440" xr:uid="{00000000-0005-0000-0000-000046380000}"/>
    <cellStyle name="Normal 3 3 2 6 3 2" xfId="14441" xr:uid="{00000000-0005-0000-0000-000047380000}"/>
    <cellStyle name="Normal 3 3 2 6 3 3" xfId="14442" xr:uid="{00000000-0005-0000-0000-000048380000}"/>
    <cellStyle name="Normal 3 3 2 6 4" xfId="14443" xr:uid="{00000000-0005-0000-0000-000049380000}"/>
    <cellStyle name="Normal 3 3 2 6 4 2" xfId="14444" xr:uid="{00000000-0005-0000-0000-00004A380000}"/>
    <cellStyle name="Normal 3 3 2 6 4 3" xfId="14445" xr:uid="{00000000-0005-0000-0000-00004B380000}"/>
    <cellStyle name="Normal 3 3 2 6 5" xfId="14446" xr:uid="{00000000-0005-0000-0000-00004C380000}"/>
    <cellStyle name="Normal 3 3 2 6 5 2" xfId="14447" xr:uid="{00000000-0005-0000-0000-00004D380000}"/>
    <cellStyle name="Normal 3 3 2 6 5 3" xfId="14448" xr:uid="{00000000-0005-0000-0000-00004E380000}"/>
    <cellStyle name="Normal 3 3 2 6 6" xfId="14449" xr:uid="{00000000-0005-0000-0000-00004F380000}"/>
    <cellStyle name="Normal 3 3 2 6 6 2" xfId="14450" xr:uid="{00000000-0005-0000-0000-000050380000}"/>
    <cellStyle name="Normal 3 3 2 6 6 3" xfId="14451" xr:uid="{00000000-0005-0000-0000-000051380000}"/>
    <cellStyle name="Normal 3 3 2 6 7" xfId="14452" xr:uid="{00000000-0005-0000-0000-000052380000}"/>
    <cellStyle name="Normal 3 3 2 6 8" xfId="14453" xr:uid="{00000000-0005-0000-0000-000053380000}"/>
    <cellStyle name="Normal 3 3 2 7" xfId="14454" xr:uid="{00000000-0005-0000-0000-000054380000}"/>
    <cellStyle name="Normal 3 3 2 7 2" xfId="14455" xr:uid="{00000000-0005-0000-0000-000055380000}"/>
    <cellStyle name="Normal 3 3 2 7 2 2" xfId="14456" xr:uid="{00000000-0005-0000-0000-000056380000}"/>
    <cellStyle name="Normal 3 3 2 7 2 3" xfId="14457" xr:uid="{00000000-0005-0000-0000-000057380000}"/>
    <cellStyle name="Normal 3 3 2 7 3" xfId="14458" xr:uid="{00000000-0005-0000-0000-000058380000}"/>
    <cellStyle name="Normal 3 3 2 7 3 2" xfId="14459" xr:uid="{00000000-0005-0000-0000-000059380000}"/>
    <cellStyle name="Normal 3 3 2 7 3 3" xfId="14460" xr:uid="{00000000-0005-0000-0000-00005A380000}"/>
    <cellStyle name="Normal 3 3 2 7 4" xfId="14461" xr:uid="{00000000-0005-0000-0000-00005B380000}"/>
    <cellStyle name="Normal 3 3 2 7 4 2" xfId="14462" xr:uid="{00000000-0005-0000-0000-00005C380000}"/>
    <cellStyle name="Normal 3 3 2 7 4 3" xfId="14463" xr:uid="{00000000-0005-0000-0000-00005D380000}"/>
    <cellStyle name="Normal 3 3 2 7 5" xfId="14464" xr:uid="{00000000-0005-0000-0000-00005E380000}"/>
    <cellStyle name="Normal 3 3 2 7 5 2" xfId="14465" xr:uid="{00000000-0005-0000-0000-00005F380000}"/>
    <cellStyle name="Normal 3 3 2 7 5 3" xfId="14466" xr:uid="{00000000-0005-0000-0000-000060380000}"/>
    <cellStyle name="Normal 3 3 2 7 6" xfId="14467" xr:uid="{00000000-0005-0000-0000-000061380000}"/>
    <cellStyle name="Normal 3 3 2 7 6 2" xfId="14468" xr:uid="{00000000-0005-0000-0000-000062380000}"/>
    <cellStyle name="Normal 3 3 2 7 6 3" xfId="14469" xr:uid="{00000000-0005-0000-0000-000063380000}"/>
    <cellStyle name="Normal 3 3 2 7 7" xfId="14470" xr:uid="{00000000-0005-0000-0000-000064380000}"/>
    <cellStyle name="Normal 3 3 2 7 8" xfId="14471" xr:uid="{00000000-0005-0000-0000-000065380000}"/>
    <cellStyle name="Normal 3 3 2 8" xfId="14472" xr:uid="{00000000-0005-0000-0000-000066380000}"/>
    <cellStyle name="Normal 3 3 2 8 2" xfId="14473" xr:uid="{00000000-0005-0000-0000-000067380000}"/>
    <cellStyle name="Normal 3 3 2 8 3" xfId="14474" xr:uid="{00000000-0005-0000-0000-000068380000}"/>
    <cellStyle name="Normal 3 3 2 9" xfId="14475" xr:uid="{00000000-0005-0000-0000-000069380000}"/>
    <cellStyle name="Normal 3 3 2 9 2" xfId="14476" xr:uid="{00000000-0005-0000-0000-00006A380000}"/>
    <cellStyle name="Normal 3 3 2 9 3" xfId="14477" xr:uid="{00000000-0005-0000-0000-00006B380000}"/>
    <cellStyle name="Normal 3 3 2_(9) 3 ACRs (GF) &amp; 2 ACRs (FF)" xfId="14478" xr:uid="{00000000-0005-0000-0000-00006C380000}"/>
    <cellStyle name="Normal 3 3 3" xfId="14479" xr:uid="{00000000-0005-0000-0000-00006D380000}"/>
    <cellStyle name="Normal 3 3 3 2" xfId="14480" xr:uid="{00000000-0005-0000-0000-00006E380000}"/>
    <cellStyle name="Normal 3 3 3 3" xfId="14481" xr:uid="{00000000-0005-0000-0000-00006F380000}"/>
    <cellStyle name="Normal 3 3 4" xfId="14482" xr:uid="{00000000-0005-0000-0000-000070380000}"/>
    <cellStyle name="Normal 3 3 4 2" xfId="14483" xr:uid="{00000000-0005-0000-0000-000071380000}"/>
    <cellStyle name="Normal 3 3 5" xfId="14484" xr:uid="{00000000-0005-0000-0000-000072380000}"/>
    <cellStyle name="Normal 3 3 6" xfId="14485" xr:uid="{00000000-0005-0000-0000-000073380000}"/>
    <cellStyle name="Normal 3 3_AH Bhainsa Estimate" xfId="14486" xr:uid="{00000000-0005-0000-0000-000074380000}"/>
    <cellStyle name="Normal 3 30" xfId="14487" xr:uid="{00000000-0005-0000-0000-000075380000}"/>
    <cellStyle name="Normal 3 30 2" xfId="14488" xr:uid="{00000000-0005-0000-0000-000076380000}"/>
    <cellStyle name="Normal 3 30 2 2" xfId="14489" xr:uid="{00000000-0005-0000-0000-000077380000}"/>
    <cellStyle name="Normal 3 30 3" xfId="14490" xr:uid="{00000000-0005-0000-0000-000078380000}"/>
    <cellStyle name="Normal 3 30 3 2" xfId="14491" xr:uid="{00000000-0005-0000-0000-000079380000}"/>
    <cellStyle name="Normal 3 30 4" xfId="14492" xr:uid="{00000000-0005-0000-0000-00007A380000}"/>
    <cellStyle name="Normal 3 30 5" xfId="14493" xr:uid="{00000000-0005-0000-0000-00007B380000}"/>
    <cellStyle name="Normal 3 30 6" xfId="14494" xr:uid="{00000000-0005-0000-0000-00007C380000}"/>
    <cellStyle name="Normal 3 31" xfId="14495" xr:uid="{00000000-0005-0000-0000-00007D380000}"/>
    <cellStyle name="Normal 3 31 2" xfId="14496" xr:uid="{00000000-0005-0000-0000-00007E380000}"/>
    <cellStyle name="Normal 3 31 2 2" xfId="14497" xr:uid="{00000000-0005-0000-0000-00007F380000}"/>
    <cellStyle name="Normal 3 31 3" xfId="14498" xr:uid="{00000000-0005-0000-0000-000080380000}"/>
    <cellStyle name="Normal 3 31 3 2" xfId="14499" xr:uid="{00000000-0005-0000-0000-000081380000}"/>
    <cellStyle name="Normal 3 31 4" xfId="14500" xr:uid="{00000000-0005-0000-0000-000082380000}"/>
    <cellStyle name="Normal 3 31 5" xfId="14501" xr:uid="{00000000-0005-0000-0000-000083380000}"/>
    <cellStyle name="Normal 3 31 6" xfId="14502" xr:uid="{00000000-0005-0000-0000-000084380000}"/>
    <cellStyle name="Normal 3 32" xfId="14503" xr:uid="{00000000-0005-0000-0000-000085380000}"/>
    <cellStyle name="Normal 3 32 2" xfId="14504" xr:uid="{00000000-0005-0000-0000-000086380000}"/>
    <cellStyle name="Normal 3 32 2 2" xfId="14505" xr:uid="{00000000-0005-0000-0000-000087380000}"/>
    <cellStyle name="Normal 3 32 3" xfId="14506" xr:uid="{00000000-0005-0000-0000-000088380000}"/>
    <cellStyle name="Normal 3 32 3 2" xfId="14507" xr:uid="{00000000-0005-0000-0000-000089380000}"/>
    <cellStyle name="Normal 3 32 4" xfId="14508" xr:uid="{00000000-0005-0000-0000-00008A380000}"/>
    <cellStyle name="Normal 3 32 5" xfId="14509" xr:uid="{00000000-0005-0000-0000-00008B380000}"/>
    <cellStyle name="Normal 3 32 6" xfId="14510" xr:uid="{00000000-0005-0000-0000-00008C380000}"/>
    <cellStyle name="Normal 3 33" xfId="14511" xr:uid="{00000000-0005-0000-0000-00008D380000}"/>
    <cellStyle name="Normal 3 33 2" xfId="14512" xr:uid="{00000000-0005-0000-0000-00008E380000}"/>
    <cellStyle name="Normal 3 33 2 2" xfId="14513" xr:uid="{00000000-0005-0000-0000-00008F380000}"/>
    <cellStyle name="Normal 3 33 3" xfId="14514" xr:uid="{00000000-0005-0000-0000-000090380000}"/>
    <cellStyle name="Normal 3 33 3 2" xfId="14515" xr:uid="{00000000-0005-0000-0000-000091380000}"/>
    <cellStyle name="Normal 3 33 4" xfId="14516" xr:uid="{00000000-0005-0000-0000-000092380000}"/>
    <cellStyle name="Normal 3 33 5" xfId="14517" xr:uid="{00000000-0005-0000-0000-000093380000}"/>
    <cellStyle name="Normal 3 33 6" xfId="14518" xr:uid="{00000000-0005-0000-0000-000094380000}"/>
    <cellStyle name="Normal 3 34" xfId="14519" xr:uid="{00000000-0005-0000-0000-000095380000}"/>
    <cellStyle name="Normal 3 34 2" xfId="14520" xr:uid="{00000000-0005-0000-0000-000096380000}"/>
    <cellStyle name="Normal 3 34 2 2" xfId="14521" xr:uid="{00000000-0005-0000-0000-000097380000}"/>
    <cellStyle name="Normal 3 34 3" xfId="14522" xr:uid="{00000000-0005-0000-0000-000098380000}"/>
    <cellStyle name="Normal 3 34 3 2" xfId="14523" xr:uid="{00000000-0005-0000-0000-000099380000}"/>
    <cellStyle name="Normal 3 34 4" xfId="14524" xr:uid="{00000000-0005-0000-0000-00009A380000}"/>
    <cellStyle name="Normal 3 34 5" xfId="14525" xr:uid="{00000000-0005-0000-0000-00009B380000}"/>
    <cellStyle name="Normal 3 34 6" xfId="14526" xr:uid="{00000000-0005-0000-0000-00009C380000}"/>
    <cellStyle name="Normal 3 35" xfId="14527" xr:uid="{00000000-0005-0000-0000-00009D380000}"/>
    <cellStyle name="Normal 3 35 2" xfId="14528" xr:uid="{00000000-0005-0000-0000-00009E380000}"/>
    <cellStyle name="Normal 3 35 2 2" xfId="14529" xr:uid="{00000000-0005-0000-0000-00009F380000}"/>
    <cellStyle name="Normal 3 35 3" xfId="14530" xr:uid="{00000000-0005-0000-0000-0000A0380000}"/>
    <cellStyle name="Normal 3 35 3 2" xfId="14531" xr:uid="{00000000-0005-0000-0000-0000A1380000}"/>
    <cellStyle name="Normal 3 35 4" xfId="14532" xr:uid="{00000000-0005-0000-0000-0000A2380000}"/>
    <cellStyle name="Normal 3 35 5" xfId="14533" xr:uid="{00000000-0005-0000-0000-0000A3380000}"/>
    <cellStyle name="Normal 3 35 6" xfId="14534" xr:uid="{00000000-0005-0000-0000-0000A4380000}"/>
    <cellStyle name="Normal 3 36" xfId="14535" xr:uid="{00000000-0005-0000-0000-0000A5380000}"/>
    <cellStyle name="Normal 3 36 2" xfId="14536" xr:uid="{00000000-0005-0000-0000-0000A6380000}"/>
    <cellStyle name="Normal 3 36 2 2" xfId="14537" xr:uid="{00000000-0005-0000-0000-0000A7380000}"/>
    <cellStyle name="Normal 3 36 3" xfId="14538" xr:uid="{00000000-0005-0000-0000-0000A8380000}"/>
    <cellStyle name="Normal 3 36 3 2" xfId="14539" xr:uid="{00000000-0005-0000-0000-0000A9380000}"/>
    <cellStyle name="Normal 3 36 4" xfId="14540" xr:uid="{00000000-0005-0000-0000-0000AA380000}"/>
    <cellStyle name="Normal 3 36 5" xfId="14541" xr:uid="{00000000-0005-0000-0000-0000AB380000}"/>
    <cellStyle name="Normal 3 36 6" xfId="14542" xr:uid="{00000000-0005-0000-0000-0000AC380000}"/>
    <cellStyle name="Normal 3 37" xfId="14543" xr:uid="{00000000-0005-0000-0000-0000AD380000}"/>
    <cellStyle name="Normal 3 37 2" xfId="14544" xr:uid="{00000000-0005-0000-0000-0000AE380000}"/>
    <cellStyle name="Normal 3 37 3" xfId="14545" xr:uid="{00000000-0005-0000-0000-0000AF380000}"/>
    <cellStyle name="Normal 3 37 4" xfId="14546" xr:uid="{00000000-0005-0000-0000-0000B0380000}"/>
    <cellStyle name="Normal 3 38" xfId="14547" xr:uid="{00000000-0005-0000-0000-0000B1380000}"/>
    <cellStyle name="Normal 3 38 2" xfId="14548" xr:uid="{00000000-0005-0000-0000-0000B2380000}"/>
    <cellStyle name="Normal 3 38 3" xfId="14549" xr:uid="{00000000-0005-0000-0000-0000B3380000}"/>
    <cellStyle name="Normal 3 38 4" xfId="14550" xr:uid="{00000000-0005-0000-0000-0000B4380000}"/>
    <cellStyle name="Normal 3 39" xfId="14551" xr:uid="{00000000-0005-0000-0000-0000B5380000}"/>
    <cellStyle name="Normal 3 39 2" xfId="14552" xr:uid="{00000000-0005-0000-0000-0000B6380000}"/>
    <cellStyle name="Normal 3 39 3" xfId="14553" xr:uid="{00000000-0005-0000-0000-0000B7380000}"/>
    <cellStyle name="Normal 3 39 4" xfId="14554" xr:uid="{00000000-0005-0000-0000-0000B8380000}"/>
    <cellStyle name="Normal 3 4" xfId="14555" xr:uid="{00000000-0005-0000-0000-0000B9380000}"/>
    <cellStyle name="Normal 3 4 2" xfId="14556" xr:uid="{00000000-0005-0000-0000-0000BA380000}"/>
    <cellStyle name="Normal 3 4 2 2" xfId="14557" xr:uid="{00000000-0005-0000-0000-0000BB380000}"/>
    <cellStyle name="Normal 3 4 2 3" xfId="14558" xr:uid="{00000000-0005-0000-0000-0000BC380000}"/>
    <cellStyle name="Normal 3 4 2 4" xfId="14559" xr:uid="{00000000-0005-0000-0000-0000BD380000}"/>
    <cellStyle name="Normal 3 4 2 5" xfId="14560" xr:uid="{00000000-0005-0000-0000-0000BE380000}"/>
    <cellStyle name="Normal 3 4 2 6" xfId="14561" xr:uid="{00000000-0005-0000-0000-0000BF380000}"/>
    <cellStyle name="Normal 3 4 2 7" xfId="14562" xr:uid="{00000000-0005-0000-0000-0000C0380000}"/>
    <cellStyle name="Normal 3 4 2 8" xfId="14563" xr:uid="{00000000-0005-0000-0000-0000C1380000}"/>
    <cellStyle name="Normal 3 4 2 9" xfId="14564" xr:uid="{00000000-0005-0000-0000-0000C2380000}"/>
    <cellStyle name="Normal 3 4 3" xfId="14565" xr:uid="{00000000-0005-0000-0000-0000C3380000}"/>
    <cellStyle name="Normal 3 4 3 2" xfId="14566" xr:uid="{00000000-0005-0000-0000-0000C4380000}"/>
    <cellStyle name="Normal 3 4 3 3" xfId="14567" xr:uid="{00000000-0005-0000-0000-0000C5380000}"/>
    <cellStyle name="Normal 3 4 4" xfId="14568" xr:uid="{00000000-0005-0000-0000-0000C6380000}"/>
    <cellStyle name="Normal 3 4_Hathnoora RSC Augmenation RE" xfId="14569" xr:uid="{00000000-0005-0000-0000-0000C7380000}"/>
    <cellStyle name="Normal 3 40" xfId="14570" xr:uid="{00000000-0005-0000-0000-0000C8380000}"/>
    <cellStyle name="Normal 3 40 2" xfId="14571" xr:uid="{00000000-0005-0000-0000-0000C9380000}"/>
    <cellStyle name="Normal 3 40 3" xfId="14572" xr:uid="{00000000-0005-0000-0000-0000CA380000}"/>
    <cellStyle name="Normal 3 40 4" xfId="14573" xr:uid="{00000000-0005-0000-0000-0000CB380000}"/>
    <cellStyle name="Normal 3 41" xfId="14574" xr:uid="{00000000-0005-0000-0000-0000CC380000}"/>
    <cellStyle name="Normal 3 41 2" xfId="14575" xr:uid="{00000000-0005-0000-0000-0000CD380000}"/>
    <cellStyle name="Normal 3 41 3" xfId="14576" xr:uid="{00000000-0005-0000-0000-0000CE380000}"/>
    <cellStyle name="Normal 3 41 4" xfId="14577" xr:uid="{00000000-0005-0000-0000-0000CF380000}"/>
    <cellStyle name="Normal 3 42" xfId="14578" xr:uid="{00000000-0005-0000-0000-0000D0380000}"/>
    <cellStyle name="Normal 3 42 2" xfId="14579" xr:uid="{00000000-0005-0000-0000-0000D1380000}"/>
    <cellStyle name="Normal 3 42 3" xfId="14580" xr:uid="{00000000-0005-0000-0000-0000D2380000}"/>
    <cellStyle name="Normal 3 42 4" xfId="14581" xr:uid="{00000000-0005-0000-0000-0000D3380000}"/>
    <cellStyle name="Normal 3 43" xfId="14582" xr:uid="{00000000-0005-0000-0000-0000D4380000}"/>
    <cellStyle name="Normal 3 43 2" xfId="14583" xr:uid="{00000000-0005-0000-0000-0000D5380000}"/>
    <cellStyle name="Normal 3 43 3" xfId="14584" xr:uid="{00000000-0005-0000-0000-0000D6380000}"/>
    <cellStyle name="Normal 3 43 4" xfId="14585" xr:uid="{00000000-0005-0000-0000-0000D7380000}"/>
    <cellStyle name="Normal 3 44" xfId="14586" xr:uid="{00000000-0005-0000-0000-0000D8380000}"/>
    <cellStyle name="Normal 3 44 2" xfId="14587" xr:uid="{00000000-0005-0000-0000-0000D9380000}"/>
    <cellStyle name="Normal 3 44 3" xfId="14588" xr:uid="{00000000-0005-0000-0000-0000DA380000}"/>
    <cellStyle name="Normal 3 44 4" xfId="14589" xr:uid="{00000000-0005-0000-0000-0000DB380000}"/>
    <cellStyle name="Normal 3 45" xfId="14590" xr:uid="{00000000-0005-0000-0000-0000DC380000}"/>
    <cellStyle name="Normal 3 45 2" xfId="14591" xr:uid="{00000000-0005-0000-0000-0000DD380000}"/>
    <cellStyle name="Normal 3 45 3" xfId="14592" xr:uid="{00000000-0005-0000-0000-0000DE380000}"/>
    <cellStyle name="Normal 3 45 4" xfId="14593" xr:uid="{00000000-0005-0000-0000-0000DF380000}"/>
    <cellStyle name="Normal 3 46" xfId="14594" xr:uid="{00000000-0005-0000-0000-0000E0380000}"/>
    <cellStyle name="Normal 3 46 2" xfId="14595" xr:uid="{00000000-0005-0000-0000-0000E1380000}"/>
    <cellStyle name="Normal 3 46 2 2" xfId="14596" xr:uid="{00000000-0005-0000-0000-0000E2380000}"/>
    <cellStyle name="Normal 3 46 3" xfId="14597" xr:uid="{00000000-0005-0000-0000-0000E3380000}"/>
    <cellStyle name="Normal 3 46 3 2" xfId="14598" xr:uid="{00000000-0005-0000-0000-0000E4380000}"/>
    <cellStyle name="Normal 3 46 4" xfId="14599" xr:uid="{00000000-0005-0000-0000-0000E5380000}"/>
    <cellStyle name="Normal 3 47" xfId="14600" xr:uid="{00000000-0005-0000-0000-0000E6380000}"/>
    <cellStyle name="Normal 3 47 2" xfId="14601" xr:uid="{00000000-0005-0000-0000-0000E7380000}"/>
    <cellStyle name="Normal 3 47 2 2" xfId="14602" xr:uid="{00000000-0005-0000-0000-0000E8380000}"/>
    <cellStyle name="Normal 3 47 3" xfId="14603" xr:uid="{00000000-0005-0000-0000-0000E9380000}"/>
    <cellStyle name="Normal 3 47 3 2" xfId="14604" xr:uid="{00000000-0005-0000-0000-0000EA380000}"/>
    <cellStyle name="Normal 3 47 4" xfId="14605" xr:uid="{00000000-0005-0000-0000-0000EB380000}"/>
    <cellStyle name="Normal 3 48" xfId="14606" xr:uid="{00000000-0005-0000-0000-0000EC380000}"/>
    <cellStyle name="Normal 3 48 2" xfId="14607" xr:uid="{00000000-0005-0000-0000-0000ED380000}"/>
    <cellStyle name="Normal 3 48 2 2" xfId="14608" xr:uid="{00000000-0005-0000-0000-0000EE380000}"/>
    <cellStyle name="Normal 3 48 3" xfId="14609" xr:uid="{00000000-0005-0000-0000-0000EF380000}"/>
    <cellStyle name="Normal 3 48 3 2" xfId="14610" xr:uid="{00000000-0005-0000-0000-0000F0380000}"/>
    <cellStyle name="Normal 3 48 4" xfId="14611" xr:uid="{00000000-0005-0000-0000-0000F1380000}"/>
    <cellStyle name="Normal 3 49" xfId="14612" xr:uid="{00000000-0005-0000-0000-0000F2380000}"/>
    <cellStyle name="Normal 3 49 2" xfId="14613" xr:uid="{00000000-0005-0000-0000-0000F3380000}"/>
    <cellStyle name="Normal 3 49 2 2" xfId="14614" xr:uid="{00000000-0005-0000-0000-0000F4380000}"/>
    <cellStyle name="Normal 3 49 3" xfId="14615" xr:uid="{00000000-0005-0000-0000-0000F5380000}"/>
    <cellStyle name="Normal 3 49 3 2" xfId="14616" xr:uid="{00000000-0005-0000-0000-0000F6380000}"/>
    <cellStyle name="Normal 3 49 4" xfId="14617" xr:uid="{00000000-0005-0000-0000-0000F7380000}"/>
    <cellStyle name="Normal 3 5" xfId="14618" xr:uid="{00000000-0005-0000-0000-0000F8380000}"/>
    <cellStyle name="Normal 3 5 10" xfId="14619" xr:uid="{00000000-0005-0000-0000-0000F9380000}"/>
    <cellStyle name="Normal 3 5 11" xfId="14620" xr:uid="{00000000-0005-0000-0000-0000FA380000}"/>
    <cellStyle name="Normal 3 5 11 2" xfId="14621" xr:uid="{00000000-0005-0000-0000-0000FB380000}"/>
    <cellStyle name="Normal 3 5 11 2 2" xfId="14622" xr:uid="{00000000-0005-0000-0000-0000FC380000}"/>
    <cellStyle name="Normal 3 5 11 2 3" xfId="14623" xr:uid="{00000000-0005-0000-0000-0000FD380000}"/>
    <cellStyle name="Normal 3 5 11 3" xfId="14624" xr:uid="{00000000-0005-0000-0000-0000FE380000}"/>
    <cellStyle name="Normal 3 5 11 3 2" xfId="14625" xr:uid="{00000000-0005-0000-0000-0000FF380000}"/>
    <cellStyle name="Normal 3 5 11 3 3" xfId="14626" xr:uid="{00000000-0005-0000-0000-000000390000}"/>
    <cellStyle name="Normal 3 5 11 4" xfId="14627" xr:uid="{00000000-0005-0000-0000-000001390000}"/>
    <cellStyle name="Normal 3 5 11 5" xfId="14628" xr:uid="{00000000-0005-0000-0000-000002390000}"/>
    <cellStyle name="Normal 3 5 11 6" xfId="14629" xr:uid="{00000000-0005-0000-0000-000003390000}"/>
    <cellStyle name="Normal 3 5 11 7" xfId="14630" xr:uid="{00000000-0005-0000-0000-000004390000}"/>
    <cellStyle name="Normal 3 5 11_MEETING FORMAT" xfId="14631" xr:uid="{00000000-0005-0000-0000-000005390000}"/>
    <cellStyle name="Normal 3 5 12" xfId="14632" xr:uid="{00000000-0005-0000-0000-000006390000}"/>
    <cellStyle name="Normal 3 5 13" xfId="14633" xr:uid="{00000000-0005-0000-0000-000007390000}"/>
    <cellStyle name="Normal 3 5 14" xfId="14634" xr:uid="{00000000-0005-0000-0000-000008390000}"/>
    <cellStyle name="Normal 3 5 2" xfId="14635" xr:uid="{00000000-0005-0000-0000-000009390000}"/>
    <cellStyle name="Normal 3 5 2 10" xfId="14636" xr:uid="{00000000-0005-0000-0000-00000A390000}"/>
    <cellStyle name="Normal 3 5 2 2" xfId="14637" xr:uid="{00000000-0005-0000-0000-00000B390000}"/>
    <cellStyle name="Normal 3 5 2 3" xfId="14638" xr:uid="{00000000-0005-0000-0000-00000C390000}"/>
    <cellStyle name="Normal 3 5 2 4" xfId="14639" xr:uid="{00000000-0005-0000-0000-00000D390000}"/>
    <cellStyle name="Normal 3 5 2 5" xfId="14640" xr:uid="{00000000-0005-0000-0000-00000E390000}"/>
    <cellStyle name="Normal 3 5 2 6" xfId="14641" xr:uid="{00000000-0005-0000-0000-00000F390000}"/>
    <cellStyle name="Normal 3 5 2 7" xfId="14642" xr:uid="{00000000-0005-0000-0000-000010390000}"/>
    <cellStyle name="Normal 3 5 2 8" xfId="14643" xr:uid="{00000000-0005-0000-0000-000011390000}"/>
    <cellStyle name="Normal 3 5 2 9" xfId="14644" xr:uid="{00000000-0005-0000-0000-000012390000}"/>
    <cellStyle name="Normal 3 5 3" xfId="14645" xr:uid="{00000000-0005-0000-0000-000013390000}"/>
    <cellStyle name="Normal 3 5 3 2" xfId="14646" xr:uid="{00000000-0005-0000-0000-000014390000}"/>
    <cellStyle name="Normal 3 5 3 2 2" xfId="14647" xr:uid="{00000000-0005-0000-0000-000015390000}"/>
    <cellStyle name="Normal 3 5 3 2 3" xfId="14648" xr:uid="{00000000-0005-0000-0000-000016390000}"/>
    <cellStyle name="Normal 3 5 3 3" xfId="14649" xr:uid="{00000000-0005-0000-0000-000017390000}"/>
    <cellStyle name="Normal 3 5 4" xfId="14650" xr:uid="{00000000-0005-0000-0000-000018390000}"/>
    <cellStyle name="Normal 3 5 4 2" xfId="14651" xr:uid="{00000000-0005-0000-0000-000019390000}"/>
    <cellStyle name="Normal 3 5 4 3" xfId="14652" xr:uid="{00000000-0005-0000-0000-00001A390000}"/>
    <cellStyle name="Normal 3 5 5" xfId="14653" xr:uid="{00000000-0005-0000-0000-00001B390000}"/>
    <cellStyle name="Normal 3 5 6" xfId="14654" xr:uid="{00000000-0005-0000-0000-00001C390000}"/>
    <cellStyle name="Normal 3 5 7" xfId="14655" xr:uid="{00000000-0005-0000-0000-00001D390000}"/>
    <cellStyle name="Normal 3 5 8" xfId="14656" xr:uid="{00000000-0005-0000-0000-00001E390000}"/>
    <cellStyle name="Normal 3 5 9" xfId="14657" xr:uid="{00000000-0005-0000-0000-00001F390000}"/>
    <cellStyle name="Normal 3 5_AH Bhainsa Estimate" xfId="14658" xr:uid="{00000000-0005-0000-0000-000020390000}"/>
    <cellStyle name="Normal 3 50" xfId="14659" xr:uid="{00000000-0005-0000-0000-000021390000}"/>
    <cellStyle name="Normal 3 50 2" xfId="14660" xr:uid="{00000000-0005-0000-0000-000022390000}"/>
    <cellStyle name="Normal 3 50 2 2" xfId="14661" xr:uid="{00000000-0005-0000-0000-000023390000}"/>
    <cellStyle name="Normal 3 50 3" xfId="14662" xr:uid="{00000000-0005-0000-0000-000024390000}"/>
    <cellStyle name="Normal 3 50 3 2" xfId="14663" xr:uid="{00000000-0005-0000-0000-000025390000}"/>
    <cellStyle name="Normal 3 50 4" xfId="14664" xr:uid="{00000000-0005-0000-0000-000026390000}"/>
    <cellStyle name="Normal 3 51" xfId="14665" xr:uid="{00000000-0005-0000-0000-000027390000}"/>
    <cellStyle name="Normal 3 51 2" xfId="14666" xr:uid="{00000000-0005-0000-0000-000028390000}"/>
    <cellStyle name="Normal 3 51 2 2" xfId="14667" xr:uid="{00000000-0005-0000-0000-000029390000}"/>
    <cellStyle name="Normal 3 51 3" xfId="14668" xr:uid="{00000000-0005-0000-0000-00002A390000}"/>
    <cellStyle name="Normal 3 51 3 2" xfId="14669" xr:uid="{00000000-0005-0000-0000-00002B390000}"/>
    <cellStyle name="Normal 3 51 4" xfId="14670" xr:uid="{00000000-0005-0000-0000-00002C390000}"/>
    <cellStyle name="Normal 3 52" xfId="14671" xr:uid="{00000000-0005-0000-0000-00002D390000}"/>
    <cellStyle name="Normal 3 52 2" xfId="14672" xr:uid="{00000000-0005-0000-0000-00002E390000}"/>
    <cellStyle name="Normal 3 52 2 2" xfId="14673" xr:uid="{00000000-0005-0000-0000-00002F390000}"/>
    <cellStyle name="Normal 3 52 3" xfId="14674" xr:uid="{00000000-0005-0000-0000-000030390000}"/>
    <cellStyle name="Normal 3 52 3 2" xfId="14675" xr:uid="{00000000-0005-0000-0000-000031390000}"/>
    <cellStyle name="Normal 3 52 4" xfId="14676" xr:uid="{00000000-0005-0000-0000-000032390000}"/>
    <cellStyle name="Normal 3 53" xfId="14677" xr:uid="{00000000-0005-0000-0000-000033390000}"/>
    <cellStyle name="Normal 3 53 2" xfId="14678" xr:uid="{00000000-0005-0000-0000-000034390000}"/>
    <cellStyle name="Normal 3 53 2 2" xfId="14679" xr:uid="{00000000-0005-0000-0000-000035390000}"/>
    <cellStyle name="Normal 3 53 3" xfId="14680" xr:uid="{00000000-0005-0000-0000-000036390000}"/>
    <cellStyle name="Normal 3 53 3 2" xfId="14681" xr:uid="{00000000-0005-0000-0000-000037390000}"/>
    <cellStyle name="Normal 3 53 4" xfId="14682" xr:uid="{00000000-0005-0000-0000-000038390000}"/>
    <cellStyle name="Normal 3 54" xfId="14683" xr:uid="{00000000-0005-0000-0000-000039390000}"/>
    <cellStyle name="Normal 3 54 2" xfId="14684" xr:uid="{00000000-0005-0000-0000-00003A390000}"/>
    <cellStyle name="Normal 3 54 2 2" xfId="14685" xr:uid="{00000000-0005-0000-0000-00003B390000}"/>
    <cellStyle name="Normal 3 54 3" xfId="14686" xr:uid="{00000000-0005-0000-0000-00003C390000}"/>
    <cellStyle name="Normal 3 54 3 2" xfId="14687" xr:uid="{00000000-0005-0000-0000-00003D390000}"/>
    <cellStyle name="Normal 3 54 4" xfId="14688" xr:uid="{00000000-0005-0000-0000-00003E390000}"/>
    <cellStyle name="Normal 3 55" xfId="14689" xr:uid="{00000000-0005-0000-0000-00003F390000}"/>
    <cellStyle name="Normal 3 55 2" xfId="14690" xr:uid="{00000000-0005-0000-0000-000040390000}"/>
    <cellStyle name="Normal 3 55 2 2" xfId="14691" xr:uid="{00000000-0005-0000-0000-000041390000}"/>
    <cellStyle name="Normal 3 55 3" xfId="14692" xr:uid="{00000000-0005-0000-0000-000042390000}"/>
    <cellStyle name="Normal 3 55 3 2" xfId="14693" xr:uid="{00000000-0005-0000-0000-000043390000}"/>
    <cellStyle name="Normal 3 55 4" xfId="14694" xr:uid="{00000000-0005-0000-0000-000044390000}"/>
    <cellStyle name="Normal 3 56" xfId="14695" xr:uid="{00000000-0005-0000-0000-000045390000}"/>
    <cellStyle name="Normal 3 56 2" xfId="14696" xr:uid="{00000000-0005-0000-0000-000046390000}"/>
    <cellStyle name="Normal 3 56 2 2" xfId="14697" xr:uid="{00000000-0005-0000-0000-000047390000}"/>
    <cellStyle name="Normal 3 56 3" xfId="14698" xr:uid="{00000000-0005-0000-0000-000048390000}"/>
    <cellStyle name="Normal 3 56 3 2" xfId="14699" xr:uid="{00000000-0005-0000-0000-000049390000}"/>
    <cellStyle name="Normal 3 56 4" xfId="14700" xr:uid="{00000000-0005-0000-0000-00004A390000}"/>
    <cellStyle name="Normal 3 57" xfId="14701" xr:uid="{00000000-0005-0000-0000-00004B390000}"/>
    <cellStyle name="Normal 3 57 2" xfId="14702" xr:uid="{00000000-0005-0000-0000-00004C390000}"/>
    <cellStyle name="Normal 3 57 2 2" xfId="14703" xr:uid="{00000000-0005-0000-0000-00004D390000}"/>
    <cellStyle name="Normal 3 57 3" xfId="14704" xr:uid="{00000000-0005-0000-0000-00004E390000}"/>
    <cellStyle name="Normal 3 57 3 2" xfId="14705" xr:uid="{00000000-0005-0000-0000-00004F390000}"/>
    <cellStyle name="Normal 3 57 4" xfId="14706" xr:uid="{00000000-0005-0000-0000-000050390000}"/>
    <cellStyle name="Normal 3 58" xfId="14707" xr:uid="{00000000-0005-0000-0000-000051390000}"/>
    <cellStyle name="Normal 3 58 2" xfId="14708" xr:uid="{00000000-0005-0000-0000-000052390000}"/>
    <cellStyle name="Normal 3 58 2 2" xfId="14709" xr:uid="{00000000-0005-0000-0000-000053390000}"/>
    <cellStyle name="Normal 3 58 3" xfId="14710" xr:uid="{00000000-0005-0000-0000-000054390000}"/>
    <cellStyle name="Normal 3 58 3 2" xfId="14711" xr:uid="{00000000-0005-0000-0000-000055390000}"/>
    <cellStyle name="Normal 3 58 4" xfId="14712" xr:uid="{00000000-0005-0000-0000-000056390000}"/>
    <cellStyle name="Normal 3 59" xfId="14713" xr:uid="{00000000-0005-0000-0000-000057390000}"/>
    <cellStyle name="Normal 3 59 2" xfId="14714" xr:uid="{00000000-0005-0000-0000-000058390000}"/>
    <cellStyle name="Normal 3 59 3" xfId="14715" xr:uid="{00000000-0005-0000-0000-000059390000}"/>
    <cellStyle name="Normal 3 6" xfId="14716" xr:uid="{00000000-0005-0000-0000-00005A390000}"/>
    <cellStyle name="Normal 3 6 10" xfId="14717" xr:uid="{00000000-0005-0000-0000-00005B390000}"/>
    <cellStyle name="Normal 3 6 11" xfId="14718" xr:uid="{00000000-0005-0000-0000-00005C390000}"/>
    <cellStyle name="Normal 3 6 11 2" xfId="14719" xr:uid="{00000000-0005-0000-0000-00005D390000}"/>
    <cellStyle name="Normal 3 6 11 3" xfId="14720" xr:uid="{00000000-0005-0000-0000-00005E390000}"/>
    <cellStyle name="Normal 3 6 11 3 2" xfId="14721" xr:uid="{00000000-0005-0000-0000-00005F390000}"/>
    <cellStyle name="Normal 3 6 11 3 3" xfId="14722" xr:uid="{00000000-0005-0000-0000-000060390000}"/>
    <cellStyle name="Normal 3 6 11 4" xfId="14723" xr:uid="{00000000-0005-0000-0000-000061390000}"/>
    <cellStyle name="Normal 3 6 11 4 2" xfId="14724" xr:uid="{00000000-0005-0000-0000-000062390000}"/>
    <cellStyle name="Normal 3 6 11 4 3" xfId="14725" xr:uid="{00000000-0005-0000-0000-000063390000}"/>
    <cellStyle name="Normal 3 6 11 5" xfId="14726" xr:uid="{00000000-0005-0000-0000-000064390000}"/>
    <cellStyle name="Normal 3 6 11 6" xfId="14727" xr:uid="{00000000-0005-0000-0000-000065390000}"/>
    <cellStyle name="Normal 3 6 11 7" xfId="14728" xr:uid="{00000000-0005-0000-0000-000066390000}"/>
    <cellStyle name="Normal 3 6 11 8" xfId="14729" xr:uid="{00000000-0005-0000-0000-000067390000}"/>
    <cellStyle name="Normal 3 6 11_Corrected Spl Task information Peddapalli Division" xfId="14730" xr:uid="{00000000-0005-0000-0000-000068390000}"/>
    <cellStyle name="Normal 3 6 12" xfId="14731" xr:uid="{00000000-0005-0000-0000-000069390000}"/>
    <cellStyle name="Normal 3 6 13" xfId="14732" xr:uid="{00000000-0005-0000-0000-00006A390000}"/>
    <cellStyle name="Normal 3 6 2" xfId="14733" xr:uid="{00000000-0005-0000-0000-00006B390000}"/>
    <cellStyle name="Normal 3 6 2 2" xfId="14734" xr:uid="{00000000-0005-0000-0000-00006C390000}"/>
    <cellStyle name="Normal 3 6 2 3" xfId="14735" xr:uid="{00000000-0005-0000-0000-00006D390000}"/>
    <cellStyle name="Normal 3 6 2 4" xfId="14736" xr:uid="{00000000-0005-0000-0000-00006E390000}"/>
    <cellStyle name="Normal 3 6 2 5" xfId="14737" xr:uid="{00000000-0005-0000-0000-00006F390000}"/>
    <cellStyle name="Normal 3 6 2 6" xfId="14738" xr:uid="{00000000-0005-0000-0000-000070390000}"/>
    <cellStyle name="Normal 3 6 3" xfId="14739" xr:uid="{00000000-0005-0000-0000-000071390000}"/>
    <cellStyle name="Normal 3 6 3 2" xfId="14740" xr:uid="{00000000-0005-0000-0000-000072390000}"/>
    <cellStyle name="Normal 3 6 3 2 2" xfId="14741" xr:uid="{00000000-0005-0000-0000-000073390000}"/>
    <cellStyle name="Normal 3 6 3 2 3" xfId="14742" xr:uid="{00000000-0005-0000-0000-000074390000}"/>
    <cellStyle name="Normal 3 6 3 3" xfId="14743" xr:uid="{00000000-0005-0000-0000-000075390000}"/>
    <cellStyle name="Normal 3 6 3 3 2" xfId="14744" xr:uid="{00000000-0005-0000-0000-000076390000}"/>
    <cellStyle name="Normal 3 6 3 3 3" xfId="14745" xr:uid="{00000000-0005-0000-0000-000077390000}"/>
    <cellStyle name="Normal 3 6 3 3 4" xfId="14746" xr:uid="{00000000-0005-0000-0000-000078390000}"/>
    <cellStyle name="Normal 3 6 3 3 5" xfId="14747" xr:uid="{00000000-0005-0000-0000-000079390000}"/>
    <cellStyle name="Normal 3 6 3 4" xfId="14748" xr:uid="{00000000-0005-0000-0000-00007A390000}"/>
    <cellStyle name="Normal 3 6 3 4 2" xfId="14749" xr:uid="{00000000-0005-0000-0000-00007B390000}"/>
    <cellStyle name="Normal 3 6 3 4 3" xfId="14750" xr:uid="{00000000-0005-0000-0000-00007C390000}"/>
    <cellStyle name="Normal 3 6 3 5" xfId="14751" xr:uid="{00000000-0005-0000-0000-00007D390000}"/>
    <cellStyle name="Normal 3 6 3 6" xfId="14752" xr:uid="{00000000-0005-0000-0000-00007E390000}"/>
    <cellStyle name="Normal 3 6 3_Corrected Spl Task information Peddapalli Division" xfId="14753" xr:uid="{00000000-0005-0000-0000-00007F390000}"/>
    <cellStyle name="Normal 3 6 4" xfId="14754" xr:uid="{00000000-0005-0000-0000-000080390000}"/>
    <cellStyle name="Normal 3 6 4 2" xfId="14755" xr:uid="{00000000-0005-0000-0000-000081390000}"/>
    <cellStyle name="Normal 3 6 4 3" xfId="14756" xr:uid="{00000000-0005-0000-0000-000082390000}"/>
    <cellStyle name="Normal 3 6 5" xfId="14757" xr:uid="{00000000-0005-0000-0000-000083390000}"/>
    <cellStyle name="Normal 3 6 5 2" xfId="14758" xr:uid="{00000000-0005-0000-0000-000084390000}"/>
    <cellStyle name="Normal 3 6 5 2 2" xfId="14759" xr:uid="{00000000-0005-0000-0000-000085390000}"/>
    <cellStyle name="Normal 3 6 5 2 3" xfId="14760" xr:uid="{00000000-0005-0000-0000-000086390000}"/>
    <cellStyle name="Normal 3 6 5 3" xfId="14761" xr:uid="{00000000-0005-0000-0000-000087390000}"/>
    <cellStyle name="Normal 3 6 5 3 2" xfId="14762" xr:uid="{00000000-0005-0000-0000-000088390000}"/>
    <cellStyle name="Normal 3 6 5 3 3" xfId="14763" xr:uid="{00000000-0005-0000-0000-000089390000}"/>
    <cellStyle name="Normal 3 6 5 4" xfId="14764" xr:uid="{00000000-0005-0000-0000-00008A390000}"/>
    <cellStyle name="Normal 3 6 5 5" xfId="14765" xr:uid="{00000000-0005-0000-0000-00008B390000}"/>
    <cellStyle name="Normal 3 6 6" xfId="14766" xr:uid="{00000000-0005-0000-0000-00008C390000}"/>
    <cellStyle name="Normal 3 6 7" xfId="14767" xr:uid="{00000000-0005-0000-0000-00008D390000}"/>
    <cellStyle name="Normal 3 6 7 2" xfId="14768" xr:uid="{00000000-0005-0000-0000-00008E390000}"/>
    <cellStyle name="Normal 3 6 7 2 2" xfId="14769" xr:uid="{00000000-0005-0000-0000-00008F390000}"/>
    <cellStyle name="Normal 3 6 7 2 3" xfId="14770" xr:uid="{00000000-0005-0000-0000-000090390000}"/>
    <cellStyle name="Normal 3 6 7 3" xfId="14771" xr:uid="{00000000-0005-0000-0000-000091390000}"/>
    <cellStyle name="Normal 3 6 7 3 2" xfId="14772" xr:uid="{00000000-0005-0000-0000-000092390000}"/>
    <cellStyle name="Normal 3 6 7 3 3" xfId="14773" xr:uid="{00000000-0005-0000-0000-000093390000}"/>
    <cellStyle name="Normal 3 6 7 4" xfId="14774" xr:uid="{00000000-0005-0000-0000-000094390000}"/>
    <cellStyle name="Normal 3 6 7 5" xfId="14775" xr:uid="{00000000-0005-0000-0000-000095390000}"/>
    <cellStyle name="Normal 3 6 7 6" xfId="14776" xr:uid="{00000000-0005-0000-0000-000096390000}"/>
    <cellStyle name="Normal 3 6 7 7" xfId="14777" xr:uid="{00000000-0005-0000-0000-000097390000}"/>
    <cellStyle name="Normal 3 6 8" xfId="14778" xr:uid="{00000000-0005-0000-0000-000098390000}"/>
    <cellStyle name="Normal 3 6 9" xfId="14779" xr:uid="{00000000-0005-0000-0000-000099390000}"/>
    <cellStyle name="Normal 3 6 9 2" xfId="14780" xr:uid="{00000000-0005-0000-0000-00009A390000}"/>
    <cellStyle name="Normal 3 6 9 2 2" xfId="14781" xr:uid="{00000000-0005-0000-0000-00009B390000}"/>
    <cellStyle name="Normal 3 6 9 3" xfId="14782" xr:uid="{00000000-0005-0000-0000-00009C390000}"/>
    <cellStyle name="Normal 3 6 9 3 2" xfId="14783" xr:uid="{00000000-0005-0000-0000-00009D390000}"/>
    <cellStyle name="Normal 3 6 9 3 3" xfId="14784" xr:uid="{00000000-0005-0000-0000-00009E390000}"/>
    <cellStyle name="Normal 3 6 9 4" xfId="14785" xr:uid="{00000000-0005-0000-0000-00009F390000}"/>
    <cellStyle name="Normal 3 6 9 4 2" xfId="14786" xr:uid="{00000000-0005-0000-0000-0000A0390000}"/>
    <cellStyle name="Normal 3 6 9 4 3" xfId="14787" xr:uid="{00000000-0005-0000-0000-0000A1390000}"/>
    <cellStyle name="Normal 3 6 9 5" xfId="14788" xr:uid="{00000000-0005-0000-0000-0000A2390000}"/>
    <cellStyle name="Normal 3 6 9 6" xfId="14789" xr:uid="{00000000-0005-0000-0000-0000A3390000}"/>
    <cellStyle name="Normal 3 6 9 7" xfId="14790" xr:uid="{00000000-0005-0000-0000-0000A4390000}"/>
    <cellStyle name="Normal 3 6 9 8" xfId="14791" xr:uid="{00000000-0005-0000-0000-0000A5390000}"/>
    <cellStyle name="Normal 3 6 9_Corrected Spl Task information Peddapalli Division" xfId="14792" xr:uid="{00000000-0005-0000-0000-0000A6390000}"/>
    <cellStyle name="Normal 3 6_AH Bhainsa Estimate" xfId="14793" xr:uid="{00000000-0005-0000-0000-0000A7390000}"/>
    <cellStyle name="Normal 3 60" xfId="14794" xr:uid="{00000000-0005-0000-0000-0000A8390000}"/>
    <cellStyle name="Normal 3 61" xfId="14795" xr:uid="{00000000-0005-0000-0000-0000A9390000}"/>
    <cellStyle name="Normal 3 62" xfId="14796" xr:uid="{00000000-0005-0000-0000-0000AA390000}"/>
    <cellStyle name="Normal 3 63" xfId="14797" xr:uid="{00000000-0005-0000-0000-0000AB390000}"/>
    <cellStyle name="Normal 3 64" xfId="14798" xr:uid="{00000000-0005-0000-0000-0000AC390000}"/>
    <cellStyle name="Normal 3 65" xfId="14799" xr:uid="{00000000-0005-0000-0000-0000AD390000}"/>
    <cellStyle name="Normal 3 66" xfId="14800" xr:uid="{00000000-0005-0000-0000-0000AE390000}"/>
    <cellStyle name="Normal 3 67" xfId="14801" xr:uid="{00000000-0005-0000-0000-0000AF390000}"/>
    <cellStyle name="Normal 3 7" xfId="14802" xr:uid="{00000000-0005-0000-0000-0000B0390000}"/>
    <cellStyle name="Normal 3 7 10" xfId="14803" xr:uid="{00000000-0005-0000-0000-0000B1390000}"/>
    <cellStyle name="Normal 3 7 11" xfId="14804" xr:uid="{00000000-0005-0000-0000-0000B2390000}"/>
    <cellStyle name="Normal 3 7 12" xfId="14805" xr:uid="{00000000-0005-0000-0000-0000B3390000}"/>
    <cellStyle name="Normal 3 7 2" xfId="14806" xr:uid="{00000000-0005-0000-0000-0000B4390000}"/>
    <cellStyle name="Normal 3 7 2 2" xfId="14807" xr:uid="{00000000-0005-0000-0000-0000B5390000}"/>
    <cellStyle name="Normal 3 7 3" xfId="14808" xr:uid="{00000000-0005-0000-0000-0000B6390000}"/>
    <cellStyle name="Normal 3 7 3 2" xfId="14809" xr:uid="{00000000-0005-0000-0000-0000B7390000}"/>
    <cellStyle name="Normal 3 7 3 3" xfId="14810" xr:uid="{00000000-0005-0000-0000-0000B8390000}"/>
    <cellStyle name="Normal 3 7 4" xfId="14811" xr:uid="{00000000-0005-0000-0000-0000B9390000}"/>
    <cellStyle name="Normal 3 7 5" xfId="14812" xr:uid="{00000000-0005-0000-0000-0000BA390000}"/>
    <cellStyle name="Normal 3 7 6" xfId="14813" xr:uid="{00000000-0005-0000-0000-0000BB390000}"/>
    <cellStyle name="Normal 3 7 7" xfId="14814" xr:uid="{00000000-0005-0000-0000-0000BC390000}"/>
    <cellStyle name="Normal 3 7 8" xfId="14815" xr:uid="{00000000-0005-0000-0000-0000BD390000}"/>
    <cellStyle name="Normal 3 7 9" xfId="14816" xr:uid="{00000000-0005-0000-0000-0000BE390000}"/>
    <cellStyle name="Normal 3 7_AH Bhainsa Estimate" xfId="14817" xr:uid="{00000000-0005-0000-0000-0000BF390000}"/>
    <cellStyle name="Normal 3 8" xfId="14818" xr:uid="{00000000-0005-0000-0000-0000C0390000}"/>
    <cellStyle name="Normal 3 8 10" xfId="14819" xr:uid="{00000000-0005-0000-0000-0000C1390000}"/>
    <cellStyle name="Normal 3 8 11" xfId="14820" xr:uid="{00000000-0005-0000-0000-0000C2390000}"/>
    <cellStyle name="Normal 3 8 2" xfId="14821" xr:uid="{00000000-0005-0000-0000-0000C3390000}"/>
    <cellStyle name="Normal 3 8 2 2" xfId="14822" xr:uid="{00000000-0005-0000-0000-0000C4390000}"/>
    <cellStyle name="Normal 3 8 2 3" xfId="14823" xr:uid="{00000000-0005-0000-0000-0000C5390000}"/>
    <cellStyle name="Normal 3 8 3" xfId="14824" xr:uid="{00000000-0005-0000-0000-0000C6390000}"/>
    <cellStyle name="Normal 3 8 3 2" xfId="14825" xr:uid="{00000000-0005-0000-0000-0000C7390000}"/>
    <cellStyle name="Normal 3 8 3 3" xfId="14826" xr:uid="{00000000-0005-0000-0000-0000C8390000}"/>
    <cellStyle name="Normal 3 8 4" xfId="14827" xr:uid="{00000000-0005-0000-0000-0000C9390000}"/>
    <cellStyle name="Normal 3 8 4 2" xfId="14828" xr:uid="{00000000-0005-0000-0000-0000CA390000}"/>
    <cellStyle name="Normal 3 8 4 3" xfId="14829" xr:uid="{00000000-0005-0000-0000-0000CB390000}"/>
    <cellStyle name="Normal 3 8 5" xfId="14830" xr:uid="{00000000-0005-0000-0000-0000CC390000}"/>
    <cellStyle name="Normal 3 8 6" xfId="14831" xr:uid="{00000000-0005-0000-0000-0000CD390000}"/>
    <cellStyle name="Normal 3 8 7" xfId="14832" xr:uid="{00000000-0005-0000-0000-0000CE390000}"/>
    <cellStyle name="Normal 3 8 8" xfId="14833" xr:uid="{00000000-0005-0000-0000-0000CF390000}"/>
    <cellStyle name="Normal 3 8 9" xfId="14834" xr:uid="{00000000-0005-0000-0000-0000D0390000}"/>
    <cellStyle name="Normal 3 8_AH Bhainsa Estimate" xfId="14835" xr:uid="{00000000-0005-0000-0000-0000D1390000}"/>
    <cellStyle name="Normal 3 9" xfId="14836" xr:uid="{00000000-0005-0000-0000-0000D2390000}"/>
    <cellStyle name="Normal 3 9 10" xfId="14837" xr:uid="{00000000-0005-0000-0000-0000D3390000}"/>
    <cellStyle name="Normal 3 9 11" xfId="14838" xr:uid="{00000000-0005-0000-0000-0000D4390000}"/>
    <cellStyle name="Normal 3 9 12" xfId="14839" xr:uid="{00000000-0005-0000-0000-0000D5390000}"/>
    <cellStyle name="Normal 3 9 13" xfId="14840" xr:uid="{00000000-0005-0000-0000-0000D6390000}"/>
    <cellStyle name="Normal 3 9 2" xfId="14841" xr:uid="{00000000-0005-0000-0000-0000D7390000}"/>
    <cellStyle name="Normal 3 9 2 2" xfId="14842" xr:uid="{00000000-0005-0000-0000-0000D8390000}"/>
    <cellStyle name="Normal 3 9 2 3" xfId="14843" xr:uid="{00000000-0005-0000-0000-0000D9390000}"/>
    <cellStyle name="Normal 3 9 3" xfId="14844" xr:uid="{00000000-0005-0000-0000-0000DA390000}"/>
    <cellStyle name="Normal 3 9 3 2" xfId="14845" xr:uid="{00000000-0005-0000-0000-0000DB390000}"/>
    <cellStyle name="Normal 3 9 3 3" xfId="14846" xr:uid="{00000000-0005-0000-0000-0000DC390000}"/>
    <cellStyle name="Normal 3 9 4" xfId="14847" xr:uid="{00000000-0005-0000-0000-0000DD390000}"/>
    <cellStyle name="Normal 3 9 4 2" xfId="14848" xr:uid="{00000000-0005-0000-0000-0000DE390000}"/>
    <cellStyle name="Normal 3 9 4 3" xfId="14849" xr:uid="{00000000-0005-0000-0000-0000DF390000}"/>
    <cellStyle name="Normal 3 9 5" xfId="14850" xr:uid="{00000000-0005-0000-0000-0000E0390000}"/>
    <cellStyle name="Normal 3 9 5 2" xfId="14851" xr:uid="{00000000-0005-0000-0000-0000E1390000}"/>
    <cellStyle name="Normal 3 9 5 3" xfId="14852" xr:uid="{00000000-0005-0000-0000-0000E2390000}"/>
    <cellStyle name="Normal 3 9 6" xfId="14853" xr:uid="{00000000-0005-0000-0000-0000E3390000}"/>
    <cellStyle name="Normal 3 9 6 2" xfId="14854" xr:uid="{00000000-0005-0000-0000-0000E4390000}"/>
    <cellStyle name="Normal 3 9 6 3" xfId="14855" xr:uid="{00000000-0005-0000-0000-0000E5390000}"/>
    <cellStyle name="Normal 3 9 7" xfId="14856" xr:uid="{00000000-0005-0000-0000-0000E6390000}"/>
    <cellStyle name="Normal 3 9 8" xfId="14857" xr:uid="{00000000-0005-0000-0000-0000E7390000}"/>
    <cellStyle name="Normal 3 9 9" xfId="14858" xr:uid="{00000000-0005-0000-0000-0000E8390000}"/>
    <cellStyle name="Normal 3_(9) 3 ACRs (GF) &amp; 2 ACRs (FF)" xfId="14859" xr:uid="{00000000-0005-0000-0000-0000E9390000}"/>
    <cellStyle name="Normal 30" xfId="14860" xr:uid="{00000000-0005-0000-0000-0000EA390000}"/>
    <cellStyle name="Normal 30 10" xfId="14861" xr:uid="{00000000-0005-0000-0000-0000EB390000}"/>
    <cellStyle name="Normal 30 11" xfId="14862" xr:uid="{00000000-0005-0000-0000-0000EC390000}"/>
    <cellStyle name="Normal 30 12" xfId="14863" xr:uid="{00000000-0005-0000-0000-0000ED390000}"/>
    <cellStyle name="Normal 30 2" xfId="14864" xr:uid="{00000000-0005-0000-0000-0000EE390000}"/>
    <cellStyle name="Normal 30 2 10" xfId="14865" xr:uid="{00000000-0005-0000-0000-0000EF390000}"/>
    <cellStyle name="Normal 30 2 11" xfId="14866" xr:uid="{00000000-0005-0000-0000-0000F0390000}"/>
    <cellStyle name="Normal 30 2 2" xfId="14867" xr:uid="{00000000-0005-0000-0000-0000F1390000}"/>
    <cellStyle name="Normal 30 2 2 2" xfId="14868" xr:uid="{00000000-0005-0000-0000-0000F2390000}"/>
    <cellStyle name="Normal 30 2 2 2 2" xfId="14869" xr:uid="{00000000-0005-0000-0000-0000F3390000}"/>
    <cellStyle name="Normal 30 2 2 2 3" xfId="14870" xr:uid="{00000000-0005-0000-0000-0000F4390000}"/>
    <cellStyle name="Normal 30 2 2 3" xfId="14871" xr:uid="{00000000-0005-0000-0000-0000F5390000}"/>
    <cellStyle name="Normal 30 2 2 4" xfId="14872" xr:uid="{00000000-0005-0000-0000-0000F6390000}"/>
    <cellStyle name="Normal 30 2 3" xfId="14873" xr:uid="{00000000-0005-0000-0000-0000F7390000}"/>
    <cellStyle name="Normal 30 2 4" xfId="14874" xr:uid="{00000000-0005-0000-0000-0000F8390000}"/>
    <cellStyle name="Normal 30 2 5" xfId="14875" xr:uid="{00000000-0005-0000-0000-0000F9390000}"/>
    <cellStyle name="Normal 30 2 6" xfId="14876" xr:uid="{00000000-0005-0000-0000-0000FA390000}"/>
    <cellStyle name="Normal 30 2 7" xfId="14877" xr:uid="{00000000-0005-0000-0000-0000FB390000}"/>
    <cellStyle name="Normal 30 2 8" xfId="14878" xr:uid="{00000000-0005-0000-0000-0000FC390000}"/>
    <cellStyle name="Normal 30 2 9" xfId="14879" xr:uid="{00000000-0005-0000-0000-0000FD390000}"/>
    <cellStyle name="Normal 30 2_Sheet2" xfId="14880" xr:uid="{00000000-0005-0000-0000-0000FE390000}"/>
    <cellStyle name="Normal 30 3" xfId="14881" xr:uid="{00000000-0005-0000-0000-0000FF390000}"/>
    <cellStyle name="Normal 30 3 2" xfId="14882" xr:uid="{00000000-0005-0000-0000-0000003A0000}"/>
    <cellStyle name="Normal 30 3 2 2" xfId="14883" xr:uid="{00000000-0005-0000-0000-0000013A0000}"/>
    <cellStyle name="Normal 30 3 2 3" xfId="14884" xr:uid="{00000000-0005-0000-0000-0000023A0000}"/>
    <cellStyle name="Normal 30 3 2 4" xfId="14885" xr:uid="{00000000-0005-0000-0000-0000033A0000}"/>
    <cellStyle name="Normal 30 3 3" xfId="14886" xr:uid="{00000000-0005-0000-0000-0000043A0000}"/>
    <cellStyle name="Normal 30 4" xfId="14887" xr:uid="{00000000-0005-0000-0000-0000053A0000}"/>
    <cellStyle name="Normal 30 4 2" xfId="14888" xr:uid="{00000000-0005-0000-0000-0000063A0000}"/>
    <cellStyle name="Normal 30 4 3" xfId="14889" xr:uid="{00000000-0005-0000-0000-0000073A0000}"/>
    <cellStyle name="Normal 30 5" xfId="14890" xr:uid="{00000000-0005-0000-0000-0000083A0000}"/>
    <cellStyle name="Normal 30 5 2" xfId="14891" xr:uid="{00000000-0005-0000-0000-0000093A0000}"/>
    <cellStyle name="Normal 30 5 3" xfId="14892" xr:uid="{00000000-0005-0000-0000-00000A3A0000}"/>
    <cellStyle name="Normal 30 6" xfId="14893" xr:uid="{00000000-0005-0000-0000-00000B3A0000}"/>
    <cellStyle name="Normal 30 6 2" xfId="14894" xr:uid="{00000000-0005-0000-0000-00000C3A0000}"/>
    <cellStyle name="Normal 30 6 3" xfId="14895" xr:uid="{00000000-0005-0000-0000-00000D3A0000}"/>
    <cellStyle name="Normal 30 7" xfId="14896" xr:uid="{00000000-0005-0000-0000-00000E3A0000}"/>
    <cellStyle name="Normal 30 8" xfId="14897" xr:uid="{00000000-0005-0000-0000-00000F3A0000}"/>
    <cellStyle name="Normal 30 9" xfId="14898" xr:uid="{00000000-0005-0000-0000-0000103A0000}"/>
    <cellStyle name="Normal 30_AH Bhainsa Estimate" xfId="14899" xr:uid="{00000000-0005-0000-0000-0000113A0000}"/>
    <cellStyle name="Normal 31" xfId="14900" xr:uid="{00000000-0005-0000-0000-0000123A0000}"/>
    <cellStyle name="Normal 31 10" xfId="14901" xr:uid="{00000000-0005-0000-0000-0000133A0000}"/>
    <cellStyle name="Normal 31 11" xfId="14902" xr:uid="{00000000-0005-0000-0000-0000143A0000}"/>
    <cellStyle name="Normal 31 12" xfId="14903" xr:uid="{00000000-0005-0000-0000-0000153A0000}"/>
    <cellStyle name="Normal 31 2" xfId="14904" xr:uid="{00000000-0005-0000-0000-0000163A0000}"/>
    <cellStyle name="Normal 31 2 10" xfId="14905" xr:uid="{00000000-0005-0000-0000-0000173A0000}"/>
    <cellStyle name="Normal 31 2 11" xfId="14906" xr:uid="{00000000-0005-0000-0000-0000183A0000}"/>
    <cellStyle name="Normal 31 2 2" xfId="14907" xr:uid="{00000000-0005-0000-0000-0000193A0000}"/>
    <cellStyle name="Normal 31 2 2 2" xfId="14908" xr:uid="{00000000-0005-0000-0000-00001A3A0000}"/>
    <cellStyle name="Normal 31 2 2 2 2" xfId="14909" xr:uid="{00000000-0005-0000-0000-00001B3A0000}"/>
    <cellStyle name="Normal 31 2 2 2 3" xfId="14910" xr:uid="{00000000-0005-0000-0000-00001C3A0000}"/>
    <cellStyle name="Normal 31 2 2 3" xfId="14911" xr:uid="{00000000-0005-0000-0000-00001D3A0000}"/>
    <cellStyle name="Normal 31 2 2 4" xfId="14912" xr:uid="{00000000-0005-0000-0000-00001E3A0000}"/>
    <cellStyle name="Normal 31 2 3" xfId="14913" xr:uid="{00000000-0005-0000-0000-00001F3A0000}"/>
    <cellStyle name="Normal 31 2 4" xfId="14914" xr:uid="{00000000-0005-0000-0000-0000203A0000}"/>
    <cellStyle name="Normal 31 2 5" xfId="14915" xr:uid="{00000000-0005-0000-0000-0000213A0000}"/>
    <cellStyle name="Normal 31 2 6" xfId="14916" xr:uid="{00000000-0005-0000-0000-0000223A0000}"/>
    <cellStyle name="Normal 31 2 7" xfId="14917" xr:uid="{00000000-0005-0000-0000-0000233A0000}"/>
    <cellStyle name="Normal 31 2 8" xfId="14918" xr:uid="{00000000-0005-0000-0000-0000243A0000}"/>
    <cellStyle name="Normal 31 2 9" xfId="14919" xr:uid="{00000000-0005-0000-0000-0000253A0000}"/>
    <cellStyle name="Normal 31 2_Sheet2" xfId="14920" xr:uid="{00000000-0005-0000-0000-0000263A0000}"/>
    <cellStyle name="Normal 31 3" xfId="14921" xr:uid="{00000000-0005-0000-0000-0000273A0000}"/>
    <cellStyle name="Normal 31 3 2" xfId="14922" xr:uid="{00000000-0005-0000-0000-0000283A0000}"/>
    <cellStyle name="Normal 31 3 2 2" xfId="14923" xr:uid="{00000000-0005-0000-0000-0000293A0000}"/>
    <cellStyle name="Normal 31 3 2 3" xfId="14924" xr:uid="{00000000-0005-0000-0000-00002A3A0000}"/>
    <cellStyle name="Normal 31 3 2 4" xfId="14925" xr:uid="{00000000-0005-0000-0000-00002B3A0000}"/>
    <cellStyle name="Normal 31 3 3" xfId="14926" xr:uid="{00000000-0005-0000-0000-00002C3A0000}"/>
    <cellStyle name="Normal 31 4" xfId="14927" xr:uid="{00000000-0005-0000-0000-00002D3A0000}"/>
    <cellStyle name="Normal 31 4 2" xfId="14928" xr:uid="{00000000-0005-0000-0000-00002E3A0000}"/>
    <cellStyle name="Normal 31 4 3" xfId="14929" xr:uid="{00000000-0005-0000-0000-00002F3A0000}"/>
    <cellStyle name="Normal 31 5" xfId="14930" xr:uid="{00000000-0005-0000-0000-0000303A0000}"/>
    <cellStyle name="Normal 31 5 2" xfId="14931" xr:uid="{00000000-0005-0000-0000-0000313A0000}"/>
    <cellStyle name="Normal 31 5 3" xfId="14932" xr:uid="{00000000-0005-0000-0000-0000323A0000}"/>
    <cellStyle name="Normal 31 6" xfId="14933" xr:uid="{00000000-0005-0000-0000-0000333A0000}"/>
    <cellStyle name="Normal 31 7" xfId="14934" xr:uid="{00000000-0005-0000-0000-0000343A0000}"/>
    <cellStyle name="Normal 31 8" xfId="14935" xr:uid="{00000000-0005-0000-0000-0000353A0000}"/>
    <cellStyle name="Normal 31 9" xfId="14936" xr:uid="{00000000-0005-0000-0000-0000363A0000}"/>
    <cellStyle name="Normal 31_AH Bhainsa Estimate" xfId="14937" xr:uid="{00000000-0005-0000-0000-0000373A0000}"/>
    <cellStyle name="Normal 32" xfId="14938" xr:uid="{00000000-0005-0000-0000-0000383A0000}"/>
    <cellStyle name="Normal 32 10" xfId="14939" xr:uid="{00000000-0005-0000-0000-0000393A0000}"/>
    <cellStyle name="Normal 32 11" xfId="14940" xr:uid="{00000000-0005-0000-0000-00003A3A0000}"/>
    <cellStyle name="Normal 32 12" xfId="14941" xr:uid="{00000000-0005-0000-0000-00003B3A0000}"/>
    <cellStyle name="Normal 32 2" xfId="14942" xr:uid="{00000000-0005-0000-0000-00003C3A0000}"/>
    <cellStyle name="Normal 32 2 10" xfId="14943" xr:uid="{00000000-0005-0000-0000-00003D3A0000}"/>
    <cellStyle name="Normal 32 2 11" xfId="14944" xr:uid="{00000000-0005-0000-0000-00003E3A0000}"/>
    <cellStyle name="Normal 32 2 2" xfId="14945" xr:uid="{00000000-0005-0000-0000-00003F3A0000}"/>
    <cellStyle name="Normal 32 2 2 2" xfId="14946" xr:uid="{00000000-0005-0000-0000-0000403A0000}"/>
    <cellStyle name="Normal 32 2 2 2 2" xfId="14947" xr:uid="{00000000-0005-0000-0000-0000413A0000}"/>
    <cellStyle name="Normal 32 2 2 2 3" xfId="14948" xr:uid="{00000000-0005-0000-0000-0000423A0000}"/>
    <cellStyle name="Normal 32 2 2 3" xfId="14949" xr:uid="{00000000-0005-0000-0000-0000433A0000}"/>
    <cellStyle name="Normal 32 2 2 4" xfId="14950" xr:uid="{00000000-0005-0000-0000-0000443A0000}"/>
    <cellStyle name="Normal 32 2 3" xfId="14951" xr:uid="{00000000-0005-0000-0000-0000453A0000}"/>
    <cellStyle name="Normal 32 2 4" xfId="14952" xr:uid="{00000000-0005-0000-0000-0000463A0000}"/>
    <cellStyle name="Normal 32 2 5" xfId="14953" xr:uid="{00000000-0005-0000-0000-0000473A0000}"/>
    <cellStyle name="Normal 32 2 6" xfId="14954" xr:uid="{00000000-0005-0000-0000-0000483A0000}"/>
    <cellStyle name="Normal 32 2 7" xfId="14955" xr:uid="{00000000-0005-0000-0000-0000493A0000}"/>
    <cellStyle name="Normal 32 2 8" xfId="14956" xr:uid="{00000000-0005-0000-0000-00004A3A0000}"/>
    <cellStyle name="Normal 32 2 9" xfId="14957" xr:uid="{00000000-0005-0000-0000-00004B3A0000}"/>
    <cellStyle name="Normal 32 2_Sheet2" xfId="14958" xr:uid="{00000000-0005-0000-0000-00004C3A0000}"/>
    <cellStyle name="Normal 32 3" xfId="14959" xr:uid="{00000000-0005-0000-0000-00004D3A0000}"/>
    <cellStyle name="Normal 32 3 2" xfId="14960" xr:uid="{00000000-0005-0000-0000-00004E3A0000}"/>
    <cellStyle name="Normal 32 3 2 2" xfId="14961" xr:uid="{00000000-0005-0000-0000-00004F3A0000}"/>
    <cellStyle name="Normal 32 3 2 3" xfId="14962" xr:uid="{00000000-0005-0000-0000-0000503A0000}"/>
    <cellStyle name="Normal 32 3 2 4" xfId="14963" xr:uid="{00000000-0005-0000-0000-0000513A0000}"/>
    <cellStyle name="Normal 32 3 3" xfId="14964" xr:uid="{00000000-0005-0000-0000-0000523A0000}"/>
    <cellStyle name="Normal 32 4" xfId="14965" xr:uid="{00000000-0005-0000-0000-0000533A0000}"/>
    <cellStyle name="Normal 32 4 2" xfId="14966" xr:uid="{00000000-0005-0000-0000-0000543A0000}"/>
    <cellStyle name="Normal 32 4 3" xfId="14967" xr:uid="{00000000-0005-0000-0000-0000553A0000}"/>
    <cellStyle name="Normal 32 5" xfId="14968" xr:uid="{00000000-0005-0000-0000-0000563A0000}"/>
    <cellStyle name="Normal 32 5 2" xfId="14969" xr:uid="{00000000-0005-0000-0000-0000573A0000}"/>
    <cellStyle name="Normal 32 5 3" xfId="14970" xr:uid="{00000000-0005-0000-0000-0000583A0000}"/>
    <cellStyle name="Normal 32 6" xfId="14971" xr:uid="{00000000-0005-0000-0000-0000593A0000}"/>
    <cellStyle name="Normal 32 7" xfId="14972" xr:uid="{00000000-0005-0000-0000-00005A3A0000}"/>
    <cellStyle name="Normal 32 8" xfId="14973" xr:uid="{00000000-0005-0000-0000-00005B3A0000}"/>
    <cellStyle name="Normal 32 9" xfId="14974" xr:uid="{00000000-0005-0000-0000-00005C3A0000}"/>
    <cellStyle name="Normal 32_AH Bhainsa Estimate" xfId="14975" xr:uid="{00000000-0005-0000-0000-00005D3A0000}"/>
    <cellStyle name="Normal 33" xfId="14976" xr:uid="{00000000-0005-0000-0000-00005E3A0000}"/>
    <cellStyle name="Normal 33 10" xfId="14977" xr:uid="{00000000-0005-0000-0000-00005F3A0000}"/>
    <cellStyle name="Normal 33 11" xfId="14978" xr:uid="{00000000-0005-0000-0000-0000603A0000}"/>
    <cellStyle name="Normal 33 12" xfId="14979" xr:uid="{00000000-0005-0000-0000-0000613A0000}"/>
    <cellStyle name="Normal 33 2" xfId="14980" xr:uid="{00000000-0005-0000-0000-0000623A0000}"/>
    <cellStyle name="Normal 33 2 10" xfId="14981" xr:uid="{00000000-0005-0000-0000-0000633A0000}"/>
    <cellStyle name="Normal 33 2 11" xfId="14982" xr:uid="{00000000-0005-0000-0000-0000643A0000}"/>
    <cellStyle name="Normal 33 2 2" xfId="14983" xr:uid="{00000000-0005-0000-0000-0000653A0000}"/>
    <cellStyle name="Normal 33 2 2 2" xfId="14984" xr:uid="{00000000-0005-0000-0000-0000663A0000}"/>
    <cellStyle name="Normal 33 2 2 3" xfId="14985" xr:uid="{00000000-0005-0000-0000-0000673A0000}"/>
    <cellStyle name="Normal 33 2 3" xfId="14986" xr:uid="{00000000-0005-0000-0000-0000683A0000}"/>
    <cellStyle name="Normal 33 2 4" xfId="14987" xr:uid="{00000000-0005-0000-0000-0000693A0000}"/>
    <cellStyle name="Normal 33 2 4 2" xfId="14988" xr:uid="{00000000-0005-0000-0000-00006A3A0000}"/>
    <cellStyle name="Normal 33 2 5" xfId="14989" xr:uid="{00000000-0005-0000-0000-00006B3A0000}"/>
    <cellStyle name="Normal 33 2 6" xfId="14990" xr:uid="{00000000-0005-0000-0000-00006C3A0000}"/>
    <cellStyle name="Normal 33 2 7" xfId="14991" xr:uid="{00000000-0005-0000-0000-00006D3A0000}"/>
    <cellStyle name="Normal 33 2 8" xfId="14992" xr:uid="{00000000-0005-0000-0000-00006E3A0000}"/>
    <cellStyle name="Normal 33 2 9" xfId="14993" xr:uid="{00000000-0005-0000-0000-00006F3A0000}"/>
    <cellStyle name="Normal 33 2_Sheet2" xfId="14994" xr:uid="{00000000-0005-0000-0000-0000703A0000}"/>
    <cellStyle name="Normal 33 3" xfId="14995" xr:uid="{00000000-0005-0000-0000-0000713A0000}"/>
    <cellStyle name="Normal 33 3 2" xfId="14996" xr:uid="{00000000-0005-0000-0000-0000723A0000}"/>
    <cellStyle name="Normal 33 3 2 2" xfId="14997" xr:uid="{00000000-0005-0000-0000-0000733A0000}"/>
    <cellStyle name="Normal 33 3 2 3" xfId="14998" xr:uid="{00000000-0005-0000-0000-0000743A0000}"/>
    <cellStyle name="Normal 33 3 2 4" xfId="14999" xr:uid="{00000000-0005-0000-0000-0000753A0000}"/>
    <cellStyle name="Normal 33 3 3" xfId="15000" xr:uid="{00000000-0005-0000-0000-0000763A0000}"/>
    <cellStyle name="Normal 33 4" xfId="15001" xr:uid="{00000000-0005-0000-0000-0000773A0000}"/>
    <cellStyle name="Normal 33 4 2" xfId="15002" xr:uid="{00000000-0005-0000-0000-0000783A0000}"/>
    <cellStyle name="Normal 33 4 3" xfId="15003" xr:uid="{00000000-0005-0000-0000-0000793A0000}"/>
    <cellStyle name="Normal 33 5" xfId="15004" xr:uid="{00000000-0005-0000-0000-00007A3A0000}"/>
    <cellStyle name="Normal 33 5 2" xfId="15005" xr:uid="{00000000-0005-0000-0000-00007B3A0000}"/>
    <cellStyle name="Normal 33 5 3" xfId="15006" xr:uid="{00000000-0005-0000-0000-00007C3A0000}"/>
    <cellStyle name="Normal 33 6" xfId="15007" xr:uid="{00000000-0005-0000-0000-00007D3A0000}"/>
    <cellStyle name="Normal 33 7" xfId="15008" xr:uid="{00000000-0005-0000-0000-00007E3A0000}"/>
    <cellStyle name="Normal 33 8" xfId="15009" xr:uid="{00000000-0005-0000-0000-00007F3A0000}"/>
    <cellStyle name="Normal 33 9" xfId="15010" xr:uid="{00000000-0005-0000-0000-0000803A0000}"/>
    <cellStyle name="Normal 33_AH Bhainsa Estimate" xfId="15011" xr:uid="{00000000-0005-0000-0000-0000813A0000}"/>
    <cellStyle name="Normal 34" xfId="15012" xr:uid="{00000000-0005-0000-0000-0000823A0000}"/>
    <cellStyle name="Normal 34 10" xfId="15013" xr:uid="{00000000-0005-0000-0000-0000833A0000}"/>
    <cellStyle name="Normal 34 11" xfId="15014" xr:uid="{00000000-0005-0000-0000-0000843A0000}"/>
    <cellStyle name="Normal 34 12" xfId="15015" xr:uid="{00000000-0005-0000-0000-0000853A0000}"/>
    <cellStyle name="Normal 34 13" xfId="15016" xr:uid="{00000000-0005-0000-0000-0000863A0000}"/>
    <cellStyle name="Normal 34 14" xfId="15017" xr:uid="{00000000-0005-0000-0000-0000873A0000}"/>
    <cellStyle name="Normal 34 15" xfId="15018" xr:uid="{00000000-0005-0000-0000-0000883A0000}"/>
    <cellStyle name="Normal 34 16" xfId="15019" xr:uid="{00000000-0005-0000-0000-0000893A0000}"/>
    <cellStyle name="Normal 34 16 2" xfId="15020" xr:uid="{00000000-0005-0000-0000-00008A3A0000}"/>
    <cellStyle name="Normal 34 2" xfId="15021" xr:uid="{00000000-0005-0000-0000-00008B3A0000}"/>
    <cellStyle name="Normal 34 2 2" xfId="15022" xr:uid="{00000000-0005-0000-0000-00008C3A0000}"/>
    <cellStyle name="Normal 34 2 3" xfId="15023" xr:uid="{00000000-0005-0000-0000-00008D3A0000}"/>
    <cellStyle name="Normal 34 2 4" xfId="15024" xr:uid="{00000000-0005-0000-0000-00008E3A0000}"/>
    <cellStyle name="Normal 34 2 5" xfId="15025" xr:uid="{00000000-0005-0000-0000-00008F3A0000}"/>
    <cellStyle name="Normal 34 2 6" xfId="15026" xr:uid="{00000000-0005-0000-0000-0000903A0000}"/>
    <cellStyle name="Normal 34 2 7" xfId="15027" xr:uid="{00000000-0005-0000-0000-0000913A0000}"/>
    <cellStyle name="Normal 34 2 8" xfId="15028" xr:uid="{00000000-0005-0000-0000-0000923A0000}"/>
    <cellStyle name="Normal 34 2 9" xfId="15029" xr:uid="{00000000-0005-0000-0000-0000933A0000}"/>
    <cellStyle name="Normal 34 3" xfId="15030" xr:uid="{00000000-0005-0000-0000-0000943A0000}"/>
    <cellStyle name="Normal 34 3 2" xfId="15031" xr:uid="{00000000-0005-0000-0000-0000953A0000}"/>
    <cellStyle name="Normal 34 3 3" xfId="15032" xr:uid="{00000000-0005-0000-0000-0000963A0000}"/>
    <cellStyle name="Normal 34 3 4" xfId="15033" xr:uid="{00000000-0005-0000-0000-0000973A0000}"/>
    <cellStyle name="Normal 34 3_Sheet2" xfId="15034" xr:uid="{00000000-0005-0000-0000-0000983A0000}"/>
    <cellStyle name="Normal 34 4" xfId="15035" xr:uid="{00000000-0005-0000-0000-0000993A0000}"/>
    <cellStyle name="Normal 34 4 2" xfId="15036" xr:uid="{00000000-0005-0000-0000-00009A3A0000}"/>
    <cellStyle name="Normal 34 4 3" xfId="15037" xr:uid="{00000000-0005-0000-0000-00009B3A0000}"/>
    <cellStyle name="Normal 34 5" xfId="15038" xr:uid="{00000000-0005-0000-0000-00009C3A0000}"/>
    <cellStyle name="Normal 34 5 2" xfId="15039" xr:uid="{00000000-0005-0000-0000-00009D3A0000}"/>
    <cellStyle name="Normal 34 5 3" xfId="15040" xr:uid="{00000000-0005-0000-0000-00009E3A0000}"/>
    <cellStyle name="Normal 34 6" xfId="15041" xr:uid="{00000000-0005-0000-0000-00009F3A0000}"/>
    <cellStyle name="Normal 34 6 2" xfId="15042" xr:uid="{00000000-0005-0000-0000-0000A03A0000}"/>
    <cellStyle name="Normal 34 6 3" xfId="15043" xr:uid="{00000000-0005-0000-0000-0000A13A0000}"/>
    <cellStyle name="Normal 34 7" xfId="15044" xr:uid="{00000000-0005-0000-0000-0000A23A0000}"/>
    <cellStyle name="Normal 34 7 2" xfId="15045" xr:uid="{00000000-0005-0000-0000-0000A33A0000}"/>
    <cellStyle name="Normal 34 8" xfId="15046" xr:uid="{00000000-0005-0000-0000-0000A43A0000}"/>
    <cellStyle name="Normal 34 9" xfId="15047" xr:uid="{00000000-0005-0000-0000-0000A53A0000}"/>
    <cellStyle name="Normal 34_AH Mancherial Estimate" xfId="15048" xr:uid="{00000000-0005-0000-0000-0000A63A0000}"/>
    <cellStyle name="Normal 35" xfId="15049" xr:uid="{00000000-0005-0000-0000-0000A73A0000}"/>
    <cellStyle name="Normal 35 10" xfId="15050" xr:uid="{00000000-0005-0000-0000-0000A83A0000}"/>
    <cellStyle name="Normal 35 11" xfId="15051" xr:uid="{00000000-0005-0000-0000-0000A93A0000}"/>
    <cellStyle name="Normal 35 12" xfId="15052" xr:uid="{00000000-0005-0000-0000-0000AA3A0000}"/>
    <cellStyle name="Normal 35 13" xfId="15053" xr:uid="{00000000-0005-0000-0000-0000AB3A0000}"/>
    <cellStyle name="Normal 35 14" xfId="15054" xr:uid="{00000000-0005-0000-0000-0000AC3A0000}"/>
    <cellStyle name="Normal 35 2" xfId="15055" xr:uid="{00000000-0005-0000-0000-0000AD3A0000}"/>
    <cellStyle name="Normal 35 2 10" xfId="15056" xr:uid="{00000000-0005-0000-0000-0000AE3A0000}"/>
    <cellStyle name="Normal 35 2 11" xfId="15057" xr:uid="{00000000-0005-0000-0000-0000AF3A0000}"/>
    <cellStyle name="Normal 35 2 12" xfId="15058" xr:uid="{00000000-0005-0000-0000-0000B03A0000}"/>
    <cellStyle name="Normal 35 2 2" xfId="15059" xr:uid="{00000000-0005-0000-0000-0000B13A0000}"/>
    <cellStyle name="Normal 35 2 2 2" xfId="15060" xr:uid="{00000000-0005-0000-0000-0000B23A0000}"/>
    <cellStyle name="Normal 35 2 2 3" xfId="15061" xr:uid="{00000000-0005-0000-0000-0000B33A0000}"/>
    <cellStyle name="Normal 35 2 2 3 2" xfId="15062" xr:uid="{00000000-0005-0000-0000-0000B43A0000}"/>
    <cellStyle name="Normal 35 2 2 3 2 2" xfId="15063" xr:uid="{00000000-0005-0000-0000-0000B53A0000}"/>
    <cellStyle name="Normal 35 2 2 4" xfId="15064" xr:uid="{00000000-0005-0000-0000-0000B63A0000}"/>
    <cellStyle name="Normal 35 2 2 5" xfId="15065" xr:uid="{00000000-0005-0000-0000-0000B73A0000}"/>
    <cellStyle name="Normal 35 2 3" xfId="15066" xr:uid="{00000000-0005-0000-0000-0000B83A0000}"/>
    <cellStyle name="Normal 35 2 3 2" xfId="15067" xr:uid="{00000000-0005-0000-0000-0000B93A0000}"/>
    <cellStyle name="Normal 35 2 4" xfId="15068" xr:uid="{00000000-0005-0000-0000-0000BA3A0000}"/>
    <cellStyle name="Normal 35 2 5" xfId="15069" xr:uid="{00000000-0005-0000-0000-0000BB3A0000}"/>
    <cellStyle name="Normal 35 2 6" xfId="15070" xr:uid="{00000000-0005-0000-0000-0000BC3A0000}"/>
    <cellStyle name="Normal 35 2 7" xfId="15071" xr:uid="{00000000-0005-0000-0000-0000BD3A0000}"/>
    <cellStyle name="Normal 35 2 8" xfId="15072" xr:uid="{00000000-0005-0000-0000-0000BE3A0000}"/>
    <cellStyle name="Normal 35 2 9" xfId="15073" xr:uid="{00000000-0005-0000-0000-0000BF3A0000}"/>
    <cellStyle name="Normal 35 2_CHC Asifabad Estimate" xfId="15074" xr:uid="{00000000-0005-0000-0000-0000C03A0000}"/>
    <cellStyle name="Normal 35 3" xfId="15075" xr:uid="{00000000-0005-0000-0000-0000C13A0000}"/>
    <cellStyle name="Normal 35 3 2" xfId="15076" xr:uid="{00000000-0005-0000-0000-0000C23A0000}"/>
    <cellStyle name="Normal 35 3 3" xfId="15077" xr:uid="{00000000-0005-0000-0000-0000C33A0000}"/>
    <cellStyle name="Normal 35 3 3 2" xfId="15078" xr:uid="{00000000-0005-0000-0000-0000C43A0000}"/>
    <cellStyle name="Normal 35 3 3 2 2" xfId="15079" xr:uid="{00000000-0005-0000-0000-0000C53A0000}"/>
    <cellStyle name="Normal 35 4" xfId="15080" xr:uid="{00000000-0005-0000-0000-0000C63A0000}"/>
    <cellStyle name="Normal 35 4 2" xfId="15081" xr:uid="{00000000-0005-0000-0000-0000C73A0000}"/>
    <cellStyle name="Normal 35 4 3" xfId="15082" xr:uid="{00000000-0005-0000-0000-0000C83A0000}"/>
    <cellStyle name="Normal 35 5" xfId="15083" xr:uid="{00000000-0005-0000-0000-0000C93A0000}"/>
    <cellStyle name="Normal 35 5 2" xfId="15084" xr:uid="{00000000-0005-0000-0000-0000CA3A0000}"/>
    <cellStyle name="Normal 35 5 3" xfId="15085" xr:uid="{00000000-0005-0000-0000-0000CB3A0000}"/>
    <cellStyle name="Normal 35 6" xfId="15086" xr:uid="{00000000-0005-0000-0000-0000CC3A0000}"/>
    <cellStyle name="Normal 35 6 2" xfId="15087" xr:uid="{00000000-0005-0000-0000-0000CD3A0000}"/>
    <cellStyle name="Normal 35 6 3" xfId="15088" xr:uid="{00000000-0005-0000-0000-0000CE3A0000}"/>
    <cellStyle name="Normal 35 7" xfId="15089" xr:uid="{00000000-0005-0000-0000-0000CF3A0000}"/>
    <cellStyle name="Normal 35 7 2" xfId="15090" xr:uid="{00000000-0005-0000-0000-0000D03A0000}"/>
    <cellStyle name="Normal 35 7 3" xfId="15091" xr:uid="{00000000-0005-0000-0000-0000D13A0000}"/>
    <cellStyle name="Normal 35 8" xfId="15092" xr:uid="{00000000-0005-0000-0000-0000D23A0000}"/>
    <cellStyle name="Normal 35 9" xfId="15093" xr:uid="{00000000-0005-0000-0000-0000D33A0000}"/>
    <cellStyle name="Normal 35_AH Bhainsa Estimate" xfId="15094" xr:uid="{00000000-0005-0000-0000-0000D43A0000}"/>
    <cellStyle name="Normal 36" xfId="15095" xr:uid="{00000000-0005-0000-0000-0000D53A0000}"/>
    <cellStyle name="Normal 36 10" xfId="15096" xr:uid="{00000000-0005-0000-0000-0000D63A0000}"/>
    <cellStyle name="Normal 36 11" xfId="15097" xr:uid="{00000000-0005-0000-0000-0000D73A0000}"/>
    <cellStyle name="Normal 36 12" xfId="15098" xr:uid="{00000000-0005-0000-0000-0000D83A0000}"/>
    <cellStyle name="Normal 36 13" xfId="15099" xr:uid="{00000000-0005-0000-0000-0000D93A0000}"/>
    <cellStyle name="Normal 36 14 2" xfId="15100" xr:uid="{00000000-0005-0000-0000-0000DA3A0000}"/>
    <cellStyle name="Normal 36 2" xfId="15101" xr:uid="{00000000-0005-0000-0000-0000DB3A0000}"/>
    <cellStyle name="Normal 36 2 10" xfId="15102" xr:uid="{00000000-0005-0000-0000-0000DC3A0000}"/>
    <cellStyle name="Normal 36 2 11" xfId="15103" xr:uid="{00000000-0005-0000-0000-0000DD3A0000}"/>
    <cellStyle name="Normal 36 2 12" xfId="15104" xr:uid="{00000000-0005-0000-0000-0000DE3A0000}"/>
    <cellStyle name="Normal 36 2 2" xfId="15105" xr:uid="{00000000-0005-0000-0000-0000DF3A0000}"/>
    <cellStyle name="Normal 36 2 2 2" xfId="15106" xr:uid="{00000000-0005-0000-0000-0000E03A0000}"/>
    <cellStyle name="Normal 36 2 2 3" xfId="15107" xr:uid="{00000000-0005-0000-0000-0000E13A0000}"/>
    <cellStyle name="Normal 36 2 3" xfId="15108" xr:uid="{00000000-0005-0000-0000-0000E23A0000}"/>
    <cellStyle name="Normal 36 2 4" xfId="15109" xr:uid="{00000000-0005-0000-0000-0000E33A0000}"/>
    <cellStyle name="Normal 36 2 5" xfId="15110" xr:uid="{00000000-0005-0000-0000-0000E43A0000}"/>
    <cellStyle name="Normal 36 2 6" xfId="15111" xr:uid="{00000000-0005-0000-0000-0000E53A0000}"/>
    <cellStyle name="Normal 36 2 7" xfId="15112" xr:uid="{00000000-0005-0000-0000-0000E63A0000}"/>
    <cellStyle name="Normal 36 2 8" xfId="15113" xr:uid="{00000000-0005-0000-0000-0000E73A0000}"/>
    <cellStyle name="Normal 36 2 9" xfId="15114" xr:uid="{00000000-0005-0000-0000-0000E83A0000}"/>
    <cellStyle name="Normal 36 3" xfId="15115" xr:uid="{00000000-0005-0000-0000-0000E93A0000}"/>
    <cellStyle name="Normal 36 3 2" xfId="15116" xr:uid="{00000000-0005-0000-0000-0000EA3A0000}"/>
    <cellStyle name="Normal 36 3 3" xfId="15117" xr:uid="{00000000-0005-0000-0000-0000EB3A0000}"/>
    <cellStyle name="Normal 36 4" xfId="15118" xr:uid="{00000000-0005-0000-0000-0000EC3A0000}"/>
    <cellStyle name="Normal 36 4 2" xfId="15119" xr:uid="{00000000-0005-0000-0000-0000ED3A0000}"/>
    <cellStyle name="Normal 36 4 3" xfId="15120" xr:uid="{00000000-0005-0000-0000-0000EE3A0000}"/>
    <cellStyle name="Normal 36 5" xfId="15121" xr:uid="{00000000-0005-0000-0000-0000EF3A0000}"/>
    <cellStyle name="Normal 36 5 2" xfId="15122" xr:uid="{00000000-0005-0000-0000-0000F03A0000}"/>
    <cellStyle name="Normal 36 5 3" xfId="15123" xr:uid="{00000000-0005-0000-0000-0000F13A0000}"/>
    <cellStyle name="Normal 36 6" xfId="15124" xr:uid="{00000000-0005-0000-0000-0000F23A0000}"/>
    <cellStyle name="Normal 36 7" xfId="15125" xr:uid="{00000000-0005-0000-0000-0000F33A0000}"/>
    <cellStyle name="Normal 36 8" xfId="15126" xr:uid="{00000000-0005-0000-0000-0000F43A0000}"/>
    <cellStyle name="Normal 36 9" xfId="15127" xr:uid="{00000000-0005-0000-0000-0000F53A0000}"/>
    <cellStyle name="Normal 36_Repairs &amp; Renovations to MGM  - 26-07-2016" xfId="15128" xr:uid="{00000000-0005-0000-0000-0000F63A0000}"/>
    <cellStyle name="Normal 37" xfId="15129" xr:uid="{00000000-0005-0000-0000-0000F73A0000}"/>
    <cellStyle name="Normal 37 10" xfId="15130" xr:uid="{00000000-0005-0000-0000-0000F83A0000}"/>
    <cellStyle name="Normal 37 2" xfId="15131" xr:uid="{00000000-0005-0000-0000-0000F93A0000}"/>
    <cellStyle name="Normal 37 2 10" xfId="15132" xr:uid="{00000000-0005-0000-0000-0000FA3A0000}"/>
    <cellStyle name="Normal 37 2 2" xfId="15133" xr:uid="{00000000-0005-0000-0000-0000FB3A0000}"/>
    <cellStyle name="Normal 37 2 2 2" xfId="15134" xr:uid="{00000000-0005-0000-0000-0000FC3A0000}"/>
    <cellStyle name="Normal 37 2 3" xfId="15135" xr:uid="{00000000-0005-0000-0000-0000FD3A0000}"/>
    <cellStyle name="Normal 37 2 4" xfId="15136" xr:uid="{00000000-0005-0000-0000-0000FE3A0000}"/>
    <cellStyle name="Normal 37 2 5" xfId="15137" xr:uid="{00000000-0005-0000-0000-0000FF3A0000}"/>
    <cellStyle name="Normal 37 2 6" xfId="15138" xr:uid="{00000000-0005-0000-0000-0000003B0000}"/>
    <cellStyle name="Normal 37 2 7" xfId="15139" xr:uid="{00000000-0005-0000-0000-0000013B0000}"/>
    <cellStyle name="Normal 37 2 8" xfId="15140" xr:uid="{00000000-0005-0000-0000-0000023B0000}"/>
    <cellStyle name="Normal 37 2 9" xfId="15141" xr:uid="{00000000-0005-0000-0000-0000033B0000}"/>
    <cellStyle name="Normal 37 3" xfId="15142" xr:uid="{00000000-0005-0000-0000-0000043B0000}"/>
    <cellStyle name="Normal 37 3 2" xfId="15143" xr:uid="{00000000-0005-0000-0000-0000053B0000}"/>
    <cellStyle name="Normal 37 3 3" xfId="15144" xr:uid="{00000000-0005-0000-0000-0000063B0000}"/>
    <cellStyle name="Normal 37 3 4" xfId="15145" xr:uid="{00000000-0005-0000-0000-0000073B0000}"/>
    <cellStyle name="Normal 37 3 5" xfId="15146" xr:uid="{00000000-0005-0000-0000-0000083B0000}"/>
    <cellStyle name="Normal 37 4" xfId="15147" xr:uid="{00000000-0005-0000-0000-0000093B0000}"/>
    <cellStyle name="Normal 37 4 2" xfId="15148" xr:uid="{00000000-0005-0000-0000-00000A3B0000}"/>
    <cellStyle name="Normal 37 4 3" xfId="15149" xr:uid="{00000000-0005-0000-0000-00000B3B0000}"/>
    <cellStyle name="Normal 37 4 4" xfId="15150" xr:uid="{00000000-0005-0000-0000-00000C3B0000}"/>
    <cellStyle name="Normal 37 4 5" xfId="15151" xr:uid="{00000000-0005-0000-0000-00000D3B0000}"/>
    <cellStyle name="Normal 37 5" xfId="15152" xr:uid="{00000000-0005-0000-0000-00000E3B0000}"/>
    <cellStyle name="Normal 37 5 2" xfId="15153" xr:uid="{00000000-0005-0000-0000-00000F3B0000}"/>
    <cellStyle name="Normal 37 5 3" xfId="15154" xr:uid="{00000000-0005-0000-0000-0000103B0000}"/>
    <cellStyle name="Normal 37 6" xfId="15155" xr:uid="{00000000-0005-0000-0000-0000113B0000}"/>
    <cellStyle name="Normal 37 6 2" xfId="15156" xr:uid="{00000000-0005-0000-0000-0000123B0000}"/>
    <cellStyle name="Normal 37 6 3" xfId="15157" xr:uid="{00000000-0005-0000-0000-0000133B0000}"/>
    <cellStyle name="Normal 37 7" xfId="15158" xr:uid="{00000000-0005-0000-0000-0000143B0000}"/>
    <cellStyle name="Normal 37 8" xfId="15159" xr:uid="{00000000-0005-0000-0000-0000153B0000}"/>
    <cellStyle name="Normal 37 9" xfId="15160" xr:uid="{00000000-0005-0000-0000-0000163B0000}"/>
    <cellStyle name="Normal 37_Sheet2" xfId="15161" xr:uid="{00000000-0005-0000-0000-0000173B0000}"/>
    <cellStyle name="Normal 38" xfId="15162" xr:uid="{00000000-0005-0000-0000-0000183B0000}"/>
    <cellStyle name="Normal 38 10" xfId="15163" xr:uid="{00000000-0005-0000-0000-0000193B0000}"/>
    <cellStyle name="Normal 38 2" xfId="15164" xr:uid="{00000000-0005-0000-0000-00001A3B0000}"/>
    <cellStyle name="Normal 38 2 2" xfId="15165" xr:uid="{00000000-0005-0000-0000-00001B3B0000}"/>
    <cellStyle name="Normal 38 2 3" xfId="15166" xr:uid="{00000000-0005-0000-0000-00001C3B0000}"/>
    <cellStyle name="Normal 38 3" xfId="15167" xr:uid="{00000000-0005-0000-0000-00001D3B0000}"/>
    <cellStyle name="Normal 38 3 2" xfId="15168" xr:uid="{00000000-0005-0000-0000-00001E3B0000}"/>
    <cellStyle name="Normal 38 3 3" xfId="15169" xr:uid="{00000000-0005-0000-0000-00001F3B0000}"/>
    <cellStyle name="Normal 38 3 3 2" xfId="15170" xr:uid="{00000000-0005-0000-0000-0000203B0000}"/>
    <cellStyle name="Normal 38 4" xfId="15171" xr:uid="{00000000-0005-0000-0000-0000213B0000}"/>
    <cellStyle name="Normal 38 4 2" xfId="15172" xr:uid="{00000000-0005-0000-0000-0000223B0000}"/>
    <cellStyle name="Normal 38 5" xfId="15173" xr:uid="{00000000-0005-0000-0000-0000233B0000}"/>
    <cellStyle name="Normal 38 6" xfId="15174" xr:uid="{00000000-0005-0000-0000-0000243B0000}"/>
    <cellStyle name="Normal 38 7" xfId="15175" xr:uid="{00000000-0005-0000-0000-0000253B0000}"/>
    <cellStyle name="Normal 38 8" xfId="15176" xr:uid="{00000000-0005-0000-0000-0000263B0000}"/>
    <cellStyle name="Normal 38 9" xfId="15177" xr:uid="{00000000-0005-0000-0000-0000273B0000}"/>
    <cellStyle name="Normal 38_Sheet2" xfId="15178" xr:uid="{00000000-0005-0000-0000-0000283B0000}"/>
    <cellStyle name="Normal 39" xfId="15179" xr:uid="{00000000-0005-0000-0000-0000293B0000}"/>
    <cellStyle name="Normal 39 2" xfId="15180" xr:uid="{00000000-0005-0000-0000-00002A3B0000}"/>
    <cellStyle name="Normal 39 2 2" xfId="15181" xr:uid="{00000000-0005-0000-0000-00002B3B0000}"/>
    <cellStyle name="Normal 39 2 2 2" xfId="15182" xr:uid="{00000000-0005-0000-0000-00002C3B0000}"/>
    <cellStyle name="Normal 39 2 3" xfId="15183" xr:uid="{00000000-0005-0000-0000-00002D3B0000}"/>
    <cellStyle name="Normal 39 2 4" xfId="15184" xr:uid="{00000000-0005-0000-0000-00002E3B0000}"/>
    <cellStyle name="Normal 39 2 5" xfId="15185" xr:uid="{00000000-0005-0000-0000-00002F3B0000}"/>
    <cellStyle name="Normal 39 3" xfId="15186" xr:uid="{00000000-0005-0000-0000-0000303B0000}"/>
    <cellStyle name="Normal 39 3 2" xfId="15187" xr:uid="{00000000-0005-0000-0000-0000313B0000}"/>
    <cellStyle name="Normal 39 3 3" xfId="15188" xr:uid="{00000000-0005-0000-0000-0000323B0000}"/>
    <cellStyle name="Normal 39 4" xfId="15189" xr:uid="{00000000-0005-0000-0000-0000333B0000}"/>
    <cellStyle name="Normal 39 4 2" xfId="15190" xr:uid="{00000000-0005-0000-0000-0000343B0000}"/>
    <cellStyle name="Normal 39 4 3" xfId="15191" xr:uid="{00000000-0005-0000-0000-0000353B0000}"/>
    <cellStyle name="Normal 39 5" xfId="15192" xr:uid="{00000000-0005-0000-0000-0000363B0000}"/>
    <cellStyle name="Normal 39 6" xfId="15193" xr:uid="{00000000-0005-0000-0000-0000373B0000}"/>
    <cellStyle name="Normal 39 7" xfId="15194" xr:uid="{00000000-0005-0000-0000-0000383B0000}"/>
    <cellStyle name="Normal 39 8" xfId="15195" xr:uid="{00000000-0005-0000-0000-0000393B0000}"/>
    <cellStyle name="Normal 39 9" xfId="15196" xr:uid="{00000000-0005-0000-0000-00003A3B0000}"/>
    <cellStyle name="Normal 4" xfId="61" xr:uid="{00000000-0005-0000-0000-00003B3B0000}"/>
    <cellStyle name="Normal 4 10" xfId="15197" xr:uid="{00000000-0005-0000-0000-00003C3B0000}"/>
    <cellStyle name="Normal 4 10 2" xfId="15198" xr:uid="{00000000-0005-0000-0000-00003D3B0000}"/>
    <cellStyle name="Normal 4 10 2 2" xfId="15199" xr:uid="{00000000-0005-0000-0000-00003E3B0000}"/>
    <cellStyle name="Normal 4 10 3" xfId="15200" xr:uid="{00000000-0005-0000-0000-00003F3B0000}"/>
    <cellStyle name="Normal 4 10 4" xfId="15201" xr:uid="{00000000-0005-0000-0000-0000403B0000}"/>
    <cellStyle name="Normal 4 10 5" xfId="15202" xr:uid="{00000000-0005-0000-0000-0000413B0000}"/>
    <cellStyle name="Normal 4 10 6" xfId="15203" xr:uid="{00000000-0005-0000-0000-0000423B0000}"/>
    <cellStyle name="Normal 4 11" xfId="15204" xr:uid="{00000000-0005-0000-0000-0000433B0000}"/>
    <cellStyle name="Normal 4 11 2" xfId="15205" xr:uid="{00000000-0005-0000-0000-0000443B0000}"/>
    <cellStyle name="Normal 4 12" xfId="15206" xr:uid="{00000000-0005-0000-0000-0000453B0000}"/>
    <cellStyle name="Normal 4 12 2" xfId="15207" xr:uid="{00000000-0005-0000-0000-0000463B0000}"/>
    <cellStyle name="Normal 4 13" xfId="15208" xr:uid="{00000000-0005-0000-0000-0000473B0000}"/>
    <cellStyle name="Normal 4 13 2" xfId="15209" xr:uid="{00000000-0005-0000-0000-0000483B0000}"/>
    <cellStyle name="Normal 4 14" xfId="15210" xr:uid="{00000000-0005-0000-0000-0000493B0000}"/>
    <cellStyle name="Normal 4 14 2" xfId="15211" xr:uid="{00000000-0005-0000-0000-00004A3B0000}"/>
    <cellStyle name="Normal 4 14 3" xfId="15212" xr:uid="{00000000-0005-0000-0000-00004B3B0000}"/>
    <cellStyle name="Normal 4 14 4" xfId="15213" xr:uid="{00000000-0005-0000-0000-00004C3B0000}"/>
    <cellStyle name="Normal 4 15" xfId="15214" xr:uid="{00000000-0005-0000-0000-00004D3B0000}"/>
    <cellStyle name="Normal 4 15 2" xfId="15215" xr:uid="{00000000-0005-0000-0000-00004E3B0000}"/>
    <cellStyle name="Normal 4 16" xfId="15216" xr:uid="{00000000-0005-0000-0000-00004F3B0000}"/>
    <cellStyle name="Normal 4 16 2" xfId="15217" xr:uid="{00000000-0005-0000-0000-0000503B0000}"/>
    <cellStyle name="Normal 4 16 3" xfId="15218" xr:uid="{00000000-0005-0000-0000-0000513B0000}"/>
    <cellStyle name="Normal 4 16 4" xfId="15219" xr:uid="{00000000-0005-0000-0000-0000523B0000}"/>
    <cellStyle name="Normal 4 17" xfId="15220" xr:uid="{00000000-0005-0000-0000-0000533B0000}"/>
    <cellStyle name="Normal 4 17 2" xfId="15221" xr:uid="{00000000-0005-0000-0000-0000543B0000}"/>
    <cellStyle name="Normal 4 18" xfId="15222" xr:uid="{00000000-0005-0000-0000-0000553B0000}"/>
    <cellStyle name="Normal 4 18 2" xfId="15223" xr:uid="{00000000-0005-0000-0000-0000563B0000}"/>
    <cellStyle name="Normal 4 19" xfId="15224" xr:uid="{00000000-0005-0000-0000-0000573B0000}"/>
    <cellStyle name="Normal 4 19 2" xfId="15225" xr:uid="{00000000-0005-0000-0000-0000583B0000}"/>
    <cellStyle name="Normal 4 2" xfId="15226" xr:uid="{00000000-0005-0000-0000-0000593B0000}"/>
    <cellStyle name="Normal 4 2 10" xfId="15227" xr:uid="{00000000-0005-0000-0000-00005A3B0000}"/>
    <cellStyle name="Normal 4 2 10 2" xfId="15228" xr:uid="{00000000-0005-0000-0000-00005B3B0000}"/>
    <cellStyle name="Normal 4 2 10 3" xfId="15229" xr:uid="{00000000-0005-0000-0000-00005C3B0000}"/>
    <cellStyle name="Normal 4 2 10 4" xfId="15230" xr:uid="{00000000-0005-0000-0000-00005D3B0000}"/>
    <cellStyle name="Normal 4 2 10 5" xfId="15231" xr:uid="{00000000-0005-0000-0000-00005E3B0000}"/>
    <cellStyle name="Normal 4 2 10 6" xfId="15232" xr:uid="{00000000-0005-0000-0000-00005F3B0000}"/>
    <cellStyle name="Normal 4 2 10 7" xfId="15233" xr:uid="{00000000-0005-0000-0000-0000603B0000}"/>
    <cellStyle name="Normal 4 2 10 8" xfId="15234" xr:uid="{00000000-0005-0000-0000-0000613B0000}"/>
    <cellStyle name="Normal 4 2 11" xfId="15235" xr:uid="{00000000-0005-0000-0000-0000623B0000}"/>
    <cellStyle name="Normal 4 2 11 2" xfId="15236" xr:uid="{00000000-0005-0000-0000-0000633B0000}"/>
    <cellStyle name="Normal 4 2 11 3" xfId="15237" xr:uid="{00000000-0005-0000-0000-0000643B0000}"/>
    <cellStyle name="Normal 4 2 11 4" xfId="15238" xr:uid="{00000000-0005-0000-0000-0000653B0000}"/>
    <cellStyle name="Normal 4 2 11 5" xfId="15239" xr:uid="{00000000-0005-0000-0000-0000663B0000}"/>
    <cellStyle name="Normal 4 2 11 6" xfId="15240" xr:uid="{00000000-0005-0000-0000-0000673B0000}"/>
    <cellStyle name="Normal 4 2 11 7" xfId="15241" xr:uid="{00000000-0005-0000-0000-0000683B0000}"/>
    <cellStyle name="Normal 4 2 11 8" xfId="15242" xr:uid="{00000000-0005-0000-0000-0000693B0000}"/>
    <cellStyle name="Normal 4 2 12" xfId="15243" xr:uid="{00000000-0005-0000-0000-00006A3B0000}"/>
    <cellStyle name="Normal 4 2 13" xfId="15244" xr:uid="{00000000-0005-0000-0000-00006B3B0000}"/>
    <cellStyle name="Normal 4 2 14" xfId="15245" xr:uid="{00000000-0005-0000-0000-00006C3B0000}"/>
    <cellStyle name="Normal 4 2 15" xfId="15246" xr:uid="{00000000-0005-0000-0000-00006D3B0000}"/>
    <cellStyle name="Normal 4 2 16" xfId="15247" xr:uid="{00000000-0005-0000-0000-00006E3B0000}"/>
    <cellStyle name="Normal 4 2 17" xfId="15248" xr:uid="{00000000-0005-0000-0000-00006F3B0000}"/>
    <cellStyle name="Normal 4 2 18" xfId="15249" xr:uid="{00000000-0005-0000-0000-0000703B0000}"/>
    <cellStyle name="Normal 4 2 2" xfId="15250" xr:uid="{00000000-0005-0000-0000-0000713B0000}"/>
    <cellStyle name="Normal 4 2 2 10" xfId="15251" xr:uid="{00000000-0005-0000-0000-0000723B0000}"/>
    <cellStyle name="Normal 4 2 2 10 2" xfId="15252" xr:uid="{00000000-0005-0000-0000-0000733B0000}"/>
    <cellStyle name="Normal 4 2 2 10 3" xfId="15253" xr:uid="{00000000-0005-0000-0000-0000743B0000}"/>
    <cellStyle name="Normal 4 2 2 10 4" xfId="15254" xr:uid="{00000000-0005-0000-0000-0000753B0000}"/>
    <cellStyle name="Normal 4 2 2 10 5" xfId="15255" xr:uid="{00000000-0005-0000-0000-0000763B0000}"/>
    <cellStyle name="Normal 4 2 2 10 6" xfId="15256" xr:uid="{00000000-0005-0000-0000-0000773B0000}"/>
    <cellStyle name="Normal 4 2 2 10 7" xfId="15257" xr:uid="{00000000-0005-0000-0000-0000783B0000}"/>
    <cellStyle name="Normal 4 2 2 10 8" xfId="15258" xr:uid="{00000000-0005-0000-0000-0000793B0000}"/>
    <cellStyle name="Normal 4 2 2 11" xfId="15259" xr:uid="{00000000-0005-0000-0000-00007A3B0000}"/>
    <cellStyle name="Normal 4 2 2 12" xfId="15260" xr:uid="{00000000-0005-0000-0000-00007B3B0000}"/>
    <cellStyle name="Normal 4 2 2 13" xfId="15261" xr:uid="{00000000-0005-0000-0000-00007C3B0000}"/>
    <cellStyle name="Normal 4 2 2 14" xfId="15262" xr:uid="{00000000-0005-0000-0000-00007D3B0000}"/>
    <cellStyle name="Normal 4 2 2 15" xfId="15263" xr:uid="{00000000-0005-0000-0000-00007E3B0000}"/>
    <cellStyle name="Normal 4 2 2 16" xfId="15264" xr:uid="{00000000-0005-0000-0000-00007F3B0000}"/>
    <cellStyle name="Normal 4 2 2 17" xfId="15265" xr:uid="{00000000-0005-0000-0000-0000803B0000}"/>
    <cellStyle name="Normal 4 2 2 18" xfId="15266" xr:uid="{00000000-0005-0000-0000-0000813B0000}"/>
    <cellStyle name="Normal 4 2 2 19" xfId="15267" xr:uid="{00000000-0005-0000-0000-0000823B0000}"/>
    <cellStyle name="Normal 4 2 2 2" xfId="15268" xr:uid="{00000000-0005-0000-0000-0000833B0000}"/>
    <cellStyle name="Normal 4 2 2 2 10" xfId="15269" xr:uid="{00000000-0005-0000-0000-0000843B0000}"/>
    <cellStyle name="Normal 4 2 2 2 2" xfId="15270" xr:uid="{00000000-0005-0000-0000-0000853B0000}"/>
    <cellStyle name="Normal 4 2 2 2 2 2" xfId="15271" xr:uid="{00000000-0005-0000-0000-0000863B0000}"/>
    <cellStyle name="Normal 4 2 2 2 2 3" xfId="15272" xr:uid="{00000000-0005-0000-0000-0000873B0000}"/>
    <cellStyle name="Normal 4 2 2 2 3" xfId="15273" xr:uid="{00000000-0005-0000-0000-0000883B0000}"/>
    <cellStyle name="Normal 4 2 2 2 3 2" xfId="15274" xr:uid="{00000000-0005-0000-0000-0000893B0000}"/>
    <cellStyle name="Normal 4 2 2 2 3 3" xfId="15275" xr:uid="{00000000-0005-0000-0000-00008A3B0000}"/>
    <cellStyle name="Normal 4 2 2 2 4" xfId="15276" xr:uid="{00000000-0005-0000-0000-00008B3B0000}"/>
    <cellStyle name="Normal 4 2 2 2 4 2" xfId="15277" xr:uid="{00000000-0005-0000-0000-00008C3B0000}"/>
    <cellStyle name="Normal 4 2 2 2 4 3" xfId="15278" xr:uid="{00000000-0005-0000-0000-00008D3B0000}"/>
    <cellStyle name="Normal 4 2 2 2 5" xfId="15279" xr:uid="{00000000-0005-0000-0000-00008E3B0000}"/>
    <cellStyle name="Normal 4 2 2 2 5 2" xfId="15280" xr:uid="{00000000-0005-0000-0000-00008F3B0000}"/>
    <cellStyle name="Normal 4 2 2 2 5 3" xfId="15281" xr:uid="{00000000-0005-0000-0000-0000903B0000}"/>
    <cellStyle name="Normal 4 2 2 2 6" xfId="15282" xr:uid="{00000000-0005-0000-0000-0000913B0000}"/>
    <cellStyle name="Normal 4 2 2 2 6 2" xfId="15283" xr:uid="{00000000-0005-0000-0000-0000923B0000}"/>
    <cellStyle name="Normal 4 2 2 2 6 3" xfId="15284" xr:uid="{00000000-0005-0000-0000-0000933B0000}"/>
    <cellStyle name="Normal 4 2 2 2 7" xfId="15285" xr:uid="{00000000-0005-0000-0000-0000943B0000}"/>
    <cellStyle name="Normal 4 2 2 2 8" xfId="15286" xr:uid="{00000000-0005-0000-0000-0000953B0000}"/>
    <cellStyle name="Normal 4 2 2 2 9" xfId="15287" xr:uid="{00000000-0005-0000-0000-0000963B0000}"/>
    <cellStyle name="Normal 4 2 2 3" xfId="15288" xr:uid="{00000000-0005-0000-0000-0000973B0000}"/>
    <cellStyle name="Normal 4 2 2 3 2" xfId="15289" xr:uid="{00000000-0005-0000-0000-0000983B0000}"/>
    <cellStyle name="Normal 4 2 2 3 3" xfId="15290" xr:uid="{00000000-0005-0000-0000-0000993B0000}"/>
    <cellStyle name="Normal 4 2 2 3 4" xfId="15291" xr:uid="{00000000-0005-0000-0000-00009A3B0000}"/>
    <cellStyle name="Normal 4 2 2 3 5" xfId="15292" xr:uid="{00000000-0005-0000-0000-00009B3B0000}"/>
    <cellStyle name="Normal 4 2 2 3 6" xfId="15293" xr:uid="{00000000-0005-0000-0000-00009C3B0000}"/>
    <cellStyle name="Normal 4 2 2 3 7" xfId="15294" xr:uid="{00000000-0005-0000-0000-00009D3B0000}"/>
    <cellStyle name="Normal 4 2 2 3 8" xfId="15295" xr:uid="{00000000-0005-0000-0000-00009E3B0000}"/>
    <cellStyle name="Normal 4 2 2 4" xfId="15296" xr:uid="{00000000-0005-0000-0000-00009F3B0000}"/>
    <cellStyle name="Normal 4 2 2 4 2" xfId="15297" xr:uid="{00000000-0005-0000-0000-0000A03B0000}"/>
    <cellStyle name="Normal 4 2 2 4 3" xfId="15298" xr:uid="{00000000-0005-0000-0000-0000A13B0000}"/>
    <cellStyle name="Normal 4 2 2 4 4" xfId="15299" xr:uid="{00000000-0005-0000-0000-0000A23B0000}"/>
    <cellStyle name="Normal 4 2 2 4 5" xfId="15300" xr:uid="{00000000-0005-0000-0000-0000A33B0000}"/>
    <cellStyle name="Normal 4 2 2 4 6" xfId="15301" xr:uid="{00000000-0005-0000-0000-0000A43B0000}"/>
    <cellStyle name="Normal 4 2 2 4 7" xfId="15302" xr:uid="{00000000-0005-0000-0000-0000A53B0000}"/>
    <cellStyle name="Normal 4 2 2 4 8" xfId="15303" xr:uid="{00000000-0005-0000-0000-0000A63B0000}"/>
    <cellStyle name="Normal 4 2 2 5" xfId="15304" xr:uid="{00000000-0005-0000-0000-0000A73B0000}"/>
    <cellStyle name="Normal 4 2 2 5 2" xfId="15305" xr:uid="{00000000-0005-0000-0000-0000A83B0000}"/>
    <cellStyle name="Normal 4 2 2 5 3" xfId="15306" xr:uid="{00000000-0005-0000-0000-0000A93B0000}"/>
    <cellStyle name="Normal 4 2 2 5 4" xfId="15307" xr:uid="{00000000-0005-0000-0000-0000AA3B0000}"/>
    <cellStyle name="Normal 4 2 2 5 5" xfId="15308" xr:uid="{00000000-0005-0000-0000-0000AB3B0000}"/>
    <cellStyle name="Normal 4 2 2 5 6" xfId="15309" xr:uid="{00000000-0005-0000-0000-0000AC3B0000}"/>
    <cellStyle name="Normal 4 2 2 5 7" xfId="15310" xr:uid="{00000000-0005-0000-0000-0000AD3B0000}"/>
    <cellStyle name="Normal 4 2 2 5 8" xfId="15311" xr:uid="{00000000-0005-0000-0000-0000AE3B0000}"/>
    <cellStyle name="Normal 4 2 2 6" xfId="15312" xr:uid="{00000000-0005-0000-0000-0000AF3B0000}"/>
    <cellStyle name="Normal 4 2 2 6 2" xfId="15313" xr:uid="{00000000-0005-0000-0000-0000B03B0000}"/>
    <cellStyle name="Normal 4 2 2 6 3" xfId="15314" xr:uid="{00000000-0005-0000-0000-0000B13B0000}"/>
    <cellStyle name="Normal 4 2 2 6 4" xfId="15315" xr:uid="{00000000-0005-0000-0000-0000B23B0000}"/>
    <cellStyle name="Normal 4 2 2 6 5" xfId="15316" xr:uid="{00000000-0005-0000-0000-0000B33B0000}"/>
    <cellStyle name="Normal 4 2 2 6 6" xfId="15317" xr:uid="{00000000-0005-0000-0000-0000B43B0000}"/>
    <cellStyle name="Normal 4 2 2 6 7" xfId="15318" xr:uid="{00000000-0005-0000-0000-0000B53B0000}"/>
    <cellStyle name="Normal 4 2 2 6 8" xfId="15319" xr:uid="{00000000-0005-0000-0000-0000B63B0000}"/>
    <cellStyle name="Normal 4 2 2 7" xfId="15320" xr:uid="{00000000-0005-0000-0000-0000B73B0000}"/>
    <cellStyle name="Normal 4 2 2 7 2" xfId="15321" xr:uid="{00000000-0005-0000-0000-0000B83B0000}"/>
    <cellStyle name="Normal 4 2 2 7 3" xfId="15322" xr:uid="{00000000-0005-0000-0000-0000B93B0000}"/>
    <cellStyle name="Normal 4 2 2 7 4" xfId="15323" xr:uid="{00000000-0005-0000-0000-0000BA3B0000}"/>
    <cellStyle name="Normal 4 2 2 7 5" xfId="15324" xr:uid="{00000000-0005-0000-0000-0000BB3B0000}"/>
    <cellStyle name="Normal 4 2 2 7 6" xfId="15325" xr:uid="{00000000-0005-0000-0000-0000BC3B0000}"/>
    <cellStyle name="Normal 4 2 2 7 7" xfId="15326" xr:uid="{00000000-0005-0000-0000-0000BD3B0000}"/>
    <cellStyle name="Normal 4 2 2 7 8" xfId="15327" xr:uid="{00000000-0005-0000-0000-0000BE3B0000}"/>
    <cellStyle name="Normal 4 2 2 8" xfId="15328" xr:uid="{00000000-0005-0000-0000-0000BF3B0000}"/>
    <cellStyle name="Normal 4 2 2 8 2" xfId="15329" xr:uid="{00000000-0005-0000-0000-0000C03B0000}"/>
    <cellStyle name="Normal 4 2 2 8 3" xfId="15330" xr:uid="{00000000-0005-0000-0000-0000C13B0000}"/>
    <cellStyle name="Normal 4 2 2 8 4" xfId="15331" xr:uid="{00000000-0005-0000-0000-0000C23B0000}"/>
    <cellStyle name="Normal 4 2 2 8 5" xfId="15332" xr:uid="{00000000-0005-0000-0000-0000C33B0000}"/>
    <cellStyle name="Normal 4 2 2 8 6" xfId="15333" xr:uid="{00000000-0005-0000-0000-0000C43B0000}"/>
    <cellStyle name="Normal 4 2 2 8 7" xfId="15334" xr:uid="{00000000-0005-0000-0000-0000C53B0000}"/>
    <cellStyle name="Normal 4 2 2 8 8" xfId="15335" xr:uid="{00000000-0005-0000-0000-0000C63B0000}"/>
    <cellStyle name="Normal 4 2 2 9" xfId="15336" xr:uid="{00000000-0005-0000-0000-0000C73B0000}"/>
    <cellStyle name="Normal 4 2 2 9 2" xfId="15337" xr:uid="{00000000-0005-0000-0000-0000C83B0000}"/>
    <cellStyle name="Normal 4 2 2 9 3" xfId="15338" xr:uid="{00000000-0005-0000-0000-0000C93B0000}"/>
    <cellStyle name="Normal 4 2 2 9 4" xfId="15339" xr:uid="{00000000-0005-0000-0000-0000CA3B0000}"/>
    <cellStyle name="Normal 4 2 2 9 5" xfId="15340" xr:uid="{00000000-0005-0000-0000-0000CB3B0000}"/>
    <cellStyle name="Normal 4 2 2 9 6" xfId="15341" xr:uid="{00000000-0005-0000-0000-0000CC3B0000}"/>
    <cellStyle name="Normal 4 2 2 9 7" xfId="15342" xr:uid="{00000000-0005-0000-0000-0000CD3B0000}"/>
    <cellStyle name="Normal 4 2 2 9 8" xfId="15343" xr:uid="{00000000-0005-0000-0000-0000CE3B0000}"/>
    <cellStyle name="Normal 4 2 3" xfId="15344" xr:uid="{00000000-0005-0000-0000-0000CF3B0000}"/>
    <cellStyle name="Normal 4 2 3 10" xfId="15345" xr:uid="{00000000-0005-0000-0000-0000D03B0000}"/>
    <cellStyle name="Normal 4 2 3 2" xfId="15346" xr:uid="{00000000-0005-0000-0000-0000D13B0000}"/>
    <cellStyle name="Normal 4 2 3 2 2" xfId="15347" xr:uid="{00000000-0005-0000-0000-0000D23B0000}"/>
    <cellStyle name="Normal 4 2 3 2 3" xfId="15348" xr:uid="{00000000-0005-0000-0000-0000D33B0000}"/>
    <cellStyle name="Normal 4 2 3 2 4" xfId="15349" xr:uid="{00000000-0005-0000-0000-0000D43B0000}"/>
    <cellStyle name="Normal 4 2 3 2 5" xfId="15350" xr:uid="{00000000-0005-0000-0000-0000D53B0000}"/>
    <cellStyle name="Normal 4 2 3 3" xfId="15351" xr:uid="{00000000-0005-0000-0000-0000D63B0000}"/>
    <cellStyle name="Normal 4 2 3 3 2" xfId="15352" xr:uid="{00000000-0005-0000-0000-0000D73B0000}"/>
    <cellStyle name="Normal 4 2 3 3 3" xfId="15353" xr:uid="{00000000-0005-0000-0000-0000D83B0000}"/>
    <cellStyle name="Normal 4 2 3 3 4" xfId="15354" xr:uid="{00000000-0005-0000-0000-0000D93B0000}"/>
    <cellStyle name="Normal 4 2 3 3 5" xfId="15355" xr:uid="{00000000-0005-0000-0000-0000DA3B0000}"/>
    <cellStyle name="Normal 4 2 3 4" xfId="15356" xr:uid="{00000000-0005-0000-0000-0000DB3B0000}"/>
    <cellStyle name="Normal 4 2 3 4 2" xfId="15357" xr:uid="{00000000-0005-0000-0000-0000DC3B0000}"/>
    <cellStyle name="Normal 4 2 3 4 3" xfId="15358" xr:uid="{00000000-0005-0000-0000-0000DD3B0000}"/>
    <cellStyle name="Normal 4 2 3 4 4" xfId="15359" xr:uid="{00000000-0005-0000-0000-0000DE3B0000}"/>
    <cellStyle name="Normal 4 2 3 4 5" xfId="15360" xr:uid="{00000000-0005-0000-0000-0000DF3B0000}"/>
    <cellStyle name="Normal 4 2 3 5" xfId="15361" xr:uid="{00000000-0005-0000-0000-0000E03B0000}"/>
    <cellStyle name="Normal 4 2 3 5 2" xfId="15362" xr:uid="{00000000-0005-0000-0000-0000E13B0000}"/>
    <cellStyle name="Normal 4 2 3 5 3" xfId="15363" xr:uid="{00000000-0005-0000-0000-0000E23B0000}"/>
    <cellStyle name="Normal 4 2 3 6" xfId="15364" xr:uid="{00000000-0005-0000-0000-0000E33B0000}"/>
    <cellStyle name="Normal 4 2 3 6 2" xfId="15365" xr:uid="{00000000-0005-0000-0000-0000E43B0000}"/>
    <cellStyle name="Normal 4 2 3 6 3" xfId="15366" xr:uid="{00000000-0005-0000-0000-0000E53B0000}"/>
    <cellStyle name="Normal 4 2 3 7" xfId="15367" xr:uid="{00000000-0005-0000-0000-0000E63B0000}"/>
    <cellStyle name="Normal 4 2 3 8" xfId="15368" xr:uid="{00000000-0005-0000-0000-0000E73B0000}"/>
    <cellStyle name="Normal 4 2 3 9" xfId="15369" xr:uid="{00000000-0005-0000-0000-0000E83B0000}"/>
    <cellStyle name="Normal 4 2 4" xfId="15370" xr:uid="{00000000-0005-0000-0000-0000E93B0000}"/>
    <cellStyle name="Normal 4 2 4 10" xfId="15371" xr:uid="{00000000-0005-0000-0000-0000EA3B0000}"/>
    <cellStyle name="Normal 4 2 4 2" xfId="15372" xr:uid="{00000000-0005-0000-0000-0000EB3B0000}"/>
    <cellStyle name="Normal 4 2 4 2 2" xfId="15373" xr:uid="{00000000-0005-0000-0000-0000EC3B0000}"/>
    <cellStyle name="Normal 4 2 4 2 3" xfId="15374" xr:uid="{00000000-0005-0000-0000-0000ED3B0000}"/>
    <cellStyle name="Normal 4 2 4 3" xfId="15375" xr:uid="{00000000-0005-0000-0000-0000EE3B0000}"/>
    <cellStyle name="Normal 4 2 4 3 2" xfId="15376" xr:uid="{00000000-0005-0000-0000-0000EF3B0000}"/>
    <cellStyle name="Normal 4 2 4 3 3" xfId="15377" xr:uid="{00000000-0005-0000-0000-0000F03B0000}"/>
    <cellStyle name="Normal 4 2 4 4" xfId="15378" xr:uid="{00000000-0005-0000-0000-0000F13B0000}"/>
    <cellStyle name="Normal 4 2 4 4 2" xfId="15379" xr:uid="{00000000-0005-0000-0000-0000F23B0000}"/>
    <cellStyle name="Normal 4 2 4 4 3" xfId="15380" xr:uid="{00000000-0005-0000-0000-0000F33B0000}"/>
    <cellStyle name="Normal 4 2 4 5" xfId="15381" xr:uid="{00000000-0005-0000-0000-0000F43B0000}"/>
    <cellStyle name="Normal 4 2 4 5 2" xfId="15382" xr:uid="{00000000-0005-0000-0000-0000F53B0000}"/>
    <cellStyle name="Normal 4 2 4 5 3" xfId="15383" xr:uid="{00000000-0005-0000-0000-0000F63B0000}"/>
    <cellStyle name="Normal 4 2 4 6" xfId="15384" xr:uid="{00000000-0005-0000-0000-0000F73B0000}"/>
    <cellStyle name="Normal 4 2 4 6 2" xfId="15385" xr:uid="{00000000-0005-0000-0000-0000F83B0000}"/>
    <cellStyle name="Normal 4 2 4 6 3" xfId="15386" xr:uid="{00000000-0005-0000-0000-0000F93B0000}"/>
    <cellStyle name="Normal 4 2 4 7" xfId="15387" xr:uid="{00000000-0005-0000-0000-0000FA3B0000}"/>
    <cellStyle name="Normal 4 2 4 8" xfId="15388" xr:uid="{00000000-0005-0000-0000-0000FB3B0000}"/>
    <cellStyle name="Normal 4 2 4 9" xfId="15389" xr:uid="{00000000-0005-0000-0000-0000FC3B0000}"/>
    <cellStyle name="Normal 4 2 5" xfId="15390" xr:uid="{00000000-0005-0000-0000-0000FD3B0000}"/>
    <cellStyle name="Normal 4 2 5 10" xfId="15391" xr:uid="{00000000-0005-0000-0000-0000FE3B0000}"/>
    <cellStyle name="Normal 4 2 5 2" xfId="15392" xr:uid="{00000000-0005-0000-0000-0000FF3B0000}"/>
    <cellStyle name="Normal 4 2 5 2 2" xfId="15393" xr:uid="{00000000-0005-0000-0000-0000003C0000}"/>
    <cellStyle name="Normal 4 2 5 2 3" xfId="15394" xr:uid="{00000000-0005-0000-0000-0000013C0000}"/>
    <cellStyle name="Normal 4 2 5 3" xfId="15395" xr:uid="{00000000-0005-0000-0000-0000023C0000}"/>
    <cellStyle name="Normal 4 2 5 3 2" xfId="15396" xr:uid="{00000000-0005-0000-0000-0000033C0000}"/>
    <cellStyle name="Normal 4 2 5 3 3" xfId="15397" xr:uid="{00000000-0005-0000-0000-0000043C0000}"/>
    <cellStyle name="Normal 4 2 5 4" xfId="15398" xr:uid="{00000000-0005-0000-0000-0000053C0000}"/>
    <cellStyle name="Normal 4 2 5 4 2" xfId="15399" xr:uid="{00000000-0005-0000-0000-0000063C0000}"/>
    <cellStyle name="Normal 4 2 5 4 3" xfId="15400" xr:uid="{00000000-0005-0000-0000-0000073C0000}"/>
    <cellStyle name="Normal 4 2 5 5" xfId="15401" xr:uid="{00000000-0005-0000-0000-0000083C0000}"/>
    <cellStyle name="Normal 4 2 5 5 2" xfId="15402" xr:uid="{00000000-0005-0000-0000-0000093C0000}"/>
    <cellStyle name="Normal 4 2 5 5 3" xfId="15403" xr:uid="{00000000-0005-0000-0000-00000A3C0000}"/>
    <cellStyle name="Normal 4 2 5 6" xfId="15404" xr:uid="{00000000-0005-0000-0000-00000B3C0000}"/>
    <cellStyle name="Normal 4 2 5 6 2" xfId="15405" xr:uid="{00000000-0005-0000-0000-00000C3C0000}"/>
    <cellStyle name="Normal 4 2 5 6 3" xfId="15406" xr:uid="{00000000-0005-0000-0000-00000D3C0000}"/>
    <cellStyle name="Normal 4 2 5 7" xfId="15407" xr:uid="{00000000-0005-0000-0000-00000E3C0000}"/>
    <cellStyle name="Normal 4 2 5 8" xfId="15408" xr:uid="{00000000-0005-0000-0000-00000F3C0000}"/>
    <cellStyle name="Normal 4 2 5 9" xfId="15409" xr:uid="{00000000-0005-0000-0000-0000103C0000}"/>
    <cellStyle name="Normal 4 2 6" xfId="15410" xr:uid="{00000000-0005-0000-0000-0000113C0000}"/>
    <cellStyle name="Normal 4 2 6 10" xfId="15411" xr:uid="{00000000-0005-0000-0000-0000123C0000}"/>
    <cellStyle name="Normal 4 2 6 2" xfId="15412" xr:uid="{00000000-0005-0000-0000-0000133C0000}"/>
    <cellStyle name="Normal 4 2 6 2 2" xfId="15413" xr:uid="{00000000-0005-0000-0000-0000143C0000}"/>
    <cellStyle name="Normal 4 2 6 2 3" xfId="15414" xr:uid="{00000000-0005-0000-0000-0000153C0000}"/>
    <cellStyle name="Normal 4 2 6 3" xfId="15415" xr:uid="{00000000-0005-0000-0000-0000163C0000}"/>
    <cellStyle name="Normal 4 2 6 3 2" xfId="15416" xr:uid="{00000000-0005-0000-0000-0000173C0000}"/>
    <cellStyle name="Normal 4 2 6 3 3" xfId="15417" xr:uid="{00000000-0005-0000-0000-0000183C0000}"/>
    <cellStyle name="Normal 4 2 6 4" xfId="15418" xr:uid="{00000000-0005-0000-0000-0000193C0000}"/>
    <cellStyle name="Normal 4 2 6 4 2" xfId="15419" xr:uid="{00000000-0005-0000-0000-00001A3C0000}"/>
    <cellStyle name="Normal 4 2 6 4 3" xfId="15420" xr:uid="{00000000-0005-0000-0000-00001B3C0000}"/>
    <cellStyle name="Normal 4 2 6 5" xfId="15421" xr:uid="{00000000-0005-0000-0000-00001C3C0000}"/>
    <cellStyle name="Normal 4 2 6 5 2" xfId="15422" xr:uid="{00000000-0005-0000-0000-00001D3C0000}"/>
    <cellStyle name="Normal 4 2 6 5 3" xfId="15423" xr:uid="{00000000-0005-0000-0000-00001E3C0000}"/>
    <cellStyle name="Normal 4 2 6 6" xfId="15424" xr:uid="{00000000-0005-0000-0000-00001F3C0000}"/>
    <cellStyle name="Normal 4 2 6 6 2" xfId="15425" xr:uid="{00000000-0005-0000-0000-0000203C0000}"/>
    <cellStyle name="Normal 4 2 6 6 3" xfId="15426" xr:uid="{00000000-0005-0000-0000-0000213C0000}"/>
    <cellStyle name="Normal 4 2 6 7" xfId="15427" xr:uid="{00000000-0005-0000-0000-0000223C0000}"/>
    <cellStyle name="Normal 4 2 6 8" xfId="15428" xr:uid="{00000000-0005-0000-0000-0000233C0000}"/>
    <cellStyle name="Normal 4 2 6 9" xfId="15429" xr:uid="{00000000-0005-0000-0000-0000243C0000}"/>
    <cellStyle name="Normal 4 2 7" xfId="15430" xr:uid="{00000000-0005-0000-0000-0000253C0000}"/>
    <cellStyle name="Normal 4 2 7 10" xfId="15431" xr:uid="{00000000-0005-0000-0000-0000263C0000}"/>
    <cellStyle name="Normal 4 2 7 2" xfId="15432" xr:uid="{00000000-0005-0000-0000-0000273C0000}"/>
    <cellStyle name="Normal 4 2 7 2 2" xfId="15433" xr:uid="{00000000-0005-0000-0000-0000283C0000}"/>
    <cellStyle name="Normal 4 2 7 2 3" xfId="15434" xr:uid="{00000000-0005-0000-0000-0000293C0000}"/>
    <cellStyle name="Normal 4 2 7 3" xfId="15435" xr:uid="{00000000-0005-0000-0000-00002A3C0000}"/>
    <cellStyle name="Normal 4 2 7 3 2" xfId="15436" xr:uid="{00000000-0005-0000-0000-00002B3C0000}"/>
    <cellStyle name="Normal 4 2 7 3 3" xfId="15437" xr:uid="{00000000-0005-0000-0000-00002C3C0000}"/>
    <cellStyle name="Normal 4 2 7 4" xfId="15438" xr:uid="{00000000-0005-0000-0000-00002D3C0000}"/>
    <cellStyle name="Normal 4 2 7 4 2" xfId="15439" xr:uid="{00000000-0005-0000-0000-00002E3C0000}"/>
    <cellStyle name="Normal 4 2 7 4 3" xfId="15440" xr:uid="{00000000-0005-0000-0000-00002F3C0000}"/>
    <cellStyle name="Normal 4 2 7 5" xfId="15441" xr:uid="{00000000-0005-0000-0000-0000303C0000}"/>
    <cellStyle name="Normal 4 2 7 5 2" xfId="15442" xr:uid="{00000000-0005-0000-0000-0000313C0000}"/>
    <cellStyle name="Normal 4 2 7 5 3" xfId="15443" xr:uid="{00000000-0005-0000-0000-0000323C0000}"/>
    <cellStyle name="Normal 4 2 7 6" xfId="15444" xr:uid="{00000000-0005-0000-0000-0000333C0000}"/>
    <cellStyle name="Normal 4 2 7 6 2" xfId="15445" xr:uid="{00000000-0005-0000-0000-0000343C0000}"/>
    <cellStyle name="Normal 4 2 7 6 3" xfId="15446" xr:uid="{00000000-0005-0000-0000-0000353C0000}"/>
    <cellStyle name="Normal 4 2 7 7" xfId="15447" xr:uid="{00000000-0005-0000-0000-0000363C0000}"/>
    <cellStyle name="Normal 4 2 7 8" xfId="15448" xr:uid="{00000000-0005-0000-0000-0000373C0000}"/>
    <cellStyle name="Normal 4 2 7 9" xfId="15449" xr:uid="{00000000-0005-0000-0000-0000383C0000}"/>
    <cellStyle name="Normal 4 2 8" xfId="15450" xr:uid="{00000000-0005-0000-0000-0000393C0000}"/>
    <cellStyle name="Normal 4 2 8 2" xfId="15451" xr:uid="{00000000-0005-0000-0000-00003A3C0000}"/>
    <cellStyle name="Normal 4 2 8 2 2" xfId="15452" xr:uid="{00000000-0005-0000-0000-00003B3C0000}"/>
    <cellStyle name="Normal 4 2 8 2 3" xfId="15453" xr:uid="{00000000-0005-0000-0000-00003C3C0000}"/>
    <cellStyle name="Normal 4 2 8 3" xfId="15454" xr:uid="{00000000-0005-0000-0000-00003D3C0000}"/>
    <cellStyle name="Normal 4 2 8 3 2" xfId="15455" xr:uid="{00000000-0005-0000-0000-00003E3C0000}"/>
    <cellStyle name="Normal 4 2 8 3 3" xfId="15456" xr:uid="{00000000-0005-0000-0000-00003F3C0000}"/>
    <cellStyle name="Normal 4 2 8 4" xfId="15457" xr:uid="{00000000-0005-0000-0000-0000403C0000}"/>
    <cellStyle name="Normal 4 2 8 4 2" xfId="15458" xr:uid="{00000000-0005-0000-0000-0000413C0000}"/>
    <cellStyle name="Normal 4 2 8 4 3" xfId="15459" xr:uid="{00000000-0005-0000-0000-0000423C0000}"/>
    <cellStyle name="Normal 4 2 8 5" xfId="15460" xr:uid="{00000000-0005-0000-0000-0000433C0000}"/>
    <cellStyle name="Normal 4 2 8 5 2" xfId="15461" xr:uid="{00000000-0005-0000-0000-0000443C0000}"/>
    <cellStyle name="Normal 4 2 8 5 3" xfId="15462" xr:uid="{00000000-0005-0000-0000-0000453C0000}"/>
    <cellStyle name="Normal 4 2 8 6" xfId="15463" xr:uid="{00000000-0005-0000-0000-0000463C0000}"/>
    <cellStyle name="Normal 4 2 8 6 2" xfId="15464" xr:uid="{00000000-0005-0000-0000-0000473C0000}"/>
    <cellStyle name="Normal 4 2 8 6 3" xfId="15465" xr:uid="{00000000-0005-0000-0000-0000483C0000}"/>
    <cellStyle name="Normal 4 2 8 7" xfId="15466" xr:uid="{00000000-0005-0000-0000-0000493C0000}"/>
    <cellStyle name="Normal 4 2 8 8" xfId="15467" xr:uid="{00000000-0005-0000-0000-00004A3C0000}"/>
    <cellStyle name="Normal 4 2 9" xfId="15468" xr:uid="{00000000-0005-0000-0000-00004B3C0000}"/>
    <cellStyle name="Normal 4 2 9 2" xfId="15469" xr:uid="{00000000-0005-0000-0000-00004C3C0000}"/>
    <cellStyle name="Normal 4 2 9 2 2" xfId="15470" xr:uid="{00000000-0005-0000-0000-00004D3C0000}"/>
    <cellStyle name="Normal 4 2 9 2 3" xfId="15471" xr:uid="{00000000-0005-0000-0000-00004E3C0000}"/>
    <cellStyle name="Normal 4 2 9 3" xfId="15472" xr:uid="{00000000-0005-0000-0000-00004F3C0000}"/>
    <cellStyle name="Normal 4 2 9 3 2" xfId="15473" xr:uid="{00000000-0005-0000-0000-0000503C0000}"/>
    <cellStyle name="Normal 4 2 9 3 3" xfId="15474" xr:uid="{00000000-0005-0000-0000-0000513C0000}"/>
    <cellStyle name="Normal 4 2 9 4" xfId="15475" xr:uid="{00000000-0005-0000-0000-0000523C0000}"/>
    <cellStyle name="Normal 4 2 9 4 2" xfId="15476" xr:uid="{00000000-0005-0000-0000-0000533C0000}"/>
    <cellStyle name="Normal 4 2 9 4 3" xfId="15477" xr:uid="{00000000-0005-0000-0000-0000543C0000}"/>
    <cellStyle name="Normal 4 2 9 5" xfId="15478" xr:uid="{00000000-0005-0000-0000-0000553C0000}"/>
    <cellStyle name="Normal 4 2 9 5 2" xfId="15479" xr:uid="{00000000-0005-0000-0000-0000563C0000}"/>
    <cellStyle name="Normal 4 2 9 5 3" xfId="15480" xr:uid="{00000000-0005-0000-0000-0000573C0000}"/>
    <cellStyle name="Normal 4 2 9 6" xfId="15481" xr:uid="{00000000-0005-0000-0000-0000583C0000}"/>
    <cellStyle name="Normal 4 2 9 6 2" xfId="15482" xr:uid="{00000000-0005-0000-0000-0000593C0000}"/>
    <cellStyle name="Normal 4 2 9 6 3" xfId="15483" xr:uid="{00000000-0005-0000-0000-00005A3C0000}"/>
    <cellStyle name="Normal 4 2 9 7" xfId="15484" xr:uid="{00000000-0005-0000-0000-00005B3C0000}"/>
    <cellStyle name="Normal 4 2 9 8" xfId="15485" xr:uid="{00000000-0005-0000-0000-00005C3C0000}"/>
    <cellStyle name="Normal 4 2_5.Vemulapudi" xfId="15486" xr:uid="{00000000-0005-0000-0000-00005D3C0000}"/>
    <cellStyle name="Normal 4 20" xfId="15487" xr:uid="{00000000-0005-0000-0000-00005E3C0000}"/>
    <cellStyle name="Normal 4 20 2" xfId="15488" xr:uid="{00000000-0005-0000-0000-00005F3C0000}"/>
    <cellStyle name="Normal 4 21" xfId="15489" xr:uid="{00000000-0005-0000-0000-0000603C0000}"/>
    <cellStyle name="Normal 4 21 2" xfId="15490" xr:uid="{00000000-0005-0000-0000-0000613C0000}"/>
    <cellStyle name="Normal 4 22" xfId="15491" xr:uid="{00000000-0005-0000-0000-0000623C0000}"/>
    <cellStyle name="Normal 4 22 2" xfId="15492" xr:uid="{00000000-0005-0000-0000-0000633C0000}"/>
    <cellStyle name="Normal 4 23" xfId="15493" xr:uid="{00000000-0005-0000-0000-0000643C0000}"/>
    <cellStyle name="Normal 4 23 2" xfId="15494" xr:uid="{00000000-0005-0000-0000-0000653C0000}"/>
    <cellStyle name="Normal 4 24" xfId="15495" xr:uid="{00000000-0005-0000-0000-0000663C0000}"/>
    <cellStyle name="Normal 4 24 2" xfId="15496" xr:uid="{00000000-0005-0000-0000-0000673C0000}"/>
    <cellStyle name="Normal 4 25" xfId="15497" xr:uid="{00000000-0005-0000-0000-0000683C0000}"/>
    <cellStyle name="Normal 4 25 2" xfId="15498" xr:uid="{00000000-0005-0000-0000-0000693C0000}"/>
    <cellStyle name="Normal 4 26" xfId="15499" xr:uid="{00000000-0005-0000-0000-00006A3C0000}"/>
    <cellStyle name="Normal 4 26 2" xfId="15500" xr:uid="{00000000-0005-0000-0000-00006B3C0000}"/>
    <cellStyle name="Normal 4 27" xfId="15501" xr:uid="{00000000-0005-0000-0000-00006C3C0000}"/>
    <cellStyle name="Normal 4 27 2" xfId="15502" xr:uid="{00000000-0005-0000-0000-00006D3C0000}"/>
    <cellStyle name="Normal 4 28" xfId="15503" xr:uid="{00000000-0005-0000-0000-00006E3C0000}"/>
    <cellStyle name="Normal 4 28 2" xfId="15504" xr:uid="{00000000-0005-0000-0000-00006F3C0000}"/>
    <cellStyle name="Normal 4 29" xfId="15505" xr:uid="{00000000-0005-0000-0000-0000703C0000}"/>
    <cellStyle name="Normal 4 29 2" xfId="15506" xr:uid="{00000000-0005-0000-0000-0000713C0000}"/>
    <cellStyle name="Normal 4 3" xfId="62" xr:uid="{00000000-0005-0000-0000-0000723C0000}"/>
    <cellStyle name="Normal 4 3 10" xfId="15507" xr:uid="{00000000-0005-0000-0000-0000733C0000}"/>
    <cellStyle name="Normal 4 3 10 2" xfId="15508" xr:uid="{00000000-0005-0000-0000-0000743C0000}"/>
    <cellStyle name="Normal 4 3 10 2 2" xfId="15509" xr:uid="{00000000-0005-0000-0000-0000753C0000}"/>
    <cellStyle name="Normal 4 3 10 3" xfId="15510" xr:uid="{00000000-0005-0000-0000-0000763C0000}"/>
    <cellStyle name="Normal 4 3 10 4" xfId="15511" xr:uid="{00000000-0005-0000-0000-0000773C0000}"/>
    <cellStyle name="Normal 4 3 10 5" xfId="15512" xr:uid="{00000000-0005-0000-0000-0000783C0000}"/>
    <cellStyle name="Normal 4 3 10 6" xfId="15513" xr:uid="{00000000-0005-0000-0000-0000793C0000}"/>
    <cellStyle name="Normal 4 3 10 7" xfId="15514" xr:uid="{00000000-0005-0000-0000-00007A3C0000}"/>
    <cellStyle name="Normal 4 3 10 8" xfId="15515" xr:uid="{00000000-0005-0000-0000-00007B3C0000}"/>
    <cellStyle name="Normal 4 3 11" xfId="15516" xr:uid="{00000000-0005-0000-0000-00007C3C0000}"/>
    <cellStyle name="Normal 4 3 11 2" xfId="15517" xr:uid="{00000000-0005-0000-0000-00007D3C0000}"/>
    <cellStyle name="Normal 4 3 11 3" xfId="15518" xr:uid="{00000000-0005-0000-0000-00007E3C0000}"/>
    <cellStyle name="Normal 4 3 11 4" xfId="15519" xr:uid="{00000000-0005-0000-0000-00007F3C0000}"/>
    <cellStyle name="Normal 4 3 11 5" xfId="15520" xr:uid="{00000000-0005-0000-0000-0000803C0000}"/>
    <cellStyle name="Normal 4 3 11 6" xfId="15521" xr:uid="{00000000-0005-0000-0000-0000813C0000}"/>
    <cellStyle name="Normal 4 3 11 7" xfId="15522" xr:uid="{00000000-0005-0000-0000-0000823C0000}"/>
    <cellStyle name="Normal 4 3 11 8" xfId="15523" xr:uid="{00000000-0005-0000-0000-0000833C0000}"/>
    <cellStyle name="Normal 4 3 12" xfId="15524" xr:uid="{00000000-0005-0000-0000-0000843C0000}"/>
    <cellStyle name="Normal 4 3 12 2" xfId="15525" xr:uid="{00000000-0005-0000-0000-0000853C0000}"/>
    <cellStyle name="Normal 4 3 13" xfId="15526" xr:uid="{00000000-0005-0000-0000-0000863C0000}"/>
    <cellStyle name="Normal 4 3 14" xfId="15527" xr:uid="{00000000-0005-0000-0000-0000873C0000}"/>
    <cellStyle name="Normal 4 3 15" xfId="15528" xr:uid="{00000000-0005-0000-0000-0000883C0000}"/>
    <cellStyle name="Normal 4 3 16" xfId="15529" xr:uid="{00000000-0005-0000-0000-0000893C0000}"/>
    <cellStyle name="Normal 4 3 17" xfId="15530" xr:uid="{00000000-0005-0000-0000-00008A3C0000}"/>
    <cellStyle name="Normal 4 3 18" xfId="15531" xr:uid="{00000000-0005-0000-0000-00008B3C0000}"/>
    <cellStyle name="Normal 4 3 19" xfId="15532" xr:uid="{00000000-0005-0000-0000-00008C3C0000}"/>
    <cellStyle name="Normal 4 3 2" xfId="15533" xr:uid="{00000000-0005-0000-0000-00008D3C0000}"/>
    <cellStyle name="Normal 4 3 2 10" xfId="15534" xr:uid="{00000000-0005-0000-0000-00008E3C0000}"/>
    <cellStyle name="Normal 4 3 2 10 2" xfId="15535" xr:uid="{00000000-0005-0000-0000-00008F3C0000}"/>
    <cellStyle name="Normal 4 3 2 10 3" xfId="15536" xr:uid="{00000000-0005-0000-0000-0000903C0000}"/>
    <cellStyle name="Normal 4 3 2 10 4" xfId="15537" xr:uid="{00000000-0005-0000-0000-0000913C0000}"/>
    <cellStyle name="Normal 4 3 2 10 5" xfId="15538" xr:uid="{00000000-0005-0000-0000-0000923C0000}"/>
    <cellStyle name="Normal 4 3 2 10 6" xfId="15539" xr:uid="{00000000-0005-0000-0000-0000933C0000}"/>
    <cellStyle name="Normal 4 3 2 10 7" xfId="15540" xr:uid="{00000000-0005-0000-0000-0000943C0000}"/>
    <cellStyle name="Normal 4 3 2 10 8" xfId="15541" xr:uid="{00000000-0005-0000-0000-0000953C0000}"/>
    <cellStyle name="Normal 4 3 2 11" xfId="15542" xr:uid="{00000000-0005-0000-0000-0000963C0000}"/>
    <cellStyle name="Normal 4 3 2 12" xfId="15543" xr:uid="{00000000-0005-0000-0000-0000973C0000}"/>
    <cellStyle name="Normal 4 3 2 13" xfId="15544" xr:uid="{00000000-0005-0000-0000-0000983C0000}"/>
    <cellStyle name="Normal 4 3 2 14" xfId="15545" xr:uid="{00000000-0005-0000-0000-0000993C0000}"/>
    <cellStyle name="Normal 4 3 2 15" xfId="15546" xr:uid="{00000000-0005-0000-0000-00009A3C0000}"/>
    <cellStyle name="Normal 4 3 2 16" xfId="15547" xr:uid="{00000000-0005-0000-0000-00009B3C0000}"/>
    <cellStyle name="Normal 4 3 2 17" xfId="15548" xr:uid="{00000000-0005-0000-0000-00009C3C0000}"/>
    <cellStyle name="Normal 4 3 2 18" xfId="15549" xr:uid="{00000000-0005-0000-0000-00009D3C0000}"/>
    <cellStyle name="Normal 4 3 2 19" xfId="15550" xr:uid="{00000000-0005-0000-0000-00009E3C0000}"/>
    <cellStyle name="Normal 4 3 2 2" xfId="15551" xr:uid="{00000000-0005-0000-0000-00009F3C0000}"/>
    <cellStyle name="Normal 4 3 2 2 2" xfId="15552" xr:uid="{00000000-0005-0000-0000-0000A03C0000}"/>
    <cellStyle name="Normal 4 3 2 2 3" xfId="15553" xr:uid="{00000000-0005-0000-0000-0000A13C0000}"/>
    <cellStyle name="Normal 4 3 2 2 4" xfId="15554" xr:uid="{00000000-0005-0000-0000-0000A23C0000}"/>
    <cellStyle name="Normal 4 3 2 2 5" xfId="15555" xr:uid="{00000000-0005-0000-0000-0000A33C0000}"/>
    <cellStyle name="Normal 4 3 2 2 6" xfId="15556" xr:uid="{00000000-0005-0000-0000-0000A43C0000}"/>
    <cellStyle name="Normal 4 3 2 2 7" xfId="15557" xr:uid="{00000000-0005-0000-0000-0000A53C0000}"/>
    <cellStyle name="Normal 4 3 2 2 8" xfId="15558" xr:uid="{00000000-0005-0000-0000-0000A63C0000}"/>
    <cellStyle name="Normal 4 3 2 3" xfId="15559" xr:uid="{00000000-0005-0000-0000-0000A73C0000}"/>
    <cellStyle name="Normal 4 3 2 3 2" xfId="15560" xr:uid="{00000000-0005-0000-0000-0000A83C0000}"/>
    <cellStyle name="Normal 4 3 2 3 3" xfId="15561" xr:uid="{00000000-0005-0000-0000-0000A93C0000}"/>
    <cellStyle name="Normal 4 3 2 3 4" xfId="15562" xr:uid="{00000000-0005-0000-0000-0000AA3C0000}"/>
    <cellStyle name="Normal 4 3 2 3 5" xfId="15563" xr:uid="{00000000-0005-0000-0000-0000AB3C0000}"/>
    <cellStyle name="Normal 4 3 2 3 6" xfId="15564" xr:uid="{00000000-0005-0000-0000-0000AC3C0000}"/>
    <cellStyle name="Normal 4 3 2 3 7" xfId="15565" xr:uid="{00000000-0005-0000-0000-0000AD3C0000}"/>
    <cellStyle name="Normal 4 3 2 3 8" xfId="15566" xr:uid="{00000000-0005-0000-0000-0000AE3C0000}"/>
    <cellStyle name="Normal 4 3 2 4" xfId="15567" xr:uid="{00000000-0005-0000-0000-0000AF3C0000}"/>
    <cellStyle name="Normal 4 3 2 4 2" xfId="15568" xr:uid="{00000000-0005-0000-0000-0000B03C0000}"/>
    <cellStyle name="Normal 4 3 2 4 3" xfId="15569" xr:uid="{00000000-0005-0000-0000-0000B13C0000}"/>
    <cellStyle name="Normal 4 3 2 4 4" xfId="15570" xr:uid="{00000000-0005-0000-0000-0000B23C0000}"/>
    <cellStyle name="Normal 4 3 2 4 5" xfId="15571" xr:uid="{00000000-0005-0000-0000-0000B33C0000}"/>
    <cellStyle name="Normal 4 3 2 4 6" xfId="15572" xr:uid="{00000000-0005-0000-0000-0000B43C0000}"/>
    <cellStyle name="Normal 4 3 2 4 7" xfId="15573" xr:uid="{00000000-0005-0000-0000-0000B53C0000}"/>
    <cellStyle name="Normal 4 3 2 4 8" xfId="15574" xr:uid="{00000000-0005-0000-0000-0000B63C0000}"/>
    <cellStyle name="Normal 4 3 2 5" xfId="15575" xr:uid="{00000000-0005-0000-0000-0000B73C0000}"/>
    <cellStyle name="Normal 4 3 2 5 2" xfId="15576" xr:uid="{00000000-0005-0000-0000-0000B83C0000}"/>
    <cellStyle name="Normal 4 3 2 5 3" xfId="15577" xr:uid="{00000000-0005-0000-0000-0000B93C0000}"/>
    <cellStyle name="Normal 4 3 2 5 4" xfId="15578" xr:uid="{00000000-0005-0000-0000-0000BA3C0000}"/>
    <cellStyle name="Normal 4 3 2 5 5" xfId="15579" xr:uid="{00000000-0005-0000-0000-0000BB3C0000}"/>
    <cellStyle name="Normal 4 3 2 5 6" xfId="15580" xr:uid="{00000000-0005-0000-0000-0000BC3C0000}"/>
    <cellStyle name="Normal 4 3 2 5 7" xfId="15581" xr:uid="{00000000-0005-0000-0000-0000BD3C0000}"/>
    <cellStyle name="Normal 4 3 2 5 8" xfId="15582" xr:uid="{00000000-0005-0000-0000-0000BE3C0000}"/>
    <cellStyle name="Normal 4 3 2 6" xfId="15583" xr:uid="{00000000-0005-0000-0000-0000BF3C0000}"/>
    <cellStyle name="Normal 4 3 2 6 2" xfId="15584" xr:uid="{00000000-0005-0000-0000-0000C03C0000}"/>
    <cellStyle name="Normal 4 3 2 6 3" xfId="15585" xr:uid="{00000000-0005-0000-0000-0000C13C0000}"/>
    <cellStyle name="Normal 4 3 2 6 4" xfId="15586" xr:uid="{00000000-0005-0000-0000-0000C23C0000}"/>
    <cellStyle name="Normal 4 3 2 6 5" xfId="15587" xr:uid="{00000000-0005-0000-0000-0000C33C0000}"/>
    <cellStyle name="Normal 4 3 2 6 6" xfId="15588" xr:uid="{00000000-0005-0000-0000-0000C43C0000}"/>
    <cellStyle name="Normal 4 3 2 6 7" xfId="15589" xr:uid="{00000000-0005-0000-0000-0000C53C0000}"/>
    <cellStyle name="Normal 4 3 2 6 8" xfId="15590" xr:uid="{00000000-0005-0000-0000-0000C63C0000}"/>
    <cellStyle name="Normal 4 3 2 7" xfId="15591" xr:uid="{00000000-0005-0000-0000-0000C73C0000}"/>
    <cellStyle name="Normal 4 3 2 7 2" xfId="15592" xr:uid="{00000000-0005-0000-0000-0000C83C0000}"/>
    <cellStyle name="Normal 4 3 2 7 3" xfId="15593" xr:uid="{00000000-0005-0000-0000-0000C93C0000}"/>
    <cellStyle name="Normal 4 3 2 7 4" xfId="15594" xr:uid="{00000000-0005-0000-0000-0000CA3C0000}"/>
    <cellStyle name="Normal 4 3 2 7 5" xfId="15595" xr:uid="{00000000-0005-0000-0000-0000CB3C0000}"/>
    <cellStyle name="Normal 4 3 2 7 6" xfId="15596" xr:uid="{00000000-0005-0000-0000-0000CC3C0000}"/>
    <cellStyle name="Normal 4 3 2 7 7" xfId="15597" xr:uid="{00000000-0005-0000-0000-0000CD3C0000}"/>
    <cellStyle name="Normal 4 3 2 7 8" xfId="15598" xr:uid="{00000000-0005-0000-0000-0000CE3C0000}"/>
    <cellStyle name="Normal 4 3 2 8" xfId="15599" xr:uid="{00000000-0005-0000-0000-0000CF3C0000}"/>
    <cellStyle name="Normal 4 3 2 8 2" xfId="15600" xr:uid="{00000000-0005-0000-0000-0000D03C0000}"/>
    <cellStyle name="Normal 4 3 2 8 3" xfId="15601" xr:uid="{00000000-0005-0000-0000-0000D13C0000}"/>
    <cellStyle name="Normal 4 3 2 8 4" xfId="15602" xr:uid="{00000000-0005-0000-0000-0000D23C0000}"/>
    <cellStyle name="Normal 4 3 2 8 5" xfId="15603" xr:uid="{00000000-0005-0000-0000-0000D33C0000}"/>
    <cellStyle name="Normal 4 3 2 8 6" xfId="15604" xr:uid="{00000000-0005-0000-0000-0000D43C0000}"/>
    <cellStyle name="Normal 4 3 2 8 7" xfId="15605" xr:uid="{00000000-0005-0000-0000-0000D53C0000}"/>
    <cellStyle name="Normal 4 3 2 8 8" xfId="15606" xr:uid="{00000000-0005-0000-0000-0000D63C0000}"/>
    <cellStyle name="Normal 4 3 2 9" xfId="15607" xr:uid="{00000000-0005-0000-0000-0000D73C0000}"/>
    <cellStyle name="Normal 4 3 2 9 2" xfId="15608" xr:uid="{00000000-0005-0000-0000-0000D83C0000}"/>
    <cellStyle name="Normal 4 3 2 9 3" xfId="15609" xr:uid="{00000000-0005-0000-0000-0000D93C0000}"/>
    <cellStyle name="Normal 4 3 2 9 4" xfId="15610" xr:uid="{00000000-0005-0000-0000-0000DA3C0000}"/>
    <cellStyle name="Normal 4 3 2 9 5" xfId="15611" xr:uid="{00000000-0005-0000-0000-0000DB3C0000}"/>
    <cellStyle name="Normal 4 3 2 9 6" xfId="15612" xr:uid="{00000000-0005-0000-0000-0000DC3C0000}"/>
    <cellStyle name="Normal 4 3 2 9 7" xfId="15613" xr:uid="{00000000-0005-0000-0000-0000DD3C0000}"/>
    <cellStyle name="Normal 4 3 2 9 8" xfId="15614" xr:uid="{00000000-0005-0000-0000-0000DE3C0000}"/>
    <cellStyle name="Normal 4 3 20" xfId="15615" xr:uid="{00000000-0005-0000-0000-0000DF3C0000}"/>
    <cellStyle name="Normal 4 3 3" xfId="15616" xr:uid="{00000000-0005-0000-0000-0000E03C0000}"/>
    <cellStyle name="Normal 4 3 3 10" xfId="15617" xr:uid="{00000000-0005-0000-0000-0000E13C0000}"/>
    <cellStyle name="Normal 4 3 3 2" xfId="15618" xr:uid="{00000000-0005-0000-0000-0000E23C0000}"/>
    <cellStyle name="Normal 4 3 3 3" xfId="15619" xr:uid="{00000000-0005-0000-0000-0000E33C0000}"/>
    <cellStyle name="Normal 4 3 3 4" xfId="15620" xr:uid="{00000000-0005-0000-0000-0000E43C0000}"/>
    <cellStyle name="Normal 4 3 3 5" xfId="15621" xr:uid="{00000000-0005-0000-0000-0000E53C0000}"/>
    <cellStyle name="Normal 4 3 3 6" xfId="15622" xr:uid="{00000000-0005-0000-0000-0000E63C0000}"/>
    <cellStyle name="Normal 4 3 3 7" xfId="15623" xr:uid="{00000000-0005-0000-0000-0000E73C0000}"/>
    <cellStyle name="Normal 4 3 3 8" xfId="15624" xr:uid="{00000000-0005-0000-0000-0000E83C0000}"/>
    <cellStyle name="Normal 4 3 3 9" xfId="15625" xr:uid="{00000000-0005-0000-0000-0000E93C0000}"/>
    <cellStyle name="Normal 4 3 4" xfId="15626" xr:uid="{00000000-0005-0000-0000-0000EA3C0000}"/>
    <cellStyle name="Normal 4 3 4 10" xfId="15627" xr:uid="{00000000-0005-0000-0000-0000EB3C0000}"/>
    <cellStyle name="Normal 4 3 4 2" xfId="15628" xr:uid="{00000000-0005-0000-0000-0000EC3C0000}"/>
    <cellStyle name="Normal 4 3 4 3" xfId="15629" xr:uid="{00000000-0005-0000-0000-0000ED3C0000}"/>
    <cellStyle name="Normal 4 3 4 4" xfId="15630" xr:uid="{00000000-0005-0000-0000-0000EE3C0000}"/>
    <cellStyle name="Normal 4 3 4 5" xfId="15631" xr:uid="{00000000-0005-0000-0000-0000EF3C0000}"/>
    <cellStyle name="Normal 4 3 4 6" xfId="15632" xr:uid="{00000000-0005-0000-0000-0000F03C0000}"/>
    <cellStyle name="Normal 4 3 4 7" xfId="15633" xr:uid="{00000000-0005-0000-0000-0000F13C0000}"/>
    <cellStyle name="Normal 4 3 4 8" xfId="15634" xr:uid="{00000000-0005-0000-0000-0000F23C0000}"/>
    <cellStyle name="Normal 4 3 4 9" xfId="15635" xr:uid="{00000000-0005-0000-0000-0000F33C0000}"/>
    <cellStyle name="Normal 4 3 5" xfId="15636" xr:uid="{00000000-0005-0000-0000-0000F43C0000}"/>
    <cellStyle name="Normal 4 3 5 10" xfId="15637" xr:uid="{00000000-0005-0000-0000-0000F53C0000}"/>
    <cellStyle name="Normal 4 3 5 2" xfId="15638" xr:uid="{00000000-0005-0000-0000-0000F63C0000}"/>
    <cellStyle name="Normal 4 3 5 2 2" xfId="15639" xr:uid="{00000000-0005-0000-0000-0000F73C0000}"/>
    <cellStyle name="Normal 4 3 5 2 2 2" xfId="15640" xr:uid="{00000000-0005-0000-0000-0000F83C0000}"/>
    <cellStyle name="Normal 4 3 5 2 2 2 2" xfId="15641" xr:uid="{00000000-0005-0000-0000-0000F93C0000}"/>
    <cellStyle name="Normal 4 3 5 2 2 3" xfId="15642" xr:uid="{00000000-0005-0000-0000-0000FA3C0000}"/>
    <cellStyle name="Normal 4 3 5 2 3" xfId="15643" xr:uid="{00000000-0005-0000-0000-0000FB3C0000}"/>
    <cellStyle name="Normal 4 3 5 2 3 2" xfId="15644" xr:uid="{00000000-0005-0000-0000-0000FC3C0000}"/>
    <cellStyle name="Normal 4 3 5 2 4" xfId="15645" xr:uid="{00000000-0005-0000-0000-0000FD3C0000}"/>
    <cellStyle name="Normal 4 3 5 2 4 2" xfId="15646" xr:uid="{00000000-0005-0000-0000-0000FE3C0000}"/>
    <cellStyle name="Normal 4 3 5 2 5" xfId="15647" xr:uid="{00000000-0005-0000-0000-0000FF3C0000}"/>
    <cellStyle name="Normal 4 3 5 3" xfId="15648" xr:uid="{00000000-0005-0000-0000-0000003D0000}"/>
    <cellStyle name="Normal 4 3 5 3 2" xfId="15649" xr:uid="{00000000-0005-0000-0000-0000013D0000}"/>
    <cellStyle name="Normal 4 3 5 3 2 2" xfId="15650" xr:uid="{00000000-0005-0000-0000-0000023D0000}"/>
    <cellStyle name="Normal 4 3 5 3 2 2 2" xfId="15651" xr:uid="{00000000-0005-0000-0000-0000033D0000}"/>
    <cellStyle name="Normal 4 3 5 3 2 3" xfId="15652" xr:uid="{00000000-0005-0000-0000-0000043D0000}"/>
    <cellStyle name="Normal 4 3 5 3 3" xfId="15653" xr:uid="{00000000-0005-0000-0000-0000053D0000}"/>
    <cellStyle name="Normal 4 3 5 3 3 2" xfId="15654" xr:uid="{00000000-0005-0000-0000-0000063D0000}"/>
    <cellStyle name="Normal 4 3 5 3 4" xfId="15655" xr:uid="{00000000-0005-0000-0000-0000073D0000}"/>
    <cellStyle name="Normal 4 3 5 3 4 2" xfId="15656" xr:uid="{00000000-0005-0000-0000-0000083D0000}"/>
    <cellStyle name="Normal 4 3 5 3 5" xfId="15657" xr:uid="{00000000-0005-0000-0000-0000093D0000}"/>
    <cellStyle name="Normal 4 3 5 4" xfId="15658" xr:uid="{00000000-0005-0000-0000-00000A3D0000}"/>
    <cellStyle name="Normal 4 3 5 4 2" xfId="15659" xr:uid="{00000000-0005-0000-0000-00000B3D0000}"/>
    <cellStyle name="Normal 4 3 5 4 2 2" xfId="15660" xr:uid="{00000000-0005-0000-0000-00000C3D0000}"/>
    <cellStyle name="Normal 4 3 5 4 3" xfId="15661" xr:uid="{00000000-0005-0000-0000-00000D3D0000}"/>
    <cellStyle name="Normal 4 3 5 5" xfId="15662" xr:uid="{00000000-0005-0000-0000-00000E3D0000}"/>
    <cellStyle name="Normal 4 3 5 5 2" xfId="15663" xr:uid="{00000000-0005-0000-0000-00000F3D0000}"/>
    <cellStyle name="Normal 4 3 5 6" xfId="15664" xr:uid="{00000000-0005-0000-0000-0000103D0000}"/>
    <cellStyle name="Normal 4 3 5 6 2" xfId="15665" xr:uid="{00000000-0005-0000-0000-0000113D0000}"/>
    <cellStyle name="Normal 4 3 5 7" xfId="15666" xr:uid="{00000000-0005-0000-0000-0000123D0000}"/>
    <cellStyle name="Normal 4 3 5 8" xfId="15667" xr:uid="{00000000-0005-0000-0000-0000133D0000}"/>
    <cellStyle name="Normal 4 3 5 9" xfId="15668" xr:uid="{00000000-0005-0000-0000-0000143D0000}"/>
    <cellStyle name="Normal 4 3 6" xfId="15669" xr:uid="{00000000-0005-0000-0000-0000153D0000}"/>
    <cellStyle name="Normal 4 3 6 2" xfId="15670" xr:uid="{00000000-0005-0000-0000-0000163D0000}"/>
    <cellStyle name="Normal 4 3 6 2 2" xfId="15671" xr:uid="{00000000-0005-0000-0000-0000173D0000}"/>
    <cellStyle name="Normal 4 3 6 2 2 2" xfId="15672" xr:uid="{00000000-0005-0000-0000-0000183D0000}"/>
    <cellStyle name="Normal 4 3 6 2 3" xfId="15673" xr:uid="{00000000-0005-0000-0000-0000193D0000}"/>
    <cellStyle name="Normal 4 3 6 3" xfId="15674" xr:uid="{00000000-0005-0000-0000-00001A3D0000}"/>
    <cellStyle name="Normal 4 3 6 3 2" xfId="15675" xr:uid="{00000000-0005-0000-0000-00001B3D0000}"/>
    <cellStyle name="Normal 4 3 6 4" xfId="15676" xr:uid="{00000000-0005-0000-0000-00001C3D0000}"/>
    <cellStyle name="Normal 4 3 6 4 2" xfId="15677" xr:uid="{00000000-0005-0000-0000-00001D3D0000}"/>
    <cellStyle name="Normal 4 3 6 5" xfId="15678" xr:uid="{00000000-0005-0000-0000-00001E3D0000}"/>
    <cellStyle name="Normal 4 3 6 6" xfId="15679" xr:uid="{00000000-0005-0000-0000-00001F3D0000}"/>
    <cellStyle name="Normal 4 3 6 7" xfId="15680" xr:uid="{00000000-0005-0000-0000-0000203D0000}"/>
    <cellStyle name="Normal 4 3 6 8" xfId="15681" xr:uid="{00000000-0005-0000-0000-0000213D0000}"/>
    <cellStyle name="Normal 4 3 7" xfId="15682" xr:uid="{00000000-0005-0000-0000-0000223D0000}"/>
    <cellStyle name="Normal 4 3 7 2" xfId="15683" xr:uid="{00000000-0005-0000-0000-0000233D0000}"/>
    <cellStyle name="Normal 4 3 7 2 2" xfId="15684" xr:uid="{00000000-0005-0000-0000-0000243D0000}"/>
    <cellStyle name="Normal 4 3 7 2 2 2" xfId="15685" xr:uid="{00000000-0005-0000-0000-0000253D0000}"/>
    <cellStyle name="Normal 4 3 7 2 3" xfId="15686" xr:uid="{00000000-0005-0000-0000-0000263D0000}"/>
    <cellStyle name="Normal 4 3 7 3" xfId="15687" xr:uid="{00000000-0005-0000-0000-0000273D0000}"/>
    <cellStyle name="Normal 4 3 7 3 2" xfId="15688" xr:uid="{00000000-0005-0000-0000-0000283D0000}"/>
    <cellStyle name="Normal 4 3 7 4" xfId="15689" xr:uid="{00000000-0005-0000-0000-0000293D0000}"/>
    <cellStyle name="Normal 4 3 7 4 2" xfId="15690" xr:uid="{00000000-0005-0000-0000-00002A3D0000}"/>
    <cellStyle name="Normal 4 3 7 5" xfId="15691" xr:uid="{00000000-0005-0000-0000-00002B3D0000}"/>
    <cellStyle name="Normal 4 3 7 6" xfId="15692" xr:uid="{00000000-0005-0000-0000-00002C3D0000}"/>
    <cellStyle name="Normal 4 3 7 7" xfId="15693" xr:uid="{00000000-0005-0000-0000-00002D3D0000}"/>
    <cellStyle name="Normal 4 3 7 8" xfId="15694" xr:uid="{00000000-0005-0000-0000-00002E3D0000}"/>
    <cellStyle name="Normal 4 3 8" xfId="15695" xr:uid="{00000000-0005-0000-0000-00002F3D0000}"/>
    <cellStyle name="Normal 4 3 8 2" xfId="15696" xr:uid="{00000000-0005-0000-0000-0000303D0000}"/>
    <cellStyle name="Normal 4 3 8 2 2" xfId="15697" xr:uid="{00000000-0005-0000-0000-0000313D0000}"/>
    <cellStyle name="Normal 4 3 8 2 2 2" xfId="15698" xr:uid="{00000000-0005-0000-0000-0000323D0000}"/>
    <cellStyle name="Normal 4 3 8 2 3" xfId="15699" xr:uid="{00000000-0005-0000-0000-0000333D0000}"/>
    <cellStyle name="Normal 4 3 8 3" xfId="15700" xr:uid="{00000000-0005-0000-0000-0000343D0000}"/>
    <cellStyle name="Normal 4 3 8 3 2" xfId="15701" xr:uid="{00000000-0005-0000-0000-0000353D0000}"/>
    <cellStyle name="Normal 4 3 8 4" xfId="15702" xr:uid="{00000000-0005-0000-0000-0000363D0000}"/>
    <cellStyle name="Normal 4 3 8 4 2" xfId="15703" xr:uid="{00000000-0005-0000-0000-0000373D0000}"/>
    <cellStyle name="Normal 4 3 8 5" xfId="15704" xr:uid="{00000000-0005-0000-0000-0000383D0000}"/>
    <cellStyle name="Normal 4 3 8 6" xfId="15705" xr:uid="{00000000-0005-0000-0000-0000393D0000}"/>
    <cellStyle name="Normal 4 3 8 7" xfId="15706" xr:uid="{00000000-0005-0000-0000-00003A3D0000}"/>
    <cellStyle name="Normal 4 3 8 8" xfId="15707" xr:uid="{00000000-0005-0000-0000-00003B3D0000}"/>
    <cellStyle name="Normal 4 3 9" xfId="15708" xr:uid="{00000000-0005-0000-0000-00003C3D0000}"/>
    <cellStyle name="Normal 4 3 9 2" xfId="15709" xr:uid="{00000000-0005-0000-0000-00003D3D0000}"/>
    <cellStyle name="Normal 4 3 9 2 2" xfId="15710" xr:uid="{00000000-0005-0000-0000-00003E3D0000}"/>
    <cellStyle name="Normal 4 3 9 2 2 2" xfId="15711" xr:uid="{00000000-0005-0000-0000-00003F3D0000}"/>
    <cellStyle name="Normal 4 3 9 2 3" xfId="15712" xr:uid="{00000000-0005-0000-0000-0000403D0000}"/>
    <cellStyle name="Normal 4 3 9 3" xfId="15713" xr:uid="{00000000-0005-0000-0000-0000413D0000}"/>
    <cellStyle name="Normal 4 3 9 3 2" xfId="15714" xr:uid="{00000000-0005-0000-0000-0000423D0000}"/>
    <cellStyle name="Normal 4 3 9 4" xfId="15715" xr:uid="{00000000-0005-0000-0000-0000433D0000}"/>
    <cellStyle name="Normal 4 3 9 4 2" xfId="15716" xr:uid="{00000000-0005-0000-0000-0000443D0000}"/>
    <cellStyle name="Normal 4 3 9 5" xfId="15717" xr:uid="{00000000-0005-0000-0000-0000453D0000}"/>
    <cellStyle name="Normal 4 3 9 6" xfId="15718" xr:uid="{00000000-0005-0000-0000-0000463D0000}"/>
    <cellStyle name="Normal 4 3 9 7" xfId="15719" xr:uid="{00000000-0005-0000-0000-0000473D0000}"/>
    <cellStyle name="Normal 4 3 9 8" xfId="15720" xr:uid="{00000000-0005-0000-0000-0000483D0000}"/>
    <cellStyle name="Normal 4 3_b.t road-crr estimate" xfId="15721" xr:uid="{00000000-0005-0000-0000-0000493D0000}"/>
    <cellStyle name="Normal 4 30" xfId="15722" xr:uid="{00000000-0005-0000-0000-00004A3D0000}"/>
    <cellStyle name="Normal 4 30 2" xfId="15723" xr:uid="{00000000-0005-0000-0000-00004B3D0000}"/>
    <cellStyle name="Normal 4 31" xfId="15724" xr:uid="{00000000-0005-0000-0000-00004C3D0000}"/>
    <cellStyle name="Normal 4 31 2" xfId="15725" xr:uid="{00000000-0005-0000-0000-00004D3D0000}"/>
    <cellStyle name="Normal 4 32" xfId="15726" xr:uid="{00000000-0005-0000-0000-00004E3D0000}"/>
    <cellStyle name="Normal 4 32 2" xfId="15727" xr:uid="{00000000-0005-0000-0000-00004F3D0000}"/>
    <cellStyle name="Normal 4 33" xfId="15728" xr:uid="{00000000-0005-0000-0000-0000503D0000}"/>
    <cellStyle name="Normal 4 33 2" xfId="15729" xr:uid="{00000000-0005-0000-0000-0000513D0000}"/>
    <cellStyle name="Normal 4 34" xfId="15730" xr:uid="{00000000-0005-0000-0000-0000523D0000}"/>
    <cellStyle name="Normal 4 34 2" xfId="15731" xr:uid="{00000000-0005-0000-0000-0000533D0000}"/>
    <cellStyle name="Normal 4 35" xfId="15732" xr:uid="{00000000-0005-0000-0000-0000543D0000}"/>
    <cellStyle name="Normal 4 35 2" xfId="15733" xr:uid="{00000000-0005-0000-0000-0000553D0000}"/>
    <cellStyle name="Normal 4 35 2 2" xfId="15734" xr:uid="{00000000-0005-0000-0000-0000563D0000}"/>
    <cellStyle name="Normal 4 35 3" xfId="15735" xr:uid="{00000000-0005-0000-0000-0000573D0000}"/>
    <cellStyle name="Normal 4 35 4" xfId="15736" xr:uid="{00000000-0005-0000-0000-0000583D0000}"/>
    <cellStyle name="Normal 4 36" xfId="15737" xr:uid="{00000000-0005-0000-0000-0000593D0000}"/>
    <cellStyle name="Normal 4 36 2" xfId="15738" xr:uid="{00000000-0005-0000-0000-00005A3D0000}"/>
    <cellStyle name="Normal 4 37" xfId="15739" xr:uid="{00000000-0005-0000-0000-00005B3D0000}"/>
    <cellStyle name="Normal 4 37 2" xfId="15740" xr:uid="{00000000-0005-0000-0000-00005C3D0000}"/>
    <cellStyle name="Normal 4 38" xfId="15741" xr:uid="{00000000-0005-0000-0000-00005D3D0000}"/>
    <cellStyle name="Normal 4 38 2" xfId="15742" xr:uid="{00000000-0005-0000-0000-00005E3D0000}"/>
    <cellStyle name="Normal 4 39" xfId="15743" xr:uid="{00000000-0005-0000-0000-00005F3D0000}"/>
    <cellStyle name="Normal 4 39 2" xfId="15744" xr:uid="{00000000-0005-0000-0000-0000603D0000}"/>
    <cellStyle name="Normal 4 4" xfId="15745" xr:uid="{00000000-0005-0000-0000-0000613D0000}"/>
    <cellStyle name="Normal 4 4 10" xfId="15746" xr:uid="{00000000-0005-0000-0000-0000623D0000}"/>
    <cellStyle name="Normal 4 4 10 2" xfId="15747" xr:uid="{00000000-0005-0000-0000-0000633D0000}"/>
    <cellStyle name="Normal 4 4 10 3" xfId="15748" xr:uid="{00000000-0005-0000-0000-0000643D0000}"/>
    <cellStyle name="Normal 4 4 10 4" xfId="15749" xr:uid="{00000000-0005-0000-0000-0000653D0000}"/>
    <cellStyle name="Normal 4 4 10 5" xfId="15750" xr:uid="{00000000-0005-0000-0000-0000663D0000}"/>
    <cellStyle name="Normal 4 4 10 6" xfId="15751" xr:uid="{00000000-0005-0000-0000-0000673D0000}"/>
    <cellStyle name="Normal 4 4 10 7" xfId="15752" xr:uid="{00000000-0005-0000-0000-0000683D0000}"/>
    <cellStyle name="Normal 4 4 10 8" xfId="15753" xr:uid="{00000000-0005-0000-0000-0000693D0000}"/>
    <cellStyle name="Normal 4 4 11" xfId="15754" xr:uid="{00000000-0005-0000-0000-00006A3D0000}"/>
    <cellStyle name="Normal 4 4 12" xfId="15755" xr:uid="{00000000-0005-0000-0000-00006B3D0000}"/>
    <cellStyle name="Normal 4 4 13" xfId="15756" xr:uid="{00000000-0005-0000-0000-00006C3D0000}"/>
    <cellStyle name="Normal 4 4 14" xfId="15757" xr:uid="{00000000-0005-0000-0000-00006D3D0000}"/>
    <cellStyle name="Normal 4 4 15" xfId="15758" xr:uid="{00000000-0005-0000-0000-00006E3D0000}"/>
    <cellStyle name="Normal 4 4 16" xfId="15759" xr:uid="{00000000-0005-0000-0000-00006F3D0000}"/>
    <cellStyle name="Normal 4 4 17" xfId="15760" xr:uid="{00000000-0005-0000-0000-0000703D0000}"/>
    <cellStyle name="Normal 4 4 2" xfId="15761" xr:uid="{00000000-0005-0000-0000-0000713D0000}"/>
    <cellStyle name="Normal 4 4 2 2" xfId="15762" xr:uid="{00000000-0005-0000-0000-0000723D0000}"/>
    <cellStyle name="Normal 4 4 2 3" xfId="15763" xr:uid="{00000000-0005-0000-0000-0000733D0000}"/>
    <cellStyle name="Normal 4 4 2 4" xfId="15764" xr:uid="{00000000-0005-0000-0000-0000743D0000}"/>
    <cellStyle name="Normal 4 4 2 5" xfId="15765" xr:uid="{00000000-0005-0000-0000-0000753D0000}"/>
    <cellStyle name="Normal 4 4 2 6" xfId="15766" xr:uid="{00000000-0005-0000-0000-0000763D0000}"/>
    <cellStyle name="Normal 4 4 2 7" xfId="15767" xr:uid="{00000000-0005-0000-0000-0000773D0000}"/>
    <cellStyle name="Normal 4 4 2 8" xfId="15768" xr:uid="{00000000-0005-0000-0000-0000783D0000}"/>
    <cellStyle name="Normal 4 4 2 9" xfId="15769" xr:uid="{00000000-0005-0000-0000-0000793D0000}"/>
    <cellStyle name="Normal 4 4 3" xfId="15770" xr:uid="{00000000-0005-0000-0000-00007A3D0000}"/>
    <cellStyle name="Normal 4 4 3 10" xfId="15771" xr:uid="{00000000-0005-0000-0000-00007B3D0000}"/>
    <cellStyle name="Normal 4 4 3 2" xfId="15772" xr:uid="{00000000-0005-0000-0000-00007C3D0000}"/>
    <cellStyle name="Normal 4 4 3 3" xfId="15773" xr:uid="{00000000-0005-0000-0000-00007D3D0000}"/>
    <cellStyle name="Normal 4 4 3 4" xfId="15774" xr:uid="{00000000-0005-0000-0000-00007E3D0000}"/>
    <cellStyle name="Normal 4 4 3 5" xfId="15775" xr:uid="{00000000-0005-0000-0000-00007F3D0000}"/>
    <cellStyle name="Normal 4 4 3 6" xfId="15776" xr:uid="{00000000-0005-0000-0000-0000803D0000}"/>
    <cellStyle name="Normal 4 4 3 7" xfId="15777" xr:uid="{00000000-0005-0000-0000-0000813D0000}"/>
    <cellStyle name="Normal 4 4 3 8" xfId="15778" xr:uid="{00000000-0005-0000-0000-0000823D0000}"/>
    <cellStyle name="Normal 4 4 3 9" xfId="15779" xr:uid="{00000000-0005-0000-0000-0000833D0000}"/>
    <cellStyle name="Normal 4 4 4" xfId="15780" xr:uid="{00000000-0005-0000-0000-0000843D0000}"/>
    <cellStyle name="Normal 4 4 4 10" xfId="15781" xr:uid="{00000000-0005-0000-0000-0000853D0000}"/>
    <cellStyle name="Normal 4 4 4 2" xfId="15782" xr:uid="{00000000-0005-0000-0000-0000863D0000}"/>
    <cellStyle name="Normal 4 4 4 3" xfId="15783" xr:uid="{00000000-0005-0000-0000-0000873D0000}"/>
    <cellStyle name="Normal 4 4 4 4" xfId="15784" xr:uid="{00000000-0005-0000-0000-0000883D0000}"/>
    <cellStyle name="Normal 4 4 4 5" xfId="15785" xr:uid="{00000000-0005-0000-0000-0000893D0000}"/>
    <cellStyle name="Normal 4 4 4 6" xfId="15786" xr:uid="{00000000-0005-0000-0000-00008A3D0000}"/>
    <cellStyle name="Normal 4 4 4 7" xfId="15787" xr:uid="{00000000-0005-0000-0000-00008B3D0000}"/>
    <cellStyle name="Normal 4 4 4 8" xfId="15788" xr:uid="{00000000-0005-0000-0000-00008C3D0000}"/>
    <cellStyle name="Normal 4 4 4 9" xfId="15789" xr:uid="{00000000-0005-0000-0000-00008D3D0000}"/>
    <cellStyle name="Normal 4 4 5" xfId="15790" xr:uid="{00000000-0005-0000-0000-00008E3D0000}"/>
    <cellStyle name="Normal 4 4 5 2" xfId="15791" xr:uid="{00000000-0005-0000-0000-00008F3D0000}"/>
    <cellStyle name="Normal 4 4 5 3" xfId="15792" xr:uid="{00000000-0005-0000-0000-0000903D0000}"/>
    <cellStyle name="Normal 4 4 5 4" xfId="15793" xr:uid="{00000000-0005-0000-0000-0000913D0000}"/>
    <cellStyle name="Normal 4 4 5 5" xfId="15794" xr:uid="{00000000-0005-0000-0000-0000923D0000}"/>
    <cellStyle name="Normal 4 4 5 6" xfId="15795" xr:uid="{00000000-0005-0000-0000-0000933D0000}"/>
    <cellStyle name="Normal 4 4 5 7" xfId="15796" xr:uid="{00000000-0005-0000-0000-0000943D0000}"/>
    <cellStyle name="Normal 4 4 5 8" xfId="15797" xr:uid="{00000000-0005-0000-0000-0000953D0000}"/>
    <cellStyle name="Normal 4 4 6" xfId="15798" xr:uid="{00000000-0005-0000-0000-0000963D0000}"/>
    <cellStyle name="Normal 4 4 6 2" xfId="15799" xr:uid="{00000000-0005-0000-0000-0000973D0000}"/>
    <cellStyle name="Normal 4 4 6 3" xfId="15800" xr:uid="{00000000-0005-0000-0000-0000983D0000}"/>
    <cellStyle name="Normal 4 4 6 4" xfId="15801" xr:uid="{00000000-0005-0000-0000-0000993D0000}"/>
    <cellStyle name="Normal 4 4 6 5" xfId="15802" xr:uid="{00000000-0005-0000-0000-00009A3D0000}"/>
    <cellStyle name="Normal 4 4 6 6" xfId="15803" xr:uid="{00000000-0005-0000-0000-00009B3D0000}"/>
    <cellStyle name="Normal 4 4 6 7" xfId="15804" xr:uid="{00000000-0005-0000-0000-00009C3D0000}"/>
    <cellStyle name="Normal 4 4 6 8" xfId="15805" xr:uid="{00000000-0005-0000-0000-00009D3D0000}"/>
    <cellStyle name="Normal 4 4 7" xfId="15806" xr:uid="{00000000-0005-0000-0000-00009E3D0000}"/>
    <cellStyle name="Normal 4 4 7 2" xfId="15807" xr:uid="{00000000-0005-0000-0000-00009F3D0000}"/>
    <cellStyle name="Normal 4 4 7 3" xfId="15808" xr:uid="{00000000-0005-0000-0000-0000A03D0000}"/>
    <cellStyle name="Normal 4 4 7 4" xfId="15809" xr:uid="{00000000-0005-0000-0000-0000A13D0000}"/>
    <cellStyle name="Normal 4 4 7 5" xfId="15810" xr:uid="{00000000-0005-0000-0000-0000A23D0000}"/>
    <cellStyle name="Normal 4 4 7 6" xfId="15811" xr:uid="{00000000-0005-0000-0000-0000A33D0000}"/>
    <cellStyle name="Normal 4 4 7 7" xfId="15812" xr:uid="{00000000-0005-0000-0000-0000A43D0000}"/>
    <cellStyle name="Normal 4 4 7 8" xfId="15813" xr:uid="{00000000-0005-0000-0000-0000A53D0000}"/>
    <cellStyle name="Normal 4 4 8" xfId="15814" xr:uid="{00000000-0005-0000-0000-0000A63D0000}"/>
    <cellStyle name="Normal 4 4 8 2" xfId="15815" xr:uid="{00000000-0005-0000-0000-0000A73D0000}"/>
    <cellStyle name="Normal 4 4 8 3" xfId="15816" xr:uid="{00000000-0005-0000-0000-0000A83D0000}"/>
    <cellStyle name="Normal 4 4 8 4" xfId="15817" xr:uid="{00000000-0005-0000-0000-0000A93D0000}"/>
    <cellStyle name="Normal 4 4 8 5" xfId="15818" xr:uid="{00000000-0005-0000-0000-0000AA3D0000}"/>
    <cellStyle name="Normal 4 4 8 6" xfId="15819" xr:uid="{00000000-0005-0000-0000-0000AB3D0000}"/>
    <cellStyle name="Normal 4 4 8 7" xfId="15820" xr:uid="{00000000-0005-0000-0000-0000AC3D0000}"/>
    <cellStyle name="Normal 4 4 8 8" xfId="15821" xr:uid="{00000000-0005-0000-0000-0000AD3D0000}"/>
    <cellStyle name="Normal 4 4 9" xfId="15822" xr:uid="{00000000-0005-0000-0000-0000AE3D0000}"/>
    <cellStyle name="Normal 4 4 9 2" xfId="15823" xr:uid="{00000000-0005-0000-0000-0000AF3D0000}"/>
    <cellStyle name="Normal 4 4 9 3" xfId="15824" xr:uid="{00000000-0005-0000-0000-0000B03D0000}"/>
    <cellStyle name="Normal 4 4 9 4" xfId="15825" xr:uid="{00000000-0005-0000-0000-0000B13D0000}"/>
    <cellStyle name="Normal 4 4 9 5" xfId="15826" xr:uid="{00000000-0005-0000-0000-0000B23D0000}"/>
    <cellStyle name="Normal 4 4 9 6" xfId="15827" xr:uid="{00000000-0005-0000-0000-0000B33D0000}"/>
    <cellStyle name="Normal 4 4 9 7" xfId="15828" xr:uid="{00000000-0005-0000-0000-0000B43D0000}"/>
    <cellStyle name="Normal 4 4 9 8" xfId="15829" xr:uid="{00000000-0005-0000-0000-0000B53D0000}"/>
    <cellStyle name="Normal 4 4_NERELLA ADDITIONAL CLASS ROOMS IN FF" xfId="15830" xr:uid="{00000000-0005-0000-0000-0000B63D0000}"/>
    <cellStyle name="Normal 4 40" xfId="15831" xr:uid="{00000000-0005-0000-0000-0000B73D0000}"/>
    <cellStyle name="Normal 4 40 2" xfId="15832" xr:uid="{00000000-0005-0000-0000-0000B83D0000}"/>
    <cellStyle name="Normal 4 41" xfId="15833" xr:uid="{00000000-0005-0000-0000-0000B93D0000}"/>
    <cellStyle name="Normal 4 41 2" xfId="15834" xr:uid="{00000000-0005-0000-0000-0000BA3D0000}"/>
    <cellStyle name="Normal 4 42" xfId="15835" xr:uid="{00000000-0005-0000-0000-0000BB3D0000}"/>
    <cellStyle name="Normal 4 42 2" xfId="15836" xr:uid="{00000000-0005-0000-0000-0000BC3D0000}"/>
    <cellStyle name="Normal 4 43" xfId="15837" xr:uid="{00000000-0005-0000-0000-0000BD3D0000}"/>
    <cellStyle name="Normal 4 43 2" xfId="15838" xr:uid="{00000000-0005-0000-0000-0000BE3D0000}"/>
    <cellStyle name="Normal 4 44" xfId="15839" xr:uid="{00000000-0005-0000-0000-0000BF3D0000}"/>
    <cellStyle name="Normal 4 44 2" xfId="15840" xr:uid="{00000000-0005-0000-0000-0000C03D0000}"/>
    <cellStyle name="Normal 4 45" xfId="15841" xr:uid="{00000000-0005-0000-0000-0000C13D0000}"/>
    <cellStyle name="Normal 4 45 2" xfId="15842" xr:uid="{00000000-0005-0000-0000-0000C23D0000}"/>
    <cellStyle name="Normal 4 46" xfId="15843" xr:uid="{00000000-0005-0000-0000-0000C33D0000}"/>
    <cellStyle name="Normal 4 46 2" xfId="15844" xr:uid="{00000000-0005-0000-0000-0000C43D0000}"/>
    <cellStyle name="Normal 4 47" xfId="15845" xr:uid="{00000000-0005-0000-0000-0000C53D0000}"/>
    <cellStyle name="Normal 4 47 2" xfId="15846" xr:uid="{00000000-0005-0000-0000-0000C63D0000}"/>
    <cellStyle name="Normal 4 48" xfId="15847" xr:uid="{00000000-0005-0000-0000-0000C73D0000}"/>
    <cellStyle name="Normal 4 48 2" xfId="15848" xr:uid="{00000000-0005-0000-0000-0000C83D0000}"/>
    <cellStyle name="Normal 4 49" xfId="15849" xr:uid="{00000000-0005-0000-0000-0000C93D0000}"/>
    <cellStyle name="Normal 4 49 2" xfId="15850" xr:uid="{00000000-0005-0000-0000-0000CA3D0000}"/>
    <cellStyle name="Normal 4 5" xfId="15851" xr:uid="{00000000-0005-0000-0000-0000CB3D0000}"/>
    <cellStyle name="Normal 4 5 10" xfId="15852" xr:uid="{00000000-0005-0000-0000-0000CC3D0000}"/>
    <cellStyle name="Normal 4 5 10 2" xfId="15853" xr:uid="{00000000-0005-0000-0000-0000CD3D0000}"/>
    <cellStyle name="Normal 4 5 10 3" xfId="15854" xr:uid="{00000000-0005-0000-0000-0000CE3D0000}"/>
    <cellStyle name="Normal 4 5 10 4" xfId="15855" xr:uid="{00000000-0005-0000-0000-0000CF3D0000}"/>
    <cellStyle name="Normal 4 5 10 5" xfId="15856" xr:uid="{00000000-0005-0000-0000-0000D03D0000}"/>
    <cellStyle name="Normal 4 5 10 6" xfId="15857" xr:uid="{00000000-0005-0000-0000-0000D13D0000}"/>
    <cellStyle name="Normal 4 5 10 7" xfId="15858" xr:uid="{00000000-0005-0000-0000-0000D23D0000}"/>
    <cellStyle name="Normal 4 5 10 8" xfId="15859" xr:uid="{00000000-0005-0000-0000-0000D33D0000}"/>
    <cellStyle name="Normal 4 5 11" xfId="15860" xr:uid="{00000000-0005-0000-0000-0000D43D0000}"/>
    <cellStyle name="Normal 4 5 11 2" xfId="15861" xr:uid="{00000000-0005-0000-0000-0000D53D0000}"/>
    <cellStyle name="Normal 4 5 11 3" xfId="15862" xr:uid="{00000000-0005-0000-0000-0000D63D0000}"/>
    <cellStyle name="Normal 4 5 11 4" xfId="15863" xr:uid="{00000000-0005-0000-0000-0000D73D0000}"/>
    <cellStyle name="Normal 4 5 11 5" xfId="15864" xr:uid="{00000000-0005-0000-0000-0000D83D0000}"/>
    <cellStyle name="Normal 4 5 11 6" xfId="15865" xr:uid="{00000000-0005-0000-0000-0000D93D0000}"/>
    <cellStyle name="Normal 4 5 11 7" xfId="15866" xr:uid="{00000000-0005-0000-0000-0000DA3D0000}"/>
    <cellStyle name="Normal 4 5 11 8" xfId="15867" xr:uid="{00000000-0005-0000-0000-0000DB3D0000}"/>
    <cellStyle name="Normal 4 5 12" xfId="15868" xr:uid="{00000000-0005-0000-0000-0000DC3D0000}"/>
    <cellStyle name="Normal 4 5 13" xfId="15869" xr:uid="{00000000-0005-0000-0000-0000DD3D0000}"/>
    <cellStyle name="Normal 4 5 14" xfId="15870" xr:uid="{00000000-0005-0000-0000-0000DE3D0000}"/>
    <cellStyle name="Normal 4 5 15" xfId="15871" xr:uid="{00000000-0005-0000-0000-0000DF3D0000}"/>
    <cellStyle name="Normal 4 5 16" xfId="15872" xr:uid="{00000000-0005-0000-0000-0000E03D0000}"/>
    <cellStyle name="Normal 4 5 17" xfId="15873" xr:uid="{00000000-0005-0000-0000-0000E13D0000}"/>
    <cellStyle name="Normal 4 5 18" xfId="15874" xr:uid="{00000000-0005-0000-0000-0000E23D0000}"/>
    <cellStyle name="Normal 4 5 19" xfId="15875" xr:uid="{00000000-0005-0000-0000-0000E33D0000}"/>
    <cellStyle name="Normal 4 5 2" xfId="15876" xr:uid="{00000000-0005-0000-0000-0000E43D0000}"/>
    <cellStyle name="Normal 4 5 2 10" xfId="15877" xr:uid="{00000000-0005-0000-0000-0000E53D0000}"/>
    <cellStyle name="Normal 4 5 2 10 2" xfId="15878" xr:uid="{00000000-0005-0000-0000-0000E63D0000}"/>
    <cellStyle name="Normal 4 5 2 10 3" xfId="15879" xr:uid="{00000000-0005-0000-0000-0000E73D0000}"/>
    <cellStyle name="Normal 4 5 2 10 4" xfId="15880" xr:uid="{00000000-0005-0000-0000-0000E83D0000}"/>
    <cellStyle name="Normal 4 5 2 10 5" xfId="15881" xr:uid="{00000000-0005-0000-0000-0000E93D0000}"/>
    <cellStyle name="Normal 4 5 2 10 6" xfId="15882" xr:uid="{00000000-0005-0000-0000-0000EA3D0000}"/>
    <cellStyle name="Normal 4 5 2 10 7" xfId="15883" xr:uid="{00000000-0005-0000-0000-0000EB3D0000}"/>
    <cellStyle name="Normal 4 5 2 10 8" xfId="15884" xr:uid="{00000000-0005-0000-0000-0000EC3D0000}"/>
    <cellStyle name="Normal 4 5 2 11" xfId="15885" xr:uid="{00000000-0005-0000-0000-0000ED3D0000}"/>
    <cellStyle name="Normal 4 5 2 12" xfId="15886" xr:uid="{00000000-0005-0000-0000-0000EE3D0000}"/>
    <cellStyle name="Normal 4 5 2 13" xfId="15887" xr:uid="{00000000-0005-0000-0000-0000EF3D0000}"/>
    <cellStyle name="Normal 4 5 2 14" xfId="15888" xr:uid="{00000000-0005-0000-0000-0000F03D0000}"/>
    <cellStyle name="Normal 4 5 2 15" xfId="15889" xr:uid="{00000000-0005-0000-0000-0000F13D0000}"/>
    <cellStyle name="Normal 4 5 2 16" xfId="15890" xr:uid="{00000000-0005-0000-0000-0000F23D0000}"/>
    <cellStyle name="Normal 4 5 2 17" xfId="15891" xr:uid="{00000000-0005-0000-0000-0000F33D0000}"/>
    <cellStyle name="Normal 4 5 2 18" xfId="15892" xr:uid="{00000000-0005-0000-0000-0000F43D0000}"/>
    <cellStyle name="Normal 4 5 2 19" xfId="15893" xr:uid="{00000000-0005-0000-0000-0000F53D0000}"/>
    <cellStyle name="Normal 4 5 2 2" xfId="15894" xr:uid="{00000000-0005-0000-0000-0000F63D0000}"/>
    <cellStyle name="Normal 4 5 2 2 2" xfId="15895" xr:uid="{00000000-0005-0000-0000-0000F73D0000}"/>
    <cellStyle name="Normal 4 5 2 2 3" xfId="15896" xr:uid="{00000000-0005-0000-0000-0000F83D0000}"/>
    <cellStyle name="Normal 4 5 2 2 4" xfId="15897" xr:uid="{00000000-0005-0000-0000-0000F93D0000}"/>
    <cellStyle name="Normal 4 5 2 2 5" xfId="15898" xr:uid="{00000000-0005-0000-0000-0000FA3D0000}"/>
    <cellStyle name="Normal 4 5 2 2 6" xfId="15899" xr:uid="{00000000-0005-0000-0000-0000FB3D0000}"/>
    <cellStyle name="Normal 4 5 2 2 7" xfId="15900" xr:uid="{00000000-0005-0000-0000-0000FC3D0000}"/>
    <cellStyle name="Normal 4 5 2 2 8" xfId="15901" xr:uid="{00000000-0005-0000-0000-0000FD3D0000}"/>
    <cellStyle name="Normal 4 5 2 3" xfId="15902" xr:uid="{00000000-0005-0000-0000-0000FE3D0000}"/>
    <cellStyle name="Normal 4 5 2 3 2" xfId="15903" xr:uid="{00000000-0005-0000-0000-0000FF3D0000}"/>
    <cellStyle name="Normal 4 5 2 3 3" xfId="15904" xr:uid="{00000000-0005-0000-0000-0000003E0000}"/>
    <cellStyle name="Normal 4 5 2 3 4" xfId="15905" xr:uid="{00000000-0005-0000-0000-0000013E0000}"/>
    <cellStyle name="Normal 4 5 2 3 5" xfId="15906" xr:uid="{00000000-0005-0000-0000-0000023E0000}"/>
    <cellStyle name="Normal 4 5 2 3 6" xfId="15907" xr:uid="{00000000-0005-0000-0000-0000033E0000}"/>
    <cellStyle name="Normal 4 5 2 3 7" xfId="15908" xr:uid="{00000000-0005-0000-0000-0000043E0000}"/>
    <cellStyle name="Normal 4 5 2 3 8" xfId="15909" xr:uid="{00000000-0005-0000-0000-0000053E0000}"/>
    <cellStyle name="Normal 4 5 2 4" xfId="15910" xr:uid="{00000000-0005-0000-0000-0000063E0000}"/>
    <cellStyle name="Normal 4 5 2 4 2" xfId="15911" xr:uid="{00000000-0005-0000-0000-0000073E0000}"/>
    <cellStyle name="Normal 4 5 2 4 3" xfId="15912" xr:uid="{00000000-0005-0000-0000-0000083E0000}"/>
    <cellStyle name="Normal 4 5 2 4 4" xfId="15913" xr:uid="{00000000-0005-0000-0000-0000093E0000}"/>
    <cellStyle name="Normal 4 5 2 4 5" xfId="15914" xr:uid="{00000000-0005-0000-0000-00000A3E0000}"/>
    <cellStyle name="Normal 4 5 2 4 6" xfId="15915" xr:uid="{00000000-0005-0000-0000-00000B3E0000}"/>
    <cellStyle name="Normal 4 5 2 4 7" xfId="15916" xr:uid="{00000000-0005-0000-0000-00000C3E0000}"/>
    <cellStyle name="Normal 4 5 2 4 8" xfId="15917" xr:uid="{00000000-0005-0000-0000-00000D3E0000}"/>
    <cellStyle name="Normal 4 5 2 5" xfId="15918" xr:uid="{00000000-0005-0000-0000-00000E3E0000}"/>
    <cellStyle name="Normal 4 5 2 5 2" xfId="15919" xr:uid="{00000000-0005-0000-0000-00000F3E0000}"/>
    <cellStyle name="Normal 4 5 2 5 3" xfId="15920" xr:uid="{00000000-0005-0000-0000-0000103E0000}"/>
    <cellStyle name="Normal 4 5 2 5 4" xfId="15921" xr:uid="{00000000-0005-0000-0000-0000113E0000}"/>
    <cellStyle name="Normal 4 5 2 5 5" xfId="15922" xr:uid="{00000000-0005-0000-0000-0000123E0000}"/>
    <cellStyle name="Normal 4 5 2 5 6" xfId="15923" xr:uid="{00000000-0005-0000-0000-0000133E0000}"/>
    <cellStyle name="Normal 4 5 2 5 7" xfId="15924" xr:uid="{00000000-0005-0000-0000-0000143E0000}"/>
    <cellStyle name="Normal 4 5 2 5 8" xfId="15925" xr:uid="{00000000-0005-0000-0000-0000153E0000}"/>
    <cellStyle name="Normal 4 5 2 6" xfId="15926" xr:uid="{00000000-0005-0000-0000-0000163E0000}"/>
    <cellStyle name="Normal 4 5 2 6 2" xfId="15927" xr:uid="{00000000-0005-0000-0000-0000173E0000}"/>
    <cellStyle name="Normal 4 5 2 6 3" xfId="15928" xr:uid="{00000000-0005-0000-0000-0000183E0000}"/>
    <cellStyle name="Normal 4 5 2 6 4" xfId="15929" xr:uid="{00000000-0005-0000-0000-0000193E0000}"/>
    <cellStyle name="Normal 4 5 2 6 5" xfId="15930" xr:uid="{00000000-0005-0000-0000-00001A3E0000}"/>
    <cellStyle name="Normal 4 5 2 6 6" xfId="15931" xr:uid="{00000000-0005-0000-0000-00001B3E0000}"/>
    <cellStyle name="Normal 4 5 2 6 7" xfId="15932" xr:uid="{00000000-0005-0000-0000-00001C3E0000}"/>
    <cellStyle name="Normal 4 5 2 6 8" xfId="15933" xr:uid="{00000000-0005-0000-0000-00001D3E0000}"/>
    <cellStyle name="Normal 4 5 2 7" xfId="15934" xr:uid="{00000000-0005-0000-0000-00001E3E0000}"/>
    <cellStyle name="Normal 4 5 2 7 2" xfId="15935" xr:uid="{00000000-0005-0000-0000-00001F3E0000}"/>
    <cellStyle name="Normal 4 5 2 7 3" xfId="15936" xr:uid="{00000000-0005-0000-0000-0000203E0000}"/>
    <cellStyle name="Normal 4 5 2 7 4" xfId="15937" xr:uid="{00000000-0005-0000-0000-0000213E0000}"/>
    <cellStyle name="Normal 4 5 2 7 5" xfId="15938" xr:uid="{00000000-0005-0000-0000-0000223E0000}"/>
    <cellStyle name="Normal 4 5 2 7 6" xfId="15939" xr:uid="{00000000-0005-0000-0000-0000233E0000}"/>
    <cellStyle name="Normal 4 5 2 7 7" xfId="15940" xr:uid="{00000000-0005-0000-0000-0000243E0000}"/>
    <cellStyle name="Normal 4 5 2 7 8" xfId="15941" xr:uid="{00000000-0005-0000-0000-0000253E0000}"/>
    <cellStyle name="Normal 4 5 2 8" xfId="15942" xr:uid="{00000000-0005-0000-0000-0000263E0000}"/>
    <cellStyle name="Normal 4 5 2 8 2" xfId="15943" xr:uid="{00000000-0005-0000-0000-0000273E0000}"/>
    <cellStyle name="Normal 4 5 2 8 3" xfId="15944" xr:uid="{00000000-0005-0000-0000-0000283E0000}"/>
    <cellStyle name="Normal 4 5 2 8 4" xfId="15945" xr:uid="{00000000-0005-0000-0000-0000293E0000}"/>
    <cellStyle name="Normal 4 5 2 8 5" xfId="15946" xr:uid="{00000000-0005-0000-0000-00002A3E0000}"/>
    <cellStyle name="Normal 4 5 2 8 6" xfId="15947" xr:uid="{00000000-0005-0000-0000-00002B3E0000}"/>
    <cellStyle name="Normal 4 5 2 8 7" xfId="15948" xr:uid="{00000000-0005-0000-0000-00002C3E0000}"/>
    <cellStyle name="Normal 4 5 2 8 8" xfId="15949" xr:uid="{00000000-0005-0000-0000-00002D3E0000}"/>
    <cellStyle name="Normal 4 5 2 9" xfId="15950" xr:uid="{00000000-0005-0000-0000-00002E3E0000}"/>
    <cellStyle name="Normal 4 5 2 9 2" xfId="15951" xr:uid="{00000000-0005-0000-0000-00002F3E0000}"/>
    <cellStyle name="Normal 4 5 2 9 3" xfId="15952" xr:uid="{00000000-0005-0000-0000-0000303E0000}"/>
    <cellStyle name="Normal 4 5 2 9 4" xfId="15953" xr:uid="{00000000-0005-0000-0000-0000313E0000}"/>
    <cellStyle name="Normal 4 5 2 9 5" xfId="15954" xr:uid="{00000000-0005-0000-0000-0000323E0000}"/>
    <cellStyle name="Normal 4 5 2 9 6" xfId="15955" xr:uid="{00000000-0005-0000-0000-0000333E0000}"/>
    <cellStyle name="Normal 4 5 2 9 7" xfId="15956" xr:uid="{00000000-0005-0000-0000-0000343E0000}"/>
    <cellStyle name="Normal 4 5 2 9 8" xfId="15957" xr:uid="{00000000-0005-0000-0000-0000353E0000}"/>
    <cellStyle name="Normal 4 5 20" xfId="15958" xr:uid="{00000000-0005-0000-0000-0000363E0000}"/>
    <cellStyle name="Normal 4 5 3" xfId="15959" xr:uid="{00000000-0005-0000-0000-0000373E0000}"/>
    <cellStyle name="Normal 4 5 3 10" xfId="15960" xr:uid="{00000000-0005-0000-0000-0000383E0000}"/>
    <cellStyle name="Normal 4 5 3 2" xfId="15961" xr:uid="{00000000-0005-0000-0000-0000393E0000}"/>
    <cellStyle name="Normal 4 5 3 3" xfId="15962" xr:uid="{00000000-0005-0000-0000-00003A3E0000}"/>
    <cellStyle name="Normal 4 5 3 4" xfId="15963" xr:uid="{00000000-0005-0000-0000-00003B3E0000}"/>
    <cellStyle name="Normal 4 5 3 5" xfId="15964" xr:uid="{00000000-0005-0000-0000-00003C3E0000}"/>
    <cellStyle name="Normal 4 5 3 6" xfId="15965" xr:uid="{00000000-0005-0000-0000-00003D3E0000}"/>
    <cellStyle name="Normal 4 5 3 7" xfId="15966" xr:uid="{00000000-0005-0000-0000-00003E3E0000}"/>
    <cellStyle name="Normal 4 5 3 8" xfId="15967" xr:uid="{00000000-0005-0000-0000-00003F3E0000}"/>
    <cellStyle name="Normal 4 5 3 9" xfId="15968" xr:uid="{00000000-0005-0000-0000-0000403E0000}"/>
    <cellStyle name="Normal 4 5 4" xfId="15969" xr:uid="{00000000-0005-0000-0000-0000413E0000}"/>
    <cellStyle name="Normal 4 5 4 10" xfId="15970" xr:uid="{00000000-0005-0000-0000-0000423E0000}"/>
    <cellStyle name="Normal 4 5 4 2" xfId="15971" xr:uid="{00000000-0005-0000-0000-0000433E0000}"/>
    <cellStyle name="Normal 4 5 4 3" xfId="15972" xr:uid="{00000000-0005-0000-0000-0000443E0000}"/>
    <cellStyle name="Normal 4 5 4 4" xfId="15973" xr:uid="{00000000-0005-0000-0000-0000453E0000}"/>
    <cellStyle name="Normal 4 5 4 5" xfId="15974" xr:uid="{00000000-0005-0000-0000-0000463E0000}"/>
    <cellStyle name="Normal 4 5 4 6" xfId="15975" xr:uid="{00000000-0005-0000-0000-0000473E0000}"/>
    <cellStyle name="Normal 4 5 4 7" xfId="15976" xr:uid="{00000000-0005-0000-0000-0000483E0000}"/>
    <cellStyle name="Normal 4 5 4 8" xfId="15977" xr:uid="{00000000-0005-0000-0000-0000493E0000}"/>
    <cellStyle name="Normal 4 5 4 9" xfId="15978" xr:uid="{00000000-0005-0000-0000-00004A3E0000}"/>
    <cellStyle name="Normal 4 5 5" xfId="15979" xr:uid="{00000000-0005-0000-0000-00004B3E0000}"/>
    <cellStyle name="Normal 4 5 5 2" xfId="15980" xr:uid="{00000000-0005-0000-0000-00004C3E0000}"/>
    <cellStyle name="Normal 4 5 5 3" xfId="15981" xr:uid="{00000000-0005-0000-0000-00004D3E0000}"/>
    <cellStyle name="Normal 4 5 5 4" xfId="15982" xr:uid="{00000000-0005-0000-0000-00004E3E0000}"/>
    <cellStyle name="Normal 4 5 5 5" xfId="15983" xr:uid="{00000000-0005-0000-0000-00004F3E0000}"/>
    <cellStyle name="Normal 4 5 5 6" xfId="15984" xr:uid="{00000000-0005-0000-0000-0000503E0000}"/>
    <cellStyle name="Normal 4 5 5 7" xfId="15985" xr:uid="{00000000-0005-0000-0000-0000513E0000}"/>
    <cellStyle name="Normal 4 5 5 8" xfId="15986" xr:uid="{00000000-0005-0000-0000-0000523E0000}"/>
    <cellStyle name="Normal 4 5 6" xfId="15987" xr:uid="{00000000-0005-0000-0000-0000533E0000}"/>
    <cellStyle name="Normal 4 5 6 2" xfId="15988" xr:uid="{00000000-0005-0000-0000-0000543E0000}"/>
    <cellStyle name="Normal 4 5 6 3" xfId="15989" xr:uid="{00000000-0005-0000-0000-0000553E0000}"/>
    <cellStyle name="Normal 4 5 6 4" xfId="15990" xr:uid="{00000000-0005-0000-0000-0000563E0000}"/>
    <cellStyle name="Normal 4 5 6 5" xfId="15991" xr:uid="{00000000-0005-0000-0000-0000573E0000}"/>
    <cellStyle name="Normal 4 5 6 6" xfId="15992" xr:uid="{00000000-0005-0000-0000-0000583E0000}"/>
    <cellStyle name="Normal 4 5 6 7" xfId="15993" xr:uid="{00000000-0005-0000-0000-0000593E0000}"/>
    <cellStyle name="Normal 4 5 6 8" xfId="15994" xr:uid="{00000000-0005-0000-0000-00005A3E0000}"/>
    <cellStyle name="Normal 4 5 7" xfId="15995" xr:uid="{00000000-0005-0000-0000-00005B3E0000}"/>
    <cellStyle name="Normal 4 5 7 2" xfId="15996" xr:uid="{00000000-0005-0000-0000-00005C3E0000}"/>
    <cellStyle name="Normal 4 5 7 3" xfId="15997" xr:uid="{00000000-0005-0000-0000-00005D3E0000}"/>
    <cellStyle name="Normal 4 5 7 4" xfId="15998" xr:uid="{00000000-0005-0000-0000-00005E3E0000}"/>
    <cellStyle name="Normal 4 5 7 5" xfId="15999" xr:uid="{00000000-0005-0000-0000-00005F3E0000}"/>
    <cellStyle name="Normal 4 5 7 6" xfId="16000" xr:uid="{00000000-0005-0000-0000-0000603E0000}"/>
    <cellStyle name="Normal 4 5 7 7" xfId="16001" xr:uid="{00000000-0005-0000-0000-0000613E0000}"/>
    <cellStyle name="Normal 4 5 7 8" xfId="16002" xr:uid="{00000000-0005-0000-0000-0000623E0000}"/>
    <cellStyle name="Normal 4 5 8" xfId="16003" xr:uid="{00000000-0005-0000-0000-0000633E0000}"/>
    <cellStyle name="Normal 4 5 8 2" xfId="16004" xr:uid="{00000000-0005-0000-0000-0000643E0000}"/>
    <cellStyle name="Normal 4 5 8 3" xfId="16005" xr:uid="{00000000-0005-0000-0000-0000653E0000}"/>
    <cellStyle name="Normal 4 5 8 4" xfId="16006" xr:uid="{00000000-0005-0000-0000-0000663E0000}"/>
    <cellStyle name="Normal 4 5 8 5" xfId="16007" xr:uid="{00000000-0005-0000-0000-0000673E0000}"/>
    <cellStyle name="Normal 4 5 8 6" xfId="16008" xr:uid="{00000000-0005-0000-0000-0000683E0000}"/>
    <cellStyle name="Normal 4 5 8 7" xfId="16009" xr:uid="{00000000-0005-0000-0000-0000693E0000}"/>
    <cellStyle name="Normal 4 5 8 8" xfId="16010" xr:uid="{00000000-0005-0000-0000-00006A3E0000}"/>
    <cellStyle name="Normal 4 5 9" xfId="16011" xr:uid="{00000000-0005-0000-0000-00006B3E0000}"/>
    <cellStyle name="Normal 4 5 9 2" xfId="16012" xr:uid="{00000000-0005-0000-0000-00006C3E0000}"/>
    <cellStyle name="Normal 4 5 9 3" xfId="16013" xr:uid="{00000000-0005-0000-0000-00006D3E0000}"/>
    <cellStyle name="Normal 4 5 9 4" xfId="16014" xr:uid="{00000000-0005-0000-0000-00006E3E0000}"/>
    <cellStyle name="Normal 4 5 9 5" xfId="16015" xr:uid="{00000000-0005-0000-0000-00006F3E0000}"/>
    <cellStyle name="Normal 4 5 9 6" xfId="16016" xr:uid="{00000000-0005-0000-0000-0000703E0000}"/>
    <cellStyle name="Normal 4 5 9 7" xfId="16017" xr:uid="{00000000-0005-0000-0000-0000713E0000}"/>
    <cellStyle name="Normal 4 5 9 8" xfId="16018" xr:uid="{00000000-0005-0000-0000-0000723E0000}"/>
    <cellStyle name="Normal 4 5_b.t road-crr estimate" xfId="16019" xr:uid="{00000000-0005-0000-0000-0000733E0000}"/>
    <cellStyle name="Normal 4 50" xfId="16020" xr:uid="{00000000-0005-0000-0000-0000743E0000}"/>
    <cellStyle name="Normal 4 50 2" xfId="16021" xr:uid="{00000000-0005-0000-0000-0000753E0000}"/>
    <cellStyle name="Normal 4 51" xfId="16022" xr:uid="{00000000-0005-0000-0000-0000763E0000}"/>
    <cellStyle name="Normal 4 51 2" xfId="16023" xr:uid="{00000000-0005-0000-0000-0000773E0000}"/>
    <cellStyle name="Normal 4 52" xfId="16024" xr:uid="{00000000-0005-0000-0000-0000783E0000}"/>
    <cellStyle name="Normal 4 52 2" xfId="16025" xr:uid="{00000000-0005-0000-0000-0000793E0000}"/>
    <cellStyle name="Normal 4 53" xfId="16026" xr:uid="{00000000-0005-0000-0000-00007A3E0000}"/>
    <cellStyle name="Normal 4 53 2" xfId="16027" xr:uid="{00000000-0005-0000-0000-00007B3E0000}"/>
    <cellStyle name="Normal 4 54" xfId="16028" xr:uid="{00000000-0005-0000-0000-00007C3E0000}"/>
    <cellStyle name="Normal 4 54 2" xfId="16029" xr:uid="{00000000-0005-0000-0000-00007D3E0000}"/>
    <cellStyle name="Normal 4 55" xfId="16030" xr:uid="{00000000-0005-0000-0000-00007E3E0000}"/>
    <cellStyle name="Normal 4 55 2" xfId="16031" xr:uid="{00000000-0005-0000-0000-00007F3E0000}"/>
    <cellStyle name="Normal 4 56" xfId="16032" xr:uid="{00000000-0005-0000-0000-0000803E0000}"/>
    <cellStyle name="Normal 4 56 2" xfId="16033" xr:uid="{00000000-0005-0000-0000-0000813E0000}"/>
    <cellStyle name="Normal 4 57" xfId="16034" xr:uid="{00000000-0005-0000-0000-0000823E0000}"/>
    <cellStyle name="Normal 4 57 2" xfId="16035" xr:uid="{00000000-0005-0000-0000-0000833E0000}"/>
    <cellStyle name="Normal 4 58" xfId="16036" xr:uid="{00000000-0005-0000-0000-0000843E0000}"/>
    <cellStyle name="Normal 4 58 2" xfId="16037" xr:uid="{00000000-0005-0000-0000-0000853E0000}"/>
    <cellStyle name="Normal 4 59" xfId="16038" xr:uid="{00000000-0005-0000-0000-0000863E0000}"/>
    <cellStyle name="Normal 4 6" xfId="16039" xr:uid="{00000000-0005-0000-0000-0000873E0000}"/>
    <cellStyle name="Normal 4 6 10" xfId="16040" xr:uid="{00000000-0005-0000-0000-0000883E0000}"/>
    <cellStyle name="Normal 4 6 2" xfId="16041" xr:uid="{00000000-0005-0000-0000-0000893E0000}"/>
    <cellStyle name="Normal 4 6 2 2" xfId="16042" xr:uid="{00000000-0005-0000-0000-00008A3E0000}"/>
    <cellStyle name="Normal 4 6 2 3" xfId="16043" xr:uid="{00000000-0005-0000-0000-00008B3E0000}"/>
    <cellStyle name="Normal 4 6 3" xfId="16044" xr:uid="{00000000-0005-0000-0000-00008C3E0000}"/>
    <cellStyle name="Normal 4 6 4" xfId="16045" xr:uid="{00000000-0005-0000-0000-00008D3E0000}"/>
    <cellStyle name="Normal 4 6 5" xfId="16046" xr:uid="{00000000-0005-0000-0000-00008E3E0000}"/>
    <cellStyle name="Normal 4 6 6" xfId="16047" xr:uid="{00000000-0005-0000-0000-00008F3E0000}"/>
    <cellStyle name="Normal 4 6 7" xfId="16048" xr:uid="{00000000-0005-0000-0000-0000903E0000}"/>
    <cellStyle name="Normal 4 6 8" xfId="16049" xr:uid="{00000000-0005-0000-0000-0000913E0000}"/>
    <cellStyle name="Normal 4 6 9" xfId="16050" xr:uid="{00000000-0005-0000-0000-0000923E0000}"/>
    <cellStyle name="Normal 4 60" xfId="16051" xr:uid="{00000000-0005-0000-0000-0000933E0000}"/>
    <cellStyle name="Normal 4 61" xfId="16052" xr:uid="{00000000-0005-0000-0000-0000943E0000}"/>
    <cellStyle name="Normal 4 61 2" xfId="16053" xr:uid="{00000000-0005-0000-0000-0000953E0000}"/>
    <cellStyle name="Normal 4 62" xfId="16054" xr:uid="{00000000-0005-0000-0000-0000963E0000}"/>
    <cellStyle name="Normal 4 62 2" xfId="16055" xr:uid="{00000000-0005-0000-0000-0000973E0000}"/>
    <cellStyle name="Normal 4 63" xfId="16056" xr:uid="{00000000-0005-0000-0000-0000983E0000}"/>
    <cellStyle name="Normal 4 63 2" xfId="16057" xr:uid="{00000000-0005-0000-0000-0000993E0000}"/>
    <cellStyle name="Normal 4 64" xfId="16058" xr:uid="{00000000-0005-0000-0000-00009A3E0000}"/>
    <cellStyle name="Normal 4 64 2" xfId="16059" xr:uid="{00000000-0005-0000-0000-00009B3E0000}"/>
    <cellStyle name="Normal 4 65" xfId="16060" xr:uid="{00000000-0005-0000-0000-00009C3E0000}"/>
    <cellStyle name="Normal 4 65 2" xfId="16061" xr:uid="{00000000-0005-0000-0000-00009D3E0000}"/>
    <cellStyle name="Normal 4 66" xfId="16062" xr:uid="{00000000-0005-0000-0000-00009E3E0000}"/>
    <cellStyle name="Normal 4 67" xfId="16063" xr:uid="{00000000-0005-0000-0000-00009F3E0000}"/>
    <cellStyle name="Normal 4 68" xfId="16064" xr:uid="{00000000-0005-0000-0000-0000A03E0000}"/>
    <cellStyle name="Normal 4 69" xfId="16065" xr:uid="{00000000-0005-0000-0000-0000A13E0000}"/>
    <cellStyle name="Normal 4 7" xfId="16066" xr:uid="{00000000-0005-0000-0000-0000A23E0000}"/>
    <cellStyle name="Normal 4 7 2" xfId="16067" xr:uid="{00000000-0005-0000-0000-0000A33E0000}"/>
    <cellStyle name="Normal 4 7 3" xfId="16068" xr:uid="{00000000-0005-0000-0000-0000A43E0000}"/>
    <cellStyle name="Normal 4 7 4" xfId="16069" xr:uid="{00000000-0005-0000-0000-0000A53E0000}"/>
    <cellStyle name="Normal 4 70" xfId="16070" xr:uid="{00000000-0005-0000-0000-0000A63E0000}"/>
    <cellStyle name="Normal 4 8" xfId="16071" xr:uid="{00000000-0005-0000-0000-0000A73E0000}"/>
    <cellStyle name="Normal 4 8 2" xfId="16072" xr:uid="{00000000-0005-0000-0000-0000A83E0000}"/>
    <cellStyle name="Normal 4 8 3" xfId="16073" xr:uid="{00000000-0005-0000-0000-0000A93E0000}"/>
    <cellStyle name="Normal 4 8 4" xfId="16074" xr:uid="{00000000-0005-0000-0000-0000AA3E0000}"/>
    <cellStyle name="Normal 4 9" xfId="16075" xr:uid="{00000000-0005-0000-0000-0000AB3E0000}"/>
    <cellStyle name="Normal 4 9 2" xfId="16076" xr:uid="{00000000-0005-0000-0000-0000AC3E0000}"/>
    <cellStyle name="Normal 4 9 2 2" xfId="16077" xr:uid="{00000000-0005-0000-0000-0000AD3E0000}"/>
    <cellStyle name="Normal 4 9 3" xfId="16078" xr:uid="{00000000-0005-0000-0000-0000AE3E0000}"/>
    <cellStyle name="Normal 4 9 4" xfId="16079" xr:uid="{00000000-0005-0000-0000-0000AF3E0000}"/>
    <cellStyle name="Normal 4 9 5" xfId="16080" xr:uid="{00000000-0005-0000-0000-0000B03E0000}"/>
    <cellStyle name="Normal 4 9 6" xfId="16081" xr:uid="{00000000-0005-0000-0000-0000B13E0000}"/>
    <cellStyle name="Normal 4_14-15 Datas Final 23.11.14.xls 14.05.2015" xfId="16082" xr:uid="{00000000-0005-0000-0000-0000B23E0000}"/>
    <cellStyle name="Normal 40" xfId="16083" xr:uid="{00000000-0005-0000-0000-0000B33E0000}"/>
    <cellStyle name="Normal 40 2" xfId="16084" xr:uid="{00000000-0005-0000-0000-0000B43E0000}"/>
    <cellStyle name="Normal 40 2 2" xfId="16085" xr:uid="{00000000-0005-0000-0000-0000B53E0000}"/>
    <cellStyle name="Normal 40 2 3" xfId="16086" xr:uid="{00000000-0005-0000-0000-0000B63E0000}"/>
    <cellStyle name="Normal 40 3" xfId="16087" xr:uid="{00000000-0005-0000-0000-0000B73E0000}"/>
    <cellStyle name="Normal 40 3 2" xfId="16088" xr:uid="{00000000-0005-0000-0000-0000B83E0000}"/>
    <cellStyle name="Normal 40 3 2 2" xfId="16089" xr:uid="{00000000-0005-0000-0000-0000B93E0000}"/>
    <cellStyle name="Normal 40 3 3" xfId="16090" xr:uid="{00000000-0005-0000-0000-0000BA3E0000}"/>
    <cellStyle name="Normal 40 3 4" xfId="16091" xr:uid="{00000000-0005-0000-0000-0000BB3E0000}"/>
    <cellStyle name="Normal 40 4" xfId="16092" xr:uid="{00000000-0005-0000-0000-0000BC3E0000}"/>
    <cellStyle name="Normal 40 4 2" xfId="16093" xr:uid="{00000000-0005-0000-0000-0000BD3E0000}"/>
    <cellStyle name="Normal 40 4 3" xfId="16094" xr:uid="{00000000-0005-0000-0000-0000BE3E0000}"/>
    <cellStyle name="Normal 40 5" xfId="16095" xr:uid="{00000000-0005-0000-0000-0000BF3E0000}"/>
    <cellStyle name="Normal 40 5 2" xfId="16096" xr:uid="{00000000-0005-0000-0000-0000C03E0000}"/>
    <cellStyle name="Normal 40 5 3" xfId="16097" xr:uid="{00000000-0005-0000-0000-0000C13E0000}"/>
    <cellStyle name="Normal 40 6" xfId="16098" xr:uid="{00000000-0005-0000-0000-0000C23E0000}"/>
    <cellStyle name="Normal 40 6 2" xfId="16099" xr:uid="{00000000-0005-0000-0000-0000C33E0000}"/>
    <cellStyle name="Normal 40 6 3" xfId="16100" xr:uid="{00000000-0005-0000-0000-0000C43E0000}"/>
    <cellStyle name="Normal 40 7" xfId="16101" xr:uid="{00000000-0005-0000-0000-0000C53E0000}"/>
    <cellStyle name="Normal 40 8" xfId="16102" xr:uid="{00000000-0005-0000-0000-0000C63E0000}"/>
    <cellStyle name="Normal 40 9" xfId="16103" xr:uid="{00000000-0005-0000-0000-0000C73E0000}"/>
    <cellStyle name="Normal 41" xfId="16104" xr:uid="{00000000-0005-0000-0000-0000C83E0000}"/>
    <cellStyle name="Normal 41 2" xfId="16105" xr:uid="{00000000-0005-0000-0000-0000C93E0000}"/>
    <cellStyle name="Normal 41 2 2" xfId="16106" xr:uid="{00000000-0005-0000-0000-0000CA3E0000}"/>
    <cellStyle name="Normal 41 2 3" xfId="16107" xr:uid="{00000000-0005-0000-0000-0000CB3E0000}"/>
    <cellStyle name="Normal 41 2 4" xfId="16108" xr:uid="{00000000-0005-0000-0000-0000CC3E0000}"/>
    <cellStyle name="Normal 41 3" xfId="16109" xr:uid="{00000000-0005-0000-0000-0000CD3E0000}"/>
    <cellStyle name="Normal 41 3 2" xfId="16110" xr:uid="{00000000-0005-0000-0000-0000CE3E0000}"/>
    <cellStyle name="Normal 41 3 3" xfId="16111" xr:uid="{00000000-0005-0000-0000-0000CF3E0000}"/>
    <cellStyle name="Normal 41 4" xfId="16112" xr:uid="{00000000-0005-0000-0000-0000D03E0000}"/>
    <cellStyle name="Normal 41 4 2" xfId="16113" xr:uid="{00000000-0005-0000-0000-0000D13E0000}"/>
    <cellStyle name="Normal 41 5" xfId="16114" xr:uid="{00000000-0005-0000-0000-0000D23E0000}"/>
    <cellStyle name="Normal 41 6" xfId="16115" xr:uid="{00000000-0005-0000-0000-0000D33E0000}"/>
    <cellStyle name="Normal 41 7" xfId="16116" xr:uid="{00000000-0005-0000-0000-0000D43E0000}"/>
    <cellStyle name="Normal 41 8" xfId="16117" xr:uid="{00000000-0005-0000-0000-0000D53E0000}"/>
    <cellStyle name="Normal 42" xfId="16118" xr:uid="{00000000-0005-0000-0000-0000D63E0000}"/>
    <cellStyle name="Normal 42 2" xfId="16119" xr:uid="{00000000-0005-0000-0000-0000D73E0000}"/>
    <cellStyle name="Normal 42 2 2" xfId="16120" xr:uid="{00000000-0005-0000-0000-0000D83E0000}"/>
    <cellStyle name="Normal 42 2 3" xfId="16121" xr:uid="{00000000-0005-0000-0000-0000D93E0000}"/>
    <cellStyle name="Normal 42 3" xfId="16122" xr:uid="{00000000-0005-0000-0000-0000DA3E0000}"/>
    <cellStyle name="Normal 42 3 2" xfId="16123" xr:uid="{00000000-0005-0000-0000-0000DB3E0000}"/>
    <cellStyle name="Normal 42 3 3" xfId="16124" xr:uid="{00000000-0005-0000-0000-0000DC3E0000}"/>
    <cellStyle name="Normal 42 4" xfId="16125" xr:uid="{00000000-0005-0000-0000-0000DD3E0000}"/>
    <cellStyle name="Normal 42 4 2" xfId="16126" xr:uid="{00000000-0005-0000-0000-0000DE3E0000}"/>
    <cellStyle name="Normal 42 4 3" xfId="16127" xr:uid="{00000000-0005-0000-0000-0000DF3E0000}"/>
    <cellStyle name="Normal 42 5" xfId="16128" xr:uid="{00000000-0005-0000-0000-0000E03E0000}"/>
    <cellStyle name="Normal 42 5 2" xfId="16129" xr:uid="{00000000-0005-0000-0000-0000E13E0000}"/>
    <cellStyle name="Normal 42 5 3" xfId="16130" xr:uid="{00000000-0005-0000-0000-0000E23E0000}"/>
    <cellStyle name="Normal 42 6" xfId="16131" xr:uid="{00000000-0005-0000-0000-0000E33E0000}"/>
    <cellStyle name="Normal 42 7" xfId="16132" xr:uid="{00000000-0005-0000-0000-0000E43E0000}"/>
    <cellStyle name="Normal 42 8" xfId="16133" xr:uid="{00000000-0005-0000-0000-0000E53E0000}"/>
    <cellStyle name="Normal 42 9" xfId="16134" xr:uid="{00000000-0005-0000-0000-0000E63E0000}"/>
    <cellStyle name="Normal 43" xfId="16135" xr:uid="{00000000-0005-0000-0000-0000E73E0000}"/>
    <cellStyle name="Normal 43 10" xfId="16136" xr:uid="{00000000-0005-0000-0000-0000E83E0000}"/>
    <cellStyle name="Normal 43 11" xfId="16137" xr:uid="{00000000-0005-0000-0000-0000E93E0000}"/>
    <cellStyle name="Normal 43 2" xfId="16138" xr:uid="{00000000-0005-0000-0000-0000EA3E0000}"/>
    <cellStyle name="Normal 43 2 2" xfId="16139" xr:uid="{00000000-0005-0000-0000-0000EB3E0000}"/>
    <cellStyle name="Normal 43 2 2 2" xfId="16140" xr:uid="{00000000-0005-0000-0000-0000EC3E0000}"/>
    <cellStyle name="Normal 43 2 3" xfId="16141" xr:uid="{00000000-0005-0000-0000-0000ED3E0000}"/>
    <cellStyle name="Normal 43 2 4" xfId="16142" xr:uid="{00000000-0005-0000-0000-0000EE3E0000}"/>
    <cellStyle name="Normal 43 3" xfId="16143" xr:uid="{00000000-0005-0000-0000-0000EF3E0000}"/>
    <cellStyle name="Normal 43 3 2" xfId="16144" xr:uid="{00000000-0005-0000-0000-0000F03E0000}"/>
    <cellStyle name="Normal 43 3 3" xfId="16145" xr:uid="{00000000-0005-0000-0000-0000F13E0000}"/>
    <cellStyle name="Normal 43 4" xfId="16146" xr:uid="{00000000-0005-0000-0000-0000F23E0000}"/>
    <cellStyle name="Normal 43 4 2" xfId="16147" xr:uid="{00000000-0005-0000-0000-0000F33E0000}"/>
    <cellStyle name="Normal 43 5" xfId="16148" xr:uid="{00000000-0005-0000-0000-0000F43E0000}"/>
    <cellStyle name="Normal 43 6" xfId="16149" xr:uid="{00000000-0005-0000-0000-0000F53E0000}"/>
    <cellStyle name="Normal 43 7" xfId="16150" xr:uid="{00000000-0005-0000-0000-0000F63E0000}"/>
    <cellStyle name="Normal 43 8" xfId="16151" xr:uid="{00000000-0005-0000-0000-0000F73E0000}"/>
    <cellStyle name="Normal 43 9" xfId="16152" xr:uid="{00000000-0005-0000-0000-0000F83E0000}"/>
    <cellStyle name="Normal 44" xfId="16153" xr:uid="{00000000-0005-0000-0000-0000F93E0000}"/>
    <cellStyle name="Normal 44 10" xfId="16154" xr:uid="{00000000-0005-0000-0000-0000FA3E0000}"/>
    <cellStyle name="Normal 44 2" xfId="16155" xr:uid="{00000000-0005-0000-0000-0000FB3E0000}"/>
    <cellStyle name="Normal 44 2 2" xfId="16156" xr:uid="{00000000-0005-0000-0000-0000FC3E0000}"/>
    <cellStyle name="Normal 44 2 3" xfId="16157" xr:uid="{00000000-0005-0000-0000-0000FD3E0000}"/>
    <cellStyle name="Normal 44 2 4" xfId="16158" xr:uid="{00000000-0005-0000-0000-0000FE3E0000}"/>
    <cellStyle name="Normal 44 3" xfId="16159" xr:uid="{00000000-0005-0000-0000-0000FF3E0000}"/>
    <cellStyle name="Normal 44 3 2" xfId="16160" xr:uid="{00000000-0005-0000-0000-0000003F0000}"/>
    <cellStyle name="Normal 44 3 3" xfId="16161" xr:uid="{00000000-0005-0000-0000-0000013F0000}"/>
    <cellStyle name="Normal 44 4" xfId="16162" xr:uid="{00000000-0005-0000-0000-0000023F0000}"/>
    <cellStyle name="Normal 44 4 2" xfId="16163" xr:uid="{00000000-0005-0000-0000-0000033F0000}"/>
    <cellStyle name="Normal 44 4 3" xfId="16164" xr:uid="{00000000-0005-0000-0000-0000043F0000}"/>
    <cellStyle name="Normal 44 5" xfId="16165" xr:uid="{00000000-0005-0000-0000-0000053F0000}"/>
    <cellStyle name="Normal 44 6" xfId="16166" xr:uid="{00000000-0005-0000-0000-0000063F0000}"/>
    <cellStyle name="Normal 44 7" xfId="16167" xr:uid="{00000000-0005-0000-0000-0000073F0000}"/>
    <cellStyle name="Normal 44 8" xfId="16168" xr:uid="{00000000-0005-0000-0000-0000083F0000}"/>
    <cellStyle name="Normal 44 9" xfId="16169" xr:uid="{00000000-0005-0000-0000-0000093F0000}"/>
    <cellStyle name="Normal 45" xfId="16170" xr:uid="{00000000-0005-0000-0000-00000A3F0000}"/>
    <cellStyle name="Normal 45 10" xfId="16171" xr:uid="{00000000-0005-0000-0000-00000B3F0000}"/>
    <cellStyle name="Normal 45 11" xfId="16172" xr:uid="{00000000-0005-0000-0000-00000C3F0000}"/>
    <cellStyle name="Normal 45 2" xfId="16173" xr:uid="{00000000-0005-0000-0000-00000D3F0000}"/>
    <cellStyle name="Normal 45 2 2" xfId="16174" xr:uid="{00000000-0005-0000-0000-00000E3F0000}"/>
    <cellStyle name="Normal 45 2 3" xfId="16175" xr:uid="{00000000-0005-0000-0000-00000F3F0000}"/>
    <cellStyle name="Normal 45 3" xfId="16176" xr:uid="{00000000-0005-0000-0000-0000103F0000}"/>
    <cellStyle name="Normal 45 3 2" xfId="16177" xr:uid="{00000000-0005-0000-0000-0000113F0000}"/>
    <cellStyle name="Normal 45 3 3" xfId="16178" xr:uid="{00000000-0005-0000-0000-0000123F0000}"/>
    <cellStyle name="Normal 45 4" xfId="16179" xr:uid="{00000000-0005-0000-0000-0000133F0000}"/>
    <cellStyle name="Normal 45 4 2" xfId="16180" xr:uid="{00000000-0005-0000-0000-0000143F0000}"/>
    <cellStyle name="Normal 45 4 3" xfId="16181" xr:uid="{00000000-0005-0000-0000-0000153F0000}"/>
    <cellStyle name="Normal 45 5" xfId="16182" xr:uid="{00000000-0005-0000-0000-0000163F0000}"/>
    <cellStyle name="Normal 45 6" xfId="16183" xr:uid="{00000000-0005-0000-0000-0000173F0000}"/>
    <cellStyle name="Normal 45 7" xfId="16184" xr:uid="{00000000-0005-0000-0000-0000183F0000}"/>
    <cellStyle name="Normal 45 8" xfId="16185" xr:uid="{00000000-0005-0000-0000-0000193F0000}"/>
    <cellStyle name="Normal 45 9" xfId="16186" xr:uid="{00000000-0005-0000-0000-00001A3F0000}"/>
    <cellStyle name="Normal 46" xfId="16187" xr:uid="{00000000-0005-0000-0000-00001B3F0000}"/>
    <cellStyle name="Normal 46 10" xfId="16188" xr:uid="{00000000-0005-0000-0000-00001C3F0000}"/>
    <cellStyle name="Normal 46 11" xfId="16189" xr:uid="{00000000-0005-0000-0000-00001D3F0000}"/>
    <cellStyle name="Normal 46 2" xfId="16190" xr:uid="{00000000-0005-0000-0000-00001E3F0000}"/>
    <cellStyle name="Normal 46 2 2" xfId="16191" xr:uid="{00000000-0005-0000-0000-00001F3F0000}"/>
    <cellStyle name="Normal 46 3" xfId="16192" xr:uid="{00000000-0005-0000-0000-0000203F0000}"/>
    <cellStyle name="Normal 46 3 2" xfId="16193" xr:uid="{00000000-0005-0000-0000-0000213F0000}"/>
    <cellStyle name="Normal 46 3 3" xfId="16194" xr:uid="{00000000-0005-0000-0000-0000223F0000}"/>
    <cellStyle name="Normal 46 4" xfId="16195" xr:uid="{00000000-0005-0000-0000-0000233F0000}"/>
    <cellStyle name="Normal 46 5" xfId="16196" xr:uid="{00000000-0005-0000-0000-0000243F0000}"/>
    <cellStyle name="Normal 46 6" xfId="16197" xr:uid="{00000000-0005-0000-0000-0000253F0000}"/>
    <cellStyle name="Normal 46 7" xfId="16198" xr:uid="{00000000-0005-0000-0000-0000263F0000}"/>
    <cellStyle name="Normal 46 8" xfId="16199" xr:uid="{00000000-0005-0000-0000-0000273F0000}"/>
    <cellStyle name="Normal 46 9" xfId="16200" xr:uid="{00000000-0005-0000-0000-0000283F0000}"/>
    <cellStyle name="Normal 47" xfId="16201" xr:uid="{00000000-0005-0000-0000-0000293F0000}"/>
    <cellStyle name="Normal 47 10" xfId="16202" xr:uid="{00000000-0005-0000-0000-00002A3F0000}"/>
    <cellStyle name="Normal 47 11" xfId="16203" xr:uid="{00000000-0005-0000-0000-00002B3F0000}"/>
    <cellStyle name="Normal 47 2" xfId="16204" xr:uid="{00000000-0005-0000-0000-00002C3F0000}"/>
    <cellStyle name="Normal 47 2 2" xfId="16205" xr:uid="{00000000-0005-0000-0000-00002D3F0000}"/>
    <cellStyle name="Normal 47 2 3" xfId="16206" xr:uid="{00000000-0005-0000-0000-00002E3F0000}"/>
    <cellStyle name="Normal 47 3" xfId="16207" xr:uid="{00000000-0005-0000-0000-00002F3F0000}"/>
    <cellStyle name="Normal 47 3 2" xfId="16208" xr:uid="{00000000-0005-0000-0000-0000303F0000}"/>
    <cellStyle name="Normal 47 3 3" xfId="16209" xr:uid="{00000000-0005-0000-0000-0000313F0000}"/>
    <cellStyle name="Normal 47 4" xfId="16210" xr:uid="{00000000-0005-0000-0000-0000323F0000}"/>
    <cellStyle name="Normal 47 5" xfId="16211" xr:uid="{00000000-0005-0000-0000-0000333F0000}"/>
    <cellStyle name="Normal 47 6" xfId="16212" xr:uid="{00000000-0005-0000-0000-0000343F0000}"/>
    <cellStyle name="Normal 47 7" xfId="16213" xr:uid="{00000000-0005-0000-0000-0000353F0000}"/>
    <cellStyle name="Normal 47 8" xfId="16214" xr:uid="{00000000-0005-0000-0000-0000363F0000}"/>
    <cellStyle name="Normal 47 9" xfId="16215" xr:uid="{00000000-0005-0000-0000-0000373F0000}"/>
    <cellStyle name="Normal 48" xfId="16216" xr:uid="{00000000-0005-0000-0000-0000383F0000}"/>
    <cellStyle name="Normal 48 2" xfId="16217" xr:uid="{00000000-0005-0000-0000-0000393F0000}"/>
    <cellStyle name="Normal 48 2 2" xfId="16218" xr:uid="{00000000-0005-0000-0000-00003A3F0000}"/>
    <cellStyle name="Normal 48 2 3" xfId="16219" xr:uid="{00000000-0005-0000-0000-00003B3F0000}"/>
    <cellStyle name="Normal 48 2 4" xfId="16220" xr:uid="{00000000-0005-0000-0000-00003C3F0000}"/>
    <cellStyle name="Normal 48 3" xfId="16221" xr:uid="{00000000-0005-0000-0000-00003D3F0000}"/>
    <cellStyle name="Normal 48 3 2" xfId="16222" xr:uid="{00000000-0005-0000-0000-00003E3F0000}"/>
    <cellStyle name="Normal 48 3 3" xfId="16223" xr:uid="{00000000-0005-0000-0000-00003F3F0000}"/>
    <cellStyle name="Normal 48 4" xfId="16224" xr:uid="{00000000-0005-0000-0000-0000403F0000}"/>
    <cellStyle name="Normal 48 5" xfId="16225" xr:uid="{00000000-0005-0000-0000-0000413F0000}"/>
    <cellStyle name="Normal 48 6" xfId="16226" xr:uid="{00000000-0005-0000-0000-0000423F0000}"/>
    <cellStyle name="Normal 49" xfId="16227" xr:uid="{00000000-0005-0000-0000-0000433F0000}"/>
    <cellStyle name="Normal 49 10" xfId="16228" xr:uid="{00000000-0005-0000-0000-0000443F0000}"/>
    <cellStyle name="Normal 49 11" xfId="16229" xr:uid="{00000000-0005-0000-0000-0000453F0000}"/>
    <cellStyle name="Normal 49 2" xfId="16230" xr:uid="{00000000-0005-0000-0000-0000463F0000}"/>
    <cellStyle name="Normal 49 2 2" xfId="16231" xr:uid="{00000000-0005-0000-0000-0000473F0000}"/>
    <cellStyle name="Normal 49 2 3" xfId="16232" xr:uid="{00000000-0005-0000-0000-0000483F0000}"/>
    <cellStyle name="Normal 49 3" xfId="16233" xr:uid="{00000000-0005-0000-0000-0000493F0000}"/>
    <cellStyle name="Normal 49 3 2" xfId="16234" xr:uid="{00000000-0005-0000-0000-00004A3F0000}"/>
    <cellStyle name="Normal 49 3 3" xfId="16235" xr:uid="{00000000-0005-0000-0000-00004B3F0000}"/>
    <cellStyle name="Normal 49 4" xfId="16236" xr:uid="{00000000-0005-0000-0000-00004C3F0000}"/>
    <cellStyle name="Normal 49 5" xfId="16237" xr:uid="{00000000-0005-0000-0000-00004D3F0000}"/>
    <cellStyle name="Normal 49 6" xfId="16238" xr:uid="{00000000-0005-0000-0000-00004E3F0000}"/>
    <cellStyle name="Normal 49 7" xfId="16239" xr:uid="{00000000-0005-0000-0000-00004F3F0000}"/>
    <cellStyle name="Normal 49 8" xfId="16240" xr:uid="{00000000-0005-0000-0000-0000503F0000}"/>
    <cellStyle name="Normal 49 9" xfId="16241" xr:uid="{00000000-0005-0000-0000-0000513F0000}"/>
    <cellStyle name="Normal 5" xfId="63" xr:uid="{00000000-0005-0000-0000-0000523F0000}"/>
    <cellStyle name="Normal 5 10" xfId="16242" xr:uid="{00000000-0005-0000-0000-0000533F0000}"/>
    <cellStyle name="Normal 5 10 2" xfId="16243" xr:uid="{00000000-0005-0000-0000-0000543F0000}"/>
    <cellStyle name="Normal 5 10 3" xfId="16244" xr:uid="{00000000-0005-0000-0000-0000553F0000}"/>
    <cellStyle name="Normal 5 10 4" xfId="16245" xr:uid="{00000000-0005-0000-0000-0000563F0000}"/>
    <cellStyle name="Normal 5 10 5" xfId="16246" xr:uid="{00000000-0005-0000-0000-0000573F0000}"/>
    <cellStyle name="Normal 5 10 6" xfId="16247" xr:uid="{00000000-0005-0000-0000-0000583F0000}"/>
    <cellStyle name="Normal 5 10 7" xfId="16248" xr:uid="{00000000-0005-0000-0000-0000593F0000}"/>
    <cellStyle name="Normal 5 10 8" xfId="16249" xr:uid="{00000000-0005-0000-0000-00005A3F0000}"/>
    <cellStyle name="Normal 5 11" xfId="16250" xr:uid="{00000000-0005-0000-0000-00005B3F0000}"/>
    <cellStyle name="Normal 5 11 2" xfId="16251" xr:uid="{00000000-0005-0000-0000-00005C3F0000}"/>
    <cellStyle name="Normal 5 11 3" xfId="16252" xr:uid="{00000000-0005-0000-0000-00005D3F0000}"/>
    <cellStyle name="Normal 5 11 4" xfId="16253" xr:uid="{00000000-0005-0000-0000-00005E3F0000}"/>
    <cellStyle name="Normal 5 11 5" xfId="16254" xr:uid="{00000000-0005-0000-0000-00005F3F0000}"/>
    <cellStyle name="Normal 5 11 6" xfId="16255" xr:uid="{00000000-0005-0000-0000-0000603F0000}"/>
    <cellStyle name="Normal 5 11 7" xfId="16256" xr:uid="{00000000-0005-0000-0000-0000613F0000}"/>
    <cellStyle name="Normal 5 11 8" xfId="16257" xr:uid="{00000000-0005-0000-0000-0000623F0000}"/>
    <cellStyle name="Normal 5 12" xfId="16258" xr:uid="{00000000-0005-0000-0000-0000633F0000}"/>
    <cellStyle name="Normal 5 13" xfId="16259" xr:uid="{00000000-0005-0000-0000-0000643F0000}"/>
    <cellStyle name="Normal 5 14" xfId="16260" xr:uid="{00000000-0005-0000-0000-0000653F0000}"/>
    <cellStyle name="Normal 5 14 2" xfId="16261" xr:uid="{00000000-0005-0000-0000-0000663F0000}"/>
    <cellStyle name="Normal 5 15" xfId="16262" xr:uid="{00000000-0005-0000-0000-0000673F0000}"/>
    <cellStyle name="Normal 5 15 2" xfId="16263" xr:uid="{00000000-0005-0000-0000-0000683F0000}"/>
    <cellStyle name="Normal 5 16" xfId="16264" xr:uid="{00000000-0005-0000-0000-0000693F0000}"/>
    <cellStyle name="Normal 5 16 2" xfId="16265" xr:uid="{00000000-0005-0000-0000-00006A3F0000}"/>
    <cellStyle name="Normal 5 17" xfId="16266" xr:uid="{00000000-0005-0000-0000-00006B3F0000}"/>
    <cellStyle name="Normal 5 17 2" xfId="16267" xr:uid="{00000000-0005-0000-0000-00006C3F0000}"/>
    <cellStyle name="Normal 5 18" xfId="16268" xr:uid="{00000000-0005-0000-0000-00006D3F0000}"/>
    <cellStyle name="Normal 5 18 2" xfId="16269" xr:uid="{00000000-0005-0000-0000-00006E3F0000}"/>
    <cellStyle name="Normal 5 19" xfId="16270" xr:uid="{00000000-0005-0000-0000-00006F3F0000}"/>
    <cellStyle name="Normal 5 19 2" xfId="16271" xr:uid="{00000000-0005-0000-0000-0000703F0000}"/>
    <cellStyle name="Normal 5 2" xfId="93" xr:uid="{00000000-0005-0000-0000-0000713F0000}"/>
    <cellStyle name="Normal 5 2 10" xfId="16272" xr:uid="{00000000-0005-0000-0000-0000723F0000}"/>
    <cellStyle name="Normal 5 2 10 2" xfId="16273" xr:uid="{00000000-0005-0000-0000-0000733F0000}"/>
    <cellStyle name="Normal 5 2 10 2 2" xfId="16274" xr:uid="{00000000-0005-0000-0000-0000743F0000}"/>
    <cellStyle name="Normal 5 2 10 2 2 2" xfId="16275" xr:uid="{00000000-0005-0000-0000-0000753F0000}"/>
    <cellStyle name="Normal 5 2 10 2 3" xfId="16276" xr:uid="{00000000-0005-0000-0000-0000763F0000}"/>
    <cellStyle name="Normal 5 2 10 3" xfId="16277" xr:uid="{00000000-0005-0000-0000-0000773F0000}"/>
    <cellStyle name="Normal 5 2 10 3 2" xfId="16278" xr:uid="{00000000-0005-0000-0000-0000783F0000}"/>
    <cellStyle name="Normal 5 2 10 3 3" xfId="16279" xr:uid="{00000000-0005-0000-0000-0000793F0000}"/>
    <cellStyle name="Normal 5 2 10 4" xfId="16280" xr:uid="{00000000-0005-0000-0000-00007A3F0000}"/>
    <cellStyle name="Normal 5 2 10 4 2" xfId="16281" xr:uid="{00000000-0005-0000-0000-00007B3F0000}"/>
    <cellStyle name="Normal 5 2 10 4 3" xfId="16282" xr:uid="{00000000-0005-0000-0000-00007C3F0000}"/>
    <cellStyle name="Normal 5 2 10 5" xfId="16283" xr:uid="{00000000-0005-0000-0000-00007D3F0000}"/>
    <cellStyle name="Normal 5 2 10 5 2" xfId="16284" xr:uid="{00000000-0005-0000-0000-00007E3F0000}"/>
    <cellStyle name="Normal 5 2 10 5 3" xfId="16285" xr:uid="{00000000-0005-0000-0000-00007F3F0000}"/>
    <cellStyle name="Normal 5 2 10 6" xfId="16286" xr:uid="{00000000-0005-0000-0000-0000803F0000}"/>
    <cellStyle name="Normal 5 2 10 6 2" xfId="16287" xr:uid="{00000000-0005-0000-0000-0000813F0000}"/>
    <cellStyle name="Normal 5 2 10 6 3" xfId="16288" xr:uid="{00000000-0005-0000-0000-0000823F0000}"/>
    <cellStyle name="Normal 5 2 10 7" xfId="16289" xr:uid="{00000000-0005-0000-0000-0000833F0000}"/>
    <cellStyle name="Normal 5 2 10 8" xfId="16290" xr:uid="{00000000-0005-0000-0000-0000843F0000}"/>
    <cellStyle name="Normal 5 2 11" xfId="16291" xr:uid="{00000000-0005-0000-0000-0000853F0000}"/>
    <cellStyle name="Normal 5 2 11 2" xfId="16292" xr:uid="{00000000-0005-0000-0000-0000863F0000}"/>
    <cellStyle name="Normal 5 2 11 2 2" xfId="16293" xr:uid="{00000000-0005-0000-0000-0000873F0000}"/>
    <cellStyle name="Normal 5 2 11 2 2 2" xfId="16294" xr:uid="{00000000-0005-0000-0000-0000883F0000}"/>
    <cellStyle name="Normal 5 2 11 2 3" xfId="16295" xr:uid="{00000000-0005-0000-0000-0000893F0000}"/>
    <cellStyle name="Normal 5 2 11 3" xfId="16296" xr:uid="{00000000-0005-0000-0000-00008A3F0000}"/>
    <cellStyle name="Normal 5 2 11 3 2" xfId="16297" xr:uid="{00000000-0005-0000-0000-00008B3F0000}"/>
    <cellStyle name="Normal 5 2 11 4" xfId="16298" xr:uid="{00000000-0005-0000-0000-00008C3F0000}"/>
    <cellStyle name="Normal 5 2 11 4 2" xfId="16299" xr:uid="{00000000-0005-0000-0000-00008D3F0000}"/>
    <cellStyle name="Normal 5 2 11 5" xfId="16300" xr:uid="{00000000-0005-0000-0000-00008E3F0000}"/>
    <cellStyle name="Normal 5 2 12" xfId="16301" xr:uid="{00000000-0005-0000-0000-00008F3F0000}"/>
    <cellStyle name="Normal 5 2 12 2" xfId="16302" xr:uid="{00000000-0005-0000-0000-0000903F0000}"/>
    <cellStyle name="Normal 5 2 12 2 2" xfId="16303" xr:uid="{00000000-0005-0000-0000-0000913F0000}"/>
    <cellStyle name="Normal 5 2 12 3" xfId="16304" xr:uid="{00000000-0005-0000-0000-0000923F0000}"/>
    <cellStyle name="Normal 5 2 13" xfId="16305" xr:uid="{00000000-0005-0000-0000-0000933F0000}"/>
    <cellStyle name="Normal 5 2 13 2" xfId="16306" xr:uid="{00000000-0005-0000-0000-0000943F0000}"/>
    <cellStyle name="Normal 5 2 13 3" xfId="16307" xr:uid="{00000000-0005-0000-0000-0000953F0000}"/>
    <cellStyle name="Normal 5 2 14" xfId="16308" xr:uid="{00000000-0005-0000-0000-0000963F0000}"/>
    <cellStyle name="Normal 5 2 14 2" xfId="16309" xr:uid="{00000000-0005-0000-0000-0000973F0000}"/>
    <cellStyle name="Normal 5 2 14 3" xfId="16310" xr:uid="{00000000-0005-0000-0000-0000983F0000}"/>
    <cellStyle name="Normal 5 2 15" xfId="16311" xr:uid="{00000000-0005-0000-0000-0000993F0000}"/>
    <cellStyle name="Normal 5 2 15 2" xfId="16312" xr:uid="{00000000-0005-0000-0000-00009A3F0000}"/>
    <cellStyle name="Normal 5 2 15 3" xfId="16313" xr:uid="{00000000-0005-0000-0000-00009B3F0000}"/>
    <cellStyle name="Normal 5 2 16" xfId="16314" xr:uid="{00000000-0005-0000-0000-00009C3F0000}"/>
    <cellStyle name="Normal 5 2 17" xfId="16315" xr:uid="{00000000-0005-0000-0000-00009D3F0000}"/>
    <cellStyle name="Normal 5 2 18" xfId="16316" xr:uid="{00000000-0005-0000-0000-00009E3F0000}"/>
    <cellStyle name="Normal 5 2 19" xfId="16317" xr:uid="{00000000-0005-0000-0000-00009F3F0000}"/>
    <cellStyle name="Normal 5 2 2" xfId="94" xr:uid="{00000000-0005-0000-0000-0000A03F0000}"/>
    <cellStyle name="Normal 5 2 2 2" xfId="16318" xr:uid="{00000000-0005-0000-0000-0000A13F0000}"/>
    <cellStyle name="Normal 5 2 2 2 2" xfId="16319" xr:uid="{00000000-0005-0000-0000-0000A23F0000}"/>
    <cellStyle name="Normal 5 2 2 2 3" xfId="16320" xr:uid="{00000000-0005-0000-0000-0000A33F0000}"/>
    <cellStyle name="Normal 5 2 2 2 4" xfId="16321" xr:uid="{00000000-0005-0000-0000-0000A43F0000}"/>
    <cellStyle name="Normal 5 2 2 2 5" xfId="16322" xr:uid="{00000000-0005-0000-0000-0000A53F0000}"/>
    <cellStyle name="Normal 5 2 2 3" xfId="16323" xr:uid="{00000000-0005-0000-0000-0000A63F0000}"/>
    <cellStyle name="Normal 5 2 2 4" xfId="16324" xr:uid="{00000000-0005-0000-0000-0000A73F0000}"/>
    <cellStyle name="Normal 5 2 2 5" xfId="16325" xr:uid="{00000000-0005-0000-0000-0000A83F0000}"/>
    <cellStyle name="Normal 5 2 2 6" xfId="16326" xr:uid="{00000000-0005-0000-0000-0000A93F0000}"/>
    <cellStyle name="Normal 5 2 2 7" xfId="16327" xr:uid="{00000000-0005-0000-0000-0000AA3F0000}"/>
    <cellStyle name="Normal 5 2 2 8" xfId="16328" xr:uid="{00000000-0005-0000-0000-0000AB3F0000}"/>
    <cellStyle name="Normal 5 2 2 9" xfId="16329" xr:uid="{00000000-0005-0000-0000-0000AC3F0000}"/>
    <cellStyle name="Normal 5 2 3" xfId="16330" xr:uid="{00000000-0005-0000-0000-0000AD3F0000}"/>
    <cellStyle name="Normal 5 2 3 10" xfId="16331" xr:uid="{00000000-0005-0000-0000-0000AE3F0000}"/>
    <cellStyle name="Normal 5 2 3 2" xfId="16332" xr:uid="{00000000-0005-0000-0000-0000AF3F0000}"/>
    <cellStyle name="Normal 5 2 3 2 2" xfId="16333" xr:uid="{00000000-0005-0000-0000-0000B03F0000}"/>
    <cellStyle name="Normal 5 2 3 2 3" xfId="16334" xr:uid="{00000000-0005-0000-0000-0000B13F0000}"/>
    <cellStyle name="Normal 5 2 3 3" xfId="16335" xr:uid="{00000000-0005-0000-0000-0000B23F0000}"/>
    <cellStyle name="Normal 5 2 3 3 2" xfId="16336" xr:uid="{00000000-0005-0000-0000-0000B33F0000}"/>
    <cellStyle name="Normal 5 2 3 3 3" xfId="16337" xr:uid="{00000000-0005-0000-0000-0000B43F0000}"/>
    <cellStyle name="Normal 5 2 3 4" xfId="16338" xr:uid="{00000000-0005-0000-0000-0000B53F0000}"/>
    <cellStyle name="Normal 5 2 3 4 2" xfId="16339" xr:uid="{00000000-0005-0000-0000-0000B63F0000}"/>
    <cellStyle name="Normal 5 2 3 4 3" xfId="16340" xr:uid="{00000000-0005-0000-0000-0000B73F0000}"/>
    <cellStyle name="Normal 5 2 3 5" xfId="16341" xr:uid="{00000000-0005-0000-0000-0000B83F0000}"/>
    <cellStyle name="Normal 5 2 3 5 2" xfId="16342" xr:uid="{00000000-0005-0000-0000-0000B93F0000}"/>
    <cellStyle name="Normal 5 2 3 5 3" xfId="16343" xr:uid="{00000000-0005-0000-0000-0000BA3F0000}"/>
    <cellStyle name="Normal 5 2 3 6" xfId="16344" xr:uid="{00000000-0005-0000-0000-0000BB3F0000}"/>
    <cellStyle name="Normal 5 2 3 6 2" xfId="16345" xr:uid="{00000000-0005-0000-0000-0000BC3F0000}"/>
    <cellStyle name="Normal 5 2 3 6 3" xfId="16346" xr:uid="{00000000-0005-0000-0000-0000BD3F0000}"/>
    <cellStyle name="Normal 5 2 3 7" xfId="16347" xr:uid="{00000000-0005-0000-0000-0000BE3F0000}"/>
    <cellStyle name="Normal 5 2 3 8" xfId="16348" xr:uid="{00000000-0005-0000-0000-0000BF3F0000}"/>
    <cellStyle name="Normal 5 2 3 9" xfId="16349" xr:uid="{00000000-0005-0000-0000-0000C03F0000}"/>
    <cellStyle name="Normal 5 2 4" xfId="16350" xr:uid="{00000000-0005-0000-0000-0000C13F0000}"/>
    <cellStyle name="Normal 5 2 4 10" xfId="16351" xr:uid="{00000000-0005-0000-0000-0000C23F0000}"/>
    <cellStyle name="Normal 5 2 4 2" xfId="16352" xr:uid="{00000000-0005-0000-0000-0000C33F0000}"/>
    <cellStyle name="Normal 5 2 4 2 2" xfId="16353" xr:uid="{00000000-0005-0000-0000-0000C43F0000}"/>
    <cellStyle name="Normal 5 2 4 2 2 2" xfId="16354" xr:uid="{00000000-0005-0000-0000-0000C53F0000}"/>
    <cellStyle name="Normal 5 2 4 2 2 2 2" xfId="16355" xr:uid="{00000000-0005-0000-0000-0000C63F0000}"/>
    <cellStyle name="Normal 5 2 4 2 2 2 2 2" xfId="16356" xr:uid="{00000000-0005-0000-0000-0000C73F0000}"/>
    <cellStyle name="Normal 5 2 4 2 2 2 3" xfId="16357" xr:uid="{00000000-0005-0000-0000-0000C83F0000}"/>
    <cellStyle name="Normal 5 2 4 2 2 3" xfId="16358" xr:uid="{00000000-0005-0000-0000-0000C93F0000}"/>
    <cellStyle name="Normal 5 2 4 2 2 3 2" xfId="16359" xr:uid="{00000000-0005-0000-0000-0000CA3F0000}"/>
    <cellStyle name="Normal 5 2 4 2 2 4" xfId="16360" xr:uid="{00000000-0005-0000-0000-0000CB3F0000}"/>
    <cellStyle name="Normal 5 2 4 2 2 4 2" xfId="16361" xr:uid="{00000000-0005-0000-0000-0000CC3F0000}"/>
    <cellStyle name="Normal 5 2 4 2 2 5" xfId="16362" xr:uid="{00000000-0005-0000-0000-0000CD3F0000}"/>
    <cellStyle name="Normal 5 2 4 2 3" xfId="16363" xr:uid="{00000000-0005-0000-0000-0000CE3F0000}"/>
    <cellStyle name="Normal 5 2 4 2 3 2" xfId="16364" xr:uid="{00000000-0005-0000-0000-0000CF3F0000}"/>
    <cellStyle name="Normal 5 2 4 2 3 2 2" xfId="16365" xr:uid="{00000000-0005-0000-0000-0000D03F0000}"/>
    <cellStyle name="Normal 5 2 4 2 3 2 2 2" xfId="16366" xr:uid="{00000000-0005-0000-0000-0000D13F0000}"/>
    <cellStyle name="Normal 5 2 4 2 3 2 3" xfId="16367" xr:uid="{00000000-0005-0000-0000-0000D23F0000}"/>
    <cellStyle name="Normal 5 2 4 2 3 3" xfId="16368" xr:uid="{00000000-0005-0000-0000-0000D33F0000}"/>
    <cellStyle name="Normal 5 2 4 2 3 3 2" xfId="16369" xr:uid="{00000000-0005-0000-0000-0000D43F0000}"/>
    <cellStyle name="Normal 5 2 4 2 3 4" xfId="16370" xr:uid="{00000000-0005-0000-0000-0000D53F0000}"/>
    <cellStyle name="Normal 5 2 4 2 3 4 2" xfId="16371" xr:uid="{00000000-0005-0000-0000-0000D63F0000}"/>
    <cellStyle name="Normal 5 2 4 2 3 5" xfId="16372" xr:uid="{00000000-0005-0000-0000-0000D73F0000}"/>
    <cellStyle name="Normal 5 2 4 2 4" xfId="16373" xr:uid="{00000000-0005-0000-0000-0000D83F0000}"/>
    <cellStyle name="Normal 5 2 4 2 4 2" xfId="16374" xr:uid="{00000000-0005-0000-0000-0000D93F0000}"/>
    <cellStyle name="Normal 5 2 4 2 4 2 2" xfId="16375" xr:uid="{00000000-0005-0000-0000-0000DA3F0000}"/>
    <cellStyle name="Normal 5 2 4 2 4 3" xfId="16376" xr:uid="{00000000-0005-0000-0000-0000DB3F0000}"/>
    <cellStyle name="Normal 5 2 4 2 5" xfId="16377" xr:uid="{00000000-0005-0000-0000-0000DC3F0000}"/>
    <cellStyle name="Normal 5 2 4 2 5 2" xfId="16378" xr:uid="{00000000-0005-0000-0000-0000DD3F0000}"/>
    <cellStyle name="Normal 5 2 4 2 6" xfId="16379" xr:uid="{00000000-0005-0000-0000-0000DE3F0000}"/>
    <cellStyle name="Normal 5 2 4 2 6 2" xfId="16380" xr:uid="{00000000-0005-0000-0000-0000DF3F0000}"/>
    <cellStyle name="Normal 5 2 4 2 7" xfId="16381" xr:uid="{00000000-0005-0000-0000-0000E03F0000}"/>
    <cellStyle name="Normal 5 2 4 3" xfId="16382" xr:uid="{00000000-0005-0000-0000-0000E13F0000}"/>
    <cellStyle name="Normal 5 2 4 3 2" xfId="16383" xr:uid="{00000000-0005-0000-0000-0000E23F0000}"/>
    <cellStyle name="Normal 5 2 4 3 2 2" xfId="16384" xr:uid="{00000000-0005-0000-0000-0000E33F0000}"/>
    <cellStyle name="Normal 5 2 4 3 2 2 2" xfId="16385" xr:uid="{00000000-0005-0000-0000-0000E43F0000}"/>
    <cellStyle name="Normal 5 2 4 3 2 3" xfId="16386" xr:uid="{00000000-0005-0000-0000-0000E53F0000}"/>
    <cellStyle name="Normal 5 2 4 3 3" xfId="16387" xr:uid="{00000000-0005-0000-0000-0000E63F0000}"/>
    <cellStyle name="Normal 5 2 4 3 3 2" xfId="16388" xr:uid="{00000000-0005-0000-0000-0000E73F0000}"/>
    <cellStyle name="Normal 5 2 4 3 4" xfId="16389" xr:uid="{00000000-0005-0000-0000-0000E83F0000}"/>
    <cellStyle name="Normal 5 2 4 3 4 2" xfId="16390" xr:uid="{00000000-0005-0000-0000-0000E93F0000}"/>
    <cellStyle name="Normal 5 2 4 3 5" xfId="16391" xr:uid="{00000000-0005-0000-0000-0000EA3F0000}"/>
    <cellStyle name="Normal 5 2 4 4" xfId="16392" xr:uid="{00000000-0005-0000-0000-0000EB3F0000}"/>
    <cellStyle name="Normal 5 2 4 4 2" xfId="16393" xr:uid="{00000000-0005-0000-0000-0000EC3F0000}"/>
    <cellStyle name="Normal 5 2 4 4 2 2" xfId="16394" xr:uid="{00000000-0005-0000-0000-0000ED3F0000}"/>
    <cellStyle name="Normal 5 2 4 4 2 2 2" xfId="16395" xr:uid="{00000000-0005-0000-0000-0000EE3F0000}"/>
    <cellStyle name="Normal 5 2 4 4 2 3" xfId="16396" xr:uid="{00000000-0005-0000-0000-0000EF3F0000}"/>
    <cellStyle name="Normal 5 2 4 4 3" xfId="16397" xr:uid="{00000000-0005-0000-0000-0000F03F0000}"/>
    <cellStyle name="Normal 5 2 4 4 3 2" xfId="16398" xr:uid="{00000000-0005-0000-0000-0000F13F0000}"/>
    <cellStyle name="Normal 5 2 4 4 4" xfId="16399" xr:uid="{00000000-0005-0000-0000-0000F23F0000}"/>
    <cellStyle name="Normal 5 2 4 4 4 2" xfId="16400" xr:uid="{00000000-0005-0000-0000-0000F33F0000}"/>
    <cellStyle name="Normal 5 2 4 4 5" xfId="16401" xr:uid="{00000000-0005-0000-0000-0000F43F0000}"/>
    <cellStyle name="Normal 5 2 4 5" xfId="16402" xr:uid="{00000000-0005-0000-0000-0000F53F0000}"/>
    <cellStyle name="Normal 5 2 4 5 2" xfId="16403" xr:uid="{00000000-0005-0000-0000-0000F63F0000}"/>
    <cellStyle name="Normal 5 2 4 5 2 2" xfId="16404" xr:uid="{00000000-0005-0000-0000-0000F73F0000}"/>
    <cellStyle name="Normal 5 2 4 5 2 2 2" xfId="16405" xr:uid="{00000000-0005-0000-0000-0000F83F0000}"/>
    <cellStyle name="Normal 5 2 4 5 2 3" xfId="16406" xr:uid="{00000000-0005-0000-0000-0000F93F0000}"/>
    <cellStyle name="Normal 5 2 4 5 3" xfId="16407" xr:uid="{00000000-0005-0000-0000-0000FA3F0000}"/>
    <cellStyle name="Normal 5 2 4 5 3 2" xfId="16408" xr:uid="{00000000-0005-0000-0000-0000FB3F0000}"/>
    <cellStyle name="Normal 5 2 4 5 4" xfId="16409" xr:uid="{00000000-0005-0000-0000-0000FC3F0000}"/>
    <cellStyle name="Normal 5 2 4 5 4 2" xfId="16410" xr:uid="{00000000-0005-0000-0000-0000FD3F0000}"/>
    <cellStyle name="Normal 5 2 4 5 5" xfId="16411" xr:uid="{00000000-0005-0000-0000-0000FE3F0000}"/>
    <cellStyle name="Normal 5 2 4 6" xfId="16412" xr:uid="{00000000-0005-0000-0000-0000FF3F0000}"/>
    <cellStyle name="Normal 5 2 4 6 2" xfId="16413" xr:uid="{00000000-0005-0000-0000-000000400000}"/>
    <cellStyle name="Normal 5 2 4 6 2 2" xfId="16414" xr:uid="{00000000-0005-0000-0000-000001400000}"/>
    <cellStyle name="Normal 5 2 4 6 2 2 2" xfId="16415" xr:uid="{00000000-0005-0000-0000-000002400000}"/>
    <cellStyle name="Normal 5 2 4 6 2 3" xfId="16416" xr:uid="{00000000-0005-0000-0000-000003400000}"/>
    <cellStyle name="Normal 5 2 4 6 3" xfId="16417" xr:uid="{00000000-0005-0000-0000-000004400000}"/>
    <cellStyle name="Normal 5 2 4 6 3 2" xfId="16418" xr:uid="{00000000-0005-0000-0000-000005400000}"/>
    <cellStyle name="Normal 5 2 4 6 4" xfId="16419" xr:uid="{00000000-0005-0000-0000-000006400000}"/>
    <cellStyle name="Normal 5 2 4 6 4 2" xfId="16420" xr:uid="{00000000-0005-0000-0000-000007400000}"/>
    <cellStyle name="Normal 5 2 4 6 5" xfId="16421" xr:uid="{00000000-0005-0000-0000-000008400000}"/>
    <cellStyle name="Normal 5 2 4 7" xfId="16422" xr:uid="{00000000-0005-0000-0000-000009400000}"/>
    <cellStyle name="Normal 5 2 4 7 2" xfId="16423" xr:uid="{00000000-0005-0000-0000-00000A400000}"/>
    <cellStyle name="Normal 5 2 4 7 2 2" xfId="16424" xr:uid="{00000000-0005-0000-0000-00000B400000}"/>
    <cellStyle name="Normal 5 2 4 7 3" xfId="16425" xr:uid="{00000000-0005-0000-0000-00000C400000}"/>
    <cellStyle name="Normal 5 2 4 8" xfId="16426" xr:uid="{00000000-0005-0000-0000-00000D400000}"/>
    <cellStyle name="Normal 5 2 4 8 2" xfId="16427" xr:uid="{00000000-0005-0000-0000-00000E400000}"/>
    <cellStyle name="Normal 5 2 4 9" xfId="16428" xr:uid="{00000000-0005-0000-0000-00000F400000}"/>
    <cellStyle name="Normal 5 2 4 9 2" xfId="16429" xr:uid="{00000000-0005-0000-0000-000010400000}"/>
    <cellStyle name="Normal 5 2 5" xfId="16430" xr:uid="{00000000-0005-0000-0000-000011400000}"/>
    <cellStyle name="Normal 5 2 5 2" xfId="16431" xr:uid="{00000000-0005-0000-0000-000012400000}"/>
    <cellStyle name="Normal 5 2 5 2 2" xfId="16432" xr:uid="{00000000-0005-0000-0000-000013400000}"/>
    <cellStyle name="Normal 5 2 5 2 2 2" xfId="16433" xr:uid="{00000000-0005-0000-0000-000014400000}"/>
    <cellStyle name="Normal 5 2 5 2 2 2 2" xfId="16434" xr:uid="{00000000-0005-0000-0000-000015400000}"/>
    <cellStyle name="Normal 5 2 5 2 2 3" xfId="16435" xr:uid="{00000000-0005-0000-0000-000016400000}"/>
    <cellStyle name="Normal 5 2 5 2 3" xfId="16436" xr:uid="{00000000-0005-0000-0000-000017400000}"/>
    <cellStyle name="Normal 5 2 5 2 3 2" xfId="16437" xr:uid="{00000000-0005-0000-0000-000018400000}"/>
    <cellStyle name="Normal 5 2 5 2 4" xfId="16438" xr:uid="{00000000-0005-0000-0000-000019400000}"/>
    <cellStyle name="Normal 5 2 5 2 4 2" xfId="16439" xr:uid="{00000000-0005-0000-0000-00001A400000}"/>
    <cellStyle name="Normal 5 2 5 2 5" xfId="16440" xr:uid="{00000000-0005-0000-0000-00001B400000}"/>
    <cellStyle name="Normal 5 2 5 3" xfId="16441" xr:uid="{00000000-0005-0000-0000-00001C400000}"/>
    <cellStyle name="Normal 5 2 5 3 2" xfId="16442" xr:uid="{00000000-0005-0000-0000-00001D400000}"/>
    <cellStyle name="Normal 5 2 5 3 2 2" xfId="16443" xr:uid="{00000000-0005-0000-0000-00001E400000}"/>
    <cellStyle name="Normal 5 2 5 3 2 2 2" xfId="16444" xr:uid="{00000000-0005-0000-0000-00001F400000}"/>
    <cellStyle name="Normal 5 2 5 3 2 3" xfId="16445" xr:uid="{00000000-0005-0000-0000-000020400000}"/>
    <cellStyle name="Normal 5 2 5 3 3" xfId="16446" xr:uid="{00000000-0005-0000-0000-000021400000}"/>
    <cellStyle name="Normal 5 2 5 3 3 2" xfId="16447" xr:uid="{00000000-0005-0000-0000-000022400000}"/>
    <cellStyle name="Normal 5 2 5 3 4" xfId="16448" xr:uid="{00000000-0005-0000-0000-000023400000}"/>
    <cellStyle name="Normal 5 2 5 3 4 2" xfId="16449" xr:uid="{00000000-0005-0000-0000-000024400000}"/>
    <cellStyle name="Normal 5 2 5 3 5" xfId="16450" xr:uid="{00000000-0005-0000-0000-000025400000}"/>
    <cellStyle name="Normal 5 2 5 4" xfId="16451" xr:uid="{00000000-0005-0000-0000-000026400000}"/>
    <cellStyle name="Normal 5 2 5 4 2" xfId="16452" xr:uid="{00000000-0005-0000-0000-000027400000}"/>
    <cellStyle name="Normal 5 2 5 4 2 2" xfId="16453" xr:uid="{00000000-0005-0000-0000-000028400000}"/>
    <cellStyle name="Normal 5 2 5 4 2 2 2" xfId="16454" xr:uid="{00000000-0005-0000-0000-000029400000}"/>
    <cellStyle name="Normal 5 2 5 4 2 3" xfId="16455" xr:uid="{00000000-0005-0000-0000-00002A400000}"/>
    <cellStyle name="Normal 5 2 5 4 3" xfId="16456" xr:uid="{00000000-0005-0000-0000-00002B400000}"/>
    <cellStyle name="Normal 5 2 5 4 3 2" xfId="16457" xr:uid="{00000000-0005-0000-0000-00002C400000}"/>
    <cellStyle name="Normal 5 2 5 4 4" xfId="16458" xr:uid="{00000000-0005-0000-0000-00002D400000}"/>
    <cellStyle name="Normal 5 2 5 4 4 2" xfId="16459" xr:uid="{00000000-0005-0000-0000-00002E400000}"/>
    <cellStyle name="Normal 5 2 5 4 5" xfId="16460" xr:uid="{00000000-0005-0000-0000-00002F400000}"/>
    <cellStyle name="Normal 5 2 5 5" xfId="16461" xr:uid="{00000000-0005-0000-0000-000030400000}"/>
    <cellStyle name="Normal 5 2 5 5 2" xfId="16462" xr:uid="{00000000-0005-0000-0000-000031400000}"/>
    <cellStyle name="Normal 5 2 5 5 2 2" xfId="16463" xr:uid="{00000000-0005-0000-0000-000032400000}"/>
    <cellStyle name="Normal 5 2 5 5 2 2 2" xfId="16464" xr:uid="{00000000-0005-0000-0000-000033400000}"/>
    <cellStyle name="Normal 5 2 5 5 2 3" xfId="16465" xr:uid="{00000000-0005-0000-0000-000034400000}"/>
    <cellStyle name="Normal 5 2 5 5 3" xfId="16466" xr:uid="{00000000-0005-0000-0000-000035400000}"/>
    <cellStyle name="Normal 5 2 5 5 3 2" xfId="16467" xr:uid="{00000000-0005-0000-0000-000036400000}"/>
    <cellStyle name="Normal 5 2 5 5 4" xfId="16468" xr:uid="{00000000-0005-0000-0000-000037400000}"/>
    <cellStyle name="Normal 5 2 5 5 4 2" xfId="16469" xr:uid="{00000000-0005-0000-0000-000038400000}"/>
    <cellStyle name="Normal 5 2 5 5 5" xfId="16470" xr:uid="{00000000-0005-0000-0000-000039400000}"/>
    <cellStyle name="Normal 5 2 5 6" xfId="16471" xr:uid="{00000000-0005-0000-0000-00003A400000}"/>
    <cellStyle name="Normal 5 2 5 6 2" xfId="16472" xr:uid="{00000000-0005-0000-0000-00003B400000}"/>
    <cellStyle name="Normal 5 2 5 6 2 2" xfId="16473" xr:uid="{00000000-0005-0000-0000-00003C400000}"/>
    <cellStyle name="Normal 5 2 5 6 3" xfId="16474" xr:uid="{00000000-0005-0000-0000-00003D400000}"/>
    <cellStyle name="Normal 5 2 5 7" xfId="16475" xr:uid="{00000000-0005-0000-0000-00003E400000}"/>
    <cellStyle name="Normal 5 2 5 7 2" xfId="16476" xr:uid="{00000000-0005-0000-0000-00003F400000}"/>
    <cellStyle name="Normal 5 2 5 8" xfId="16477" xr:uid="{00000000-0005-0000-0000-000040400000}"/>
    <cellStyle name="Normal 5 2 5 8 2" xfId="16478" xr:uid="{00000000-0005-0000-0000-000041400000}"/>
    <cellStyle name="Normal 5 2 5 9" xfId="16479" xr:uid="{00000000-0005-0000-0000-000042400000}"/>
    <cellStyle name="Normal 5 2 6" xfId="16480" xr:uid="{00000000-0005-0000-0000-000043400000}"/>
    <cellStyle name="Normal 5 2 6 2" xfId="16481" xr:uid="{00000000-0005-0000-0000-000044400000}"/>
    <cellStyle name="Normal 5 2 6 2 2" xfId="16482" xr:uid="{00000000-0005-0000-0000-000045400000}"/>
    <cellStyle name="Normal 5 2 6 2 2 2" xfId="16483" xr:uid="{00000000-0005-0000-0000-000046400000}"/>
    <cellStyle name="Normal 5 2 6 2 2 2 2" xfId="16484" xr:uid="{00000000-0005-0000-0000-000047400000}"/>
    <cellStyle name="Normal 5 2 6 2 2 3" xfId="16485" xr:uid="{00000000-0005-0000-0000-000048400000}"/>
    <cellStyle name="Normal 5 2 6 2 3" xfId="16486" xr:uid="{00000000-0005-0000-0000-000049400000}"/>
    <cellStyle name="Normal 5 2 6 2 3 2" xfId="16487" xr:uid="{00000000-0005-0000-0000-00004A400000}"/>
    <cellStyle name="Normal 5 2 6 2 4" xfId="16488" xr:uid="{00000000-0005-0000-0000-00004B400000}"/>
    <cellStyle name="Normal 5 2 6 2 4 2" xfId="16489" xr:uid="{00000000-0005-0000-0000-00004C400000}"/>
    <cellStyle name="Normal 5 2 6 2 5" xfId="16490" xr:uid="{00000000-0005-0000-0000-00004D400000}"/>
    <cellStyle name="Normal 5 2 6 3" xfId="16491" xr:uid="{00000000-0005-0000-0000-00004E400000}"/>
    <cellStyle name="Normal 5 2 6 3 2" xfId="16492" xr:uid="{00000000-0005-0000-0000-00004F400000}"/>
    <cellStyle name="Normal 5 2 6 3 2 2" xfId="16493" xr:uid="{00000000-0005-0000-0000-000050400000}"/>
    <cellStyle name="Normal 5 2 6 3 2 2 2" xfId="16494" xr:uid="{00000000-0005-0000-0000-000051400000}"/>
    <cellStyle name="Normal 5 2 6 3 2 3" xfId="16495" xr:uid="{00000000-0005-0000-0000-000052400000}"/>
    <cellStyle name="Normal 5 2 6 3 3" xfId="16496" xr:uid="{00000000-0005-0000-0000-000053400000}"/>
    <cellStyle name="Normal 5 2 6 3 3 2" xfId="16497" xr:uid="{00000000-0005-0000-0000-000054400000}"/>
    <cellStyle name="Normal 5 2 6 3 4" xfId="16498" xr:uid="{00000000-0005-0000-0000-000055400000}"/>
    <cellStyle name="Normal 5 2 6 3 4 2" xfId="16499" xr:uid="{00000000-0005-0000-0000-000056400000}"/>
    <cellStyle name="Normal 5 2 6 3 5" xfId="16500" xr:uid="{00000000-0005-0000-0000-000057400000}"/>
    <cellStyle name="Normal 5 2 6 4" xfId="16501" xr:uid="{00000000-0005-0000-0000-000058400000}"/>
    <cellStyle name="Normal 5 2 6 4 2" xfId="16502" xr:uid="{00000000-0005-0000-0000-000059400000}"/>
    <cellStyle name="Normal 5 2 6 4 2 2" xfId="16503" xr:uid="{00000000-0005-0000-0000-00005A400000}"/>
    <cellStyle name="Normal 5 2 6 4 2 2 2" xfId="16504" xr:uid="{00000000-0005-0000-0000-00005B400000}"/>
    <cellStyle name="Normal 5 2 6 4 2 3" xfId="16505" xr:uid="{00000000-0005-0000-0000-00005C400000}"/>
    <cellStyle name="Normal 5 2 6 4 3" xfId="16506" xr:uid="{00000000-0005-0000-0000-00005D400000}"/>
    <cellStyle name="Normal 5 2 6 4 3 2" xfId="16507" xr:uid="{00000000-0005-0000-0000-00005E400000}"/>
    <cellStyle name="Normal 5 2 6 4 4" xfId="16508" xr:uid="{00000000-0005-0000-0000-00005F400000}"/>
    <cellStyle name="Normal 5 2 6 4 4 2" xfId="16509" xr:uid="{00000000-0005-0000-0000-000060400000}"/>
    <cellStyle name="Normal 5 2 6 4 5" xfId="16510" xr:uid="{00000000-0005-0000-0000-000061400000}"/>
    <cellStyle name="Normal 5 2 6 5" xfId="16511" xr:uid="{00000000-0005-0000-0000-000062400000}"/>
    <cellStyle name="Normal 5 2 6 5 2" xfId="16512" xr:uid="{00000000-0005-0000-0000-000063400000}"/>
    <cellStyle name="Normal 5 2 6 5 2 2" xfId="16513" xr:uid="{00000000-0005-0000-0000-000064400000}"/>
    <cellStyle name="Normal 5 2 6 5 2 2 2" xfId="16514" xr:uid="{00000000-0005-0000-0000-000065400000}"/>
    <cellStyle name="Normal 5 2 6 5 2 3" xfId="16515" xr:uid="{00000000-0005-0000-0000-000066400000}"/>
    <cellStyle name="Normal 5 2 6 5 3" xfId="16516" xr:uid="{00000000-0005-0000-0000-000067400000}"/>
    <cellStyle name="Normal 5 2 6 5 3 2" xfId="16517" xr:uid="{00000000-0005-0000-0000-000068400000}"/>
    <cellStyle name="Normal 5 2 6 5 4" xfId="16518" xr:uid="{00000000-0005-0000-0000-000069400000}"/>
    <cellStyle name="Normal 5 2 6 5 4 2" xfId="16519" xr:uid="{00000000-0005-0000-0000-00006A400000}"/>
    <cellStyle name="Normal 5 2 6 5 5" xfId="16520" xr:uid="{00000000-0005-0000-0000-00006B400000}"/>
    <cellStyle name="Normal 5 2 6 6" xfId="16521" xr:uid="{00000000-0005-0000-0000-00006C400000}"/>
    <cellStyle name="Normal 5 2 6 6 2" xfId="16522" xr:uid="{00000000-0005-0000-0000-00006D400000}"/>
    <cellStyle name="Normal 5 2 6 6 2 2" xfId="16523" xr:uid="{00000000-0005-0000-0000-00006E400000}"/>
    <cellStyle name="Normal 5 2 6 6 3" xfId="16524" xr:uid="{00000000-0005-0000-0000-00006F400000}"/>
    <cellStyle name="Normal 5 2 6 7" xfId="16525" xr:uid="{00000000-0005-0000-0000-000070400000}"/>
    <cellStyle name="Normal 5 2 6 7 2" xfId="16526" xr:uid="{00000000-0005-0000-0000-000071400000}"/>
    <cellStyle name="Normal 5 2 6 8" xfId="16527" xr:uid="{00000000-0005-0000-0000-000072400000}"/>
    <cellStyle name="Normal 5 2 6 8 2" xfId="16528" xr:uid="{00000000-0005-0000-0000-000073400000}"/>
    <cellStyle name="Normal 5 2 6 9" xfId="16529" xr:uid="{00000000-0005-0000-0000-000074400000}"/>
    <cellStyle name="Normal 5 2 7" xfId="16530" xr:uid="{00000000-0005-0000-0000-000075400000}"/>
    <cellStyle name="Normal 5 2 7 2" xfId="16531" xr:uid="{00000000-0005-0000-0000-000076400000}"/>
    <cellStyle name="Normal 5 2 7 2 2" xfId="16532" xr:uid="{00000000-0005-0000-0000-000077400000}"/>
    <cellStyle name="Normal 5 2 7 2 2 2" xfId="16533" xr:uid="{00000000-0005-0000-0000-000078400000}"/>
    <cellStyle name="Normal 5 2 7 2 2 2 2" xfId="16534" xr:uid="{00000000-0005-0000-0000-000079400000}"/>
    <cellStyle name="Normal 5 2 7 2 2 3" xfId="16535" xr:uid="{00000000-0005-0000-0000-00007A400000}"/>
    <cellStyle name="Normal 5 2 7 2 3" xfId="16536" xr:uid="{00000000-0005-0000-0000-00007B400000}"/>
    <cellStyle name="Normal 5 2 7 2 3 2" xfId="16537" xr:uid="{00000000-0005-0000-0000-00007C400000}"/>
    <cellStyle name="Normal 5 2 7 2 4" xfId="16538" xr:uid="{00000000-0005-0000-0000-00007D400000}"/>
    <cellStyle name="Normal 5 2 7 2 4 2" xfId="16539" xr:uid="{00000000-0005-0000-0000-00007E400000}"/>
    <cellStyle name="Normal 5 2 7 2 5" xfId="16540" xr:uid="{00000000-0005-0000-0000-00007F400000}"/>
    <cellStyle name="Normal 5 2 7 3" xfId="16541" xr:uid="{00000000-0005-0000-0000-000080400000}"/>
    <cellStyle name="Normal 5 2 7 3 2" xfId="16542" xr:uid="{00000000-0005-0000-0000-000081400000}"/>
    <cellStyle name="Normal 5 2 7 3 2 2" xfId="16543" xr:uid="{00000000-0005-0000-0000-000082400000}"/>
    <cellStyle name="Normal 5 2 7 3 2 2 2" xfId="16544" xr:uid="{00000000-0005-0000-0000-000083400000}"/>
    <cellStyle name="Normal 5 2 7 3 2 3" xfId="16545" xr:uid="{00000000-0005-0000-0000-000084400000}"/>
    <cellStyle name="Normal 5 2 7 3 3" xfId="16546" xr:uid="{00000000-0005-0000-0000-000085400000}"/>
    <cellStyle name="Normal 5 2 7 3 3 2" xfId="16547" xr:uid="{00000000-0005-0000-0000-000086400000}"/>
    <cellStyle name="Normal 5 2 7 3 4" xfId="16548" xr:uid="{00000000-0005-0000-0000-000087400000}"/>
    <cellStyle name="Normal 5 2 7 3 4 2" xfId="16549" xr:uid="{00000000-0005-0000-0000-000088400000}"/>
    <cellStyle name="Normal 5 2 7 3 5" xfId="16550" xr:uid="{00000000-0005-0000-0000-000089400000}"/>
    <cellStyle name="Normal 5 2 7 4" xfId="16551" xr:uid="{00000000-0005-0000-0000-00008A400000}"/>
    <cellStyle name="Normal 5 2 7 4 2" xfId="16552" xr:uid="{00000000-0005-0000-0000-00008B400000}"/>
    <cellStyle name="Normal 5 2 7 4 2 2" xfId="16553" xr:uid="{00000000-0005-0000-0000-00008C400000}"/>
    <cellStyle name="Normal 5 2 7 4 3" xfId="16554" xr:uid="{00000000-0005-0000-0000-00008D400000}"/>
    <cellStyle name="Normal 5 2 7 5" xfId="16555" xr:uid="{00000000-0005-0000-0000-00008E400000}"/>
    <cellStyle name="Normal 5 2 7 5 2" xfId="16556" xr:uid="{00000000-0005-0000-0000-00008F400000}"/>
    <cellStyle name="Normal 5 2 7 5 3" xfId="16557" xr:uid="{00000000-0005-0000-0000-000090400000}"/>
    <cellStyle name="Normal 5 2 7 6" xfId="16558" xr:uid="{00000000-0005-0000-0000-000091400000}"/>
    <cellStyle name="Normal 5 2 7 6 2" xfId="16559" xr:uid="{00000000-0005-0000-0000-000092400000}"/>
    <cellStyle name="Normal 5 2 7 6 3" xfId="16560" xr:uid="{00000000-0005-0000-0000-000093400000}"/>
    <cellStyle name="Normal 5 2 7 7" xfId="16561" xr:uid="{00000000-0005-0000-0000-000094400000}"/>
    <cellStyle name="Normal 5 2 7 8" xfId="16562" xr:uid="{00000000-0005-0000-0000-000095400000}"/>
    <cellStyle name="Normal 5 2 8" xfId="16563" xr:uid="{00000000-0005-0000-0000-000096400000}"/>
    <cellStyle name="Normal 5 2 8 2" xfId="16564" xr:uid="{00000000-0005-0000-0000-000097400000}"/>
    <cellStyle name="Normal 5 2 8 2 2" xfId="16565" xr:uid="{00000000-0005-0000-0000-000098400000}"/>
    <cellStyle name="Normal 5 2 8 2 2 2" xfId="16566" xr:uid="{00000000-0005-0000-0000-000099400000}"/>
    <cellStyle name="Normal 5 2 8 2 3" xfId="16567" xr:uid="{00000000-0005-0000-0000-00009A400000}"/>
    <cellStyle name="Normal 5 2 8 3" xfId="16568" xr:uid="{00000000-0005-0000-0000-00009B400000}"/>
    <cellStyle name="Normal 5 2 8 3 2" xfId="16569" xr:uid="{00000000-0005-0000-0000-00009C400000}"/>
    <cellStyle name="Normal 5 2 8 3 3" xfId="16570" xr:uid="{00000000-0005-0000-0000-00009D400000}"/>
    <cellStyle name="Normal 5 2 8 4" xfId="16571" xr:uid="{00000000-0005-0000-0000-00009E400000}"/>
    <cellStyle name="Normal 5 2 8 4 2" xfId="16572" xr:uid="{00000000-0005-0000-0000-00009F400000}"/>
    <cellStyle name="Normal 5 2 8 4 3" xfId="16573" xr:uid="{00000000-0005-0000-0000-0000A0400000}"/>
    <cellStyle name="Normal 5 2 8 5" xfId="16574" xr:uid="{00000000-0005-0000-0000-0000A1400000}"/>
    <cellStyle name="Normal 5 2 8 5 2" xfId="16575" xr:uid="{00000000-0005-0000-0000-0000A2400000}"/>
    <cellStyle name="Normal 5 2 8 5 3" xfId="16576" xr:uid="{00000000-0005-0000-0000-0000A3400000}"/>
    <cellStyle name="Normal 5 2 8 6" xfId="16577" xr:uid="{00000000-0005-0000-0000-0000A4400000}"/>
    <cellStyle name="Normal 5 2 8 6 2" xfId="16578" xr:uid="{00000000-0005-0000-0000-0000A5400000}"/>
    <cellStyle name="Normal 5 2 8 6 3" xfId="16579" xr:uid="{00000000-0005-0000-0000-0000A6400000}"/>
    <cellStyle name="Normal 5 2 8 7" xfId="16580" xr:uid="{00000000-0005-0000-0000-0000A7400000}"/>
    <cellStyle name="Normal 5 2 8 8" xfId="16581" xr:uid="{00000000-0005-0000-0000-0000A8400000}"/>
    <cellStyle name="Normal 5 2 9" xfId="16582" xr:uid="{00000000-0005-0000-0000-0000A9400000}"/>
    <cellStyle name="Normal 5 2 9 2" xfId="16583" xr:uid="{00000000-0005-0000-0000-0000AA400000}"/>
    <cellStyle name="Normal 5 2 9 2 2" xfId="16584" xr:uid="{00000000-0005-0000-0000-0000AB400000}"/>
    <cellStyle name="Normal 5 2 9 2 2 2" xfId="16585" xr:uid="{00000000-0005-0000-0000-0000AC400000}"/>
    <cellStyle name="Normal 5 2 9 2 3" xfId="16586" xr:uid="{00000000-0005-0000-0000-0000AD400000}"/>
    <cellStyle name="Normal 5 2 9 3" xfId="16587" xr:uid="{00000000-0005-0000-0000-0000AE400000}"/>
    <cellStyle name="Normal 5 2 9 3 2" xfId="16588" xr:uid="{00000000-0005-0000-0000-0000AF400000}"/>
    <cellStyle name="Normal 5 2 9 3 3" xfId="16589" xr:uid="{00000000-0005-0000-0000-0000B0400000}"/>
    <cellStyle name="Normal 5 2 9 4" xfId="16590" xr:uid="{00000000-0005-0000-0000-0000B1400000}"/>
    <cellStyle name="Normal 5 2 9 4 2" xfId="16591" xr:uid="{00000000-0005-0000-0000-0000B2400000}"/>
    <cellStyle name="Normal 5 2 9 4 3" xfId="16592" xr:uid="{00000000-0005-0000-0000-0000B3400000}"/>
    <cellStyle name="Normal 5 2 9 5" xfId="16593" xr:uid="{00000000-0005-0000-0000-0000B4400000}"/>
    <cellStyle name="Normal 5 2 9 5 2" xfId="16594" xr:uid="{00000000-0005-0000-0000-0000B5400000}"/>
    <cellStyle name="Normal 5 2 9 5 3" xfId="16595" xr:uid="{00000000-0005-0000-0000-0000B6400000}"/>
    <cellStyle name="Normal 5 2 9 6" xfId="16596" xr:uid="{00000000-0005-0000-0000-0000B7400000}"/>
    <cellStyle name="Normal 5 2 9 6 2" xfId="16597" xr:uid="{00000000-0005-0000-0000-0000B8400000}"/>
    <cellStyle name="Normal 5 2 9 6 3" xfId="16598" xr:uid="{00000000-0005-0000-0000-0000B9400000}"/>
    <cellStyle name="Normal 5 2 9 7" xfId="16599" xr:uid="{00000000-0005-0000-0000-0000BA400000}"/>
    <cellStyle name="Normal 5 2 9 8" xfId="16600" xr:uid="{00000000-0005-0000-0000-0000BB400000}"/>
    <cellStyle name="Normal 5 2_5.Vemulapudi" xfId="16601" xr:uid="{00000000-0005-0000-0000-0000BC400000}"/>
    <cellStyle name="Normal 5 20" xfId="16602" xr:uid="{00000000-0005-0000-0000-0000BD400000}"/>
    <cellStyle name="Normal 5 20 2" xfId="16603" xr:uid="{00000000-0005-0000-0000-0000BE400000}"/>
    <cellStyle name="Normal 5 21" xfId="16604" xr:uid="{00000000-0005-0000-0000-0000BF400000}"/>
    <cellStyle name="Normal 5 21 2" xfId="16605" xr:uid="{00000000-0005-0000-0000-0000C0400000}"/>
    <cellStyle name="Normal 5 22" xfId="16606" xr:uid="{00000000-0005-0000-0000-0000C1400000}"/>
    <cellStyle name="Normal 5 23" xfId="16607" xr:uid="{00000000-0005-0000-0000-0000C2400000}"/>
    <cellStyle name="Normal 5 24" xfId="16608" xr:uid="{00000000-0005-0000-0000-0000C3400000}"/>
    <cellStyle name="Normal 5 24 2" xfId="16609" xr:uid="{00000000-0005-0000-0000-0000C4400000}"/>
    <cellStyle name="Normal 5 25" xfId="16610" xr:uid="{00000000-0005-0000-0000-0000C5400000}"/>
    <cellStyle name="Normal 5 25 2" xfId="16611" xr:uid="{00000000-0005-0000-0000-0000C6400000}"/>
    <cellStyle name="Normal 5 26" xfId="16612" xr:uid="{00000000-0005-0000-0000-0000C7400000}"/>
    <cellStyle name="Normal 5 26 2" xfId="16613" xr:uid="{00000000-0005-0000-0000-0000C8400000}"/>
    <cellStyle name="Normal 5 27" xfId="16614" xr:uid="{00000000-0005-0000-0000-0000C9400000}"/>
    <cellStyle name="Normal 5 27 2" xfId="16615" xr:uid="{00000000-0005-0000-0000-0000CA400000}"/>
    <cellStyle name="Normal 5 3" xfId="16616" xr:uid="{00000000-0005-0000-0000-0000CB400000}"/>
    <cellStyle name="Normal 5 3 10" xfId="16617" xr:uid="{00000000-0005-0000-0000-0000CC400000}"/>
    <cellStyle name="Normal 5 3 11" xfId="16618" xr:uid="{00000000-0005-0000-0000-0000CD400000}"/>
    <cellStyle name="Normal 5 3 12" xfId="16619" xr:uid="{00000000-0005-0000-0000-0000CE400000}"/>
    <cellStyle name="Normal 5 3 13" xfId="16620" xr:uid="{00000000-0005-0000-0000-0000CF400000}"/>
    <cellStyle name="Normal 5 3 2" xfId="16621" xr:uid="{00000000-0005-0000-0000-0000D0400000}"/>
    <cellStyle name="Normal 5 3 2 2" xfId="16622" xr:uid="{00000000-0005-0000-0000-0000D1400000}"/>
    <cellStyle name="Normal 5 3 2 3" xfId="16623" xr:uid="{00000000-0005-0000-0000-0000D2400000}"/>
    <cellStyle name="Normal 5 3 2 4" xfId="16624" xr:uid="{00000000-0005-0000-0000-0000D3400000}"/>
    <cellStyle name="Normal 5 3 2 5" xfId="16625" xr:uid="{00000000-0005-0000-0000-0000D4400000}"/>
    <cellStyle name="Normal 5 3 2 6" xfId="16626" xr:uid="{00000000-0005-0000-0000-0000D5400000}"/>
    <cellStyle name="Normal 5 3 2 7" xfId="16627" xr:uid="{00000000-0005-0000-0000-0000D6400000}"/>
    <cellStyle name="Normal 5 3 2 8" xfId="16628" xr:uid="{00000000-0005-0000-0000-0000D7400000}"/>
    <cellStyle name="Normal 5 3 2 9" xfId="16629" xr:uid="{00000000-0005-0000-0000-0000D8400000}"/>
    <cellStyle name="Normal 5 3 3" xfId="16630" xr:uid="{00000000-0005-0000-0000-0000D9400000}"/>
    <cellStyle name="Normal 5 3 3 2" xfId="16631" xr:uid="{00000000-0005-0000-0000-0000DA400000}"/>
    <cellStyle name="Normal 5 3 3 2 2" xfId="16632" xr:uid="{00000000-0005-0000-0000-0000DB400000}"/>
    <cellStyle name="Normal 5 3 3 2 3" xfId="16633" xr:uid="{00000000-0005-0000-0000-0000DC400000}"/>
    <cellStyle name="Normal 5 3 3 2 4" xfId="16634" xr:uid="{00000000-0005-0000-0000-0000DD400000}"/>
    <cellStyle name="Normal 5 3 3 3" xfId="16635" xr:uid="{00000000-0005-0000-0000-0000DE400000}"/>
    <cellStyle name="Normal 5 3 3 3 2" xfId="16636" xr:uid="{00000000-0005-0000-0000-0000DF400000}"/>
    <cellStyle name="Normal 5 3 3 3 3" xfId="16637" xr:uid="{00000000-0005-0000-0000-0000E0400000}"/>
    <cellStyle name="Normal 5 3 3 4" xfId="16638" xr:uid="{00000000-0005-0000-0000-0000E1400000}"/>
    <cellStyle name="Normal 5 3 3 5" xfId="16639" xr:uid="{00000000-0005-0000-0000-0000E2400000}"/>
    <cellStyle name="Normal 5 3 3 6" xfId="16640" xr:uid="{00000000-0005-0000-0000-0000E3400000}"/>
    <cellStyle name="Normal 5 3 3_NERELLA ADDITIONAL CLASS ROOMS IN FF" xfId="16641" xr:uid="{00000000-0005-0000-0000-0000E4400000}"/>
    <cellStyle name="Normal 5 3 4" xfId="16642" xr:uid="{00000000-0005-0000-0000-0000E5400000}"/>
    <cellStyle name="Normal 5 3 4 2" xfId="16643" xr:uid="{00000000-0005-0000-0000-0000E6400000}"/>
    <cellStyle name="Normal 5 3 4 3" xfId="16644" xr:uid="{00000000-0005-0000-0000-0000E7400000}"/>
    <cellStyle name="Normal 5 3 4 4" xfId="16645" xr:uid="{00000000-0005-0000-0000-0000E8400000}"/>
    <cellStyle name="Normal 5 3 4 5" xfId="16646" xr:uid="{00000000-0005-0000-0000-0000E9400000}"/>
    <cellStyle name="Normal 5 3 5" xfId="16647" xr:uid="{00000000-0005-0000-0000-0000EA400000}"/>
    <cellStyle name="Normal 5 3 5 2" xfId="16648" xr:uid="{00000000-0005-0000-0000-0000EB400000}"/>
    <cellStyle name="Normal 5 3 5 3" xfId="16649" xr:uid="{00000000-0005-0000-0000-0000EC400000}"/>
    <cellStyle name="Normal 5 3 5 4" xfId="16650" xr:uid="{00000000-0005-0000-0000-0000ED400000}"/>
    <cellStyle name="Normal 5 3 6" xfId="16651" xr:uid="{00000000-0005-0000-0000-0000EE400000}"/>
    <cellStyle name="Normal 5 3 6 2" xfId="16652" xr:uid="{00000000-0005-0000-0000-0000EF400000}"/>
    <cellStyle name="Normal 5 3 6 3" xfId="16653" xr:uid="{00000000-0005-0000-0000-0000F0400000}"/>
    <cellStyle name="Normal 5 3 7" xfId="16654" xr:uid="{00000000-0005-0000-0000-0000F1400000}"/>
    <cellStyle name="Normal 5 3 7 2" xfId="16655" xr:uid="{00000000-0005-0000-0000-0000F2400000}"/>
    <cellStyle name="Normal 5 3 7 3" xfId="16656" xr:uid="{00000000-0005-0000-0000-0000F3400000}"/>
    <cellStyle name="Normal 5 3 8" xfId="16657" xr:uid="{00000000-0005-0000-0000-0000F4400000}"/>
    <cellStyle name="Normal 5 3 9" xfId="16658" xr:uid="{00000000-0005-0000-0000-0000F5400000}"/>
    <cellStyle name="Normal 5 3_Aksanpally SSR 2014-15 Final" xfId="16659" xr:uid="{00000000-0005-0000-0000-0000F6400000}"/>
    <cellStyle name="Normal 5 4" xfId="16660" xr:uid="{00000000-0005-0000-0000-0000F7400000}"/>
    <cellStyle name="Normal 5 4 10" xfId="16661" xr:uid="{00000000-0005-0000-0000-0000F8400000}"/>
    <cellStyle name="Normal 5 4 2" xfId="16662" xr:uid="{00000000-0005-0000-0000-0000F9400000}"/>
    <cellStyle name="Normal 5 4 3" xfId="16663" xr:uid="{00000000-0005-0000-0000-0000FA400000}"/>
    <cellStyle name="Normal 5 4 4" xfId="16664" xr:uid="{00000000-0005-0000-0000-0000FB400000}"/>
    <cellStyle name="Normal 5 4 5" xfId="16665" xr:uid="{00000000-0005-0000-0000-0000FC400000}"/>
    <cellStyle name="Normal 5 4 6" xfId="16666" xr:uid="{00000000-0005-0000-0000-0000FD400000}"/>
    <cellStyle name="Normal 5 4 7" xfId="16667" xr:uid="{00000000-0005-0000-0000-0000FE400000}"/>
    <cellStyle name="Normal 5 4 8" xfId="16668" xr:uid="{00000000-0005-0000-0000-0000FF400000}"/>
    <cellStyle name="Normal 5 4 9" xfId="16669" xr:uid="{00000000-0005-0000-0000-000000410000}"/>
    <cellStyle name="Normal 5 5" xfId="16670" xr:uid="{00000000-0005-0000-0000-000001410000}"/>
    <cellStyle name="Normal 5 5 2" xfId="16671" xr:uid="{00000000-0005-0000-0000-000002410000}"/>
    <cellStyle name="Normal 5 5 2 2" xfId="16672" xr:uid="{00000000-0005-0000-0000-000003410000}"/>
    <cellStyle name="Normal 5 5 2 2 2" xfId="16673" xr:uid="{00000000-0005-0000-0000-000004410000}"/>
    <cellStyle name="Normal 5 5 2 2 2 2" xfId="16674" xr:uid="{00000000-0005-0000-0000-000005410000}"/>
    <cellStyle name="Normal 5 5 2 2 3" xfId="16675" xr:uid="{00000000-0005-0000-0000-000006410000}"/>
    <cellStyle name="Normal 5 5 2 3" xfId="16676" xr:uid="{00000000-0005-0000-0000-000007410000}"/>
    <cellStyle name="Normal 5 5 2 3 2" xfId="16677" xr:uid="{00000000-0005-0000-0000-000008410000}"/>
    <cellStyle name="Normal 5 5 2 4" xfId="16678" xr:uid="{00000000-0005-0000-0000-000009410000}"/>
    <cellStyle name="Normal 5 5 2 4 2" xfId="16679" xr:uid="{00000000-0005-0000-0000-00000A410000}"/>
    <cellStyle name="Normal 5 5 2 5" xfId="16680" xr:uid="{00000000-0005-0000-0000-00000B410000}"/>
    <cellStyle name="Normal 5 5 3" xfId="16681" xr:uid="{00000000-0005-0000-0000-00000C410000}"/>
    <cellStyle name="Normal 5 5 3 2" xfId="16682" xr:uid="{00000000-0005-0000-0000-00000D410000}"/>
    <cellStyle name="Normal 5 5 3 2 2" xfId="16683" xr:uid="{00000000-0005-0000-0000-00000E410000}"/>
    <cellStyle name="Normal 5 5 3 2 2 2" xfId="16684" xr:uid="{00000000-0005-0000-0000-00000F410000}"/>
    <cellStyle name="Normal 5 5 3 2 3" xfId="16685" xr:uid="{00000000-0005-0000-0000-000010410000}"/>
    <cellStyle name="Normal 5 5 3 3" xfId="16686" xr:uid="{00000000-0005-0000-0000-000011410000}"/>
    <cellStyle name="Normal 5 5 3 3 2" xfId="16687" xr:uid="{00000000-0005-0000-0000-000012410000}"/>
    <cellStyle name="Normal 5 5 3 4" xfId="16688" xr:uid="{00000000-0005-0000-0000-000013410000}"/>
    <cellStyle name="Normal 5 5 3 4 2" xfId="16689" xr:uid="{00000000-0005-0000-0000-000014410000}"/>
    <cellStyle name="Normal 5 5 3 5" xfId="16690" xr:uid="{00000000-0005-0000-0000-000015410000}"/>
    <cellStyle name="Normal 5 5 4" xfId="16691" xr:uid="{00000000-0005-0000-0000-000016410000}"/>
    <cellStyle name="Normal 5 5 4 2" xfId="16692" xr:uid="{00000000-0005-0000-0000-000017410000}"/>
    <cellStyle name="Normal 5 5 4 2 2" xfId="16693" xr:uid="{00000000-0005-0000-0000-000018410000}"/>
    <cellStyle name="Normal 5 5 4 2 2 2" xfId="16694" xr:uid="{00000000-0005-0000-0000-000019410000}"/>
    <cellStyle name="Normal 5 5 4 2 3" xfId="16695" xr:uid="{00000000-0005-0000-0000-00001A410000}"/>
    <cellStyle name="Normal 5 5 4 3" xfId="16696" xr:uid="{00000000-0005-0000-0000-00001B410000}"/>
    <cellStyle name="Normal 5 5 4 3 2" xfId="16697" xr:uid="{00000000-0005-0000-0000-00001C410000}"/>
    <cellStyle name="Normal 5 5 4 4" xfId="16698" xr:uid="{00000000-0005-0000-0000-00001D410000}"/>
    <cellStyle name="Normal 5 5 4 4 2" xfId="16699" xr:uid="{00000000-0005-0000-0000-00001E410000}"/>
    <cellStyle name="Normal 5 5 4 5" xfId="16700" xr:uid="{00000000-0005-0000-0000-00001F410000}"/>
    <cellStyle name="Normal 5 5 5" xfId="16701" xr:uid="{00000000-0005-0000-0000-000020410000}"/>
    <cellStyle name="Normal 5 5 5 2" xfId="16702" xr:uid="{00000000-0005-0000-0000-000021410000}"/>
    <cellStyle name="Normal 5 5 5 2 2" xfId="16703" xr:uid="{00000000-0005-0000-0000-000022410000}"/>
    <cellStyle name="Normal 5 5 5 2 2 2" xfId="16704" xr:uid="{00000000-0005-0000-0000-000023410000}"/>
    <cellStyle name="Normal 5 5 5 2 3" xfId="16705" xr:uid="{00000000-0005-0000-0000-000024410000}"/>
    <cellStyle name="Normal 5 5 5 3" xfId="16706" xr:uid="{00000000-0005-0000-0000-000025410000}"/>
    <cellStyle name="Normal 5 5 5 3 2" xfId="16707" xr:uid="{00000000-0005-0000-0000-000026410000}"/>
    <cellStyle name="Normal 5 5 5 4" xfId="16708" xr:uid="{00000000-0005-0000-0000-000027410000}"/>
    <cellStyle name="Normal 5 5 5 4 2" xfId="16709" xr:uid="{00000000-0005-0000-0000-000028410000}"/>
    <cellStyle name="Normal 5 5 5 5" xfId="16710" xr:uid="{00000000-0005-0000-0000-000029410000}"/>
    <cellStyle name="Normal 5 5 6" xfId="16711" xr:uid="{00000000-0005-0000-0000-00002A410000}"/>
    <cellStyle name="Normal 5 5 6 2" xfId="16712" xr:uid="{00000000-0005-0000-0000-00002B410000}"/>
    <cellStyle name="Normal 5 5 6 2 2" xfId="16713" xr:uid="{00000000-0005-0000-0000-00002C410000}"/>
    <cellStyle name="Normal 5 5 6 3" xfId="16714" xr:uid="{00000000-0005-0000-0000-00002D410000}"/>
    <cellStyle name="Normal 5 5 7" xfId="16715" xr:uid="{00000000-0005-0000-0000-00002E410000}"/>
    <cellStyle name="Normal 5 5 7 2" xfId="16716" xr:uid="{00000000-0005-0000-0000-00002F410000}"/>
    <cellStyle name="Normal 5 5 8" xfId="16717" xr:uid="{00000000-0005-0000-0000-000030410000}"/>
    <cellStyle name="Normal 5 5 8 2" xfId="16718" xr:uid="{00000000-0005-0000-0000-000031410000}"/>
    <cellStyle name="Normal 5 5 9" xfId="16719" xr:uid="{00000000-0005-0000-0000-000032410000}"/>
    <cellStyle name="Normal 5 6" xfId="16720" xr:uid="{00000000-0005-0000-0000-000033410000}"/>
    <cellStyle name="Normal 5 6 2" xfId="16721" xr:uid="{00000000-0005-0000-0000-000034410000}"/>
    <cellStyle name="Normal 5 6 2 2" xfId="16722" xr:uid="{00000000-0005-0000-0000-000035410000}"/>
    <cellStyle name="Normal 5 6 2 2 2" xfId="16723" xr:uid="{00000000-0005-0000-0000-000036410000}"/>
    <cellStyle name="Normal 5 6 2 2 2 2" xfId="16724" xr:uid="{00000000-0005-0000-0000-000037410000}"/>
    <cellStyle name="Normal 5 6 2 2 3" xfId="16725" xr:uid="{00000000-0005-0000-0000-000038410000}"/>
    <cellStyle name="Normal 5 6 2 3" xfId="16726" xr:uid="{00000000-0005-0000-0000-000039410000}"/>
    <cellStyle name="Normal 5 6 2 3 2" xfId="16727" xr:uid="{00000000-0005-0000-0000-00003A410000}"/>
    <cellStyle name="Normal 5 6 2 4" xfId="16728" xr:uid="{00000000-0005-0000-0000-00003B410000}"/>
    <cellStyle name="Normal 5 6 2 4 2" xfId="16729" xr:uid="{00000000-0005-0000-0000-00003C410000}"/>
    <cellStyle name="Normal 5 6 2 5" xfId="16730" xr:uid="{00000000-0005-0000-0000-00003D410000}"/>
    <cellStyle name="Normal 5 6 3" xfId="16731" xr:uid="{00000000-0005-0000-0000-00003E410000}"/>
    <cellStyle name="Normal 5 6 3 2" xfId="16732" xr:uid="{00000000-0005-0000-0000-00003F410000}"/>
    <cellStyle name="Normal 5 6 3 2 2" xfId="16733" xr:uid="{00000000-0005-0000-0000-000040410000}"/>
    <cellStyle name="Normal 5 6 3 2 2 2" xfId="16734" xr:uid="{00000000-0005-0000-0000-000041410000}"/>
    <cellStyle name="Normal 5 6 3 2 3" xfId="16735" xr:uid="{00000000-0005-0000-0000-000042410000}"/>
    <cellStyle name="Normal 5 6 3 3" xfId="16736" xr:uid="{00000000-0005-0000-0000-000043410000}"/>
    <cellStyle name="Normal 5 6 3 3 2" xfId="16737" xr:uid="{00000000-0005-0000-0000-000044410000}"/>
    <cellStyle name="Normal 5 6 3 4" xfId="16738" xr:uid="{00000000-0005-0000-0000-000045410000}"/>
    <cellStyle name="Normal 5 6 3 4 2" xfId="16739" xr:uid="{00000000-0005-0000-0000-000046410000}"/>
    <cellStyle name="Normal 5 6 3 5" xfId="16740" xr:uid="{00000000-0005-0000-0000-000047410000}"/>
    <cellStyle name="Normal 5 6 4" xfId="16741" xr:uid="{00000000-0005-0000-0000-000048410000}"/>
    <cellStyle name="Normal 5 6 4 2" xfId="16742" xr:uid="{00000000-0005-0000-0000-000049410000}"/>
    <cellStyle name="Normal 5 6 4 2 2" xfId="16743" xr:uid="{00000000-0005-0000-0000-00004A410000}"/>
    <cellStyle name="Normal 5 6 4 2 2 2" xfId="16744" xr:uid="{00000000-0005-0000-0000-00004B410000}"/>
    <cellStyle name="Normal 5 6 4 2 3" xfId="16745" xr:uid="{00000000-0005-0000-0000-00004C410000}"/>
    <cellStyle name="Normal 5 6 4 3" xfId="16746" xr:uid="{00000000-0005-0000-0000-00004D410000}"/>
    <cellStyle name="Normal 5 6 4 3 2" xfId="16747" xr:uid="{00000000-0005-0000-0000-00004E410000}"/>
    <cellStyle name="Normal 5 6 4 4" xfId="16748" xr:uid="{00000000-0005-0000-0000-00004F410000}"/>
    <cellStyle name="Normal 5 6 4 4 2" xfId="16749" xr:uid="{00000000-0005-0000-0000-000050410000}"/>
    <cellStyle name="Normal 5 6 4 5" xfId="16750" xr:uid="{00000000-0005-0000-0000-000051410000}"/>
    <cellStyle name="Normal 5 6 5" xfId="16751" xr:uid="{00000000-0005-0000-0000-000052410000}"/>
    <cellStyle name="Normal 5 6 5 2" xfId="16752" xr:uid="{00000000-0005-0000-0000-000053410000}"/>
    <cellStyle name="Normal 5 6 5 2 2" xfId="16753" xr:uid="{00000000-0005-0000-0000-000054410000}"/>
    <cellStyle name="Normal 5 6 5 2 2 2" xfId="16754" xr:uid="{00000000-0005-0000-0000-000055410000}"/>
    <cellStyle name="Normal 5 6 5 2 3" xfId="16755" xr:uid="{00000000-0005-0000-0000-000056410000}"/>
    <cellStyle name="Normal 5 6 5 3" xfId="16756" xr:uid="{00000000-0005-0000-0000-000057410000}"/>
    <cellStyle name="Normal 5 6 5 3 2" xfId="16757" xr:uid="{00000000-0005-0000-0000-000058410000}"/>
    <cellStyle name="Normal 5 6 5 4" xfId="16758" xr:uid="{00000000-0005-0000-0000-000059410000}"/>
    <cellStyle name="Normal 5 6 5 4 2" xfId="16759" xr:uid="{00000000-0005-0000-0000-00005A410000}"/>
    <cellStyle name="Normal 5 6 5 5" xfId="16760" xr:uid="{00000000-0005-0000-0000-00005B410000}"/>
    <cellStyle name="Normal 5 6 6" xfId="16761" xr:uid="{00000000-0005-0000-0000-00005C410000}"/>
    <cellStyle name="Normal 5 6 6 2" xfId="16762" xr:uid="{00000000-0005-0000-0000-00005D410000}"/>
    <cellStyle name="Normal 5 6 6 2 2" xfId="16763" xr:uid="{00000000-0005-0000-0000-00005E410000}"/>
    <cellStyle name="Normal 5 6 6 3" xfId="16764" xr:uid="{00000000-0005-0000-0000-00005F410000}"/>
    <cellStyle name="Normal 5 6 7" xfId="16765" xr:uid="{00000000-0005-0000-0000-000060410000}"/>
    <cellStyle name="Normal 5 6 7 2" xfId="16766" xr:uid="{00000000-0005-0000-0000-000061410000}"/>
    <cellStyle name="Normal 5 6 8" xfId="16767" xr:uid="{00000000-0005-0000-0000-000062410000}"/>
    <cellStyle name="Normal 5 6 8 2" xfId="16768" xr:uid="{00000000-0005-0000-0000-000063410000}"/>
    <cellStyle name="Normal 5 6 9" xfId="16769" xr:uid="{00000000-0005-0000-0000-000064410000}"/>
    <cellStyle name="Normal 5 7" xfId="16770" xr:uid="{00000000-0005-0000-0000-000065410000}"/>
    <cellStyle name="Normal 5 7 2" xfId="16771" xr:uid="{00000000-0005-0000-0000-000066410000}"/>
    <cellStyle name="Normal 5 7 3" xfId="16772" xr:uid="{00000000-0005-0000-0000-000067410000}"/>
    <cellStyle name="Normal 5 7 4" xfId="16773" xr:uid="{00000000-0005-0000-0000-000068410000}"/>
    <cellStyle name="Normal 5 7 5" xfId="16774" xr:uid="{00000000-0005-0000-0000-000069410000}"/>
    <cellStyle name="Normal 5 7 6" xfId="16775" xr:uid="{00000000-0005-0000-0000-00006A410000}"/>
    <cellStyle name="Normal 5 7 7" xfId="16776" xr:uid="{00000000-0005-0000-0000-00006B410000}"/>
    <cellStyle name="Normal 5 7 8" xfId="16777" xr:uid="{00000000-0005-0000-0000-00006C410000}"/>
    <cellStyle name="Normal 5 8" xfId="16778" xr:uid="{00000000-0005-0000-0000-00006D410000}"/>
    <cellStyle name="Normal 5 8 2" xfId="16779" xr:uid="{00000000-0005-0000-0000-00006E410000}"/>
    <cellStyle name="Normal 5 8 3" xfId="16780" xr:uid="{00000000-0005-0000-0000-00006F410000}"/>
    <cellStyle name="Normal 5 8 4" xfId="16781" xr:uid="{00000000-0005-0000-0000-000070410000}"/>
    <cellStyle name="Normal 5 8 5" xfId="16782" xr:uid="{00000000-0005-0000-0000-000071410000}"/>
    <cellStyle name="Normal 5 8 6" xfId="16783" xr:uid="{00000000-0005-0000-0000-000072410000}"/>
    <cellStyle name="Normal 5 8 7" xfId="16784" xr:uid="{00000000-0005-0000-0000-000073410000}"/>
    <cellStyle name="Normal 5 8 8" xfId="16785" xr:uid="{00000000-0005-0000-0000-000074410000}"/>
    <cellStyle name="Normal 5 9" xfId="16786" xr:uid="{00000000-0005-0000-0000-000075410000}"/>
    <cellStyle name="Normal 5 9 2" xfId="16787" xr:uid="{00000000-0005-0000-0000-000076410000}"/>
    <cellStyle name="Normal 5 9 3" xfId="16788" xr:uid="{00000000-0005-0000-0000-000077410000}"/>
    <cellStyle name="Normal 5 9 4" xfId="16789" xr:uid="{00000000-0005-0000-0000-000078410000}"/>
    <cellStyle name="Normal 5 9 5" xfId="16790" xr:uid="{00000000-0005-0000-0000-000079410000}"/>
    <cellStyle name="Normal 5 9 6" xfId="16791" xr:uid="{00000000-0005-0000-0000-00007A410000}"/>
    <cellStyle name="Normal 5 9 7" xfId="16792" xr:uid="{00000000-0005-0000-0000-00007B410000}"/>
    <cellStyle name="Normal 5 9 8" xfId="16793" xr:uid="{00000000-0005-0000-0000-00007C410000}"/>
    <cellStyle name="Normal 5_2_AP02X016 - KP Kunta" xfId="16794" xr:uid="{00000000-0005-0000-0000-00007D410000}"/>
    <cellStyle name="Normal 50" xfId="16795" xr:uid="{00000000-0005-0000-0000-00007E410000}"/>
    <cellStyle name="Normal 50 2" xfId="16796" xr:uid="{00000000-0005-0000-0000-00007F410000}"/>
    <cellStyle name="Normal 50 2 2" xfId="16797" xr:uid="{00000000-0005-0000-0000-000080410000}"/>
    <cellStyle name="Normal 50 2 3" xfId="16798" xr:uid="{00000000-0005-0000-0000-000081410000}"/>
    <cellStyle name="Normal 50 3" xfId="16799" xr:uid="{00000000-0005-0000-0000-000082410000}"/>
    <cellStyle name="Normal 50 3 2" xfId="16800" xr:uid="{00000000-0005-0000-0000-000083410000}"/>
    <cellStyle name="Normal 50 3 3" xfId="16801" xr:uid="{00000000-0005-0000-0000-000084410000}"/>
    <cellStyle name="Normal 50 4" xfId="16802" xr:uid="{00000000-0005-0000-0000-000085410000}"/>
    <cellStyle name="Normal 50 5" xfId="16803" xr:uid="{00000000-0005-0000-0000-000086410000}"/>
    <cellStyle name="Normal 51" xfId="16804" xr:uid="{00000000-0005-0000-0000-000087410000}"/>
    <cellStyle name="Normal 51 2" xfId="16805" xr:uid="{00000000-0005-0000-0000-000088410000}"/>
    <cellStyle name="Normal 51 2 2" xfId="16806" xr:uid="{00000000-0005-0000-0000-000089410000}"/>
    <cellStyle name="Normal 51 2 3" xfId="16807" xr:uid="{00000000-0005-0000-0000-00008A410000}"/>
    <cellStyle name="Normal 51 3" xfId="16808" xr:uid="{00000000-0005-0000-0000-00008B410000}"/>
    <cellStyle name="Normal 51 3 2" xfId="16809" xr:uid="{00000000-0005-0000-0000-00008C410000}"/>
    <cellStyle name="Normal 51 3 3" xfId="16810" xr:uid="{00000000-0005-0000-0000-00008D410000}"/>
    <cellStyle name="Normal 51 4" xfId="16811" xr:uid="{00000000-0005-0000-0000-00008E410000}"/>
    <cellStyle name="Normal 51 5" xfId="16812" xr:uid="{00000000-0005-0000-0000-00008F410000}"/>
    <cellStyle name="Normal 52" xfId="16813" xr:uid="{00000000-0005-0000-0000-000090410000}"/>
    <cellStyle name="Normal 52 2" xfId="16814" xr:uid="{00000000-0005-0000-0000-000091410000}"/>
    <cellStyle name="Normal 52 2 2" xfId="16815" xr:uid="{00000000-0005-0000-0000-000092410000}"/>
    <cellStyle name="Normal 52 2 3" xfId="16816" xr:uid="{00000000-0005-0000-0000-000093410000}"/>
    <cellStyle name="Normal 52 3" xfId="16817" xr:uid="{00000000-0005-0000-0000-000094410000}"/>
    <cellStyle name="Normal 52 3 2" xfId="16818" xr:uid="{00000000-0005-0000-0000-000095410000}"/>
    <cellStyle name="Normal 52 3 3" xfId="16819" xr:uid="{00000000-0005-0000-0000-000096410000}"/>
    <cellStyle name="Normal 52 4" xfId="16820" xr:uid="{00000000-0005-0000-0000-000097410000}"/>
    <cellStyle name="Normal 52 5" xfId="16821" xr:uid="{00000000-0005-0000-0000-000098410000}"/>
    <cellStyle name="Normal 52 6" xfId="16822" xr:uid="{00000000-0005-0000-0000-000099410000}"/>
    <cellStyle name="Normal 53" xfId="16823" xr:uid="{00000000-0005-0000-0000-00009A410000}"/>
    <cellStyle name="Normal 53 2" xfId="16824" xr:uid="{00000000-0005-0000-0000-00009B410000}"/>
    <cellStyle name="Normal 53 2 2" xfId="16825" xr:uid="{00000000-0005-0000-0000-00009C410000}"/>
    <cellStyle name="Normal 53 2 2 2" xfId="16826" xr:uid="{00000000-0005-0000-0000-00009D410000}"/>
    <cellStyle name="Normal 53 2 3" xfId="16827" xr:uid="{00000000-0005-0000-0000-00009E410000}"/>
    <cellStyle name="Normal 53 2 4" xfId="16828" xr:uid="{00000000-0005-0000-0000-00009F410000}"/>
    <cellStyle name="Normal 53 3" xfId="16829" xr:uid="{00000000-0005-0000-0000-0000A0410000}"/>
    <cellStyle name="Normal 53 3 2" xfId="16830" xr:uid="{00000000-0005-0000-0000-0000A1410000}"/>
    <cellStyle name="Normal 53 3 3" xfId="16831" xr:uid="{00000000-0005-0000-0000-0000A2410000}"/>
    <cellStyle name="Normal 53 4" xfId="16832" xr:uid="{00000000-0005-0000-0000-0000A3410000}"/>
    <cellStyle name="Normal 53 5" xfId="16833" xr:uid="{00000000-0005-0000-0000-0000A4410000}"/>
    <cellStyle name="Normal 53 6" xfId="16834" xr:uid="{00000000-0005-0000-0000-0000A5410000}"/>
    <cellStyle name="Normal 54" xfId="16835" xr:uid="{00000000-0005-0000-0000-0000A6410000}"/>
    <cellStyle name="Normal 54 2" xfId="16836" xr:uid="{00000000-0005-0000-0000-0000A7410000}"/>
    <cellStyle name="Normal 54 2 2" xfId="16837" xr:uid="{00000000-0005-0000-0000-0000A8410000}"/>
    <cellStyle name="Normal 54 2 3" xfId="16838" xr:uid="{00000000-0005-0000-0000-0000A9410000}"/>
    <cellStyle name="Normal 54 2 4" xfId="16839" xr:uid="{00000000-0005-0000-0000-0000AA410000}"/>
    <cellStyle name="Normal 54 2 5" xfId="16840" xr:uid="{00000000-0005-0000-0000-0000AB410000}"/>
    <cellStyle name="Normal 54 3" xfId="16841" xr:uid="{00000000-0005-0000-0000-0000AC410000}"/>
    <cellStyle name="Normal 54 3 2" xfId="16842" xr:uid="{00000000-0005-0000-0000-0000AD410000}"/>
    <cellStyle name="Normal 54 3 3" xfId="16843" xr:uid="{00000000-0005-0000-0000-0000AE410000}"/>
    <cellStyle name="Normal 54 3 4" xfId="16844" xr:uid="{00000000-0005-0000-0000-0000AF410000}"/>
    <cellStyle name="Normal 54 3 5" xfId="16845" xr:uid="{00000000-0005-0000-0000-0000B0410000}"/>
    <cellStyle name="Normal 54 4" xfId="16846" xr:uid="{00000000-0005-0000-0000-0000B1410000}"/>
    <cellStyle name="Normal 54 5" xfId="16847" xr:uid="{00000000-0005-0000-0000-0000B2410000}"/>
    <cellStyle name="Normal 54 6" xfId="16848" xr:uid="{00000000-0005-0000-0000-0000B3410000}"/>
    <cellStyle name="Normal 54 7" xfId="16849" xr:uid="{00000000-0005-0000-0000-0000B4410000}"/>
    <cellStyle name="Normal 55" xfId="16850" xr:uid="{00000000-0005-0000-0000-0000B5410000}"/>
    <cellStyle name="Normal 55 2" xfId="16851" xr:uid="{00000000-0005-0000-0000-0000B6410000}"/>
    <cellStyle name="Normal 55 2 2" xfId="16852" xr:uid="{00000000-0005-0000-0000-0000B7410000}"/>
    <cellStyle name="Normal 55 2 3" xfId="16853" xr:uid="{00000000-0005-0000-0000-0000B8410000}"/>
    <cellStyle name="Normal 55 3" xfId="16854" xr:uid="{00000000-0005-0000-0000-0000B9410000}"/>
    <cellStyle name="Normal 55 3 2" xfId="16855" xr:uid="{00000000-0005-0000-0000-0000BA410000}"/>
    <cellStyle name="Normal 55 3 2 2" xfId="16856" xr:uid="{00000000-0005-0000-0000-0000BB410000}"/>
    <cellStyle name="Normal 55 3 3" xfId="16857" xr:uid="{00000000-0005-0000-0000-0000BC410000}"/>
    <cellStyle name="Normal 55 4" xfId="16858" xr:uid="{00000000-0005-0000-0000-0000BD410000}"/>
    <cellStyle name="Normal 56" xfId="16859" xr:uid="{00000000-0005-0000-0000-0000BE410000}"/>
    <cellStyle name="Normal 56 2" xfId="16860" xr:uid="{00000000-0005-0000-0000-0000BF410000}"/>
    <cellStyle name="Normal 56 2 2" xfId="16861" xr:uid="{00000000-0005-0000-0000-0000C0410000}"/>
    <cellStyle name="Normal 56 2 3" xfId="16862" xr:uid="{00000000-0005-0000-0000-0000C1410000}"/>
    <cellStyle name="Normal 56 3" xfId="16863" xr:uid="{00000000-0005-0000-0000-0000C2410000}"/>
    <cellStyle name="Normal 56 3 2" xfId="16864" xr:uid="{00000000-0005-0000-0000-0000C3410000}"/>
    <cellStyle name="Normal 56 3 3" xfId="16865" xr:uid="{00000000-0005-0000-0000-0000C4410000}"/>
    <cellStyle name="Normal 56 4" xfId="16866" xr:uid="{00000000-0005-0000-0000-0000C5410000}"/>
    <cellStyle name="Normal 56 5" xfId="16867" xr:uid="{00000000-0005-0000-0000-0000C6410000}"/>
    <cellStyle name="Normal 57" xfId="16868" xr:uid="{00000000-0005-0000-0000-0000C7410000}"/>
    <cellStyle name="Normal 57 10" xfId="16869" xr:uid="{00000000-0005-0000-0000-0000C8410000}"/>
    <cellStyle name="Normal 57 2" xfId="16870" xr:uid="{00000000-0005-0000-0000-0000C9410000}"/>
    <cellStyle name="Normal 57 2 2" xfId="16871" xr:uid="{00000000-0005-0000-0000-0000CA410000}"/>
    <cellStyle name="Normal 57 2 3" xfId="16872" xr:uid="{00000000-0005-0000-0000-0000CB410000}"/>
    <cellStyle name="Normal 57 3" xfId="16873" xr:uid="{00000000-0005-0000-0000-0000CC410000}"/>
    <cellStyle name="Normal 57 3 2" xfId="16874" xr:uid="{00000000-0005-0000-0000-0000CD410000}"/>
    <cellStyle name="Normal 57 3 3" xfId="16875" xr:uid="{00000000-0005-0000-0000-0000CE410000}"/>
    <cellStyle name="Normal 57 4" xfId="16876" xr:uid="{00000000-0005-0000-0000-0000CF410000}"/>
    <cellStyle name="Normal 57 5" xfId="16877" xr:uid="{00000000-0005-0000-0000-0000D0410000}"/>
    <cellStyle name="Normal 57 6" xfId="16878" xr:uid="{00000000-0005-0000-0000-0000D1410000}"/>
    <cellStyle name="Normal 57 7" xfId="16879" xr:uid="{00000000-0005-0000-0000-0000D2410000}"/>
    <cellStyle name="Normal 57 8" xfId="16880" xr:uid="{00000000-0005-0000-0000-0000D3410000}"/>
    <cellStyle name="Normal 57 9" xfId="16881" xr:uid="{00000000-0005-0000-0000-0000D4410000}"/>
    <cellStyle name="Normal 58" xfId="16882" xr:uid="{00000000-0005-0000-0000-0000D5410000}"/>
    <cellStyle name="Normal 58 2" xfId="16883" xr:uid="{00000000-0005-0000-0000-0000D6410000}"/>
    <cellStyle name="Normal 58 2 2" xfId="16884" xr:uid="{00000000-0005-0000-0000-0000D7410000}"/>
    <cellStyle name="Normal 58 2 3" xfId="16885" xr:uid="{00000000-0005-0000-0000-0000D8410000}"/>
    <cellStyle name="Normal 58 2 4" xfId="16886" xr:uid="{00000000-0005-0000-0000-0000D9410000}"/>
    <cellStyle name="Normal 58 3" xfId="16887" xr:uid="{00000000-0005-0000-0000-0000DA410000}"/>
    <cellStyle name="Normal 58 3 2" xfId="16888" xr:uid="{00000000-0005-0000-0000-0000DB410000}"/>
    <cellStyle name="Normal 58 3 3" xfId="16889" xr:uid="{00000000-0005-0000-0000-0000DC410000}"/>
    <cellStyle name="Normal 58 4" xfId="16890" xr:uid="{00000000-0005-0000-0000-0000DD410000}"/>
    <cellStyle name="Normal 58 5" xfId="16891" xr:uid="{00000000-0005-0000-0000-0000DE410000}"/>
    <cellStyle name="Normal 59" xfId="16892" xr:uid="{00000000-0005-0000-0000-0000DF410000}"/>
    <cellStyle name="Normal 59 2" xfId="16893" xr:uid="{00000000-0005-0000-0000-0000E0410000}"/>
    <cellStyle name="Normal 59 3" xfId="16894" xr:uid="{00000000-0005-0000-0000-0000E1410000}"/>
    <cellStyle name="Normal 59 4" xfId="16895" xr:uid="{00000000-0005-0000-0000-0000E2410000}"/>
    <cellStyle name="Normal 6" xfId="64" xr:uid="{00000000-0005-0000-0000-0000E3410000}"/>
    <cellStyle name="Normal 6 10" xfId="16896" xr:uid="{00000000-0005-0000-0000-0000E4410000}"/>
    <cellStyle name="Normal 6 10 2" xfId="16897" xr:uid="{00000000-0005-0000-0000-0000E5410000}"/>
    <cellStyle name="Normal 6 10 2 2" xfId="16898" xr:uid="{00000000-0005-0000-0000-0000E6410000}"/>
    <cellStyle name="Normal 6 10 2 2 2" xfId="16899" xr:uid="{00000000-0005-0000-0000-0000E7410000}"/>
    <cellStyle name="Normal 6 10 2 3" xfId="16900" xr:uid="{00000000-0005-0000-0000-0000E8410000}"/>
    <cellStyle name="Normal 6 10 3" xfId="16901" xr:uid="{00000000-0005-0000-0000-0000E9410000}"/>
    <cellStyle name="Normal 6 10 3 2" xfId="16902" xr:uid="{00000000-0005-0000-0000-0000EA410000}"/>
    <cellStyle name="Normal 6 10 4" xfId="16903" xr:uid="{00000000-0005-0000-0000-0000EB410000}"/>
    <cellStyle name="Normal 6 10 4 2" xfId="16904" xr:uid="{00000000-0005-0000-0000-0000EC410000}"/>
    <cellStyle name="Normal 6 10 5" xfId="16905" xr:uid="{00000000-0005-0000-0000-0000ED410000}"/>
    <cellStyle name="Normal 6 11" xfId="16906" xr:uid="{00000000-0005-0000-0000-0000EE410000}"/>
    <cellStyle name="Normal 6 11 2" xfId="16907" xr:uid="{00000000-0005-0000-0000-0000EF410000}"/>
    <cellStyle name="Normal 6 11 2 2" xfId="16908" xr:uid="{00000000-0005-0000-0000-0000F0410000}"/>
    <cellStyle name="Normal 6 11 3" xfId="16909" xr:uid="{00000000-0005-0000-0000-0000F1410000}"/>
    <cellStyle name="Normal 6 12" xfId="16910" xr:uid="{00000000-0005-0000-0000-0000F2410000}"/>
    <cellStyle name="Normal 6 12 2" xfId="16911" xr:uid="{00000000-0005-0000-0000-0000F3410000}"/>
    <cellStyle name="Normal 6 13" xfId="16912" xr:uid="{00000000-0005-0000-0000-0000F4410000}"/>
    <cellStyle name="Normal 6 13 2" xfId="16913" xr:uid="{00000000-0005-0000-0000-0000F5410000}"/>
    <cellStyle name="Normal 6 14" xfId="16914" xr:uid="{00000000-0005-0000-0000-0000F6410000}"/>
    <cellStyle name="Normal 6 16" xfId="16915" xr:uid="{00000000-0005-0000-0000-0000F7410000}"/>
    <cellStyle name="Normal 6 2" xfId="16916" xr:uid="{00000000-0005-0000-0000-0000F8410000}"/>
    <cellStyle name="Normal 6 2 10" xfId="16917" xr:uid="{00000000-0005-0000-0000-0000F9410000}"/>
    <cellStyle name="Normal 6 2 11" xfId="16918" xr:uid="{00000000-0005-0000-0000-0000FA410000}"/>
    <cellStyle name="Normal 6 2 2" xfId="16919" xr:uid="{00000000-0005-0000-0000-0000FB410000}"/>
    <cellStyle name="Normal 6 2 2 2" xfId="16920" xr:uid="{00000000-0005-0000-0000-0000FC410000}"/>
    <cellStyle name="Normal 6 2 2 2 2" xfId="16921" xr:uid="{00000000-0005-0000-0000-0000FD410000}"/>
    <cellStyle name="Normal 6 2 2 2 3" xfId="16922" xr:uid="{00000000-0005-0000-0000-0000FE410000}"/>
    <cellStyle name="Normal 6 2 2 3" xfId="16923" xr:uid="{00000000-0005-0000-0000-0000FF410000}"/>
    <cellStyle name="Normal 6 2 2 3 2" xfId="16924" xr:uid="{00000000-0005-0000-0000-000000420000}"/>
    <cellStyle name="Normal 6 2 2 3 3" xfId="16925" xr:uid="{00000000-0005-0000-0000-000001420000}"/>
    <cellStyle name="Normal 6 2 2 4" xfId="16926" xr:uid="{00000000-0005-0000-0000-000002420000}"/>
    <cellStyle name="Normal 6 2 2 5" xfId="16927" xr:uid="{00000000-0005-0000-0000-000003420000}"/>
    <cellStyle name="Normal 6 2 2 6" xfId="16928" xr:uid="{00000000-0005-0000-0000-000004420000}"/>
    <cellStyle name="Normal 6 2 2 7" xfId="16929" xr:uid="{00000000-0005-0000-0000-000005420000}"/>
    <cellStyle name="Normal 6 2 2 8" xfId="16930" xr:uid="{00000000-0005-0000-0000-000006420000}"/>
    <cellStyle name="Normal 6 2 2 9" xfId="16931" xr:uid="{00000000-0005-0000-0000-000007420000}"/>
    <cellStyle name="Normal 6 2 3" xfId="16932" xr:uid="{00000000-0005-0000-0000-000008420000}"/>
    <cellStyle name="Normal 6 2 3 2" xfId="16933" xr:uid="{00000000-0005-0000-0000-000009420000}"/>
    <cellStyle name="Normal 6 2 3 2 2" xfId="16934" xr:uid="{00000000-0005-0000-0000-00000A420000}"/>
    <cellStyle name="Normal 6 2 3 2 3" xfId="16935" xr:uid="{00000000-0005-0000-0000-00000B420000}"/>
    <cellStyle name="Normal 6 2 3 3" xfId="16936" xr:uid="{00000000-0005-0000-0000-00000C420000}"/>
    <cellStyle name="Normal 6 2 3 3 2" xfId="16937" xr:uid="{00000000-0005-0000-0000-00000D420000}"/>
    <cellStyle name="Normal 6 2 3 3 3" xfId="16938" xr:uid="{00000000-0005-0000-0000-00000E420000}"/>
    <cellStyle name="Normal 6 2 3 4" xfId="16939" xr:uid="{00000000-0005-0000-0000-00000F420000}"/>
    <cellStyle name="Normal 6 2 3 5" xfId="16940" xr:uid="{00000000-0005-0000-0000-000010420000}"/>
    <cellStyle name="Normal 6 2 4" xfId="16941" xr:uid="{00000000-0005-0000-0000-000011420000}"/>
    <cellStyle name="Normal 6 2 4 2" xfId="16942" xr:uid="{00000000-0005-0000-0000-000012420000}"/>
    <cellStyle name="Normal 6 2 4 3" xfId="16943" xr:uid="{00000000-0005-0000-0000-000013420000}"/>
    <cellStyle name="Normal 6 2 5" xfId="16944" xr:uid="{00000000-0005-0000-0000-000014420000}"/>
    <cellStyle name="Normal 6 2 5 2" xfId="16945" xr:uid="{00000000-0005-0000-0000-000015420000}"/>
    <cellStyle name="Normal 6 2 5 3" xfId="16946" xr:uid="{00000000-0005-0000-0000-000016420000}"/>
    <cellStyle name="Normal 6 2 6" xfId="16947" xr:uid="{00000000-0005-0000-0000-000017420000}"/>
    <cellStyle name="Normal 6 2 6 2" xfId="16948" xr:uid="{00000000-0005-0000-0000-000018420000}"/>
    <cellStyle name="Normal 6 2 6 3" xfId="16949" xr:uid="{00000000-0005-0000-0000-000019420000}"/>
    <cellStyle name="Normal 6 2 7" xfId="16950" xr:uid="{00000000-0005-0000-0000-00001A420000}"/>
    <cellStyle name="Normal 6 2 8" xfId="16951" xr:uid="{00000000-0005-0000-0000-00001B420000}"/>
    <cellStyle name="Normal 6 2 9" xfId="16952" xr:uid="{00000000-0005-0000-0000-00001C420000}"/>
    <cellStyle name="Normal 6 2_NERELLA ADDITIONAL CLASS ROOMS IN FF" xfId="16953" xr:uid="{00000000-0005-0000-0000-00001D420000}"/>
    <cellStyle name="Normal 6 3" xfId="16954" xr:uid="{00000000-0005-0000-0000-00001E420000}"/>
    <cellStyle name="Normal 6 3 2" xfId="16955" xr:uid="{00000000-0005-0000-0000-00001F420000}"/>
    <cellStyle name="Normal 6 3 2 2" xfId="16956" xr:uid="{00000000-0005-0000-0000-000020420000}"/>
    <cellStyle name="Normal 6 3 2 2 2" xfId="16957" xr:uid="{00000000-0005-0000-0000-000021420000}"/>
    <cellStyle name="Normal 6 3 2 2 3" xfId="19413" xr:uid="{7D276AE4-5D67-4CE6-9264-111BBE691F81}"/>
    <cellStyle name="Normal 6 3 3" xfId="16958" xr:uid="{00000000-0005-0000-0000-000022420000}"/>
    <cellStyle name="Normal 6 3 3 2" xfId="16959" xr:uid="{00000000-0005-0000-0000-000023420000}"/>
    <cellStyle name="Normal 6 3 4" xfId="16960" xr:uid="{00000000-0005-0000-0000-000024420000}"/>
    <cellStyle name="Normal 6 3 5" xfId="16961" xr:uid="{00000000-0005-0000-0000-000025420000}"/>
    <cellStyle name="Normal 6 3 6" xfId="16962" xr:uid="{00000000-0005-0000-0000-000026420000}"/>
    <cellStyle name="Normal 6 3 7" xfId="16963" xr:uid="{00000000-0005-0000-0000-000027420000}"/>
    <cellStyle name="Normal 6 3 8" xfId="16964" xr:uid="{00000000-0005-0000-0000-000028420000}"/>
    <cellStyle name="Normal 6 3 9" xfId="16965" xr:uid="{00000000-0005-0000-0000-000029420000}"/>
    <cellStyle name="Normal 6 4" xfId="16966" xr:uid="{00000000-0005-0000-0000-00002A420000}"/>
    <cellStyle name="Normal 6 4 10" xfId="16967" xr:uid="{00000000-0005-0000-0000-00002B420000}"/>
    <cellStyle name="Normal 6 4 2" xfId="16968" xr:uid="{00000000-0005-0000-0000-00002C420000}"/>
    <cellStyle name="Normal 6 4 3" xfId="16969" xr:uid="{00000000-0005-0000-0000-00002D420000}"/>
    <cellStyle name="Normal 6 4 4" xfId="16970" xr:uid="{00000000-0005-0000-0000-00002E420000}"/>
    <cellStyle name="Normal 6 4 5" xfId="16971" xr:uid="{00000000-0005-0000-0000-00002F420000}"/>
    <cellStyle name="Normal 6 4 6" xfId="16972" xr:uid="{00000000-0005-0000-0000-000030420000}"/>
    <cellStyle name="Normal 6 4 7" xfId="16973" xr:uid="{00000000-0005-0000-0000-000031420000}"/>
    <cellStyle name="Normal 6 4 8" xfId="16974" xr:uid="{00000000-0005-0000-0000-000032420000}"/>
    <cellStyle name="Normal 6 4 9" xfId="16975" xr:uid="{00000000-0005-0000-0000-000033420000}"/>
    <cellStyle name="Normal 6 5" xfId="16976" xr:uid="{00000000-0005-0000-0000-000034420000}"/>
    <cellStyle name="Normal 6 5 10" xfId="16977" xr:uid="{00000000-0005-0000-0000-000035420000}"/>
    <cellStyle name="Normal 6 5 2" xfId="16978" xr:uid="{00000000-0005-0000-0000-000036420000}"/>
    <cellStyle name="Normal 6 5 2 2" xfId="16979" xr:uid="{00000000-0005-0000-0000-000037420000}"/>
    <cellStyle name="Normal 6 5 2 3" xfId="16980" xr:uid="{00000000-0005-0000-0000-000038420000}"/>
    <cellStyle name="Normal 6 5 2 4" xfId="16981" xr:uid="{00000000-0005-0000-0000-000039420000}"/>
    <cellStyle name="Normal 6 5 2 5" xfId="16982" xr:uid="{00000000-0005-0000-0000-00003A420000}"/>
    <cellStyle name="Normal 6 5 3" xfId="16983" xr:uid="{00000000-0005-0000-0000-00003B420000}"/>
    <cellStyle name="Normal 6 5 4" xfId="16984" xr:uid="{00000000-0005-0000-0000-00003C420000}"/>
    <cellStyle name="Normal 6 5 5" xfId="16985" xr:uid="{00000000-0005-0000-0000-00003D420000}"/>
    <cellStyle name="Normal 6 5 6" xfId="16986" xr:uid="{00000000-0005-0000-0000-00003E420000}"/>
    <cellStyle name="Normal 6 5 7" xfId="16987" xr:uid="{00000000-0005-0000-0000-00003F420000}"/>
    <cellStyle name="Normal 6 5 8" xfId="16988" xr:uid="{00000000-0005-0000-0000-000040420000}"/>
    <cellStyle name="Normal 6 5 9" xfId="16989" xr:uid="{00000000-0005-0000-0000-000041420000}"/>
    <cellStyle name="Normal 6 5_NERELLA ADDITIONAL CLASS ROOMS IN FF" xfId="16990" xr:uid="{00000000-0005-0000-0000-000042420000}"/>
    <cellStyle name="Normal 6 6" xfId="16991" xr:uid="{00000000-0005-0000-0000-000043420000}"/>
    <cellStyle name="Normal 6 6 2" xfId="16992" xr:uid="{00000000-0005-0000-0000-000044420000}"/>
    <cellStyle name="Normal 6 6 2 2" xfId="16993" xr:uid="{00000000-0005-0000-0000-000045420000}"/>
    <cellStyle name="Normal 6 6 2 2 2" xfId="16994" xr:uid="{00000000-0005-0000-0000-000046420000}"/>
    <cellStyle name="Normal 6 6 2 2 2 2" xfId="16995" xr:uid="{00000000-0005-0000-0000-000047420000}"/>
    <cellStyle name="Normal 6 6 2 2 3" xfId="16996" xr:uid="{00000000-0005-0000-0000-000048420000}"/>
    <cellStyle name="Normal 6 6 2 3" xfId="16997" xr:uid="{00000000-0005-0000-0000-000049420000}"/>
    <cellStyle name="Normal 6 6 2 3 2" xfId="16998" xr:uid="{00000000-0005-0000-0000-00004A420000}"/>
    <cellStyle name="Normal 6 6 2 4" xfId="16999" xr:uid="{00000000-0005-0000-0000-00004B420000}"/>
    <cellStyle name="Normal 6 6 2 4 2" xfId="17000" xr:uid="{00000000-0005-0000-0000-00004C420000}"/>
    <cellStyle name="Normal 6 6 2 5" xfId="17001" xr:uid="{00000000-0005-0000-0000-00004D420000}"/>
    <cellStyle name="Normal 6 6 3" xfId="17002" xr:uid="{00000000-0005-0000-0000-00004E420000}"/>
    <cellStyle name="Normal 6 6 3 2" xfId="17003" xr:uid="{00000000-0005-0000-0000-00004F420000}"/>
    <cellStyle name="Normal 6 6 3 2 2" xfId="17004" xr:uid="{00000000-0005-0000-0000-000050420000}"/>
    <cellStyle name="Normal 6 6 3 2 2 2" xfId="17005" xr:uid="{00000000-0005-0000-0000-000051420000}"/>
    <cellStyle name="Normal 6 6 3 2 3" xfId="17006" xr:uid="{00000000-0005-0000-0000-000052420000}"/>
    <cellStyle name="Normal 6 6 3 3" xfId="17007" xr:uid="{00000000-0005-0000-0000-000053420000}"/>
    <cellStyle name="Normal 6 6 3 3 2" xfId="17008" xr:uid="{00000000-0005-0000-0000-000054420000}"/>
    <cellStyle name="Normal 6 6 3 4" xfId="17009" xr:uid="{00000000-0005-0000-0000-000055420000}"/>
    <cellStyle name="Normal 6 6 3 4 2" xfId="17010" xr:uid="{00000000-0005-0000-0000-000056420000}"/>
    <cellStyle name="Normal 6 6 3 5" xfId="17011" xr:uid="{00000000-0005-0000-0000-000057420000}"/>
    <cellStyle name="Normal 6 6 4" xfId="17012" xr:uid="{00000000-0005-0000-0000-000058420000}"/>
    <cellStyle name="Normal 6 6 4 2" xfId="17013" xr:uid="{00000000-0005-0000-0000-000059420000}"/>
    <cellStyle name="Normal 6 6 4 2 2" xfId="17014" xr:uid="{00000000-0005-0000-0000-00005A420000}"/>
    <cellStyle name="Normal 6 6 4 3" xfId="17015" xr:uid="{00000000-0005-0000-0000-00005B420000}"/>
    <cellStyle name="Normal 6 6 5" xfId="17016" xr:uid="{00000000-0005-0000-0000-00005C420000}"/>
    <cellStyle name="Normal 6 6 5 2" xfId="17017" xr:uid="{00000000-0005-0000-0000-00005D420000}"/>
    <cellStyle name="Normal 6 6 6" xfId="17018" xr:uid="{00000000-0005-0000-0000-00005E420000}"/>
    <cellStyle name="Normal 6 6 6 2" xfId="17019" xr:uid="{00000000-0005-0000-0000-00005F420000}"/>
    <cellStyle name="Normal 6 6 7" xfId="17020" xr:uid="{00000000-0005-0000-0000-000060420000}"/>
    <cellStyle name="Normal 6 7" xfId="17021" xr:uid="{00000000-0005-0000-0000-000061420000}"/>
    <cellStyle name="Normal 6 7 2" xfId="17022" xr:uid="{00000000-0005-0000-0000-000062420000}"/>
    <cellStyle name="Normal 6 7 2 2" xfId="17023" xr:uid="{00000000-0005-0000-0000-000063420000}"/>
    <cellStyle name="Normal 6 7 2 2 2" xfId="17024" xr:uid="{00000000-0005-0000-0000-000064420000}"/>
    <cellStyle name="Normal 6 7 2 3" xfId="17025" xr:uid="{00000000-0005-0000-0000-000065420000}"/>
    <cellStyle name="Normal 6 7 3" xfId="17026" xr:uid="{00000000-0005-0000-0000-000066420000}"/>
    <cellStyle name="Normal 6 7 3 2" xfId="17027" xr:uid="{00000000-0005-0000-0000-000067420000}"/>
    <cellStyle name="Normal 6 7 4" xfId="17028" xr:uid="{00000000-0005-0000-0000-000068420000}"/>
    <cellStyle name="Normal 6 7 4 2" xfId="17029" xr:uid="{00000000-0005-0000-0000-000069420000}"/>
    <cellStyle name="Normal 6 7 5" xfId="17030" xr:uid="{00000000-0005-0000-0000-00006A420000}"/>
    <cellStyle name="Normal 6 8" xfId="17031" xr:uid="{00000000-0005-0000-0000-00006B420000}"/>
    <cellStyle name="Normal 6 8 2" xfId="17032" xr:uid="{00000000-0005-0000-0000-00006C420000}"/>
    <cellStyle name="Normal 6 8 2 2" xfId="17033" xr:uid="{00000000-0005-0000-0000-00006D420000}"/>
    <cellStyle name="Normal 6 8 2 2 2" xfId="17034" xr:uid="{00000000-0005-0000-0000-00006E420000}"/>
    <cellStyle name="Normal 6 8 2 3" xfId="17035" xr:uid="{00000000-0005-0000-0000-00006F420000}"/>
    <cellStyle name="Normal 6 8 3" xfId="17036" xr:uid="{00000000-0005-0000-0000-000070420000}"/>
    <cellStyle name="Normal 6 8 3 2" xfId="17037" xr:uid="{00000000-0005-0000-0000-000071420000}"/>
    <cellStyle name="Normal 6 8 4" xfId="17038" xr:uid="{00000000-0005-0000-0000-000072420000}"/>
    <cellStyle name="Normal 6 8 4 2" xfId="17039" xr:uid="{00000000-0005-0000-0000-000073420000}"/>
    <cellStyle name="Normal 6 8 5" xfId="17040" xr:uid="{00000000-0005-0000-0000-000074420000}"/>
    <cellStyle name="Normal 6 9" xfId="17041" xr:uid="{00000000-0005-0000-0000-000075420000}"/>
    <cellStyle name="Normal 6 9 2" xfId="17042" xr:uid="{00000000-0005-0000-0000-000076420000}"/>
    <cellStyle name="Normal 6 9 2 2" xfId="17043" xr:uid="{00000000-0005-0000-0000-000077420000}"/>
    <cellStyle name="Normal 6 9 2 2 2" xfId="17044" xr:uid="{00000000-0005-0000-0000-000078420000}"/>
    <cellStyle name="Normal 6 9 2 3" xfId="17045" xr:uid="{00000000-0005-0000-0000-000079420000}"/>
    <cellStyle name="Normal 6 9 3" xfId="17046" xr:uid="{00000000-0005-0000-0000-00007A420000}"/>
    <cellStyle name="Normal 6 9 3 2" xfId="17047" xr:uid="{00000000-0005-0000-0000-00007B420000}"/>
    <cellStyle name="Normal 6 9 4" xfId="17048" xr:uid="{00000000-0005-0000-0000-00007C420000}"/>
    <cellStyle name="Normal 6 9 4 2" xfId="17049" xr:uid="{00000000-0005-0000-0000-00007D420000}"/>
    <cellStyle name="Normal 6 9 5" xfId="17050" xr:uid="{00000000-0005-0000-0000-00007E420000}"/>
    <cellStyle name="Normal 6_5.Vemulapudi" xfId="17051" xr:uid="{00000000-0005-0000-0000-00007F420000}"/>
    <cellStyle name="Normal 60" xfId="17052" xr:uid="{00000000-0005-0000-0000-000080420000}"/>
    <cellStyle name="Normal 60 2" xfId="17053" xr:uid="{00000000-0005-0000-0000-000081420000}"/>
    <cellStyle name="Normal 60 2 2" xfId="17054" xr:uid="{00000000-0005-0000-0000-000082420000}"/>
    <cellStyle name="Normal 60 2 3" xfId="17055" xr:uid="{00000000-0005-0000-0000-000083420000}"/>
    <cellStyle name="Normal 60 3" xfId="17056" xr:uid="{00000000-0005-0000-0000-000084420000}"/>
    <cellStyle name="Normal 60 3 2" xfId="17057" xr:uid="{00000000-0005-0000-0000-000085420000}"/>
    <cellStyle name="Normal 60 3 3" xfId="17058" xr:uid="{00000000-0005-0000-0000-000086420000}"/>
    <cellStyle name="Normal 60 4" xfId="17059" xr:uid="{00000000-0005-0000-0000-000087420000}"/>
    <cellStyle name="Normal 60 5" xfId="17060" xr:uid="{00000000-0005-0000-0000-000088420000}"/>
    <cellStyle name="Normal 61" xfId="17061" xr:uid="{00000000-0005-0000-0000-000089420000}"/>
    <cellStyle name="Normal 61 2" xfId="17062" xr:uid="{00000000-0005-0000-0000-00008A420000}"/>
    <cellStyle name="Normal 61 2 2" xfId="17063" xr:uid="{00000000-0005-0000-0000-00008B420000}"/>
    <cellStyle name="Normal 61 2 3" xfId="17064" xr:uid="{00000000-0005-0000-0000-00008C420000}"/>
    <cellStyle name="Normal 61 3" xfId="17065" xr:uid="{00000000-0005-0000-0000-00008D420000}"/>
    <cellStyle name="Normal 61 4" xfId="17066" xr:uid="{00000000-0005-0000-0000-00008E420000}"/>
    <cellStyle name="Normal 61 5" xfId="17067" xr:uid="{00000000-0005-0000-0000-00008F420000}"/>
    <cellStyle name="Normal 61 6" xfId="17068" xr:uid="{00000000-0005-0000-0000-000090420000}"/>
    <cellStyle name="Normal 61 7" xfId="17069" xr:uid="{00000000-0005-0000-0000-000091420000}"/>
    <cellStyle name="Normal 61 8" xfId="17070" xr:uid="{00000000-0005-0000-0000-000092420000}"/>
    <cellStyle name="Normal 61 9" xfId="17071" xr:uid="{00000000-0005-0000-0000-000093420000}"/>
    <cellStyle name="Normal 62" xfId="17072" xr:uid="{00000000-0005-0000-0000-000094420000}"/>
    <cellStyle name="Normal 62 10" xfId="17073" xr:uid="{00000000-0005-0000-0000-000095420000}"/>
    <cellStyle name="Normal 62 11" xfId="17074" xr:uid="{00000000-0005-0000-0000-000096420000}"/>
    <cellStyle name="Normal 62 12" xfId="17075" xr:uid="{00000000-0005-0000-0000-000097420000}"/>
    <cellStyle name="Normal 62 13" xfId="17076" xr:uid="{00000000-0005-0000-0000-000098420000}"/>
    <cellStyle name="Normal 62 14" xfId="17077" xr:uid="{00000000-0005-0000-0000-000099420000}"/>
    <cellStyle name="Normal 62 15" xfId="17078" xr:uid="{00000000-0005-0000-0000-00009A420000}"/>
    <cellStyle name="Normal 62 16" xfId="17079" xr:uid="{00000000-0005-0000-0000-00009B420000}"/>
    <cellStyle name="Normal 62 17" xfId="17080" xr:uid="{00000000-0005-0000-0000-00009C420000}"/>
    <cellStyle name="Normal 62 18" xfId="17081" xr:uid="{00000000-0005-0000-0000-00009D420000}"/>
    <cellStyle name="Normal 62 2" xfId="17082" xr:uid="{00000000-0005-0000-0000-00009E420000}"/>
    <cellStyle name="Normal 62 2 2" xfId="17083" xr:uid="{00000000-0005-0000-0000-00009F420000}"/>
    <cellStyle name="Normal 62 2 3" xfId="17084" xr:uid="{00000000-0005-0000-0000-0000A0420000}"/>
    <cellStyle name="Normal 62 3" xfId="17085" xr:uid="{00000000-0005-0000-0000-0000A1420000}"/>
    <cellStyle name="Normal 62 3 2" xfId="17086" xr:uid="{00000000-0005-0000-0000-0000A2420000}"/>
    <cellStyle name="Normal 62 3 3" xfId="17087" xr:uid="{00000000-0005-0000-0000-0000A3420000}"/>
    <cellStyle name="Normal 62 4" xfId="17088" xr:uid="{00000000-0005-0000-0000-0000A4420000}"/>
    <cellStyle name="Normal 62 4 2" xfId="17089" xr:uid="{00000000-0005-0000-0000-0000A5420000}"/>
    <cellStyle name="Normal 62 4 3" xfId="17090" xr:uid="{00000000-0005-0000-0000-0000A6420000}"/>
    <cellStyle name="Normal 62 5" xfId="17091" xr:uid="{00000000-0005-0000-0000-0000A7420000}"/>
    <cellStyle name="Normal 62 5 2" xfId="17092" xr:uid="{00000000-0005-0000-0000-0000A8420000}"/>
    <cellStyle name="Normal 62 5 3" xfId="17093" xr:uid="{00000000-0005-0000-0000-0000A9420000}"/>
    <cellStyle name="Normal 62 6" xfId="17094" xr:uid="{00000000-0005-0000-0000-0000AA420000}"/>
    <cellStyle name="Normal 62 6 2" xfId="17095" xr:uid="{00000000-0005-0000-0000-0000AB420000}"/>
    <cellStyle name="Normal 62 6 3" xfId="17096" xr:uid="{00000000-0005-0000-0000-0000AC420000}"/>
    <cellStyle name="Normal 62 7" xfId="17097" xr:uid="{00000000-0005-0000-0000-0000AD420000}"/>
    <cellStyle name="Normal 62 7 2" xfId="17098" xr:uid="{00000000-0005-0000-0000-0000AE420000}"/>
    <cellStyle name="Normal 62 7 3" xfId="17099" xr:uid="{00000000-0005-0000-0000-0000AF420000}"/>
    <cellStyle name="Normal 62 8" xfId="17100" xr:uid="{00000000-0005-0000-0000-0000B0420000}"/>
    <cellStyle name="Normal 62 8 2" xfId="17101" xr:uid="{00000000-0005-0000-0000-0000B1420000}"/>
    <cellStyle name="Normal 62 8 3" xfId="17102" xr:uid="{00000000-0005-0000-0000-0000B2420000}"/>
    <cellStyle name="Normal 62 9" xfId="17103" xr:uid="{00000000-0005-0000-0000-0000B3420000}"/>
    <cellStyle name="Normal 63" xfId="17104" xr:uid="{00000000-0005-0000-0000-0000B4420000}"/>
    <cellStyle name="Normal 63 2" xfId="17105" xr:uid="{00000000-0005-0000-0000-0000B5420000}"/>
    <cellStyle name="Normal 63 2 2" xfId="17106" xr:uid="{00000000-0005-0000-0000-0000B6420000}"/>
    <cellStyle name="Normal 63 2 3" xfId="17107" xr:uid="{00000000-0005-0000-0000-0000B7420000}"/>
    <cellStyle name="Normal 63 3" xfId="17108" xr:uid="{00000000-0005-0000-0000-0000B8420000}"/>
    <cellStyle name="Normal 63 4" xfId="17109" xr:uid="{00000000-0005-0000-0000-0000B9420000}"/>
    <cellStyle name="Normal 63 5" xfId="17110" xr:uid="{00000000-0005-0000-0000-0000BA420000}"/>
    <cellStyle name="Normal 63 6" xfId="17111" xr:uid="{00000000-0005-0000-0000-0000BB420000}"/>
    <cellStyle name="Normal 63 7" xfId="17112" xr:uid="{00000000-0005-0000-0000-0000BC420000}"/>
    <cellStyle name="Normal 63 8" xfId="17113" xr:uid="{00000000-0005-0000-0000-0000BD420000}"/>
    <cellStyle name="Normal 63 9" xfId="17114" xr:uid="{00000000-0005-0000-0000-0000BE420000}"/>
    <cellStyle name="Normal 64" xfId="17115" xr:uid="{00000000-0005-0000-0000-0000BF420000}"/>
    <cellStyle name="Normal 64 2" xfId="17116" xr:uid="{00000000-0005-0000-0000-0000C0420000}"/>
    <cellStyle name="Normal 64 2 2" xfId="17117" xr:uid="{00000000-0005-0000-0000-0000C1420000}"/>
    <cellStyle name="Normal 64 2 3" xfId="17118" xr:uid="{00000000-0005-0000-0000-0000C2420000}"/>
    <cellStyle name="Normal 64 3" xfId="17119" xr:uid="{00000000-0005-0000-0000-0000C3420000}"/>
    <cellStyle name="Normal 64 4" xfId="17120" xr:uid="{00000000-0005-0000-0000-0000C4420000}"/>
    <cellStyle name="Normal 65" xfId="17121" xr:uid="{00000000-0005-0000-0000-0000C5420000}"/>
    <cellStyle name="Normal 65 2" xfId="17122" xr:uid="{00000000-0005-0000-0000-0000C6420000}"/>
    <cellStyle name="Normal 65 3" xfId="17123" xr:uid="{00000000-0005-0000-0000-0000C7420000}"/>
    <cellStyle name="Normal 65 4" xfId="17124" xr:uid="{00000000-0005-0000-0000-0000C8420000}"/>
    <cellStyle name="Normal 65 5" xfId="17125" xr:uid="{00000000-0005-0000-0000-0000C9420000}"/>
    <cellStyle name="Normal 65 6" xfId="17126" xr:uid="{00000000-0005-0000-0000-0000CA420000}"/>
    <cellStyle name="Normal 65 7" xfId="17127" xr:uid="{00000000-0005-0000-0000-0000CB420000}"/>
    <cellStyle name="Normal 65 8" xfId="17128" xr:uid="{00000000-0005-0000-0000-0000CC420000}"/>
    <cellStyle name="Normal 65 9" xfId="17129" xr:uid="{00000000-0005-0000-0000-0000CD420000}"/>
    <cellStyle name="Normal 66" xfId="17130" xr:uid="{00000000-0005-0000-0000-0000CE420000}"/>
    <cellStyle name="Normal 66 2" xfId="17131" xr:uid="{00000000-0005-0000-0000-0000CF420000}"/>
    <cellStyle name="Normal 66 3" xfId="17132" xr:uid="{00000000-0005-0000-0000-0000D0420000}"/>
    <cellStyle name="Normal 66 4" xfId="17133" xr:uid="{00000000-0005-0000-0000-0000D1420000}"/>
    <cellStyle name="Normal 67" xfId="17134" xr:uid="{00000000-0005-0000-0000-0000D2420000}"/>
    <cellStyle name="Normal 67 2" xfId="17135" xr:uid="{00000000-0005-0000-0000-0000D3420000}"/>
    <cellStyle name="Normal 67 3" xfId="17136" xr:uid="{00000000-0005-0000-0000-0000D4420000}"/>
    <cellStyle name="Normal 67 4" xfId="17137" xr:uid="{00000000-0005-0000-0000-0000D5420000}"/>
    <cellStyle name="Normal 68" xfId="17138" xr:uid="{00000000-0005-0000-0000-0000D6420000}"/>
    <cellStyle name="Normal 68 2" xfId="17139" xr:uid="{00000000-0005-0000-0000-0000D7420000}"/>
    <cellStyle name="Normal 68 2 2" xfId="17140" xr:uid="{00000000-0005-0000-0000-0000D8420000}"/>
    <cellStyle name="Normal 68 2 3" xfId="17141" xr:uid="{00000000-0005-0000-0000-0000D9420000}"/>
    <cellStyle name="Normal 68 3" xfId="17142" xr:uid="{00000000-0005-0000-0000-0000DA420000}"/>
    <cellStyle name="Normal 68 3 2" xfId="17143" xr:uid="{00000000-0005-0000-0000-0000DB420000}"/>
    <cellStyle name="Normal 68 3 3" xfId="17144" xr:uid="{00000000-0005-0000-0000-0000DC420000}"/>
    <cellStyle name="Normal 68 4" xfId="17145" xr:uid="{00000000-0005-0000-0000-0000DD420000}"/>
    <cellStyle name="Normal 68 5" xfId="17146" xr:uid="{00000000-0005-0000-0000-0000DE420000}"/>
    <cellStyle name="Normal 68 6" xfId="17147" xr:uid="{00000000-0005-0000-0000-0000DF420000}"/>
    <cellStyle name="Normal 68 7" xfId="17148" xr:uid="{00000000-0005-0000-0000-0000E0420000}"/>
    <cellStyle name="Normal 68 8" xfId="17149" xr:uid="{00000000-0005-0000-0000-0000E1420000}"/>
    <cellStyle name="Normal 68 9" xfId="17150" xr:uid="{00000000-0005-0000-0000-0000E2420000}"/>
    <cellStyle name="Normal 69" xfId="17151" xr:uid="{00000000-0005-0000-0000-0000E3420000}"/>
    <cellStyle name="Normal 69 2" xfId="17152" xr:uid="{00000000-0005-0000-0000-0000E4420000}"/>
    <cellStyle name="Normal 69 3" xfId="17153" xr:uid="{00000000-0005-0000-0000-0000E5420000}"/>
    <cellStyle name="Normal 7" xfId="17154" xr:uid="{00000000-0005-0000-0000-0000E6420000}"/>
    <cellStyle name="Normal 7 10" xfId="17155" xr:uid="{00000000-0005-0000-0000-0000E7420000}"/>
    <cellStyle name="Normal 7 10 2" xfId="17156" xr:uid="{00000000-0005-0000-0000-0000E8420000}"/>
    <cellStyle name="Normal 7 10 3" xfId="17157" xr:uid="{00000000-0005-0000-0000-0000E9420000}"/>
    <cellStyle name="Normal 7 10 4" xfId="17158" xr:uid="{00000000-0005-0000-0000-0000EA420000}"/>
    <cellStyle name="Normal 7 10 5" xfId="17159" xr:uid="{00000000-0005-0000-0000-0000EB420000}"/>
    <cellStyle name="Normal 7 10 6" xfId="17160" xr:uid="{00000000-0005-0000-0000-0000EC420000}"/>
    <cellStyle name="Normal 7 10 7" xfId="17161" xr:uid="{00000000-0005-0000-0000-0000ED420000}"/>
    <cellStyle name="Normal 7 10 8" xfId="17162" xr:uid="{00000000-0005-0000-0000-0000EE420000}"/>
    <cellStyle name="Normal 7 11" xfId="17163" xr:uid="{00000000-0005-0000-0000-0000EF420000}"/>
    <cellStyle name="Normal 7 11 2" xfId="17164" xr:uid="{00000000-0005-0000-0000-0000F0420000}"/>
    <cellStyle name="Normal 7 11 3" xfId="17165" xr:uid="{00000000-0005-0000-0000-0000F1420000}"/>
    <cellStyle name="Normal 7 11 4" xfId="17166" xr:uid="{00000000-0005-0000-0000-0000F2420000}"/>
    <cellStyle name="Normal 7 11 5" xfId="17167" xr:uid="{00000000-0005-0000-0000-0000F3420000}"/>
    <cellStyle name="Normal 7 11 6" xfId="17168" xr:uid="{00000000-0005-0000-0000-0000F4420000}"/>
    <cellStyle name="Normal 7 11 7" xfId="17169" xr:uid="{00000000-0005-0000-0000-0000F5420000}"/>
    <cellStyle name="Normal 7 11 8" xfId="17170" xr:uid="{00000000-0005-0000-0000-0000F6420000}"/>
    <cellStyle name="Normal 7 12" xfId="17171" xr:uid="{00000000-0005-0000-0000-0000F7420000}"/>
    <cellStyle name="Normal 7 12 2" xfId="17172" xr:uid="{00000000-0005-0000-0000-0000F8420000}"/>
    <cellStyle name="Normal 7 12 3" xfId="17173" xr:uid="{00000000-0005-0000-0000-0000F9420000}"/>
    <cellStyle name="Normal 7 12 4" xfId="17174" xr:uid="{00000000-0005-0000-0000-0000FA420000}"/>
    <cellStyle name="Normal 7 12 5" xfId="17175" xr:uid="{00000000-0005-0000-0000-0000FB420000}"/>
    <cellStyle name="Normal 7 12 6" xfId="17176" xr:uid="{00000000-0005-0000-0000-0000FC420000}"/>
    <cellStyle name="Normal 7 12 7" xfId="17177" xr:uid="{00000000-0005-0000-0000-0000FD420000}"/>
    <cellStyle name="Normal 7 12 8" xfId="17178" xr:uid="{00000000-0005-0000-0000-0000FE420000}"/>
    <cellStyle name="Normal 7 13" xfId="17179" xr:uid="{00000000-0005-0000-0000-0000FF420000}"/>
    <cellStyle name="Normal 7 14" xfId="17180" xr:uid="{00000000-0005-0000-0000-000000430000}"/>
    <cellStyle name="Normal 7 15" xfId="17181" xr:uid="{00000000-0005-0000-0000-000001430000}"/>
    <cellStyle name="Normal 7 16" xfId="17182" xr:uid="{00000000-0005-0000-0000-000002430000}"/>
    <cellStyle name="Normal 7 17" xfId="17183" xr:uid="{00000000-0005-0000-0000-000003430000}"/>
    <cellStyle name="Normal 7 18" xfId="17184" xr:uid="{00000000-0005-0000-0000-000004430000}"/>
    <cellStyle name="Normal 7 19" xfId="17185" xr:uid="{00000000-0005-0000-0000-000005430000}"/>
    <cellStyle name="Normal 7 2" xfId="17186" xr:uid="{00000000-0005-0000-0000-000006430000}"/>
    <cellStyle name="Normal 7 2 10" xfId="17187" xr:uid="{00000000-0005-0000-0000-000007430000}"/>
    <cellStyle name="Normal 7 2 11" xfId="17188" xr:uid="{00000000-0005-0000-0000-000008430000}"/>
    <cellStyle name="Normal 7 2 12" xfId="17189" xr:uid="{00000000-0005-0000-0000-000009430000}"/>
    <cellStyle name="Normal 7 2 13" xfId="17190" xr:uid="{00000000-0005-0000-0000-00000A430000}"/>
    <cellStyle name="Normal 7 2 14" xfId="17191" xr:uid="{00000000-0005-0000-0000-00000B430000}"/>
    <cellStyle name="Normal 7 2 15" xfId="17192" xr:uid="{00000000-0005-0000-0000-00000C430000}"/>
    <cellStyle name="Normal 7 2 15 2" xfId="17193" xr:uid="{00000000-0005-0000-0000-00000D430000}"/>
    <cellStyle name="Normal 7 2 2" xfId="17194" xr:uid="{00000000-0005-0000-0000-00000E430000}"/>
    <cellStyle name="Normal 7 2 2 2" xfId="17195" xr:uid="{00000000-0005-0000-0000-00000F430000}"/>
    <cellStyle name="Normal 7 2 2 3" xfId="17196" xr:uid="{00000000-0005-0000-0000-000010430000}"/>
    <cellStyle name="Normal 7 2 3" xfId="17197" xr:uid="{00000000-0005-0000-0000-000011430000}"/>
    <cellStyle name="Normal 7 2 4" xfId="17198" xr:uid="{00000000-0005-0000-0000-000012430000}"/>
    <cellStyle name="Normal 7 2 5" xfId="17199" xr:uid="{00000000-0005-0000-0000-000013430000}"/>
    <cellStyle name="Normal 7 2 6" xfId="17200" xr:uid="{00000000-0005-0000-0000-000014430000}"/>
    <cellStyle name="Normal 7 2 7" xfId="17201" xr:uid="{00000000-0005-0000-0000-000015430000}"/>
    <cellStyle name="Normal 7 2 8" xfId="17202" xr:uid="{00000000-0005-0000-0000-000016430000}"/>
    <cellStyle name="Normal 7 2 9" xfId="17203" xr:uid="{00000000-0005-0000-0000-000017430000}"/>
    <cellStyle name="Normal 7 2_M.BOOK" xfId="17204" xr:uid="{00000000-0005-0000-0000-000018430000}"/>
    <cellStyle name="Normal 7 3" xfId="17205" xr:uid="{00000000-0005-0000-0000-000019430000}"/>
    <cellStyle name="Normal 7 3 2" xfId="17206" xr:uid="{00000000-0005-0000-0000-00001A430000}"/>
    <cellStyle name="Normal 7 3 2 2" xfId="17207" xr:uid="{00000000-0005-0000-0000-00001B430000}"/>
    <cellStyle name="Normal 7 3 2 3" xfId="17208" xr:uid="{00000000-0005-0000-0000-00001C430000}"/>
    <cellStyle name="Normal 7 3 3" xfId="17209" xr:uid="{00000000-0005-0000-0000-00001D430000}"/>
    <cellStyle name="Normal 7 3 4" xfId="17210" xr:uid="{00000000-0005-0000-0000-00001E430000}"/>
    <cellStyle name="Normal 7 3_Sheet2" xfId="17211" xr:uid="{00000000-0005-0000-0000-00001F430000}"/>
    <cellStyle name="Normal 7 4" xfId="17212" xr:uid="{00000000-0005-0000-0000-000020430000}"/>
    <cellStyle name="Normal 7 4 10" xfId="17213" xr:uid="{00000000-0005-0000-0000-000021430000}"/>
    <cellStyle name="Normal 7 4 2" xfId="17214" xr:uid="{00000000-0005-0000-0000-000022430000}"/>
    <cellStyle name="Normal 7 4 3" xfId="17215" xr:uid="{00000000-0005-0000-0000-000023430000}"/>
    <cellStyle name="Normal 7 4 4" xfId="17216" xr:uid="{00000000-0005-0000-0000-000024430000}"/>
    <cellStyle name="Normal 7 4 5" xfId="17217" xr:uid="{00000000-0005-0000-0000-000025430000}"/>
    <cellStyle name="Normal 7 4 6" xfId="17218" xr:uid="{00000000-0005-0000-0000-000026430000}"/>
    <cellStyle name="Normal 7 4 7" xfId="17219" xr:uid="{00000000-0005-0000-0000-000027430000}"/>
    <cellStyle name="Normal 7 4 8" xfId="17220" xr:uid="{00000000-0005-0000-0000-000028430000}"/>
    <cellStyle name="Normal 7 4 9" xfId="17221" xr:uid="{00000000-0005-0000-0000-000029430000}"/>
    <cellStyle name="Normal 7 5" xfId="17222" xr:uid="{00000000-0005-0000-0000-00002A430000}"/>
    <cellStyle name="Normal 7 5 2" xfId="17223" xr:uid="{00000000-0005-0000-0000-00002B430000}"/>
    <cellStyle name="Normal 7 5 2 2" xfId="17224" xr:uid="{00000000-0005-0000-0000-00002C430000}"/>
    <cellStyle name="Normal 7 5 3" xfId="17225" xr:uid="{00000000-0005-0000-0000-00002D430000}"/>
    <cellStyle name="Normal 7 5 4" xfId="17226" xr:uid="{00000000-0005-0000-0000-00002E430000}"/>
    <cellStyle name="Normal 7 5 5" xfId="17227" xr:uid="{00000000-0005-0000-0000-00002F430000}"/>
    <cellStyle name="Normal 7 5 6" xfId="17228" xr:uid="{00000000-0005-0000-0000-000030430000}"/>
    <cellStyle name="Normal 7 5 7" xfId="17229" xr:uid="{00000000-0005-0000-0000-000031430000}"/>
    <cellStyle name="Normal 7 5 8" xfId="17230" xr:uid="{00000000-0005-0000-0000-000032430000}"/>
    <cellStyle name="Normal 7 6" xfId="17231" xr:uid="{00000000-0005-0000-0000-000033430000}"/>
    <cellStyle name="Normal 7 6 2" xfId="17232" xr:uid="{00000000-0005-0000-0000-000034430000}"/>
    <cellStyle name="Normal 7 6 3" xfId="17233" xr:uid="{00000000-0005-0000-0000-000035430000}"/>
    <cellStyle name="Normal 7 6 4" xfId="17234" xr:uid="{00000000-0005-0000-0000-000036430000}"/>
    <cellStyle name="Normal 7 6 5" xfId="17235" xr:uid="{00000000-0005-0000-0000-000037430000}"/>
    <cellStyle name="Normal 7 6 6" xfId="17236" xr:uid="{00000000-0005-0000-0000-000038430000}"/>
    <cellStyle name="Normal 7 6 7" xfId="17237" xr:uid="{00000000-0005-0000-0000-000039430000}"/>
    <cellStyle name="Normal 7 6 8" xfId="17238" xr:uid="{00000000-0005-0000-0000-00003A430000}"/>
    <cellStyle name="Normal 7 7" xfId="17239" xr:uid="{00000000-0005-0000-0000-00003B430000}"/>
    <cellStyle name="Normal 7 7 2" xfId="17240" xr:uid="{00000000-0005-0000-0000-00003C430000}"/>
    <cellStyle name="Normal 7 7 3" xfId="17241" xr:uid="{00000000-0005-0000-0000-00003D430000}"/>
    <cellStyle name="Normal 7 7 4" xfId="17242" xr:uid="{00000000-0005-0000-0000-00003E430000}"/>
    <cellStyle name="Normal 7 7 5" xfId="17243" xr:uid="{00000000-0005-0000-0000-00003F430000}"/>
    <cellStyle name="Normal 7 7 6" xfId="17244" xr:uid="{00000000-0005-0000-0000-000040430000}"/>
    <cellStyle name="Normal 7 7 7" xfId="17245" xr:uid="{00000000-0005-0000-0000-000041430000}"/>
    <cellStyle name="Normal 7 7 8" xfId="17246" xr:uid="{00000000-0005-0000-0000-000042430000}"/>
    <cellStyle name="Normal 7 8" xfId="17247" xr:uid="{00000000-0005-0000-0000-000043430000}"/>
    <cellStyle name="Normal 7 8 2" xfId="17248" xr:uid="{00000000-0005-0000-0000-000044430000}"/>
    <cellStyle name="Normal 7 8 3" xfId="17249" xr:uid="{00000000-0005-0000-0000-000045430000}"/>
    <cellStyle name="Normal 7 8 4" xfId="17250" xr:uid="{00000000-0005-0000-0000-000046430000}"/>
    <cellStyle name="Normal 7 8 5" xfId="17251" xr:uid="{00000000-0005-0000-0000-000047430000}"/>
    <cellStyle name="Normal 7 8 6" xfId="17252" xr:uid="{00000000-0005-0000-0000-000048430000}"/>
    <cellStyle name="Normal 7 8 7" xfId="17253" xr:uid="{00000000-0005-0000-0000-000049430000}"/>
    <cellStyle name="Normal 7 8 8" xfId="17254" xr:uid="{00000000-0005-0000-0000-00004A430000}"/>
    <cellStyle name="Normal 7 9" xfId="17255" xr:uid="{00000000-0005-0000-0000-00004B430000}"/>
    <cellStyle name="Normal 7 9 2" xfId="17256" xr:uid="{00000000-0005-0000-0000-00004C430000}"/>
    <cellStyle name="Normal 7 9 3" xfId="17257" xr:uid="{00000000-0005-0000-0000-00004D430000}"/>
    <cellStyle name="Normal 7 9 4" xfId="17258" xr:uid="{00000000-0005-0000-0000-00004E430000}"/>
    <cellStyle name="Normal 7 9 5" xfId="17259" xr:uid="{00000000-0005-0000-0000-00004F430000}"/>
    <cellStyle name="Normal 7 9 6" xfId="17260" xr:uid="{00000000-0005-0000-0000-000050430000}"/>
    <cellStyle name="Normal 7 9 7" xfId="17261" xr:uid="{00000000-0005-0000-0000-000051430000}"/>
    <cellStyle name="Normal 7 9 8" xfId="17262" xr:uid="{00000000-0005-0000-0000-000052430000}"/>
    <cellStyle name="Normal 7_(9) 3 ACRs (GF) &amp; 2 ACRs (FF)" xfId="17263" xr:uid="{00000000-0005-0000-0000-000053430000}"/>
    <cellStyle name="Normal 70" xfId="17264" xr:uid="{00000000-0005-0000-0000-000054430000}"/>
    <cellStyle name="Normal 70 2" xfId="17265" xr:uid="{00000000-0005-0000-0000-000055430000}"/>
    <cellStyle name="Normal 70 3" xfId="17266" xr:uid="{00000000-0005-0000-0000-000056430000}"/>
    <cellStyle name="Normal 70 4" xfId="17267" xr:uid="{00000000-0005-0000-0000-000057430000}"/>
    <cellStyle name="Normal 71" xfId="17268" xr:uid="{00000000-0005-0000-0000-000058430000}"/>
    <cellStyle name="Normal 71 2" xfId="17269" xr:uid="{00000000-0005-0000-0000-000059430000}"/>
    <cellStyle name="Normal 71 3" xfId="17270" xr:uid="{00000000-0005-0000-0000-00005A430000}"/>
    <cellStyle name="Normal 71 4" xfId="17271" xr:uid="{00000000-0005-0000-0000-00005B430000}"/>
    <cellStyle name="Normal 72" xfId="17272" xr:uid="{00000000-0005-0000-0000-00005C430000}"/>
    <cellStyle name="Normal 72 2" xfId="17273" xr:uid="{00000000-0005-0000-0000-00005D430000}"/>
    <cellStyle name="Normal 72 3" xfId="17274" xr:uid="{00000000-0005-0000-0000-00005E430000}"/>
    <cellStyle name="Normal 73" xfId="17275" xr:uid="{00000000-0005-0000-0000-00005F430000}"/>
    <cellStyle name="Normal 73 2" xfId="17276" xr:uid="{00000000-0005-0000-0000-000060430000}"/>
    <cellStyle name="Normal 73 3" xfId="17277" xr:uid="{00000000-0005-0000-0000-000061430000}"/>
    <cellStyle name="Normal 74" xfId="17278" xr:uid="{00000000-0005-0000-0000-000062430000}"/>
    <cellStyle name="Normal 74 2" xfId="17279" xr:uid="{00000000-0005-0000-0000-000063430000}"/>
    <cellStyle name="Normal 74 3" xfId="17280" xr:uid="{00000000-0005-0000-0000-000064430000}"/>
    <cellStyle name="Normal 75" xfId="17281" xr:uid="{00000000-0005-0000-0000-000065430000}"/>
    <cellStyle name="Normal 75 2" xfId="17282" xr:uid="{00000000-0005-0000-0000-000066430000}"/>
    <cellStyle name="Normal 75 3" xfId="17283" xr:uid="{00000000-0005-0000-0000-000067430000}"/>
    <cellStyle name="Normal 76" xfId="17284" xr:uid="{00000000-0005-0000-0000-000068430000}"/>
    <cellStyle name="Normal 76 2" xfId="17285" xr:uid="{00000000-0005-0000-0000-000069430000}"/>
    <cellStyle name="Normal 76 3" xfId="17286" xr:uid="{00000000-0005-0000-0000-00006A430000}"/>
    <cellStyle name="Normal 77" xfId="17287" xr:uid="{00000000-0005-0000-0000-00006B430000}"/>
    <cellStyle name="Normal 77 2" xfId="17288" xr:uid="{00000000-0005-0000-0000-00006C430000}"/>
    <cellStyle name="Normal 77 3" xfId="17289" xr:uid="{00000000-0005-0000-0000-00006D430000}"/>
    <cellStyle name="Normal 78" xfId="17290" xr:uid="{00000000-0005-0000-0000-00006E430000}"/>
    <cellStyle name="Normal 79" xfId="17291" xr:uid="{00000000-0005-0000-0000-00006F430000}"/>
    <cellStyle name="Normal 8" xfId="17292" xr:uid="{00000000-0005-0000-0000-000070430000}"/>
    <cellStyle name="Normal 8 10" xfId="17293" xr:uid="{00000000-0005-0000-0000-000071430000}"/>
    <cellStyle name="Normal 8 10 2" xfId="17294" xr:uid="{00000000-0005-0000-0000-000072430000}"/>
    <cellStyle name="Normal 8 10 3" xfId="17295" xr:uid="{00000000-0005-0000-0000-000073430000}"/>
    <cellStyle name="Normal 8 11" xfId="17296" xr:uid="{00000000-0005-0000-0000-000074430000}"/>
    <cellStyle name="Normal 8 12" xfId="17297" xr:uid="{00000000-0005-0000-0000-000075430000}"/>
    <cellStyle name="Normal 8 13" xfId="17298" xr:uid="{00000000-0005-0000-0000-000076430000}"/>
    <cellStyle name="Normal 8 14" xfId="17299" xr:uid="{00000000-0005-0000-0000-000077430000}"/>
    <cellStyle name="Normal 8 15" xfId="17300" xr:uid="{00000000-0005-0000-0000-000078430000}"/>
    <cellStyle name="Normal 8 2" xfId="17301" xr:uid="{00000000-0005-0000-0000-000079430000}"/>
    <cellStyle name="Normal 8 2 10" xfId="17302" xr:uid="{00000000-0005-0000-0000-00007A430000}"/>
    <cellStyle name="Normal 8 2 11" xfId="17303" xr:uid="{00000000-0005-0000-0000-00007B430000}"/>
    <cellStyle name="Normal 8 2 12" xfId="17304" xr:uid="{00000000-0005-0000-0000-00007C430000}"/>
    <cellStyle name="Normal 8 2 2" xfId="17305" xr:uid="{00000000-0005-0000-0000-00007D430000}"/>
    <cellStyle name="Normal 8 2 2 10" xfId="17306" xr:uid="{00000000-0005-0000-0000-00007E430000}"/>
    <cellStyle name="Normal 8 2 2 2" xfId="17307" xr:uid="{00000000-0005-0000-0000-00007F430000}"/>
    <cellStyle name="Normal 8 2 2 2 2" xfId="17308" xr:uid="{00000000-0005-0000-0000-000080430000}"/>
    <cellStyle name="Normal 8 2 2 3" xfId="17309" xr:uid="{00000000-0005-0000-0000-000081430000}"/>
    <cellStyle name="Normal 8 2 2 4" xfId="17310" xr:uid="{00000000-0005-0000-0000-000082430000}"/>
    <cellStyle name="Normal 8 2 2 5" xfId="17311" xr:uid="{00000000-0005-0000-0000-000083430000}"/>
    <cellStyle name="Normal 8 2 2 6" xfId="17312" xr:uid="{00000000-0005-0000-0000-000084430000}"/>
    <cellStyle name="Normal 8 2 2 7" xfId="17313" xr:uid="{00000000-0005-0000-0000-000085430000}"/>
    <cellStyle name="Normal 8 2 2 8" xfId="17314" xr:uid="{00000000-0005-0000-0000-000086430000}"/>
    <cellStyle name="Normal 8 2 2 9" xfId="17315" xr:uid="{00000000-0005-0000-0000-000087430000}"/>
    <cellStyle name="Normal 8 2 2_Sheet2" xfId="17316" xr:uid="{00000000-0005-0000-0000-000088430000}"/>
    <cellStyle name="Normal 8 2 3" xfId="17317" xr:uid="{00000000-0005-0000-0000-000089430000}"/>
    <cellStyle name="Normal 8 2 4" xfId="17318" xr:uid="{00000000-0005-0000-0000-00008A430000}"/>
    <cellStyle name="Normal 8 2 5" xfId="17319" xr:uid="{00000000-0005-0000-0000-00008B430000}"/>
    <cellStyle name="Normal 8 2 6" xfId="17320" xr:uid="{00000000-0005-0000-0000-00008C430000}"/>
    <cellStyle name="Normal 8 2 7" xfId="17321" xr:uid="{00000000-0005-0000-0000-00008D430000}"/>
    <cellStyle name="Normal 8 2 8" xfId="17322" xr:uid="{00000000-0005-0000-0000-00008E430000}"/>
    <cellStyle name="Normal 8 2 9" xfId="17323" xr:uid="{00000000-0005-0000-0000-00008F430000}"/>
    <cellStyle name="Normal 8 2_NERELLA ADDITIONAL CLASS ROOMS IN FF" xfId="17324" xr:uid="{00000000-0005-0000-0000-000090430000}"/>
    <cellStyle name="Normal 8 3" xfId="17325" xr:uid="{00000000-0005-0000-0000-000091430000}"/>
    <cellStyle name="Normal 8 3 10" xfId="17326" xr:uid="{00000000-0005-0000-0000-000092430000}"/>
    <cellStyle name="Normal 8 3 2" xfId="17327" xr:uid="{00000000-0005-0000-0000-000093430000}"/>
    <cellStyle name="Normal 8 3 3" xfId="17328" xr:uid="{00000000-0005-0000-0000-000094430000}"/>
    <cellStyle name="Normal 8 3 4" xfId="17329" xr:uid="{00000000-0005-0000-0000-000095430000}"/>
    <cellStyle name="Normal 8 3 5" xfId="17330" xr:uid="{00000000-0005-0000-0000-000096430000}"/>
    <cellStyle name="Normal 8 3 6" xfId="17331" xr:uid="{00000000-0005-0000-0000-000097430000}"/>
    <cellStyle name="Normal 8 3 7" xfId="17332" xr:uid="{00000000-0005-0000-0000-000098430000}"/>
    <cellStyle name="Normal 8 3 8" xfId="17333" xr:uid="{00000000-0005-0000-0000-000099430000}"/>
    <cellStyle name="Normal 8 3 9" xfId="17334" xr:uid="{00000000-0005-0000-0000-00009A430000}"/>
    <cellStyle name="Normal 8 3_Sheet2" xfId="17335" xr:uid="{00000000-0005-0000-0000-00009B430000}"/>
    <cellStyle name="Normal 8 4" xfId="17336" xr:uid="{00000000-0005-0000-0000-00009C430000}"/>
    <cellStyle name="Normal 8 4 2" xfId="17337" xr:uid="{00000000-0005-0000-0000-00009D430000}"/>
    <cellStyle name="Normal 8 4_Sheet2" xfId="17338" xr:uid="{00000000-0005-0000-0000-00009E430000}"/>
    <cellStyle name="Normal 8 5" xfId="17339" xr:uid="{00000000-0005-0000-0000-00009F430000}"/>
    <cellStyle name="Normal 8 5 2" xfId="17340" xr:uid="{00000000-0005-0000-0000-0000A0430000}"/>
    <cellStyle name="Normal 8 5 2 2" xfId="17341" xr:uid="{00000000-0005-0000-0000-0000A1430000}"/>
    <cellStyle name="Normal 8 5 3" xfId="17342" xr:uid="{00000000-0005-0000-0000-0000A2430000}"/>
    <cellStyle name="Normal 8 5 4" xfId="17343" xr:uid="{00000000-0005-0000-0000-0000A3430000}"/>
    <cellStyle name="Normal 8 5 5" xfId="17344" xr:uid="{00000000-0005-0000-0000-0000A4430000}"/>
    <cellStyle name="Normal 8 5 6" xfId="17345" xr:uid="{00000000-0005-0000-0000-0000A5430000}"/>
    <cellStyle name="Normal 8 5_Sheet2" xfId="17346" xr:uid="{00000000-0005-0000-0000-0000A6430000}"/>
    <cellStyle name="Normal 8 6" xfId="17347" xr:uid="{00000000-0005-0000-0000-0000A7430000}"/>
    <cellStyle name="Normal 8 6 2" xfId="17348" xr:uid="{00000000-0005-0000-0000-0000A8430000}"/>
    <cellStyle name="Normal 8 6 3" xfId="17349" xr:uid="{00000000-0005-0000-0000-0000A9430000}"/>
    <cellStyle name="Normal 8 7" xfId="17350" xr:uid="{00000000-0005-0000-0000-0000AA430000}"/>
    <cellStyle name="Normal 8 8" xfId="17351" xr:uid="{00000000-0005-0000-0000-0000AB430000}"/>
    <cellStyle name="Normal 8 9" xfId="17352" xr:uid="{00000000-0005-0000-0000-0000AC430000}"/>
    <cellStyle name="Normal 8_Achampally-Gattu (Ganga)" xfId="17353" xr:uid="{00000000-0005-0000-0000-0000AD430000}"/>
    <cellStyle name="Normal 80" xfId="17354" xr:uid="{00000000-0005-0000-0000-0000AE430000}"/>
    <cellStyle name="Normal 80 2" xfId="17355" xr:uid="{00000000-0005-0000-0000-0000AF430000}"/>
    <cellStyle name="Normal 81" xfId="17356" xr:uid="{00000000-0005-0000-0000-0000B0430000}"/>
    <cellStyle name="Normal 81 2" xfId="17357" xr:uid="{00000000-0005-0000-0000-0000B1430000}"/>
    <cellStyle name="Normal 82" xfId="17358" xr:uid="{00000000-0005-0000-0000-0000B2430000}"/>
    <cellStyle name="Normal 82 2" xfId="17359" xr:uid="{00000000-0005-0000-0000-0000B3430000}"/>
    <cellStyle name="Normal 83" xfId="17360" xr:uid="{00000000-0005-0000-0000-0000B4430000}"/>
    <cellStyle name="Normal 83 2" xfId="17361" xr:uid="{00000000-0005-0000-0000-0000B5430000}"/>
    <cellStyle name="Normal 83 3" xfId="17362" xr:uid="{00000000-0005-0000-0000-0000B6430000}"/>
    <cellStyle name="Normal 84" xfId="17363" xr:uid="{00000000-0005-0000-0000-0000B7430000}"/>
    <cellStyle name="Normal 84 2" xfId="17364" xr:uid="{00000000-0005-0000-0000-0000B8430000}"/>
    <cellStyle name="Normal 84 3" xfId="17365" xr:uid="{00000000-0005-0000-0000-0000B9430000}"/>
    <cellStyle name="Normal 85" xfId="17366" xr:uid="{00000000-0005-0000-0000-0000BA430000}"/>
    <cellStyle name="Normal 85 2" xfId="17367" xr:uid="{00000000-0005-0000-0000-0000BB430000}"/>
    <cellStyle name="Normal 85 3" xfId="17368" xr:uid="{00000000-0005-0000-0000-0000BC430000}"/>
    <cellStyle name="Normal 86" xfId="17369" xr:uid="{00000000-0005-0000-0000-0000BD430000}"/>
    <cellStyle name="Normal 86 2" xfId="17370" xr:uid="{00000000-0005-0000-0000-0000BE430000}"/>
    <cellStyle name="Normal 87" xfId="17371" xr:uid="{00000000-0005-0000-0000-0000BF430000}"/>
    <cellStyle name="Normal 87 2" xfId="17372" xr:uid="{00000000-0005-0000-0000-0000C0430000}"/>
    <cellStyle name="Normal 88" xfId="17373" xr:uid="{00000000-0005-0000-0000-0000C1430000}"/>
    <cellStyle name="Normal 88 2" xfId="17374" xr:uid="{00000000-0005-0000-0000-0000C2430000}"/>
    <cellStyle name="Normal 89" xfId="17375" xr:uid="{00000000-0005-0000-0000-0000C3430000}"/>
    <cellStyle name="Normal 9" xfId="65" xr:uid="{00000000-0005-0000-0000-0000C4430000}"/>
    <cellStyle name="Normal 9 10" xfId="17376" xr:uid="{00000000-0005-0000-0000-0000C5430000}"/>
    <cellStyle name="Normal 9 10 2" xfId="17377" xr:uid="{00000000-0005-0000-0000-0000C6430000}"/>
    <cellStyle name="Normal 9 10 3" xfId="17378" xr:uid="{00000000-0005-0000-0000-0000C7430000}"/>
    <cellStyle name="Normal 9 10 4" xfId="17379" xr:uid="{00000000-0005-0000-0000-0000C8430000}"/>
    <cellStyle name="Normal 9 10 5" xfId="17380" xr:uid="{00000000-0005-0000-0000-0000C9430000}"/>
    <cellStyle name="Normal 9 10 6" xfId="17381" xr:uid="{00000000-0005-0000-0000-0000CA430000}"/>
    <cellStyle name="Normal 9 10 7" xfId="17382" xr:uid="{00000000-0005-0000-0000-0000CB430000}"/>
    <cellStyle name="Normal 9 10 8" xfId="17383" xr:uid="{00000000-0005-0000-0000-0000CC430000}"/>
    <cellStyle name="Normal 9 11" xfId="17384" xr:uid="{00000000-0005-0000-0000-0000CD430000}"/>
    <cellStyle name="Normal 9 12" xfId="17385" xr:uid="{00000000-0005-0000-0000-0000CE430000}"/>
    <cellStyle name="Normal 9 13" xfId="17386" xr:uid="{00000000-0005-0000-0000-0000CF430000}"/>
    <cellStyle name="Normal 9 14" xfId="17387" xr:uid="{00000000-0005-0000-0000-0000D0430000}"/>
    <cellStyle name="Normal 9 15" xfId="17388" xr:uid="{00000000-0005-0000-0000-0000D1430000}"/>
    <cellStyle name="Normal 9 16" xfId="17389" xr:uid="{00000000-0005-0000-0000-0000D2430000}"/>
    <cellStyle name="Normal 9 17" xfId="17390" xr:uid="{00000000-0005-0000-0000-0000D3430000}"/>
    <cellStyle name="Normal 9 18" xfId="17391" xr:uid="{00000000-0005-0000-0000-0000D4430000}"/>
    <cellStyle name="Normal 9 19" xfId="17392" xr:uid="{00000000-0005-0000-0000-0000D5430000}"/>
    <cellStyle name="Normal 9 2" xfId="17393" xr:uid="{00000000-0005-0000-0000-0000D6430000}"/>
    <cellStyle name="Normal 9 2 10" xfId="17394" xr:uid="{00000000-0005-0000-0000-0000D7430000}"/>
    <cellStyle name="Normal 9 2 10 2" xfId="17395" xr:uid="{00000000-0005-0000-0000-0000D8430000}"/>
    <cellStyle name="Normal 9 2 11" xfId="17396" xr:uid="{00000000-0005-0000-0000-0000D9430000}"/>
    <cellStyle name="Normal 9 2 11 2" xfId="17397" xr:uid="{00000000-0005-0000-0000-0000DA430000}"/>
    <cellStyle name="Normal 9 2 12" xfId="17398" xr:uid="{00000000-0005-0000-0000-0000DB430000}"/>
    <cellStyle name="Normal 9 2 13" xfId="17399" xr:uid="{00000000-0005-0000-0000-0000DC430000}"/>
    <cellStyle name="Normal 9 2 2" xfId="17400" xr:uid="{00000000-0005-0000-0000-0000DD430000}"/>
    <cellStyle name="Normal 9 2 2 2" xfId="17401" xr:uid="{00000000-0005-0000-0000-0000DE430000}"/>
    <cellStyle name="Normal 9 2 2 2 2" xfId="17402" xr:uid="{00000000-0005-0000-0000-0000DF430000}"/>
    <cellStyle name="Normal 9 2 2 2 2 2" xfId="17403" xr:uid="{00000000-0005-0000-0000-0000E0430000}"/>
    <cellStyle name="Normal 9 2 2 2 2 2 2" xfId="17404" xr:uid="{00000000-0005-0000-0000-0000E1430000}"/>
    <cellStyle name="Normal 9 2 2 2 2 3" xfId="17405" xr:uid="{00000000-0005-0000-0000-0000E2430000}"/>
    <cellStyle name="Normal 9 2 2 2 3" xfId="17406" xr:uid="{00000000-0005-0000-0000-0000E3430000}"/>
    <cellStyle name="Normal 9 2 2 2 3 2" xfId="17407" xr:uid="{00000000-0005-0000-0000-0000E4430000}"/>
    <cellStyle name="Normal 9 2 2 2 4" xfId="17408" xr:uid="{00000000-0005-0000-0000-0000E5430000}"/>
    <cellStyle name="Normal 9 2 2 2 4 2" xfId="17409" xr:uid="{00000000-0005-0000-0000-0000E6430000}"/>
    <cellStyle name="Normal 9 2 2 2 5" xfId="17410" xr:uid="{00000000-0005-0000-0000-0000E7430000}"/>
    <cellStyle name="Normal 9 2 2 3" xfId="17411" xr:uid="{00000000-0005-0000-0000-0000E8430000}"/>
    <cellStyle name="Normal 9 2 2 3 2" xfId="17412" xr:uid="{00000000-0005-0000-0000-0000E9430000}"/>
    <cellStyle name="Normal 9 2 2 3 2 2" xfId="17413" xr:uid="{00000000-0005-0000-0000-0000EA430000}"/>
    <cellStyle name="Normal 9 2 2 3 2 2 2" xfId="17414" xr:uid="{00000000-0005-0000-0000-0000EB430000}"/>
    <cellStyle name="Normal 9 2 2 3 2 3" xfId="17415" xr:uid="{00000000-0005-0000-0000-0000EC430000}"/>
    <cellStyle name="Normal 9 2 2 3 3" xfId="17416" xr:uid="{00000000-0005-0000-0000-0000ED430000}"/>
    <cellStyle name="Normal 9 2 2 3 3 2" xfId="17417" xr:uid="{00000000-0005-0000-0000-0000EE430000}"/>
    <cellStyle name="Normal 9 2 2 3 4" xfId="17418" xr:uid="{00000000-0005-0000-0000-0000EF430000}"/>
    <cellStyle name="Normal 9 2 2 3 4 2" xfId="17419" xr:uid="{00000000-0005-0000-0000-0000F0430000}"/>
    <cellStyle name="Normal 9 2 2 3 5" xfId="17420" xr:uid="{00000000-0005-0000-0000-0000F1430000}"/>
    <cellStyle name="Normal 9 2 2 4" xfId="17421" xr:uid="{00000000-0005-0000-0000-0000F2430000}"/>
    <cellStyle name="Normal 9 2 2 4 2" xfId="17422" xr:uid="{00000000-0005-0000-0000-0000F3430000}"/>
    <cellStyle name="Normal 9 2 2 4 2 2" xfId="17423" xr:uid="{00000000-0005-0000-0000-0000F4430000}"/>
    <cellStyle name="Normal 9 2 2 4 2 2 2" xfId="17424" xr:uid="{00000000-0005-0000-0000-0000F5430000}"/>
    <cellStyle name="Normal 9 2 2 4 2 3" xfId="17425" xr:uid="{00000000-0005-0000-0000-0000F6430000}"/>
    <cellStyle name="Normal 9 2 2 4 3" xfId="17426" xr:uid="{00000000-0005-0000-0000-0000F7430000}"/>
    <cellStyle name="Normal 9 2 2 4 3 2" xfId="17427" xr:uid="{00000000-0005-0000-0000-0000F8430000}"/>
    <cellStyle name="Normal 9 2 2 4 4" xfId="17428" xr:uid="{00000000-0005-0000-0000-0000F9430000}"/>
    <cellStyle name="Normal 9 2 2 4 4 2" xfId="17429" xr:uid="{00000000-0005-0000-0000-0000FA430000}"/>
    <cellStyle name="Normal 9 2 2 4 5" xfId="17430" xr:uid="{00000000-0005-0000-0000-0000FB430000}"/>
    <cellStyle name="Normal 9 2 2 5" xfId="17431" xr:uid="{00000000-0005-0000-0000-0000FC430000}"/>
    <cellStyle name="Normal 9 2 2 5 2" xfId="17432" xr:uid="{00000000-0005-0000-0000-0000FD430000}"/>
    <cellStyle name="Normal 9 2 2 5 2 2" xfId="17433" xr:uid="{00000000-0005-0000-0000-0000FE430000}"/>
    <cellStyle name="Normal 9 2 2 5 2 2 2" xfId="17434" xr:uid="{00000000-0005-0000-0000-0000FF430000}"/>
    <cellStyle name="Normal 9 2 2 5 2 3" xfId="17435" xr:uid="{00000000-0005-0000-0000-000000440000}"/>
    <cellStyle name="Normal 9 2 2 5 3" xfId="17436" xr:uid="{00000000-0005-0000-0000-000001440000}"/>
    <cellStyle name="Normal 9 2 2 5 3 2" xfId="17437" xr:uid="{00000000-0005-0000-0000-000002440000}"/>
    <cellStyle name="Normal 9 2 2 5 4" xfId="17438" xr:uid="{00000000-0005-0000-0000-000003440000}"/>
    <cellStyle name="Normal 9 2 2 5 4 2" xfId="17439" xr:uid="{00000000-0005-0000-0000-000004440000}"/>
    <cellStyle name="Normal 9 2 2 5 5" xfId="17440" xr:uid="{00000000-0005-0000-0000-000005440000}"/>
    <cellStyle name="Normal 9 2 2 6" xfId="17441" xr:uid="{00000000-0005-0000-0000-000006440000}"/>
    <cellStyle name="Normal 9 2 2 6 2" xfId="17442" xr:uid="{00000000-0005-0000-0000-000007440000}"/>
    <cellStyle name="Normal 9 2 2 6 2 2" xfId="17443" xr:uid="{00000000-0005-0000-0000-000008440000}"/>
    <cellStyle name="Normal 9 2 2 6 3" xfId="17444" xr:uid="{00000000-0005-0000-0000-000009440000}"/>
    <cellStyle name="Normal 9 2 2 7" xfId="17445" xr:uid="{00000000-0005-0000-0000-00000A440000}"/>
    <cellStyle name="Normal 9 2 2 7 2" xfId="17446" xr:uid="{00000000-0005-0000-0000-00000B440000}"/>
    <cellStyle name="Normal 9 2 2 8" xfId="17447" xr:uid="{00000000-0005-0000-0000-00000C440000}"/>
    <cellStyle name="Normal 9 2 2 8 2" xfId="17448" xr:uid="{00000000-0005-0000-0000-00000D440000}"/>
    <cellStyle name="Normal 9 2 2 9" xfId="17449" xr:uid="{00000000-0005-0000-0000-00000E440000}"/>
    <cellStyle name="Normal 9 2 3" xfId="17450" xr:uid="{00000000-0005-0000-0000-00000F440000}"/>
    <cellStyle name="Normal 9 2 3 2" xfId="17451" xr:uid="{00000000-0005-0000-0000-000010440000}"/>
    <cellStyle name="Normal 9 2 3 2 2" xfId="17452" xr:uid="{00000000-0005-0000-0000-000011440000}"/>
    <cellStyle name="Normal 9 2 3 2 2 2" xfId="17453" xr:uid="{00000000-0005-0000-0000-000012440000}"/>
    <cellStyle name="Normal 9 2 3 2 2 2 2" xfId="17454" xr:uid="{00000000-0005-0000-0000-000013440000}"/>
    <cellStyle name="Normal 9 2 3 2 2 3" xfId="17455" xr:uid="{00000000-0005-0000-0000-000014440000}"/>
    <cellStyle name="Normal 9 2 3 2 3" xfId="17456" xr:uid="{00000000-0005-0000-0000-000015440000}"/>
    <cellStyle name="Normal 9 2 3 2 3 2" xfId="17457" xr:uid="{00000000-0005-0000-0000-000016440000}"/>
    <cellStyle name="Normal 9 2 3 2 4" xfId="17458" xr:uid="{00000000-0005-0000-0000-000017440000}"/>
    <cellStyle name="Normal 9 2 3 2 4 2" xfId="17459" xr:uid="{00000000-0005-0000-0000-000018440000}"/>
    <cellStyle name="Normal 9 2 3 2 5" xfId="17460" xr:uid="{00000000-0005-0000-0000-000019440000}"/>
    <cellStyle name="Normal 9 2 3 3" xfId="17461" xr:uid="{00000000-0005-0000-0000-00001A440000}"/>
    <cellStyle name="Normal 9 2 3 3 2" xfId="17462" xr:uid="{00000000-0005-0000-0000-00001B440000}"/>
    <cellStyle name="Normal 9 2 3 3 2 2" xfId="17463" xr:uid="{00000000-0005-0000-0000-00001C440000}"/>
    <cellStyle name="Normal 9 2 3 3 2 2 2" xfId="17464" xr:uid="{00000000-0005-0000-0000-00001D440000}"/>
    <cellStyle name="Normal 9 2 3 3 2 3" xfId="17465" xr:uid="{00000000-0005-0000-0000-00001E440000}"/>
    <cellStyle name="Normal 9 2 3 3 3" xfId="17466" xr:uid="{00000000-0005-0000-0000-00001F440000}"/>
    <cellStyle name="Normal 9 2 3 3 3 2" xfId="17467" xr:uid="{00000000-0005-0000-0000-000020440000}"/>
    <cellStyle name="Normal 9 2 3 3 4" xfId="17468" xr:uid="{00000000-0005-0000-0000-000021440000}"/>
    <cellStyle name="Normal 9 2 3 3 4 2" xfId="17469" xr:uid="{00000000-0005-0000-0000-000022440000}"/>
    <cellStyle name="Normal 9 2 3 3 5" xfId="17470" xr:uid="{00000000-0005-0000-0000-000023440000}"/>
    <cellStyle name="Normal 9 2 3 4" xfId="17471" xr:uid="{00000000-0005-0000-0000-000024440000}"/>
    <cellStyle name="Normal 9 2 3 4 2" xfId="17472" xr:uid="{00000000-0005-0000-0000-000025440000}"/>
    <cellStyle name="Normal 9 2 3 4 2 2" xfId="17473" xr:uid="{00000000-0005-0000-0000-000026440000}"/>
    <cellStyle name="Normal 9 2 3 4 2 2 2" xfId="17474" xr:uid="{00000000-0005-0000-0000-000027440000}"/>
    <cellStyle name="Normal 9 2 3 4 2 3" xfId="17475" xr:uid="{00000000-0005-0000-0000-000028440000}"/>
    <cellStyle name="Normal 9 2 3 4 3" xfId="17476" xr:uid="{00000000-0005-0000-0000-000029440000}"/>
    <cellStyle name="Normal 9 2 3 4 3 2" xfId="17477" xr:uid="{00000000-0005-0000-0000-00002A440000}"/>
    <cellStyle name="Normal 9 2 3 4 4" xfId="17478" xr:uid="{00000000-0005-0000-0000-00002B440000}"/>
    <cellStyle name="Normal 9 2 3 4 4 2" xfId="17479" xr:uid="{00000000-0005-0000-0000-00002C440000}"/>
    <cellStyle name="Normal 9 2 3 4 5" xfId="17480" xr:uid="{00000000-0005-0000-0000-00002D440000}"/>
    <cellStyle name="Normal 9 2 3 5" xfId="17481" xr:uid="{00000000-0005-0000-0000-00002E440000}"/>
    <cellStyle name="Normal 9 2 3 5 2" xfId="17482" xr:uid="{00000000-0005-0000-0000-00002F440000}"/>
    <cellStyle name="Normal 9 2 3 5 2 2" xfId="17483" xr:uid="{00000000-0005-0000-0000-000030440000}"/>
    <cellStyle name="Normal 9 2 3 5 2 2 2" xfId="17484" xr:uid="{00000000-0005-0000-0000-000031440000}"/>
    <cellStyle name="Normal 9 2 3 5 2 3" xfId="17485" xr:uid="{00000000-0005-0000-0000-000032440000}"/>
    <cellStyle name="Normal 9 2 3 5 3" xfId="17486" xr:uid="{00000000-0005-0000-0000-000033440000}"/>
    <cellStyle name="Normal 9 2 3 5 3 2" xfId="17487" xr:uid="{00000000-0005-0000-0000-000034440000}"/>
    <cellStyle name="Normal 9 2 3 5 4" xfId="17488" xr:uid="{00000000-0005-0000-0000-000035440000}"/>
    <cellStyle name="Normal 9 2 3 5 4 2" xfId="17489" xr:uid="{00000000-0005-0000-0000-000036440000}"/>
    <cellStyle name="Normal 9 2 3 5 5" xfId="17490" xr:uid="{00000000-0005-0000-0000-000037440000}"/>
    <cellStyle name="Normal 9 2 3 6" xfId="17491" xr:uid="{00000000-0005-0000-0000-000038440000}"/>
    <cellStyle name="Normal 9 2 3 6 2" xfId="17492" xr:uid="{00000000-0005-0000-0000-000039440000}"/>
    <cellStyle name="Normal 9 2 3 6 2 2" xfId="17493" xr:uid="{00000000-0005-0000-0000-00003A440000}"/>
    <cellStyle name="Normal 9 2 3 6 3" xfId="17494" xr:uid="{00000000-0005-0000-0000-00003B440000}"/>
    <cellStyle name="Normal 9 2 3 7" xfId="17495" xr:uid="{00000000-0005-0000-0000-00003C440000}"/>
    <cellStyle name="Normal 9 2 3 7 2" xfId="17496" xr:uid="{00000000-0005-0000-0000-00003D440000}"/>
    <cellStyle name="Normal 9 2 3 8" xfId="17497" xr:uid="{00000000-0005-0000-0000-00003E440000}"/>
    <cellStyle name="Normal 9 2 3 8 2" xfId="17498" xr:uid="{00000000-0005-0000-0000-00003F440000}"/>
    <cellStyle name="Normal 9 2 3 9" xfId="17499" xr:uid="{00000000-0005-0000-0000-000040440000}"/>
    <cellStyle name="Normal 9 2 4" xfId="17500" xr:uid="{00000000-0005-0000-0000-000041440000}"/>
    <cellStyle name="Normal 9 2 4 2" xfId="17501" xr:uid="{00000000-0005-0000-0000-000042440000}"/>
    <cellStyle name="Normal 9 2 4 2 2" xfId="17502" xr:uid="{00000000-0005-0000-0000-000043440000}"/>
    <cellStyle name="Normal 9 2 4 2 2 2" xfId="17503" xr:uid="{00000000-0005-0000-0000-000044440000}"/>
    <cellStyle name="Normal 9 2 4 2 2 2 2" xfId="17504" xr:uid="{00000000-0005-0000-0000-000045440000}"/>
    <cellStyle name="Normal 9 2 4 2 2 3" xfId="17505" xr:uid="{00000000-0005-0000-0000-000046440000}"/>
    <cellStyle name="Normal 9 2 4 2 3" xfId="17506" xr:uid="{00000000-0005-0000-0000-000047440000}"/>
    <cellStyle name="Normal 9 2 4 2 3 2" xfId="17507" xr:uid="{00000000-0005-0000-0000-000048440000}"/>
    <cellStyle name="Normal 9 2 4 2 4" xfId="17508" xr:uid="{00000000-0005-0000-0000-000049440000}"/>
    <cellStyle name="Normal 9 2 4 2 4 2" xfId="17509" xr:uid="{00000000-0005-0000-0000-00004A440000}"/>
    <cellStyle name="Normal 9 2 4 2 5" xfId="17510" xr:uid="{00000000-0005-0000-0000-00004B440000}"/>
    <cellStyle name="Normal 9 2 4 3" xfId="17511" xr:uid="{00000000-0005-0000-0000-00004C440000}"/>
    <cellStyle name="Normal 9 2 4 3 2" xfId="17512" xr:uid="{00000000-0005-0000-0000-00004D440000}"/>
    <cellStyle name="Normal 9 2 4 3 2 2" xfId="17513" xr:uid="{00000000-0005-0000-0000-00004E440000}"/>
    <cellStyle name="Normal 9 2 4 3 2 2 2" xfId="17514" xr:uid="{00000000-0005-0000-0000-00004F440000}"/>
    <cellStyle name="Normal 9 2 4 3 2 3" xfId="17515" xr:uid="{00000000-0005-0000-0000-000050440000}"/>
    <cellStyle name="Normal 9 2 4 3 3" xfId="17516" xr:uid="{00000000-0005-0000-0000-000051440000}"/>
    <cellStyle name="Normal 9 2 4 3 3 2" xfId="17517" xr:uid="{00000000-0005-0000-0000-000052440000}"/>
    <cellStyle name="Normal 9 2 4 3 4" xfId="17518" xr:uid="{00000000-0005-0000-0000-000053440000}"/>
    <cellStyle name="Normal 9 2 4 3 4 2" xfId="17519" xr:uid="{00000000-0005-0000-0000-000054440000}"/>
    <cellStyle name="Normal 9 2 4 3 5" xfId="17520" xr:uid="{00000000-0005-0000-0000-000055440000}"/>
    <cellStyle name="Normal 9 2 4 4" xfId="17521" xr:uid="{00000000-0005-0000-0000-000056440000}"/>
    <cellStyle name="Normal 9 2 4 4 2" xfId="17522" xr:uid="{00000000-0005-0000-0000-000057440000}"/>
    <cellStyle name="Normal 9 2 4 4 2 2" xfId="17523" xr:uid="{00000000-0005-0000-0000-000058440000}"/>
    <cellStyle name="Normal 9 2 4 4 3" xfId="17524" xr:uid="{00000000-0005-0000-0000-000059440000}"/>
    <cellStyle name="Normal 9 2 4 5" xfId="17525" xr:uid="{00000000-0005-0000-0000-00005A440000}"/>
    <cellStyle name="Normal 9 2 4 5 2" xfId="17526" xr:uid="{00000000-0005-0000-0000-00005B440000}"/>
    <cellStyle name="Normal 9 2 4 6" xfId="17527" xr:uid="{00000000-0005-0000-0000-00005C440000}"/>
    <cellStyle name="Normal 9 2 4 6 2" xfId="17528" xr:uid="{00000000-0005-0000-0000-00005D440000}"/>
    <cellStyle name="Normal 9 2 4 7" xfId="17529" xr:uid="{00000000-0005-0000-0000-00005E440000}"/>
    <cellStyle name="Normal 9 2 5" xfId="17530" xr:uid="{00000000-0005-0000-0000-00005F440000}"/>
    <cellStyle name="Normal 9 2 5 2" xfId="17531" xr:uid="{00000000-0005-0000-0000-000060440000}"/>
    <cellStyle name="Normal 9 2 5 2 2" xfId="17532" xr:uid="{00000000-0005-0000-0000-000061440000}"/>
    <cellStyle name="Normal 9 2 5 2 2 2" xfId="17533" xr:uid="{00000000-0005-0000-0000-000062440000}"/>
    <cellStyle name="Normal 9 2 5 2 3" xfId="17534" xr:uid="{00000000-0005-0000-0000-000063440000}"/>
    <cellStyle name="Normal 9 2 5 3" xfId="17535" xr:uid="{00000000-0005-0000-0000-000064440000}"/>
    <cellStyle name="Normal 9 2 5 3 2" xfId="17536" xr:uid="{00000000-0005-0000-0000-000065440000}"/>
    <cellStyle name="Normal 9 2 5 4" xfId="17537" xr:uid="{00000000-0005-0000-0000-000066440000}"/>
    <cellStyle name="Normal 9 2 5 4 2" xfId="17538" xr:uid="{00000000-0005-0000-0000-000067440000}"/>
    <cellStyle name="Normal 9 2 5 5" xfId="17539" xr:uid="{00000000-0005-0000-0000-000068440000}"/>
    <cellStyle name="Normal 9 2 6" xfId="17540" xr:uid="{00000000-0005-0000-0000-000069440000}"/>
    <cellStyle name="Normal 9 2 6 2" xfId="17541" xr:uid="{00000000-0005-0000-0000-00006A440000}"/>
    <cellStyle name="Normal 9 2 6 2 2" xfId="17542" xr:uid="{00000000-0005-0000-0000-00006B440000}"/>
    <cellStyle name="Normal 9 2 6 2 2 2" xfId="17543" xr:uid="{00000000-0005-0000-0000-00006C440000}"/>
    <cellStyle name="Normal 9 2 6 2 3" xfId="17544" xr:uid="{00000000-0005-0000-0000-00006D440000}"/>
    <cellStyle name="Normal 9 2 6 3" xfId="17545" xr:uid="{00000000-0005-0000-0000-00006E440000}"/>
    <cellStyle name="Normal 9 2 6 3 2" xfId="17546" xr:uid="{00000000-0005-0000-0000-00006F440000}"/>
    <cellStyle name="Normal 9 2 6 4" xfId="17547" xr:uid="{00000000-0005-0000-0000-000070440000}"/>
    <cellStyle name="Normal 9 2 6 4 2" xfId="17548" xr:uid="{00000000-0005-0000-0000-000071440000}"/>
    <cellStyle name="Normal 9 2 6 5" xfId="17549" xr:uid="{00000000-0005-0000-0000-000072440000}"/>
    <cellStyle name="Normal 9 2 7" xfId="17550" xr:uid="{00000000-0005-0000-0000-000073440000}"/>
    <cellStyle name="Normal 9 2 7 2" xfId="17551" xr:uid="{00000000-0005-0000-0000-000074440000}"/>
    <cellStyle name="Normal 9 2 7 2 2" xfId="17552" xr:uid="{00000000-0005-0000-0000-000075440000}"/>
    <cellStyle name="Normal 9 2 7 2 2 2" xfId="17553" xr:uid="{00000000-0005-0000-0000-000076440000}"/>
    <cellStyle name="Normal 9 2 7 2 3" xfId="17554" xr:uid="{00000000-0005-0000-0000-000077440000}"/>
    <cellStyle name="Normal 9 2 7 3" xfId="17555" xr:uid="{00000000-0005-0000-0000-000078440000}"/>
    <cellStyle name="Normal 9 2 7 3 2" xfId="17556" xr:uid="{00000000-0005-0000-0000-000079440000}"/>
    <cellStyle name="Normal 9 2 7 4" xfId="17557" xr:uid="{00000000-0005-0000-0000-00007A440000}"/>
    <cellStyle name="Normal 9 2 7 4 2" xfId="17558" xr:uid="{00000000-0005-0000-0000-00007B440000}"/>
    <cellStyle name="Normal 9 2 7 5" xfId="17559" xr:uid="{00000000-0005-0000-0000-00007C440000}"/>
    <cellStyle name="Normal 9 2 8" xfId="17560" xr:uid="{00000000-0005-0000-0000-00007D440000}"/>
    <cellStyle name="Normal 9 2 8 2" xfId="17561" xr:uid="{00000000-0005-0000-0000-00007E440000}"/>
    <cellStyle name="Normal 9 2 8 2 2" xfId="17562" xr:uid="{00000000-0005-0000-0000-00007F440000}"/>
    <cellStyle name="Normal 9 2 8 2 2 2" xfId="17563" xr:uid="{00000000-0005-0000-0000-000080440000}"/>
    <cellStyle name="Normal 9 2 8 2 3" xfId="17564" xr:uid="{00000000-0005-0000-0000-000081440000}"/>
    <cellStyle name="Normal 9 2 8 3" xfId="17565" xr:uid="{00000000-0005-0000-0000-000082440000}"/>
    <cellStyle name="Normal 9 2 8 3 2" xfId="17566" xr:uid="{00000000-0005-0000-0000-000083440000}"/>
    <cellStyle name="Normal 9 2 8 4" xfId="17567" xr:uid="{00000000-0005-0000-0000-000084440000}"/>
    <cellStyle name="Normal 9 2 8 4 2" xfId="17568" xr:uid="{00000000-0005-0000-0000-000085440000}"/>
    <cellStyle name="Normal 9 2 8 5" xfId="17569" xr:uid="{00000000-0005-0000-0000-000086440000}"/>
    <cellStyle name="Normal 9 2 9" xfId="17570" xr:uid="{00000000-0005-0000-0000-000087440000}"/>
    <cellStyle name="Normal 9 2 9 2" xfId="17571" xr:uid="{00000000-0005-0000-0000-000088440000}"/>
    <cellStyle name="Normal 9 2 9 2 2" xfId="17572" xr:uid="{00000000-0005-0000-0000-000089440000}"/>
    <cellStyle name="Normal 9 2 9 3" xfId="17573" xr:uid="{00000000-0005-0000-0000-00008A440000}"/>
    <cellStyle name="Normal 9 3" xfId="17574" xr:uid="{00000000-0005-0000-0000-00008B440000}"/>
    <cellStyle name="Normal 9 3 10" xfId="17575" xr:uid="{00000000-0005-0000-0000-00008C440000}"/>
    <cellStyle name="Normal 9 3 10 2" xfId="17576" xr:uid="{00000000-0005-0000-0000-00008D440000}"/>
    <cellStyle name="Normal 9 3 10 2 2" xfId="17577" xr:uid="{00000000-0005-0000-0000-00008E440000}"/>
    <cellStyle name="Normal 9 3 10 3" xfId="17578" xr:uid="{00000000-0005-0000-0000-00008F440000}"/>
    <cellStyle name="Normal 9 3 11" xfId="17579" xr:uid="{00000000-0005-0000-0000-000090440000}"/>
    <cellStyle name="Normal 9 3 11 2" xfId="17580" xr:uid="{00000000-0005-0000-0000-000091440000}"/>
    <cellStyle name="Normal 9 3 12" xfId="17581" xr:uid="{00000000-0005-0000-0000-000092440000}"/>
    <cellStyle name="Normal 9 3 12 2" xfId="17582" xr:uid="{00000000-0005-0000-0000-000093440000}"/>
    <cellStyle name="Normal 9 3 13" xfId="17583" xr:uid="{00000000-0005-0000-0000-000094440000}"/>
    <cellStyle name="Normal 9 3 14" xfId="17584" xr:uid="{00000000-0005-0000-0000-000095440000}"/>
    <cellStyle name="Normal 9 3 2" xfId="17585" xr:uid="{00000000-0005-0000-0000-000096440000}"/>
    <cellStyle name="Normal 9 3 2 10" xfId="17586" xr:uid="{00000000-0005-0000-0000-000097440000}"/>
    <cellStyle name="Normal 9 3 2 10 2" xfId="17587" xr:uid="{00000000-0005-0000-0000-000098440000}"/>
    <cellStyle name="Normal 9 3 2 11" xfId="17588" xr:uid="{00000000-0005-0000-0000-000099440000}"/>
    <cellStyle name="Normal 9 3 2 11 2" xfId="17589" xr:uid="{00000000-0005-0000-0000-00009A440000}"/>
    <cellStyle name="Normal 9 3 2 12" xfId="17590" xr:uid="{00000000-0005-0000-0000-00009B440000}"/>
    <cellStyle name="Normal 9 3 2 13" xfId="17591" xr:uid="{00000000-0005-0000-0000-00009C440000}"/>
    <cellStyle name="Normal 9 3 2 2" xfId="17592" xr:uid="{00000000-0005-0000-0000-00009D440000}"/>
    <cellStyle name="Normal 9 3 2 2 2" xfId="17593" xr:uid="{00000000-0005-0000-0000-00009E440000}"/>
    <cellStyle name="Normal 9 3 2 2 2 2" xfId="17594" xr:uid="{00000000-0005-0000-0000-00009F440000}"/>
    <cellStyle name="Normal 9 3 2 2 2 2 2" xfId="17595" xr:uid="{00000000-0005-0000-0000-0000A0440000}"/>
    <cellStyle name="Normal 9 3 2 2 2 2 2 2" xfId="17596" xr:uid="{00000000-0005-0000-0000-0000A1440000}"/>
    <cellStyle name="Normal 9 3 2 2 2 2 3" xfId="17597" xr:uid="{00000000-0005-0000-0000-0000A2440000}"/>
    <cellStyle name="Normal 9 3 2 2 2 3" xfId="17598" xr:uid="{00000000-0005-0000-0000-0000A3440000}"/>
    <cellStyle name="Normal 9 3 2 2 2 3 2" xfId="17599" xr:uid="{00000000-0005-0000-0000-0000A4440000}"/>
    <cellStyle name="Normal 9 3 2 2 2 4" xfId="17600" xr:uid="{00000000-0005-0000-0000-0000A5440000}"/>
    <cellStyle name="Normal 9 3 2 2 2 4 2" xfId="17601" xr:uid="{00000000-0005-0000-0000-0000A6440000}"/>
    <cellStyle name="Normal 9 3 2 2 2 5" xfId="17602" xr:uid="{00000000-0005-0000-0000-0000A7440000}"/>
    <cellStyle name="Normal 9 3 2 2 3" xfId="17603" xr:uid="{00000000-0005-0000-0000-0000A8440000}"/>
    <cellStyle name="Normal 9 3 2 2 3 2" xfId="17604" xr:uid="{00000000-0005-0000-0000-0000A9440000}"/>
    <cellStyle name="Normal 9 3 2 2 3 2 2" xfId="17605" xr:uid="{00000000-0005-0000-0000-0000AA440000}"/>
    <cellStyle name="Normal 9 3 2 2 3 2 2 2" xfId="17606" xr:uid="{00000000-0005-0000-0000-0000AB440000}"/>
    <cellStyle name="Normal 9 3 2 2 3 2 3" xfId="17607" xr:uid="{00000000-0005-0000-0000-0000AC440000}"/>
    <cellStyle name="Normal 9 3 2 2 3 3" xfId="17608" xr:uid="{00000000-0005-0000-0000-0000AD440000}"/>
    <cellStyle name="Normal 9 3 2 2 3 3 2" xfId="17609" xr:uid="{00000000-0005-0000-0000-0000AE440000}"/>
    <cellStyle name="Normal 9 3 2 2 3 4" xfId="17610" xr:uid="{00000000-0005-0000-0000-0000AF440000}"/>
    <cellStyle name="Normal 9 3 2 2 3 4 2" xfId="17611" xr:uid="{00000000-0005-0000-0000-0000B0440000}"/>
    <cellStyle name="Normal 9 3 2 2 3 5" xfId="17612" xr:uid="{00000000-0005-0000-0000-0000B1440000}"/>
    <cellStyle name="Normal 9 3 2 2 4" xfId="17613" xr:uid="{00000000-0005-0000-0000-0000B2440000}"/>
    <cellStyle name="Normal 9 3 2 2 4 2" xfId="17614" xr:uid="{00000000-0005-0000-0000-0000B3440000}"/>
    <cellStyle name="Normal 9 3 2 2 4 2 2" xfId="17615" xr:uid="{00000000-0005-0000-0000-0000B4440000}"/>
    <cellStyle name="Normal 9 3 2 2 4 2 2 2" xfId="17616" xr:uid="{00000000-0005-0000-0000-0000B5440000}"/>
    <cellStyle name="Normal 9 3 2 2 4 2 3" xfId="17617" xr:uid="{00000000-0005-0000-0000-0000B6440000}"/>
    <cellStyle name="Normal 9 3 2 2 4 3" xfId="17618" xr:uid="{00000000-0005-0000-0000-0000B7440000}"/>
    <cellStyle name="Normal 9 3 2 2 4 3 2" xfId="17619" xr:uid="{00000000-0005-0000-0000-0000B8440000}"/>
    <cellStyle name="Normal 9 3 2 2 4 4" xfId="17620" xr:uid="{00000000-0005-0000-0000-0000B9440000}"/>
    <cellStyle name="Normal 9 3 2 2 4 4 2" xfId="17621" xr:uid="{00000000-0005-0000-0000-0000BA440000}"/>
    <cellStyle name="Normal 9 3 2 2 4 5" xfId="17622" xr:uid="{00000000-0005-0000-0000-0000BB440000}"/>
    <cellStyle name="Normal 9 3 2 2 5" xfId="17623" xr:uid="{00000000-0005-0000-0000-0000BC440000}"/>
    <cellStyle name="Normal 9 3 2 2 5 2" xfId="17624" xr:uid="{00000000-0005-0000-0000-0000BD440000}"/>
    <cellStyle name="Normal 9 3 2 2 5 2 2" xfId="17625" xr:uid="{00000000-0005-0000-0000-0000BE440000}"/>
    <cellStyle name="Normal 9 3 2 2 5 2 2 2" xfId="17626" xr:uid="{00000000-0005-0000-0000-0000BF440000}"/>
    <cellStyle name="Normal 9 3 2 2 5 2 3" xfId="17627" xr:uid="{00000000-0005-0000-0000-0000C0440000}"/>
    <cellStyle name="Normal 9 3 2 2 5 3" xfId="17628" xr:uid="{00000000-0005-0000-0000-0000C1440000}"/>
    <cellStyle name="Normal 9 3 2 2 5 3 2" xfId="17629" xr:uid="{00000000-0005-0000-0000-0000C2440000}"/>
    <cellStyle name="Normal 9 3 2 2 5 4" xfId="17630" xr:uid="{00000000-0005-0000-0000-0000C3440000}"/>
    <cellStyle name="Normal 9 3 2 2 5 4 2" xfId="17631" xr:uid="{00000000-0005-0000-0000-0000C4440000}"/>
    <cellStyle name="Normal 9 3 2 2 5 5" xfId="17632" xr:uid="{00000000-0005-0000-0000-0000C5440000}"/>
    <cellStyle name="Normal 9 3 2 2 6" xfId="17633" xr:uid="{00000000-0005-0000-0000-0000C6440000}"/>
    <cellStyle name="Normal 9 3 2 2 6 2" xfId="17634" xr:uid="{00000000-0005-0000-0000-0000C7440000}"/>
    <cellStyle name="Normal 9 3 2 2 6 2 2" xfId="17635" xr:uid="{00000000-0005-0000-0000-0000C8440000}"/>
    <cellStyle name="Normal 9 3 2 2 6 3" xfId="17636" xr:uid="{00000000-0005-0000-0000-0000C9440000}"/>
    <cellStyle name="Normal 9 3 2 2 7" xfId="17637" xr:uid="{00000000-0005-0000-0000-0000CA440000}"/>
    <cellStyle name="Normal 9 3 2 2 7 2" xfId="17638" xr:uid="{00000000-0005-0000-0000-0000CB440000}"/>
    <cellStyle name="Normal 9 3 2 2 8" xfId="17639" xr:uid="{00000000-0005-0000-0000-0000CC440000}"/>
    <cellStyle name="Normal 9 3 2 2 8 2" xfId="17640" xr:uid="{00000000-0005-0000-0000-0000CD440000}"/>
    <cellStyle name="Normal 9 3 2 2 9" xfId="17641" xr:uid="{00000000-0005-0000-0000-0000CE440000}"/>
    <cellStyle name="Normal 9 3 2 3" xfId="17642" xr:uid="{00000000-0005-0000-0000-0000CF440000}"/>
    <cellStyle name="Normal 9 3 2 3 2" xfId="17643" xr:uid="{00000000-0005-0000-0000-0000D0440000}"/>
    <cellStyle name="Normal 9 3 2 3 2 2" xfId="17644" xr:uid="{00000000-0005-0000-0000-0000D1440000}"/>
    <cellStyle name="Normal 9 3 2 3 2 2 2" xfId="17645" xr:uid="{00000000-0005-0000-0000-0000D2440000}"/>
    <cellStyle name="Normal 9 3 2 3 2 2 2 2" xfId="17646" xr:uid="{00000000-0005-0000-0000-0000D3440000}"/>
    <cellStyle name="Normal 9 3 2 3 2 2 3" xfId="17647" xr:uid="{00000000-0005-0000-0000-0000D4440000}"/>
    <cellStyle name="Normal 9 3 2 3 2 3" xfId="17648" xr:uid="{00000000-0005-0000-0000-0000D5440000}"/>
    <cellStyle name="Normal 9 3 2 3 2 3 2" xfId="17649" xr:uid="{00000000-0005-0000-0000-0000D6440000}"/>
    <cellStyle name="Normal 9 3 2 3 2 4" xfId="17650" xr:uid="{00000000-0005-0000-0000-0000D7440000}"/>
    <cellStyle name="Normal 9 3 2 3 2 4 2" xfId="17651" xr:uid="{00000000-0005-0000-0000-0000D8440000}"/>
    <cellStyle name="Normal 9 3 2 3 2 5" xfId="17652" xr:uid="{00000000-0005-0000-0000-0000D9440000}"/>
    <cellStyle name="Normal 9 3 2 3 3" xfId="17653" xr:uid="{00000000-0005-0000-0000-0000DA440000}"/>
    <cellStyle name="Normal 9 3 2 3 3 2" xfId="17654" xr:uid="{00000000-0005-0000-0000-0000DB440000}"/>
    <cellStyle name="Normal 9 3 2 3 3 2 2" xfId="17655" xr:uid="{00000000-0005-0000-0000-0000DC440000}"/>
    <cellStyle name="Normal 9 3 2 3 3 2 2 2" xfId="17656" xr:uid="{00000000-0005-0000-0000-0000DD440000}"/>
    <cellStyle name="Normal 9 3 2 3 3 2 3" xfId="17657" xr:uid="{00000000-0005-0000-0000-0000DE440000}"/>
    <cellStyle name="Normal 9 3 2 3 3 3" xfId="17658" xr:uid="{00000000-0005-0000-0000-0000DF440000}"/>
    <cellStyle name="Normal 9 3 2 3 3 3 2" xfId="17659" xr:uid="{00000000-0005-0000-0000-0000E0440000}"/>
    <cellStyle name="Normal 9 3 2 3 3 4" xfId="17660" xr:uid="{00000000-0005-0000-0000-0000E1440000}"/>
    <cellStyle name="Normal 9 3 2 3 3 4 2" xfId="17661" xr:uid="{00000000-0005-0000-0000-0000E2440000}"/>
    <cellStyle name="Normal 9 3 2 3 3 5" xfId="17662" xr:uid="{00000000-0005-0000-0000-0000E3440000}"/>
    <cellStyle name="Normal 9 3 2 3 4" xfId="17663" xr:uid="{00000000-0005-0000-0000-0000E4440000}"/>
    <cellStyle name="Normal 9 3 2 3 4 2" xfId="17664" xr:uid="{00000000-0005-0000-0000-0000E5440000}"/>
    <cellStyle name="Normal 9 3 2 3 4 2 2" xfId="17665" xr:uid="{00000000-0005-0000-0000-0000E6440000}"/>
    <cellStyle name="Normal 9 3 2 3 4 2 2 2" xfId="17666" xr:uid="{00000000-0005-0000-0000-0000E7440000}"/>
    <cellStyle name="Normal 9 3 2 3 4 2 3" xfId="17667" xr:uid="{00000000-0005-0000-0000-0000E8440000}"/>
    <cellStyle name="Normal 9 3 2 3 4 3" xfId="17668" xr:uid="{00000000-0005-0000-0000-0000E9440000}"/>
    <cellStyle name="Normal 9 3 2 3 4 3 2" xfId="17669" xr:uid="{00000000-0005-0000-0000-0000EA440000}"/>
    <cellStyle name="Normal 9 3 2 3 4 4" xfId="17670" xr:uid="{00000000-0005-0000-0000-0000EB440000}"/>
    <cellStyle name="Normal 9 3 2 3 4 4 2" xfId="17671" xr:uid="{00000000-0005-0000-0000-0000EC440000}"/>
    <cellStyle name="Normal 9 3 2 3 4 5" xfId="17672" xr:uid="{00000000-0005-0000-0000-0000ED440000}"/>
    <cellStyle name="Normal 9 3 2 3 5" xfId="17673" xr:uid="{00000000-0005-0000-0000-0000EE440000}"/>
    <cellStyle name="Normal 9 3 2 3 5 2" xfId="17674" xr:uid="{00000000-0005-0000-0000-0000EF440000}"/>
    <cellStyle name="Normal 9 3 2 3 5 2 2" xfId="17675" xr:uid="{00000000-0005-0000-0000-0000F0440000}"/>
    <cellStyle name="Normal 9 3 2 3 5 2 2 2" xfId="17676" xr:uid="{00000000-0005-0000-0000-0000F1440000}"/>
    <cellStyle name="Normal 9 3 2 3 5 2 3" xfId="17677" xr:uid="{00000000-0005-0000-0000-0000F2440000}"/>
    <cellStyle name="Normal 9 3 2 3 5 3" xfId="17678" xr:uid="{00000000-0005-0000-0000-0000F3440000}"/>
    <cellStyle name="Normal 9 3 2 3 5 3 2" xfId="17679" xr:uid="{00000000-0005-0000-0000-0000F4440000}"/>
    <cellStyle name="Normal 9 3 2 3 5 4" xfId="17680" xr:uid="{00000000-0005-0000-0000-0000F5440000}"/>
    <cellStyle name="Normal 9 3 2 3 5 4 2" xfId="17681" xr:uid="{00000000-0005-0000-0000-0000F6440000}"/>
    <cellStyle name="Normal 9 3 2 3 5 5" xfId="17682" xr:uid="{00000000-0005-0000-0000-0000F7440000}"/>
    <cellStyle name="Normal 9 3 2 3 6" xfId="17683" xr:uid="{00000000-0005-0000-0000-0000F8440000}"/>
    <cellStyle name="Normal 9 3 2 3 6 2" xfId="17684" xr:uid="{00000000-0005-0000-0000-0000F9440000}"/>
    <cellStyle name="Normal 9 3 2 3 6 2 2" xfId="17685" xr:uid="{00000000-0005-0000-0000-0000FA440000}"/>
    <cellStyle name="Normal 9 3 2 3 6 3" xfId="17686" xr:uid="{00000000-0005-0000-0000-0000FB440000}"/>
    <cellStyle name="Normal 9 3 2 3 7" xfId="17687" xr:uid="{00000000-0005-0000-0000-0000FC440000}"/>
    <cellStyle name="Normal 9 3 2 3 7 2" xfId="17688" xr:uid="{00000000-0005-0000-0000-0000FD440000}"/>
    <cellStyle name="Normal 9 3 2 3 8" xfId="17689" xr:uid="{00000000-0005-0000-0000-0000FE440000}"/>
    <cellStyle name="Normal 9 3 2 3 8 2" xfId="17690" xr:uid="{00000000-0005-0000-0000-0000FF440000}"/>
    <cellStyle name="Normal 9 3 2 3 9" xfId="17691" xr:uid="{00000000-0005-0000-0000-000000450000}"/>
    <cellStyle name="Normal 9 3 2 4" xfId="17692" xr:uid="{00000000-0005-0000-0000-000001450000}"/>
    <cellStyle name="Normal 9 3 2 4 2" xfId="17693" xr:uid="{00000000-0005-0000-0000-000002450000}"/>
    <cellStyle name="Normal 9 3 2 4 2 2" xfId="17694" xr:uid="{00000000-0005-0000-0000-000003450000}"/>
    <cellStyle name="Normal 9 3 2 4 2 2 2" xfId="17695" xr:uid="{00000000-0005-0000-0000-000004450000}"/>
    <cellStyle name="Normal 9 3 2 4 2 2 2 2" xfId="17696" xr:uid="{00000000-0005-0000-0000-000005450000}"/>
    <cellStyle name="Normal 9 3 2 4 2 2 3" xfId="17697" xr:uid="{00000000-0005-0000-0000-000006450000}"/>
    <cellStyle name="Normal 9 3 2 4 2 3" xfId="17698" xr:uid="{00000000-0005-0000-0000-000007450000}"/>
    <cellStyle name="Normal 9 3 2 4 2 3 2" xfId="17699" xr:uid="{00000000-0005-0000-0000-000008450000}"/>
    <cellStyle name="Normal 9 3 2 4 2 4" xfId="17700" xr:uid="{00000000-0005-0000-0000-000009450000}"/>
    <cellStyle name="Normal 9 3 2 4 2 4 2" xfId="17701" xr:uid="{00000000-0005-0000-0000-00000A450000}"/>
    <cellStyle name="Normal 9 3 2 4 2 5" xfId="17702" xr:uid="{00000000-0005-0000-0000-00000B450000}"/>
    <cellStyle name="Normal 9 3 2 4 3" xfId="17703" xr:uid="{00000000-0005-0000-0000-00000C450000}"/>
    <cellStyle name="Normal 9 3 2 4 3 2" xfId="17704" xr:uid="{00000000-0005-0000-0000-00000D450000}"/>
    <cellStyle name="Normal 9 3 2 4 3 2 2" xfId="17705" xr:uid="{00000000-0005-0000-0000-00000E450000}"/>
    <cellStyle name="Normal 9 3 2 4 3 2 2 2" xfId="17706" xr:uid="{00000000-0005-0000-0000-00000F450000}"/>
    <cellStyle name="Normal 9 3 2 4 3 2 3" xfId="17707" xr:uid="{00000000-0005-0000-0000-000010450000}"/>
    <cellStyle name="Normal 9 3 2 4 3 3" xfId="17708" xr:uid="{00000000-0005-0000-0000-000011450000}"/>
    <cellStyle name="Normal 9 3 2 4 3 3 2" xfId="17709" xr:uid="{00000000-0005-0000-0000-000012450000}"/>
    <cellStyle name="Normal 9 3 2 4 3 4" xfId="17710" xr:uid="{00000000-0005-0000-0000-000013450000}"/>
    <cellStyle name="Normal 9 3 2 4 3 4 2" xfId="17711" xr:uid="{00000000-0005-0000-0000-000014450000}"/>
    <cellStyle name="Normal 9 3 2 4 3 5" xfId="17712" xr:uid="{00000000-0005-0000-0000-000015450000}"/>
    <cellStyle name="Normal 9 3 2 4 4" xfId="17713" xr:uid="{00000000-0005-0000-0000-000016450000}"/>
    <cellStyle name="Normal 9 3 2 4 4 2" xfId="17714" xr:uid="{00000000-0005-0000-0000-000017450000}"/>
    <cellStyle name="Normal 9 3 2 4 4 2 2" xfId="17715" xr:uid="{00000000-0005-0000-0000-000018450000}"/>
    <cellStyle name="Normal 9 3 2 4 4 3" xfId="17716" xr:uid="{00000000-0005-0000-0000-000019450000}"/>
    <cellStyle name="Normal 9 3 2 4 5" xfId="17717" xr:uid="{00000000-0005-0000-0000-00001A450000}"/>
    <cellStyle name="Normal 9 3 2 4 5 2" xfId="17718" xr:uid="{00000000-0005-0000-0000-00001B450000}"/>
    <cellStyle name="Normal 9 3 2 4 6" xfId="17719" xr:uid="{00000000-0005-0000-0000-00001C450000}"/>
    <cellStyle name="Normal 9 3 2 4 6 2" xfId="17720" xr:uid="{00000000-0005-0000-0000-00001D450000}"/>
    <cellStyle name="Normal 9 3 2 4 7" xfId="17721" xr:uid="{00000000-0005-0000-0000-00001E450000}"/>
    <cellStyle name="Normal 9 3 2 5" xfId="17722" xr:uid="{00000000-0005-0000-0000-00001F450000}"/>
    <cellStyle name="Normal 9 3 2 5 2" xfId="17723" xr:uid="{00000000-0005-0000-0000-000020450000}"/>
    <cellStyle name="Normal 9 3 2 5 2 2" xfId="17724" xr:uid="{00000000-0005-0000-0000-000021450000}"/>
    <cellStyle name="Normal 9 3 2 5 2 2 2" xfId="17725" xr:uid="{00000000-0005-0000-0000-000022450000}"/>
    <cellStyle name="Normal 9 3 2 5 2 3" xfId="17726" xr:uid="{00000000-0005-0000-0000-000023450000}"/>
    <cellStyle name="Normal 9 3 2 5 3" xfId="17727" xr:uid="{00000000-0005-0000-0000-000024450000}"/>
    <cellStyle name="Normal 9 3 2 5 3 2" xfId="17728" xr:uid="{00000000-0005-0000-0000-000025450000}"/>
    <cellStyle name="Normal 9 3 2 5 4" xfId="17729" xr:uid="{00000000-0005-0000-0000-000026450000}"/>
    <cellStyle name="Normal 9 3 2 5 4 2" xfId="17730" xr:uid="{00000000-0005-0000-0000-000027450000}"/>
    <cellStyle name="Normal 9 3 2 5 5" xfId="17731" xr:uid="{00000000-0005-0000-0000-000028450000}"/>
    <cellStyle name="Normal 9 3 2 6" xfId="17732" xr:uid="{00000000-0005-0000-0000-000029450000}"/>
    <cellStyle name="Normal 9 3 2 6 2" xfId="17733" xr:uid="{00000000-0005-0000-0000-00002A450000}"/>
    <cellStyle name="Normal 9 3 2 6 2 2" xfId="17734" xr:uid="{00000000-0005-0000-0000-00002B450000}"/>
    <cellStyle name="Normal 9 3 2 6 2 2 2" xfId="17735" xr:uid="{00000000-0005-0000-0000-00002C450000}"/>
    <cellStyle name="Normal 9 3 2 6 2 3" xfId="17736" xr:uid="{00000000-0005-0000-0000-00002D450000}"/>
    <cellStyle name="Normal 9 3 2 6 3" xfId="17737" xr:uid="{00000000-0005-0000-0000-00002E450000}"/>
    <cellStyle name="Normal 9 3 2 6 3 2" xfId="17738" xr:uid="{00000000-0005-0000-0000-00002F450000}"/>
    <cellStyle name="Normal 9 3 2 6 4" xfId="17739" xr:uid="{00000000-0005-0000-0000-000030450000}"/>
    <cellStyle name="Normal 9 3 2 6 4 2" xfId="17740" xr:uid="{00000000-0005-0000-0000-000031450000}"/>
    <cellStyle name="Normal 9 3 2 6 5" xfId="17741" xr:uid="{00000000-0005-0000-0000-000032450000}"/>
    <cellStyle name="Normal 9 3 2 7" xfId="17742" xr:uid="{00000000-0005-0000-0000-000033450000}"/>
    <cellStyle name="Normal 9 3 2 7 2" xfId="17743" xr:uid="{00000000-0005-0000-0000-000034450000}"/>
    <cellStyle name="Normal 9 3 2 7 2 2" xfId="17744" xr:uid="{00000000-0005-0000-0000-000035450000}"/>
    <cellStyle name="Normal 9 3 2 7 2 2 2" xfId="17745" xr:uid="{00000000-0005-0000-0000-000036450000}"/>
    <cellStyle name="Normal 9 3 2 7 2 3" xfId="17746" xr:uid="{00000000-0005-0000-0000-000037450000}"/>
    <cellStyle name="Normal 9 3 2 7 3" xfId="17747" xr:uid="{00000000-0005-0000-0000-000038450000}"/>
    <cellStyle name="Normal 9 3 2 7 3 2" xfId="17748" xr:uid="{00000000-0005-0000-0000-000039450000}"/>
    <cellStyle name="Normal 9 3 2 7 4" xfId="17749" xr:uid="{00000000-0005-0000-0000-00003A450000}"/>
    <cellStyle name="Normal 9 3 2 7 4 2" xfId="17750" xr:uid="{00000000-0005-0000-0000-00003B450000}"/>
    <cellStyle name="Normal 9 3 2 7 5" xfId="17751" xr:uid="{00000000-0005-0000-0000-00003C450000}"/>
    <cellStyle name="Normal 9 3 2 8" xfId="17752" xr:uid="{00000000-0005-0000-0000-00003D450000}"/>
    <cellStyle name="Normal 9 3 2 8 2" xfId="17753" xr:uid="{00000000-0005-0000-0000-00003E450000}"/>
    <cellStyle name="Normal 9 3 2 8 2 2" xfId="17754" xr:uid="{00000000-0005-0000-0000-00003F450000}"/>
    <cellStyle name="Normal 9 3 2 8 2 2 2" xfId="17755" xr:uid="{00000000-0005-0000-0000-000040450000}"/>
    <cellStyle name="Normal 9 3 2 8 2 3" xfId="17756" xr:uid="{00000000-0005-0000-0000-000041450000}"/>
    <cellStyle name="Normal 9 3 2 8 3" xfId="17757" xr:uid="{00000000-0005-0000-0000-000042450000}"/>
    <cellStyle name="Normal 9 3 2 8 3 2" xfId="17758" xr:uid="{00000000-0005-0000-0000-000043450000}"/>
    <cellStyle name="Normal 9 3 2 8 4" xfId="17759" xr:uid="{00000000-0005-0000-0000-000044450000}"/>
    <cellStyle name="Normal 9 3 2 8 4 2" xfId="17760" xr:uid="{00000000-0005-0000-0000-000045450000}"/>
    <cellStyle name="Normal 9 3 2 8 5" xfId="17761" xr:uid="{00000000-0005-0000-0000-000046450000}"/>
    <cellStyle name="Normal 9 3 2 9" xfId="17762" xr:uid="{00000000-0005-0000-0000-000047450000}"/>
    <cellStyle name="Normal 9 3 2 9 2" xfId="17763" xr:uid="{00000000-0005-0000-0000-000048450000}"/>
    <cellStyle name="Normal 9 3 2 9 2 2" xfId="17764" xr:uid="{00000000-0005-0000-0000-000049450000}"/>
    <cellStyle name="Normal 9 3 2 9 3" xfId="17765" xr:uid="{00000000-0005-0000-0000-00004A450000}"/>
    <cellStyle name="Normal 9 3 3" xfId="17766" xr:uid="{00000000-0005-0000-0000-00004B450000}"/>
    <cellStyle name="Normal 9 3 3 2" xfId="17767" xr:uid="{00000000-0005-0000-0000-00004C450000}"/>
    <cellStyle name="Normal 9 3 3 2 2" xfId="17768" xr:uid="{00000000-0005-0000-0000-00004D450000}"/>
    <cellStyle name="Normal 9 3 3 2 2 2" xfId="17769" xr:uid="{00000000-0005-0000-0000-00004E450000}"/>
    <cellStyle name="Normal 9 3 3 2 2 2 2" xfId="17770" xr:uid="{00000000-0005-0000-0000-00004F450000}"/>
    <cellStyle name="Normal 9 3 3 2 2 3" xfId="17771" xr:uid="{00000000-0005-0000-0000-000050450000}"/>
    <cellStyle name="Normal 9 3 3 2 3" xfId="17772" xr:uid="{00000000-0005-0000-0000-000051450000}"/>
    <cellStyle name="Normal 9 3 3 2 3 2" xfId="17773" xr:uid="{00000000-0005-0000-0000-000052450000}"/>
    <cellStyle name="Normal 9 3 3 2 4" xfId="17774" xr:uid="{00000000-0005-0000-0000-000053450000}"/>
    <cellStyle name="Normal 9 3 3 2 4 2" xfId="17775" xr:uid="{00000000-0005-0000-0000-000054450000}"/>
    <cellStyle name="Normal 9 3 3 2 5" xfId="17776" xr:uid="{00000000-0005-0000-0000-000055450000}"/>
    <cellStyle name="Normal 9 3 3 3" xfId="17777" xr:uid="{00000000-0005-0000-0000-000056450000}"/>
    <cellStyle name="Normal 9 3 3 3 2" xfId="17778" xr:uid="{00000000-0005-0000-0000-000057450000}"/>
    <cellStyle name="Normal 9 3 3 3 2 2" xfId="17779" xr:uid="{00000000-0005-0000-0000-000058450000}"/>
    <cellStyle name="Normal 9 3 3 3 2 2 2" xfId="17780" xr:uid="{00000000-0005-0000-0000-000059450000}"/>
    <cellStyle name="Normal 9 3 3 3 2 3" xfId="17781" xr:uid="{00000000-0005-0000-0000-00005A450000}"/>
    <cellStyle name="Normal 9 3 3 3 3" xfId="17782" xr:uid="{00000000-0005-0000-0000-00005B450000}"/>
    <cellStyle name="Normal 9 3 3 3 3 2" xfId="17783" xr:uid="{00000000-0005-0000-0000-00005C450000}"/>
    <cellStyle name="Normal 9 3 3 3 4" xfId="17784" xr:uid="{00000000-0005-0000-0000-00005D450000}"/>
    <cellStyle name="Normal 9 3 3 3 4 2" xfId="17785" xr:uid="{00000000-0005-0000-0000-00005E450000}"/>
    <cellStyle name="Normal 9 3 3 3 5" xfId="17786" xr:uid="{00000000-0005-0000-0000-00005F450000}"/>
    <cellStyle name="Normal 9 3 3 4" xfId="17787" xr:uid="{00000000-0005-0000-0000-000060450000}"/>
    <cellStyle name="Normal 9 3 3 4 2" xfId="17788" xr:uid="{00000000-0005-0000-0000-000061450000}"/>
    <cellStyle name="Normal 9 3 3 4 2 2" xfId="17789" xr:uid="{00000000-0005-0000-0000-000062450000}"/>
    <cellStyle name="Normal 9 3 3 4 2 2 2" xfId="17790" xr:uid="{00000000-0005-0000-0000-000063450000}"/>
    <cellStyle name="Normal 9 3 3 4 2 3" xfId="17791" xr:uid="{00000000-0005-0000-0000-000064450000}"/>
    <cellStyle name="Normal 9 3 3 4 3" xfId="17792" xr:uid="{00000000-0005-0000-0000-000065450000}"/>
    <cellStyle name="Normal 9 3 3 4 3 2" xfId="17793" xr:uid="{00000000-0005-0000-0000-000066450000}"/>
    <cellStyle name="Normal 9 3 3 4 4" xfId="17794" xr:uid="{00000000-0005-0000-0000-000067450000}"/>
    <cellStyle name="Normal 9 3 3 4 4 2" xfId="17795" xr:uid="{00000000-0005-0000-0000-000068450000}"/>
    <cellStyle name="Normal 9 3 3 4 5" xfId="17796" xr:uid="{00000000-0005-0000-0000-000069450000}"/>
    <cellStyle name="Normal 9 3 3 5" xfId="17797" xr:uid="{00000000-0005-0000-0000-00006A450000}"/>
    <cellStyle name="Normal 9 3 3 5 2" xfId="17798" xr:uid="{00000000-0005-0000-0000-00006B450000}"/>
    <cellStyle name="Normal 9 3 3 5 2 2" xfId="17799" xr:uid="{00000000-0005-0000-0000-00006C450000}"/>
    <cellStyle name="Normal 9 3 3 5 2 2 2" xfId="17800" xr:uid="{00000000-0005-0000-0000-00006D450000}"/>
    <cellStyle name="Normal 9 3 3 5 2 3" xfId="17801" xr:uid="{00000000-0005-0000-0000-00006E450000}"/>
    <cellStyle name="Normal 9 3 3 5 3" xfId="17802" xr:uid="{00000000-0005-0000-0000-00006F450000}"/>
    <cellStyle name="Normal 9 3 3 5 3 2" xfId="17803" xr:uid="{00000000-0005-0000-0000-000070450000}"/>
    <cellStyle name="Normal 9 3 3 5 4" xfId="17804" xr:uid="{00000000-0005-0000-0000-000071450000}"/>
    <cellStyle name="Normal 9 3 3 5 4 2" xfId="17805" xr:uid="{00000000-0005-0000-0000-000072450000}"/>
    <cellStyle name="Normal 9 3 3 5 5" xfId="17806" xr:uid="{00000000-0005-0000-0000-000073450000}"/>
    <cellStyle name="Normal 9 3 3 6" xfId="17807" xr:uid="{00000000-0005-0000-0000-000074450000}"/>
    <cellStyle name="Normal 9 3 3 6 2" xfId="17808" xr:uid="{00000000-0005-0000-0000-000075450000}"/>
    <cellStyle name="Normal 9 3 3 6 2 2" xfId="17809" xr:uid="{00000000-0005-0000-0000-000076450000}"/>
    <cellStyle name="Normal 9 3 3 6 3" xfId="17810" xr:uid="{00000000-0005-0000-0000-000077450000}"/>
    <cellStyle name="Normal 9 3 3 7" xfId="17811" xr:uid="{00000000-0005-0000-0000-000078450000}"/>
    <cellStyle name="Normal 9 3 3 7 2" xfId="17812" xr:uid="{00000000-0005-0000-0000-000079450000}"/>
    <cellStyle name="Normal 9 3 3 8" xfId="17813" xr:uid="{00000000-0005-0000-0000-00007A450000}"/>
    <cellStyle name="Normal 9 3 3 8 2" xfId="17814" xr:uid="{00000000-0005-0000-0000-00007B450000}"/>
    <cellStyle name="Normal 9 3 3 9" xfId="17815" xr:uid="{00000000-0005-0000-0000-00007C450000}"/>
    <cellStyle name="Normal 9 3 4" xfId="17816" xr:uid="{00000000-0005-0000-0000-00007D450000}"/>
    <cellStyle name="Normal 9 3 4 2" xfId="17817" xr:uid="{00000000-0005-0000-0000-00007E450000}"/>
    <cellStyle name="Normal 9 3 4 2 2" xfId="17818" xr:uid="{00000000-0005-0000-0000-00007F450000}"/>
    <cellStyle name="Normal 9 3 4 2 2 2" xfId="17819" xr:uid="{00000000-0005-0000-0000-000080450000}"/>
    <cellStyle name="Normal 9 3 4 2 2 2 2" xfId="17820" xr:uid="{00000000-0005-0000-0000-000081450000}"/>
    <cellStyle name="Normal 9 3 4 2 2 3" xfId="17821" xr:uid="{00000000-0005-0000-0000-000082450000}"/>
    <cellStyle name="Normal 9 3 4 2 3" xfId="17822" xr:uid="{00000000-0005-0000-0000-000083450000}"/>
    <cellStyle name="Normal 9 3 4 2 3 2" xfId="17823" xr:uid="{00000000-0005-0000-0000-000084450000}"/>
    <cellStyle name="Normal 9 3 4 2 4" xfId="17824" xr:uid="{00000000-0005-0000-0000-000085450000}"/>
    <cellStyle name="Normal 9 3 4 2 4 2" xfId="17825" xr:uid="{00000000-0005-0000-0000-000086450000}"/>
    <cellStyle name="Normal 9 3 4 2 5" xfId="17826" xr:uid="{00000000-0005-0000-0000-000087450000}"/>
    <cellStyle name="Normal 9 3 4 3" xfId="17827" xr:uid="{00000000-0005-0000-0000-000088450000}"/>
    <cellStyle name="Normal 9 3 4 3 2" xfId="17828" xr:uid="{00000000-0005-0000-0000-000089450000}"/>
    <cellStyle name="Normal 9 3 4 3 2 2" xfId="17829" xr:uid="{00000000-0005-0000-0000-00008A450000}"/>
    <cellStyle name="Normal 9 3 4 3 2 2 2" xfId="17830" xr:uid="{00000000-0005-0000-0000-00008B450000}"/>
    <cellStyle name="Normal 9 3 4 3 2 3" xfId="17831" xr:uid="{00000000-0005-0000-0000-00008C450000}"/>
    <cellStyle name="Normal 9 3 4 3 3" xfId="17832" xr:uid="{00000000-0005-0000-0000-00008D450000}"/>
    <cellStyle name="Normal 9 3 4 3 3 2" xfId="17833" xr:uid="{00000000-0005-0000-0000-00008E450000}"/>
    <cellStyle name="Normal 9 3 4 3 4" xfId="17834" xr:uid="{00000000-0005-0000-0000-00008F450000}"/>
    <cellStyle name="Normal 9 3 4 3 4 2" xfId="17835" xr:uid="{00000000-0005-0000-0000-000090450000}"/>
    <cellStyle name="Normal 9 3 4 3 5" xfId="17836" xr:uid="{00000000-0005-0000-0000-000091450000}"/>
    <cellStyle name="Normal 9 3 4 4" xfId="17837" xr:uid="{00000000-0005-0000-0000-000092450000}"/>
    <cellStyle name="Normal 9 3 4 4 2" xfId="17838" xr:uid="{00000000-0005-0000-0000-000093450000}"/>
    <cellStyle name="Normal 9 3 4 4 2 2" xfId="17839" xr:uid="{00000000-0005-0000-0000-000094450000}"/>
    <cellStyle name="Normal 9 3 4 4 2 2 2" xfId="17840" xr:uid="{00000000-0005-0000-0000-000095450000}"/>
    <cellStyle name="Normal 9 3 4 4 2 3" xfId="17841" xr:uid="{00000000-0005-0000-0000-000096450000}"/>
    <cellStyle name="Normal 9 3 4 4 3" xfId="17842" xr:uid="{00000000-0005-0000-0000-000097450000}"/>
    <cellStyle name="Normal 9 3 4 4 3 2" xfId="17843" xr:uid="{00000000-0005-0000-0000-000098450000}"/>
    <cellStyle name="Normal 9 3 4 4 4" xfId="17844" xr:uid="{00000000-0005-0000-0000-000099450000}"/>
    <cellStyle name="Normal 9 3 4 4 4 2" xfId="17845" xr:uid="{00000000-0005-0000-0000-00009A450000}"/>
    <cellStyle name="Normal 9 3 4 4 5" xfId="17846" xr:uid="{00000000-0005-0000-0000-00009B450000}"/>
    <cellStyle name="Normal 9 3 4 5" xfId="17847" xr:uid="{00000000-0005-0000-0000-00009C450000}"/>
    <cellStyle name="Normal 9 3 4 5 2" xfId="17848" xr:uid="{00000000-0005-0000-0000-00009D450000}"/>
    <cellStyle name="Normal 9 3 4 5 2 2" xfId="17849" xr:uid="{00000000-0005-0000-0000-00009E450000}"/>
    <cellStyle name="Normal 9 3 4 5 2 2 2" xfId="17850" xr:uid="{00000000-0005-0000-0000-00009F450000}"/>
    <cellStyle name="Normal 9 3 4 5 2 3" xfId="17851" xr:uid="{00000000-0005-0000-0000-0000A0450000}"/>
    <cellStyle name="Normal 9 3 4 5 3" xfId="17852" xr:uid="{00000000-0005-0000-0000-0000A1450000}"/>
    <cellStyle name="Normal 9 3 4 5 3 2" xfId="17853" xr:uid="{00000000-0005-0000-0000-0000A2450000}"/>
    <cellStyle name="Normal 9 3 4 5 4" xfId="17854" xr:uid="{00000000-0005-0000-0000-0000A3450000}"/>
    <cellStyle name="Normal 9 3 4 5 4 2" xfId="17855" xr:uid="{00000000-0005-0000-0000-0000A4450000}"/>
    <cellStyle name="Normal 9 3 4 5 5" xfId="17856" xr:uid="{00000000-0005-0000-0000-0000A5450000}"/>
    <cellStyle name="Normal 9 3 4 6" xfId="17857" xr:uid="{00000000-0005-0000-0000-0000A6450000}"/>
    <cellStyle name="Normal 9 3 4 6 2" xfId="17858" xr:uid="{00000000-0005-0000-0000-0000A7450000}"/>
    <cellStyle name="Normal 9 3 4 6 2 2" xfId="17859" xr:uid="{00000000-0005-0000-0000-0000A8450000}"/>
    <cellStyle name="Normal 9 3 4 6 3" xfId="17860" xr:uid="{00000000-0005-0000-0000-0000A9450000}"/>
    <cellStyle name="Normal 9 3 4 7" xfId="17861" xr:uid="{00000000-0005-0000-0000-0000AA450000}"/>
    <cellStyle name="Normal 9 3 4 7 2" xfId="17862" xr:uid="{00000000-0005-0000-0000-0000AB450000}"/>
    <cellStyle name="Normal 9 3 4 8" xfId="17863" xr:uid="{00000000-0005-0000-0000-0000AC450000}"/>
    <cellStyle name="Normal 9 3 4 8 2" xfId="17864" xr:uid="{00000000-0005-0000-0000-0000AD450000}"/>
    <cellStyle name="Normal 9 3 4 9" xfId="17865" xr:uid="{00000000-0005-0000-0000-0000AE450000}"/>
    <cellStyle name="Normal 9 3 5" xfId="17866" xr:uid="{00000000-0005-0000-0000-0000AF450000}"/>
    <cellStyle name="Normal 9 3 5 2" xfId="17867" xr:uid="{00000000-0005-0000-0000-0000B0450000}"/>
    <cellStyle name="Normal 9 3 5 2 2" xfId="17868" xr:uid="{00000000-0005-0000-0000-0000B1450000}"/>
    <cellStyle name="Normal 9 3 5 2 2 2" xfId="17869" xr:uid="{00000000-0005-0000-0000-0000B2450000}"/>
    <cellStyle name="Normal 9 3 5 2 2 2 2" xfId="17870" xr:uid="{00000000-0005-0000-0000-0000B3450000}"/>
    <cellStyle name="Normal 9 3 5 2 2 3" xfId="17871" xr:uid="{00000000-0005-0000-0000-0000B4450000}"/>
    <cellStyle name="Normal 9 3 5 2 3" xfId="17872" xr:uid="{00000000-0005-0000-0000-0000B5450000}"/>
    <cellStyle name="Normal 9 3 5 2 3 2" xfId="17873" xr:uid="{00000000-0005-0000-0000-0000B6450000}"/>
    <cellStyle name="Normal 9 3 5 2 4" xfId="17874" xr:uid="{00000000-0005-0000-0000-0000B7450000}"/>
    <cellStyle name="Normal 9 3 5 2 4 2" xfId="17875" xr:uid="{00000000-0005-0000-0000-0000B8450000}"/>
    <cellStyle name="Normal 9 3 5 2 5" xfId="17876" xr:uid="{00000000-0005-0000-0000-0000B9450000}"/>
    <cellStyle name="Normal 9 3 5 3" xfId="17877" xr:uid="{00000000-0005-0000-0000-0000BA450000}"/>
    <cellStyle name="Normal 9 3 5 3 2" xfId="17878" xr:uid="{00000000-0005-0000-0000-0000BB450000}"/>
    <cellStyle name="Normal 9 3 5 3 2 2" xfId="17879" xr:uid="{00000000-0005-0000-0000-0000BC450000}"/>
    <cellStyle name="Normal 9 3 5 3 2 2 2" xfId="17880" xr:uid="{00000000-0005-0000-0000-0000BD450000}"/>
    <cellStyle name="Normal 9 3 5 3 2 3" xfId="17881" xr:uid="{00000000-0005-0000-0000-0000BE450000}"/>
    <cellStyle name="Normal 9 3 5 3 3" xfId="17882" xr:uid="{00000000-0005-0000-0000-0000BF450000}"/>
    <cellStyle name="Normal 9 3 5 3 3 2" xfId="17883" xr:uid="{00000000-0005-0000-0000-0000C0450000}"/>
    <cellStyle name="Normal 9 3 5 3 4" xfId="17884" xr:uid="{00000000-0005-0000-0000-0000C1450000}"/>
    <cellStyle name="Normal 9 3 5 3 4 2" xfId="17885" xr:uid="{00000000-0005-0000-0000-0000C2450000}"/>
    <cellStyle name="Normal 9 3 5 3 5" xfId="17886" xr:uid="{00000000-0005-0000-0000-0000C3450000}"/>
    <cellStyle name="Normal 9 3 5 4" xfId="17887" xr:uid="{00000000-0005-0000-0000-0000C4450000}"/>
    <cellStyle name="Normal 9 3 5 4 2" xfId="17888" xr:uid="{00000000-0005-0000-0000-0000C5450000}"/>
    <cellStyle name="Normal 9 3 5 4 2 2" xfId="17889" xr:uid="{00000000-0005-0000-0000-0000C6450000}"/>
    <cellStyle name="Normal 9 3 5 4 3" xfId="17890" xr:uid="{00000000-0005-0000-0000-0000C7450000}"/>
    <cellStyle name="Normal 9 3 5 5" xfId="17891" xr:uid="{00000000-0005-0000-0000-0000C8450000}"/>
    <cellStyle name="Normal 9 3 5 5 2" xfId="17892" xr:uid="{00000000-0005-0000-0000-0000C9450000}"/>
    <cellStyle name="Normal 9 3 5 6" xfId="17893" xr:uid="{00000000-0005-0000-0000-0000CA450000}"/>
    <cellStyle name="Normal 9 3 5 6 2" xfId="17894" xr:uid="{00000000-0005-0000-0000-0000CB450000}"/>
    <cellStyle name="Normal 9 3 5 7" xfId="17895" xr:uid="{00000000-0005-0000-0000-0000CC450000}"/>
    <cellStyle name="Normal 9 3 6" xfId="17896" xr:uid="{00000000-0005-0000-0000-0000CD450000}"/>
    <cellStyle name="Normal 9 3 6 2" xfId="17897" xr:uid="{00000000-0005-0000-0000-0000CE450000}"/>
    <cellStyle name="Normal 9 3 6 2 2" xfId="17898" xr:uid="{00000000-0005-0000-0000-0000CF450000}"/>
    <cellStyle name="Normal 9 3 6 2 2 2" xfId="17899" xr:uid="{00000000-0005-0000-0000-0000D0450000}"/>
    <cellStyle name="Normal 9 3 6 2 3" xfId="17900" xr:uid="{00000000-0005-0000-0000-0000D1450000}"/>
    <cellStyle name="Normal 9 3 6 3" xfId="17901" xr:uid="{00000000-0005-0000-0000-0000D2450000}"/>
    <cellStyle name="Normal 9 3 6 3 2" xfId="17902" xr:uid="{00000000-0005-0000-0000-0000D3450000}"/>
    <cellStyle name="Normal 9 3 6 4" xfId="17903" xr:uid="{00000000-0005-0000-0000-0000D4450000}"/>
    <cellStyle name="Normal 9 3 6 4 2" xfId="17904" xr:uid="{00000000-0005-0000-0000-0000D5450000}"/>
    <cellStyle name="Normal 9 3 6 5" xfId="17905" xr:uid="{00000000-0005-0000-0000-0000D6450000}"/>
    <cellStyle name="Normal 9 3 7" xfId="17906" xr:uid="{00000000-0005-0000-0000-0000D7450000}"/>
    <cellStyle name="Normal 9 3 7 2" xfId="17907" xr:uid="{00000000-0005-0000-0000-0000D8450000}"/>
    <cellStyle name="Normal 9 3 7 2 2" xfId="17908" xr:uid="{00000000-0005-0000-0000-0000D9450000}"/>
    <cellStyle name="Normal 9 3 7 2 2 2" xfId="17909" xr:uid="{00000000-0005-0000-0000-0000DA450000}"/>
    <cellStyle name="Normal 9 3 7 2 3" xfId="17910" xr:uid="{00000000-0005-0000-0000-0000DB450000}"/>
    <cellStyle name="Normal 9 3 7 3" xfId="17911" xr:uid="{00000000-0005-0000-0000-0000DC450000}"/>
    <cellStyle name="Normal 9 3 7 3 2" xfId="17912" xr:uid="{00000000-0005-0000-0000-0000DD450000}"/>
    <cellStyle name="Normal 9 3 7 4" xfId="17913" xr:uid="{00000000-0005-0000-0000-0000DE450000}"/>
    <cellStyle name="Normal 9 3 7 4 2" xfId="17914" xr:uid="{00000000-0005-0000-0000-0000DF450000}"/>
    <cellStyle name="Normal 9 3 7 5" xfId="17915" xr:uid="{00000000-0005-0000-0000-0000E0450000}"/>
    <cellStyle name="Normal 9 3 8" xfId="17916" xr:uid="{00000000-0005-0000-0000-0000E1450000}"/>
    <cellStyle name="Normal 9 3 8 2" xfId="17917" xr:uid="{00000000-0005-0000-0000-0000E2450000}"/>
    <cellStyle name="Normal 9 3 8 2 2" xfId="17918" xr:uid="{00000000-0005-0000-0000-0000E3450000}"/>
    <cellStyle name="Normal 9 3 8 2 2 2" xfId="17919" xr:uid="{00000000-0005-0000-0000-0000E4450000}"/>
    <cellStyle name="Normal 9 3 8 2 3" xfId="17920" xr:uid="{00000000-0005-0000-0000-0000E5450000}"/>
    <cellStyle name="Normal 9 3 8 3" xfId="17921" xr:uid="{00000000-0005-0000-0000-0000E6450000}"/>
    <cellStyle name="Normal 9 3 8 3 2" xfId="17922" xr:uid="{00000000-0005-0000-0000-0000E7450000}"/>
    <cellStyle name="Normal 9 3 8 4" xfId="17923" xr:uid="{00000000-0005-0000-0000-0000E8450000}"/>
    <cellStyle name="Normal 9 3 8 4 2" xfId="17924" xr:uid="{00000000-0005-0000-0000-0000E9450000}"/>
    <cellStyle name="Normal 9 3 8 5" xfId="17925" xr:uid="{00000000-0005-0000-0000-0000EA450000}"/>
    <cellStyle name="Normal 9 3 9" xfId="17926" xr:uid="{00000000-0005-0000-0000-0000EB450000}"/>
    <cellStyle name="Normal 9 3 9 2" xfId="17927" xr:uid="{00000000-0005-0000-0000-0000EC450000}"/>
    <cellStyle name="Normal 9 3 9 2 2" xfId="17928" xr:uid="{00000000-0005-0000-0000-0000ED450000}"/>
    <cellStyle name="Normal 9 3 9 2 2 2" xfId="17929" xr:uid="{00000000-0005-0000-0000-0000EE450000}"/>
    <cellStyle name="Normal 9 3 9 2 3" xfId="17930" xr:uid="{00000000-0005-0000-0000-0000EF450000}"/>
    <cellStyle name="Normal 9 3 9 3" xfId="17931" xr:uid="{00000000-0005-0000-0000-0000F0450000}"/>
    <cellStyle name="Normal 9 3 9 3 2" xfId="17932" xr:uid="{00000000-0005-0000-0000-0000F1450000}"/>
    <cellStyle name="Normal 9 3 9 4" xfId="17933" xr:uid="{00000000-0005-0000-0000-0000F2450000}"/>
    <cellStyle name="Normal 9 3 9 4 2" xfId="17934" xr:uid="{00000000-0005-0000-0000-0000F3450000}"/>
    <cellStyle name="Normal 9 3 9 5" xfId="17935" xr:uid="{00000000-0005-0000-0000-0000F4450000}"/>
    <cellStyle name="Normal 9 4" xfId="17936" xr:uid="{00000000-0005-0000-0000-0000F5450000}"/>
    <cellStyle name="Normal 9 4 2" xfId="17937" xr:uid="{00000000-0005-0000-0000-0000F6450000}"/>
    <cellStyle name="Normal 9 4 3" xfId="17938" xr:uid="{00000000-0005-0000-0000-0000F7450000}"/>
    <cellStyle name="Normal 9 4 4" xfId="17939" xr:uid="{00000000-0005-0000-0000-0000F8450000}"/>
    <cellStyle name="Normal 9 4 5" xfId="17940" xr:uid="{00000000-0005-0000-0000-0000F9450000}"/>
    <cellStyle name="Normal 9 4 6" xfId="17941" xr:uid="{00000000-0005-0000-0000-0000FA450000}"/>
    <cellStyle name="Normal 9 4 7" xfId="17942" xr:uid="{00000000-0005-0000-0000-0000FB450000}"/>
    <cellStyle name="Normal 9 4 8" xfId="17943" xr:uid="{00000000-0005-0000-0000-0000FC450000}"/>
    <cellStyle name="Normal 9 5" xfId="17944" xr:uid="{00000000-0005-0000-0000-0000FD450000}"/>
    <cellStyle name="Normal 9 5 2" xfId="17945" xr:uid="{00000000-0005-0000-0000-0000FE450000}"/>
    <cellStyle name="Normal 9 5 2 2" xfId="17946" xr:uid="{00000000-0005-0000-0000-0000FF450000}"/>
    <cellStyle name="Normal 9 5 3" xfId="17947" xr:uid="{00000000-0005-0000-0000-000000460000}"/>
    <cellStyle name="Normal 9 5 4" xfId="17948" xr:uid="{00000000-0005-0000-0000-000001460000}"/>
    <cellStyle name="Normal 9 5 5" xfId="17949" xr:uid="{00000000-0005-0000-0000-000002460000}"/>
    <cellStyle name="Normal 9 5 6" xfId="17950" xr:uid="{00000000-0005-0000-0000-000003460000}"/>
    <cellStyle name="Normal 9 5 7" xfId="17951" xr:uid="{00000000-0005-0000-0000-000004460000}"/>
    <cellStyle name="Normal 9 5 8" xfId="17952" xr:uid="{00000000-0005-0000-0000-000005460000}"/>
    <cellStyle name="Normal 9 6" xfId="17953" xr:uid="{00000000-0005-0000-0000-000006460000}"/>
    <cellStyle name="Normal 9 6 2" xfId="17954" xr:uid="{00000000-0005-0000-0000-000007460000}"/>
    <cellStyle name="Normal 9 6 3" xfId="17955" xr:uid="{00000000-0005-0000-0000-000008460000}"/>
    <cellStyle name="Normal 9 6 4" xfId="17956" xr:uid="{00000000-0005-0000-0000-000009460000}"/>
    <cellStyle name="Normal 9 6 5" xfId="17957" xr:uid="{00000000-0005-0000-0000-00000A460000}"/>
    <cellStyle name="Normal 9 6 6" xfId="17958" xr:uid="{00000000-0005-0000-0000-00000B460000}"/>
    <cellStyle name="Normal 9 6 7" xfId="17959" xr:uid="{00000000-0005-0000-0000-00000C460000}"/>
    <cellStyle name="Normal 9 6 8" xfId="17960" xr:uid="{00000000-0005-0000-0000-00000D460000}"/>
    <cellStyle name="Normal 9 7" xfId="17961" xr:uid="{00000000-0005-0000-0000-00000E460000}"/>
    <cellStyle name="Normal 9 7 2" xfId="17962" xr:uid="{00000000-0005-0000-0000-00000F460000}"/>
    <cellStyle name="Normal 9 7 3" xfId="17963" xr:uid="{00000000-0005-0000-0000-000010460000}"/>
    <cellStyle name="Normal 9 7 4" xfId="17964" xr:uid="{00000000-0005-0000-0000-000011460000}"/>
    <cellStyle name="Normal 9 7 5" xfId="17965" xr:uid="{00000000-0005-0000-0000-000012460000}"/>
    <cellStyle name="Normal 9 7 6" xfId="17966" xr:uid="{00000000-0005-0000-0000-000013460000}"/>
    <cellStyle name="Normal 9 7 7" xfId="17967" xr:uid="{00000000-0005-0000-0000-000014460000}"/>
    <cellStyle name="Normal 9 7 8" xfId="17968" xr:uid="{00000000-0005-0000-0000-000015460000}"/>
    <cellStyle name="Normal 9 8" xfId="17969" xr:uid="{00000000-0005-0000-0000-000016460000}"/>
    <cellStyle name="Normal 9 8 2" xfId="17970" xr:uid="{00000000-0005-0000-0000-000017460000}"/>
    <cellStyle name="Normal 9 8 3" xfId="17971" xr:uid="{00000000-0005-0000-0000-000018460000}"/>
    <cellStyle name="Normal 9 8 4" xfId="17972" xr:uid="{00000000-0005-0000-0000-000019460000}"/>
    <cellStyle name="Normal 9 8 5" xfId="17973" xr:uid="{00000000-0005-0000-0000-00001A460000}"/>
    <cellStyle name="Normal 9 8 6" xfId="17974" xr:uid="{00000000-0005-0000-0000-00001B460000}"/>
    <cellStyle name="Normal 9 8 7" xfId="17975" xr:uid="{00000000-0005-0000-0000-00001C460000}"/>
    <cellStyle name="Normal 9 8 8" xfId="17976" xr:uid="{00000000-0005-0000-0000-00001D460000}"/>
    <cellStyle name="Normal 9 9" xfId="17977" xr:uid="{00000000-0005-0000-0000-00001E460000}"/>
    <cellStyle name="Normal 9 9 2" xfId="17978" xr:uid="{00000000-0005-0000-0000-00001F460000}"/>
    <cellStyle name="Normal 9 9 3" xfId="17979" xr:uid="{00000000-0005-0000-0000-000020460000}"/>
    <cellStyle name="Normal 9 9 4" xfId="17980" xr:uid="{00000000-0005-0000-0000-000021460000}"/>
    <cellStyle name="Normal 9 9 5" xfId="17981" xr:uid="{00000000-0005-0000-0000-000022460000}"/>
    <cellStyle name="Normal 9 9 6" xfId="17982" xr:uid="{00000000-0005-0000-0000-000023460000}"/>
    <cellStyle name="Normal 9 9 7" xfId="17983" xr:uid="{00000000-0005-0000-0000-000024460000}"/>
    <cellStyle name="Normal 9 9 8" xfId="17984" xr:uid="{00000000-0005-0000-0000-000025460000}"/>
    <cellStyle name="Normal 9_CHC Asifabad Estimate" xfId="17985" xr:uid="{00000000-0005-0000-0000-000026460000}"/>
    <cellStyle name="Normal 90" xfId="17986" xr:uid="{00000000-0005-0000-0000-000027460000}"/>
    <cellStyle name="Normal 90 2" xfId="17987" xr:uid="{00000000-0005-0000-0000-000028460000}"/>
    <cellStyle name="Normal 90 3" xfId="17988" xr:uid="{00000000-0005-0000-0000-000029460000}"/>
    <cellStyle name="Normal 90 4" xfId="17989" xr:uid="{00000000-0005-0000-0000-00002A460000}"/>
    <cellStyle name="Normal 91" xfId="17990" xr:uid="{00000000-0005-0000-0000-00002B460000}"/>
    <cellStyle name="Normal 91 2" xfId="17991" xr:uid="{00000000-0005-0000-0000-00002C460000}"/>
    <cellStyle name="Normal 91 3" xfId="17992" xr:uid="{00000000-0005-0000-0000-00002D460000}"/>
    <cellStyle name="Normal 92" xfId="17993" xr:uid="{00000000-0005-0000-0000-00002E460000}"/>
    <cellStyle name="Normal 92 2" xfId="17994" xr:uid="{00000000-0005-0000-0000-00002F460000}"/>
    <cellStyle name="Normal 93" xfId="17995" xr:uid="{00000000-0005-0000-0000-000030460000}"/>
    <cellStyle name="Normal 93 2" xfId="17996" xr:uid="{00000000-0005-0000-0000-000031460000}"/>
    <cellStyle name="Normal 93 3" xfId="17997" xr:uid="{00000000-0005-0000-0000-000032460000}"/>
    <cellStyle name="Normal 94" xfId="17998" xr:uid="{00000000-0005-0000-0000-000033460000}"/>
    <cellStyle name="Normal 94 2" xfId="17999" xr:uid="{00000000-0005-0000-0000-000034460000}"/>
    <cellStyle name="Normal 94 3" xfId="18000" xr:uid="{00000000-0005-0000-0000-000035460000}"/>
    <cellStyle name="Normal 95" xfId="18001" xr:uid="{00000000-0005-0000-0000-000036460000}"/>
    <cellStyle name="Normal 95 2" xfId="18002" xr:uid="{00000000-0005-0000-0000-000037460000}"/>
    <cellStyle name="Normal 96" xfId="18003" xr:uid="{00000000-0005-0000-0000-000038460000}"/>
    <cellStyle name="Normal 96 2" xfId="18004" xr:uid="{00000000-0005-0000-0000-000039460000}"/>
    <cellStyle name="Normal 97" xfId="18005" xr:uid="{00000000-0005-0000-0000-00003A460000}"/>
    <cellStyle name="Normal 97 2" xfId="18006" xr:uid="{00000000-0005-0000-0000-00003B460000}"/>
    <cellStyle name="Normal 97 3" xfId="18007" xr:uid="{00000000-0005-0000-0000-00003C460000}"/>
    <cellStyle name="Normal 97 4" xfId="18008" xr:uid="{00000000-0005-0000-0000-00003D460000}"/>
    <cellStyle name="Normal 97 5" xfId="18009" xr:uid="{00000000-0005-0000-0000-00003E460000}"/>
    <cellStyle name="Normal 98" xfId="18010" xr:uid="{00000000-0005-0000-0000-00003F460000}"/>
    <cellStyle name="Normal 98 2" xfId="18011" xr:uid="{00000000-0005-0000-0000-000040460000}"/>
    <cellStyle name="Normal 98 3" xfId="18012" xr:uid="{00000000-0005-0000-0000-000041460000}"/>
    <cellStyle name="Normal 98 4" xfId="18013" xr:uid="{00000000-0005-0000-0000-000042460000}"/>
    <cellStyle name="Normal 99" xfId="18014" xr:uid="{00000000-0005-0000-0000-000043460000}"/>
    <cellStyle name="Normal 99 2" xfId="18015" xr:uid="{00000000-0005-0000-0000-000044460000}"/>
    <cellStyle name="Normal 99 3" xfId="18016" xr:uid="{00000000-0005-0000-0000-000045460000}"/>
    <cellStyle name="Normal Bold" xfId="18017" xr:uid="{00000000-0005-0000-0000-000046460000}"/>
    <cellStyle name="Normal Pct" xfId="18018" xr:uid="{00000000-0005-0000-0000-000047460000}"/>
    <cellStyle name="Normal Tiger" xfId="18019" xr:uid="{00000000-0005-0000-0000-000048460000}"/>
    <cellStyle name="Normal$" xfId="18020" xr:uid="{00000000-0005-0000-0000-000049460000}"/>
    <cellStyle name="Normal_CH - KOLLUR" xfId="66" xr:uid="{00000000-0005-0000-0000-00004A460000}"/>
    <cellStyle name="Normal_DATA 2" xfId="67" xr:uid="{00000000-0005-0000-0000-00004B460000}"/>
    <cellStyle name="Normal_Julurpad-29.8.05" xfId="68" xr:uid="{00000000-0005-0000-0000-00004C460000}"/>
    <cellStyle name="Normal_LEAD STATEMENT OF JAMMALAMADUGU" xfId="69" xr:uid="{00000000-0005-0000-0000-00004D460000}"/>
    <cellStyle name="Normal_LEAD STATEMENT OF JAMMALAMADUGU 2 2" xfId="19412" xr:uid="{DDB4450D-19DC-46CA-BC01-CD41F9182AF9}"/>
    <cellStyle name="Normal_NB-BHO~1" xfId="70" xr:uid="{00000000-0005-0000-0000-00004E460000}"/>
    <cellStyle name="Normal_Pakala" xfId="71" xr:uid="{00000000-0005-0000-0000-00004F460000}"/>
    <cellStyle name="Normal_Parsharamnagar" xfId="72" xr:uid="{00000000-0005-0000-0000-000050460000}"/>
    <cellStyle name="Normal_PMGSY Model Est 05.09.10(1)" xfId="19411" xr:uid="{00000000-0005-0000-0000-000051460000}"/>
    <cellStyle name="Normal_PROJECT.PR" xfId="73" xr:uid="{00000000-0005-0000-0000-000052460000}"/>
    <cellStyle name="Normal_Rustumpet-new" xfId="74" xr:uid="{00000000-0005-0000-0000-000053460000}"/>
    <cellStyle name="Normal_STANDARD DATA 2009-10" xfId="75" xr:uid="{00000000-0005-0000-0000-000054460000}"/>
    <cellStyle name="Normal_SW HOSTEL dharmapuri 50.00+2.5 2" xfId="76" xr:uid="{00000000-0005-0000-0000-000055460000}"/>
    <cellStyle name="normal0" xfId="18021" xr:uid="{00000000-0005-0000-0000-000057460000}"/>
    <cellStyle name="Normal1" xfId="18022" xr:uid="{00000000-0005-0000-0000-000058460000}"/>
    <cellStyle name="normal1$" xfId="18023" xr:uid="{00000000-0005-0000-0000-000059460000}"/>
    <cellStyle name="normal12" xfId="18024" xr:uid="{00000000-0005-0000-0000-00005A460000}"/>
    <cellStyle name="normal1R" xfId="18025" xr:uid="{00000000-0005-0000-0000-00005B460000}"/>
    <cellStyle name="normal2" xfId="18026" xr:uid="{00000000-0005-0000-0000-00005C460000}"/>
    <cellStyle name="Normale_Astelit bp fix" xfId="18027" xr:uid="{00000000-0005-0000-0000-00005D460000}"/>
    <cellStyle name="NormalHelv" xfId="18028" xr:uid="{00000000-0005-0000-0000-00005E460000}"/>
    <cellStyle name="NormalMultiple" xfId="18029" xr:uid="{00000000-0005-0000-0000-00005F460000}"/>
    <cellStyle name="normální_laroux" xfId="18030" xr:uid="{00000000-0005-0000-0000-000060460000}"/>
    <cellStyle name="NormalR" xfId="18031" xr:uid="{00000000-0005-0000-0000-000061460000}"/>
    <cellStyle name="Normalx" xfId="18032" xr:uid="{00000000-0005-0000-0000-000062460000}"/>
    <cellStyle name="NormalxShadow" xfId="18033" xr:uid="{00000000-0005-0000-0000-000063460000}"/>
    <cellStyle name="Notas" xfId="18034" xr:uid="{00000000-0005-0000-0000-000064460000}"/>
    <cellStyle name="Note" xfId="77" builtinId="10" customBuiltin="1"/>
    <cellStyle name="Note 10" xfId="18035" xr:uid="{00000000-0005-0000-0000-000066460000}"/>
    <cellStyle name="Note 10 2" xfId="18036" xr:uid="{00000000-0005-0000-0000-000067460000}"/>
    <cellStyle name="Note 10 2 2" xfId="18037" xr:uid="{00000000-0005-0000-0000-000068460000}"/>
    <cellStyle name="Note 10 2 3" xfId="18038" xr:uid="{00000000-0005-0000-0000-000069460000}"/>
    <cellStyle name="Note 10 3" xfId="18039" xr:uid="{00000000-0005-0000-0000-00006A460000}"/>
    <cellStyle name="Note 10 4" xfId="18040" xr:uid="{00000000-0005-0000-0000-00006B460000}"/>
    <cellStyle name="Note 10 5" xfId="18041" xr:uid="{00000000-0005-0000-0000-00006C460000}"/>
    <cellStyle name="Note 10 6" xfId="18042" xr:uid="{00000000-0005-0000-0000-00006D460000}"/>
    <cellStyle name="Note 10 7" xfId="18043" xr:uid="{00000000-0005-0000-0000-00006E460000}"/>
    <cellStyle name="Note 10 8" xfId="18044" xr:uid="{00000000-0005-0000-0000-00006F460000}"/>
    <cellStyle name="Note 10 9" xfId="18045" xr:uid="{00000000-0005-0000-0000-000070460000}"/>
    <cellStyle name="Note 11" xfId="18046" xr:uid="{00000000-0005-0000-0000-000071460000}"/>
    <cellStyle name="Note 11 2" xfId="18047" xr:uid="{00000000-0005-0000-0000-000072460000}"/>
    <cellStyle name="Note 11 2 2" xfId="18048" xr:uid="{00000000-0005-0000-0000-000073460000}"/>
    <cellStyle name="Note 11 2 3" xfId="18049" xr:uid="{00000000-0005-0000-0000-000074460000}"/>
    <cellStyle name="Note 11 3" xfId="18050" xr:uid="{00000000-0005-0000-0000-000075460000}"/>
    <cellStyle name="Note 11 4" xfId="18051" xr:uid="{00000000-0005-0000-0000-000076460000}"/>
    <cellStyle name="Note 11 5" xfId="18052" xr:uid="{00000000-0005-0000-0000-000077460000}"/>
    <cellStyle name="Note 11 6" xfId="18053" xr:uid="{00000000-0005-0000-0000-000078460000}"/>
    <cellStyle name="Note 11 7" xfId="18054" xr:uid="{00000000-0005-0000-0000-000079460000}"/>
    <cellStyle name="Note 11 8" xfId="18055" xr:uid="{00000000-0005-0000-0000-00007A460000}"/>
    <cellStyle name="Note 11 9" xfId="18056" xr:uid="{00000000-0005-0000-0000-00007B460000}"/>
    <cellStyle name="Note 12" xfId="18057" xr:uid="{00000000-0005-0000-0000-00007C460000}"/>
    <cellStyle name="Note 12 2" xfId="18058" xr:uid="{00000000-0005-0000-0000-00007D460000}"/>
    <cellStyle name="Note 12 2 2" xfId="18059" xr:uid="{00000000-0005-0000-0000-00007E460000}"/>
    <cellStyle name="Note 12 2 3" xfId="18060" xr:uid="{00000000-0005-0000-0000-00007F460000}"/>
    <cellStyle name="Note 12 3" xfId="18061" xr:uid="{00000000-0005-0000-0000-000080460000}"/>
    <cellStyle name="Note 12 4" xfId="18062" xr:uid="{00000000-0005-0000-0000-000081460000}"/>
    <cellStyle name="Note 12 5" xfId="18063" xr:uid="{00000000-0005-0000-0000-000082460000}"/>
    <cellStyle name="Note 12 6" xfId="18064" xr:uid="{00000000-0005-0000-0000-000083460000}"/>
    <cellStyle name="Note 12 7" xfId="18065" xr:uid="{00000000-0005-0000-0000-000084460000}"/>
    <cellStyle name="Note 12 8" xfId="18066" xr:uid="{00000000-0005-0000-0000-000085460000}"/>
    <cellStyle name="Note 12 9" xfId="18067" xr:uid="{00000000-0005-0000-0000-000086460000}"/>
    <cellStyle name="Note 13" xfId="18068" xr:uid="{00000000-0005-0000-0000-000087460000}"/>
    <cellStyle name="Note 13 2" xfId="18069" xr:uid="{00000000-0005-0000-0000-000088460000}"/>
    <cellStyle name="Note 13 2 2" xfId="18070" xr:uid="{00000000-0005-0000-0000-000089460000}"/>
    <cellStyle name="Note 13 2 3" xfId="18071" xr:uid="{00000000-0005-0000-0000-00008A460000}"/>
    <cellStyle name="Note 13 3" xfId="18072" xr:uid="{00000000-0005-0000-0000-00008B460000}"/>
    <cellStyle name="Note 13 4" xfId="18073" xr:uid="{00000000-0005-0000-0000-00008C460000}"/>
    <cellStyle name="Note 13 5" xfId="18074" xr:uid="{00000000-0005-0000-0000-00008D460000}"/>
    <cellStyle name="Note 13 6" xfId="18075" xr:uid="{00000000-0005-0000-0000-00008E460000}"/>
    <cellStyle name="Note 13 7" xfId="18076" xr:uid="{00000000-0005-0000-0000-00008F460000}"/>
    <cellStyle name="Note 13 8" xfId="18077" xr:uid="{00000000-0005-0000-0000-000090460000}"/>
    <cellStyle name="Note 13 9" xfId="18078" xr:uid="{00000000-0005-0000-0000-000091460000}"/>
    <cellStyle name="Note 14" xfId="18079" xr:uid="{00000000-0005-0000-0000-000092460000}"/>
    <cellStyle name="Note 14 2" xfId="18080" xr:uid="{00000000-0005-0000-0000-000093460000}"/>
    <cellStyle name="Note 14 2 2" xfId="18081" xr:uid="{00000000-0005-0000-0000-000094460000}"/>
    <cellStyle name="Note 14 2 3" xfId="18082" xr:uid="{00000000-0005-0000-0000-000095460000}"/>
    <cellStyle name="Note 14 3" xfId="18083" xr:uid="{00000000-0005-0000-0000-000096460000}"/>
    <cellStyle name="Note 14 4" xfId="18084" xr:uid="{00000000-0005-0000-0000-000097460000}"/>
    <cellStyle name="Note 14 5" xfId="18085" xr:uid="{00000000-0005-0000-0000-000098460000}"/>
    <cellStyle name="Note 14 6" xfId="18086" xr:uid="{00000000-0005-0000-0000-000099460000}"/>
    <cellStyle name="Note 14 7" xfId="18087" xr:uid="{00000000-0005-0000-0000-00009A460000}"/>
    <cellStyle name="Note 14 8" xfId="18088" xr:uid="{00000000-0005-0000-0000-00009B460000}"/>
    <cellStyle name="Note 14 9" xfId="18089" xr:uid="{00000000-0005-0000-0000-00009C460000}"/>
    <cellStyle name="Note 15" xfId="18090" xr:uid="{00000000-0005-0000-0000-00009D460000}"/>
    <cellStyle name="Note 15 2" xfId="18091" xr:uid="{00000000-0005-0000-0000-00009E460000}"/>
    <cellStyle name="Note 15 2 2" xfId="18092" xr:uid="{00000000-0005-0000-0000-00009F460000}"/>
    <cellStyle name="Note 15 2 3" xfId="18093" xr:uid="{00000000-0005-0000-0000-0000A0460000}"/>
    <cellStyle name="Note 15 3" xfId="18094" xr:uid="{00000000-0005-0000-0000-0000A1460000}"/>
    <cellStyle name="Note 15 4" xfId="18095" xr:uid="{00000000-0005-0000-0000-0000A2460000}"/>
    <cellStyle name="Note 15 5" xfId="18096" xr:uid="{00000000-0005-0000-0000-0000A3460000}"/>
    <cellStyle name="Note 15 6" xfId="18097" xr:uid="{00000000-0005-0000-0000-0000A4460000}"/>
    <cellStyle name="Note 15 7" xfId="18098" xr:uid="{00000000-0005-0000-0000-0000A5460000}"/>
    <cellStyle name="Note 15 8" xfId="18099" xr:uid="{00000000-0005-0000-0000-0000A6460000}"/>
    <cellStyle name="Note 15 9" xfId="18100" xr:uid="{00000000-0005-0000-0000-0000A7460000}"/>
    <cellStyle name="Note 16" xfId="18101" xr:uid="{00000000-0005-0000-0000-0000A8460000}"/>
    <cellStyle name="Note 16 2" xfId="18102" xr:uid="{00000000-0005-0000-0000-0000A9460000}"/>
    <cellStyle name="Note 16 3" xfId="18103" xr:uid="{00000000-0005-0000-0000-0000AA460000}"/>
    <cellStyle name="Note 16 4" xfId="18104" xr:uid="{00000000-0005-0000-0000-0000AB460000}"/>
    <cellStyle name="Note 16 5" xfId="18105" xr:uid="{00000000-0005-0000-0000-0000AC460000}"/>
    <cellStyle name="Note 16 6" xfId="18106" xr:uid="{00000000-0005-0000-0000-0000AD460000}"/>
    <cellStyle name="Note 16 7" xfId="18107" xr:uid="{00000000-0005-0000-0000-0000AE460000}"/>
    <cellStyle name="Note 16 8" xfId="18108" xr:uid="{00000000-0005-0000-0000-0000AF460000}"/>
    <cellStyle name="Note 16 9" xfId="18109" xr:uid="{00000000-0005-0000-0000-0000B0460000}"/>
    <cellStyle name="Note 17" xfId="18110" xr:uid="{00000000-0005-0000-0000-0000B1460000}"/>
    <cellStyle name="Note 17 2" xfId="18111" xr:uid="{00000000-0005-0000-0000-0000B2460000}"/>
    <cellStyle name="Note 17 3" xfId="18112" xr:uid="{00000000-0005-0000-0000-0000B3460000}"/>
    <cellStyle name="Note 17 4" xfId="18113" xr:uid="{00000000-0005-0000-0000-0000B4460000}"/>
    <cellStyle name="Note 18" xfId="18114" xr:uid="{00000000-0005-0000-0000-0000B5460000}"/>
    <cellStyle name="Note 18 2" xfId="18115" xr:uid="{00000000-0005-0000-0000-0000B6460000}"/>
    <cellStyle name="Note 18 3" xfId="18116" xr:uid="{00000000-0005-0000-0000-0000B7460000}"/>
    <cellStyle name="Note 18 4" xfId="18117" xr:uid="{00000000-0005-0000-0000-0000B8460000}"/>
    <cellStyle name="Note 19" xfId="18118" xr:uid="{00000000-0005-0000-0000-0000B9460000}"/>
    <cellStyle name="Note 19 2" xfId="18119" xr:uid="{00000000-0005-0000-0000-0000BA460000}"/>
    <cellStyle name="Note 19 3" xfId="18120" xr:uid="{00000000-0005-0000-0000-0000BB460000}"/>
    <cellStyle name="Note 19 4" xfId="18121" xr:uid="{00000000-0005-0000-0000-0000BC460000}"/>
    <cellStyle name="Note 2" xfId="18122" xr:uid="{00000000-0005-0000-0000-0000BD460000}"/>
    <cellStyle name="Note 2 10" xfId="18123" xr:uid="{00000000-0005-0000-0000-0000BE460000}"/>
    <cellStyle name="Note 2 10 2" xfId="18124" xr:uid="{00000000-0005-0000-0000-0000BF460000}"/>
    <cellStyle name="Note 2 10 3" xfId="18125" xr:uid="{00000000-0005-0000-0000-0000C0460000}"/>
    <cellStyle name="Note 2 10 4" xfId="18126" xr:uid="{00000000-0005-0000-0000-0000C1460000}"/>
    <cellStyle name="Note 2 10 5" xfId="18127" xr:uid="{00000000-0005-0000-0000-0000C2460000}"/>
    <cellStyle name="Note 2 10 6" xfId="18128" xr:uid="{00000000-0005-0000-0000-0000C3460000}"/>
    <cellStyle name="Note 2 10 7" xfId="18129" xr:uid="{00000000-0005-0000-0000-0000C4460000}"/>
    <cellStyle name="Note 2 10 8" xfId="18130" xr:uid="{00000000-0005-0000-0000-0000C5460000}"/>
    <cellStyle name="Note 2 11" xfId="18131" xr:uid="{00000000-0005-0000-0000-0000C6460000}"/>
    <cellStyle name="Note 2 12" xfId="18132" xr:uid="{00000000-0005-0000-0000-0000C7460000}"/>
    <cellStyle name="Note 2 13" xfId="18133" xr:uid="{00000000-0005-0000-0000-0000C8460000}"/>
    <cellStyle name="Note 2 14" xfId="18134" xr:uid="{00000000-0005-0000-0000-0000C9460000}"/>
    <cellStyle name="Note 2 15" xfId="18135" xr:uid="{00000000-0005-0000-0000-0000CA460000}"/>
    <cellStyle name="Note 2 16" xfId="18136" xr:uid="{00000000-0005-0000-0000-0000CB460000}"/>
    <cellStyle name="Note 2 17" xfId="18137" xr:uid="{00000000-0005-0000-0000-0000CC460000}"/>
    <cellStyle name="Note 2 18" xfId="18138" xr:uid="{00000000-0005-0000-0000-0000CD460000}"/>
    <cellStyle name="Note 2 19" xfId="18139" xr:uid="{00000000-0005-0000-0000-0000CE460000}"/>
    <cellStyle name="Note 2 2" xfId="18140" xr:uid="{00000000-0005-0000-0000-0000CF460000}"/>
    <cellStyle name="Note 2 2 10" xfId="18141" xr:uid="{00000000-0005-0000-0000-0000D0460000}"/>
    <cellStyle name="Note 2 2 11" xfId="18142" xr:uid="{00000000-0005-0000-0000-0000D1460000}"/>
    <cellStyle name="Note 2 2 12" xfId="18143" xr:uid="{00000000-0005-0000-0000-0000D2460000}"/>
    <cellStyle name="Note 2 2 2" xfId="18144" xr:uid="{00000000-0005-0000-0000-0000D3460000}"/>
    <cellStyle name="Note 2 2 2 2" xfId="18145" xr:uid="{00000000-0005-0000-0000-0000D4460000}"/>
    <cellStyle name="Note 2 2 3" xfId="18146" xr:uid="{00000000-0005-0000-0000-0000D5460000}"/>
    <cellStyle name="Note 2 2 3 2" xfId="18147" xr:uid="{00000000-0005-0000-0000-0000D6460000}"/>
    <cellStyle name="Note 2 2 4" xfId="18148" xr:uid="{00000000-0005-0000-0000-0000D7460000}"/>
    <cellStyle name="Note 2 2 5" xfId="18149" xr:uid="{00000000-0005-0000-0000-0000D8460000}"/>
    <cellStyle name="Note 2 2 6" xfId="18150" xr:uid="{00000000-0005-0000-0000-0000D9460000}"/>
    <cellStyle name="Note 2 2 7" xfId="18151" xr:uid="{00000000-0005-0000-0000-0000DA460000}"/>
    <cellStyle name="Note 2 2 8" xfId="18152" xr:uid="{00000000-0005-0000-0000-0000DB460000}"/>
    <cellStyle name="Note 2 2 9" xfId="18153" xr:uid="{00000000-0005-0000-0000-0000DC460000}"/>
    <cellStyle name="Note 2 3" xfId="18154" xr:uid="{00000000-0005-0000-0000-0000DD460000}"/>
    <cellStyle name="Note 2 3 2" xfId="18155" xr:uid="{00000000-0005-0000-0000-0000DE460000}"/>
    <cellStyle name="Note 2 3 2 2" xfId="18156" xr:uid="{00000000-0005-0000-0000-0000DF460000}"/>
    <cellStyle name="Note 2 3 3" xfId="18157" xr:uid="{00000000-0005-0000-0000-0000E0460000}"/>
    <cellStyle name="Note 2 3 4" xfId="18158" xr:uid="{00000000-0005-0000-0000-0000E1460000}"/>
    <cellStyle name="Note 2 3 5" xfId="18159" xr:uid="{00000000-0005-0000-0000-0000E2460000}"/>
    <cellStyle name="Note 2 3 6" xfId="18160" xr:uid="{00000000-0005-0000-0000-0000E3460000}"/>
    <cellStyle name="Note 2 3 7" xfId="18161" xr:uid="{00000000-0005-0000-0000-0000E4460000}"/>
    <cellStyle name="Note 2 3 8" xfId="18162" xr:uid="{00000000-0005-0000-0000-0000E5460000}"/>
    <cellStyle name="Note 2 4" xfId="18163" xr:uid="{00000000-0005-0000-0000-0000E6460000}"/>
    <cellStyle name="Note 2 4 2" xfId="18164" xr:uid="{00000000-0005-0000-0000-0000E7460000}"/>
    <cellStyle name="Note 2 4 2 2" xfId="18165" xr:uid="{00000000-0005-0000-0000-0000E8460000}"/>
    <cellStyle name="Note 2 4 3" xfId="18166" xr:uid="{00000000-0005-0000-0000-0000E9460000}"/>
    <cellStyle name="Note 2 4 4" xfId="18167" xr:uid="{00000000-0005-0000-0000-0000EA460000}"/>
    <cellStyle name="Note 2 4 5" xfId="18168" xr:uid="{00000000-0005-0000-0000-0000EB460000}"/>
    <cellStyle name="Note 2 4 6" xfId="18169" xr:uid="{00000000-0005-0000-0000-0000EC460000}"/>
    <cellStyle name="Note 2 4 7" xfId="18170" xr:uid="{00000000-0005-0000-0000-0000ED460000}"/>
    <cellStyle name="Note 2 4 8" xfId="18171" xr:uid="{00000000-0005-0000-0000-0000EE460000}"/>
    <cellStyle name="Note 2 5" xfId="18172" xr:uid="{00000000-0005-0000-0000-0000EF460000}"/>
    <cellStyle name="Note 2 5 2" xfId="18173" xr:uid="{00000000-0005-0000-0000-0000F0460000}"/>
    <cellStyle name="Note 2 5 3" xfId="18174" xr:uid="{00000000-0005-0000-0000-0000F1460000}"/>
    <cellStyle name="Note 2 5 4" xfId="18175" xr:uid="{00000000-0005-0000-0000-0000F2460000}"/>
    <cellStyle name="Note 2 5 5" xfId="18176" xr:uid="{00000000-0005-0000-0000-0000F3460000}"/>
    <cellStyle name="Note 2 5 6" xfId="18177" xr:uid="{00000000-0005-0000-0000-0000F4460000}"/>
    <cellStyle name="Note 2 5 7" xfId="18178" xr:uid="{00000000-0005-0000-0000-0000F5460000}"/>
    <cellStyle name="Note 2 5 8" xfId="18179" xr:uid="{00000000-0005-0000-0000-0000F6460000}"/>
    <cellStyle name="Note 2 6" xfId="18180" xr:uid="{00000000-0005-0000-0000-0000F7460000}"/>
    <cellStyle name="Note 2 6 2" xfId="18181" xr:uid="{00000000-0005-0000-0000-0000F8460000}"/>
    <cellStyle name="Note 2 6 3" xfId="18182" xr:uid="{00000000-0005-0000-0000-0000F9460000}"/>
    <cellStyle name="Note 2 6 4" xfId="18183" xr:uid="{00000000-0005-0000-0000-0000FA460000}"/>
    <cellStyle name="Note 2 6 5" xfId="18184" xr:uid="{00000000-0005-0000-0000-0000FB460000}"/>
    <cellStyle name="Note 2 6 6" xfId="18185" xr:uid="{00000000-0005-0000-0000-0000FC460000}"/>
    <cellStyle name="Note 2 6 7" xfId="18186" xr:uid="{00000000-0005-0000-0000-0000FD460000}"/>
    <cellStyle name="Note 2 6 8" xfId="18187" xr:uid="{00000000-0005-0000-0000-0000FE460000}"/>
    <cellStyle name="Note 2 7" xfId="18188" xr:uid="{00000000-0005-0000-0000-0000FF460000}"/>
    <cellStyle name="Note 2 7 2" xfId="18189" xr:uid="{00000000-0005-0000-0000-000000470000}"/>
    <cellStyle name="Note 2 7 3" xfId="18190" xr:uid="{00000000-0005-0000-0000-000001470000}"/>
    <cellStyle name="Note 2 7 4" xfId="18191" xr:uid="{00000000-0005-0000-0000-000002470000}"/>
    <cellStyle name="Note 2 7 5" xfId="18192" xr:uid="{00000000-0005-0000-0000-000003470000}"/>
    <cellStyle name="Note 2 7 6" xfId="18193" xr:uid="{00000000-0005-0000-0000-000004470000}"/>
    <cellStyle name="Note 2 7 7" xfId="18194" xr:uid="{00000000-0005-0000-0000-000005470000}"/>
    <cellStyle name="Note 2 7 8" xfId="18195" xr:uid="{00000000-0005-0000-0000-000006470000}"/>
    <cellStyle name="Note 2 8" xfId="18196" xr:uid="{00000000-0005-0000-0000-000007470000}"/>
    <cellStyle name="Note 2 8 2" xfId="18197" xr:uid="{00000000-0005-0000-0000-000008470000}"/>
    <cellStyle name="Note 2 8 3" xfId="18198" xr:uid="{00000000-0005-0000-0000-000009470000}"/>
    <cellStyle name="Note 2 8 4" xfId="18199" xr:uid="{00000000-0005-0000-0000-00000A470000}"/>
    <cellStyle name="Note 2 8 5" xfId="18200" xr:uid="{00000000-0005-0000-0000-00000B470000}"/>
    <cellStyle name="Note 2 8 6" xfId="18201" xr:uid="{00000000-0005-0000-0000-00000C470000}"/>
    <cellStyle name="Note 2 8 7" xfId="18202" xr:uid="{00000000-0005-0000-0000-00000D470000}"/>
    <cellStyle name="Note 2 8 8" xfId="18203" xr:uid="{00000000-0005-0000-0000-00000E470000}"/>
    <cellStyle name="Note 2 9" xfId="18204" xr:uid="{00000000-0005-0000-0000-00000F470000}"/>
    <cellStyle name="Note 2 9 2" xfId="18205" xr:uid="{00000000-0005-0000-0000-000010470000}"/>
    <cellStyle name="Note 2 9 3" xfId="18206" xr:uid="{00000000-0005-0000-0000-000011470000}"/>
    <cellStyle name="Note 2 9 4" xfId="18207" xr:uid="{00000000-0005-0000-0000-000012470000}"/>
    <cellStyle name="Note 2 9 5" xfId="18208" xr:uid="{00000000-0005-0000-0000-000013470000}"/>
    <cellStyle name="Note 2 9 6" xfId="18209" xr:uid="{00000000-0005-0000-0000-000014470000}"/>
    <cellStyle name="Note 2 9 7" xfId="18210" xr:uid="{00000000-0005-0000-0000-000015470000}"/>
    <cellStyle name="Note 2 9 8" xfId="18211" xr:uid="{00000000-0005-0000-0000-000016470000}"/>
    <cellStyle name="Note 2_2012-13 data" xfId="18212" xr:uid="{00000000-0005-0000-0000-000017470000}"/>
    <cellStyle name="Note 20" xfId="18213" xr:uid="{00000000-0005-0000-0000-000018470000}"/>
    <cellStyle name="Note 20 2" xfId="18214" xr:uid="{00000000-0005-0000-0000-000019470000}"/>
    <cellStyle name="Note 20 3" xfId="18215" xr:uid="{00000000-0005-0000-0000-00001A470000}"/>
    <cellStyle name="Note 20 4" xfId="18216" xr:uid="{00000000-0005-0000-0000-00001B470000}"/>
    <cellStyle name="Note 21" xfId="18217" xr:uid="{00000000-0005-0000-0000-00001C470000}"/>
    <cellStyle name="Note 21 2" xfId="18218" xr:uid="{00000000-0005-0000-0000-00001D470000}"/>
    <cellStyle name="Note 21 3" xfId="18219" xr:uid="{00000000-0005-0000-0000-00001E470000}"/>
    <cellStyle name="Note 21 4" xfId="18220" xr:uid="{00000000-0005-0000-0000-00001F470000}"/>
    <cellStyle name="Note 22" xfId="18221" xr:uid="{00000000-0005-0000-0000-000020470000}"/>
    <cellStyle name="Note 22 2" xfId="18222" xr:uid="{00000000-0005-0000-0000-000021470000}"/>
    <cellStyle name="Note 22 3" xfId="18223" xr:uid="{00000000-0005-0000-0000-000022470000}"/>
    <cellStyle name="Note 23" xfId="18224" xr:uid="{00000000-0005-0000-0000-000023470000}"/>
    <cellStyle name="Note 24" xfId="18225" xr:uid="{00000000-0005-0000-0000-000024470000}"/>
    <cellStyle name="Note 25" xfId="18226" xr:uid="{00000000-0005-0000-0000-000025470000}"/>
    <cellStyle name="Note 26" xfId="18227" xr:uid="{00000000-0005-0000-0000-000026470000}"/>
    <cellStyle name="Note 27" xfId="18228" xr:uid="{00000000-0005-0000-0000-000027470000}"/>
    <cellStyle name="Note 28" xfId="18229" xr:uid="{00000000-0005-0000-0000-000028470000}"/>
    <cellStyle name="Note 29" xfId="18230" xr:uid="{00000000-0005-0000-0000-000029470000}"/>
    <cellStyle name="Note 3" xfId="18231" xr:uid="{00000000-0005-0000-0000-00002A470000}"/>
    <cellStyle name="Note 3 2" xfId="18232" xr:uid="{00000000-0005-0000-0000-00002B470000}"/>
    <cellStyle name="Note 3 2 10" xfId="18233" xr:uid="{00000000-0005-0000-0000-00002C470000}"/>
    <cellStyle name="Note 3 2 2" xfId="18234" xr:uid="{00000000-0005-0000-0000-00002D470000}"/>
    <cellStyle name="Note 3 2 3" xfId="18235" xr:uid="{00000000-0005-0000-0000-00002E470000}"/>
    <cellStyle name="Note 3 2 4" xfId="18236" xr:uid="{00000000-0005-0000-0000-00002F470000}"/>
    <cellStyle name="Note 3 2 5" xfId="18237" xr:uid="{00000000-0005-0000-0000-000030470000}"/>
    <cellStyle name="Note 3 2 6" xfId="18238" xr:uid="{00000000-0005-0000-0000-000031470000}"/>
    <cellStyle name="Note 3 2 7" xfId="18239" xr:uid="{00000000-0005-0000-0000-000032470000}"/>
    <cellStyle name="Note 3 2 8" xfId="18240" xr:uid="{00000000-0005-0000-0000-000033470000}"/>
    <cellStyle name="Note 3 2 9" xfId="18241" xr:uid="{00000000-0005-0000-0000-000034470000}"/>
    <cellStyle name="Note 3 3" xfId="18242" xr:uid="{00000000-0005-0000-0000-000035470000}"/>
    <cellStyle name="Note 3 3 2" xfId="18243" xr:uid="{00000000-0005-0000-0000-000036470000}"/>
    <cellStyle name="Note 3 3 3" xfId="18244" xr:uid="{00000000-0005-0000-0000-000037470000}"/>
    <cellStyle name="Note 3 4" xfId="18245" xr:uid="{00000000-0005-0000-0000-000038470000}"/>
    <cellStyle name="Note 3 4 2" xfId="18246" xr:uid="{00000000-0005-0000-0000-000039470000}"/>
    <cellStyle name="Note 3 4 3" xfId="18247" xr:uid="{00000000-0005-0000-0000-00003A470000}"/>
    <cellStyle name="Note 3 5" xfId="18248" xr:uid="{00000000-0005-0000-0000-00003B470000}"/>
    <cellStyle name="Note 3 6" xfId="18249" xr:uid="{00000000-0005-0000-0000-00003C470000}"/>
    <cellStyle name="Note 3 7" xfId="18250" xr:uid="{00000000-0005-0000-0000-00003D470000}"/>
    <cellStyle name="Note 3 8" xfId="18251" xr:uid="{00000000-0005-0000-0000-00003E470000}"/>
    <cellStyle name="Note 3 9" xfId="18252" xr:uid="{00000000-0005-0000-0000-00003F470000}"/>
    <cellStyle name="Note 3_Ramadugu_ SWGH" xfId="18253" xr:uid="{00000000-0005-0000-0000-000040470000}"/>
    <cellStyle name="Note 30" xfId="18254" xr:uid="{00000000-0005-0000-0000-000041470000}"/>
    <cellStyle name="Note 31" xfId="18255" xr:uid="{00000000-0005-0000-0000-000042470000}"/>
    <cellStyle name="Note 32" xfId="18256" xr:uid="{00000000-0005-0000-0000-000043470000}"/>
    <cellStyle name="Note 33" xfId="18257" xr:uid="{00000000-0005-0000-0000-000044470000}"/>
    <cellStyle name="Note 34" xfId="18258" xr:uid="{00000000-0005-0000-0000-000045470000}"/>
    <cellStyle name="Note 35" xfId="18259" xr:uid="{00000000-0005-0000-0000-000046470000}"/>
    <cellStyle name="Note 36" xfId="18260" xr:uid="{00000000-0005-0000-0000-000047470000}"/>
    <cellStyle name="Note 37" xfId="18261" xr:uid="{00000000-0005-0000-0000-000048470000}"/>
    <cellStyle name="Note 38" xfId="18262" xr:uid="{00000000-0005-0000-0000-000049470000}"/>
    <cellStyle name="Note 39" xfId="18263" xr:uid="{00000000-0005-0000-0000-00004A470000}"/>
    <cellStyle name="Note 4" xfId="18264" xr:uid="{00000000-0005-0000-0000-00004B470000}"/>
    <cellStyle name="Note 4 10" xfId="18265" xr:uid="{00000000-0005-0000-0000-00004C470000}"/>
    <cellStyle name="Note 4 11" xfId="18266" xr:uid="{00000000-0005-0000-0000-00004D470000}"/>
    <cellStyle name="Note 4 12" xfId="18267" xr:uid="{00000000-0005-0000-0000-00004E470000}"/>
    <cellStyle name="Note 4 2" xfId="18268" xr:uid="{00000000-0005-0000-0000-00004F470000}"/>
    <cellStyle name="Note 4 2 2" xfId="18269" xr:uid="{00000000-0005-0000-0000-000050470000}"/>
    <cellStyle name="Note 4 2 3" xfId="18270" xr:uid="{00000000-0005-0000-0000-000051470000}"/>
    <cellStyle name="Note 4 3" xfId="18271" xr:uid="{00000000-0005-0000-0000-000052470000}"/>
    <cellStyle name="Note 4 4" xfId="18272" xr:uid="{00000000-0005-0000-0000-000053470000}"/>
    <cellStyle name="Note 4 5" xfId="18273" xr:uid="{00000000-0005-0000-0000-000054470000}"/>
    <cellStyle name="Note 4 6" xfId="18274" xr:uid="{00000000-0005-0000-0000-000055470000}"/>
    <cellStyle name="Note 4 7" xfId="18275" xr:uid="{00000000-0005-0000-0000-000056470000}"/>
    <cellStyle name="Note 4 8" xfId="18276" xr:uid="{00000000-0005-0000-0000-000057470000}"/>
    <cellStyle name="Note 4 9" xfId="18277" xr:uid="{00000000-0005-0000-0000-000058470000}"/>
    <cellStyle name="Note 4_Sheet2" xfId="18278" xr:uid="{00000000-0005-0000-0000-000059470000}"/>
    <cellStyle name="Note 5" xfId="18279" xr:uid="{00000000-0005-0000-0000-00005A470000}"/>
    <cellStyle name="Note 5 10" xfId="18280" xr:uid="{00000000-0005-0000-0000-00005B470000}"/>
    <cellStyle name="Note 5 11" xfId="18281" xr:uid="{00000000-0005-0000-0000-00005C470000}"/>
    <cellStyle name="Note 5 12" xfId="18282" xr:uid="{00000000-0005-0000-0000-00005D470000}"/>
    <cellStyle name="Note 5 2" xfId="18283" xr:uid="{00000000-0005-0000-0000-00005E470000}"/>
    <cellStyle name="Note 5 2 2" xfId="18284" xr:uid="{00000000-0005-0000-0000-00005F470000}"/>
    <cellStyle name="Note 5 2 3" xfId="18285" xr:uid="{00000000-0005-0000-0000-000060470000}"/>
    <cellStyle name="Note 5 3" xfId="18286" xr:uid="{00000000-0005-0000-0000-000061470000}"/>
    <cellStyle name="Note 5 4" xfId="18287" xr:uid="{00000000-0005-0000-0000-000062470000}"/>
    <cellStyle name="Note 5 5" xfId="18288" xr:uid="{00000000-0005-0000-0000-000063470000}"/>
    <cellStyle name="Note 5 6" xfId="18289" xr:uid="{00000000-0005-0000-0000-000064470000}"/>
    <cellStyle name="Note 5 7" xfId="18290" xr:uid="{00000000-0005-0000-0000-000065470000}"/>
    <cellStyle name="Note 5 8" xfId="18291" xr:uid="{00000000-0005-0000-0000-000066470000}"/>
    <cellStyle name="Note 5 9" xfId="18292" xr:uid="{00000000-0005-0000-0000-000067470000}"/>
    <cellStyle name="Note 5_Sheet2" xfId="18293" xr:uid="{00000000-0005-0000-0000-000068470000}"/>
    <cellStyle name="Note 6" xfId="18294" xr:uid="{00000000-0005-0000-0000-000069470000}"/>
    <cellStyle name="Note 6 10" xfId="18295" xr:uid="{00000000-0005-0000-0000-00006A470000}"/>
    <cellStyle name="Note 6 11" xfId="18296" xr:uid="{00000000-0005-0000-0000-00006B470000}"/>
    <cellStyle name="Note 6 12" xfId="18297" xr:uid="{00000000-0005-0000-0000-00006C470000}"/>
    <cellStyle name="Note 6 2" xfId="18298" xr:uid="{00000000-0005-0000-0000-00006D470000}"/>
    <cellStyle name="Note 6 2 2" xfId="18299" xr:uid="{00000000-0005-0000-0000-00006E470000}"/>
    <cellStyle name="Note 6 2 3" xfId="18300" xr:uid="{00000000-0005-0000-0000-00006F470000}"/>
    <cellStyle name="Note 6 3" xfId="18301" xr:uid="{00000000-0005-0000-0000-000070470000}"/>
    <cellStyle name="Note 6 4" xfId="18302" xr:uid="{00000000-0005-0000-0000-000071470000}"/>
    <cellStyle name="Note 6 5" xfId="18303" xr:uid="{00000000-0005-0000-0000-000072470000}"/>
    <cellStyle name="Note 6 6" xfId="18304" xr:uid="{00000000-0005-0000-0000-000073470000}"/>
    <cellStyle name="Note 6 7" xfId="18305" xr:uid="{00000000-0005-0000-0000-000074470000}"/>
    <cellStyle name="Note 6 8" xfId="18306" xr:uid="{00000000-0005-0000-0000-000075470000}"/>
    <cellStyle name="Note 6 9" xfId="18307" xr:uid="{00000000-0005-0000-0000-000076470000}"/>
    <cellStyle name="Note 6_Sheet2" xfId="18308" xr:uid="{00000000-0005-0000-0000-000077470000}"/>
    <cellStyle name="Note 7" xfId="18309" xr:uid="{00000000-0005-0000-0000-000078470000}"/>
    <cellStyle name="Note 7 10" xfId="18310" xr:uid="{00000000-0005-0000-0000-000079470000}"/>
    <cellStyle name="Note 7 11" xfId="18311" xr:uid="{00000000-0005-0000-0000-00007A470000}"/>
    <cellStyle name="Note 7 12" xfId="18312" xr:uid="{00000000-0005-0000-0000-00007B470000}"/>
    <cellStyle name="Note 7 2" xfId="18313" xr:uid="{00000000-0005-0000-0000-00007C470000}"/>
    <cellStyle name="Note 7 2 2" xfId="18314" xr:uid="{00000000-0005-0000-0000-00007D470000}"/>
    <cellStyle name="Note 7 2 3" xfId="18315" xr:uid="{00000000-0005-0000-0000-00007E470000}"/>
    <cellStyle name="Note 7 3" xfId="18316" xr:uid="{00000000-0005-0000-0000-00007F470000}"/>
    <cellStyle name="Note 7 4" xfId="18317" xr:uid="{00000000-0005-0000-0000-000080470000}"/>
    <cellStyle name="Note 7 5" xfId="18318" xr:uid="{00000000-0005-0000-0000-000081470000}"/>
    <cellStyle name="Note 7 6" xfId="18319" xr:uid="{00000000-0005-0000-0000-000082470000}"/>
    <cellStyle name="Note 7 7" xfId="18320" xr:uid="{00000000-0005-0000-0000-000083470000}"/>
    <cellStyle name="Note 7 8" xfId="18321" xr:uid="{00000000-0005-0000-0000-000084470000}"/>
    <cellStyle name="Note 7 9" xfId="18322" xr:uid="{00000000-0005-0000-0000-000085470000}"/>
    <cellStyle name="Note 7_Sheet2" xfId="18323" xr:uid="{00000000-0005-0000-0000-000086470000}"/>
    <cellStyle name="Note 8" xfId="18324" xr:uid="{00000000-0005-0000-0000-000087470000}"/>
    <cellStyle name="Note 8 10" xfId="18325" xr:uid="{00000000-0005-0000-0000-000088470000}"/>
    <cellStyle name="Note 8 11" xfId="18326" xr:uid="{00000000-0005-0000-0000-000089470000}"/>
    <cellStyle name="Note 8 2" xfId="18327" xr:uid="{00000000-0005-0000-0000-00008A470000}"/>
    <cellStyle name="Note 8 2 2" xfId="18328" xr:uid="{00000000-0005-0000-0000-00008B470000}"/>
    <cellStyle name="Note 8 2 3" xfId="18329" xr:uid="{00000000-0005-0000-0000-00008C470000}"/>
    <cellStyle name="Note 8 3" xfId="18330" xr:uid="{00000000-0005-0000-0000-00008D470000}"/>
    <cellStyle name="Note 8 4" xfId="18331" xr:uid="{00000000-0005-0000-0000-00008E470000}"/>
    <cellStyle name="Note 8 5" xfId="18332" xr:uid="{00000000-0005-0000-0000-00008F470000}"/>
    <cellStyle name="Note 8 6" xfId="18333" xr:uid="{00000000-0005-0000-0000-000090470000}"/>
    <cellStyle name="Note 8 7" xfId="18334" xr:uid="{00000000-0005-0000-0000-000091470000}"/>
    <cellStyle name="Note 8 8" xfId="18335" xr:uid="{00000000-0005-0000-0000-000092470000}"/>
    <cellStyle name="Note 8 9" xfId="18336" xr:uid="{00000000-0005-0000-0000-000093470000}"/>
    <cellStyle name="Note 8_Sheet2" xfId="18337" xr:uid="{00000000-0005-0000-0000-000094470000}"/>
    <cellStyle name="Note 9" xfId="18338" xr:uid="{00000000-0005-0000-0000-000095470000}"/>
    <cellStyle name="Note 9 2" xfId="18339" xr:uid="{00000000-0005-0000-0000-000096470000}"/>
    <cellStyle name="Note 9 2 2" xfId="18340" xr:uid="{00000000-0005-0000-0000-000097470000}"/>
    <cellStyle name="Note 9 2 3" xfId="18341" xr:uid="{00000000-0005-0000-0000-000098470000}"/>
    <cellStyle name="Note 9 3" xfId="18342" xr:uid="{00000000-0005-0000-0000-000099470000}"/>
    <cellStyle name="Note 9 4" xfId="18343" xr:uid="{00000000-0005-0000-0000-00009A470000}"/>
    <cellStyle name="Note 9 5" xfId="18344" xr:uid="{00000000-0005-0000-0000-00009B470000}"/>
    <cellStyle name="Note 9 6" xfId="18345" xr:uid="{00000000-0005-0000-0000-00009C470000}"/>
    <cellStyle name="Note 9 7" xfId="18346" xr:uid="{00000000-0005-0000-0000-00009D470000}"/>
    <cellStyle name="Note 9 8" xfId="18347" xr:uid="{00000000-0005-0000-0000-00009E470000}"/>
    <cellStyle name="Note 9 9" xfId="18348" xr:uid="{00000000-0005-0000-0000-00009F470000}"/>
    <cellStyle name="Notiz" xfId="18349" xr:uid="{00000000-0005-0000-0000-0000A0470000}"/>
    <cellStyle name="NPPESalesPct" xfId="18350" xr:uid="{00000000-0005-0000-0000-0000A1470000}"/>
    <cellStyle name="Nr" xfId="18351" xr:uid="{00000000-0005-0000-0000-0000A2470000}"/>
    <cellStyle name="Nr 2" xfId="18352" xr:uid="{00000000-0005-0000-0000-0000A3470000}"/>
    <cellStyle name="number" xfId="18353" xr:uid="{00000000-0005-0000-0000-0000A4470000}"/>
    <cellStyle name="Output" xfId="78" builtinId="21" customBuiltin="1"/>
    <cellStyle name="Output 10" xfId="18354" xr:uid="{00000000-0005-0000-0000-0000A6470000}"/>
    <cellStyle name="Output 10 2" xfId="18355" xr:uid="{00000000-0005-0000-0000-0000A7470000}"/>
    <cellStyle name="Output 10 3" xfId="18356" xr:uid="{00000000-0005-0000-0000-0000A8470000}"/>
    <cellStyle name="Output 10 4" xfId="18357" xr:uid="{00000000-0005-0000-0000-0000A9470000}"/>
    <cellStyle name="Output 11" xfId="18358" xr:uid="{00000000-0005-0000-0000-0000AA470000}"/>
    <cellStyle name="Output 11 2" xfId="18359" xr:uid="{00000000-0005-0000-0000-0000AB470000}"/>
    <cellStyle name="Output 11 3" xfId="18360" xr:uid="{00000000-0005-0000-0000-0000AC470000}"/>
    <cellStyle name="Output 11 4" xfId="18361" xr:uid="{00000000-0005-0000-0000-0000AD470000}"/>
    <cellStyle name="Output 12" xfId="18362" xr:uid="{00000000-0005-0000-0000-0000AE470000}"/>
    <cellStyle name="Output 12 2" xfId="18363" xr:uid="{00000000-0005-0000-0000-0000AF470000}"/>
    <cellStyle name="Output 12 3" xfId="18364" xr:uid="{00000000-0005-0000-0000-0000B0470000}"/>
    <cellStyle name="Output 12 4" xfId="18365" xr:uid="{00000000-0005-0000-0000-0000B1470000}"/>
    <cellStyle name="Output 13" xfId="18366" xr:uid="{00000000-0005-0000-0000-0000B2470000}"/>
    <cellStyle name="Output 13 2" xfId="18367" xr:uid="{00000000-0005-0000-0000-0000B3470000}"/>
    <cellStyle name="Output 13 3" xfId="18368" xr:uid="{00000000-0005-0000-0000-0000B4470000}"/>
    <cellStyle name="Output 13 4" xfId="18369" xr:uid="{00000000-0005-0000-0000-0000B5470000}"/>
    <cellStyle name="Output 14" xfId="18370" xr:uid="{00000000-0005-0000-0000-0000B6470000}"/>
    <cellStyle name="Output 14 2" xfId="18371" xr:uid="{00000000-0005-0000-0000-0000B7470000}"/>
    <cellStyle name="Output 14 3" xfId="18372" xr:uid="{00000000-0005-0000-0000-0000B8470000}"/>
    <cellStyle name="Output 14 4" xfId="18373" xr:uid="{00000000-0005-0000-0000-0000B9470000}"/>
    <cellStyle name="Output 15" xfId="18374" xr:uid="{00000000-0005-0000-0000-0000BA470000}"/>
    <cellStyle name="Output 15 2" xfId="18375" xr:uid="{00000000-0005-0000-0000-0000BB470000}"/>
    <cellStyle name="Output 15 3" xfId="18376" xr:uid="{00000000-0005-0000-0000-0000BC470000}"/>
    <cellStyle name="Output 15 4" xfId="18377" xr:uid="{00000000-0005-0000-0000-0000BD470000}"/>
    <cellStyle name="Output 16" xfId="18378" xr:uid="{00000000-0005-0000-0000-0000BE470000}"/>
    <cellStyle name="Output 16 2" xfId="18379" xr:uid="{00000000-0005-0000-0000-0000BF470000}"/>
    <cellStyle name="Output 17" xfId="18380" xr:uid="{00000000-0005-0000-0000-0000C0470000}"/>
    <cellStyle name="Output 17 2" xfId="18381" xr:uid="{00000000-0005-0000-0000-0000C1470000}"/>
    <cellStyle name="Output 18" xfId="18382" xr:uid="{00000000-0005-0000-0000-0000C2470000}"/>
    <cellStyle name="Output 18 2" xfId="18383" xr:uid="{00000000-0005-0000-0000-0000C3470000}"/>
    <cellStyle name="Output 19" xfId="18384" xr:uid="{00000000-0005-0000-0000-0000C4470000}"/>
    <cellStyle name="Output 19 2" xfId="18385" xr:uid="{00000000-0005-0000-0000-0000C5470000}"/>
    <cellStyle name="Output 2" xfId="18386" xr:uid="{00000000-0005-0000-0000-0000C6470000}"/>
    <cellStyle name="Output 2 10" xfId="18387" xr:uid="{00000000-0005-0000-0000-0000C7470000}"/>
    <cellStyle name="Output 2 10 2" xfId="18388" xr:uid="{00000000-0005-0000-0000-0000C8470000}"/>
    <cellStyle name="Output 2 11" xfId="18389" xr:uid="{00000000-0005-0000-0000-0000C9470000}"/>
    <cellStyle name="Output 2 12" xfId="18390" xr:uid="{00000000-0005-0000-0000-0000CA470000}"/>
    <cellStyle name="Output 2 13" xfId="18391" xr:uid="{00000000-0005-0000-0000-0000CB470000}"/>
    <cellStyle name="Output 2 2" xfId="18392" xr:uid="{00000000-0005-0000-0000-0000CC470000}"/>
    <cellStyle name="Output 2 2 2" xfId="18393" xr:uid="{00000000-0005-0000-0000-0000CD470000}"/>
    <cellStyle name="Output 2 2 3" xfId="18394" xr:uid="{00000000-0005-0000-0000-0000CE470000}"/>
    <cellStyle name="Output 2 2 4" xfId="18395" xr:uid="{00000000-0005-0000-0000-0000CF470000}"/>
    <cellStyle name="Output 2 3" xfId="18396" xr:uid="{00000000-0005-0000-0000-0000D0470000}"/>
    <cellStyle name="Output 2 3 2" xfId="18397" xr:uid="{00000000-0005-0000-0000-0000D1470000}"/>
    <cellStyle name="Output 2 4" xfId="18398" xr:uid="{00000000-0005-0000-0000-0000D2470000}"/>
    <cellStyle name="Output 2 4 2" xfId="18399" xr:uid="{00000000-0005-0000-0000-0000D3470000}"/>
    <cellStyle name="Output 2 5" xfId="18400" xr:uid="{00000000-0005-0000-0000-0000D4470000}"/>
    <cellStyle name="Output 2 5 2" xfId="18401" xr:uid="{00000000-0005-0000-0000-0000D5470000}"/>
    <cellStyle name="Output 2 6" xfId="18402" xr:uid="{00000000-0005-0000-0000-0000D6470000}"/>
    <cellStyle name="Output 2 6 2" xfId="18403" xr:uid="{00000000-0005-0000-0000-0000D7470000}"/>
    <cellStyle name="Output 2 7" xfId="18404" xr:uid="{00000000-0005-0000-0000-0000D8470000}"/>
    <cellStyle name="Output 2 7 2" xfId="18405" xr:uid="{00000000-0005-0000-0000-0000D9470000}"/>
    <cellStyle name="Output 2 8" xfId="18406" xr:uid="{00000000-0005-0000-0000-0000DA470000}"/>
    <cellStyle name="Output 2 8 2" xfId="18407" xr:uid="{00000000-0005-0000-0000-0000DB470000}"/>
    <cellStyle name="Output 2 9" xfId="18408" xr:uid="{00000000-0005-0000-0000-0000DC470000}"/>
    <cellStyle name="Output 2 9 2" xfId="18409" xr:uid="{00000000-0005-0000-0000-0000DD470000}"/>
    <cellStyle name="Output 2_2012-13 data" xfId="18410" xr:uid="{00000000-0005-0000-0000-0000DE470000}"/>
    <cellStyle name="Output 20" xfId="18411" xr:uid="{00000000-0005-0000-0000-0000DF470000}"/>
    <cellStyle name="Output 20 2" xfId="18412" xr:uid="{00000000-0005-0000-0000-0000E0470000}"/>
    <cellStyle name="Output 21" xfId="18413" xr:uid="{00000000-0005-0000-0000-0000E1470000}"/>
    <cellStyle name="Output 21 2" xfId="18414" xr:uid="{00000000-0005-0000-0000-0000E2470000}"/>
    <cellStyle name="Output 22" xfId="18415" xr:uid="{00000000-0005-0000-0000-0000E3470000}"/>
    <cellStyle name="Output 23" xfId="18416" xr:uid="{00000000-0005-0000-0000-0000E4470000}"/>
    <cellStyle name="Output 24" xfId="18417" xr:uid="{00000000-0005-0000-0000-0000E5470000}"/>
    <cellStyle name="Output 25" xfId="18418" xr:uid="{00000000-0005-0000-0000-0000E6470000}"/>
    <cellStyle name="Output 3" xfId="18419" xr:uid="{00000000-0005-0000-0000-0000E7470000}"/>
    <cellStyle name="Output 3 2" xfId="18420" xr:uid="{00000000-0005-0000-0000-0000E8470000}"/>
    <cellStyle name="Output 3 2 2" xfId="18421" xr:uid="{00000000-0005-0000-0000-0000E9470000}"/>
    <cellStyle name="Output 3 2 3" xfId="18422" xr:uid="{00000000-0005-0000-0000-0000EA470000}"/>
    <cellStyle name="Output 3 2 4" xfId="18423" xr:uid="{00000000-0005-0000-0000-0000EB470000}"/>
    <cellStyle name="Output 3 3" xfId="18424" xr:uid="{00000000-0005-0000-0000-0000EC470000}"/>
    <cellStyle name="Output 3 3 2" xfId="18425" xr:uid="{00000000-0005-0000-0000-0000ED470000}"/>
    <cellStyle name="Output 3 3 3" xfId="18426" xr:uid="{00000000-0005-0000-0000-0000EE470000}"/>
    <cellStyle name="Output 3 4" xfId="18427" xr:uid="{00000000-0005-0000-0000-0000EF470000}"/>
    <cellStyle name="Output 3 5" xfId="18428" xr:uid="{00000000-0005-0000-0000-0000F0470000}"/>
    <cellStyle name="Output 3_Ramadugu_ SWGH" xfId="18429" xr:uid="{00000000-0005-0000-0000-0000F1470000}"/>
    <cellStyle name="Output 4" xfId="18430" xr:uid="{00000000-0005-0000-0000-0000F2470000}"/>
    <cellStyle name="Output 4 2" xfId="18431" xr:uid="{00000000-0005-0000-0000-0000F3470000}"/>
    <cellStyle name="Output 4 3" xfId="18432" xr:uid="{00000000-0005-0000-0000-0000F4470000}"/>
    <cellStyle name="Output 4 4" xfId="18433" xr:uid="{00000000-0005-0000-0000-0000F5470000}"/>
    <cellStyle name="Output 5" xfId="18434" xr:uid="{00000000-0005-0000-0000-0000F6470000}"/>
    <cellStyle name="Output 5 2" xfId="18435" xr:uid="{00000000-0005-0000-0000-0000F7470000}"/>
    <cellStyle name="Output 5 3" xfId="18436" xr:uid="{00000000-0005-0000-0000-0000F8470000}"/>
    <cellStyle name="Output 5 4" xfId="18437" xr:uid="{00000000-0005-0000-0000-0000F9470000}"/>
    <cellStyle name="Output 6" xfId="18438" xr:uid="{00000000-0005-0000-0000-0000FA470000}"/>
    <cellStyle name="Output 6 2" xfId="18439" xr:uid="{00000000-0005-0000-0000-0000FB470000}"/>
    <cellStyle name="Output 6 3" xfId="18440" xr:uid="{00000000-0005-0000-0000-0000FC470000}"/>
    <cellStyle name="Output 6 4" xfId="18441" xr:uid="{00000000-0005-0000-0000-0000FD470000}"/>
    <cellStyle name="Output 7" xfId="18442" xr:uid="{00000000-0005-0000-0000-0000FE470000}"/>
    <cellStyle name="Output 7 2" xfId="18443" xr:uid="{00000000-0005-0000-0000-0000FF470000}"/>
    <cellStyle name="Output 7 3" xfId="18444" xr:uid="{00000000-0005-0000-0000-000000480000}"/>
    <cellStyle name="Output 7 4" xfId="18445" xr:uid="{00000000-0005-0000-0000-000001480000}"/>
    <cellStyle name="Output 8" xfId="18446" xr:uid="{00000000-0005-0000-0000-000002480000}"/>
    <cellStyle name="Output 8 2" xfId="18447" xr:uid="{00000000-0005-0000-0000-000003480000}"/>
    <cellStyle name="Output 8 3" xfId="18448" xr:uid="{00000000-0005-0000-0000-000004480000}"/>
    <cellStyle name="Output 8 4" xfId="18449" xr:uid="{00000000-0005-0000-0000-000005480000}"/>
    <cellStyle name="Output 9" xfId="18450" xr:uid="{00000000-0005-0000-0000-000006480000}"/>
    <cellStyle name="Output 9 2" xfId="18451" xr:uid="{00000000-0005-0000-0000-000007480000}"/>
    <cellStyle name="Output 9 3" xfId="18452" xr:uid="{00000000-0005-0000-0000-000008480000}"/>
    <cellStyle name="Output 9 4" xfId="18453" xr:uid="{00000000-0005-0000-0000-000009480000}"/>
    <cellStyle name="pankaj" xfId="18454" xr:uid="{00000000-0005-0000-0000-00000A480000}"/>
    <cellStyle name="pankaj 2" xfId="18455" xr:uid="{00000000-0005-0000-0000-00000B480000}"/>
    <cellStyle name="PARTICULARS" xfId="18456" xr:uid="{00000000-0005-0000-0000-00000C480000}"/>
    <cellStyle name="Percent" xfId="79" builtinId="5"/>
    <cellStyle name="Percent [2]" xfId="80" xr:uid="{00000000-0005-0000-0000-00000E480000}"/>
    <cellStyle name="Percent [2] 2" xfId="18457" xr:uid="{00000000-0005-0000-0000-00000F480000}"/>
    <cellStyle name="Percent [2] 2 2" xfId="18458" xr:uid="{00000000-0005-0000-0000-000010480000}"/>
    <cellStyle name="Percent [2] 3" xfId="18459" xr:uid="{00000000-0005-0000-0000-000011480000}"/>
    <cellStyle name="Percent [2] 4" xfId="18460" xr:uid="{00000000-0005-0000-0000-000012480000}"/>
    <cellStyle name="Percent [2] 5" xfId="18461" xr:uid="{00000000-0005-0000-0000-000013480000}"/>
    <cellStyle name="Percent [2] 6" xfId="18462" xr:uid="{00000000-0005-0000-0000-000014480000}"/>
    <cellStyle name="Percent [2] 7" xfId="18463" xr:uid="{00000000-0005-0000-0000-000015480000}"/>
    <cellStyle name="Percent [2] 8" xfId="18464" xr:uid="{00000000-0005-0000-0000-000016480000}"/>
    <cellStyle name="Percent 10" xfId="18465" xr:uid="{00000000-0005-0000-0000-000017480000}"/>
    <cellStyle name="Percent 10 2" xfId="18466" xr:uid="{00000000-0005-0000-0000-000018480000}"/>
    <cellStyle name="Percent 10 2 2" xfId="18467" xr:uid="{00000000-0005-0000-0000-000019480000}"/>
    <cellStyle name="Percent 10 2 3" xfId="18468" xr:uid="{00000000-0005-0000-0000-00001A480000}"/>
    <cellStyle name="Percent 10 2 4" xfId="18469" xr:uid="{00000000-0005-0000-0000-00001B480000}"/>
    <cellStyle name="Percent 10 2 5" xfId="18470" xr:uid="{00000000-0005-0000-0000-00001C480000}"/>
    <cellStyle name="Percent 10 2 6" xfId="18471" xr:uid="{00000000-0005-0000-0000-00001D480000}"/>
    <cellStyle name="Percent 10 2 7" xfId="18472" xr:uid="{00000000-0005-0000-0000-00001E480000}"/>
    <cellStyle name="Percent 10 2 8" xfId="18473" xr:uid="{00000000-0005-0000-0000-00001F480000}"/>
    <cellStyle name="Percent 10 3" xfId="18474" xr:uid="{00000000-0005-0000-0000-000020480000}"/>
    <cellStyle name="Percent 10 4" xfId="18475" xr:uid="{00000000-0005-0000-0000-000021480000}"/>
    <cellStyle name="Percent 10 5" xfId="18476" xr:uid="{00000000-0005-0000-0000-000022480000}"/>
    <cellStyle name="Percent 10 6" xfId="18477" xr:uid="{00000000-0005-0000-0000-000023480000}"/>
    <cellStyle name="Percent 10 7" xfId="18478" xr:uid="{00000000-0005-0000-0000-000024480000}"/>
    <cellStyle name="Percent 11" xfId="18479" xr:uid="{00000000-0005-0000-0000-000025480000}"/>
    <cellStyle name="Percent 11 2" xfId="18480" xr:uid="{00000000-0005-0000-0000-000026480000}"/>
    <cellStyle name="Percent 11 3" xfId="18481" xr:uid="{00000000-0005-0000-0000-000027480000}"/>
    <cellStyle name="Percent 11 4" xfId="18482" xr:uid="{00000000-0005-0000-0000-000028480000}"/>
    <cellStyle name="Percent 11 5" xfId="18483" xr:uid="{00000000-0005-0000-0000-000029480000}"/>
    <cellStyle name="Percent 12" xfId="18484" xr:uid="{00000000-0005-0000-0000-00002A480000}"/>
    <cellStyle name="Percent 12 2" xfId="18485" xr:uid="{00000000-0005-0000-0000-00002B480000}"/>
    <cellStyle name="Percent 12 3" xfId="18486" xr:uid="{00000000-0005-0000-0000-00002C480000}"/>
    <cellStyle name="Percent 12 4" xfId="18487" xr:uid="{00000000-0005-0000-0000-00002D480000}"/>
    <cellStyle name="Percent 13" xfId="18488" xr:uid="{00000000-0005-0000-0000-00002E480000}"/>
    <cellStyle name="Percent 13 2" xfId="18489" xr:uid="{00000000-0005-0000-0000-00002F480000}"/>
    <cellStyle name="Percent 13 3" xfId="18490" xr:uid="{00000000-0005-0000-0000-000030480000}"/>
    <cellStyle name="Percent 13 4" xfId="18491" xr:uid="{00000000-0005-0000-0000-000031480000}"/>
    <cellStyle name="Percent 14" xfId="18492" xr:uid="{00000000-0005-0000-0000-000032480000}"/>
    <cellStyle name="Percent 14 10" xfId="18493" xr:uid="{00000000-0005-0000-0000-000033480000}"/>
    <cellStyle name="Percent 14 2" xfId="18494" xr:uid="{00000000-0005-0000-0000-000034480000}"/>
    <cellStyle name="Percent 14 3" xfId="18495" xr:uid="{00000000-0005-0000-0000-000035480000}"/>
    <cellStyle name="Percent 14 4" xfId="18496" xr:uid="{00000000-0005-0000-0000-000036480000}"/>
    <cellStyle name="Percent 14 5" xfId="18497" xr:uid="{00000000-0005-0000-0000-000037480000}"/>
    <cellStyle name="Percent 14 6" xfId="18498" xr:uid="{00000000-0005-0000-0000-000038480000}"/>
    <cellStyle name="Percent 14 7" xfId="18499" xr:uid="{00000000-0005-0000-0000-000039480000}"/>
    <cellStyle name="Percent 14 8" xfId="18500" xr:uid="{00000000-0005-0000-0000-00003A480000}"/>
    <cellStyle name="Percent 14 9" xfId="18501" xr:uid="{00000000-0005-0000-0000-00003B480000}"/>
    <cellStyle name="Percent 15" xfId="18502" xr:uid="{00000000-0005-0000-0000-00003C480000}"/>
    <cellStyle name="Percent 15 2" xfId="18503" xr:uid="{00000000-0005-0000-0000-00003D480000}"/>
    <cellStyle name="Percent 15 3" xfId="18504" xr:uid="{00000000-0005-0000-0000-00003E480000}"/>
    <cellStyle name="Percent 15 4" xfId="18505" xr:uid="{00000000-0005-0000-0000-00003F480000}"/>
    <cellStyle name="Percent 16" xfId="18506" xr:uid="{00000000-0005-0000-0000-000040480000}"/>
    <cellStyle name="Percent 16 2" xfId="18507" xr:uid="{00000000-0005-0000-0000-000041480000}"/>
    <cellStyle name="Percent 16 3" xfId="18508" xr:uid="{00000000-0005-0000-0000-000042480000}"/>
    <cellStyle name="Percent 16 4" xfId="18509" xr:uid="{00000000-0005-0000-0000-000043480000}"/>
    <cellStyle name="Percent 17" xfId="18510" xr:uid="{00000000-0005-0000-0000-000044480000}"/>
    <cellStyle name="Percent 17 2" xfId="18511" xr:uid="{00000000-0005-0000-0000-000045480000}"/>
    <cellStyle name="Percent 17 3" xfId="18512" xr:uid="{00000000-0005-0000-0000-000046480000}"/>
    <cellStyle name="Percent 17 4" xfId="18513" xr:uid="{00000000-0005-0000-0000-000047480000}"/>
    <cellStyle name="Percent 18" xfId="18514" xr:uid="{00000000-0005-0000-0000-000048480000}"/>
    <cellStyle name="Percent 18 2" xfId="18515" xr:uid="{00000000-0005-0000-0000-000049480000}"/>
    <cellStyle name="Percent 18 3" xfId="18516" xr:uid="{00000000-0005-0000-0000-00004A480000}"/>
    <cellStyle name="Percent 19" xfId="18517" xr:uid="{00000000-0005-0000-0000-00004B480000}"/>
    <cellStyle name="Percent 19 2" xfId="18518" xr:uid="{00000000-0005-0000-0000-00004C480000}"/>
    <cellStyle name="Percent 19 3" xfId="18519" xr:uid="{00000000-0005-0000-0000-00004D480000}"/>
    <cellStyle name="Percent 2" xfId="81" xr:uid="{00000000-0005-0000-0000-00004E480000}"/>
    <cellStyle name="Percent 2 10" xfId="18520" xr:uid="{00000000-0005-0000-0000-00004F480000}"/>
    <cellStyle name="Percent 2 11" xfId="18521" xr:uid="{00000000-0005-0000-0000-000050480000}"/>
    <cellStyle name="Percent 2 12" xfId="18522" xr:uid="{00000000-0005-0000-0000-000051480000}"/>
    <cellStyle name="Percent 2 13" xfId="18523" xr:uid="{00000000-0005-0000-0000-000052480000}"/>
    <cellStyle name="Percent 2 14" xfId="18524" xr:uid="{00000000-0005-0000-0000-000053480000}"/>
    <cellStyle name="Percent 2 2" xfId="18525" xr:uid="{00000000-0005-0000-0000-000054480000}"/>
    <cellStyle name="Percent 2 2 2" xfId="18526" xr:uid="{00000000-0005-0000-0000-000055480000}"/>
    <cellStyle name="Percent 2 2 2 2" xfId="18527" xr:uid="{00000000-0005-0000-0000-000056480000}"/>
    <cellStyle name="Percent 2 2 2 3" xfId="18528" xr:uid="{00000000-0005-0000-0000-000057480000}"/>
    <cellStyle name="Percent 2 2 2 4" xfId="18529" xr:uid="{00000000-0005-0000-0000-000058480000}"/>
    <cellStyle name="Percent 2 2 3" xfId="18530" xr:uid="{00000000-0005-0000-0000-000059480000}"/>
    <cellStyle name="Percent 2 2 4" xfId="18531" xr:uid="{00000000-0005-0000-0000-00005A480000}"/>
    <cellStyle name="Percent 2 2 5" xfId="18532" xr:uid="{00000000-0005-0000-0000-00005B480000}"/>
    <cellStyle name="Percent 2 3" xfId="18533" xr:uid="{00000000-0005-0000-0000-00005C480000}"/>
    <cellStyle name="Percent 2 3 2" xfId="18534" xr:uid="{00000000-0005-0000-0000-00005D480000}"/>
    <cellStyle name="Percent 2 3 2 2" xfId="18535" xr:uid="{00000000-0005-0000-0000-00005E480000}"/>
    <cellStyle name="Percent 2 3 2 3" xfId="18536" xr:uid="{00000000-0005-0000-0000-00005F480000}"/>
    <cellStyle name="Percent 2 3 3" xfId="18537" xr:uid="{00000000-0005-0000-0000-000060480000}"/>
    <cellStyle name="Percent 2 3 4" xfId="18538" xr:uid="{00000000-0005-0000-0000-000061480000}"/>
    <cellStyle name="Percent 2 3 5" xfId="18539" xr:uid="{00000000-0005-0000-0000-000062480000}"/>
    <cellStyle name="Percent 2 3 6" xfId="18540" xr:uid="{00000000-0005-0000-0000-000063480000}"/>
    <cellStyle name="Percent 2 4" xfId="18541" xr:uid="{00000000-0005-0000-0000-000064480000}"/>
    <cellStyle name="Percent 2 4 2" xfId="18542" xr:uid="{00000000-0005-0000-0000-000065480000}"/>
    <cellStyle name="Percent 2 4 3" xfId="18543" xr:uid="{00000000-0005-0000-0000-000066480000}"/>
    <cellStyle name="Percent 2 4 4" xfId="18544" xr:uid="{00000000-0005-0000-0000-000067480000}"/>
    <cellStyle name="Percent 2 5" xfId="18545" xr:uid="{00000000-0005-0000-0000-000068480000}"/>
    <cellStyle name="Percent 2 5 2" xfId="18546" xr:uid="{00000000-0005-0000-0000-000069480000}"/>
    <cellStyle name="Percent 2 5 3" xfId="18547" xr:uid="{00000000-0005-0000-0000-00006A480000}"/>
    <cellStyle name="Percent 2 6" xfId="18548" xr:uid="{00000000-0005-0000-0000-00006B480000}"/>
    <cellStyle name="Percent 2 7" xfId="18549" xr:uid="{00000000-0005-0000-0000-00006C480000}"/>
    <cellStyle name="Percent 2 8" xfId="18550" xr:uid="{00000000-0005-0000-0000-00006D480000}"/>
    <cellStyle name="Percent 2 9" xfId="18551" xr:uid="{00000000-0005-0000-0000-00006E480000}"/>
    <cellStyle name="Percent 20" xfId="18552" xr:uid="{00000000-0005-0000-0000-00006F480000}"/>
    <cellStyle name="Percent 20 2" xfId="18553" xr:uid="{00000000-0005-0000-0000-000070480000}"/>
    <cellStyle name="Percent 20 3" xfId="18554" xr:uid="{00000000-0005-0000-0000-000071480000}"/>
    <cellStyle name="Percent 20 4" xfId="18555" xr:uid="{00000000-0005-0000-0000-000072480000}"/>
    <cellStyle name="Percent 21" xfId="18556" xr:uid="{00000000-0005-0000-0000-000073480000}"/>
    <cellStyle name="Percent 21 2" xfId="18557" xr:uid="{00000000-0005-0000-0000-000074480000}"/>
    <cellStyle name="Percent 21 3" xfId="18558" xr:uid="{00000000-0005-0000-0000-000075480000}"/>
    <cellStyle name="Percent 21 4" xfId="18559" xr:uid="{00000000-0005-0000-0000-000076480000}"/>
    <cellStyle name="Percent 22" xfId="18560" xr:uid="{00000000-0005-0000-0000-000077480000}"/>
    <cellStyle name="Percent 22 2" xfId="18561" xr:uid="{00000000-0005-0000-0000-000078480000}"/>
    <cellStyle name="Percent 22 3" xfId="18562" xr:uid="{00000000-0005-0000-0000-000079480000}"/>
    <cellStyle name="Percent 22 4" xfId="18563" xr:uid="{00000000-0005-0000-0000-00007A480000}"/>
    <cellStyle name="Percent 23" xfId="18564" xr:uid="{00000000-0005-0000-0000-00007B480000}"/>
    <cellStyle name="Percent 23 2" xfId="18565" xr:uid="{00000000-0005-0000-0000-00007C480000}"/>
    <cellStyle name="Percent 23 3" xfId="18566" xr:uid="{00000000-0005-0000-0000-00007D480000}"/>
    <cellStyle name="Percent 23 4" xfId="18567" xr:uid="{00000000-0005-0000-0000-00007E480000}"/>
    <cellStyle name="Percent 24" xfId="18568" xr:uid="{00000000-0005-0000-0000-00007F480000}"/>
    <cellStyle name="Percent 24 2" xfId="18569" xr:uid="{00000000-0005-0000-0000-000080480000}"/>
    <cellStyle name="Percent 24 3" xfId="18570" xr:uid="{00000000-0005-0000-0000-000081480000}"/>
    <cellStyle name="Percent 24 4" xfId="18571" xr:uid="{00000000-0005-0000-0000-000082480000}"/>
    <cellStyle name="Percent 25" xfId="18572" xr:uid="{00000000-0005-0000-0000-000083480000}"/>
    <cellStyle name="Percent 25 2" xfId="18573" xr:uid="{00000000-0005-0000-0000-000084480000}"/>
    <cellStyle name="Percent 25 3" xfId="18574" xr:uid="{00000000-0005-0000-0000-000085480000}"/>
    <cellStyle name="Percent 25 4" xfId="18575" xr:uid="{00000000-0005-0000-0000-000086480000}"/>
    <cellStyle name="Percent 26" xfId="18576" xr:uid="{00000000-0005-0000-0000-000087480000}"/>
    <cellStyle name="Percent 26 2" xfId="18577" xr:uid="{00000000-0005-0000-0000-000088480000}"/>
    <cellStyle name="Percent 26 3" xfId="18578" xr:uid="{00000000-0005-0000-0000-000089480000}"/>
    <cellStyle name="Percent 27" xfId="18579" xr:uid="{00000000-0005-0000-0000-00008A480000}"/>
    <cellStyle name="Percent 27 2" xfId="18580" xr:uid="{00000000-0005-0000-0000-00008B480000}"/>
    <cellStyle name="Percent 27 3" xfId="18581" xr:uid="{00000000-0005-0000-0000-00008C480000}"/>
    <cellStyle name="Percent 28" xfId="18582" xr:uid="{00000000-0005-0000-0000-00008D480000}"/>
    <cellStyle name="Percent 29" xfId="18583" xr:uid="{00000000-0005-0000-0000-00008E480000}"/>
    <cellStyle name="Percent 3" xfId="18584" xr:uid="{00000000-0005-0000-0000-00008F480000}"/>
    <cellStyle name="Percent 3 10" xfId="18585" xr:uid="{00000000-0005-0000-0000-000090480000}"/>
    <cellStyle name="Percent 3 10 2" xfId="18586" xr:uid="{00000000-0005-0000-0000-000091480000}"/>
    <cellStyle name="Percent 3 10 3" xfId="18587" xr:uid="{00000000-0005-0000-0000-000092480000}"/>
    <cellStyle name="Percent 3 10 4" xfId="18588" xr:uid="{00000000-0005-0000-0000-000093480000}"/>
    <cellStyle name="Percent 3 10 5" xfId="18589" xr:uid="{00000000-0005-0000-0000-000094480000}"/>
    <cellStyle name="Percent 3 10 6" xfId="18590" xr:uid="{00000000-0005-0000-0000-000095480000}"/>
    <cellStyle name="Percent 3 10 7" xfId="18591" xr:uid="{00000000-0005-0000-0000-000096480000}"/>
    <cellStyle name="Percent 3 10 8" xfId="18592" xr:uid="{00000000-0005-0000-0000-000097480000}"/>
    <cellStyle name="Percent 3 11" xfId="18593" xr:uid="{00000000-0005-0000-0000-000098480000}"/>
    <cellStyle name="Percent 3 12" xfId="18594" xr:uid="{00000000-0005-0000-0000-000099480000}"/>
    <cellStyle name="Percent 3 13" xfId="18595" xr:uid="{00000000-0005-0000-0000-00009A480000}"/>
    <cellStyle name="Percent 3 14" xfId="18596" xr:uid="{00000000-0005-0000-0000-00009B480000}"/>
    <cellStyle name="Percent 3 15" xfId="18597" xr:uid="{00000000-0005-0000-0000-00009C480000}"/>
    <cellStyle name="Percent 3 16" xfId="18598" xr:uid="{00000000-0005-0000-0000-00009D480000}"/>
    <cellStyle name="Percent 3 17" xfId="18599" xr:uid="{00000000-0005-0000-0000-00009E480000}"/>
    <cellStyle name="Percent 3 18" xfId="18600" xr:uid="{00000000-0005-0000-0000-00009F480000}"/>
    <cellStyle name="Percent 3 18 2" xfId="18601" xr:uid="{00000000-0005-0000-0000-0000A0480000}"/>
    <cellStyle name="Percent 3 18 3" xfId="18602" xr:uid="{00000000-0005-0000-0000-0000A1480000}"/>
    <cellStyle name="Percent 3 19" xfId="18603" xr:uid="{00000000-0005-0000-0000-0000A2480000}"/>
    <cellStyle name="Percent 3 2" xfId="18604" xr:uid="{00000000-0005-0000-0000-0000A3480000}"/>
    <cellStyle name="Percent 3 2 2" xfId="18605" xr:uid="{00000000-0005-0000-0000-0000A4480000}"/>
    <cellStyle name="Percent 3 2 3" xfId="18606" xr:uid="{00000000-0005-0000-0000-0000A5480000}"/>
    <cellStyle name="Percent 3 2 4" xfId="18607" xr:uid="{00000000-0005-0000-0000-0000A6480000}"/>
    <cellStyle name="Percent 3 2 5" xfId="18608" xr:uid="{00000000-0005-0000-0000-0000A7480000}"/>
    <cellStyle name="Percent 3 2 6" xfId="18609" xr:uid="{00000000-0005-0000-0000-0000A8480000}"/>
    <cellStyle name="Percent 3 2 7" xfId="18610" xr:uid="{00000000-0005-0000-0000-0000A9480000}"/>
    <cellStyle name="Percent 3 2 8" xfId="18611" xr:uid="{00000000-0005-0000-0000-0000AA480000}"/>
    <cellStyle name="Percent 3 20" xfId="18612" xr:uid="{00000000-0005-0000-0000-0000AB480000}"/>
    <cellStyle name="Percent 3 21" xfId="18613" xr:uid="{00000000-0005-0000-0000-0000AC480000}"/>
    <cellStyle name="Percent 3 22" xfId="18614" xr:uid="{00000000-0005-0000-0000-0000AD480000}"/>
    <cellStyle name="Percent 3 23" xfId="18615" xr:uid="{00000000-0005-0000-0000-0000AE480000}"/>
    <cellStyle name="Percent 3 24" xfId="18616" xr:uid="{00000000-0005-0000-0000-0000AF480000}"/>
    <cellStyle name="Percent 3 25" xfId="18617" xr:uid="{00000000-0005-0000-0000-0000B0480000}"/>
    <cellStyle name="Percent 3 26" xfId="18618" xr:uid="{00000000-0005-0000-0000-0000B1480000}"/>
    <cellStyle name="Percent 3 27" xfId="18619" xr:uid="{00000000-0005-0000-0000-0000B2480000}"/>
    <cellStyle name="Percent 3 28" xfId="18620" xr:uid="{00000000-0005-0000-0000-0000B3480000}"/>
    <cellStyle name="Percent 3 29" xfId="18621" xr:uid="{00000000-0005-0000-0000-0000B4480000}"/>
    <cellStyle name="Percent 3 3" xfId="18622" xr:uid="{00000000-0005-0000-0000-0000B5480000}"/>
    <cellStyle name="Percent 3 3 10" xfId="18623" xr:uid="{00000000-0005-0000-0000-0000B6480000}"/>
    <cellStyle name="Percent 3 3 2" xfId="18624" xr:uid="{00000000-0005-0000-0000-0000B7480000}"/>
    <cellStyle name="Percent 3 3 3" xfId="18625" xr:uid="{00000000-0005-0000-0000-0000B8480000}"/>
    <cellStyle name="Percent 3 3 4" xfId="18626" xr:uid="{00000000-0005-0000-0000-0000B9480000}"/>
    <cellStyle name="Percent 3 3 5" xfId="18627" xr:uid="{00000000-0005-0000-0000-0000BA480000}"/>
    <cellStyle name="Percent 3 3 6" xfId="18628" xr:uid="{00000000-0005-0000-0000-0000BB480000}"/>
    <cellStyle name="Percent 3 3 7" xfId="18629" xr:uid="{00000000-0005-0000-0000-0000BC480000}"/>
    <cellStyle name="Percent 3 3 8" xfId="18630" xr:uid="{00000000-0005-0000-0000-0000BD480000}"/>
    <cellStyle name="Percent 3 3 9" xfId="18631" xr:uid="{00000000-0005-0000-0000-0000BE480000}"/>
    <cellStyle name="Percent 3 30" xfId="18632" xr:uid="{00000000-0005-0000-0000-0000BF480000}"/>
    <cellStyle name="Percent 3 31" xfId="18633" xr:uid="{00000000-0005-0000-0000-0000C0480000}"/>
    <cellStyle name="Percent 3 32" xfId="18634" xr:uid="{00000000-0005-0000-0000-0000C1480000}"/>
    <cellStyle name="Percent 3 33" xfId="18635" xr:uid="{00000000-0005-0000-0000-0000C2480000}"/>
    <cellStyle name="Percent 3 34" xfId="18636" xr:uid="{00000000-0005-0000-0000-0000C3480000}"/>
    <cellStyle name="Percent 3 35" xfId="18637" xr:uid="{00000000-0005-0000-0000-0000C4480000}"/>
    <cellStyle name="Percent 3 36" xfId="18638" xr:uid="{00000000-0005-0000-0000-0000C5480000}"/>
    <cellStyle name="Percent 3 37" xfId="18639" xr:uid="{00000000-0005-0000-0000-0000C6480000}"/>
    <cellStyle name="Percent 3 38" xfId="18640" xr:uid="{00000000-0005-0000-0000-0000C7480000}"/>
    <cellStyle name="Percent 3 39" xfId="18641" xr:uid="{00000000-0005-0000-0000-0000C8480000}"/>
    <cellStyle name="Percent 3 4" xfId="18642" xr:uid="{00000000-0005-0000-0000-0000C9480000}"/>
    <cellStyle name="Percent 3 4 10" xfId="18643" xr:uid="{00000000-0005-0000-0000-0000CA480000}"/>
    <cellStyle name="Percent 3 4 2" xfId="18644" xr:uid="{00000000-0005-0000-0000-0000CB480000}"/>
    <cellStyle name="Percent 3 4 3" xfId="18645" xr:uid="{00000000-0005-0000-0000-0000CC480000}"/>
    <cellStyle name="Percent 3 4 4" xfId="18646" xr:uid="{00000000-0005-0000-0000-0000CD480000}"/>
    <cellStyle name="Percent 3 4 5" xfId="18647" xr:uid="{00000000-0005-0000-0000-0000CE480000}"/>
    <cellStyle name="Percent 3 4 6" xfId="18648" xr:uid="{00000000-0005-0000-0000-0000CF480000}"/>
    <cellStyle name="Percent 3 4 7" xfId="18649" xr:uid="{00000000-0005-0000-0000-0000D0480000}"/>
    <cellStyle name="Percent 3 4 8" xfId="18650" xr:uid="{00000000-0005-0000-0000-0000D1480000}"/>
    <cellStyle name="Percent 3 4 9" xfId="18651" xr:uid="{00000000-0005-0000-0000-0000D2480000}"/>
    <cellStyle name="Percent 3 40" xfId="18652" xr:uid="{00000000-0005-0000-0000-0000D3480000}"/>
    <cellStyle name="Percent 3 41" xfId="18653" xr:uid="{00000000-0005-0000-0000-0000D4480000}"/>
    <cellStyle name="Percent 3 42" xfId="18654" xr:uid="{00000000-0005-0000-0000-0000D5480000}"/>
    <cellStyle name="Percent 3 43" xfId="18655" xr:uid="{00000000-0005-0000-0000-0000D6480000}"/>
    <cellStyle name="Percent 3 44" xfId="18656" xr:uid="{00000000-0005-0000-0000-0000D7480000}"/>
    <cellStyle name="Percent 3 45" xfId="18657" xr:uid="{00000000-0005-0000-0000-0000D8480000}"/>
    <cellStyle name="Percent 3 46" xfId="18658" xr:uid="{00000000-0005-0000-0000-0000D9480000}"/>
    <cellStyle name="Percent 3 47" xfId="18659" xr:uid="{00000000-0005-0000-0000-0000DA480000}"/>
    <cellStyle name="Percent 3 48" xfId="18660" xr:uid="{00000000-0005-0000-0000-0000DB480000}"/>
    <cellStyle name="Percent 3 49" xfId="18661" xr:uid="{00000000-0005-0000-0000-0000DC480000}"/>
    <cellStyle name="Percent 3 5" xfId="18662" xr:uid="{00000000-0005-0000-0000-0000DD480000}"/>
    <cellStyle name="Percent 3 5 10" xfId="18663" xr:uid="{00000000-0005-0000-0000-0000DE480000}"/>
    <cellStyle name="Percent 3 5 2" xfId="18664" xr:uid="{00000000-0005-0000-0000-0000DF480000}"/>
    <cellStyle name="Percent 3 5 3" xfId="18665" xr:uid="{00000000-0005-0000-0000-0000E0480000}"/>
    <cellStyle name="Percent 3 5 4" xfId="18666" xr:uid="{00000000-0005-0000-0000-0000E1480000}"/>
    <cellStyle name="Percent 3 5 5" xfId="18667" xr:uid="{00000000-0005-0000-0000-0000E2480000}"/>
    <cellStyle name="Percent 3 5 6" xfId="18668" xr:uid="{00000000-0005-0000-0000-0000E3480000}"/>
    <cellStyle name="Percent 3 5 7" xfId="18669" xr:uid="{00000000-0005-0000-0000-0000E4480000}"/>
    <cellStyle name="Percent 3 5 8" xfId="18670" xr:uid="{00000000-0005-0000-0000-0000E5480000}"/>
    <cellStyle name="Percent 3 5 9" xfId="18671" xr:uid="{00000000-0005-0000-0000-0000E6480000}"/>
    <cellStyle name="Percent 3 50" xfId="18672" xr:uid="{00000000-0005-0000-0000-0000E7480000}"/>
    <cellStyle name="Percent 3 51" xfId="18673" xr:uid="{00000000-0005-0000-0000-0000E8480000}"/>
    <cellStyle name="Percent 3 52" xfId="18674" xr:uid="{00000000-0005-0000-0000-0000E9480000}"/>
    <cellStyle name="Percent 3 53" xfId="18675" xr:uid="{00000000-0005-0000-0000-0000EA480000}"/>
    <cellStyle name="Percent 3 54" xfId="18676" xr:uid="{00000000-0005-0000-0000-0000EB480000}"/>
    <cellStyle name="Percent 3 55" xfId="18677" xr:uid="{00000000-0005-0000-0000-0000EC480000}"/>
    <cellStyle name="Percent 3 56" xfId="18678" xr:uid="{00000000-0005-0000-0000-0000ED480000}"/>
    <cellStyle name="Percent 3 57" xfId="18679" xr:uid="{00000000-0005-0000-0000-0000EE480000}"/>
    <cellStyle name="Percent 3 58" xfId="18680" xr:uid="{00000000-0005-0000-0000-0000EF480000}"/>
    <cellStyle name="Percent 3 59" xfId="18681" xr:uid="{00000000-0005-0000-0000-0000F0480000}"/>
    <cellStyle name="Percent 3 6" xfId="18682" xr:uid="{00000000-0005-0000-0000-0000F1480000}"/>
    <cellStyle name="Percent 3 6 2" xfId="18683" xr:uid="{00000000-0005-0000-0000-0000F2480000}"/>
    <cellStyle name="Percent 3 6 3" xfId="18684" xr:uid="{00000000-0005-0000-0000-0000F3480000}"/>
    <cellStyle name="Percent 3 6 4" xfId="18685" xr:uid="{00000000-0005-0000-0000-0000F4480000}"/>
    <cellStyle name="Percent 3 6 5" xfId="18686" xr:uid="{00000000-0005-0000-0000-0000F5480000}"/>
    <cellStyle name="Percent 3 6 6" xfId="18687" xr:uid="{00000000-0005-0000-0000-0000F6480000}"/>
    <cellStyle name="Percent 3 6 7" xfId="18688" xr:uid="{00000000-0005-0000-0000-0000F7480000}"/>
    <cellStyle name="Percent 3 6 8" xfId="18689" xr:uid="{00000000-0005-0000-0000-0000F8480000}"/>
    <cellStyle name="Percent 3 60" xfId="18690" xr:uid="{00000000-0005-0000-0000-0000F9480000}"/>
    <cellStyle name="Percent 3 61" xfId="18691" xr:uid="{00000000-0005-0000-0000-0000FA480000}"/>
    <cellStyle name="Percent 3 7" xfId="18692" xr:uid="{00000000-0005-0000-0000-0000FB480000}"/>
    <cellStyle name="Percent 3 7 2" xfId="18693" xr:uid="{00000000-0005-0000-0000-0000FC480000}"/>
    <cellStyle name="Percent 3 7 3" xfId="18694" xr:uid="{00000000-0005-0000-0000-0000FD480000}"/>
    <cellStyle name="Percent 3 7 4" xfId="18695" xr:uid="{00000000-0005-0000-0000-0000FE480000}"/>
    <cellStyle name="Percent 3 7 5" xfId="18696" xr:uid="{00000000-0005-0000-0000-0000FF480000}"/>
    <cellStyle name="Percent 3 7 6" xfId="18697" xr:uid="{00000000-0005-0000-0000-000000490000}"/>
    <cellStyle name="Percent 3 7 7" xfId="18698" xr:uid="{00000000-0005-0000-0000-000001490000}"/>
    <cellStyle name="Percent 3 7 8" xfId="18699" xr:uid="{00000000-0005-0000-0000-000002490000}"/>
    <cellStyle name="Percent 3 8" xfId="18700" xr:uid="{00000000-0005-0000-0000-000003490000}"/>
    <cellStyle name="Percent 3 8 2" xfId="18701" xr:uid="{00000000-0005-0000-0000-000004490000}"/>
    <cellStyle name="Percent 3 8 3" xfId="18702" xr:uid="{00000000-0005-0000-0000-000005490000}"/>
    <cellStyle name="Percent 3 8 4" xfId="18703" xr:uid="{00000000-0005-0000-0000-000006490000}"/>
    <cellStyle name="Percent 3 8 5" xfId="18704" xr:uid="{00000000-0005-0000-0000-000007490000}"/>
    <cellStyle name="Percent 3 8 6" xfId="18705" xr:uid="{00000000-0005-0000-0000-000008490000}"/>
    <cellStyle name="Percent 3 8 7" xfId="18706" xr:uid="{00000000-0005-0000-0000-000009490000}"/>
    <cellStyle name="Percent 3 8 8" xfId="18707" xr:uid="{00000000-0005-0000-0000-00000A490000}"/>
    <cellStyle name="Percent 3 9" xfId="18708" xr:uid="{00000000-0005-0000-0000-00000B490000}"/>
    <cellStyle name="Percent 3 9 2" xfId="18709" xr:uid="{00000000-0005-0000-0000-00000C490000}"/>
    <cellStyle name="Percent 3 9 3" xfId="18710" xr:uid="{00000000-0005-0000-0000-00000D490000}"/>
    <cellStyle name="Percent 3 9 4" xfId="18711" xr:uid="{00000000-0005-0000-0000-00000E490000}"/>
    <cellStyle name="Percent 3 9 5" xfId="18712" xr:uid="{00000000-0005-0000-0000-00000F490000}"/>
    <cellStyle name="Percent 3 9 6" xfId="18713" xr:uid="{00000000-0005-0000-0000-000010490000}"/>
    <cellStyle name="Percent 3 9 7" xfId="18714" xr:uid="{00000000-0005-0000-0000-000011490000}"/>
    <cellStyle name="Percent 3 9 8" xfId="18715" xr:uid="{00000000-0005-0000-0000-000012490000}"/>
    <cellStyle name="Percent 30" xfId="18716" xr:uid="{00000000-0005-0000-0000-000013490000}"/>
    <cellStyle name="Percent 31" xfId="18717" xr:uid="{00000000-0005-0000-0000-000014490000}"/>
    <cellStyle name="Percent 32" xfId="18718" xr:uid="{00000000-0005-0000-0000-000015490000}"/>
    <cellStyle name="Percent 33" xfId="18719" xr:uid="{00000000-0005-0000-0000-000016490000}"/>
    <cellStyle name="Percent 34" xfId="18720" xr:uid="{00000000-0005-0000-0000-000017490000}"/>
    <cellStyle name="Percent 35" xfId="18721" xr:uid="{00000000-0005-0000-0000-000018490000}"/>
    <cellStyle name="Percent 36" xfId="18722" xr:uid="{00000000-0005-0000-0000-000019490000}"/>
    <cellStyle name="Percent 37" xfId="18723" xr:uid="{00000000-0005-0000-0000-00001A490000}"/>
    <cellStyle name="Percent 38" xfId="18724" xr:uid="{00000000-0005-0000-0000-00001B490000}"/>
    <cellStyle name="Percent 39" xfId="18725" xr:uid="{00000000-0005-0000-0000-00001C490000}"/>
    <cellStyle name="Percent 4" xfId="18726" xr:uid="{00000000-0005-0000-0000-00001D490000}"/>
    <cellStyle name="Percent 4 10" xfId="18727" xr:uid="{00000000-0005-0000-0000-00001E490000}"/>
    <cellStyle name="Percent 4 11" xfId="18728" xr:uid="{00000000-0005-0000-0000-00001F490000}"/>
    <cellStyle name="Percent 4 12" xfId="18729" xr:uid="{00000000-0005-0000-0000-000020490000}"/>
    <cellStyle name="Percent 4 12 2" xfId="18730" xr:uid="{00000000-0005-0000-0000-000021490000}"/>
    <cellStyle name="Percent 4 12 3" xfId="18731" xr:uid="{00000000-0005-0000-0000-000022490000}"/>
    <cellStyle name="Percent 4 13" xfId="18732" xr:uid="{00000000-0005-0000-0000-000023490000}"/>
    <cellStyle name="Percent 4 13 2" xfId="18733" xr:uid="{00000000-0005-0000-0000-000024490000}"/>
    <cellStyle name="Percent 4 13 3" xfId="18734" xr:uid="{00000000-0005-0000-0000-000025490000}"/>
    <cellStyle name="Percent 4 14" xfId="18735" xr:uid="{00000000-0005-0000-0000-000026490000}"/>
    <cellStyle name="Percent 4 14 2" xfId="18736" xr:uid="{00000000-0005-0000-0000-000027490000}"/>
    <cellStyle name="Percent 4 14 3" xfId="18737" xr:uid="{00000000-0005-0000-0000-000028490000}"/>
    <cellStyle name="Percent 4 15" xfId="18738" xr:uid="{00000000-0005-0000-0000-000029490000}"/>
    <cellStyle name="Percent 4 15 2" xfId="18739" xr:uid="{00000000-0005-0000-0000-00002A490000}"/>
    <cellStyle name="Percent 4 15 3" xfId="18740" xr:uid="{00000000-0005-0000-0000-00002B490000}"/>
    <cellStyle name="Percent 4 16" xfId="18741" xr:uid="{00000000-0005-0000-0000-00002C490000}"/>
    <cellStyle name="Percent 4 16 2" xfId="18742" xr:uid="{00000000-0005-0000-0000-00002D490000}"/>
    <cellStyle name="Percent 4 16 3" xfId="18743" xr:uid="{00000000-0005-0000-0000-00002E490000}"/>
    <cellStyle name="Percent 4 17" xfId="18744" xr:uid="{00000000-0005-0000-0000-00002F490000}"/>
    <cellStyle name="Percent 4 17 2" xfId="18745" xr:uid="{00000000-0005-0000-0000-000030490000}"/>
    <cellStyle name="Percent 4 17 3" xfId="18746" xr:uid="{00000000-0005-0000-0000-000031490000}"/>
    <cellStyle name="Percent 4 18" xfId="18747" xr:uid="{00000000-0005-0000-0000-000032490000}"/>
    <cellStyle name="Percent 4 19" xfId="18748" xr:uid="{00000000-0005-0000-0000-000033490000}"/>
    <cellStyle name="Percent 4 19 2" xfId="18749" xr:uid="{00000000-0005-0000-0000-000034490000}"/>
    <cellStyle name="Percent 4 19 3" xfId="18750" xr:uid="{00000000-0005-0000-0000-000035490000}"/>
    <cellStyle name="Percent 4 2" xfId="18751" xr:uid="{00000000-0005-0000-0000-000036490000}"/>
    <cellStyle name="Percent 4 2 10" xfId="18752" xr:uid="{00000000-0005-0000-0000-000037490000}"/>
    <cellStyle name="Percent 4 2 11" xfId="18753" xr:uid="{00000000-0005-0000-0000-000038490000}"/>
    <cellStyle name="Percent 4 2 12" xfId="18754" xr:uid="{00000000-0005-0000-0000-000039490000}"/>
    <cellStyle name="Percent 4 2 13" xfId="18755" xr:uid="{00000000-0005-0000-0000-00003A490000}"/>
    <cellStyle name="Percent 4 2 2" xfId="18756" xr:uid="{00000000-0005-0000-0000-00003B490000}"/>
    <cellStyle name="Percent 4 2 2 10" xfId="18757" xr:uid="{00000000-0005-0000-0000-00003C490000}"/>
    <cellStyle name="Percent 4 2 2 2" xfId="18758" xr:uid="{00000000-0005-0000-0000-00003D490000}"/>
    <cellStyle name="Percent 4 2 2 2 2" xfId="18759" xr:uid="{00000000-0005-0000-0000-00003E490000}"/>
    <cellStyle name="Percent 4 2 2 2 3" xfId="18760" xr:uid="{00000000-0005-0000-0000-00003F490000}"/>
    <cellStyle name="Percent 4 2 2 3" xfId="18761" xr:uid="{00000000-0005-0000-0000-000040490000}"/>
    <cellStyle name="Percent 4 2 2 3 2" xfId="18762" xr:uid="{00000000-0005-0000-0000-000041490000}"/>
    <cellStyle name="Percent 4 2 2 3 3" xfId="18763" xr:uid="{00000000-0005-0000-0000-000042490000}"/>
    <cellStyle name="Percent 4 2 2 4" xfId="18764" xr:uid="{00000000-0005-0000-0000-000043490000}"/>
    <cellStyle name="Percent 4 2 2 4 2" xfId="18765" xr:uid="{00000000-0005-0000-0000-000044490000}"/>
    <cellStyle name="Percent 4 2 2 4 3" xfId="18766" xr:uid="{00000000-0005-0000-0000-000045490000}"/>
    <cellStyle name="Percent 4 2 2 5" xfId="18767" xr:uid="{00000000-0005-0000-0000-000046490000}"/>
    <cellStyle name="Percent 4 2 2 5 2" xfId="18768" xr:uid="{00000000-0005-0000-0000-000047490000}"/>
    <cellStyle name="Percent 4 2 2 5 3" xfId="18769" xr:uid="{00000000-0005-0000-0000-000048490000}"/>
    <cellStyle name="Percent 4 2 2 6" xfId="18770" xr:uid="{00000000-0005-0000-0000-000049490000}"/>
    <cellStyle name="Percent 4 2 2 6 2" xfId="18771" xr:uid="{00000000-0005-0000-0000-00004A490000}"/>
    <cellStyle name="Percent 4 2 2 6 3" xfId="18772" xr:uid="{00000000-0005-0000-0000-00004B490000}"/>
    <cellStyle name="Percent 4 2 2 7" xfId="18773" xr:uid="{00000000-0005-0000-0000-00004C490000}"/>
    <cellStyle name="Percent 4 2 2 8" xfId="18774" xr:uid="{00000000-0005-0000-0000-00004D490000}"/>
    <cellStyle name="Percent 4 2 2 9" xfId="18775" xr:uid="{00000000-0005-0000-0000-00004E490000}"/>
    <cellStyle name="Percent 4 2 3" xfId="18776" xr:uid="{00000000-0005-0000-0000-00004F490000}"/>
    <cellStyle name="Percent 4 2 3 2" xfId="18777" xr:uid="{00000000-0005-0000-0000-000050490000}"/>
    <cellStyle name="Percent 4 2 3 2 2" xfId="18778" xr:uid="{00000000-0005-0000-0000-000051490000}"/>
    <cellStyle name="Percent 4 2 3 2 3" xfId="18779" xr:uid="{00000000-0005-0000-0000-000052490000}"/>
    <cellStyle name="Percent 4 2 3 3" xfId="18780" xr:uid="{00000000-0005-0000-0000-000053490000}"/>
    <cellStyle name="Percent 4 2 3 3 2" xfId="18781" xr:uid="{00000000-0005-0000-0000-000054490000}"/>
    <cellStyle name="Percent 4 2 3 3 3" xfId="18782" xr:uid="{00000000-0005-0000-0000-000055490000}"/>
    <cellStyle name="Percent 4 2 3 4" xfId="18783" xr:uid="{00000000-0005-0000-0000-000056490000}"/>
    <cellStyle name="Percent 4 2 3 4 2" xfId="18784" xr:uid="{00000000-0005-0000-0000-000057490000}"/>
    <cellStyle name="Percent 4 2 3 4 3" xfId="18785" xr:uid="{00000000-0005-0000-0000-000058490000}"/>
    <cellStyle name="Percent 4 2 3 5" xfId="18786" xr:uid="{00000000-0005-0000-0000-000059490000}"/>
    <cellStyle name="Percent 4 2 3 5 2" xfId="18787" xr:uid="{00000000-0005-0000-0000-00005A490000}"/>
    <cellStyle name="Percent 4 2 3 5 3" xfId="18788" xr:uid="{00000000-0005-0000-0000-00005B490000}"/>
    <cellStyle name="Percent 4 2 3 6" xfId="18789" xr:uid="{00000000-0005-0000-0000-00005C490000}"/>
    <cellStyle name="Percent 4 2 3 6 2" xfId="18790" xr:uid="{00000000-0005-0000-0000-00005D490000}"/>
    <cellStyle name="Percent 4 2 3 6 3" xfId="18791" xr:uid="{00000000-0005-0000-0000-00005E490000}"/>
    <cellStyle name="Percent 4 2 3 7" xfId="18792" xr:uid="{00000000-0005-0000-0000-00005F490000}"/>
    <cellStyle name="Percent 4 2 3 8" xfId="18793" xr:uid="{00000000-0005-0000-0000-000060490000}"/>
    <cellStyle name="Percent 4 2 4" xfId="18794" xr:uid="{00000000-0005-0000-0000-000061490000}"/>
    <cellStyle name="Percent 4 2 5" xfId="18795" xr:uid="{00000000-0005-0000-0000-000062490000}"/>
    <cellStyle name="Percent 4 2 6" xfId="18796" xr:uid="{00000000-0005-0000-0000-000063490000}"/>
    <cellStyle name="Percent 4 2 7" xfId="18797" xr:uid="{00000000-0005-0000-0000-000064490000}"/>
    <cellStyle name="Percent 4 2 8" xfId="18798" xr:uid="{00000000-0005-0000-0000-000065490000}"/>
    <cellStyle name="Percent 4 2 9" xfId="18799" xr:uid="{00000000-0005-0000-0000-000066490000}"/>
    <cellStyle name="Percent 4 2 9 2" xfId="18800" xr:uid="{00000000-0005-0000-0000-000067490000}"/>
    <cellStyle name="Percent 4 2 9 3" xfId="18801" xr:uid="{00000000-0005-0000-0000-000068490000}"/>
    <cellStyle name="Percent 4 20" xfId="18802" xr:uid="{00000000-0005-0000-0000-000069490000}"/>
    <cellStyle name="Percent 4 21" xfId="18803" xr:uid="{00000000-0005-0000-0000-00006A490000}"/>
    <cellStyle name="Percent 4 22" xfId="18804" xr:uid="{00000000-0005-0000-0000-00006B490000}"/>
    <cellStyle name="Percent 4 23" xfId="18805" xr:uid="{00000000-0005-0000-0000-00006C490000}"/>
    <cellStyle name="Percent 4 3" xfId="18806" xr:uid="{00000000-0005-0000-0000-00006D490000}"/>
    <cellStyle name="Percent 4 3 10" xfId="18807" xr:uid="{00000000-0005-0000-0000-00006E490000}"/>
    <cellStyle name="Percent 4 3 2" xfId="18808" xr:uid="{00000000-0005-0000-0000-00006F490000}"/>
    <cellStyle name="Percent 4 3 2 2" xfId="18809" xr:uid="{00000000-0005-0000-0000-000070490000}"/>
    <cellStyle name="Percent 4 3 2 3" xfId="18810" xr:uid="{00000000-0005-0000-0000-000071490000}"/>
    <cellStyle name="Percent 4 3 3" xfId="18811" xr:uid="{00000000-0005-0000-0000-000072490000}"/>
    <cellStyle name="Percent 4 3 3 2" xfId="18812" xr:uid="{00000000-0005-0000-0000-000073490000}"/>
    <cellStyle name="Percent 4 3 3 3" xfId="18813" xr:uid="{00000000-0005-0000-0000-000074490000}"/>
    <cellStyle name="Percent 4 3 4" xfId="18814" xr:uid="{00000000-0005-0000-0000-000075490000}"/>
    <cellStyle name="Percent 4 3 4 2" xfId="18815" xr:uid="{00000000-0005-0000-0000-000076490000}"/>
    <cellStyle name="Percent 4 3 4 3" xfId="18816" xr:uid="{00000000-0005-0000-0000-000077490000}"/>
    <cellStyle name="Percent 4 3 5" xfId="18817" xr:uid="{00000000-0005-0000-0000-000078490000}"/>
    <cellStyle name="Percent 4 3 5 2" xfId="18818" xr:uid="{00000000-0005-0000-0000-000079490000}"/>
    <cellStyle name="Percent 4 3 5 3" xfId="18819" xr:uid="{00000000-0005-0000-0000-00007A490000}"/>
    <cellStyle name="Percent 4 3 6" xfId="18820" xr:uid="{00000000-0005-0000-0000-00007B490000}"/>
    <cellStyle name="Percent 4 3 6 2" xfId="18821" xr:uid="{00000000-0005-0000-0000-00007C490000}"/>
    <cellStyle name="Percent 4 3 6 3" xfId="18822" xr:uid="{00000000-0005-0000-0000-00007D490000}"/>
    <cellStyle name="Percent 4 3 7" xfId="18823" xr:uid="{00000000-0005-0000-0000-00007E490000}"/>
    <cellStyle name="Percent 4 3 8" xfId="18824" xr:uid="{00000000-0005-0000-0000-00007F490000}"/>
    <cellStyle name="Percent 4 3 9" xfId="18825" xr:uid="{00000000-0005-0000-0000-000080490000}"/>
    <cellStyle name="Percent 4 4" xfId="18826" xr:uid="{00000000-0005-0000-0000-000081490000}"/>
    <cellStyle name="Percent 4 5" xfId="18827" xr:uid="{00000000-0005-0000-0000-000082490000}"/>
    <cellStyle name="Percent 4 5 2" xfId="18828" xr:uid="{00000000-0005-0000-0000-000083490000}"/>
    <cellStyle name="Percent 4 5 3" xfId="18829" xr:uid="{00000000-0005-0000-0000-000084490000}"/>
    <cellStyle name="Percent 4 6" xfId="18830" xr:uid="{00000000-0005-0000-0000-000085490000}"/>
    <cellStyle name="Percent 4 7" xfId="18831" xr:uid="{00000000-0005-0000-0000-000086490000}"/>
    <cellStyle name="Percent 4 8" xfId="18832" xr:uid="{00000000-0005-0000-0000-000087490000}"/>
    <cellStyle name="Percent 4 9" xfId="18833" xr:uid="{00000000-0005-0000-0000-000088490000}"/>
    <cellStyle name="Percent 40" xfId="18834" xr:uid="{00000000-0005-0000-0000-000089490000}"/>
    <cellStyle name="Percent 41" xfId="18835" xr:uid="{00000000-0005-0000-0000-00008A490000}"/>
    <cellStyle name="Percent 42" xfId="18836" xr:uid="{00000000-0005-0000-0000-00008B490000}"/>
    <cellStyle name="Percent 43" xfId="18837" xr:uid="{00000000-0005-0000-0000-00008C490000}"/>
    <cellStyle name="Percent 44" xfId="18838" xr:uid="{00000000-0005-0000-0000-00008D490000}"/>
    <cellStyle name="Percent 45" xfId="18839" xr:uid="{00000000-0005-0000-0000-00008E490000}"/>
    <cellStyle name="Percent 46" xfId="18840" xr:uid="{00000000-0005-0000-0000-00008F490000}"/>
    <cellStyle name="Percent 48" xfId="18841" xr:uid="{00000000-0005-0000-0000-000090490000}"/>
    <cellStyle name="Percent 49" xfId="18842" xr:uid="{00000000-0005-0000-0000-000091490000}"/>
    <cellStyle name="Percent 5" xfId="18843" xr:uid="{00000000-0005-0000-0000-000092490000}"/>
    <cellStyle name="Percent 5 10" xfId="18844" xr:uid="{00000000-0005-0000-0000-000093490000}"/>
    <cellStyle name="Percent 5 2" xfId="18845" xr:uid="{00000000-0005-0000-0000-000094490000}"/>
    <cellStyle name="Percent 5 2 2" xfId="18846" xr:uid="{00000000-0005-0000-0000-000095490000}"/>
    <cellStyle name="Percent 5 2 3" xfId="18847" xr:uid="{00000000-0005-0000-0000-000096490000}"/>
    <cellStyle name="Percent 5 3" xfId="18848" xr:uid="{00000000-0005-0000-0000-000097490000}"/>
    <cellStyle name="Percent 5 4" xfId="18849" xr:uid="{00000000-0005-0000-0000-000098490000}"/>
    <cellStyle name="Percent 5 5" xfId="18850" xr:uid="{00000000-0005-0000-0000-000099490000}"/>
    <cellStyle name="Percent 5 6" xfId="18851" xr:uid="{00000000-0005-0000-0000-00009A490000}"/>
    <cellStyle name="Percent 5 7" xfId="18852" xr:uid="{00000000-0005-0000-0000-00009B490000}"/>
    <cellStyle name="Percent 5 8" xfId="18853" xr:uid="{00000000-0005-0000-0000-00009C490000}"/>
    <cellStyle name="Percent 5 9" xfId="18854" xr:uid="{00000000-0005-0000-0000-00009D490000}"/>
    <cellStyle name="Percent 50" xfId="18855" xr:uid="{00000000-0005-0000-0000-00009E490000}"/>
    <cellStyle name="Percent 51" xfId="18856" xr:uid="{00000000-0005-0000-0000-00009F490000}"/>
    <cellStyle name="Percent 52" xfId="18857" xr:uid="{00000000-0005-0000-0000-0000A0490000}"/>
    <cellStyle name="Percent 59" xfId="18858" xr:uid="{00000000-0005-0000-0000-0000A1490000}"/>
    <cellStyle name="Percent 6" xfId="18859" xr:uid="{00000000-0005-0000-0000-0000A2490000}"/>
    <cellStyle name="Percent 6 10" xfId="18860" xr:uid="{00000000-0005-0000-0000-0000A3490000}"/>
    <cellStyle name="Percent 6 11" xfId="18861" xr:uid="{00000000-0005-0000-0000-0000A4490000}"/>
    <cellStyle name="Percent 6 2" xfId="18862" xr:uid="{00000000-0005-0000-0000-0000A5490000}"/>
    <cellStyle name="Percent 6 2 10" xfId="18863" xr:uid="{00000000-0005-0000-0000-0000A6490000}"/>
    <cellStyle name="Percent 6 2 2" xfId="18864" xr:uid="{00000000-0005-0000-0000-0000A7490000}"/>
    <cellStyle name="Percent 6 2 3" xfId="18865" xr:uid="{00000000-0005-0000-0000-0000A8490000}"/>
    <cellStyle name="Percent 6 2 4" xfId="18866" xr:uid="{00000000-0005-0000-0000-0000A9490000}"/>
    <cellStyle name="Percent 6 2 5" xfId="18867" xr:uid="{00000000-0005-0000-0000-0000AA490000}"/>
    <cellStyle name="Percent 6 2 6" xfId="18868" xr:uid="{00000000-0005-0000-0000-0000AB490000}"/>
    <cellStyle name="Percent 6 2 7" xfId="18869" xr:uid="{00000000-0005-0000-0000-0000AC490000}"/>
    <cellStyle name="Percent 6 2 8" xfId="18870" xr:uid="{00000000-0005-0000-0000-0000AD490000}"/>
    <cellStyle name="Percent 6 2 9" xfId="18871" xr:uid="{00000000-0005-0000-0000-0000AE490000}"/>
    <cellStyle name="Percent 6 3" xfId="18872" xr:uid="{00000000-0005-0000-0000-0000AF490000}"/>
    <cellStyle name="Percent 6 4" xfId="18873" xr:uid="{00000000-0005-0000-0000-0000B0490000}"/>
    <cellStyle name="Percent 6 5" xfId="18874" xr:uid="{00000000-0005-0000-0000-0000B1490000}"/>
    <cellStyle name="Percent 6 6" xfId="18875" xr:uid="{00000000-0005-0000-0000-0000B2490000}"/>
    <cellStyle name="Percent 6 7" xfId="18876" xr:uid="{00000000-0005-0000-0000-0000B3490000}"/>
    <cellStyle name="Percent 6 8" xfId="18877" xr:uid="{00000000-0005-0000-0000-0000B4490000}"/>
    <cellStyle name="Percent 6 9" xfId="18878" xr:uid="{00000000-0005-0000-0000-0000B5490000}"/>
    <cellStyle name="Percent 63" xfId="18879" xr:uid="{00000000-0005-0000-0000-0000B6490000}"/>
    <cellStyle name="Percent 64" xfId="18880" xr:uid="{00000000-0005-0000-0000-0000B7490000}"/>
    <cellStyle name="Percent 65" xfId="18881" xr:uid="{00000000-0005-0000-0000-0000B8490000}"/>
    <cellStyle name="Percent 68" xfId="18882" xr:uid="{00000000-0005-0000-0000-0000B9490000}"/>
    <cellStyle name="Percent 69" xfId="18883" xr:uid="{00000000-0005-0000-0000-0000BA490000}"/>
    <cellStyle name="Percent 7" xfId="18884" xr:uid="{00000000-0005-0000-0000-0000BB490000}"/>
    <cellStyle name="Percent 7 2" xfId="18885" xr:uid="{00000000-0005-0000-0000-0000BC490000}"/>
    <cellStyle name="Percent 7 2 2" xfId="18886" xr:uid="{00000000-0005-0000-0000-0000BD490000}"/>
    <cellStyle name="Percent 7 2 2 2" xfId="18887" xr:uid="{00000000-0005-0000-0000-0000BE490000}"/>
    <cellStyle name="Percent 7 2 2 3" xfId="18888" xr:uid="{00000000-0005-0000-0000-0000BF490000}"/>
    <cellStyle name="Percent 7 2 3" xfId="18889" xr:uid="{00000000-0005-0000-0000-0000C0490000}"/>
    <cellStyle name="Percent 7 3" xfId="18890" xr:uid="{00000000-0005-0000-0000-0000C1490000}"/>
    <cellStyle name="Percent 7 4" xfId="18891" xr:uid="{00000000-0005-0000-0000-0000C2490000}"/>
    <cellStyle name="Percent 7 5" xfId="18892" xr:uid="{00000000-0005-0000-0000-0000C3490000}"/>
    <cellStyle name="Percent 7 6" xfId="18893" xr:uid="{00000000-0005-0000-0000-0000C4490000}"/>
    <cellStyle name="Percent 72" xfId="18894" xr:uid="{00000000-0005-0000-0000-0000C5490000}"/>
    <cellStyle name="Percent 8" xfId="18895" xr:uid="{00000000-0005-0000-0000-0000C6490000}"/>
    <cellStyle name="Percent 8 2" xfId="18896" xr:uid="{00000000-0005-0000-0000-0000C7490000}"/>
    <cellStyle name="Percent 8 2 10" xfId="18897" xr:uid="{00000000-0005-0000-0000-0000C8490000}"/>
    <cellStyle name="Percent 8 2 2" xfId="18898" xr:uid="{00000000-0005-0000-0000-0000C9490000}"/>
    <cellStyle name="Percent 8 2 3" xfId="18899" xr:uid="{00000000-0005-0000-0000-0000CA490000}"/>
    <cellStyle name="Percent 8 2 4" xfId="18900" xr:uid="{00000000-0005-0000-0000-0000CB490000}"/>
    <cellStyle name="Percent 8 2 5" xfId="18901" xr:uid="{00000000-0005-0000-0000-0000CC490000}"/>
    <cellStyle name="Percent 8 2 6" xfId="18902" xr:uid="{00000000-0005-0000-0000-0000CD490000}"/>
    <cellStyle name="Percent 8 2 7" xfId="18903" xr:uid="{00000000-0005-0000-0000-0000CE490000}"/>
    <cellStyle name="Percent 8 2 8" xfId="18904" xr:uid="{00000000-0005-0000-0000-0000CF490000}"/>
    <cellStyle name="Percent 8 2 9" xfId="18905" xr:uid="{00000000-0005-0000-0000-0000D0490000}"/>
    <cellStyle name="Percent 8 3" xfId="18906" xr:uid="{00000000-0005-0000-0000-0000D1490000}"/>
    <cellStyle name="Percent 8 4" xfId="18907" xr:uid="{00000000-0005-0000-0000-0000D2490000}"/>
    <cellStyle name="Percent 8 5" xfId="18908" xr:uid="{00000000-0005-0000-0000-0000D3490000}"/>
    <cellStyle name="Percent 8 6" xfId="18909" xr:uid="{00000000-0005-0000-0000-0000D4490000}"/>
    <cellStyle name="Percent 8 7" xfId="18910" xr:uid="{00000000-0005-0000-0000-0000D5490000}"/>
    <cellStyle name="Percent 9" xfId="18911" xr:uid="{00000000-0005-0000-0000-0000D6490000}"/>
    <cellStyle name="Percent 9 2" xfId="18912" xr:uid="{00000000-0005-0000-0000-0000D7490000}"/>
    <cellStyle name="Percent 9 2 2" xfId="18913" xr:uid="{00000000-0005-0000-0000-0000D8490000}"/>
    <cellStyle name="Percent 9 2 3" xfId="18914" xr:uid="{00000000-0005-0000-0000-0000D9490000}"/>
    <cellStyle name="Percent 9 3" xfId="18915" xr:uid="{00000000-0005-0000-0000-0000DA490000}"/>
    <cellStyle name="Percent 9 4" xfId="18916" xr:uid="{00000000-0005-0000-0000-0000DB490000}"/>
    <cellStyle name="Percent 9 5" xfId="18917" xr:uid="{00000000-0005-0000-0000-0000DC490000}"/>
    <cellStyle name="Popis" xfId="18918" xr:uid="{00000000-0005-0000-0000-0000DD490000}"/>
    <cellStyle name="prabhakar" xfId="18919" xr:uid="{00000000-0005-0000-0000-0000DE490000}"/>
    <cellStyle name="Red" xfId="18920" xr:uid="{00000000-0005-0000-0000-0000DF490000}"/>
    <cellStyle name="Reset  - Style7" xfId="18921" xr:uid="{00000000-0005-0000-0000-0000E0490000}"/>
    <cellStyle name="RevList" xfId="82" xr:uid="{00000000-0005-0000-0000-0000E1490000}"/>
    <cellStyle name="RevList 2" xfId="18922" xr:uid="{00000000-0005-0000-0000-0000E2490000}"/>
    <cellStyle name="RevList 2 2" xfId="18923" xr:uid="{00000000-0005-0000-0000-0000E3490000}"/>
    <cellStyle name="RevList 2 3" xfId="18924" xr:uid="{00000000-0005-0000-0000-0000E4490000}"/>
    <cellStyle name="RevList 3" xfId="18925" xr:uid="{00000000-0005-0000-0000-0000E5490000}"/>
    <cellStyle name="RevList 4" xfId="18926" xr:uid="{00000000-0005-0000-0000-0000E6490000}"/>
    <cellStyle name="rjg" xfId="18927" xr:uid="{00000000-0005-0000-0000-0000E7490000}"/>
    <cellStyle name="RowLevel_0" xfId="18928" xr:uid="{00000000-0005-0000-0000-0000E8490000}"/>
    <cellStyle name="Salida" xfId="18929" xr:uid="{00000000-0005-0000-0000-0000E9490000}"/>
    <cellStyle name="sebi" xfId="18930" xr:uid="{00000000-0005-0000-0000-0000EA490000}"/>
    <cellStyle name="Sheet Title" xfId="18931" xr:uid="{00000000-0005-0000-0000-0000EB490000}"/>
    <cellStyle name="Sheet Title 2" xfId="18932" xr:uid="{00000000-0005-0000-0000-0000EC490000}"/>
    <cellStyle name="Sheet Title 3" xfId="18933" xr:uid="{00000000-0005-0000-0000-0000ED490000}"/>
    <cellStyle name="Sledovaný hypertextový odkaz" xfId="18934" xr:uid="{00000000-0005-0000-0000-0000EE490000}"/>
    <cellStyle name="Sr.No." xfId="18935" xr:uid="{00000000-0005-0000-0000-0000EF490000}"/>
    <cellStyle name="Standard_BS14" xfId="18936" xr:uid="{00000000-0005-0000-0000-0000F0490000}"/>
    <cellStyle name="style" xfId="83" xr:uid="{00000000-0005-0000-0000-0000F1490000}"/>
    <cellStyle name="Style 1" xfId="84" xr:uid="{00000000-0005-0000-0000-0000F2490000}"/>
    <cellStyle name="Style 1 10" xfId="18937" xr:uid="{00000000-0005-0000-0000-0000F3490000}"/>
    <cellStyle name="Style 1 2" xfId="18938" xr:uid="{00000000-0005-0000-0000-0000F4490000}"/>
    <cellStyle name="Style 1 2 2" xfId="18939" xr:uid="{00000000-0005-0000-0000-0000F5490000}"/>
    <cellStyle name="Style 1 2 3" xfId="18940" xr:uid="{00000000-0005-0000-0000-0000F6490000}"/>
    <cellStyle name="Style 1 2_Ramadugu_ SWGH" xfId="18941" xr:uid="{00000000-0005-0000-0000-0000F7490000}"/>
    <cellStyle name="Style 1 3" xfId="18942" xr:uid="{00000000-0005-0000-0000-0000F8490000}"/>
    <cellStyle name="Style 1 3 2" xfId="18943" xr:uid="{00000000-0005-0000-0000-0000F9490000}"/>
    <cellStyle name="Style 1 3 3" xfId="18944" xr:uid="{00000000-0005-0000-0000-0000FA490000}"/>
    <cellStyle name="Style 1 4" xfId="18945" xr:uid="{00000000-0005-0000-0000-0000FB490000}"/>
    <cellStyle name="Style 1 4 2" xfId="18946" xr:uid="{00000000-0005-0000-0000-0000FC490000}"/>
    <cellStyle name="Style 1 4 3" xfId="18947" xr:uid="{00000000-0005-0000-0000-0000FD490000}"/>
    <cellStyle name="Style 1 5" xfId="18948" xr:uid="{00000000-0005-0000-0000-0000FE490000}"/>
    <cellStyle name="Style 1 6" xfId="18949" xr:uid="{00000000-0005-0000-0000-0000FF490000}"/>
    <cellStyle name="Style 1 7" xfId="18950" xr:uid="{00000000-0005-0000-0000-0000004A0000}"/>
    <cellStyle name="Style 1 8" xfId="18951" xr:uid="{00000000-0005-0000-0000-0000014A0000}"/>
    <cellStyle name="Style 1 9" xfId="18952" xr:uid="{00000000-0005-0000-0000-0000024A0000}"/>
    <cellStyle name="Style 1_abridged version DORMITORY" xfId="18953" xr:uid="{00000000-0005-0000-0000-0000034A0000}"/>
    <cellStyle name="style 2" xfId="18954" xr:uid="{00000000-0005-0000-0000-0000044A0000}"/>
    <cellStyle name="style 2 2" xfId="18955" xr:uid="{00000000-0005-0000-0000-0000054A0000}"/>
    <cellStyle name="Style 2 3" xfId="18956" xr:uid="{00000000-0005-0000-0000-0000064A0000}"/>
    <cellStyle name="Style 2 4" xfId="18957" xr:uid="{00000000-0005-0000-0000-0000074A0000}"/>
    <cellStyle name="style 3" xfId="18958" xr:uid="{00000000-0005-0000-0000-0000084A0000}"/>
    <cellStyle name="style 4" xfId="18959" xr:uid="{00000000-0005-0000-0000-0000094A0000}"/>
    <cellStyle name="style 5" xfId="18960" xr:uid="{00000000-0005-0000-0000-00000A4A0000}"/>
    <cellStyle name="style_1_Pattapupalem_road estt-NCRMP" xfId="18961" xr:uid="{00000000-0005-0000-0000-00000B4A0000}"/>
    <cellStyle name="style1" xfId="85" xr:uid="{00000000-0005-0000-0000-00000C4A0000}"/>
    <cellStyle name="style1 2" xfId="18962" xr:uid="{00000000-0005-0000-0000-00000D4A0000}"/>
    <cellStyle name="style1 2 2" xfId="18963" xr:uid="{00000000-0005-0000-0000-00000E4A0000}"/>
    <cellStyle name="style1 3" xfId="18964" xr:uid="{00000000-0005-0000-0000-00000F4A0000}"/>
    <cellStyle name="style1 4" xfId="18965" xr:uid="{00000000-0005-0000-0000-0000104A0000}"/>
    <cellStyle name="style1 5" xfId="18966" xr:uid="{00000000-0005-0000-0000-0000114A0000}"/>
    <cellStyle name="style1_COMPOUND WALL TO IWHB - CHANDRAGIRI" xfId="18967" xr:uid="{00000000-0005-0000-0000-0000124A0000}"/>
    <cellStyle name="style2" xfId="86" xr:uid="{00000000-0005-0000-0000-0000134A0000}"/>
    <cellStyle name="style2 2" xfId="18968" xr:uid="{00000000-0005-0000-0000-0000144A0000}"/>
    <cellStyle name="style2 2 2" xfId="18969" xr:uid="{00000000-0005-0000-0000-0000154A0000}"/>
    <cellStyle name="style2 2 3" xfId="18970" xr:uid="{00000000-0005-0000-0000-0000164A0000}"/>
    <cellStyle name="style2 2 4" xfId="18971" xr:uid="{00000000-0005-0000-0000-0000174A0000}"/>
    <cellStyle name="style2 3" xfId="18972" xr:uid="{00000000-0005-0000-0000-0000184A0000}"/>
    <cellStyle name="style2 4" xfId="18973" xr:uid="{00000000-0005-0000-0000-0000194A0000}"/>
    <cellStyle name="style2 5" xfId="18974" xr:uid="{00000000-0005-0000-0000-00001A4A0000}"/>
    <cellStyle name="style2_COMPOUND WALL TO IWHB - CHANDRAGIRI" xfId="18975" xr:uid="{00000000-0005-0000-0000-00001B4A0000}"/>
    <cellStyle name="Sub Head" xfId="18976" xr:uid="{00000000-0005-0000-0000-00001C4A0000}"/>
    <cellStyle name="Sub Head 2" xfId="18977" xr:uid="{00000000-0005-0000-0000-00001D4A0000}"/>
    <cellStyle name="Sub Head 3" xfId="18978" xr:uid="{00000000-0005-0000-0000-00001E4A0000}"/>
    <cellStyle name="Subtotal" xfId="87" xr:uid="{00000000-0005-0000-0000-00001F4A0000}"/>
    <cellStyle name="Subtotal 2" xfId="18979" xr:uid="{00000000-0005-0000-0000-0000204A0000}"/>
    <cellStyle name="Subtotal 3" xfId="18980" xr:uid="{00000000-0005-0000-0000-0000214A0000}"/>
    <cellStyle name="Subtotal 4" xfId="18981" xr:uid="{00000000-0005-0000-0000-0000224A0000}"/>
    <cellStyle name="superscript" xfId="18982" xr:uid="{00000000-0005-0000-0000-0000234A0000}"/>
    <cellStyle name="Table  - Style6" xfId="18983" xr:uid="{00000000-0005-0000-0000-0000244A0000}"/>
    <cellStyle name="TableStyleLight1" xfId="18984" xr:uid="{00000000-0005-0000-0000-0000254A0000}"/>
    <cellStyle name="text" xfId="18985" xr:uid="{00000000-0005-0000-0000-0000264A0000}"/>
    <cellStyle name="Texto de advertencia" xfId="18986" xr:uid="{00000000-0005-0000-0000-0000274A0000}"/>
    <cellStyle name="Texto explicativo" xfId="18987" xr:uid="{00000000-0005-0000-0000-0000284A0000}"/>
    <cellStyle name="þð &amp;ý&amp;†ýG X_x000a_" xfId="18988" xr:uid="{00000000-0005-0000-0000-0000294A0000}"/>
    <cellStyle name="þ_x001d_ð &amp;ý&amp;†ýG_x0008_ X_x000a__x0007__x0001__x0001_" xfId="88" xr:uid="{00000000-0005-0000-0000-00002A4A0000}"/>
    <cellStyle name="þ_x001d_ð &amp;ý&amp;†ýG_x0008_ X_x000a__x0007__x0001__x0001_ 2" xfId="18989" xr:uid="{00000000-0005-0000-0000-00002B4A0000}"/>
    <cellStyle name="þ_x001d_ð &amp;ý&amp;†ýG_x0008_ X_x000a__x0007__x0001__x0001_ 3" xfId="18990" xr:uid="{00000000-0005-0000-0000-00002C4A0000}"/>
    <cellStyle name="þ_x001d_ð &amp;ý&amp;†ýG_x0008_ X_x000a__x0007__x0001__x0001_ 4" xfId="18991" xr:uid="{00000000-0005-0000-0000-00002D4A0000}"/>
    <cellStyle name="þ_x001d_ð &amp;ý&amp;†ýG_x0008_ X_x000a__x0007__x0001__x0001_ 5" xfId="18992" xr:uid="{00000000-0005-0000-0000-00002E4A0000}"/>
    <cellStyle name="þ_x001d_ð &amp;ý&amp;†ýG_x0008_ X_x000a__x0007__x0001__x0001_ 6" xfId="18993" xr:uid="{00000000-0005-0000-0000-00002F4A0000}"/>
    <cellStyle name="þ_x001d_ð &amp;ý&amp;†ýG_x0008_ X_x000a__x0007__x0001__x0001_ 7" xfId="18994" xr:uid="{00000000-0005-0000-0000-0000304A0000}"/>
    <cellStyle name="þ_x001d_ð &amp;ý&amp;†ýG_x0008_ X_x000a__x0007__x0001__x0001_ 8" xfId="18995" xr:uid="{00000000-0005-0000-0000-0000314A0000}"/>
    <cellStyle name="þ_x001d_ð&quot;_x000c_Býò_x000c_5ýU_x0001_e_x0005_¹,_x0007__x0001__x0001_" xfId="89" xr:uid="{00000000-0005-0000-0000-0000324A0000}"/>
    <cellStyle name="þ_x001d_ð&quot;_x000c_Býò_x000c_5ýU_x0001_e_x0005_¹,_x0007__x0001__x0001_ 2" xfId="18996" xr:uid="{00000000-0005-0000-0000-0000334A0000}"/>
    <cellStyle name="þ_x001d_ð&quot;_x000c_Býò_x000c_5ýU_x0001_e_x0005_¹,_x0007__x0001__x0001_ 3" xfId="18997" xr:uid="{00000000-0005-0000-0000-0000344A0000}"/>
    <cellStyle name="þ_x001d_ð&quot;_x000c_Býò_x000c_5ýU_x0001_e_x0005_¹,_x0007__x0001__x0001_ 4" xfId="18998" xr:uid="{00000000-0005-0000-0000-0000354A0000}"/>
    <cellStyle name="þ_x001d_ð&quot;_x000c_Býò_x000c_5ýU_x0001_e_x0005_¹,_x0007__x0001__x0001_ 5" xfId="18999" xr:uid="{00000000-0005-0000-0000-0000364A0000}"/>
    <cellStyle name="þ_x001d_ð&quot;_x000c_Býò_x000c_5ýU_x0001_e_x0005_¹,_x0007__x0001__x0001_ 6" xfId="19000" xr:uid="{00000000-0005-0000-0000-0000374A0000}"/>
    <cellStyle name="þ_x001d_ð&quot;_x000c_Býò_x000c_5ýU_x0001_e_x0005_¹,_x0007__x0001__x0001_ 7" xfId="19001" xr:uid="{00000000-0005-0000-0000-0000384A0000}"/>
    <cellStyle name="þ_x001d_ð&quot;_x000c_Býò_x000c_5ýU_x0001_e_x0005_¹,_x0007__x0001__x0001_ 8" xfId="19002" xr:uid="{00000000-0005-0000-0000-0000394A0000}"/>
    <cellStyle name="þ_x001d_ð&quot;_x000c_Býò_x000c_5ýU_x0001_e_x0005_¹,_x0007__x0001__x0001__COMPOUND WALL TO IWHB - CHANDRAGIRI" xfId="19003" xr:uid="{00000000-0005-0000-0000-00003A4A0000}"/>
    <cellStyle name="þð&quot;Býò5ýUe¹," xfId="19004" xr:uid="{00000000-0005-0000-0000-00003B4A0000}"/>
    <cellStyle name="Times New Roman" xfId="19005" xr:uid="{00000000-0005-0000-0000-00003C4A0000}"/>
    <cellStyle name="Times New Roman 2" xfId="19006" xr:uid="{00000000-0005-0000-0000-00003D4A0000}"/>
    <cellStyle name="Times New Roman 3" xfId="19007" xr:uid="{00000000-0005-0000-0000-00003E4A0000}"/>
    <cellStyle name="Title" xfId="90" builtinId="15" customBuiltin="1"/>
    <cellStyle name="Title  - Style1" xfId="19008" xr:uid="{00000000-0005-0000-0000-0000404A0000}"/>
    <cellStyle name="Title 10" xfId="19009" xr:uid="{00000000-0005-0000-0000-0000414A0000}"/>
    <cellStyle name="Title 10 2" xfId="19010" xr:uid="{00000000-0005-0000-0000-0000424A0000}"/>
    <cellStyle name="Title 10 3" xfId="19011" xr:uid="{00000000-0005-0000-0000-0000434A0000}"/>
    <cellStyle name="Title 10 4" xfId="19012" xr:uid="{00000000-0005-0000-0000-0000444A0000}"/>
    <cellStyle name="Title 11" xfId="19013" xr:uid="{00000000-0005-0000-0000-0000454A0000}"/>
    <cellStyle name="Title 11 2" xfId="19014" xr:uid="{00000000-0005-0000-0000-0000464A0000}"/>
    <cellStyle name="Title 11 3" xfId="19015" xr:uid="{00000000-0005-0000-0000-0000474A0000}"/>
    <cellStyle name="Title 11 4" xfId="19016" xr:uid="{00000000-0005-0000-0000-0000484A0000}"/>
    <cellStyle name="Title 12" xfId="19017" xr:uid="{00000000-0005-0000-0000-0000494A0000}"/>
    <cellStyle name="Title 12 2" xfId="19018" xr:uid="{00000000-0005-0000-0000-00004A4A0000}"/>
    <cellStyle name="Title 12 3" xfId="19019" xr:uid="{00000000-0005-0000-0000-00004B4A0000}"/>
    <cellStyle name="Title 12 4" xfId="19020" xr:uid="{00000000-0005-0000-0000-00004C4A0000}"/>
    <cellStyle name="Title 13" xfId="19021" xr:uid="{00000000-0005-0000-0000-00004D4A0000}"/>
    <cellStyle name="Title 13 2" xfId="19022" xr:uid="{00000000-0005-0000-0000-00004E4A0000}"/>
    <cellStyle name="Title 14" xfId="19023" xr:uid="{00000000-0005-0000-0000-00004F4A0000}"/>
    <cellStyle name="Title 14 2" xfId="19024" xr:uid="{00000000-0005-0000-0000-0000504A0000}"/>
    <cellStyle name="Title 15" xfId="19025" xr:uid="{00000000-0005-0000-0000-0000514A0000}"/>
    <cellStyle name="Title 15 2" xfId="19026" xr:uid="{00000000-0005-0000-0000-0000524A0000}"/>
    <cellStyle name="Title 16" xfId="19027" xr:uid="{00000000-0005-0000-0000-0000534A0000}"/>
    <cellStyle name="Title 16 2" xfId="19028" xr:uid="{00000000-0005-0000-0000-0000544A0000}"/>
    <cellStyle name="Title 17" xfId="19029" xr:uid="{00000000-0005-0000-0000-0000554A0000}"/>
    <cellStyle name="Title 17 2" xfId="19030" xr:uid="{00000000-0005-0000-0000-0000564A0000}"/>
    <cellStyle name="Title 18" xfId="19031" xr:uid="{00000000-0005-0000-0000-0000574A0000}"/>
    <cellStyle name="Title 18 2" xfId="19032" xr:uid="{00000000-0005-0000-0000-0000584A0000}"/>
    <cellStyle name="Title 19" xfId="19033" xr:uid="{00000000-0005-0000-0000-0000594A0000}"/>
    <cellStyle name="Title 19 2" xfId="19034" xr:uid="{00000000-0005-0000-0000-00005A4A0000}"/>
    <cellStyle name="Title 2" xfId="19035" xr:uid="{00000000-0005-0000-0000-00005B4A0000}"/>
    <cellStyle name="Title 2 10" xfId="19036" xr:uid="{00000000-0005-0000-0000-00005C4A0000}"/>
    <cellStyle name="Title 2 10 2" xfId="19037" xr:uid="{00000000-0005-0000-0000-00005D4A0000}"/>
    <cellStyle name="Title 2 11" xfId="19038" xr:uid="{00000000-0005-0000-0000-00005E4A0000}"/>
    <cellStyle name="Title 2 2" xfId="19039" xr:uid="{00000000-0005-0000-0000-00005F4A0000}"/>
    <cellStyle name="Title 2 2 2" xfId="19040" xr:uid="{00000000-0005-0000-0000-0000604A0000}"/>
    <cellStyle name="Title 2 3" xfId="19041" xr:uid="{00000000-0005-0000-0000-0000614A0000}"/>
    <cellStyle name="Title 2 3 2" xfId="19042" xr:uid="{00000000-0005-0000-0000-0000624A0000}"/>
    <cellStyle name="Title 2 4" xfId="19043" xr:uid="{00000000-0005-0000-0000-0000634A0000}"/>
    <cellStyle name="Title 2 4 2" xfId="19044" xr:uid="{00000000-0005-0000-0000-0000644A0000}"/>
    <cellStyle name="Title 2 5" xfId="19045" xr:uid="{00000000-0005-0000-0000-0000654A0000}"/>
    <cellStyle name="Title 2 5 2" xfId="19046" xr:uid="{00000000-0005-0000-0000-0000664A0000}"/>
    <cellStyle name="Title 2 6" xfId="19047" xr:uid="{00000000-0005-0000-0000-0000674A0000}"/>
    <cellStyle name="Title 2 6 2" xfId="19048" xr:uid="{00000000-0005-0000-0000-0000684A0000}"/>
    <cellStyle name="Title 2 7" xfId="19049" xr:uid="{00000000-0005-0000-0000-0000694A0000}"/>
    <cellStyle name="Title 2 7 2" xfId="19050" xr:uid="{00000000-0005-0000-0000-00006A4A0000}"/>
    <cellStyle name="Title 2 8" xfId="19051" xr:uid="{00000000-0005-0000-0000-00006B4A0000}"/>
    <cellStyle name="Title 2 8 2" xfId="19052" xr:uid="{00000000-0005-0000-0000-00006C4A0000}"/>
    <cellStyle name="Title 2 9" xfId="19053" xr:uid="{00000000-0005-0000-0000-00006D4A0000}"/>
    <cellStyle name="Title 2 9 2" xfId="19054" xr:uid="{00000000-0005-0000-0000-00006E4A0000}"/>
    <cellStyle name="Title 20" xfId="19055" xr:uid="{00000000-0005-0000-0000-00006F4A0000}"/>
    <cellStyle name="Title 20 2" xfId="19056" xr:uid="{00000000-0005-0000-0000-0000704A0000}"/>
    <cellStyle name="Title 21" xfId="19057" xr:uid="{00000000-0005-0000-0000-0000714A0000}"/>
    <cellStyle name="Title 21 2" xfId="19058" xr:uid="{00000000-0005-0000-0000-0000724A0000}"/>
    <cellStyle name="Title 22" xfId="19059" xr:uid="{00000000-0005-0000-0000-0000734A0000}"/>
    <cellStyle name="Title 23" xfId="19060" xr:uid="{00000000-0005-0000-0000-0000744A0000}"/>
    <cellStyle name="Title 24" xfId="19061" xr:uid="{00000000-0005-0000-0000-0000754A0000}"/>
    <cellStyle name="Title 25" xfId="19062" xr:uid="{00000000-0005-0000-0000-0000764A0000}"/>
    <cellStyle name="Title 3" xfId="19063" xr:uid="{00000000-0005-0000-0000-0000774A0000}"/>
    <cellStyle name="Title 3 2" xfId="19064" xr:uid="{00000000-0005-0000-0000-0000784A0000}"/>
    <cellStyle name="Title 3 2 2" xfId="19065" xr:uid="{00000000-0005-0000-0000-0000794A0000}"/>
    <cellStyle name="Title 3 3" xfId="19066" xr:uid="{00000000-0005-0000-0000-00007A4A0000}"/>
    <cellStyle name="Title 4" xfId="19067" xr:uid="{00000000-0005-0000-0000-00007B4A0000}"/>
    <cellStyle name="Title 4 2" xfId="19068" xr:uid="{00000000-0005-0000-0000-00007C4A0000}"/>
    <cellStyle name="Title 5" xfId="19069" xr:uid="{00000000-0005-0000-0000-00007D4A0000}"/>
    <cellStyle name="Title 5 2" xfId="19070" xr:uid="{00000000-0005-0000-0000-00007E4A0000}"/>
    <cellStyle name="Title 6" xfId="19071" xr:uid="{00000000-0005-0000-0000-00007F4A0000}"/>
    <cellStyle name="Title 6 2" xfId="19072" xr:uid="{00000000-0005-0000-0000-0000804A0000}"/>
    <cellStyle name="Title 6 3" xfId="19073" xr:uid="{00000000-0005-0000-0000-0000814A0000}"/>
    <cellStyle name="Title 6 4" xfId="19074" xr:uid="{00000000-0005-0000-0000-0000824A0000}"/>
    <cellStyle name="Title 7" xfId="19075" xr:uid="{00000000-0005-0000-0000-0000834A0000}"/>
    <cellStyle name="Title 7 2" xfId="19076" xr:uid="{00000000-0005-0000-0000-0000844A0000}"/>
    <cellStyle name="Title 7 3" xfId="19077" xr:uid="{00000000-0005-0000-0000-0000854A0000}"/>
    <cellStyle name="Title 7 4" xfId="19078" xr:uid="{00000000-0005-0000-0000-0000864A0000}"/>
    <cellStyle name="Title 8" xfId="19079" xr:uid="{00000000-0005-0000-0000-0000874A0000}"/>
    <cellStyle name="Title 8 2" xfId="19080" xr:uid="{00000000-0005-0000-0000-0000884A0000}"/>
    <cellStyle name="Title 8 3" xfId="19081" xr:uid="{00000000-0005-0000-0000-0000894A0000}"/>
    <cellStyle name="Title 8 4" xfId="19082" xr:uid="{00000000-0005-0000-0000-00008A4A0000}"/>
    <cellStyle name="Title 9" xfId="19083" xr:uid="{00000000-0005-0000-0000-00008B4A0000}"/>
    <cellStyle name="Title 9 2" xfId="19084" xr:uid="{00000000-0005-0000-0000-00008C4A0000}"/>
    <cellStyle name="Title 9 3" xfId="19085" xr:uid="{00000000-0005-0000-0000-00008D4A0000}"/>
    <cellStyle name="Title 9 4" xfId="19086" xr:uid="{00000000-0005-0000-0000-00008E4A0000}"/>
    <cellStyle name="Título" xfId="19087" xr:uid="{00000000-0005-0000-0000-00008F4A0000}"/>
    <cellStyle name="Título 1" xfId="19088" xr:uid="{00000000-0005-0000-0000-0000904A0000}"/>
    <cellStyle name="Título 2" xfId="19089" xr:uid="{00000000-0005-0000-0000-0000914A0000}"/>
    <cellStyle name="Título 3" xfId="19090" xr:uid="{00000000-0005-0000-0000-0000924A0000}"/>
    <cellStyle name="Total" xfId="91" builtinId="25" customBuiltin="1"/>
    <cellStyle name="Total 10" xfId="19091" xr:uid="{00000000-0005-0000-0000-0000944A0000}"/>
    <cellStyle name="Total 10 2" xfId="19092" xr:uid="{00000000-0005-0000-0000-0000954A0000}"/>
    <cellStyle name="Total 10 3" xfId="19093" xr:uid="{00000000-0005-0000-0000-0000964A0000}"/>
    <cellStyle name="Total 10 4" xfId="19094" xr:uid="{00000000-0005-0000-0000-0000974A0000}"/>
    <cellStyle name="Total 11" xfId="19095" xr:uid="{00000000-0005-0000-0000-0000984A0000}"/>
    <cellStyle name="Total 11 2" xfId="19096" xr:uid="{00000000-0005-0000-0000-0000994A0000}"/>
    <cellStyle name="Total 11 3" xfId="19097" xr:uid="{00000000-0005-0000-0000-00009A4A0000}"/>
    <cellStyle name="Total 11 4" xfId="19098" xr:uid="{00000000-0005-0000-0000-00009B4A0000}"/>
    <cellStyle name="Total 12" xfId="19099" xr:uid="{00000000-0005-0000-0000-00009C4A0000}"/>
    <cellStyle name="Total 12 2" xfId="19100" xr:uid="{00000000-0005-0000-0000-00009D4A0000}"/>
    <cellStyle name="Total 12 3" xfId="19101" xr:uid="{00000000-0005-0000-0000-00009E4A0000}"/>
    <cellStyle name="Total 12 4" xfId="19102" xr:uid="{00000000-0005-0000-0000-00009F4A0000}"/>
    <cellStyle name="Total 13" xfId="19103" xr:uid="{00000000-0005-0000-0000-0000A04A0000}"/>
    <cellStyle name="Total 13 2" xfId="19104" xr:uid="{00000000-0005-0000-0000-0000A14A0000}"/>
    <cellStyle name="Total 13 3" xfId="19105" xr:uid="{00000000-0005-0000-0000-0000A24A0000}"/>
    <cellStyle name="Total 13 4" xfId="19106" xr:uid="{00000000-0005-0000-0000-0000A34A0000}"/>
    <cellStyle name="Total 14" xfId="19107" xr:uid="{00000000-0005-0000-0000-0000A44A0000}"/>
    <cellStyle name="Total 14 2" xfId="19108" xr:uid="{00000000-0005-0000-0000-0000A54A0000}"/>
    <cellStyle name="Total 14 3" xfId="19109" xr:uid="{00000000-0005-0000-0000-0000A64A0000}"/>
    <cellStyle name="Total 14 4" xfId="19110" xr:uid="{00000000-0005-0000-0000-0000A74A0000}"/>
    <cellStyle name="Total 15" xfId="19111" xr:uid="{00000000-0005-0000-0000-0000A84A0000}"/>
    <cellStyle name="Total 15 2" xfId="19112" xr:uid="{00000000-0005-0000-0000-0000A94A0000}"/>
    <cellStyle name="Total 15 3" xfId="19113" xr:uid="{00000000-0005-0000-0000-0000AA4A0000}"/>
    <cellStyle name="Total 15 4" xfId="19114" xr:uid="{00000000-0005-0000-0000-0000AB4A0000}"/>
    <cellStyle name="Total 16" xfId="19115" xr:uid="{00000000-0005-0000-0000-0000AC4A0000}"/>
    <cellStyle name="Total 16 2" xfId="19116" xr:uid="{00000000-0005-0000-0000-0000AD4A0000}"/>
    <cellStyle name="Total 17" xfId="19117" xr:uid="{00000000-0005-0000-0000-0000AE4A0000}"/>
    <cellStyle name="Total 17 2" xfId="19118" xr:uid="{00000000-0005-0000-0000-0000AF4A0000}"/>
    <cellStyle name="Total 18" xfId="19119" xr:uid="{00000000-0005-0000-0000-0000B04A0000}"/>
    <cellStyle name="Total 18 2" xfId="19120" xr:uid="{00000000-0005-0000-0000-0000B14A0000}"/>
    <cellStyle name="Total 19" xfId="19121" xr:uid="{00000000-0005-0000-0000-0000B24A0000}"/>
    <cellStyle name="Total 19 2" xfId="19122" xr:uid="{00000000-0005-0000-0000-0000B34A0000}"/>
    <cellStyle name="Total 2" xfId="19123" xr:uid="{00000000-0005-0000-0000-0000B44A0000}"/>
    <cellStyle name="Total 2 10" xfId="19124" xr:uid="{00000000-0005-0000-0000-0000B54A0000}"/>
    <cellStyle name="Total 2 10 2" xfId="19125" xr:uid="{00000000-0005-0000-0000-0000B64A0000}"/>
    <cellStyle name="Total 2 11" xfId="19126" xr:uid="{00000000-0005-0000-0000-0000B74A0000}"/>
    <cellStyle name="Total 2 12" xfId="19127" xr:uid="{00000000-0005-0000-0000-0000B84A0000}"/>
    <cellStyle name="Total 2 13" xfId="19128" xr:uid="{00000000-0005-0000-0000-0000B94A0000}"/>
    <cellStyle name="Total 2 2" xfId="19129" xr:uid="{00000000-0005-0000-0000-0000BA4A0000}"/>
    <cellStyle name="Total 2 2 2" xfId="19130" xr:uid="{00000000-0005-0000-0000-0000BB4A0000}"/>
    <cellStyle name="Total 2 2 3" xfId="19131" xr:uid="{00000000-0005-0000-0000-0000BC4A0000}"/>
    <cellStyle name="Total 2 2 4" xfId="19132" xr:uid="{00000000-0005-0000-0000-0000BD4A0000}"/>
    <cellStyle name="Total 2 3" xfId="19133" xr:uid="{00000000-0005-0000-0000-0000BE4A0000}"/>
    <cellStyle name="Total 2 3 2" xfId="19134" xr:uid="{00000000-0005-0000-0000-0000BF4A0000}"/>
    <cellStyle name="Total 2 4" xfId="19135" xr:uid="{00000000-0005-0000-0000-0000C04A0000}"/>
    <cellStyle name="Total 2 4 2" xfId="19136" xr:uid="{00000000-0005-0000-0000-0000C14A0000}"/>
    <cellStyle name="Total 2 5" xfId="19137" xr:uid="{00000000-0005-0000-0000-0000C24A0000}"/>
    <cellStyle name="Total 2 5 2" xfId="19138" xr:uid="{00000000-0005-0000-0000-0000C34A0000}"/>
    <cellStyle name="Total 2 6" xfId="19139" xr:uid="{00000000-0005-0000-0000-0000C44A0000}"/>
    <cellStyle name="Total 2 6 2" xfId="19140" xr:uid="{00000000-0005-0000-0000-0000C54A0000}"/>
    <cellStyle name="Total 2 7" xfId="19141" xr:uid="{00000000-0005-0000-0000-0000C64A0000}"/>
    <cellStyle name="Total 2 7 2" xfId="19142" xr:uid="{00000000-0005-0000-0000-0000C74A0000}"/>
    <cellStyle name="Total 2 8" xfId="19143" xr:uid="{00000000-0005-0000-0000-0000C84A0000}"/>
    <cellStyle name="Total 2 8 2" xfId="19144" xr:uid="{00000000-0005-0000-0000-0000C94A0000}"/>
    <cellStyle name="Total 2 9" xfId="19145" xr:uid="{00000000-0005-0000-0000-0000CA4A0000}"/>
    <cellStyle name="Total 2 9 2" xfId="19146" xr:uid="{00000000-0005-0000-0000-0000CB4A0000}"/>
    <cellStyle name="Total 2_2012-13 data" xfId="19147" xr:uid="{00000000-0005-0000-0000-0000CC4A0000}"/>
    <cellStyle name="Total 20" xfId="19148" xr:uid="{00000000-0005-0000-0000-0000CD4A0000}"/>
    <cellStyle name="Total 20 2" xfId="19149" xr:uid="{00000000-0005-0000-0000-0000CE4A0000}"/>
    <cellStyle name="Total 21" xfId="19150" xr:uid="{00000000-0005-0000-0000-0000CF4A0000}"/>
    <cellStyle name="Total 21 2" xfId="19151" xr:uid="{00000000-0005-0000-0000-0000D04A0000}"/>
    <cellStyle name="Total 22" xfId="19152" xr:uid="{00000000-0005-0000-0000-0000D14A0000}"/>
    <cellStyle name="Total 23" xfId="19153" xr:uid="{00000000-0005-0000-0000-0000D24A0000}"/>
    <cellStyle name="Total 24" xfId="19154" xr:uid="{00000000-0005-0000-0000-0000D34A0000}"/>
    <cellStyle name="Total 25" xfId="19155" xr:uid="{00000000-0005-0000-0000-0000D44A0000}"/>
    <cellStyle name="Total 3" xfId="19156" xr:uid="{00000000-0005-0000-0000-0000D54A0000}"/>
    <cellStyle name="Total 3 2" xfId="19157" xr:uid="{00000000-0005-0000-0000-0000D64A0000}"/>
    <cellStyle name="Total 3 2 2" xfId="19158" xr:uid="{00000000-0005-0000-0000-0000D74A0000}"/>
    <cellStyle name="Total 3 2 3" xfId="19159" xr:uid="{00000000-0005-0000-0000-0000D84A0000}"/>
    <cellStyle name="Total 3 2 4" xfId="19160" xr:uid="{00000000-0005-0000-0000-0000D94A0000}"/>
    <cellStyle name="Total 3 3" xfId="19161" xr:uid="{00000000-0005-0000-0000-0000DA4A0000}"/>
    <cellStyle name="Total 3 3 2" xfId="19162" xr:uid="{00000000-0005-0000-0000-0000DB4A0000}"/>
    <cellStyle name="Total 3 3 3" xfId="19163" xr:uid="{00000000-0005-0000-0000-0000DC4A0000}"/>
    <cellStyle name="Total 3 4" xfId="19164" xr:uid="{00000000-0005-0000-0000-0000DD4A0000}"/>
    <cellStyle name="Total 3 5" xfId="19165" xr:uid="{00000000-0005-0000-0000-0000DE4A0000}"/>
    <cellStyle name="Total 3_Ramadugu_ SWGH" xfId="19166" xr:uid="{00000000-0005-0000-0000-0000DF4A0000}"/>
    <cellStyle name="Total 4" xfId="19167" xr:uid="{00000000-0005-0000-0000-0000E04A0000}"/>
    <cellStyle name="Total 4 2" xfId="19168" xr:uid="{00000000-0005-0000-0000-0000E14A0000}"/>
    <cellStyle name="Total 4 3" xfId="19169" xr:uid="{00000000-0005-0000-0000-0000E24A0000}"/>
    <cellStyle name="Total 4 4" xfId="19170" xr:uid="{00000000-0005-0000-0000-0000E34A0000}"/>
    <cellStyle name="Total 5" xfId="19171" xr:uid="{00000000-0005-0000-0000-0000E44A0000}"/>
    <cellStyle name="Total 5 2" xfId="19172" xr:uid="{00000000-0005-0000-0000-0000E54A0000}"/>
    <cellStyle name="Total 5 3" xfId="19173" xr:uid="{00000000-0005-0000-0000-0000E64A0000}"/>
    <cellStyle name="Total 5 4" xfId="19174" xr:uid="{00000000-0005-0000-0000-0000E74A0000}"/>
    <cellStyle name="Total 6" xfId="19175" xr:uid="{00000000-0005-0000-0000-0000E84A0000}"/>
    <cellStyle name="Total 6 2" xfId="19176" xr:uid="{00000000-0005-0000-0000-0000E94A0000}"/>
    <cellStyle name="Total 6 3" xfId="19177" xr:uid="{00000000-0005-0000-0000-0000EA4A0000}"/>
    <cellStyle name="Total 6 4" xfId="19178" xr:uid="{00000000-0005-0000-0000-0000EB4A0000}"/>
    <cellStyle name="Total 7" xfId="19179" xr:uid="{00000000-0005-0000-0000-0000EC4A0000}"/>
    <cellStyle name="Total 7 2" xfId="19180" xr:uid="{00000000-0005-0000-0000-0000ED4A0000}"/>
    <cellStyle name="Total 7 3" xfId="19181" xr:uid="{00000000-0005-0000-0000-0000EE4A0000}"/>
    <cellStyle name="Total 7 4" xfId="19182" xr:uid="{00000000-0005-0000-0000-0000EF4A0000}"/>
    <cellStyle name="Total 8" xfId="19183" xr:uid="{00000000-0005-0000-0000-0000F04A0000}"/>
    <cellStyle name="Total 8 2" xfId="19184" xr:uid="{00000000-0005-0000-0000-0000F14A0000}"/>
    <cellStyle name="Total 8 3" xfId="19185" xr:uid="{00000000-0005-0000-0000-0000F24A0000}"/>
    <cellStyle name="Total 8 4" xfId="19186" xr:uid="{00000000-0005-0000-0000-0000F34A0000}"/>
    <cellStyle name="Total 9" xfId="19187" xr:uid="{00000000-0005-0000-0000-0000F44A0000}"/>
    <cellStyle name="Total 9 2" xfId="19188" xr:uid="{00000000-0005-0000-0000-0000F54A0000}"/>
    <cellStyle name="Total 9 3" xfId="19189" xr:uid="{00000000-0005-0000-0000-0000F64A0000}"/>
    <cellStyle name="Total 9 4" xfId="19190" xr:uid="{00000000-0005-0000-0000-0000F74A0000}"/>
    <cellStyle name="TotCol - Style5" xfId="19191" xr:uid="{00000000-0005-0000-0000-0000F84A0000}"/>
    <cellStyle name="TotRow - Style4" xfId="19192" xr:uid="{00000000-0005-0000-0000-0000F94A0000}"/>
    <cellStyle name="TRS" xfId="19193" xr:uid="{00000000-0005-0000-0000-0000FA4A0000}"/>
    <cellStyle name="Tusental (0)_pldt" xfId="19194" xr:uid="{00000000-0005-0000-0000-0000FB4A0000}"/>
    <cellStyle name="Tusental_pldt" xfId="19195" xr:uid="{00000000-0005-0000-0000-0000FC4A0000}"/>
    <cellStyle name="v" xfId="19196" xr:uid="{00000000-0005-0000-0000-0000FD4A0000}"/>
    <cellStyle name="v_2012-13 data" xfId="19197" xr:uid="{00000000-0005-0000-0000-0000FE4A0000}"/>
    <cellStyle name="v_25-8-2010  ABS &amp; Det" xfId="19198" xr:uid="{00000000-0005-0000-0000-0000FF4A0000}"/>
    <cellStyle name="v_25-8-2010  ABS &amp; Det_2012-13 data" xfId="19199" xr:uid="{00000000-0005-0000-0000-0000004B0000}"/>
    <cellStyle name="v_25-8-2010  ABS &amp; Det_POST METRIC - ELEC" xfId="19200" xr:uid="{00000000-0005-0000-0000-0000014B0000}"/>
    <cellStyle name="v_25-8-2010  ABS &amp; Det_revised  Estimation-1" xfId="19201" xr:uid="{00000000-0005-0000-0000-0000024B0000}"/>
    <cellStyle name="v_25-8-2010  ABS &amp; Det_TIRUPATI  ELEC" xfId="19202" xr:uid="{00000000-0005-0000-0000-0000034B0000}"/>
    <cellStyle name="v_POST METRIC - ELEC" xfId="19203" xr:uid="{00000000-0005-0000-0000-0000044B0000}"/>
    <cellStyle name="v_revised  Estimation-1" xfId="19204" xr:uid="{00000000-0005-0000-0000-0000054B0000}"/>
    <cellStyle name="v_TIRUPATI  ELEC" xfId="19205" xr:uid="{00000000-0005-0000-0000-0000064B0000}"/>
    <cellStyle name="Value" xfId="19206" xr:uid="{00000000-0005-0000-0000-0000074B0000}"/>
    <cellStyle name="Value 10" xfId="19207" xr:uid="{00000000-0005-0000-0000-0000084B0000}"/>
    <cellStyle name="Value 10 2" xfId="19208" xr:uid="{00000000-0005-0000-0000-0000094B0000}"/>
    <cellStyle name="Value 10 3" xfId="19209" xr:uid="{00000000-0005-0000-0000-00000A4B0000}"/>
    <cellStyle name="Value 10 4" xfId="19210" xr:uid="{00000000-0005-0000-0000-00000B4B0000}"/>
    <cellStyle name="Value 10 5" xfId="19211" xr:uid="{00000000-0005-0000-0000-00000C4B0000}"/>
    <cellStyle name="Value 10 6" xfId="19212" xr:uid="{00000000-0005-0000-0000-00000D4B0000}"/>
    <cellStyle name="Value 10 7" xfId="19213" xr:uid="{00000000-0005-0000-0000-00000E4B0000}"/>
    <cellStyle name="Value 10 8" xfId="19214" xr:uid="{00000000-0005-0000-0000-00000F4B0000}"/>
    <cellStyle name="Value 11" xfId="19215" xr:uid="{00000000-0005-0000-0000-0000104B0000}"/>
    <cellStyle name="Value 12" xfId="19216" xr:uid="{00000000-0005-0000-0000-0000114B0000}"/>
    <cellStyle name="Value 13" xfId="19217" xr:uid="{00000000-0005-0000-0000-0000124B0000}"/>
    <cellStyle name="Value 14" xfId="19218" xr:uid="{00000000-0005-0000-0000-0000134B0000}"/>
    <cellStyle name="Value 15" xfId="19219" xr:uid="{00000000-0005-0000-0000-0000144B0000}"/>
    <cellStyle name="Value 16" xfId="19220" xr:uid="{00000000-0005-0000-0000-0000154B0000}"/>
    <cellStyle name="Value 17" xfId="19221" xr:uid="{00000000-0005-0000-0000-0000164B0000}"/>
    <cellStyle name="Value 2" xfId="19222" xr:uid="{00000000-0005-0000-0000-0000174B0000}"/>
    <cellStyle name="Value 2 2" xfId="19223" xr:uid="{00000000-0005-0000-0000-0000184B0000}"/>
    <cellStyle name="Value 2 3" xfId="19224" xr:uid="{00000000-0005-0000-0000-0000194B0000}"/>
    <cellStyle name="Value 2 4" xfId="19225" xr:uid="{00000000-0005-0000-0000-00001A4B0000}"/>
    <cellStyle name="Value 2 5" xfId="19226" xr:uid="{00000000-0005-0000-0000-00001B4B0000}"/>
    <cellStyle name="Value 2 6" xfId="19227" xr:uid="{00000000-0005-0000-0000-00001C4B0000}"/>
    <cellStyle name="Value 2 7" xfId="19228" xr:uid="{00000000-0005-0000-0000-00001D4B0000}"/>
    <cellStyle name="Value 2 8" xfId="19229" xr:uid="{00000000-0005-0000-0000-00001E4B0000}"/>
    <cellStyle name="Value 3" xfId="19230" xr:uid="{00000000-0005-0000-0000-00001F4B0000}"/>
    <cellStyle name="Value 3 2" xfId="19231" xr:uid="{00000000-0005-0000-0000-0000204B0000}"/>
    <cellStyle name="Value 3 3" xfId="19232" xr:uid="{00000000-0005-0000-0000-0000214B0000}"/>
    <cellStyle name="Value 3 4" xfId="19233" xr:uid="{00000000-0005-0000-0000-0000224B0000}"/>
    <cellStyle name="Value 3 5" xfId="19234" xr:uid="{00000000-0005-0000-0000-0000234B0000}"/>
    <cellStyle name="Value 3 6" xfId="19235" xr:uid="{00000000-0005-0000-0000-0000244B0000}"/>
    <cellStyle name="Value 3 7" xfId="19236" xr:uid="{00000000-0005-0000-0000-0000254B0000}"/>
    <cellStyle name="Value 3 8" xfId="19237" xr:uid="{00000000-0005-0000-0000-0000264B0000}"/>
    <cellStyle name="Value 4" xfId="19238" xr:uid="{00000000-0005-0000-0000-0000274B0000}"/>
    <cellStyle name="Value 4 2" xfId="19239" xr:uid="{00000000-0005-0000-0000-0000284B0000}"/>
    <cellStyle name="Value 4 3" xfId="19240" xr:uid="{00000000-0005-0000-0000-0000294B0000}"/>
    <cellStyle name="Value 4 4" xfId="19241" xr:uid="{00000000-0005-0000-0000-00002A4B0000}"/>
    <cellStyle name="Value 4 5" xfId="19242" xr:uid="{00000000-0005-0000-0000-00002B4B0000}"/>
    <cellStyle name="Value 4 6" xfId="19243" xr:uid="{00000000-0005-0000-0000-00002C4B0000}"/>
    <cellStyle name="Value 4 7" xfId="19244" xr:uid="{00000000-0005-0000-0000-00002D4B0000}"/>
    <cellStyle name="Value 4 8" xfId="19245" xr:uid="{00000000-0005-0000-0000-00002E4B0000}"/>
    <cellStyle name="Value 5" xfId="19246" xr:uid="{00000000-0005-0000-0000-00002F4B0000}"/>
    <cellStyle name="Value 5 2" xfId="19247" xr:uid="{00000000-0005-0000-0000-0000304B0000}"/>
    <cellStyle name="Value 5 3" xfId="19248" xr:uid="{00000000-0005-0000-0000-0000314B0000}"/>
    <cellStyle name="Value 5 4" xfId="19249" xr:uid="{00000000-0005-0000-0000-0000324B0000}"/>
    <cellStyle name="Value 5 5" xfId="19250" xr:uid="{00000000-0005-0000-0000-0000334B0000}"/>
    <cellStyle name="Value 5 6" xfId="19251" xr:uid="{00000000-0005-0000-0000-0000344B0000}"/>
    <cellStyle name="Value 5 7" xfId="19252" xr:uid="{00000000-0005-0000-0000-0000354B0000}"/>
    <cellStyle name="Value 5 8" xfId="19253" xr:uid="{00000000-0005-0000-0000-0000364B0000}"/>
    <cellStyle name="Value 6" xfId="19254" xr:uid="{00000000-0005-0000-0000-0000374B0000}"/>
    <cellStyle name="Value 6 2" xfId="19255" xr:uid="{00000000-0005-0000-0000-0000384B0000}"/>
    <cellStyle name="Value 6 3" xfId="19256" xr:uid="{00000000-0005-0000-0000-0000394B0000}"/>
    <cellStyle name="Value 6 4" xfId="19257" xr:uid="{00000000-0005-0000-0000-00003A4B0000}"/>
    <cellStyle name="Value 6 5" xfId="19258" xr:uid="{00000000-0005-0000-0000-00003B4B0000}"/>
    <cellStyle name="Value 6 6" xfId="19259" xr:uid="{00000000-0005-0000-0000-00003C4B0000}"/>
    <cellStyle name="Value 6 7" xfId="19260" xr:uid="{00000000-0005-0000-0000-00003D4B0000}"/>
    <cellStyle name="Value 6 8" xfId="19261" xr:uid="{00000000-0005-0000-0000-00003E4B0000}"/>
    <cellStyle name="Value 7" xfId="19262" xr:uid="{00000000-0005-0000-0000-00003F4B0000}"/>
    <cellStyle name="Value 7 2" xfId="19263" xr:uid="{00000000-0005-0000-0000-0000404B0000}"/>
    <cellStyle name="Value 7 3" xfId="19264" xr:uid="{00000000-0005-0000-0000-0000414B0000}"/>
    <cellStyle name="Value 7 4" xfId="19265" xr:uid="{00000000-0005-0000-0000-0000424B0000}"/>
    <cellStyle name="Value 7 5" xfId="19266" xr:uid="{00000000-0005-0000-0000-0000434B0000}"/>
    <cellStyle name="Value 7 6" xfId="19267" xr:uid="{00000000-0005-0000-0000-0000444B0000}"/>
    <cellStyle name="Value 7 7" xfId="19268" xr:uid="{00000000-0005-0000-0000-0000454B0000}"/>
    <cellStyle name="Value 7 8" xfId="19269" xr:uid="{00000000-0005-0000-0000-0000464B0000}"/>
    <cellStyle name="Value 8" xfId="19270" xr:uid="{00000000-0005-0000-0000-0000474B0000}"/>
    <cellStyle name="Value 8 2" xfId="19271" xr:uid="{00000000-0005-0000-0000-0000484B0000}"/>
    <cellStyle name="Value 8 3" xfId="19272" xr:uid="{00000000-0005-0000-0000-0000494B0000}"/>
    <cellStyle name="Value 8 4" xfId="19273" xr:uid="{00000000-0005-0000-0000-00004A4B0000}"/>
    <cellStyle name="Value 8 5" xfId="19274" xr:uid="{00000000-0005-0000-0000-00004B4B0000}"/>
    <cellStyle name="Value 8 6" xfId="19275" xr:uid="{00000000-0005-0000-0000-00004C4B0000}"/>
    <cellStyle name="Value 8 7" xfId="19276" xr:uid="{00000000-0005-0000-0000-00004D4B0000}"/>
    <cellStyle name="Value 8 8" xfId="19277" xr:uid="{00000000-0005-0000-0000-00004E4B0000}"/>
    <cellStyle name="Value 9" xfId="19278" xr:uid="{00000000-0005-0000-0000-00004F4B0000}"/>
    <cellStyle name="Value 9 2" xfId="19279" xr:uid="{00000000-0005-0000-0000-0000504B0000}"/>
    <cellStyle name="Value 9 3" xfId="19280" xr:uid="{00000000-0005-0000-0000-0000514B0000}"/>
    <cellStyle name="Value 9 4" xfId="19281" xr:uid="{00000000-0005-0000-0000-0000524B0000}"/>
    <cellStyle name="Value 9 5" xfId="19282" xr:uid="{00000000-0005-0000-0000-0000534B0000}"/>
    <cellStyle name="Value 9 6" xfId="19283" xr:uid="{00000000-0005-0000-0000-0000544B0000}"/>
    <cellStyle name="Value 9 7" xfId="19284" xr:uid="{00000000-0005-0000-0000-0000554B0000}"/>
    <cellStyle name="Value 9 8" xfId="19285" xr:uid="{00000000-0005-0000-0000-0000564B0000}"/>
    <cellStyle name="Valuta (0)_pldt" xfId="19286" xr:uid="{00000000-0005-0000-0000-0000574B0000}"/>
    <cellStyle name="Valuta_pldt" xfId="19287" xr:uid="{00000000-0005-0000-0000-0000584B0000}"/>
    <cellStyle name="Währung [0]_RESULTS" xfId="19288" xr:uid="{00000000-0005-0000-0000-0000594B0000}"/>
    <cellStyle name="Währung_RESULTS" xfId="19289" xr:uid="{00000000-0005-0000-0000-00005A4B0000}"/>
    <cellStyle name="Warning Text" xfId="92" builtinId="11" customBuiltin="1"/>
    <cellStyle name="Warning Text 10" xfId="19290" xr:uid="{00000000-0005-0000-0000-00005C4B0000}"/>
    <cellStyle name="Warning Text 10 2" xfId="19291" xr:uid="{00000000-0005-0000-0000-00005D4B0000}"/>
    <cellStyle name="Warning Text 11" xfId="19292" xr:uid="{00000000-0005-0000-0000-00005E4B0000}"/>
    <cellStyle name="Warning Text 11 2" xfId="19293" xr:uid="{00000000-0005-0000-0000-00005F4B0000}"/>
    <cellStyle name="Warning Text 12" xfId="19294" xr:uid="{00000000-0005-0000-0000-0000604B0000}"/>
    <cellStyle name="Warning Text 12 2" xfId="19295" xr:uid="{00000000-0005-0000-0000-0000614B0000}"/>
    <cellStyle name="Warning Text 13" xfId="19296" xr:uid="{00000000-0005-0000-0000-0000624B0000}"/>
    <cellStyle name="Warning Text 13 2" xfId="19297" xr:uid="{00000000-0005-0000-0000-0000634B0000}"/>
    <cellStyle name="Warning Text 14" xfId="19298" xr:uid="{00000000-0005-0000-0000-0000644B0000}"/>
    <cellStyle name="Warning Text 14 2" xfId="19299" xr:uid="{00000000-0005-0000-0000-0000654B0000}"/>
    <cellStyle name="Warning Text 15" xfId="19300" xr:uid="{00000000-0005-0000-0000-0000664B0000}"/>
    <cellStyle name="Warning Text 15 2" xfId="19301" xr:uid="{00000000-0005-0000-0000-0000674B0000}"/>
    <cellStyle name="Warning Text 16" xfId="19302" xr:uid="{00000000-0005-0000-0000-0000684B0000}"/>
    <cellStyle name="Warning Text 16 2" xfId="19303" xr:uid="{00000000-0005-0000-0000-0000694B0000}"/>
    <cellStyle name="Warning Text 17" xfId="19304" xr:uid="{00000000-0005-0000-0000-00006A4B0000}"/>
    <cellStyle name="Warning Text 17 2" xfId="19305" xr:uid="{00000000-0005-0000-0000-00006B4B0000}"/>
    <cellStyle name="Warning Text 18" xfId="19306" xr:uid="{00000000-0005-0000-0000-00006C4B0000}"/>
    <cellStyle name="Warning Text 18 2" xfId="19307" xr:uid="{00000000-0005-0000-0000-00006D4B0000}"/>
    <cellStyle name="Warning Text 19" xfId="19308" xr:uid="{00000000-0005-0000-0000-00006E4B0000}"/>
    <cellStyle name="Warning Text 19 2" xfId="19309" xr:uid="{00000000-0005-0000-0000-00006F4B0000}"/>
    <cellStyle name="Warning Text 2" xfId="19310" xr:uid="{00000000-0005-0000-0000-0000704B0000}"/>
    <cellStyle name="Warning Text 2 10" xfId="19311" xr:uid="{00000000-0005-0000-0000-0000714B0000}"/>
    <cellStyle name="Warning Text 2 10 2" xfId="19312" xr:uid="{00000000-0005-0000-0000-0000724B0000}"/>
    <cellStyle name="Warning Text 2 11" xfId="19313" xr:uid="{00000000-0005-0000-0000-0000734B0000}"/>
    <cellStyle name="Warning Text 2 2" xfId="19314" xr:uid="{00000000-0005-0000-0000-0000744B0000}"/>
    <cellStyle name="Warning Text 2 2 2" xfId="19315" xr:uid="{00000000-0005-0000-0000-0000754B0000}"/>
    <cellStyle name="Warning Text 2 3" xfId="19316" xr:uid="{00000000-0005-0000-0000-0000764B0000}"/>
    <cellStyle name="Warning Text 2 3 2" xfId="19317" xr:uid="{00000000-0005-0000-0000-0000774B0000}"/>
    <cellStyle name="Warning Text 2 4" xfId="19318" xr:uid="{00000000-0005-0000-0000-0000784B0000}"/>
    <cellStyle name="Warning Text 2 4 2" xfId="19319" xr:uid="{00000000-0005-0000-0000-0000794B0000}"/>
    <cellStyle name="Warning Text 2 5" xfId="19320" xr:uid="{00000000-0005-0000-0000-00007A4B0000}"/>
    <cellStyle name="Warning Text 2 5 2" xfId="19321" xr:uid="{00000000-0005-0000-0000-00007B4B0000}"/>
    <cellStyle name="Warning Text 2 6" xfId="19322" xr:uid="{00000000-0005-0000-0000-00007C4B0000}"/>
    <cellStyle name="Warning Text 2 6 2" xfId="19323" xr:uid="{00000000-0005-0000-0000-00007D4B0000}"/>
    <cellStyle name="Warning Text 2 7" xfId="19324" xr:uid="{00000000-0005-0000-0000-00007E4B0000}"/>
    <cellStyle name="Warning Text 2 7 2" xfId="19325" xr:uid="{00000000-0005-0000-0000-00007F4B0000}"/>
    <cellStyle name="Warning Text 2 8" xfId="19326" xr:uid="{00000000-0005-0000-0000-0000804B0000}"/>
    <cellStyle name="Warning Text 2 8 2" xfId="19327" xr:uid="{00000000-0005-0000-0000-0000814B0000}"/>
    <cellStyle name="Warning Text 2 9" xfId="19328" xr:uid="{00000000-0005-0000-0000-0000824B0000}"/>
    <cellStyle name="Warning Text 2 9 2" xfId="19329" xr:uid="{00000000-0005-0000-0000-0000834B0000}"/>
    <cellStyle name="Warning Text 20" xfId="19330" xr:uid="{00000000-0005-0000-0000-0000844B0000}"/>
    <cellStyle name="Warning Text 20 2" xfId="19331" xr:uid="{00000000-0005-0000-0000-0000854B0000}"/>
    <cellStyle name="Warning Text 21" xfId="19332" xr:uid="{00000000-0005-0000-0000-0000864B0000}"/>
    <cellStyle name="Warning Text 21 2" xfId="19333" xr:uid="{00000000-0005-0000-0000-0000874B0000}"/>
    <cellStyle name="Warning Text 22" xfId="19334" xr:uid="{00000000-0005-0000-0000-0000884B0000}"/>
    <cellStyle name="Warning Text 23" xfId="19335" xr:uid="{00000000-0005-0000-0000-0000894B0000}"/>
    <cellStyle name="Warning Text 24" xfId="19336" xr:uid="{00000000-0005-0000-0000-00008A4B0000}"/>
    <cellStyle name="Warning Text 25" xfId="19337" xr:uid="{00000000-0005-0000-0000-00008B4B0000}"/>
    <cellStyle name="Warning Text 3" xfId="19338" xr:uid="{00000000-0005-0000-0000-00008C4B0000}"/>
    <cellStyle name="Warning Text 3 2" xfId="19339" xr:uid="{00000000-0005-0000-0000-00008D4B0000}"/>
    <cellStyle name="Warning Text 3 2 2" xfId="19340" xr:uid="{00000000-0005-0000-0000-00008E4B0000}"/>
    <cellStyle name="Warning Text 3 3" xfId="19341" xr:uid="{00000000-0005-0000-0000-00008F4B0000}"/>
    <cellStyle name="Warning Text 4" xfId="19342" xr:uid="{00000000-0005-0000-0000-0000904B0000}"/>
    <cellStyle name="Warning Text 4 2" xfId="19343" xr:uid="{00000000-0005-0000-0000-0000914B0000}"/>
    <cellStyle name="Warning Text 5" xfId="19344" xr:uid="{00000000-0005-0000-0000-0000924B0000}"/>
    <cellStyle name="Warning Text 5 2" xfId="19345" xr:uid="{00000000-0005-0000-0000-0000934B0000}"/>
    <cellStyle name="Warning Text 6" xfId="19346" xr:uid="{00000000-0005-0000-0000-0000944B0000}"/>
    <cellStyle name="Warning Text 6 2" xfId="19347" xr:uid="{00000000-0005-0000-0000-0000954B0000}"/>
    <cellStyle name="Warning Text 7" xfId="19348" xr:uid="{00000000-0005-0000-0000-0000964B0000}"/>
    <cellStyle name="Warning Text 7 2" xfId="19349" xr:uid="{00000000-0005-0000-0000-0000974B0000}"/>
    <cellStyle name="Warning Text 8" xfId="19350" xr:uid="{00000000-0005-0000-0000-0000984B0000}"/>
    <cellStyle name="Warning Text 8 2" xfId="19351" xr:uid="{00000000-0005-0000-0000-0000994B0000}"/>
    <cellStyle name="Warning Text 9" xfId="19352" xr:uid="{00000000-0005-0000-0000-00009A4B0000}"/>
    <cellStyle name="Warning Text 9 2" xfId="19353" xr:uid="{00000000-0005-0000-0000-00009B4B0000}"/>
    <cellStyle name="year" xfId="19354" xr:uid="{00000000-0005-0000-0000-00009C4B0000}"/>
    <cellStyle name="year 2" xfId="19355" xr:uid="{00000000-0005-0000-0000-00009D4B0000}"/>
    <cellStyle name="year 3" xfId="19356" xr:uid="{00000000-0005-0000-0000-00009E4B0000}"/>
    <cellStyle name="Yellow" xfId="19357" xr:uid="{00000000-0005-0000-0000-00009F4B0000}"/>
    <cellStyle name="zero" xfId="19358" xr:uid="{00000000-0005-0000-0000-0000A04B0000}"/>
    <cellStyle name="zero 2" xfId="19359" xr:uid="{00000000-0005-0000-0000-0000A14B0000}"/>
    <cellStyle name="zero 3" xfId="19360" xr:uid="{00000000-0005-0000-0000-0000A24B0000}"/>
    <cellStyle name="సాధారణ_Copy of Model estimate-Basnapally--07-05-06-Final" xfId="19361" xr:uid="{00000000-0005-0000-0000-0000A34B0000}"/>
    <cellStyle name="_Revenue_Manpower Loading呃䍜" xfId="19362" xr:uid="{00000000-0005-0000-0000-0000A44B0000}"/>
    <cellStyle name="똿뗦먛귟 [0.00]_PRODUCT DETAIL Q1" xfId="19363" xr:uid="{00000000-0005-0000-0000-0000A54B0000}"/>
    <cellStyle name="똿뗦먛귟_PRODUCT DETAIL Q1" xfId="19364" xr:uid="{00000000-0005-0000-0000-0000A64B0000}"/>
    <cellStyle name="믅됞 [0.00]_PRODUCT DETAIL Q1" xfId="19365" xr:uid="{00000000-0005-0000-0000-0000A74B0000}"/>
    <cellStyle name="믅됞_PRODUCT DETAIL Q1" xfId="19366" xr:uid="{00000000-0005-0000-0000-0000A84B0000}"/>
    <cellStyle name="백분율_HOBONG" xfId="19367" xr:uid="{00000000-0005-0000-0000-0000A94B0000}"/>
    <cellStyle name="뷭?_BOOKSHIP" xfId="19368" xr:uid="{00000000-0005-0000-0000-0000AA4B0000}"/>
    <cellStyle name="콤마 [0]_1.24분기 평가표 " xfId="19369" xr:uid="{00000000-0005-0000-0000-0000AB4B0000}"/>
    <cellStyle name="콤마_1.24분기 평가표 " xfId="19370" xr:uid="{00000000-0005-0000-0000-0000AC4B0000}"/>
    <cellStyle name="통화 [0]_1.24분기 평가표 " xfId="19371" xr:uid="{00000000-0005-0000-0000-0000AD4B0000}"/>
    <cellStyle name="통화_1.24분기 평가표 " xfId="19372" xr:uid="{00000000-0005-0000-0000-0000AE4B0000}"/>
    <cellStyle name="표준_(정보부문)월별인원계획" xfId="19373" xr:uid="{00000000-0005-0000-0000-0000AF4B0000}"/>
    <cellStyle name="千位分隔 2" xfId="19374" xr:uid="{00000000-0005-0000-0000-0000B04B0000}"/>
    <cellStyle name="千位分隔 3" xfId="19375" xr:uid="{00000000-0005-0000-0000-0000B14B0000}"/>
    <cellStyle name="千位分隔 4" xfId="19376" xr:uid="{00000000-0005-0000-0000-0000B24B0000}"/>
    <cellStyle name="好" xfId="19377" xr:uid="{00000000-0005-0000-0000-0000B34B0000}"/>
    <cellStyle name="好_No 5 IPC 37  Stanley " xfId="19378" xr:uid="{00000000-0005-0000-0000-0000B44B0000}"/>
    <cellStyle name="好_No.3 5 6 IPC 37   Stanley" xfId="19379" xr:uid="{00000000-0005-0000-0000-0000B54B0000}"/>
    <cellStyle name="好_No.6 IPC 36- stanley 3-3 " xfId="19380" xr:uid="{00000000-0005-0000-0000-0000B64B0000}"/>
    <cellStyle name="差" xfId="19381" xr:uid="{00000000-0005-0000-0000-0000B74B0000}"/>
    <cellStyle name="差_No 5 IPC 37  Stanley " xfId="19382" xr:uid="{00000000-0005-0000-0000-0000B84B0000}"/>
    <cellStyle name="差_No.3 5 6 IPC 37   Stanley" xfId="19383" xr:uid="{00000000-0005-0000-0000-0000B94B0000}"/>
    <cellStyle name="差_No.6 IPC 36- stanley 3-3 " xfId="19384" xr:uid="{00000000-0005-0000-0000-0000BA4B0000}"/>
    <cellStyle name="常规 2" xfId="19385" xr:uid="{00000000-0005-0000-0000-0000BB4B0000}"/>
    <cellStyle name="常规 3" xfId="19386" xr:uid="{00000000-0005-0000-0000-0000BC4B0000}"/>
    <cellStyle name="常规_5.01a" xfId="19387" xr:uid="{00000000-0005-0000-0000-0000BD4B0000}"/>
    <cellStyle name="强调文字颜色 1" xfId="19388" xr:uid="{00000000-0005-0000-0000-0000BE4B0000}"/>
    <cellStyle name="强调文字颜色 2" xfId="19389" xr:uid="{00000000-0005-0000-0000-0000BF4B0000}"/>
    <cellStyle name="强调文字颜色 3" xfId="19390" xr:uid="{00000000-0005-0000-0000-0000C04B0000}"/>
    <cellStyle name="强调文字颜色 4" xfId="19391" xr:uid="{00000000-0005-0000-0000-0000C14B0000}"/>
    <cellStyle name="强调文字颜色 5" xfId="19392" xr:uid="{00000000-0005-0000-0000-0000C24B0000}"/>
    <cellStyle name="强调文字颜色 6" xfId="19393" xr:uid="{00000000-0005-0000-0000-0000C34B0000}"/>
    <cellStyle name="标题" xfId="19394" xr:uid="{00000000-0005-0000-0000-0000C44B0000}"/>
    <cellStyle name="标题 1" xfId="19395" xr:uid="{00000000-0005-0000-0000-0000C54B0000}"/>
    <cellStyle name="标题 2" xfId="19396" xr:uid="{00000000-0005-0000-0000-0000C64B0000}"/>
    <cellStyle name="标题 3" xfId="19397" xr:uid="{00000000-0005-0000-0000-0000C74B0000}"/>
    <cellStyle name="标题 4" xfId="19398" xr:uid="{00000000-0005-0000-0000-0000C84B0000}"/>
    <cellStyle name="检查单元格" xfId="19399" xr:uid="{00000000-0005-0000-0000-0000C94B0000}"/>
    <cellStyle name="汇总" xfId="19400" xr:uid="{00000000-0005-0000-0000-0000CA4B0000}"/>
    <cellStyle name="注释" xfId="19401" xr:uid="{00000000-0005-0000-0000-0000CB4B0000}"/>
    <cellStyle name="砯刽 [0]_Revenuenu" xfId="19402" xr:uid="{00000000-0005-0000-0000-0000CC4B0000}"/>
    <cellStyle name="砯刽_Revenueen" xfId="19403" xr:uid="{00000000-0005-0000-0000-0000CD4B0000}"/>
    <cellStyle name="解释性文本" xfId="19404" xr:uid="{00000000-0005-0000-0000-0000CE4B0000}"/>
    <cellStyle name="警告文本" xfId="19405" xr:uid="{00000000-0005-0000-0000-0000CF4B0000}"/>
    <cellStyle name="计算" xfId="19406" xr:uid="{00000000-0005-0000-0000-0000D04B0000}"/>
    <cellStyle name="输入" xfId="19407" xr:uid="{00000000-0005-0000-0000-0000D14B0000}"/>
    <cellStyle name="输出" xfId="19408" xr:uid="{00000000-0005-0000-0000-0000D24B0000}"/>
    <cellStyle name="适中" xfId="19409" xr:uid="{00000000-0005-0000-0000-0000D34B0000}"/>
    <cellStyle name="链接单元格" xfId="19410" xr:uid="{00000000-0005-0000-0000-0000D44B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63.xml"/><Relationship Id="rId21" Type="http://schemas.openxmlformats.org/officeDocument/2006/relationships/worksheet" Target="worksheets/sheet21.xml"/><Relationship Id="rId63" Type="http://schemas.openxmlformats.org/officeDocument/2006/relationships/externalLink" Target="externalLinks/externalLink9.xml"/><Relationship Id="rId159" Type="http://schemas.openxmlformats.org/officeDocument/2006/relationships/externalLink" Target="externalLinks/externalLink105.xml"/><Relationship Id="rId170" Type="http://schemas.openxmlformats.org/officeDocument/2006/relationships/externalLink" Target="externalLinks/externalLink116.xml"/><Relationship Id="rId226" Type="http://schemas.openxmlformats.org/officeDocument/2006/relationships/externalLink" Target="externalLinks/externalLink172.xml"/><Relationship Id="rId268" Type="http://schemas.openxmlformats.org/officeDocument/2006/relationships/externalLink" Target="externalLinks/externalLink214.xml"/><Relationship Id="rId32" Type="http://schemas.openxmlformats.org/officeDocument/2006/relationships/worksheet" Target="worksheets/sheet32.xml"/><Relationship Id="rId74" Type="http://schemas.openxmlformats.org/officeDocument/2006/relationships/externalLink" Target="externalLinks/externalLink20.xml"/><Relationship Id="rId128" Type="http://schemas.openxmlformats.org/officeDocument/2006/relationships/externalLink" Target="externalLinks/externalLink74.xml"/><Relationship Id="rId5" Type="http://schemas.openxmlformats.org/officeDocument/2006/relationships/worksheet" Target="worksheets/sheet5.xml"/><Relationship Id="rId181" Type="http://schemas.openxmlformats.org/officeDocument/2006/relationships/externalLink" Target="externalLinks/externalLink127.xml"/><Relationship Id="rId237" Type="http://schemas.openxmlformats.org/officeDocument/2006/relationships/externalLink" Target="externalLinks/externalLink183.xml"/><Relationship Id="rId258" Type="http://schemas.openxmlformats.org/officeDocument/2006/relationships/externalLink" Target="externalLinks/externalLink204.xml"/><Relationship Id="rId279" Type="http://schemas.openxmlformats.org/officeDocument/2006/relationships/sharedStrings" Target="sharedStrings.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externalLink" Target="externalLinks/externalLink10.xml"/><Relationship Id="rId118" Type="http://schemas.openxmlformats.org/officeDocument/2006/relationships/externalLink" Target="externalLinks/externalLink64.xml"/><Relationship Id="rId139" Type="http://schemas.openxmlformats.org/officeDocument/2006/relationships/externalLink" Target="externalLinks/externalLink85.xml"/><Relationship Id="rId85" Type="http://schemas.openxmlformats.org/officeDocument/2006/relationships/externalLink" Target="externalLinks/externalLink31.xml"/><Relationship Id="rId150" Type="http://schemas.openxmlformats.org/officeDocument/2006/relationships/externalLink" Target="externalLinks/externalLink96.xml"/><Relationship Id="rId171" Type="http://schemas.openxmlformats.org/officeDocument/2006/relationships/externalLink" Target="externalLinks/externalLink117.xml"/><Relationship Id="rId192" Type="http://schemas.openxmlformats.org/officeDocument/2006/relationships/externalLink" Target="externalLinks/externalLink138.xml"/><Relationship Id="rId206" Type="http://schemas.openxmlformats.org/officeDocument/2006/relationships/externalLink" Target="externalLinks/externalLink152.xml"/><Relationship Id="rId227" Type="http://schemas.openxmlformats.org/officeDocument/2006/relationships/externalLink" Target="externalLinks/externalLink173.xml"/><Relationship Id="rId248" Type="http://schemas.openxmlformats.org/officeDocument/2006/relationships/externalLink" Target="externalLinks/externalLink194.xml"/><Relationship Id="rId269" Type="http://schemas.openxmlformats.org/officeDocument/2006/relationships/externalLink" Target="externalLinks/externalLink215.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externalLink" Target="externalLinks/externalLink54.xml"/><Relationship Id="rId129" Type="http://schemas.openxmlformats.org/officeDocument/2006/relationships/externalLink" Target="externalLinks/externalLink75.xml"/><Relationship Id="rId280" Type="http://schemas.openxmlformats.org/officeDocument/2006/relationships/calcChain" Target="calcChain.xml"/><Relationship Id="rId54" Type="http://schemas.openxmlformats.org/officeDocument/2006/relationships/worksheet" Target="worksheets/sheet54.xml"/><Relationship Id="rId75" Type="http://schemas.openxmlformats.org/officeDocument/2006/relationships/externalLink" Target="externalLinks/externalLink21.xml"/><Relationship Id="rId96" Type="http://schemas.openxmlformats.org/officeDocument/2006/relationships/externalLink" Target="externalLinks/externalLink42.xml"/><Relationship Id="rId140" Type="http://schemas.openxmlformats.org/officeDocument/2006/relationships/externalLink" Target="externalLinks/externalLink86.xml"/><Relationship Id="rId161" Type="http://schemas.openxmlformats.org/officeDocument/2006/relationships/externalLink" Target="externalLinks/externalLink107.xml"/><Relationship Id="rId182" Type="http://schemas.openxmlformats.org/officeDocument/2006/relationships/externalLink" Target="externalLinks/externalLink128.xml"/><Relationship Id="rId217" Type="http://schemas.openxmlformats.org/officeDocument/2006/relationships/externalLink" Target="externalLinks/externalLink163.xml"/><Relationship Id="rId6" Type="http://schemas.openxmlformats.org/officeDocument/2006/relationships/worksheet" Target="worksheets/sheet6.xml"/><Relationship Id="rId238" Type="http://schemas.openxmlformats.org/officeDocument/2006/relationships/externalLink" Target="externalLinks/externalLink184.xml"/><Relationship Id="rId259" Type="http://schemas.openxmlformats.org/officeDocument/2006/relationships/externalLink" Target="externalLinks/externalLink205.xml"/><Relationship Id="rId23" Type="http://schemas.openxmlformats.org/officeDocument/2006/relationships/worksheet" Target="worksheets/sheet23.xml"/><Relationship Id="rId119" Type="http://schemas.openxmlformats.org/officeDocument/2006/relationships/externalLink" Target="externalLinks/externalLink65.xml"/><Relationship Id="rId270" Type="http://schemas.openxmlformats.org/officeDocument/2006/relationships/externalLink" Target="externalLinks/externalLink216.xml"/><Relationship Id="rId44" Type="http://schemas.openxmlformats.org/officeDocument/2006/relationships/worksheet" Target="worksheets/sheet44.xml"/><Relationship Id="rId65" Type="http://schemas.openxmlformats.org/officeDocument/2006/relationships/externalLink" Target="externalLinks/externalLink11.xml"/><Relationship Id="rId86" Type="http://schemas.openxmlformats.org/officeDocument/2006/relationships/externalLink" Target="externalLinks/externalLink32.xml"/><Relationship Id="rId130" Type="http://schemas.openxmlformats.org/officeDocument/2006/relationships/externalLink" Target="externalLinks/externalLink76.xml"/><Relationship Id="rId151" Type="http://schemas.openxmlformats.org/officeDocument/2006/relationships/externalLink" Target="externalLinks/externalLink97.xml"/><Relationship Id="rId172" Type="http://schemas.openxmlformats.org/officeDocument/2006/relationships/externalLink" Target="externalLinks/externalLink118.xml"/><Relationship Id="rId193" Type="http://schemas.openxmlformats.org/officeDocument/2006/relationships/externalLink" Target="externalLinks/externalLink139.xml"/><Relationship Id="rId207" Type="http://schemas.openxmlformats.org/officeDocument/2006/relationships/externalLink" Target="externalLinks/externalLink153.xml"/><Relationship Id="rId228" Type="http://schemas.openxmlformats.org/officeDocument/2006/relationships/externalLink" Target="externalLinks/externalLink174.xml"/><Relationship Id="rId249" Type="http://schemas.openxmlformats.org/officeDocument/2006/relationships/externalLink" Target="externalLinks/externalLink195.xml"/><Relationship Id="rId13" Type="http://schemas.openxmlformats.org/officeDocument/2006/relationships/worksheet" Target="worksheets/sheet13.xml"/><Relationship Id="rId109" Type="http://schemas.openxmlformats.org/officeDocument/2006/relationships/externalLink" Target="externalLinks/externalLink55.xml"/><Relationship Id="rId260" Type="http://schemas.openxmlformats.org/officeDocument/2006/relationships/externalLink" Target="externalLinks/externalLink206.xml"/><Relationship Id="rId34" Type="http://schemas.openxmlformats.org/officeDocument/2006/relationships/worksheet" Target="worksheets/sheet34.xml"/><Relationship Id="rId55" Type="http://schemas.openxmlformats.org/officeDocument/2006/relationships/externalLink" Target="externalLinks/externalLink1.xml"/><Relationship Id="rId76" Type="http://schemas.openxmlformats.org/officeDocument/2006/relationships/externalLink" Target="externalLinks/externalLink22.xml"/><Relationship Id="rId97" Type="http://schemas.openxmlformats.org/officeDocument/2006/relationships/externalLink" Target="externalLinks/externalLink43.xml"/><Relationship Id="rId120" Type="http://schemas.openxmlformats.org/officeDocument/2006/relationships/externalLink" Target="externalLinks/externalLink66.xml"/><Relationship Id="rId141" Type="http://schemas.openxmlformats.org/officeDocument/2006/relationships/externalLink" Target="externalLinks/externalLink87.xml"/><Relationship Id="rId7" Type="http://schemas.openxmlformats.org/officeDocument/2006/relationships/worksheet" Target="worksheets/sheet7.xml"/><Relationship Id="rId162" Type="http://schemas.openxmlformats.org/officeDocument/2006/relationships/externalLink" Target="externalLinks/externalLink108.xml"/><Relationship Id="rId183" Type="http://schemas.openxmlformats.org/officeDocument/2006/relationships/externalLink" Target="externalLinks/externalLink129.xml"/><Relationship Id="rId218" Type="http://schemas.openxmlformats.org/officeDocument/2006/relationships/externalLink" Target="externalLinks/externalLink164.xml"/><Relationship Id="rId239" Type="http://schemas.openxmlformats.org/officeDocument/2006/relationships/externalLink" Target="externalLinks/externalLink185.xml"/><Relationship Id="rId250" Type="http://schemas.openxmlformats.org/officeDocument/2006/relationships/externalLink" Target="externalLinks/externalLink196.xml"/><Relationship Id="rId271" Type="http://schemas.openxmlformats.org/officeDocument/2006/relationships/externalLink" Target="externalLinks/externalLink217.xml"/><Relationship Id="rId24" Type="http://schemas.openxmlformats.org/officeDocument/2006/relationships/worksheet" Target="worksheets/sheet24.xml"/><Relationship Id="rId45" Type="http://schemas.openxmlformats.org/officeDocument/2006/relationships/worksheet" Target="worksheets/sheet45.xml"/><Relationship Id="rId66" Type="http://schemas.openxmlformats.org/officeDocument/2006/relationships/externalLink" Target="externalLinks/externalLink12.xml"/><Relationship Id="rId87" Type="http://schemas.openxmlformats.org/officeDocument/2006/relationships/externalLink" Target="externalLinks/externalLink33.xml"/><Relationship Id="rId110" Type="http://schemas.openxmlformats.org/officeDocument/2006/relationships/externalLink" Target="externalLinks/externalLink56.xml"/><Relationship Id="rId131" Type="http://schemas.openxmlformats.org/officeDocument/2006/relationships/externalLink" Target="externalLinks/externalLink77.xml"/><Relationship Id="rId152" Type="http://schemas.openxmlformats.org/officeDocument/2006/relationships/externalLink" Target="externalLinks/externalLink98.xml"/><Relationship Id="rId173" Type="http://schemas.openxmlformats.org/officeDocument/2006/relationships/externalLink" Target="externalLinks/externalLink119.xml"/><Relationship Id="rId194" Type="http://schemas.openxmlformats.org/officeDocument/2006/relationships/externalLink" Target="externalLinks/externalLink140.xml"/><Relationship Id="rId208" Type="http://schemas.openxmlformats.org/officeDocument/2006/relationships/externalLink" Target="externalLinks/externalLink154.xml"/><Relationship Id="rId229" Type="http://schemas.openxmlformats.org/officeDocument/2006/relationships/externalLink" Target="externalLinks/externalLink175.xml"/><Relationship Id="rId240" Type="http://schemas.openxmlformats.org/officeDocument/2006/relationships/externalLink" Target="externalLinks/externalLink186.xml"/><Relationship Id="rId261" Type="http://schemas.openxmlformats.org/officeDocument/2006/relationships/externalLink" Target="externalLinks/externalLink207.xml"/><Relationship Id="rId14" Type="http://schemas.openxmlformats.org/officeDocument/2006/relationships/worksheet" Target="worksheets/sheet14.xml"/><Relationship Id="rId35" Type="http://schemas.openxmlformats.org/officeDocument/2006/relationships/worksheet" Target="worksheets/sheet35.xml"/><Relationship Id="rId56" Type="http://schemas.openxmlformats.org/officeDocument/2006/relationships/externalLink" Target="externalLinks/externalLink2.xml"/><Relationship Id="rId77" Type="http://schemas.openxmlformats.org/officeDocument/2006/relationships/externalLink" Target="externalLinks/externalLink23.xml"/><Relationship Id="rId100" Type="http://schemas.openxmlformats.org/officeDocument/2006/relationships/externalLink" Target="externalLinks/externalLink46.xml"/><Relationship Id="rId8" Type="http://schemas.openxmlformats.org/officeDocument/2006/relationships/worksheet" Target="worksheets/sheet8.xml"/><Relationship Id="rId98" Type="http://schemas.openxmlformats.org/officeDocument/2006/relationships/externalLink" Target="externalLinks/externalLink44.xml"/><Relationship Id="rId121" Type="http://schemas.openxmlformats.org/officeDocument/2006/relationships/externalLink" Target="externalLinks/externalLink67.xml"/><Relationship Id="rId142" Type="http://schemas.openxmlformats.org/officeDocument/2006/relationships/externalLink" Target="externalLinks/externalLink88.xml"/><Relationship Id="rId163" Type="http://schemas.openxmlformats.org/officeDocument/2006/relationships/externalLink" Target="externalLinks/externalLink109.xml"/><Relationship Id="rId184" Type="http://schemas.openxmlformats.org/officeDocument/2006/relationships/externalLink" Target="externalLinks/externalLink130.xml"/><Relationship Id="rId219" Type="http://schemas.openxmlformats.org/officeDocument/2006/relationships/externalLink" Target="externalLinks/externalLink165.xml"/><Relationship Id="rId230" Type="http://schemas.openxmlformats.org/officeDocument/2006/relationships/externalLink" Target="externalLinks/externalLink176.xml"/><Relationship Id="rId251" Type="http://schemas.openxmlformats.org/officeDocument/2006/relationships/externalLink" Target="externalLinks/externalLink197.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externalLink" Target="externalLinks/externalLink13.xml"/><Relationship Id="rId272" Type="http://schemas.openxmlformats.org/officeDocument/2006/relationships/externalLink" Target="externalLinks/externalLink218.xml"/><Relationship Id="rId88" Type="http://schemas.openxmlformats.org/officeDocument/2006/relationships/externalLink" Target="externalLinks/externalLink34.xml"/><Relationship Id="rId111" Type="http://schemas.openxmlformats.org/officeDocument/2006/relationships/externalLink" Target="externalLinks/externalLink57.xml"/><Relationship Id="rId132" Type="http://schemas.openxmlformats.org/officeDocument/2006/relationships/externalLink" Target="externalLinks/externalLink78.xml"/><Relationship Id="rId153" Type="http://schemas.openxmlformats.org/officeDocument/2006/relationships/externalLink" Target="externalLinks/externalLink99.xml"/><Relationship Id="rId174" Type="http://schemas.openxmlformats.org/officeDocument/2006/relationships/externalLink" Target="externalLinks/externalLink120.xml"/><Relationship Id="rId195" Type="http://schemas.openxmlformats.org/officeDocument/2006/relationships/externalLink" Target="externalLinks/externalLink141.xml"/><Relationship Id="rId209" Type="http://schemas.openxmlformats.org/officeDocument/2006/relationships/externalLink" Target="externalLinks/externalLink155.xml"/><Relationship Id="rId220" Type="http://schemas.openxmlformats.org/officeDocument/2006/relationships/externalLink" Target="externalLinks/externalLink166.xml"/><Relationship Id="rId241" Type="http://schemas.openxmlformats.org/officeDocument/2006/relationships/externalLink" Target="externalLinks/externalLink187.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externalLink" Target="externalLinks/externalLink3.xml"/><Relationship Id="rId262" Type="http://schemas.openxmlformats.org/officeDocument/2006/relationships/externalLink" Target="externalLinks/externalLink208.xml"/><Relationship Id="rId78" Type="http://schemas.openxmlformats.org/officeDocument/2006/relationships/externalLink" Target="externalLinks/externalLink24.xml"/><Relationship Id="rId99" Type="http://schemas.openxmlformats.org/officeDocument/2006/relationships/externalLink" Target="externalLinks/externalLink45.xml"/><Relationship Id="rId101" Type="http://schemas.openxmlformats.org/officeDocument/2006/relationships/externalLink" Target="externalLinks/externalLink47.xml"/><Relationship Id="rId122" Type="http://schemas.openxmlformats.org/officeDocument/2006/relationships/externalLink" Target="externalLinks/externalLink68.xml"/><Relationship Id="rId143" Type="http://schemas.openxmlformats.org/officeDocument/2006/relationships/externalLink" Target="externalLinks/externalLink89.xml"/><Relationship Id="rId164" Type="http://schemas.openxmlformats.org/officeDocument/2006/relationships/externalLink" Target="externalLinks/externalLink110.xml"/><Relationship Id="rId185" Type="http://schemas.openxmlformats.org/officeDocument/2006/relationships/externalLink" Target="externalLinks/externalLink131.xml"/><Relationship Id="rId9" Type="http://schemas.openxmlformats.org/officeDocument/2006/relationships/worksheet" Target="worksheets/sheet9.xml"/><Relationship Id="rId210" Type="http://schemas.openxmlformats.org/officeDocument/2006/relationships/externalLink" Target="externalLinks/externalLink156.xml"/><Relationship Id="rId26" Type="http://schemas.openxmlformats.org/officeDocument/2006/relationships/worksheet" Target="worksheets/sheet26.xml"/><Relationship Id="rId231" Type="http://schemas.openxmlformats.org/officeDocument/2006/relationships/externalLink" Target="externalLinks/externalLink177.xml"/><Relationship Id="rId252" Type="http://schemas.openxmlformats.org/officeDocument/2006/relationships/externalLink" Target="externalLinks/externalLink198.xml"/><Relationship Id="rId273" Type="http://schemas.openxmlformats.org/officeDocument/2006/relationships/externalLink" Target="externalLinks/externalLink219.xml"/><Relationship Id="rId47" Type="http://schemas.openxmlformats.org/officeDocument/2006/relationships/worksheet" Target="worksheets/sheet47.xml"/><Relationship Id="rId68" Type="http://schemas.openxmlformats.org/officeDocument/2006/relationships/externalLink" Target="externalLinks/externalLink14.xml"/><Relationship Id="rId89" Type="http://schemas.openxmlformats.org/officeDocument/2006/relationships/externalLink" Target="externalLinks/externalLink35.xml"/><Relationship Id="rId112" Type="http://schemas.openxmlformats.org/officeDocument/2006/relationships/externalLink" Target="externalLinks/externalLink58.xml"/><Relationship Id="rId133" Type="http://schemas.openxmlformats.org/officeDocument/2006/relationships/externalLink" Target="externalLinks/externalLink79.xml"/><Relationship Id="rId154" Type="http://schemas.openxmlformats.org/officeDocument/2006/relationships/externalLink" Target="externalLinks/externalLink100.xml"/><Relationship Id="rId175" Type="http://schemas.openxmlformats.org/officeDocument/2006/relationships/externalLink" Target="externalLinks/externalLink121.xml"/><Relationship Id="rId196" Type="http://schemas.openxmlformats.org/officeDocument/2006/relationships/externalLink" Target="externalLinks/externalLink142.xml"/><Relationship Id="rId200" Type="http://schemas.openxmlformats.org/officeDocument/2006/relationships/externalLink" Target="externalLinks/externalLink146.xml"/><Relationship Id="rId16" Type="http://schemas.openxmlformats.org/officeDocument/2006/relationships/worksheet" Target="worksheets/sheet16.xml"/><Relationship Id="rId221" Type="http://schemas.openxmlformats.org/officeDocument/2006/relationships/externalLink" Target="externalLinks/externalLink167.xml"/><Relationship Id="rId242" Type="http://schemas.openxmlformats.org/officeDocument/2006/relationships/externalLink" Target="externalLinks/externalLink188.xml"/><Relationship Id="rId263" Type="http://schemas.openxmlformats.org/officeDocument/2006/relationships/externalLink" Target="externalLinks/externalLink209.xml"/><Relationship Id="rId37" Type="http://schemas.openxmlformats.org/officeDocument/2006/relationships/worksheet" Target="worksheets/sheet37.xml"/><Relationship Id="rId58" Type="http://schemas.openxmlformats.org/officeDocument/2006/relationships/externalLink" Target="externalLinks/externalLink4.xml"/><Relationship Id="rId79" Type="http://schemas.openxmlformats.org/officeDocument/2006/relationships/externalLink" Target="externalLinks/externalLink25.xml"/><Relationship Id="rId102" Type="http://schemas.openxmlformats.org/officeDocument/2006/relationships/externalLink" Target="externalLinks/externalLink48.xml"/><Relationship Id="rId123" Type="http://schemas.openxmlformats.org/officeDocument/2006/relationships/externalLink" Target="externalLinks/externalLink69.xml"/><Relationship Id="rId144" Type="http://schemas.openxmlformats.org/officeDocument/2006/relationships/externalLink" Target="externalLinks/externalLink90.xml"/><Relationship Id="rId90" Type="http://schemas.openxmlformats.org/officeDocument/2006/relationships/externalLink" Target="externalLinks/externalLink36.xml"/><Relationship Id="rId165" Type="http://schemas.openxmlformats.org/officeDocument/2006/relationships/externalLink" Target="externalLinks/externalLink111.xml"/><Relationship Id="rId186" Type="http://schemas.openxmlformats.org/officeDocument/2006/relationships/externalLink" Target="externalLinks/externalLink132.xml"/><Relationship Id="rId211" Type="http://schemas.openxmlformats.org/officeDocument/2006/relationships/externalLink" Target="externalLinks/externalLink157.xml"/><Relationship Id="rId232" Type="http://schemas.openxmlformats.org/officeDocument/2006/relationships/externalLink" Target="externalLinks/externalLink178.xml"/><Relationship Id="rId253" Type="http://schemas.openxmlformats.org/officeDocument/2006/relationships/externalLink" Target="externalLinks/externalLink199.xml"/><Relationship Id="rId274" Type="http://schemas.openxmlformats.org/officeDocument/2006/relationships/externalLink" Target="externalLinks/externalLink220.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externalLink" Target="externalLinks/externalLink15.xml"/><Relationship Id="rId113" Type="http://schemas.openxmlformats.org/officeDocument/2006/relationships/externalLink" Target="externalLinks/externalLink59.xml"/><Relationship Id="rId134" Type="http://schemas.openxmlformats.org/officeDocument/2006/relationships/externalLink" Target="externalLinks/externalLink80.xml"/><Relationship Id="rId80" Type="http://schemas.openxmlformats.org/officeDocument/2006/relationships/externalLink" Target="externalLinks/externalLink26.xml"/><Relationship Id="rId155" Type="http://schemas.openxmlformats.org/officeDocument/2006/relationships/externalLink" Target="externalLinks/externalLink101.xml"/><Relationship Id="rId176" Type="http://schemas.openxmlformats.org/officeDocument/2006/relationships/externalLink" Target="externalLinks/externalLink122.xml"/><Relationship Id="rId197" Type="http://schemas.openxmlformats.org/officeDocument/2006/relationships/externalLink" Target="externalLinks/externalLink143.xml"/><Relationship Id="rId201" Type="http://schemas.openxmlformats.org/officeDocument/2006/relationships/externalLink" Target="externalLinks/externalLink147.xml"/><Relationship Id="rId222" Type="http://schemas.openxmlformats.org/officeDocument/2006/relationships/externalLink" Target="externalLinks/externalLink168.xml"/><Relationship Id="rId243" Type="http://schemas.openxmlformats.org/officeDocument/2006/relationships/externalLink" Target="externalLinks/externalLink189.xml"/><Relationship Id="rId264" Type="http://schemas.openxmlformats.org/officeDocument/2006/relationships/externalLink" Target="externalLinks/externalLink210.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externalLink" Target="externalLinks/externalLink5.xml"/><Relationship Id="rId103" Type="http://schemas.openxmlformats.org/officeDocument/2006/relationships/externalLink" Target="externalLinks/externalLink49.xml"/><Relationship Id="rId124" Type="http://schemas.openxmlformats.org/officeDocument/2006/relationships/externalLink" Target="externalLinks/externalLink70.xml"/><Relationship Id="rId70" Type="http://schemas.openxmlformats.org/officeDocument/2006/relationships/externalLink" Target="externalLinks/externalLink16.xml"/><Relationship Id="rId91" Type="http://schemas.openxmlformats.org/officeDocument/2006/relationships/externalLink" Target="externalLinks/externalLink37.xml"/><Relationship Id="rId145" Type="http://schemas.openxmlformats.org/officeDocument/2006/relationships/externalLink" Target="externalLinks/externalLink91.xml"/><Relationship Id="rId166" Type="http://schemas.openxmlformats.org/officeDocument/2006/relationships/externalLink" Target="externalLinks/externalLink112.xml"/><Relationship Id="rId187" Type="http://schemas.openxmlformats.org/officeDocument/2006/relationships/externalLink" Target="externalLinks/externalLink133.xml"/><Relationship Id="rId1" Type="http://schemas.openxmlformats.org/officeDocument/2006/relationships/worksheet" Target="worksheets/sheet1.xml"/><Relationship Id="rId212" Type="http://schemas.openxmlformats.org/officeDocument/2006/relationships/externalLink" Target="externalLinks/externalLink158.xml"/><Relationship Id="rId233" Type="http://schemas.openxmlformats.org/officeDocument/2006/relationships/externalLink" Target="externalLinks/externalLink179.xml"/><Relationship Id="rId254" Type="http://schemas.openxmlformats.org/officeDocument/2006/relationships/externalLink" Target="externalLinks/externalLink200.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externalLink" Target="externalLinks/externalLink60.xml"/><Relationship Id="rId275" Type="http://schemas.openxmlformats.org/officeDocument/2006/relationships/externalLink" Target="externalLinks/externalLink221.xml"/><Relationship Id="rId60" Type="http://schemas.openxmlformats.org/officeDocument/2006/relationships/externalLink" Target="externalLinks/externalLink6.xml"/><Relationship Id="rId81" Type="http://schemas.openxmlformats.org/officeDocument/2006/relationships/externalLink" Target="externalLinks/externalLink27.xml"/><Relationship Id="rId135" Type="http://schemas.openxmlformats.org/officeDocument/2006/relationships/externalLink" Target="externalLinks/externalLink81.xml"/><Relationship Id="rId156" Type="http://schemas.openxmlformats.org/officeDocument/2006/relationships/externalLink" Target="externalLinks/externalLink102.xml"/><Relationship Id="rId177" Type="http://schemas.openxmlformats.org/officeDocument/2006/relationships/externalLink" Target="externalLinks/externalLink123.xml"/><Relationship Id="rId198" Type="http://schemas.openxmlformats.org/officeDocument/2006/relationships/externalLink" Target="externalLinks/externalLink144.xml"/><Relationship Id="rId202" Type="http://schemas.openxmlformats.org/officeDocument/2006/relationships/externalLink" Target="externalLinks/externalLink148.xml"/><Relationship Id="rId223" Type="http://schemas.openxmlformats.org/officeDocument/2006/relationships/externalLink" Target="externalLinks/externalLink169.xml"/><Relationship Id="rId244" Type="http://schemas.openxmlformats.org/officeDocument/2006/relationships/externalLink" Target="externalLinks/externalLink190.xml"/><Relationship Id="rId18" Type="http://schemas.openxmlformats.org/officeDocument/2006/relationships/worksheet" Target="worksheets/sheet18.xml"/><Relationship Id="rId39" Type="http://schemas.openxmlformats.org/officeDocument/2006/relationships/worksheet" Target="worksheets/sheet39.xml"/><Relationship Id="rId265" Type="http://schemas.openxmlformats.org/officeDocument/2006/relationships/externalLink" Target="externalLinks/externalLink211.xml"/><Relationship Id="rId50" Type="http://schemas.openxmlformats.org/officeDocument/2006/relationships/worksheet" Target="worksheets/sheet50.xml"/><Relationship Id="rId104" Type="http://schemas.openxmlformats.org/officeDocument/2006/relationships/externalLink" Target="externalLinks/externalLink50.xml"/><Relationship Id="rId125" Type="http://schemas.openxmlformats.org/officeDocument/2006/relationships/externalLink" Target="externalLinks/externalLink71.xml"/><Relationship Id="rId146" Type="http://schemas.openxmlformats.org/officeDocument/2006/relationships/externalLink" Target="externalLinks/externalLink92.xml"/><Relationship Id="rId167" Type="http://schemas.openxmlformats.org/officeDocument/2006/relationships/externalLink" Target="externalLinks/externalLink113.xml"/><Relationship Id="rId188" Type="http://schemas.openxmlformats.org/officeDocument/2006/relationships/externalLink" Target="externalLinks/externalLink134.xml"/><Relationship Id="rId71" Type="http://schemas.openxmlformats.org/officeDocument/2006/relationships/externalLink" Target="externalLinks/externalLink17.xml"/><Relationship Id="rId92" Type="http://schemas.openxmlformats.org/officeDocument/2006/relationships/externalLink" Target="externalLinks/externalLink38.xml"/><Relationship Id="rId213" Type="http://schemas.openxmlformats.org/officeDocument/2006/relationships/externalLink" Target="externalLinks/externalLink159.xml"/><Relationship Id="rId234" Type="http://schemas.openxmlformats.org/officeDocument/2006/relationships/externalLink" Target="externalLinks/externalLink180.xml"/><Relationship Id="rId2" Type="http://schemas.openxmlformats.org/officeDocument/2006/relationships/worksheet" Target="worksheets/sheet2.xml"/><Relationship Id="rId29" Type="http://schemas.openxmlformats.org/officeDocument/2006/relationships/worksheet" Target="worksheets/sheet29.xml"/><Relationship Id="rId255" Type="http://schemas.openxmlformats.org/officeDocument/2006/relationships/externalLink" Target="externalLinks/externalLink201.xml"/><Relationship Id="rId276" Type="http://schemas.openxmlformats.org/officeDocument/2006/relationships/externalLink" Target="externalLinks/externalLink222.xml"/><Relationship Id="rId40" Type="http://schemas.openxmlformats.org/officeDocument/2006/relationships/worksheet" Target="worksheets/sheet40.xml"/><Relationship Id="rId115" Type="http://schemas.openxmlformats.org/officeDocument/2006/relationships/externalLink" Target="externalLinks/externalLink61.xml"/><Relationship Id="rId136" Type="http://schemas.openxmlformats.org/officeDocument/2006/relationships/externalLink" Target="externalLinks/externalLink82.xml"/><Relationship Id="rId157" Type="http://schemas.openxmlformats.org/officeDocument/2006/relationships/externalLink" Target="externalLinks/externalLink103.xml"/><Relationship Id="rId178" Type="http://schemas.openxmlformats.org/officeDocument/2006/relationships/externalLink" Target="externalLinks/externalLink124.xml"/><Relationship Id="rId61" Type="http://schemas.openxmlformats.org/officeDocument/2006/relationships/externalLink" Target="externalLinks/externalLink7.xml"/><Relationship Id="rId82" Type="http://schemas.openxmlformats.org/officeDocument/2006/relationships/externalLink" Target="externalLinks/externalLink28.xml"/><Relationship Id="rId199" Type="http://schemas.openxmlformats.org/officeDocument/2006/relationships/externalLink" Target="externalLinks/externalLink145.xml"/><Relationship Id="rId203" Type="http://schemas.openxmlformats.org/officeDocument/2006/relationships/externalLink" Target="externalLinks/externalLink149.xml"/><Relationship Id="rId19" Type="http://schemas.openxmlformats.org/officeDocument/2006/relationships/worksheet" Target="worksheets/sheet19.xml"/><Relationship Id="rId224" Type="http://schemas.openxmlformats.org/officeDocument/2006/relationships/externalLink" Target="externalLinks/externalLink170.xml"/><Relationship Id="rId245" Type="http://schemas.openxmlformats.org/officeDocument/2006/relationships/externalLink" Target="externalLinks/externalLink191.xml"/><Relationship Id="rId266" Type="http://schemas.openxmlformats.org/officeDocument/2006/relationships/externalLink" Target="externalLinks/externalLink212.xml"/><Relationship Id="rId30" Type="http://schemas.openxmlformats.org/officeDocument/2006/relationships/worksheet" Target="worksheets/sheet30.xml"/><Relationship Id="rId105" Type="http://schemas.openxmlformats.org/officeDocument/2006/relationships/externalLink" Target="externalLinks/externalLink51.xml"/><Relationship Id="rId126" Type="http://schemas.openxmlformats.org/officeDocument/2006/relationships/externalLink" Target="externalLinks/externalLink72.xml"/><Relationship Id="rId147" Type="http://schemas.openxmlformats.org/officeDocument/2006/relationships/externalLink" Target="externalLinks/externalLink93.xml"/><Relationship Id="rId168" Type="http://schemas.openxmlformats.org/officeDocument/2006/relationships/externalLink" Target="externalLinks/externalLink114.xml"/><Relationship Id="rId51" Type="http://schemas.openxmlformats.org/officeDocument/2006/relationships/worksheet" Target="worksheets/sheet51.xml"/><Relationship Id="rId72" Type="http://schemas.openxmlformats.org/officeDocument/2006/relationships/externalLink" Target="externalLinks/externalLink18.xml"/><Relationship Id="rId93" Type="http://schemas.openxmlformats.org/officeDocument/2006/relationships/externalLink" Target="externalLinks/externalLink39.xml"/><Relationship Id="rId189" Type="http://schemas.openxmlformats.org/officeDocument/2006/relationships/externalLink" Target="externalLinks/externalLink135.xml"/><Relationship Id="rId3" Type="http://schemas.openxmlformats.org/officeDocument/2006/relationships/worksheet" Target="worksheets/sheet3.xml"/><Relationship Id="rId214" Type="http://schemas.openxmlformats.org/officeDocument/2006/relationships/externalLink" Target="externalLinks/externalLink160.xml"/><Relationship Id="rId235" Type="http://schemas.openxmlformats.org/officeDocument/2006/relationships/externalLink" Target="externalLinks/externalLink181.xml"/><Relationship Id="rId256" Type="http://schemas.openxmlformats.org/officeDocument/2006/relationships/externalLink" Target="externalLinks/externalLink202.xml"/><Relationship Id="rId277" Type="http://schemas.openxmlformats.org/officeDocument/2006/relationships/theme" Target="theme/theme1.xml"/><Relationship Id="rId116" Type="http://schemas.openxmlformats.org/officeDocument/2006/relationships/externalLink" Target="externalLinks/externalLink62.xml"/><Relationship Id="rId137" Type="http://schemas.openxmlformats.org/officeDocument/2006/relationships/externalLink" Target="externalLinks/externalLink83.xml"/><Relationship Id="rId158" Type="http://schemas.openxmlformats.org/officeDocument/2006/relationships/externalLink" Target="externalLinks/externalLink104.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externalLink" Target="externalLinks/externalLink8.xml"/><Relationship Id="rId83" Type="http://schemas.openxmlformats.org/officeDocument/2006/relationships/externalLink" Target="externalLinks/externalLink29.xml"/><Relationship Id="rId179" Type="http://schemas.openxmlformats.org/officeDocument/2006/relationships/externalLink" Target="externalLinks/externalLink125.xml"/><Relationship Id="rId190" Type="http://schemas.openxmlformats.org/officeDocument/2006/relationships/externalLink" Target="externalLinks/externalLink136.xml"/><Relationship Id="rId204" Type="http://schemas.openxmlformats.org/officeDocument/2006/relationships/externalLink" Target="externalLinks/externalLink150.xml"/><Relationship Id="rId225" Type="http://schemas.openxmlformats.org/officeDocument/2006/relationships/externalLink" Target="externalLinks/externalLink171.xml"/><Relationship Id="rId246" Type="http://schemas.openxmlformats.org/officeDocument/2006/relationships/externalLink" Target="externalLinks/externalLink192.xml"/><Relationship Id="rId267" Type="http://schemas.openxmlformats.org/officeDocument/2006/relationships/externalLink" Target="externalLinks/externalLink213.xml"/><Relationship Id="rId106" Type="http://schemas.openxmlformats.org/officeDocument/2006/relationships/externalLink" Target="externalLinks/externalLink52.xml"/><Relationship Id="rId127" Type="http://schemas.openxmlformats.org/officeDocument/2006/relationships/externalLink" Target="externalLinks/externalLink73.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externalLink" Target="externalLinks/externalLink19.xml"/><Relationship Id="rId94" Type="http://schemas.openxmlformats.org/officeDocument/2006/relationships/externalLink" Target="externalLinks/externalLink40.xml"/><Relationship Id="rId148" Type="http://schemas.openxmlformats.org/officeDocument/2006/relationships/externalLink" Target="externalLinks/externalLink94.xml"/><Relationship Id="rId169" Type="http://schemas.openxmlformats.org/officeDocument/2006/relationships/externalLink" Target="externalLinks/externalLink115.xml"/><Relationship Id="rId4" Type="http://schemas.openxmlformats.org/officeDocument/2006/relationships/worksheet" Target="worksheets/sheet4.xml"/><Relationship Id="rId180" Type="http://schemas.openxmlformats.org/officeDocument/2006/relationships/externalLink" Target="externalLinks/externalLink126.xml"/><Relationship Id="rId215" Type="http://schemas.openxmlformats.org/officeDocument/2006/relationships/externalLink" Target="externalLinks/externalLink161.xml"/><Relationship Id="rId236" Type="http://schemas.openxmlformats.org/officeDocument/2006/relationships/externalLink" Target="externalLinks/externalLink182.xml"/><Relationship Id="rId257" Type="http://schemas.openxmlformats.org/officeDocument/2006/relationships/externalLink" Target="externalLinks/externalLink203.xml"/><Relationship Id="rId278" Type="http://schemas.openxmlformats.org/officeDocument/2006/relationships/styles" Target="styles.xml"/><Relationship Id="rId42" Type="http://schemas.openxmlformats.org/officeDocument/2006/relationships/worksheet" Target="worksheets/sheet42.xml"/><Relationship Id="rId84" Type="http://schemas.openxmlformats.org/officeDocument/2006/relationships/externalLink" Target="externalLinks/externalLink30.xml"/><Relationship Id="rId138" Type="http://schemas.openxmlformats.org/officeDocument/2006/relationships/externalLink" Target="externalLinks/externalLink84.xml"/><Relationship Id="rId191" Type="http://schemas.openxmlformats.org/officeDocument/2006/relationships/externalLink" Target="externalLinks/externalLink137.xml"/><Relationship Id="rId205" Type="http://schemas.openxmlformats.org/officeDocument/2006/relationships/externalLink" Target="externalLinks/externalLink151.xml"/><Relationship Id="rId247" Type="http://schemas.openxmlformats.org/officeDocument/2006/relationships/externalLink" Target="externalLinks/externalLink193.xml"/><Relationship Id="rId107" Type="http://schemas.openxmlformats.org/officeDocument/2006/relationships/externalLink" Target="externalLinks/externalLink53.xml"/><Relationship Id="rId11" Type="http://schemas.openxmlformats.org/officeDocument/2006/relationships/worksheet" Target="worksheets/sheet11.xml"/><Relationship Id="rId53" Type="http://schemas.openxmlformats.org/officeDocument/2006/relationships/worksheet" Target="worksheets/sheet53.xml"/><Relationship Id="rId149" Type="http://schemas.openxmlformats.org/officeDocument/2006/relationships/externalLink" Target="externalLinks/externalLink95.xml"/><Relationship Id="rId95" Type="http://schemas.openxmlformats.org/officeDocument/2006/relationships/externalLink" Target="externalLinks/externalLink41.xml"/><Relationship Id="rId160" Type="http://schemas.openxmlformats.org/officeDocument/2006/relationships/externalLink" Target="externalLinks/externalLink106.xml"/><Relationship Id="rId216" Type="http://schemas.openxmlformats.org/officeDocument/2006/relationships/externalLink" Target="externalLinks/externalLink162.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285750</xdr:colOff>
      <xdr:row>6</xdr:row>
      <xdr:rowOff>85725</xdr:rowOff>
    </xdr:from>
    <xdr:to>
      <xdr:col>1</xdr:col>
      <xdr:colOff>704850</xdr:colOff>
      <xdr:row>6</xdr:row>
      <xdr:rowOff>123825</xdr:rowOff>
    </xdr:to>
    <xdr:sp macro="" textlink="">
      <xdr:nvSpPr>
        <xdr:cNvPr id="70669" name="Freeform 13">
          <a:extLst>
            <a:ext uri="{FF2B5EF4-FFF2-40B4-BE49-F238E27FC236}">
              <a16:creationId xmlns:a16="http://schemas.microsoft.com/office/drawing/2014/main" id="{9716D8E5-A7C1-4229-9D15-6380AB1DD313}"/>
            </a:ext>
          </a:extLst>
        </xdr:cNvPr>
        <xdr:cNvSpPr>
          <a:spLocks/>
        </xdr:cNvSpPr>
      </xdr:nvSpPr>
      <xdr:spPr bwMode="auto">
        <a:xfrm>
          <a:off x="666750" y="1828800"/>
          <a:ext cx="419100" cy="38100"/>
        </a:xfrm>
        <a:custGeom>
          <a:avLst/>
          <a:gdLst>
            <a:gd name="T0" fmla="*/ 12 w 94"/>
            <a:gd name="T1" fmla="*/ 2 h 12"/>
            <a:gd name="T2" fmla="*/ 12 w 94"/>
            <a:gd name="T3" fmla="*/ 11 h 12"/>
            <a:gd name="T4" fmla="*/ 83 w 94"/>
            <a:gd name="T5" fmla="*/ 10 h 12"/>
            <a:gd name="T6" fmla="*/ 79 w 94"/>
            <a:gd name="T7" fmla="*/ 0 h 12"/>
          </a:gdLst>
          <a:ahLst/>
          <a:cxnLst>
            <a:cxn ang="0">
              <a:pos x="T0" y="T1"/>
            </a:cxn>
            <a:cxn ang="0">
              <a:pos x="T2" y="T3"/>
            </a:cxn>
            <a:cxn ang="0">
              <a:pos x="T4" y="T5"/>
            </a:cxn>
            <a:cxn ang="0">
              <a:pos x="T6" y="T7"/>
            </a:cxn>
          </a:cxnLst>
          <a:rect l="0" t="0" r="r" b="b"/>
          <a:pathLst>
            <a:path w="94" h="12">
              <a:moveTo>
                <a:pt x="12" y="2"/>
              </a:moveTo>
              <a:cubicBezTo>
                <a:pt x="6" y="6"/>
                <a:pt x="0" y="10"/>
                <a:pt x="12" y="11"/>
              </a:cubicBezTo>
              <a:cubicBezTo>
                <a:pt x="24" y="12"/>
                <a:pt x="72" y="12"/>
                <a:pt x="83" y="10"/>
              </a:cubicBezTo>
              <a:cubicBezTo>
                <a:pt x="94" y="8"/>
                <a:pt x="80" y="1"/>
                <a:pt x="79" y="0"/>
              </a:cubicBez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285750</xdr:colOff>
      <xdr:row>31</xdr:row>
      <xdr:rowOff>85725</xdr:rowOff>
    </xdr:from>
    <xdr:to>
      <xdr:col>1</xdr:col>
      <xdr:colOff>704850</xdr:colOff>
      <xdr:row>31</xdr:row>
      <xdr:rowOff>123825</xdr:rowOff>
    </xdr:to>
    <xdr:sp macro="" textlink="">
      <xdr:nvSpPr>
        <xdr:cNvPr id="70670" name="Freeform 14">
          <a:extLst>
            <a:ext uri="{FF2B5EF4-FFF2-40B4-BE49-F238E27FC236}">
              <a16:creationId xmlns:a16="http://schemas.microsoft.com/office/drawing/2014/main" id="{A6593B6C-8CC2-4B2E-A700-FF7AB43DA093}"/>
            </a:ext>
          </a:extLst>
        </xdr:cNvPr>
        <xdr:cNvSpPr>
          <a:spLocks/>
        </xdr:cNvSpPr>
      </xdr:nvSpPr>
      <xdr:spPr bwMode="auto">
        <a:xfrm>
          <a:off x="666750" y="11125200"/>
          <a:ext cx="419100" cy="38100"/>
        </a:xfrm>
        <a:custGeom>
          <a:avLst/>
          <a:gdLst>
            <a:gd name="T0" fmla="*/ 12 w 94"/>
            <a:gd name="T1" fmla="*/ 2 h 12"/>
            <a:gd name="T2" fmla="*/ 12 w 94"/>
            <a:gd name="T3" fmla="*/ 11 h 12"/>
            <a:gd name="T4" fmla="*/ 83 w 94"/>
            <a:gd name="T5" fmla="*/ 10 h 12"/>
            <a:gd name="T6" fmla="*/ 79 w 94"/>
            <a:gd name="T7" fmla="*/ 0 h 12"/>
          </a:gdLst>
          <a:ahLst/>
          <a:cxnLst>
            <a:cxn ang="0">
              <a:pos x="T0" y="T1"/>
            </a:cxn>
            <a:cxn ang="0">
              <a:pos x="T2" y="T3"/>
            </a:cxn>
            <a:cxn ang="0">
              <a:pos x="T4" y="T5"/>
            </a:cxn>
            <a:cxn ang="0">
              <a:pos x="T6" y="T7"/>
            </a:cxn>
          </a:cxnLst>
          <a:rect l="0" t="0" r="r" b="b"/>
          <a:pathLst>
            <a:path w="94" h="12">
              <a:moveTo>
                <a:pt x="12" y="2"/>
              </a:moveTo>
              <a:cubicBezTo>
                <a:pt x="6" y="6"/>
                <a:pt x="0" y="10"/>
                <a:pt x="12" y="11"/>
              </a:cubicBezTo>
              <a:cubicBezTo>
                <a:pt x="24" y="12"/>
                <a:pt x="72" y="12"/>
                <a:pt x="83" y="10"/>
              </a:cubicBezTo>
              <a:cubicBezTo>
                <a:pt x="94" y="8"/>
                <a:pt x="80" y="1"/>
                <a:pt x="79" y="0"/>
              </a:cubicBez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470018</xdr:colOff>
      <xdr:row>0</xdr:row>
      <xdr:rowOff>21364</xdr:rowOff>
    </xdr:from>
    <xdr:to>
      <xdr:col>25</xdr:col>
      <xdr:colOff>458621</xdr:colOff>
      <xdr:row>18</xdr:row>
      <xdr:rowOff>21364</xdr:rowOff>
    </xdr:to>
    <xdr:pic>
      <xdr:nvPicPr>
        <xdr:cNvPr id="4" name="Picture 3">
          <a:extLst>
            <a:ext uri="{FF2B5EF4-FFF2-40B4-BE49-F238E27FC236}">
              <a16:creationId xmlns:a16="http://schemas.microsoft.com/office/drawing/2014/main" id="{C77D2C4E-7BBC-666A-DF03-424F8C4340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850878" y="21364"/>
          <a:ext cx="7024640" cy="46788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bsection_1\g\Estimates\pmgsy-phaseII\Nalgonda\Graded-27.Dacharam.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bsection_1\g\Estimates\pmgsy\Deverakonda\87.Gazinagar.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bsection_1\g\Estimates\pmgsy\Package1304\07.1.package130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bsection_1\g\Estimates\Buildings\Mpp_newplan\Miryalaguda\MPP_Rajape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bsection_1\g\Estimates\Buildings\MPP_Buildings\mpp%20estimate%20NADIGUDEM.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bsection_1\g\Estimates\pmgsy-phase4\Thungathurthy\Thirumalagiri-Thatipamula-sri%20ram%20tanda\CD%20work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Satya%20Prasad/Downloads/Users/DBSECTION_2/Downloads/Estimates/pmgsy-phaseII/Nalgonda/Graded-27.Dacharam.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Satya%20Prasad/Downloads/Users/DBSECTION_2/Downloads/Estimates/pmgsy/Deverakonda/87.Gazinagar.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Satya%20Prasad/Downloads/Users/DBSECTION_2/Downloads/Estimates/pmgsy/Package1304/07.1.package130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Satya%20Prasad/Downloads/Users/DBSECTION_2/Downloads/Estimates/Buildings/Mpp_newplan/Miryalaguda/MPP_Rajapet.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Satya%20Prasad/Downloads/Users/DBSECTION_2/Downloads/Estimates/Buildings/MPP_Buildings/mpp%20estimate%20NADIGUDEM.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Satya%20Prasad/Downloads/Users/DBSECTION_2/Downloads/Estimates/pmgsy-phase4/Thungathurthy/Thirumalagiri-Thatipamula-sri%20ram%20tanda/CD%20works.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Documents\Buildings\Data\data9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Estimates\Buildings\Mpp_newplan\Miryalaguda\MPP_Rajapet.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Office\model%202018-19\Buildings\Users\SHAIK%20PEERSAHEB\AppData\Local\Temp\Temp1_fwdata201415.zip\Estimates\pmgsy-phaseII\Nalgonda\Graded-27.Dacharam.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Office\model%202018-19\Buildings\Users\SHAIK%20PEERSAHEB\AppData\Local\Temp\Temp1_fwdata201415.zip\Estimates\pmgsy\Deverakonda\87.Gazinagar.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Office\model%202018-19\Buildings\Users\SHAIK%20PEERSAHEB\AppData\Local\Temp\Temp1_fwdata201415.zip\Estimates\pmgsy\Package1304\07.1.package130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Prccdu\d\P.R.%20Atmakur\Estimates\P.R%20Guest%20house\Ramesh%20PWSS\2007-08\CR-Vchamber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Office\model%202018-19\Buildings\Users\SHAIK%20PEERSAHEB\AppData\Local\Temp\Temp1_fwdata201415.zip\Estimates\Buildings\Mpp_newplan\Miryalaguda\MPP_Rajapet.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D:\Office\model%202018-19\Buildings\Users\SHAIK%20PEERSAHEB\AppData\Local\Temp\Temp1_fwdata201415.zip\Estimates\Buildings\MPP_Buildings\mpp%20estimate%20NADIGUDEM.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Office\model%202018-19\Buildings\Users\SHAIK%20PEERSAHEB\AppData\Local\Temp\Temp1_fwdata201415.zip\Estimates\pmgsy-phase4\Thungathurthy\Thirumalagiri-Thatipamula-sri%20ram%20tanda\CD%20works.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Se1\my%20documents\Estimates\pmgsy-phaseII\Nalgonda\Graded-27.Dacharam.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1\my%20documents\Estimates\pmgsy\Deverakonda\87.Gazinagar.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Se1\my%20documents\Estimates\pmgsy\Package1304\07.1.package1303.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Se1\my%20documents\Estimates\Buildings\Mpp_newplan\Miryalaguda\MPP_Rajapet.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Se1\my%20documents\Estimates\Buildings\MPP_Buildings\mpp%20estimate%20NADIGUDEM.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Se1\my%20documents\Estimates\pmgsy-phase4\Thungathurthy\Thirumalagiri-Thatipamula-sri%20ram%20tanda\CD%20works.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Estimates\pmgsy-phaseII\Nalgonda\Graded-27.Dacharam.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Estimates\pmgsy\Deverakonda\87.Gazinagar.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Estimates\pmgsy\Package1304\07.1.package1303.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D:\Estimates\Buildings\Mpp_newplan\Miryalaguda\MPP_Rajapet.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D:\Estimates\Buildings\MPP_Buildings\mpp%20estimate%20NADIGUDEM.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Estimates\pmgsy-phase4\Thungathurthy\Thirumalagiri-Thatipamula-sri%20ram%20tanda\CD%20works.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Indiramma\e\Estimates\pmgsy-phaseII\Nalgonda\Graded-27.Dacharam.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Indiramma\e\Estimates\pmgsy\Deverakonda\87.Gazinagar.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Indiramma\e\Estimates\pmgsy\Package1304\07.1.package1303.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Indiramma\e\Estimates\Buildings\Mpp_newplan\Miryalaguda\MPP_Rajapet.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Indiramma\e\Estimates\Buildings\MPP_Buildings\mpp%20estimate%20NADIGUDEM.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Indiramma\e\Estimates\pmgsy-phase4\Thungathurthy\Thirumalagiri-Thatipamula-sri%20ram%20tanda\CD%20work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Rwsproj9\projects4\NALGONDA_HUDCO_WORKEST\HUDCO_7_VOILSINGARAM_KRISHNA_PR\3_PIPELINES_VOILSINGRAM.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N:\Documents%20and%20Settings\BAPAIAH\Desktop\RPB%20Proposals_9_04_07\PMGSY-2006-07\WINDOWS\Desktop\singh\db1\BIJNEPALLY\VATTEM_PALEM_BT_ROAD_15KM'S.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bsection_1\g\singh\db1\BIJNEPALLY\VATTE_PALEM_CD3_WORKS.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Users/Satya%20Prasad/Downloads/Users/DBSECTION_2/Downloads/singh/db1/BIJNEPALLY/VATTE_PALEM_CD3_WORKS.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singh\NEW_ESTT_TYPE_DESIGENS\NEW_ESTT_2001_2002\COMMUNITY_HALLS.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My%20Documents\PMGSY%20Phase-I&amp;II\PMGSY\Estimates\Buildings\Mpp_newplan\Miryalaguda\MPP_Rajapet.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A:\BRREDDY\VWF\ANGAN_WADI_ESTT_TYPE_DESIGENS.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A:\ESTIMATE_DESIGN.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Documents%20and%20Settings\BAPAIAH\Desktop\RPB%20Proposals_9_04_07\PMGSY-2006-07\WINDOWS\Desktop\singh\db1\BIJNEPALLY\VATTEM_PALEM_BT_ROAD_15KM'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N:\Estimates\pmgsy-phaseII\Nalgonda\Graded-27.Dacharam.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D:\Office\model%202018-19\Buildings\Users\SHAIK%20PEERSAHEB\AppData\Local\Temp\Temp1_fwdata201415.zip\singh\db1\BIJNEPALLY\VATTE_PALEM_CD3_WORKS.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N:\Estimates\pmgsy\Deverakonda\87.Gazinagar.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N:\Estimates\pmgsy\Package1304\07.1.package1303.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D:\Users\Administrator\Downloads\aptdc-mahanandi-civil-datas-estimate-20-9-07.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N:\Estimates\Buildings\Mpp_newplan\Miryalaguda\MPP_Rajapet.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N:\Estimates\Buildings\MPP_Buildings\mpp%20estimate%20NADIGUDEM.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N:\Estimates\pmgsy-phase4\Thungathurthy\Thirumalagiri-Thatipamula-sri%20ram%20tanda\CD%20work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D:\Users\BHASKAR\Downloads\Users\G.K.%20MURTHY\Downloads\singh\db1\BIJNEPALLY\VATTE_PALEM_CD3_WORKS.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NABIHA\SE.%20OFFICE\ESTIMATES\19.11.2014%20-%20CRR%20GRANT%202014-15%20-%20Providing%20BT%20Renewal%20on%20Road%20from%20Kothapeta%20to%20Konaipally.xlsx"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wma-2\d\Estimates\pmgsy-phaseII\Nalgonda\Graded-27.Dacharam.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Dwma-2\d\Estimates\pmgsy\Deverakonda\87.Gazinagar.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Dwma-2\d\Estimates\pmgsy\Package1304\07.1.package130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wma-2\d\Estimates\Buildings\Mpp_newplan\Miryalaguda\MPP_Rajapet.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Dwma-2\d\Estimates\Buildings\MPP_Buildings\mpp%20estimate%20NADIGUDEM.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Dwma-2\d\Estimates\pmgsy-phase4\Thungathurthy\Thirumalagiri-Thatipamula-sri%20ram%20tanda\CD%20works.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Rwsproj4\rwsproj4\NALGONDA_HUDCO_WORKEST\HUDCO_7_VOILSINGARAM_KRISHNA_PR\3_PIPELINES_VOILSINGRAM.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D:\Users\Sreenu\Ananthogu\Ananthogu%20as%20per%20MC.xlsx"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Waller\cd-reader%20e\My%20Documents\FINAL%20REPORT\Part%20B\TRUNK%20&amp;%20ALL%20ROAD%20DAT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Users/Dtpcaptain/Downloads/d%20drive/T8-Satya%20Prasad/Roads%20MORD%202010-11/NABARAD/RIDF%20XVI%20Balaiahgaripalli.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MBNR\Upgradation%20works-MBNR\PEN%20DRIVE\PRAKASAM\RIDF%20-XVI%20Ph-II\BODDULA%20VAGU%20BRIDGE\CE%20ESTIMATE%20NABARAD%20CHAVITIPALEM%20WITH%20SSR%202011-12.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Documents%20and%20Settings\Administrator\My%20Documents\Documents\Buildings\Data\data99.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omp_1\c\My%20Documents\A3\Perfomance\Dandupally\NABARD\mbnr-est&amp;shed.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Riad6\d\DATA%202008-09\Documents%20and%20Settings\hcl\Desktop\ARRR-ver-1104.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Riad6\d\DATA%202008-09\Documents%20and%20Settings\RAMU\Desktop\ARRR-ver-1105-vsr.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D:\High%20Level%20-%20Bridge%20-Es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D:\R%20A%20M%20U%20L%20U\ESTIMATES\PMGSY\Farooqnagar-Buggoniguda\High%20Level%20-%20Bridge%20-Est.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Prccdu\d\P.R.%20Atmakur\Estimates\P.R%20Guest%20house\2006-07%20estimate.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y%20Documents\PMGSY%20Phase-I&amp;II\PMGSY\Documents\Buildings\Data\data99.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Users/Satya%20Prasad/Downloads/Users/DBSECTION_2/Downloads/Documents/Buildings/Data/data99.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Dbsection_1\g\Documents\Buildings\Data\data99.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db1\singh\ESTT_TYPE_DESIG\SHADIKHANA_ESTT_TYPE_DESIGENS.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D:\SINGH\ROADS\INDIRAMMA_PATHAKAM\z_MODEL_Avg_Lead\_NAB_model_Average_Lead.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E:\CRR%20estimate_maddur.xlsx"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Prccdu\d\P.R.%20Atmakur\Estimates\P.R%20Guest%20house\Estimate\Estimate\ModelEstimate\CS-Taps.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Users/ADMIN/Downloads/Community%20Hall%20Estimate%2010.00%20lakhs%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ee1\C\chatu\PMGSY%20PH_IV%20estimates\PMGSY\Yamanapalli%20to%20Mahamutharam%20(Maha%204%20kms).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Dwma-2\d\Nalgonda%20Estimates\HLB%20Koratikal\My%20Documents\DP%20minor%20bridge%202.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THIMMAJIPET\2015-16%20DATAS\BUILDINGS%20DATA%202015-16\BUILDING%20DATA%202015-16%20Dont%20Disturb\GP%20BUILDING%20DASPALLY.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Mpp1\e\PMGSY-I%20BAL-04-05\Road%20from%206-0%20km%20of%20T01%20to%20Balwanthapur%20(Mal-5).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D:\NABIHA\OFFICE%20FILES\ESTIMATE\SSR%202013-%2014\MGNREGS\KESHAMPET\17.02.2014%20-%20MGNREGS%202014-%20Laying%20of%20CC%20Road%20and%20Side%20Drain%20in%20SC%20%20ST%20Localities%20at%20Keshampet.xlsx"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D:\Users\G.K.%20MURTHY\Downloads\07.01.2016-%20NREGS%20Grant%20GP%20Building%20at%20Nagasala%20of%20jadcherla%20Mandal.xlsx"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E:\Desktop%2002.01.2017\G.Laxman%20AE\IEEJA\KOTHPALLY.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Dee1\C\PMGSY%20ESTIMATES\PMGSY%2004-05\R-F%20Dacharam%20to%20Kandikatkoor%20(Sir-22).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D:\ABL%20THIMMAJIPET\2012-13%20Datas%2010.5.2013\Dandupally\NABARD\mbnr-est&amp;shed.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Server\f\My%20Documents\ESTIMATES\Estimate%20copy.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Users/Satya%20Prasad/Downloads/Users/DBSECTION_2/Downloads/GP%20Building%201/New%20Folder/models%20of%20Nalgonda/PMGSY-I%20BAL-04-05/Road%20from%206-0%20km%20of%20T01%20to%20Balwanthapur%20(Mal-5).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Dbsection_1\g\d%20drive\T8-Satya%20Prasad\Data%20of%20Sewer%20lines\GP%20Building%201\New%20Folder\models%20of%20Nalgonda\PMGSY-I%20BAL-04-05\Road%20from%206-0%20km%20of%20T01%20to%20Balwanthapur%20(Mal-5).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Sys1\d-sys1\Store_Box\NABARD_Estimates\cd%20namnoor%20gullakota11.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Estimates\Buildings\Mpp_newplan\Miryalaguda\MPP_Gundlapally1.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Sirpur%20est.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Ceprnab1-nab4\d\AVRCR\Documents%20and%20Settings\hcl\Desktop\ARRR-ver-1104.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Dee5\c\Swamy%20Files\Swamy-2\Chodavaram%20Estimnates\Administrator\My%20Documents\Pmgsy\PMGSY%20PH%20III\satya\My%20Documents\ROADS\estOpenWell_11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D:\MBNR\Upgradation%20works-MBNR-NLR\2013-14%20works\KINGSTON%20J%20Files\Estimates\pmgsy-phaseII\Nalgonda\Graded-27.Dacharam.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R%20A%20M%20U%20L%20U\ESTIMATES\PMGSY\Farooqnagar-Buggoniguda\Documents%20and%20Settings\SRINIVAS\Desktop\PMGSY%20DPR\Estimates\pmgsy-phaseII\Nalgonda\Graded-27.Dacharam.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D:\Users\VISHNU\Desktop\Peddamandadi-100.00Lakh\BT%20on%20RF%20Peddamandadito%20G.Kunta%20Tanda%20%20100%20LAkhs.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Dee3\c\chatu\PMGSY%20PH_IV%20estimates\PMGSY\Yamanapalli%20to%20Mahamutharam%20(Maha%204%20km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Prccdu\d\P.R.%20Atmakur\Estimates\P.R%20Guest%20house\Estimate\Estimate\ModelEstimate\CS-PHouse-Legal.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PMGSY-I%20BAL-04-05\Road%20from%206-0%20km%20of%20T01%20to%20Balwanthapur%20(Mal-5).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Prccdu\d\WINDOWS\Desktop\PMGSY%20PH-V\ARRR-ver-1104.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Roads-pmgsy\c\WINDOWS\Desktop\singh\db1\BIJNEPALLY\VATTEM_PALEM_BT_ROAD_15KM'S.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Serws4\My%20Documents\babu\Sector%20Estimate%20_%20Mylapur.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D:\Office\PR%20Estimates\model%202019-20\building\penin\RAJU%20PR\2008-09%20BUILDINGS\HERITAGE%202008-09\SRIVARIMETTU%20-%20New\WINDOWS\Desktop\PMGSY%20PH-V\ARRR-ver-11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New1\e\Estimates\Buildings\Mpp_newplan\Miryalaguda\MPP_Gundlapally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D:\Office%20use%20only\Model%202013-14\Building%20&amp;%20Compound\nayeebrahmana%20nagavaram%20BW%202.00L%20BRGF%20ZP%202013-14.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N:\Documents%20and%20Settings\BAPAIAH\Desktop\RPB%20Proposals_9_04_07\PMGSY-2006-07\JE\RPB%20ERST%20Naraspur\pallebata\Copy%20(2)%20of%20BR%20Siripur.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New2\e\Documents%20and%20Settings\hcl\Desktop\ARRR-ver-1104.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Mpp1\e\Documents%20and%20Settings\hcl\Desktop\ARRR-ver-1104.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D:\RAMAMURTY\4NH7%20-%20Suraram-07-08(2).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D:\Office\PR%20Estimates\model%202019-20\building\penin\SKHT%20MANDAL\heritage_division\bokkisampalem\WINDOWS\Desktop\PMGSY%20PH-V\ARRR-ver-1104.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E:\ARRR-ver-1105.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A:\A-SCHEDULE.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Mayuri3\d\MYDOCUMENT\Design%20&amp;%20Estimate\EWE%20STAETMENT.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A:\singh\db1\NGKL_SPLRRM_%20ROAD_MODEL.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Prccdu\d\Dept%20Info\VIDAVALUR%20ESTIMATES\Dampur%20GP%20estimate_BW_P.SET\Dampur%20GP%20Estimate.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D:\MBNR\Upgradation%20works-MBNR\PEN%20DRIVE\PRAKASAM\RIDF%20-XVI%20Ph-II\BODDULA%20VAGU%20BRIDGE\DATA%202008-09\Documents%20and%20Settings\hcl\Desktop\ARRR-ver-1104.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Dwma-2\d\Nalgonda%20Estimates\HLB%20Koratikal\Narlapur-Wgl-23-11-10\Documents\Buildings\Data\data9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bsection_1\g\Documents%20and%20Settings\user1\Local%20Settings\Temporary%20Internet%20Files\Content.IE5\UWW22417\d%20drive\T8-Satya%20Prasad\Roads%20MORD%202010-11\Documents%20and%20Settings\hcl\Desktop\ARRR-ver-11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Ceprnab3\c\DR\MNMGEN\progRpts\absaug99.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Ceprnab2-1\ceprnab2-1share\Documents%20and%20Settings\hcl\Desktop\ARRR-ver-110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D:\ABL%20THIMMAJIPET\2012-13%20Datas%2010.5.2013\Documents%20and%20Settings\hcl\Desktop\ARRR-ver-110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D:\CC%20Road_Allaji%20Kiranam_Aleem%20HOuse_Vasanthapur_0.52_BRGF_GP.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D:\Dandupally\NABARD\mbnr-est&amp;shed.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Rwsp4\c\prmr\Hyd%20stat3.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cl1\d\Documents%20and%20Settings\RAMU\Desktop\DATA_2011-12\Dorepalli_new%20rates\Pipes%20&amp;%20valves-10-11_latest\pipelines%2010-11Data.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Dbsection_1\g\Documents%20and%20Settings\user1\Local%20Settings\Temporary%20Internet%20Files\Content.IE5\UWW22417\Documents%20and%20Settings\hcl\Desktop\ARRR-ver-110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Dee6\c\lakshmi\Viziag\Sunkarametla\PMGSY-I%20BAL-04-05\Road%20from%206-0%20km%20of%20T01%20to%20Balwanthapur%20(Mal-5).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A:\EST-DESIGN-FFW.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Ceprnab1-nab4\d\ARRR-ver-1105.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Eeprvsp\d\Jan\PMGSY%20PhVIII\VSP%20final%20PH_VIII%20est\Estimates\pmgsy\Deverakonda\87.Gazinagar.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Users/Dtpcaptain/Downloads/Documents%20and%20Settings/MALLESHAM/My%20Documents/ARRR-ver-1104.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D:\R%20A%20M%20U%20L%20U\ESTIMATES\PMGSY\Farooqnagar-Buggoniguda\DATA%202008-09\Documents%20and%20Settings\hcl\Desktop\ARRR-ver-11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Dee3\c\Phase-V\ARRR-ver-1104-Chandegaon.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Users/Satya%20Prasad/Downloads/Users/DBSECTION_2/Downloads/Documents%20and%20Settings/hcl/Desktop/ARRR-ver-1104.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Dbsection_1\g\d%20drive\T8-Satya%20Prasad\Data%20of%20Sewer%20lines\Documents%20and%20Settings\hcl\Desktop\ARRR-ver-1104.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Users/Satya%20Prasad/Downloads/Users/DBSECTION_2/Downloads/ARRR-ver-1105.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bsection_1\g\ARRR-ver-1105.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M:\OFFICE%20%20FILES\PMGSY\Thorough%20Roads\ARRR%20JANNEPALLY.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M:\OFFICE%20%20FILES\PMGSY\ARRR-ver-1104.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Pendrive%20Back-up\07122009\B.T%20Road%20Estimates\B.T%20Renewal%20coat%20PWD%20Road%20Manthati%20Cross%20Road_25.00.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Eeprvsp\d\Jan\PMGSY%20PhVIII\VSP%20final%20PH_VIII%20est\Documents%20and%20Settings\hcl\Desktop\ARRR-ver-1104.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Dwma-2\d\Est%20with%20Revised%20data%20and%20SSR%2010-11\Approved%20PMGSY%20Est%20with%20CGG%20data.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Users/Satya%20Prasad/Downloads/Users/DBSECTION_2/Downloads/Estimates/Nabard/Deverakonda/Koppole_bollaram/Est_KB.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Dbsection_1\g\Estimates\Nabard\Deverakonda\Koppole_bollaram\Est_KB.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D:\R%20A%20M%20U%20L%20U\ESTIMATES\PMGSY\Farooqnagar-Buggoniguda\Most-Graded%20Modal%20Estimate.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Pr1\c\PR%20DIVN%20NGKL\NARSIMHA\MNP_NEW%20ROADS_PACKAGES_SCHEDULES\estimate.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M:\Office%20Files\A.E(P.R)all%20Estimates\AEPR(Estimates)\OFFICE%20%20FILES\PMGSY\Thorough%20Roads\ARRR%20JANNEPALLY.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D:\2011-12%20B\NREGS%2015.12.12\NREGS%20011-12\Nres%20Wbm%20Line\Documents%20and%20Settings\hcl\Desktop\ARRR-ver-1104.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Sai4\d\muncipality\old%20muncipality\qpur%20%20total%20stuff\Qpur1\TRASH\DATAs\cgnagar%20data3.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Ceprnab1-nab4\d\AVRCR\Documents%20and%20Settings\RAMU\Desktop\ARRR-ver-1105-vsr.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D:\MBNR\Upgradation%20works-MBNR-NLR\2013-14%20works\Documents\MORD%20DATA\ARRR-Final-Andhra%20Pradesh.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Users/Satya%20Prasad/Downloads/Users/DBSECTION_2/Downloads/Phase-V/ARRR-ver-1104-Chandegaon.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Dbsection_1\g\Phase-V\ARRR-ver-1104-Chandegaon.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Users/Satya%20Prasad/Downloads/Users/DBSECTION_2/Downloads/GP%20Building%201/New%20Folder/models%20of%20Nalgonda/ARRR-ver-1105.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Dbsection_1\g\d%20drive\T8-Satya%20Prasad\Data%20of%20Sewer%20lines\GP%20Building%201\New%20Folder\models%20of%20Nalgonda\ARRR-ver-1105.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Users/Satya%20Prasad/Downloads/Users/DBSECTION_2/Downloads/Old%20system%20files/Narsimha/singh/db1/BIJNEPALLY/VATTE_PALEM_CD3_WORKS.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Dbsection_1\g\Old%20system%20files\Narsimha\singh\db1\BIJNEPALLY\VATTE_PALEM_CD3_WORKS.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D:\PMGSY-VI\Kattakindapalem\Estimates\pmgsy-phaseII\Nalgonda\Graded-27.Dacharam.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Eepr5\my%20documents\Subhash\GU%20Reddy\upender-gudipally-rsvp.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D:\Pandurangapuram%20R&amp;B%20road%20to%20Pattapupalelm%20in%20Bapatla%20Mandal\Documents%20and%20Settings\Nikon\My%20Documents\KUMAR\hys%20-est\leak%20-%20c%20wall\nagaram.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D:\R%20A%20M%20U%20L%20U\ESTIMATES\PMGSY\Farooqnagar-Buggoniguda\Estimates\data\Data2002-03-detailed.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Phani\C\anr\MNMGEN\progRpts\absaug99.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Users/Satya%20Prasad/Downloads/Users/DBSECTION_2/Downloads/Levels/Kodad/Adloor/Dondapadu-2.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Dbsection_1\g\Levels\Kodad\Adloor\Dondapadu-2.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D:\ABL%20THIMMAJIPET\2012-13%20Datas%2010.5.2013\Veternary%20Building%20Estimate\vangoor\Charakonda_ive%20Stock_2010-11%20SSR.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A:\singh\db1\BIJNEPALLY\VATTEM_PALEM_BT_ROAD_15KM'S.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Users/Satya%20Prasad/Downloads/Users/DBSECTION_2/Downloads/Old%20system%20files/Narsimha/My%20Music/My%20Documents/Narsimha/CD-ESTT%20&amp;%20CD-DATA-MODEL.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Dbsection_1\g\Old%20system%20files\Narsimha\My%20Music\My%20Documents\Narsimha\CD-ESTT%20&amp;%20CD-DATA-MODEL.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D:\PMGSY%20PHASE%20-VII%20(12.50%25%20VAT)\THALUPURUPADU\Documents%20and%20Settings\hcl\Desktop\ARRR-ver-1104.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D:\Users\Dy.PRI\Downloads\VANGOOR%20MAIN%20ESTIMATE----pmgsy.xlsx"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Hcl1\d\Documents%20and%20Settings\RAMU\Desktop\DATA_2011-12\Dorepalli_new%20rates\Economical%20PM\l%20Ecconomical%20Pumping%20Main-DP1.xlsx"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User4\c\prmr\Kangplly%20&amp;%20ramgiri\KGP.hyd%20rev%20GLBR.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M:\Office%20Files\ARRR%20JANNEPALLY.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Egs\my%20documents\SINGH\SSRS\DATAS_ASPER_SSR_2004_05\FINAL_R_B_DATA_BOOK_2004_2005.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Mi\c\Buildings-C\Ravi\Phase-III%20(Revised%20Proposals)\nizamabad\Ramadugu\Phase-III\Nizamabad\Lingi%20thanda.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Dwma-2\d\Nalgonda%20Estimates\HLB%20Koratikal\Narlapur-Wgl-23-11-10\Estimates\pmgsy-phase4\Thungathurthy\Thirumalagiri-Thatipamula-sri%20ram%20tanda\CD%20works.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D:\S%20W%20Hostels\tenali%20-%202%20veeraih.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Eepr5\my%20documents\Documents%20and%20Settings\cvssubrahmanyam.SVPCPL\Desktop\PR%20New\My%20Documents\docu\docu\R&amp;B%20Dept.%20Estimates\East-Section.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D:\Data%20(G)\Wanaparthy%20-weepangandla\Wanaparthy\Wanaparthy-Shabbir\W%20Weepangandla\SDF%20weepangandla\chennkeshva\Repairs_Model_estt_PMGSY_Road_Datas_2013-14-SSR-Variable-leads.xlsx"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Users/Satya%20Prasad/Downloads/Users/DBSECTION_2/Downloads/Estimates/Buildings/Mpp_newplan/Nalgonda/MPP_Vemulapally.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Dbsection_1\g\Estimates\Buildings\Mpp_newplan\Nalgonda\MPP_Vemulapally.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file:///\\Pr1\D\PR%20DIVN%20NGKL\ee\ESTIMATES\ESTIMATE_DWACRA_BLGS_SOMASILA.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file:///\\Hcl1\d\Documents%20and%20Settings\RAMU\Desktop\DATA_2011-12\Dorepalli_new%20rates\Pipes%20&amp;%20valves-10-11_latest\Valves%2010-11Data.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Eepr1\my%20documents\bh%20Nabard\shaligouraram.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D:\NABIHA\SE.%20OFFICE\Repairs_Model_estt_PMGSY_Road_Datas_2013-14-SSR(1).xlsx"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Eeprvsp\d\jangam\REDDY\jaggasagari.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Dbsection_1\g\SINGH\ROADS\Price_Escalation_Bills\1_Model_Price_escalation_Roads_Building\Price_Escalation_new_model\NABARD_MODEL\1_Model_Price_Escalation_Index_Price_base_Bill_Wise_CC_%20.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D:\Pandurangapuram%20R&amp;B%20road%20to%20Pattapupalelm%20in%20Bapatla%20Mandal\VASU,%20Nagaram\Electrical.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Prccdu\d\model%20estimate_vidavalur%20refined\model%20estimate%20folder\model%20estimate%20with%20labour%20charges.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file:///D:\Pandurangapuram%20R&amp;B%20road%20to%20Pattapupalelm%20in%20Bapatla%20Mandal\anga.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Madam\f\GENERAL\krishnamurthy\Peddatundla%20Estimate-RRM%202008-09(new)-RW.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D:\ABL%20THIMMAJIPET\2012-13%20Datas%2010.5.2013\CD's\L2007.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Users/Satya%20Prasad/Downloads/Users/DBSECTION_2/Downloads/Estimates/Buildings/Mpp_newplan/Miryalaguda/MPP_Gundlapally1.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Dbsection_1\g\Estimates\Buildings\Mpp_newplan\Miryalaguda\MPP_Gundlapally1.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Indiramma\e\Estimates\Buildings\Mpp_newplan\Miryalaguda\MPP_Gundlapally1.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file:///A:\Documents%20and%20Settings\Administrator\My%20Documents\Estimates\Buildings\Mpp_newplan\Miryalaguda\MPP_Rajapet.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Users/Satya%20Prasad/Downloads/Users/DBSECTION_2/Downloads/My%20Music/My%20Documents/Narsimha/CD-ESTT%20&amp;%20CD-DATA-MODEL.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Dbsection_1\g\My%20Music\My%20Documents\Narsimha\CD-ESTT%20&amp;%20CD-DATA-MODEL.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Dbsection_1\g\d%20drive\T8-Satya%20Prasad\Data%20of%20Sewer%20lines\Documents\Buildings\Data\data99.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Eeprvsp\d\Jan\PMGSY%20PhVIII\VSP%20final%20PH_VIII%20est\PMGSY-I%20BAL-04-05\Road%20from%206-0%20km%20of%20T01%20to%20Balwanthapur%20(Mal-5).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D:\DATA%202008-09\Documents%20and%20Settings\hcl\Desktop\ARRR-ver-1104.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D:\ABL%20THIMMAJIPET\2012-13%20Datas%2010.5.2013\DATA%202008-09\Documents%20and%20Settings\hcl\Desktop\ARRR-ver-1104.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Dbsection_1\g\Documents%20and%20Settings\user1\Local%20Settings\Temporary%20Internet%20Files\Content.IE5\UWW22417\d%20drive\T8-Satya%20Prasad\T8%20-%20Satya%20Prasad\Price%20Edcslstion%20of%20Roads\Chegunta\Chegunta\Rajapur.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D:\Users\windows8\Desktop\Repairs_Model_estt_PMGSY_Road_Datas_2013-14-SSR-Variable-leads.xlsx"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N:\SIDDIPET=LINE=EST=CM=PESHI\RAGHU%20RAM%20REDDY==ESTIMATES\ROAD==%20ESTIMATES\EXCEL%20files=pmgsy=final%20%20est\RRahadari%20-Patur%20-%202.xls"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N:\RAGHU%20RAM%20REDDY==ESTIMATES\ROAD==%20ESTIMATES\gajwel=PMGSY=FINAL=EST\EXCEL%20files=pmgsy=final%20%20est\RRahadari%20-Patur%20-%202.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N:\SIDDIPET=LINE=EST=CM=PESHI\RAGHU%20RAM%20REDDY==ESTIMATES\ROAD==%20ESTIMATES\EXCEL%20files=pmgsy=final%20%20est\ZP%20road-Asramam-%202.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file:///\\Hcl1\d\Documents%20and%20Settings\RAMU\Desktop\DATA_2011-12\Dorepalli_new%20rates\Pipes%20&amp;%20valves-10-11_latest\1.Model%20pipelines%20Data%202008-09-1.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file:///M:\ARRR%20JANNEPALLY.xls" TargetMode="External"/></Relationships>
</file>

<file path=xl/externalLinks/_rels/externalLink219.xml.rels><?xml version="1.0" encoding="UTF-8" standalone="yes"?>
<Relationships xmlns="http://schemas.openxmlformats.org/package/2006/relationships"><Relationship Id="rId1" Type="http://schemas.openxmlformats.org/officeDocument/2006/relationships/externalLinkPath" Target="file:///\\Dbsection_1\g\C.%20Viswam%20AEE%20PR%20Kadiri\NH%20ODC%20(Revised)%2018-02-061\NH%20ODC%20-PMGSY\NH-ODC%20to%20KH%20Road.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D:\ABL%20THIMMAJIPET\2012-13%20Datas%2010.5.2013\Pen%20Drive_Files_150109\Ramesh\Others\ESTIMATE\Kalwakole%20to%20yetham.xls" TargetMode="External"/></Relationships>
</file>

<file path=xl/externalLinks/_rels/externalLink221.xml.rels><?xml version="1.0" encoding="UTF-8" standalone="yes"?>
<Relationships xmlns="http://schemas.openxmlformats.org/package/2006/relationships"><Relationship Id="rId2" Type="http://schemas.openxmlformats.org/officeDocument/2006/relationships/externalLinkPath" Target="file:///D:\My%20System%20Wanaparthy\Data%20(G)%2017th%20July\Nagarkarnool%20district\MPP%20Kalwakurthy\Marchala\Anganwadi\New%20from%20Db\AWC-8.0%20Lakhs-Marchal-%202024-25%20-MGNREGS%20Final%20SBR.xls" TargetMode="External"/><Relationship Id="rId1" Type="http://schemas.openxmlformats.org/officeDocument/2006/relationships/externalLinkPath" Target="file:///D:\My%20System%20Wanaparthy\Data%20(G)%2017th%20July\Nagarkarnool%20district\MPP%20Kalwakurthy\Marchala\Anganwadi\New%20from%20Db\AWC-8.0%20Lakhs-Marchal-%202024-25%20-MGNREGS%20Final%20SBR.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D:\My%20System%20Wanaparthy\Data%20(G)%2017th%20July\Nagarkarnool%20district\MPP%20Kalwakurthy\Marchala\Anganwadi\New%20from%20Db\YapadinneNew_Anganwadi__2016-17_8.00_lakh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 val="Slab-Culverts Data"/>
      <sheetName val="lead-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cell r="B3" t="str">
            <v>Lead</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cell r="H7">
            <v>48</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 val="Labour"/>
      <sheetName val="Material"/>
      <sheetName val="Plant &amp;  Machinery"/>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leads"/>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vels"/>
      <sheetName val="Plant &amp;  Machinery"/>
      <sheetName val="data existing_do not delete"/>
      <sheetName val="bundqty"/>
      <sheetName val="Data"/>
      <sheetName val="Lead"/>
      <sheetName val="Road Detail Est."/>
      <sheetName val="Road data"/>
      <sheetName val="m1"/>
      <sheetName val="m"/>
      <sheetName val="lead-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 val="Lead statement ss5"/>
    </sheetNames>
    <sheetDataSet>
      <sheetData sheetId="0"/>
      <sheetData sheetId="1" refreshError="1">
        <row r="6">
          <cell r="J6">
            <v>336.1</v>
          </cell>
        </row>
        <row r="7">
          <cell r="J7">
            <v>640.6</v>
          </cell>
        </row>
        <row r="8">
          <cell r="J8">
            <v>528.1</v>
          </cell>
        </row>
        <row r="9">
          <cell r="J9">
            <v>181.1</v>
          </cell>
        </row>
        <row r="10">
          <cell r="J10">
            <v>226.1</v>
          </cell>
        </row>
        <row r="11">
          <cell r="J11">
            <v>90.1</v>
          </cell>
        </row>
        <row r="12">
          <cell r="J12">
            <v>94.4</v>
          </cell>
        </row>
      </sheetData>
      <sheetData sheetId="2"/>
      <sheetData sheetId="3"/>
      <sheetData sheetId="4"/>
      <sheetData sheetId="5"/>
      <sheetData sheetId="6"/>
      <sheetData sheetId="7"/>
      <sheetData sheetId="8"/>
      <sheetData sheetId="9"/>
      <sheetData sheetId="10"/>
      <sheetData sheetId="11"/>
      <sheetData sheetId="12" refreshError="1">
        <row r="7">
          <cell r="L7">
            <v>470</v>
          </cell>
        </row>
        <row r="8">
          <cell r="L8">
            <v>774.5</v>
          </cell>
        </row>
        <row r="9">
          <cell r="L9">
            <v>662</v>
          </cell>
        </row>
        <row r="10">
          <cell r="L10">
            <v>252.79999999999998</v>
          </cell>
        </row>
        <row r="11">
          <cell r="L11">
            <v>315</v>
          </cell>
        </row>
        <row r="12">
          <cell r="L12">
            <v>360</v>
          </cell>
        </row>
        <row r="13">
          <cell r="L13">
            <v>162.1</v>
          </cell>
        </row>
      </sheetData>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cell r="B3" t="str">
            <v>Lead</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cell r="H7">
            <v>48</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ve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s>
    <sheetDataSet>
      <sheetData sheetId="0"/>
      <sheetData sheetId="1" refreshError="1">
        <row r="6">
          <cell r="J6">
            <v>336.1</v>
          </cell>
        </row>
        <row r="7">
          <cell r="J7">
            <v>640.6</v>
          </cell>
        </row>
        <row r="8">
          <cell r="J8">
            <v>528.1</v>
          </cell>
        </row>
        <row r="9">
          <cell r="J9">
            <v>181.1</v>
          </cell>
        </row>
        <row r="10">
          <cell r="J10">
            <v>226.1</v>
          </cell>
        </row>
        <row r="11">
          <cell r="J11">
            <v>90.1</v>
          </cell>
        </row>
        <row r="12">
          <cell r="J12">
            <v>94.4</v>
          </cell>
        </row>
      </sheetData>
      <sheetData sheetId="2"/>
      <sheetData sheetId="3"/>
      <sheetData sheetId="4"/>
      <sheetData sheetId="5"/>
      <sheetData sheetId="6"/>
      <sheetData sheetId="7"/>
      <sheetData sheetId="8"/>
      <sheetData sheetId="9"/>
      <sheetData sheetId="10"/>
      <sheetData sheetId="11"/>
      <sheetData sheetId="12" refreshError="1">
        <row r="7">
          <cell r="L7">
            <v>470</v>
          </cell>
        </row>
        <row r="8">
          <cell r="L8">
            <v>774.5</v>
          </cell>
        </row>
        <row r="9">
          <cell r="L9">
            <v>662</v>
          </cell>
        </row>
        <row r="10">
          <cell r="L10">
            <v>252.79999999999998</v>
          </cell>
        </row>
        <row r="11">
          <cell r="L11">
            <v>315</v>
          </cell>
        </row>
        <row r="12">
          <cell r="L12">
            <v>360</v>
          </cell>
        </row>
        <row r="13">
          <cell r="L13">
            <v>162.1</v>
          </cell>
        </row>
      </sheetData>
      <sheetData sheetId="13"/>
      <sheetData sheetId="14"/>
      <sheetData sheetId="15"/>
      <sheetData sheetId="16"/>
      <sheetData sheetId="17"/>
      <sheetData sheetId="18" refreshError="1"/>
      <sheetData sheetId="1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Data.F8.BTR"/>
      <sheetName val="leads"/>
      <sheetName val="rdamdata"/>
      <sheetName val="Material"/>
      <sheetName val="Plant &amp;  Machinery"/>
      <sheetName val="Data_F8_BTR"/>
      <sheetName val="Plant_&amp;__Machinery"/>
      <sheetName val="Labour"/>
      <sheetName val="DATA"/>
      <sheetName val="Lead statement ss5"/>
      <sheetName val="Lead_statement_ss5"/>
      <sheetName val="HDPE"/>
      <sheetName val="DI"/>
      <sheetName val="pvc"/>
      <sheetName val="Lead"/>
      <sheetName val="data existing_do not delete"/>
      <sheetName val="clvrt_data"/>
      <sheetName val="ssr-rates"/>
      <sheetName val="t_prsr"/>
      <sheetName val="wh"/>
      <sheetName val="Plant 㫨  Machinery"/>
      <sheetName val="Plant_㫨__Machinery"/>
      <sheetName val="DATA_PRG"/>
      <sheetName val="Works"/>
      <sheetName val="RMR"/>
      <sheetName val="General"/>
      <sheetName val="Lɥad"/>
      <sheetName val="id"/>
      <sheetName val="Bitumen trunk"/>
      <sheetName val="Feeder"/>
      <sheetName val="R99 etc"/>
      <sheetName val="Trunk unpaved"/>
      <sheetName val="m"/>
      <sheetName val="Levels"/>
      <sheetName val="MRATES"/>
      <sheetName val="mlead"/>
      <sheetName val="abs road"/>
      <sheetName val="coverpage"/>
      <sheetName val="Road data"/>
      <sheetName val="R_Det"/>
      <sheetName val="DATA-BASE"/>
      <sheetName val="DATA-ABSTRACT"/>
      <sheetName val="Class IV Qtr. Ele"/>
      <sheetName val="Bridge Data 2005-06"/>
      <sheetName val="bom"/>
      <sheetName val="Lead statement"/>
      <sheetName val="GROUND FLOOR"/>
      <sheetName val="Sheet1"/>
      <sheetName val="PROCTOR"/>
      <sheetName val="Rates-May-14"/>
      <sheetName val="TOP SLAB-beams"/>
      <sheetName val="int-Dia-pvc"/>
      <sheetName val="hdpe_basic"/>
      <sheetName val="pvc_basic"/>
      <sheetName val="water-hammar-strenght"/>
      <sheetName val="hdpe weights"/>
      <sheetName val="PVC weights"/>
      <sheetName val="0000000000000"/>
      <sheetName val="SSR"/>
      <sheetName val="VC 80"/>
      <sheetName val="VC 450"/>
      <sheetName val="Data_F8_BTR3"/>
      <sheetName val="Plant_&amp;__Machinery3"/>
      <sheetName val="Lead_statement_ss53"/>
      <sheetName val="Data_F8_BTR1"/>
      <sheetName val="Plant_&amp;__Machinery1"/>
      <sheetName val="Lead_statement_ss51"/>
      <sheetName val="Data_F8_BTR2"/>
      <sheetName val="Plant_&amp;__Machinery2"/>
      <sheetName val="Lead_statement_ss52"/>
      <sheetName val="Rates"/>
      <sheetName val="Ins &amp; Bonds"/>
      <sheetName val="A-3.1"/>
      <sheetName val="Client req"/>
      <sheetName val="PUMP_DATA"/>
      <sheetName val="Nspt-smp-final-ORIGINAL"/>
      <sheetName val="C-data"/>
      <sheetName val="MRoad data"/>
      <sheetName val="detls"/>
      <sheetName val="Sheet2"/>
      <sheetName val="Sheet3"/>
      <sheetName val="Sheet1 (2)"/>
      <sheetName val="wt of CID joint"/>
      <sheetName val="AC DAta"/>
      <sheetName val="Pipe Pilne MAch"/>
      <sheetName val="Sheet4"/>
      <sheetName val="Indurhty"/>
      <sheetName val="Indurhty 2016-17"/>
      <sheetName val="Sheet5"/>
      <sheetName val="1"/>
      <sheetName val="2"/>
      <sheetName val="3"/>
      <sheetName val="4"/>
      <sheetName val="FORM-W3"/>
      <sheetName val="PH data"/>
      <sheetName val="Tees"/>
      <sheetName val="Delivery mains"/>
      <sheetName val="bundqty"/>
      <sheetName val="Design"/>
      <sheetName val="CONST"/>
      <sheetName val="Common "/>
      <sheetName val="maya"/>
      <sheetName val="Specification"/>
      <sheetName val="Specification report"/>
      <sheetName val="data_existing_do_not_delete2"/>
      <sheetName val="Bitumen_trunk2"/>
      <sheetName val="R99_etc2"/>
      <sheetName val="Trunk_unpaved2"/>
      <sheetName val="abs_road2"/>
      <sheetName val="Road_data2"/>
      <sheetName val="Class_IV_Qtr__Ele2"/>
      <sheetName val="Bridge_Data_2005-062"/>
      <sheetName val="Lead_statement2"/>
      <sheetName val="GROUND_FLOOR2"/>
      <sheetName val="data_existing_do_not_delete"/>
      <sheetName val="Bitumen_trunk"/>
      <sheetName val="R99_etc"/>
      <sheetName val="Trunk_unpaved"/>
      <sheetName val="abs_road"/>
      <sheetName val="Road_data"/>
      <sheetName val="Class_IV_Qtr__Ele"/>
      <sheetName val="Bridge_Data_2005-06"/>
      <sheetName val="Lead_statement"/>
      <sheetName val="GROUND_FLOOR"/>
      <sheetName val="data_existing_do_not_delete1"/>
      <sheetName val="Bitumen_trunk1"/>
      <sheetName val="R99_etc1"/>
      <sheetName val="Trunk_unpaved1"/>
      <sheetName val="abs_road1"/>
      <sheetName val="Road_data1"/>
      <sheetName val="Class_IV_Qtr__Ele1"/>
      <sheetName val="Bridge_Data_2005-061"/>
      <sheetName val="Lead_statement1"/>
      <sheetName val="GROUND_FLOOR1"/>
      <sheetName val="Analy"/>
      <sheetName val="1-Pop Proj"/>
      <sheetName val="Estimate "/>
      <sheetName val="banilad"/>
      <sheetName val="SECPROP"/>
      <sheetName val="CABLENOS."/>
      <sheetName val="Main sheet"/>
      <sheetName val="index"/>
      <sheetName val="Cash2"/>
      <sheetName val="Quarry"/>
      <sheetName val="Line"/>
      <sheetName val="BTR"/>
      <sheetName val="CRUST"/>
      <sheetName val="QDTS"/>
      <sheetName val="Abs_CD_2"/>
      <sheetName val="road est"/>
      <sheetName val="ECV"/>
      <sheetName val="BWSCPlt"/>
      <sheetName val="CI"/>
      <sheetName val="G.R.P"/>
      <sheetName val="PSC REVISED"/>
      <sheetName val="RWS"/>
      <sheetName val="Entry"/>
      <sheetName val="Rates SSR 2008-09"/>
      <sheetName val="Cover"/>
      <sheetName val="Usage"/>
      <sheetName val="final abstract"/>
      <sheetName val="DATA SHEET"/>
      <sheetName val="ANAL-PIPE LINE"/>
      <sheetName val="MS Pipe Working"/>
      <sheetName val="wh_data"/>
      <sheetName val="wh_data_R"/>
      <sheetName val="CPHEEO"/>
      <sheetName val="input"/>
      <sheetName val="civ data"/>
      <sheetName val="SPT vs PHI"/>
      <sheetName val="PS1"/>
      <sheetName val="sand"/>
      <sheetName val="stone"/>
      <sheetName val="HDPE-pipe-rates"/>
      <sheetName val="pvc-pipe-rates"/>
      <sheetName val="650kL-design-final"/>
      <sheetName val="_5wgdhabfinal00_01"/>
      <sheetName val="Mix Design"/>
      <sheetName val="Cost of O &amp; O"/>
      <sheetName val="WATER-HAMMER"/>
      <sheetName val="DATA 2021-22"/>
      <sheetName val="Staff Civil o&amp;m draft policy"/>
      <sheetName val="LEAD S 10-11"/>
      <sheetName val="BOQ (2)"/>
      <sheetName val="Rate Analysis"/>
      <sheetName val="RMR.PS"/>
      <sheetName val="BTR.PS"/>
      <sheetName val="Road data.PS"/>
      <sheetName val="Road data-TDR"/>
      <sheetName val="Data_F8_BTR4"/>
      <sheetName val="Plant_&amp;__Machinery4"/>
      <sheetName val="Lead_statement_ss54"/>
      <sheetName val="data_existing_do_not_delete3"/>
      <sheetName val="TOP_SLAB-beams"/>
      <sheetName val="Plant_㫨__Machinery1"/>
      <sheetName val="Common_"/>
      <sheetName val="Bitumen_trunk3"/>
      <sheetName val="R99_etc3"/>
      <sheetName val="Trunk_unpaved3"/>
      <sheetName val="abs_road3"/>
      <sheetName val="Road_data3"/>
      <sheetName val="Class_IV_Qtr__Ele3"/>
      <sheetName val="Bridge_Data_2005-063"/>
      <sheetName val="Lead_statement3"/>
      <sheetName val="GROUND_FLOOR3"/>
      <sheetName val="hdpe_weights"/>
      <sheetName val="PVC_weights"/>
      <sheetName val="VC_80"/>
      <sheetName val="VC_450"/>
      <sheetName val="PH_data"/>
      <sheetName val="Delivery_mains"/>
      <sheetName val="Ins_&amp;_Bonds"/>
      <sheetName val="A-3_1"/>
      <sheetName val="Client_req"/>
      <sheetName val="Specification_report"/>
      <sheetName val="1-Pop_Proj"/>
      <sheetName val="Estimate_"/>
      <sheetName val="CABLENOS_"/>
      <sheetName val="Main_sheet"/>
      <sheetName val="MRoad_data"/>
      <sheetName val="final_abstract"/>
      <sheetName val="Sheet1_(2)"/>
      <sheetName val="wt_of_CID_joint"/>
      <sheetName val="AC_DAta"/>
      <sheetName val="Pipe_Pilne_MAch"/>
      <sheetName val="Indurhty_2016-17"/>
      <sheetName val="Data-ELSR"/>
      <sheetName val="Bed Class"/>
      <sheetName val="CPIPE"/>
      <sheetName val="CPIPE2"/>
      <sheetName val="Cs"/>
      <sheetName val="DVALUE"/>
      <sheetName val="THK"/>
      <sheetName val="20kL-design-final"/>
      <sheetName val="Bill-12"/>
      <sheetName val="sup dat"/>
      <sheetName val="Mactan"/>
      <sheetName val="Mandaue"/>
      <sheetName val="Detail In Door Stad"/>
      <sheetName val="IDCCALHYD_GOO"/>
      <sheetName val="Detailed"/>
      <sheetName val="concrete"/>
      <sheetName val="Civil Boq"/>
      <sheetName val="Summary"/>
      <sheetName val="gen_abstrct"/>
      <sheetName val="pop"/>
      <sheetName val="hdpe-rates"/>
      <sheetName val="pvc-rates"/>
      <sheetName val="Rate"/>
      <sheetName val="Convey"/>
      <sheetName val="C.D.Abs.Est."/>
      <sheetName val="Exp"/>
      <sheetName val="A 3_7"/>
      <sheetName val="Abs"/>
      <sheetName val="X-2"/>
      <sheetName val="other rates"/>
      <sheetName val="SALIENT"/>
      <sheetName val="gen"/>
      <sheetName val="10"/>
      <sheetName val="11"/>
      <sheetName val="12"/>
      <sheetName val="2A"/>
      <sheetName val="2B"/>
      <sheetName val="2C"/>
      <sheetName val="2D"/>
      <sheetName val="2E"/>
      <sheetName val="2F"/>
      <sheetName val="2G"/>
      <sheetName val="2H"/>
      <sheetName val="3A"/>
      <sheetName val="3B"/>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4"/>
      <sheetName val="TBAL9697 -group wise  sdpl"/>
      <sheetName val="p&amp;m"/>
      <sheetName val="Staff Acco."/>
      <sheetName val="Cd"/>
      <sheetName val="SewerCAD MH Data"/>
      <sheetName val="Design 2040 Design Flows-(1)"/>
      <sheetName val="SewerCAD Pipe Data-Actual 2040"/>
      <sheetName val="CONNECT"/>
      <sheetName val="analysis"/>
      <sheetName val="Global factors"/>
      <sheetName val="MTC-estimate"/>
      <sheetName val="Gen Abs"/>
      <sheetName val="Data_Base"/>
      <sheetName val="Work_sheet"/>
      <sheetName val="SUMP1420KL@HW"/>
      <sheetName val="Admin"/>
      <sheetName val="foundation(V)"/>
      <sheetName val="Data-2011-12"/>
      <sheetName val="DL CAL"/>
      <sheetName val="slab"/>
      <sheetName val="Flanged Beams"/>
      <sheetName val="Rectangular Beam"/>
      <sheetName val="Interface_SC"/>
      <sheetName val="Calc_ISC"/>
      <sheetName val="Calc_SC"/>
      <sheetName val="Interface_ISC"/>
      <sheetName val="GD"/>
      <sheetName val="Boq"/>
      <sheetName val="GF SB Ok "/>
      <sheetName val="Hire"/>
      <sheetName val="GF Columns"/>
      <sheetName val="DISCOUNT"/>
      <sheetName val="Weightage-Sub Sht"/>
      <sheetName val="OH"/>
      <sheetName val="Basic Rates"/>
      <sheetName val="beam-reinft"/>
      <sheetName val="Data o"/>
      <sheetName val="Lead  RATES"/>
      <sheetName val="inWords"/>
      <sheetName val="segments-details"/>
      <sheetName val="int-Dia-hdpe"/>
      <sheetName val="habs-list"/>
      <sheetName val="OSWI Qlfy"/>
      <sheetName val="AEOS Qlfy"/>
      <sheetName val="RCC Pier Checking"/>
      <sheetName val="T-BEAM (longitudinal)"/>
      <sheetName val="DECK SLAB DESIGN"/>
      <sheetName val="IRC TABLES"/>
      <sheetName val="Bed Fall"/>
      <sheetName val="CONVEYANCE  (2)"/>
      <sheetName val="BM-HOOP"/>
      <sheetName val="m1"/>
      <sheetName val="ewst"/>
      <sheetName val="int-Dia"/>
      <sheetName val="nodes"/>
      <sheetName val="drains-data"/>
      <sheetName val="CC Rd Data"/>
      <sheetName val="GSB"/>
      <sheetName val="ALL ABSTRACT"/>
      <sheetName val="Medchal LEAD"/>
      <sheetName val="BoreWell"/>
      <sheetName val="Council hall"/>
      <sheetName val="Transport Shed"/>
      <sheetName val="Compost Plat"/>
      <sheetName val="Security Room"/>
      <sheetName val="Office Room"/>
      <sheetName val="Waste Receiving Platform"/>
      <sheetName val="DRCC Sheds"/>
      <sheetName val="C&amp;D Shed"/>
      <sheetName val="Compost Platform"/>
      <sheetName val="Compost Screening Storage Shed"/>
      <sheetName val="Est-Drain "/>
      <sheetName val="Drain section"/>
      <sheetName val="Mechanical Equipment"/>
      <sheetName val="Building Data"/>
      <sheetName val="Gate &amp; Chain link fencQty Civil"/>
      <sheetName val="Electrical &amp; Plumbing"/>
      <sheetName val="SHEDS STEEL QTY"/>
      <sheetName val="Mortars,"/>
      <sheetName val="data-Bld-20-21"/>
      <sheetName val="Civil SSR"/>
      <sheetName val="datas-CC Drain"/>
      <sheetName val="WS SSR"/>
      <sheetName val="WS Data"/>
      <sheetName val="conveyance"/>
      <sheetName val="ELE-INT"/>
      <sheetName val="ELE-ANALYSIS"/>
      <sheetName val="QUANTITY SHEET"/>
      <sheetName val="240 Meter Yard"/>
      <sheetName val="steel(240M Yard)"/>
      <sheetName val="Est-elec"/>
      <sheetName val="Est-plumbing"/>
      <sheetName val="Dismantling"/>
      <sheetName val="Datas-Dismantling"/>
      <sheetName val="other_rates"/>
      <sheetName val="other_rates1"/>
      <sheetName val="PH data-16-17"/>
      <sheetName val="Bld up to 3F"/>
      <sheetName val="C-Mat-16-17-"/>
      <sheetName val="labour&amp; Hire-16-17"/>
      <sheetName val="Process"/>
      <sheetName val="Buildings"/>
      <sheetName val="VI Floor Beam "/>
      <sheetName val="Boq Block A"/>
      <sheetName val="Valves"/>
      <sheetName val="Title"/>
      <sheetName val="Ventway Calculations"/>
      <sheetName val="Suppl-data"/>
      <sheetName val="data-WC"/>
      <sheetName val="1V800"/>
      <sheetName val="EDWise"/>
      <sheetName val="Civil-works"/>
      <sheetName val="Basic data "/>
      <sheetName val="TTL"/>
      <sheetName val="NTFP"/>
      <sheetName val="Sarpanchs (1012)"/>
      <sheetName val="BLK3"/>
      <sheetName val="BLK2"/>
      <sheetName val="E &amp; R"/>
      <sheetName val="radar"/>
      <sheetName val="UG"/>
      <sheetName val="not req 3"/>
      <sheetName val="Cable-data"/>
      <sheetName val="SOR"/>
      <sheetName val="Road Detail Est."/>
      <sheetName val="Civil Works"/>
      <sheetName val="MRMECADAMoad data"/>
      <sheetName val="MASTER"/>
      <sheetName val="Code"/>
      <sheetName val="Rates_SSR_2008-09"/>
      <sheetName val="RMR_PS"/>
      <sheetName val="BTR_PS"/>
      <sheetName val="Road_data_PS"/>
      <sheetName val="Road_data-TDR"/>
      <sheetName val="BOQ_(2)"/>
      <sheetName val="Data_F8_BTR5"/>
      <sheetName val="Plant_&amp;__Machinery5"/>
      <sheetName val="Lead_statement_ss55"/>
      <sheetName val="data_existing_do_not_delete4"/>
      <sheetName val="TOP_SLAB-beams1"/>
      <sheetName val="Plant_㫨__Machinery2"/>
      <sheetName val="PH_data1"/>
      <sheetName val="Bitumen_trunk4"/>
      <sheetName val="R99_etc4"/>
      <sheetName val="Trunk_unpaved4"/>
      <sheetName val="abs_road4"/>
      <sheetName val="Road_data4"/>
      <sheetName val="Class_IV_Qtr__Ele4"/>
      <sheetName val="Bridge_Data_2005-064"/>
      <sheetName val="Lead_statement4"/>
      <sheetName val="GROUND_FLOOR4"/>
      <sheetName val="hdpe_weights1"/>
      <sheetName val="PVC_weights1"/>
      <sheetName val="VC_801"/>
      <sheetName val="VC_4501"/>
      <sheetName val="Rates_SSR_2008-091"/>
      <sheetName val="Ins_&amp;_Bonds1"/>
      <sheetName val="A-3_11"/>
      <sheetName val="Client_req1"/>
      <sheetName val="MRoad_data1"/>
      <sheetName val="Sheet1_(2)1"/>
      <sheetName val="wt_of_CID_joint1"/>
      <sheetName val="AC_DAta1"/>
      <sheetName val="Pipe_Pilne_MAch1"/>
      <sheetName val="Indurhty_2016-171"/>
      <sheetName val="Delivery_mains1"/>
      <sheetName val="rmr "/>
      <sheetName val="road data "/>
      <sheetName val="TS memo"/>
      <sheetName val="Lookup"/>
      <sheetName val="Data well"/>
      <sheetName val="Ghanapur to Suraram jn. det"/>
      <sheetName val="QTY-CRUST-SR"/>
      <sheetName val="CROSS-SECTION"/>
      <sheetName val="QTY-CRUST-MCW"/>
      <sheetName val="hyperstatic-3"/>
      <sheetName val="basdat"/>
      <sheetName val="11.Habitations"/>
      <sheetName val="Sheet11"/>
      <sheetName val="Prjt"/>
      <sheetName val="FACE"/>
      <sheetName val="Material "/>
      <sheetName val="Labour &amp; Plant"/>
      <sheetName val="Fee Rate Summary"/>
      <sheetName val="economic PM"/>
      <sheetName val="AV-HDPE"/>
      <sheetName val="Di_gate-HDPE"/>
      <sheetName val="Input DataGS"/>
      <sheetName val="Input Data"/>
      <sheetName val="abst"/>
      <sheetName val="SSR 2016-17"/>
      <sheetName val="SSR 2015-16"/>
      <sheetName val="DATA SHEET FOR 2012 - 13"/>
      <sheetName val="Set"/>
      <sheetName val="Data-Road "/>
      <sheetName val="DATA-CD "/>
      <sheetName val="DATA ENTRY SHEET"/>
      <sheetName val="TOTAL DATA"/>
      <sheetName val="HP PIPE  DATA"/>
      <sheetName val="SLAB  DATA"/>
      <sheetName val="DATA SHEET FOR 2014-15"/>
      <sheetName val="HP"/>
      <sheetName val="mtc esti"/>
      <sheetName val="Datas"/>
      <sheetName val="Revised ANN2"/>
      <sheetName val="dist dump"/>
      <sheetName val="AV-DI"/>
      <sheetName val="DI gate-DI"/>
      <sheetName val="DIgate_PVC "/>
      <sheetName val="1920"/>
      <sheetName val="A"/>
      <sheetName val="3405-2014"/>
      <sheetName val="Qty"/>
      <sheetName val="LABOUR RATE"/>
      <sheetName val="Material Rate"/>
      <sheetName val="PVC DATA General"/>
      <sheetName val="G_R_P"/>
      <sheetName val="PSC_REVISED"/>
      <sheetName val="road_est"/>
      <sheetName val="civ_data"/>
      <sheetName val="ANAL-PIPE_LINE"/>
      <sheetName val="MS_Pipe_Working"/>
      <sheetName val="Mix_Design"/>
      <sheetName val="Cost_of_O_&amp;_O"/>
      <sheetName val="SPT_vs_PHI"/>
      <sheetName val="DATA_2021-22"/>
      <sheetName val="Staff_Civil_o&amp;m_draft_policy"/>
      <sheetName val="Main"/>
      <sheetName val="E.I. ESTIMATE"/>
      <sheetName val="EXTERNAL E.I."/>
      <sheetName val="E.I. DATAS"/>
      <sheetName val="Comparative Statement"/>
      <sheetName val="PANEL DATAS"/>
      <sheetName val="Inv"/>
      <sheetName val="Report (2)"/>
      <sheetName val="Sanitary Datas 2020-21"/>
      <sheetName val="san-abs"/>
      <sheetName val="gen-ab"/>
      <sheetName val="gfloor"/>
      <sheetName val="FF"/>
      <sheetName val="Terrace"/>
      <sheetName val="GF Det-Est"/>
      <sheetName val="FF DET"/>
      <sheetName val="tf dET"/>
      <sheetName val="DATA1"/>
      <sheetName val="saniraty-det"/>
      <sheetName val="NOPRINT"/>
      <sheetName val="doors"/>
      <sheetName val="Report"/>
      <sheetName val="SH"/>
      <sheetName val="MDRs"/>
      <sheetName val="Annexure III"/>
      <sheetName val="Annexure I"/>
      <sheetName val="MS Rates"/>
      <sheetName val="CPIPE 1"/>
      <sheetName val="TOS-F"/>
      <sheetName val="Leads Entry"/>
      <sheetName val="sectorwise"/>
      <sheetName val="60-70"/>
      <sheetName val="80-100"/>
      <sheetName val="Emulsion MS"/>
      <sheetName val=" HSD"/>
      <sheetName val="Bri0¢^ _x001c__x0000__x0000__x0000_¶\_x001d__x0000__x0000__x0000__x0000__x0000_"/>
      <sheetName val=""/>
      <sheetName val="office"/>
      <sheetName val="Lab"/>
      <sheetName val="Material&amp;equipment"/>
      <sheetName val="labour &amp; Hire-21-22"/>
      <sheetName val="SSR-Irri, R&amp;B, PH-21-22"/>
      <sheetName val="Bld.SoR-21-22"/>
      <sheetName val="labour &amp; Hire-22-23"/>
      <sheetName val="Bld.SoR-22-23"/>
      <sheetName val="SSR-Irri, R&amp;B, PH-22-23"/>
      <sheetName val="Sanitary SSR-22-23"/>
      <sheetName val="COST"/>
      <sheetName val="51"/>
      <sheetName val="factors"/>
      <sheetName val="PRECAST lightconc-II"/>
      <sheetName val="Mortars"/>
      <sheetName val=" Data -Valves"/>
      <sheetName val="(4)F-81 Exp.side"/>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HYDRAULICS"/>
      <sheetName val="Check List"/>
      <sheetName val="Recovery"/>
      <sheetName val="CC Road"/>
      <sheetName val="Census_of_India_2001"/>
      <sheetName val="rate analysis "/>
      <sheetName val="Design of two-way slab"/>
      <sheetName val="BASE_ALL"/>
      <sheetName val="LIST"/>
      <sheetName val="Area Sheet NO 1"/>
      <sheetName val="DataInput"/>
      <sheetName val="DataInput-1"/>
      <sheetName val="DI Rate Analysis"/>
      <sheetName val="Economic RisingMain  Ph-I"/>
      <sheetName val="Designs"/>
      <sheetName val="INPUT-DATA"/>
      <sheetName val="STAMT"/>
      <sheetName val="Pier Design(with offset)"/>
      <sheetName val="WTP-Pr"/>
      <sheetName val="Sheet9"/>
      <sheetName val="NEW "/>
      <sheetName val="Form_E6"/>
      <sheetName val="E8"/>
      <sheetName val="E11"/>
      <sheetName val="DREV"/>
      <sheetName val="CREV"/>
      <sheetName val="DESBASTE"/>
      <sheetName val="Transfer"/>
      <sheetName val="Elect."/>
      <sheetName val="WT AVG LEAD"/>
      <sheetName val="BOQ Distribution"/>
      <sheetName val="ESTIMATE"/>
      <sheetName val="Abs PMRL"/>
      <sheetName val="ssr20506"/>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sheetData sheetId="427"/>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ssr-rates"/>
      <sheetName val="leads"/>
      <sheetName val="rdamdata"/>
      <sheetName val="pvc"/>
      <sheetName val="HDPE"/>
      <sheetName val="DI"/>
      <sheetName val="0000000000000"/>
      <sheetName val="census91"/>
      <sheetName val="DATA"/>
      <sheetName val="maya"/>
      <sheetName val="C-data"/>
      <sheetName val="RMR"/>
      <sheetName val="Lead statement"/>
      <sheetName val="MRATES"/>
      <sheetName val="stone"/>
      <sheetName val="Road data"/>
      <sheetName val="Nspt-smp-final-ORIGINAL"/>
      <sheetName val="Labour"/>
      <sheetName val="Lead"/>
      <sheetName val="DATA_PRG"/>
      <sheetName val="BTR"/>
      <sheetName val="DES"/>
      <sheetName val="COVER"/>
      <sheetName val="HP PIPE  DATA"/>
      <sheetName val="SLAB  DATA"/>
      <sheetName val="GF SB Ok "/>
      <sheetName val="Levels"/>
      <sheetName val="HDPE-pipe-rates"/>
      <sheetName val="pvc-pipe-rates"/>
      <sheetName val="Material"/>
      <sheetName val="Plant &amp;  Machinery"/>
      <sheetName val="m"/>
      <sheetName val="MRoad data"/>
      <sheetName val="AV-HDPE"/>
      <sheetName val="Di_gate-HDPE"/>
      <sheetName val="Basicrates"/>
      <sheetName val="mlead"/>
      <sheetName val="splmidata"/>
      <sheetName val="ppraodata"/>
      <sheetName val="Rates"/>
      <sheetName val="BLK3"/>
      <sheetName val="BLK2"/>
      <sheetName val="radar"/>
      <sheetName val="E &amp; R"/>
      <sheetName val="hdpe_basic"/>
      <sheetName val="pvc_basic"/>
      <sheetName val="CONST"/>
      <sheetName val="Estimate "/>
      <sheetName val="EDWise"/>
      <sheetName val="BHANDUP"/>
      <sheetName val="PRECAST lightconc-II"/>
      <sheetName val="data existing_do not delete"/>
      <sheetName val="Sheet3"/>
      <sheetName val="Quarry"/>
      <sheetName val="Line"/>
      <sheetName val="CRUST"/>
      <sheetName val="QDTS"/>
      <sheetName val="discount"/>
      <sheetName val="mas_hab"/>
      <sheetName val="Sheet2"/>
      <sheetName val="Common "/>
      <sheetName val="final abstract"/>
      <sheetName val="bom"/>
      <sheetName val="SPT vs PHI"/>
      <sheetName val=" data sheet "/>
      <sheetName val="DATA-BASE"/>
      <sheetName val="DATA-ABSTRACT"/>
      <sheetName val="sand"/>
      <sheetName val="clvrt_data"/>
      <sheetName val="wh_data_R"/>
      <sheetName val="wh_data"/>
      <sheetName val="CPHEEO"/>
      <sheetName val="input"/>
      <sheetName val="hdpe weights"/>
      <sheetName val="PVC weights"/>
      <sheetName val="Data.F8.BTR"/>
      <sheetName val="Civil Boq"/>
      <sheetName val="Summary"/>
      <sheetName val="Note"/>
      <sheetName val="Specification"/>
      <sheetName val="analy"/>
      <sheetName val="basdat"/>
      <sheetName val="GA"/>
      <sheetName val="hdpe-rates"/>
      <sheetName val="pvc-rates"/>
      <sheetName val="detls"/>
      <sheetName val="t_prsr"/>
      <sheetName val="wh"/>
      <sheetName val="WATER-HAMMER"/>
      <sheetName val="Rate Analysis"/>
      <sheetName val="Abs"/>
      <sheetName val="Lead_statement"/>
      <sheetName val="GF_SB_Ok_"/>
      <sheetName val="Plant_&amp;__Machinery"/>
      <sheetName val="ROAD_DATA"/>
      <sheetName val="HP_PIPE__DATA"/>
      <sheetName val="SLAB__DATA"/>
      <sheetName val="Estimate_"/>
      <sheetName val="PRECAST_lightconc-II"/>
      <sheetName val="data_existing_do_not_delete"/>
      <sheetName val="MRoad_data"/>
      <sheetName val="id"/>
      <sheetName val="WITH STACKING CHARGES"/>
      <sheetName val="Main sheet"/>
      <sheetName val="Legal Risk Analysis"/>
      <sheetName val="Data_Base"/>
      <sheetName val="G F  (2)"/>
      <sheetName val="road detail est."/>
      <sheetName val="Global factors"/>
      <sheetName val="GT DUMP"/>
      <sheetName val="sancdump"/>
      <sheetName val="strong stylecolor blueDate Wise"/>
      <sheetName val="abs road"/>
      <sheetName val="coverpage"/>
      <sheetName val="TS memo"/>
      <sheetName val="R_Det"/>
      <sheetName val="ROADS"/>
      <sheetName val="BALAN1"/>
      <sheetName val="civ data"/>
      <sheetName val="overviewbarmer"/>
      <sheetName val="Master_data"/>
      <sheetName val="Table10"/>
      <sheetName val="Table11"/>
      <sheetName val="Table12"/>
      <sheetName val="SSR 2014-15 Rates"/>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Materials"/>
      <sheetName val="Conveyance"/>
      <sheetName val="ESTIMATE"/>
      <sheetName val="Bitumen trunk"/>
      <sheetName val="Feeder"/>
      <sheetName val="R99 etc"/>
      <sheetName val="Trunk unpaved"/>
      <sheetName val="Data_Renuals"/>
      <sheetName val="Labour rates"/>
      <sheetName val="Cover-MEstt."/>
      <sheetName val="bldg"/>
      <sheetName val="Proforma -II "/>
      <sheetName val="sectorwise"/>
      <sheetName val="organi synthesis lab"/>
      <sheetName val="Suppl-data"/>
      <sheetName val="Data o"/>
      <sheetName val="Boq"/>
      <sheetName val="C &amp; G RHS"/>
      <sheetName val="GenAbst"/>
      <sheetName val="Gen Abs"/>
      <sheetName val="11.Habitations"/>
      <sheetName val="Rate"/>
      <sheetName val="Roadlist"/>
      <sheetName val="Estt"/>
      <sheetName val="Lead statement ss5"/>
      <sheetName val="Flight-1"/>
      <sheetName val="Sent NHO"/>
      <sheetName val="MTC-estimate"/>
      <sheetName val="Basic Rates"/>
      <sheetName val="Cover Page"/>
      <sheetName val="G Hostel"/>
      <sheetName val="Main Bldg"/>
      <sheetName val="B Student Hostel"/>
      <sheetName val="B Resident Hostel"/>
      <sheetName val="Qtrs"/>
      <sheetName val="Kitchen&amp;Dining"/>
      <sheetName val="STP"/>
      <sheetName val="WTP"/>
      <sheetName val="Sump"/>
      <sheetName val="Sump (2)"/>
      <sheetName val="Compound wall"/>
      <sheetName val="Sheet1 (3)"/>
      <sheetName val="m1"/>
      <sheetName val="pop"/>
      <sheetName val="Abs_CD_2"/>
      <sheetName val="road est"/>
      <sheetName val="ECV"/>
      <sheetName val="data r-i 1"/>
      <sheetName val="Rates-May-14"/>
      <sheetName val="final data"/>
      <sheetName val="Calc1"/>
      <sheetName val="C.D.Abs.Est."/>
      <sheetName val="E_&amp;_R"/>
      <sheetName val="Rate_Analysis"/>
      <sheetName val="Lead_statement1"/>
      <sheetName val="GF_SB_Ok_1"/>
      <sheetName val="Plant_&amp;__Machinery1"/>
      <sheetName val="Road_data1"/>
      <sheetName val="HP_PIPE__DATA1"/>
      <sheetName val="SLAB__DATA1"/>
      <sheetName val="MRoad_data1"/>
      <sheetName val="E_&amp;_R1"/>
      <sheetName val="work_sheet"/>
      <sheetName val="Culverts"/>
      <sheetName val="Usage"/>
      <sheetName val="General"/>
      <sheetName val="PROCTOR"/>
      <sheetName val="Dayworks_Bill"/>
      <sheetName val="Bills_of_Quantities"/>
      <sheetName val="Dayworks Bill"/>
      <sheetName val="Bills of Quantities"/>
      <sheetName val="not req 3"/>
      <sheetName val="BWSCPlt"/>
      <sheetName val="CI"/>
      <sheetName val="G.R.P"/>
      <sheetName val="PSC REVISED"/>
      <sheetName val="STN WISE EMR"/>
      <sheetName val="UG"/>
      <sheetName val="Material "/>
      <sheetName val="Labour &amp; Plant"/>
      <sheetName val="Pier Design(with offset)"/>
      <sheetName val="1-Pop Proj"/>
      <sheetName val="Sheet1 (2)"/>
      <sheetName val="Proforma-I (2)"/>
      <sheetName val="int-Dia-pvc"/>
      <sheetName val="Specification report"/>
      <sheetName val="Sorted"/>
      <sheetName val="SS FILTERS"/>
      <sheetName val="PMAY DATA 2016-17"/>
      <sheetName val="Final Status as on 15.09.2021"/>
      <sheetName val="12"/>
      <sheetName val="_5wgdhabfinal00_01"/>
      <sheetName val="agl-pump-sets"/>
      <sheetName val="EG"/>
      <sheetName val="pump-sets(AI)"/>
      <sheetName val="per-capita"/>
      <sheetName val="towns&amp;villages"/>
      <sheetName val="bricks"/>
      <sheetName val="SAL_MARCH2011"/>
      <sheetName val="DATAS"/>
      <sheetName val="SubAnlysis"/>
      <sheetName val="Sheet6"/>
      <sheetName val="FORM-16"/>
      <sheetName val="hdpe_weights"/>
      <sheetName val="PVC_weights"/>
      <sheetName val="SPT_vs_PHI"/>
      <sheetName val="Data_F8_BTR"/>
      <sheetName val="Common_"/>
      <sheetName val="final_abstract"/>
      <sheetName val="leads-c"/>
      <sheetName val="habcodes"/>
      <sheetName val="Format-A (B)"/>
      <sheetName val="Format-A"/>
      <sheetName val="Format-A (HQ)"/>
      <sheetName val="Sheet2 (2)"/>
      <sheetName val="Format-A (S)"/>
      <sheetName val="Design"/>
      <sheetName val="Prjt"/>
      <sheetName val="QTY"/>
      <sheetName val="DATA-2005-06"/>
      <sheetName val="WS Data"/>
      <sheetName val="joinery data"/>
      <sheetName val="A"/>
      <sheetName val="CD data"/>
      <sheetName val="RMR "/>
      <sheetName val="Estimate_1"/>
      <sheetName val="PRECAST_lightconc-II1"/>
      <sheetName val="data_existing_do_not_delete1"/>
      <sheetName val="_data_sheet_"/>
      <sheetName val="Civil_Boq"/>
      <sheetName val="WITH_STACKING_CHARGES"/>
      <sheetName val="Main_sheet"/>
      <sheetName val="Legal_Risk_Analysis"/>
      <sheetName val="G_F__(2)"/>
      <sheetName val="GT_DUMP"/>
      <sheetName val="strong_stylecolor_blueDate_Wise"/>
      <sheetName val="road_detail_est_"/>
      <sheetName val="Global_factors"/>
      <sheetName val="abs_road"/>
      <sheetName val="TS_memo"/>
      <sheetName val="G_Hostel"/>
      <sheetName val="Main_Bldg"/>
      <sheetName val="B_Student_Hostel"/>
      <sheetName val="B_Resident_Hostel"/>
      <sheetName val="Sump_(2)"/>
      <sheetName val="Compound_wall"/>
      <sheetName val="Sheet1_(3)"/>
      <sheetName val="not_req_3"/>
      <sheetName val="SS_FILTERS"/>
      <sheetName val="PMAY_DATA_2016-17"/>
      <sheetName val="Final_Status_as_on_15_09_2021"/>
      <sheetName val="11_Habitations"/>
      <sheetName val="Labour_rates"/>
      <sheetName val="STN_WISE_EMR"/>
      <sheetName val="road_est"/>
      <sheetName val="G_R_P"/>
      <sheetName val="PSC_REVISED"/>
      <sheetName val="Lead (Final)"/>
      <sheetName val="Civil Works"/>
      <sheetName val="Data_Bit_I"/>
    </sheetNames>
    <sheetDataSet>
      <sheetData sheetId="0">
        <row r="2">
          <cell r="F2">
            <v>100</v>
          </cell>
        </row>
      </sheetData>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CS"/>
      <sheetName val="maya"/>
      <sheetName val="ValveChamber"/>
      <sheetName val="V-CR"/>
      <sheetName val="MRATES"/>
      <sheetName val="DATA"/>
      <sheetName val="v"/>
      <sheetName val="r"/>
      <sheetName val="rdamdata"/>
      <sheetName val="lead-st"/>
      <sheetName val="Sheet1"/>
      <sheetName val="DATA_PRG"/>
      <sheetName val="Lead statement"/>
      <sheetName val="SSR 2010-11 Rates"/>
      <sheetName val="bom"/>
      <sheetName val="HDPE"/>
      <sheetName val="DI"/>
      <sheetName val="pvc"/>
      <sheetName val="hdpe_basic"/>
      <sheetName val="pvc_basic"/>
      <sheetName val="C-data"/>
      <sheetName val="m"/>
      <sheetName val="leads"/>
      <sheetName val="data existing_do not delete"/>
      <sheetName val="Estimate "/>
      <sheetName val="ssr-rates"/>
      <sheetName val="Labour"/>
      <sheetName val="Rates"/>
      <sheetName val="t_prsr"/>
      <sheetName val="wh"/>
      <sheetName val="Buildings"/>
      <sheetName val="Hire"/>
      <sheetName val="Conveyance"/>
      <sheetName val="mlead"/>
      <sheetName val="Cover"/>
      <sheetName val="id"/>
      <sheetName val="p&amp;m"/>
      <sheetName val="Material"/>
      <sheetName val="Plant &amp;  Machinery"/>
      <sheetName val="final abstract"/>
      <sheetName val="AV-HDPE"/>
      <sheetName val="Di_gate-HDPE"/>
      <sheetName val="BWSCPlt"/>
      <sheetName val="CI"/>
      <sheetName val="G.R.P"/>
      <sheetName val="PSC REVISED"/>
      <sheetName val="RMR"/>
      <sheetName val="Summary"/>
      <sheetName val="sand"/>
      <sheetName val="stone"/>
      <sheetName val="Bitumen trunk"/>
      <sheetName val="Feeder"/>
      <sheetName val="R99 etc"/>
      <sheetName val="Trunk unpaved"/>
      <sheetName val="Basicrates"/>
      <sheetName val="Lead"/>
      <sheetName val="wh_data_R"/>
      <sheetName val="wh_data"/>
      <sheetName val="CPHEEO"/>
      <sheetName val="input"/>
      <sheetName val="DATA-BASE"/>
      <sheetName val="DATA-ABSTRACT"/>
      <sheetName val="Sheet2"/>
      <sheetName val="0000000000000"/>
      <sheetName val="Met"/>
      <sheetName val="sup dat"/>
      <sheetName val="Road data"/>
      <sheetName val="temp-SDData (2)"/>
      <sheetName val="Works"/>
      <sheetName val="General"/>
    </sheetNames>
    <sheetDataSet>
      <sheetData sheetId="0"/>
      <sheetData sheetId="1" refreshError="1">
        <row r="1">
          <cell r="A1" t="str">
            <v xml:space="preserve">Earth work excation and depositing on bank with initial lead and lift in loamy and clayee soils as per ss301 for foundations </v>
          </cell>
        </row>
        <row r="2">
          <cell r="A2" t="str">
            <v xml:space="preserve">Earth work excation for ISOLATED works and depositing on bank with initial lead and lift in loamy and clayee soils as per ss301 for foundations </v>
          </cell>
        </row>
        <row r="3">
          <cell r="A3" t="e">
            <v>#REF!</v>
          </cell>
        </row>
        <row r="4">
          <cell r="A4" t="str">
            <v>C.C (1:6:10 ) Mix for Foundation Concrete to ISOLATED works using 40mm H.B.Q metal including cost &amp; conveyance of materials and labour charges seigniorage charges etc complete .</v>
          </cell>
        </row>
        <row r="5">
          <cell r="A5" t="e">
            <v>#REF!</v>
          </cell>
        </row>
        <row r="6">
          <cell r="A6" t="str">
            <v>C.C (1:4:8 ) Mix for Foundation Concrete to ISOLATED works using 40mm H.B.G metal including cost &amp; conveyance of materials and labour charges seigniorage charges etc complete .</v>
          </cell>
        </row>
        <row r="11">
          <cell r="A11" t="e">
            <v>#REF!</v>
          </cell>
        </row>
        <row r="12">
          <cell r="A12" t="e">
            <v>#REF!</v>
          </cell>
        </row>
        <row r="13">
          <cell r="A13" t="e">
            <v>#REF!</v>
          </cell>
        </row>
        <row r="14">
          <cell r="A14" t="str">
            <v>R.C.C.(1:2:4) mix for Side walls to VALVE CHAMBERS using 20mm HBG chips with necessary Qty of steel per 1 cum of concrete including C &amp; C of all materials and labour charges seig charges, centering , curing etc complete but excluding cost of steel and fab</v>
          </cell>
        </row>
        <row r="15">
          <cell r="A15" t="e">
            <v>#REF!</v>
          </cell>
        </row>
        <row r="16">
          <cell r="A16" t="str">
            <v>R.C.C.(1:2:4) mix for Cover slab to VALVE CHAMBERS using 20mm HBG chips with necessary Qty of steel per 1 cum of concrete including C &amp; C of all materials and labour charges seig charges, centering , curing etc complete but excluding cost of steel and fab</v>
          </cell>
        </row>
        <row r="17">
          <cell r="A17" t="e">
            <v>#REF!</v>
          </cell>
        </row>
        <row r="18">
          <cell r="A18" t="str">
            <v>R.C.C.(1:2:4) mix for Bottom slab to VALVE CHAMBERS using 20mm HBG chips with necessary Qty of steel per 1 cum of concrete including C &amp; C of all materials and labour charges seig charges, centering , curing etc complete but excluding cost of steel and fa</v>
          </cell>
        </row>
        <row r="23">
          <cell r="A23" t="e">
            <v>#REF!</v>
          </cell>
        </row>
        <row r="24">
          <cell r="A24" t="str">
            <v xml:space="preserve">Plastering with CM.(1:5)mix 12mm thick for ISOLATED works including cost &amp; conveyance of all materials and labour charges etc,complete for all exposed brick work.
</v>
          </cell>
        </row>
        <row r="25">
          <cell r="A25" t="e">
            <v>#REF!</v>
          </cell>
        </row>
        <row r="26">
          <cell r="A26" t="str">
            <v>Plastering with C.M (1:3)mix 8mm thick for ISOLATED including cost &amp; conveyance of all materials and labour charges etc , complete.</v>
          </cell>
        </row>
        <row r="27">
          <cell r="A27" t="e">
            <v>#REF!</v>
          </cell>
        </row>
        <row r="30">
          <cell r="A30" t="e">
            <v>#REF!</v>
          </cell>
        </row>
        <row r="31">
          <cell r="A31" t="str">
            <v xml:space="preserve">Sanding filling in foundation and basement for ISOLATED works including cost &amp; conveyance of all materials and labour charges seig charges , wtering and tamping etc, complete  </v>
          </cell>
        </row>
        <row r="247">
          <cell r="A247" t="str">
            <v>VALVES</v>
          </cell>
        </row>
        <row r="248">
          <cell r="A248" t="str">
            <v>S &amp; D of CI D/F Double Air Valve 40MM dia suitable for working pressure upto 10Kg/cm2 conforming to G&amp;K Fig. H7 but excluding Transportation ,CED ,Sales Tax etc complete</v>
          </cell>
        </row>
        <row r="249">
          <cell r="A249" t="str">
            <v>S &amp; D of CI D/F Double Air Valve 50MM dia suitable for working pressure upto 10Kg/cm2 conforming to G&amp;K Fig. H7 but excluding Transportation ,CED ,Sales Tax etc complete</v>
          </cell>
        </row>
        <row r="250">
          <cell r="A250" t="str">
            <v>S &amp; D of CI D/F Double Air Valve 80MM dia suitable for working pressure upto 10Kg/cm2 conforming to G&amp;K Fig. H7 but excluding Transportation ,CED ,Sales Tax etc complete</v>
          </cell>
        </row>
        <row r="251">
          <cell r="A251" t="str">
            <v>S &amp; D of CI D/F Double Air Valve 100MM dia suitable for working pressure upto 10Kg/cm2 conforming to G&amp;K Fig. H7 but excluding Transportation ,CED ,Sales Tax etc complete</v>
          </cell>
        </row>
        <row r="252">
          <cell r="A252" t="str">
            <v>S &amp; D of CI D/F Double Air Valve 40MM dia Heavy duty suitable for working pressure upto 16Kg/cm2 without isolating vale, conforming to IS 14845 but excluding Transportation ,CED ,Sales Tax etc complete</v>
          </cell>
        </row>
        <row r="253">
          <cell r="A253" t="str">
            <v>S &amp; D of CI D/F Double Air Valve 50MM dia Heavy duty suitable for working pressure upto 16Kg/cm2 without isolating vale, conforming to IS 14845 but excluding Transportation ,CED ,Sales Tax etc complete</v>
          </cell>
        </row>
        <row r="254">
          <cell r="A254" t="str">
            <v>S &amp; D of CI D/F Double Air Valve 80MM dia Heavy duty suitable for working pressure upto 16Kg/cm2 without isolating vale, conforming to IS 14845 but excluding Transportation ,CED ,Sales Tax etc complete</v>
          </cell>
        </row>
        <row r="255">
          <cell r="A255" t="str">
            <v>S &amp; D of CI D/F Double Air Valve 100MM dia Heavy duty suitable for working pressure upto 16Kg/cm2 without isolating vale, conforming to IS 14845 but excluding Transportation ,CED ,Sales Tax etc complete</v>
          </cell>
        </row>
        <row r="256">
          <cell r="A256" t="str">
            <v>S &amp; D of CI D/F Kinetc Air Valve 40MM dia as per IS14845 Heavy duty with isolating valve bevel gear operated as per IS 14846 ,PIN-1.0  but excluding Transportation ,CED ,Sales Tax etc complete</v>
          </cell>
        </row>
        <row r="257">
          <cell r="A257" t="str">
            <v>S &amp; D of CI D/F Kinetc Air Valve 50MM dia as per IS14845 Heavy duty with isolating valve bevel gear operated as per IS 14846 ,PIN-1.0  but excluding Transportation ,CED ,Sales Tax etc complete</v>
          </cell>
        </row>
        <row r="258">
          <cell r="A258" t="str">
            <v>S &amp; D of CI D/F Kinetc Air Valve 80MM dia as per IS14845 Heavy duty with isolating valve bevel gear operated as per IS 14846 ,PIN-1.0  but excluding Transportation ,CED ,Sales Tax etc complete</v>
          </cell>
        </row>
        <row r="259">
          <cell r="A259" t="str">
            <v>S &amp; D of CI D/F Kinetc Air Valve 100MM dia as per IS14845 Heavy duty with isolating valve bevel gear operated as per IS 14846 ,PIN-1.0  but excluding Transportation ,CED ,Sales Tax etc complete</v>
          </cell>
        </row>
        <row r="260">
          <cell r="A260" t="str">
            <v>S &amp; D of CI D/F Kinetc Air Valve 40MM dia as per G&amp;K  H42K with isolating valve bevel gear operated as per IS 14845 PIN - 1.0  but excluding Transportation ,CED ,Sales Tax etc complete</v>
          </cell>
        </row>
        <row r="261">
          <cell r="A261" t="str">
            <v>S &amp; D of CI D/F Kinetc Air Valve 50MM dia as per G&amp;K  H42K with isolating valve bevel gear operated as per IS 14845 PIN - 1.0  but excluding Transportation ,CED ,Sales Tax etc complete</v>
          </cell>
        </row>
        <row r="262">
          <cell r="A262" t="str">
            <v>S &amp; D of CI D/F Kinetc Air Valve 80MM dia as per G&amp;K  H42K with isolating valve bevel gear operated as per IS 14845 PIN - 1.0  but excluding Transportation ,CED ,Sales Tax etc complete</v>
          </cell>
        </row>
        <row r="263">
          <cell r="A263" t="str">
            <v>S &amp; D of CI D/F Kinetc Air Valve 100MM dia as per G&amp;K  H42K with isolating valve bevel gear operated as per IS 14845 PIN - 1.0  but excluding Transportation ,CED ,Sales Tax etc complete</v>
          </cell>
        </row>
        <row r="264">
          <cell r="A264" t="str">
            <v>SLUICE VALVES</v>
          </cell>
        </row>
        <row r="265">
          <cell r="A265" t="str">
            <v xml:space="preserve">S &amp; D of CI D/F Sluice Valve 50MM dia conforming to IS 14846 / 2000 with amdt No:1 &amp; 2 components / parts  but excluding Transportation ,CED ,Sales Tax etc complete PN-1.0   with hand wheel </v>
          </cell>
        </row>
        <row r="266">
          <cell r="A266" t="str">
            <v xml:space="preserve">S &amp; D of CI D/F Sluice Valve 65MM dia conforming to IS 14846 / 2000 with amdt No:1 &amp; 2 components / parts  but excluding Transportation ,CED ,Sales Tax etc complete PN-1.0   with hand wheel </v>
          </cell>
        </row>
        <row r="267">
          <cell r="A267" t="str">
            <v xml:space="preserve">S &amp; D of CI D/F Sluice Valve 80MM dia conforming to IS 14846 / 2000 with amdt No:1 &amp; 2 components / parts  but excluding Transportation ,CED ,Sales Tax etc complete PN-1.0   with hand wheel </v>
          </cell>
        </row>
        <row r="268">
          <cell r="A268" t="str">
            <v xml:space="preserve">S &amp; D of CI D/F Sluice Valve 100MM dia conforming to IS 14846 / 2000 with amdt No:1 &amp; 2 components / parts  but excluding Transportation ,CED ,Sales Tax etc complete PN-1.0   with hand wheel </v>
          </cell>
        </row>
        <row r="269">
          <cell r="A269" t="str">
            <v>NON RETURN VALVES</v>
          </cell>
        </row>
        <row r="270">
          <cell r="A270" t="str">
            <v>S &amp; D of CI D/F Non -Return Valve Heavy duty 50MM dia round body conforming to IS 5312/part1/1984     PN-1.0 but excluding Transportation ,CED ,Sales Tax etc complete</v>
          </cell>
        </row>
        <row r="271">
          <cell r="A271" t="str">
            <v>S &amp; D of CI D/F Non -Return Valve Heavy duty 65MM dia round body conforming to IS 5312/part1/1984     PN-1.0 but excluding Transportation ,CED ,Sales Tax etc complete</v>
          </cell>
        </row>
        <row r="272">
          <cell r="A272" t="str">
            <v>S &amp; D of CI D/F Non -Return Valve Heavy duty 80MM dia round body conforming to IS 5312/part1/1984     PN-1.0 but excluding Transportation ,CED ,Sales Tax etc complete</v>
          </cell>
        </row>
        <row r="273">
          <cell r="A273" t="str">
            <v>S &amp; D of CI D/F Non -Return Valve Heavy duty 100MM dia round body conforming to IS 5312/part1/1984     PN-1.0 but excluding Transportation ,CED ,Sales Tax etc complete</v>
          </cell>
        </row>
        <row r="343">
          <cell r="B343" t="str">
            <v>Flanged spigot-Tail Piece</v>
          </cell>
        </row>
        <row r="344">
          <cell r="B344" t="str">
            <v>80MM Dia Flanged spigot-Tail Piece</v>
          </cell>
        </row>
        <row r="345">
          <cell r="B345" t="str">
            <v>100MM Dia Flanged spigot-Tail Piece</v>
          </cell>
        </row>
        <row r="346">
          <cell r="B346" t="str">
            <v>125MM Dia Flanged spigot-Tail Piece</v>
          </cell>
        </row>
        <row r="347">
          <cell r="B347" t="str">
            <v>150MM Dia Flanged spigot-Tail Piece</v>
          </cell>
        </row>
        <row r="348">
          <cell r="B348" t="str">
            <v>200MM Dia Flanged spigot-Tail Piece</v>
          </cell>
        </row>
        <row r="370">
          <cell r="B370" t="str">
            <v>CID Joints</v>
          </cell>
        </row>
        <row r="371">
          <cell r="B371" t="str">
            <v>80MM Dia CID joints including bolts &amp; nuts and rubber rings</v>
          </cell>
        </row>
        <row r="372">
          <cell r="B372" t="str">
            <v>100MM Dia CID joints including bolts &amp; nuts and rubber rings</v>
          </cell>
        </row>
        <row r="373">
          <cell r="B373" t="str">
            <v>125MM Dia CID joints including bolts &amp; nuts and rubber rings</v>
          </cell>
        </row>
        <row r="374">
          <cell r="B374" t="str">
            <v>150MM Dia CID joints including bolts &amp; nuts and rubber rings</v>
          </cell>
        </row>
        <row r="375">
          <cell r="B375" t="str">
            <v>200MM Dia CID joints including bolts &amp; nuts and rubber rings</v>
          </cell>
        </row>
        <row r="376">
          <cell r="B376" t="str">
            <v>Bolts &amp; Nuts to CID joints</v>
          </cell>
        </row>
        <row r="377">
          <cell r="B377" t="str">
            <v>Bolts &amp; Nuts to 80MM Dia CID joints</v>
          </cell>
        </row>
        <row r="378">
          <cell r="B378" t="str">
            <v>Bolts &amp; Nuts to 100MM Dia CID joints</v>
          </cell>
        </row>
        <row r="379">
          <cell r="B379" t="str">
            <v>Bolts &amp; Nuts to 125MM Dia CID joints</v>
          </cell>
        </row>
        <row r="380">
          <cell r="B380" t="str">
            <v>Bolts &amp; Nuts to 150MM Dia CID joints</v>
          </cell>
        </row>
        <row r="381">
          <cell r="B381" t="str">
            <v>Bolts &amp; Nuts to 200MM Dia CID joints</v>
          </cell>
        </row>
        <row r="382">
          <cell r="B382" t="str">
            <v>Rubber Rings to CID joints</v>
          </cell>
        </row>
        <row r="383">
          <cell r="B383" t="str">
            <v>Rubber rings to 80MM Dia CID joints</v>
          </cell>
        </row>
        <row r="384">
          <cell r="B384" t="str">
            <v>Rubber rings to 100MM Dia CID joints</v>
          </cell>
        </row>
        <row r="385">
          <cell r="B385" t="str">
            <v>Rubber rings to 125MM Dia CID joints</v>
          </cell>
        </row>
        <row r="386">
          <cell r="B386" t="str">
            <v>Rubber rings to 150MM Dia CID joints</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s>
    <sheetDataSet>
      <sheetData sheetId="0"/>
      <sheetData sheetId="1"/>
      <sheetData sheetId="2"/>
      <sheetData sheetId="3"/>
      <sheetData sheetId="4"/>
      <sheetData sheetId="5"/>
      <sheetData sheetId="6"/>
      <sheetData sheetId="7"/>
      <sheetData sheetId="8" refreshError="1">
        <row r="4">
          <cell r="F4">
            <v>65</v>
          </cell>
        </row>
      </sheetData>
      <sheetData sheetId="9"/>
      <sheetData sheetId="10"/>
      <sheetData sheetId="11"/>
      <sheetData sheetId="12"/>
      <sheetData sheetId="13"/>
      <sheetData sheetId="14"/>
      <sheetData sheetId="1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ve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maya"/>
      <sheetName val="Lead"/>
      <sheetName val="Materials"/>
      <sheetName val="Data "/>
      <sheetName val="Retaing"/>
      <sheetName val="Abstract(F6)"/>
      <sheetName val="Labour"/>
      <sheetName val="Sheet1"/>
      <sheetName val="DATA-BASE"/>
      <sheetName val="DATA-ABSTRACT"/>
      <sheetName val="detls"/>
      <sheetName val="Material"/>
      <sheetName val="Plant &amp;  Machinery"/>
      <sheetName val="Common "/>
      <sheetName val="CDdata_(2)"/>
      <sheetName val="Data_"/>
      <sheetName val="CDdata_(2)1"/>
      <sheetName val="Data_1"/>
      <sheetName val="quarry"/>
      <sheetName val="GF SB Ok "/>
      <sheetName val="ABS.C.D."/>
      <sheetName val="W.ESTIMATE"/>
      <sheetName val="Road FURNITURE"/>
      <sheetName val="Gen Abst"/>
      <sheetName val="DATA_PRG"/>
      <sheetName val="DI"/>
      <sheetName val="C-data"/>
      <sheetName val="ABS"/>
      <sheetName val="MTC-estimate"/>
      <sheetName val="Gen Abs"/>
      <sheetName val="other rates"/>
      <sheetName val="t_prsr"/>
      <sheetName val="id"/>
      <sheetName val="r"/>
      <sheetName val="m"/>
      <sheetName val="pvc_basic"/>
      <sheetName val="boredetails"/>
      <sheetName val="data existing_do not delete"/>
      <sheetName val="rdamdata"/>
      <sheetName val="lead-st"/>
      <sheetName val="Boq"/>
      <sheetName val="p&amp;m"/>
      <sheetName val="Specification report"/>
      <sheetName val="v"/>
      <sheetName val="Usage"/>
      <sheetName val="General"/>
      <sheetName val="HDPE"/>
      <sheetName val="pvc"/>
      <sheetName val="Annex- 6 - Delinator"/>
      <sheetName val="l"/>
      <sheetName val="hdpe_basic"/>
      <sheetName val="PH data"/>
      <sheetName val="MRATES"/>
      <sheetName val="bom"/>
      <sheetName val="wh_data"/>
      <sheetName val="wh_data_R"/>
      <sheetName val="CPHEEO"/>
      <sheetName val="input"/>
      <sheetName val="hdpe-rates"/>
      <sheetName val="hdpe weights"/>
      <sheetName val="ssr-rates"/>
      <sheetName val="pvc-rates"/>
      <sheetName val="PVC weights"/>
      <sheetName val="Works"/>
      <sheetName val="RMR"/>
      <sheetName val="mlead"/>
      <sheetName val="final abstract"/>
      <sheetName val="CDdata_(2)5"/>
      <sheetName val="Data_2"/>
      <sheetName val="CDdata_(2)3"/>
      <sheetName val="CDdata_(2)2"/>
      <sheetName val="CDdata_(2)4"/>
      <sheetName val="Bridge Data 2005-06"/>
      <sheetName val="EDWise"/>
      <sheetName val="Design"/>
      <sheetName val="Fee Rate Summary"/>
      <sheetName val="Rate Analysis"/>
      <sheetName val="pvc-pipe-rates"/>
      <sheetName val="Lead statement"/>
      <sheetName val="Data_Bit_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rdamdata"/>
      <sheetName val="Road Detail Est."/>
      <sheetName val="Road data"/>
      <sheetName val="INPUT"/>
      <sheetName val="HDPE"/>
      <sheetName val="DI"/>
      <sheetName val="pvc"/>
      <sheetName val="hdpe_basic"/>
      <sheetName val="pvc_basic"/>
      <sheetName val="Suppl-data"/>
      <sheetName val="r"/>
      <sheetName val="Lead"/>
      <sheetName val="v"/>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 val="lead-st"/>
      <sheetName val="rdamdata"/>
      <sheetName val="r"/>
      <sheetName val="DATA_PRG"/>
      <sheetName val="v"/>
      <sheetName val="DATA"/>
      <sheetName val="m"/>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Data"/>
      <sheetName val="Materials"/>
      <sheetName val="Lead statement"/>
      <sheetName val="Conveyance"/>
      <sheetName val="Sheet3"/>
      <sheetName val="MRATES"/>
      <sheetName val="ESTIMATE"/>
      <sheetName val="Sheet1"/>
      <sheetName val="t_prsr"/>
      <sheetName val="wh"/>
      <sheetName val="Leads"/>
      <sheetName val="Sheet2"/>
      <sheetName val="Lead"/>
      <sheetName val="maya"/>
      <sheetName val="rdamdata"/>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quarry"/>
      <sheetName val="leads"/>
      <sheetName val="CD Data"/>
      <sheetName val="0000000000000"/>
      <sheetName val="DATA_PRG"/>
      <sheetName val="Lead"/>
      <sheetName val="Road Detail Est."/>
      <sheetName val="Road data"/>
      <sheetName val="rdamdata"/>
      <sheetName val="DATA"/>
      <sheetName val="Data_Renuals"/>
      <sheetName val="Sheet1"/>
      <sheetName val="coverpage"/>
      <sheetName val="lead-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C6">
            <v>0</v>
          </cell>
          <cell r="D6">
            <v>2500</v>
          </cell>
          <cell r="E6" t="str">
            <v>/MT</v>
          </cell>
        </row>
        <row r="7">
          <cell r="A7">
            <v>6</v>
          </cell>
          <cell r="B7" t="str">
            <v>Steel</v>
          </cell>
          <cell r="C7">
            <v>0</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C14">
            <v>0</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D1">
            <v>0</v>
          </cell>
          <cell r="E1">
            <v>0</v>
          </cell>
          <cell r="F1" t="str">
            <v>DETAILS</v>
          </cell>
          <cell r="G1" t="str">
            <v>Unit</v>
          </cell>
          <cell r="H1" t="str">
            <v>PER</v>
          </cell>
          <cell r="I1" t="str">
            <v>RATE</v>
          </cell>
        </row>
        <row r="2">
          <cell r="B2">
            <v>1</v>
          </cell>
          <cell r="C2" t="str">
            <v>1ab</v>
          </cell>
          <cell r="D2">
            <v>0</v>
          </cell>
          <cell r="E2">
            <v>0</v>
          </cell>
          <cell r="F2" t="str">
            <v>1st Class Mason</v>
          </cell>
          <cell r="G2">
            <v>1</v>
          </cell>
          <cell r="H2" t="str">
            <v>each</v>
          </cell>
          <cell r="I2">
            <v>86</v>
          </cell>
        </row>
        <row r="3">
          <cell r="B3">
            <v>26</v>
          </cell>
          <cell r="C3">
            <v>17</v>
          </cell>
          <cell r="D3">
            <v>0</v>
          </cell>
          <cell r="E3">
            <v>0</v>
          </cell>
          <cell r="F3" t="str">
            <v>Spl.grade Mason</v>
          </cell>
          <cell r="G3">
            <v>1</v>
          </cell>
          <cell r="H3" t="str">
            <v>each</v>
          </cell>
          <cell r="I3">
            <v>0</v>
          </cell>
        </row>
        <row r="4">
          <cell r="B4">
            <v>28</v>
          </cell>
          <cell r="C4" t="str">
            <v>1a</v>
          </cell>
          <cell r="D4">
            <v>0</v>
          </cell>
          <cell r="E4">
            <v>0</v>
          </cell>
          <cell r="F4" t="str">
            <v>2nd Class Mason</v>
          </cell>
          <cell r="G4">
            <v>1</v>
          </cell>
          <cell r="H4" t="str">
            <v>each</v>
          </cell>
          <cell r="I4">
            <v>75</v>
          </cell>
        </row>
        <row r="5">
          <cell r="B5">
            <v>53</v>
          </cell>
          <cell r="C5">
            <v>2</v>
          </cell>
          <cell r="D5">
            <v>0</v>
          </cell>
          <cell r="E5">
            <v>0</v>
          </cell>
          <cell r="F5" t="str">
            <v>Man Mazdoor</v>
          </cell>
          <cell r="G5">
            <v>1</v>
          </cell>
          <cell r="H5" t="str">
            <v>each</v>
          </cell>
          <cell r="I5">
            <v>55</v>
          </cell>
        </row>
        <row r="6">
          <cell r="B6">
            <v>54</v>
          </cell>
          <cell r="C6">
            <v>3</v>
          </cell>
          <cell r="D6">
            <v>0</v>
          </cell>
          <cell r="E6">
            <v>0</v>
          </cell>
          <cell r="F6" t="str">
            <v>Woman Mazdoor</v>
          </cell>
          <cell r="G6">
            <v>1</v>
          </cell>
          <cell r="H6" t="str">
            <v>each</v>
          </cell>
          <cell r="I6">
            <v>55</v>
          </cell>
        </row>
        <row r="7">
          <cell r="B7">
            <v>60</v>
          </cell>
          <cell r="C7" t="str">
            <v>1a</v>
          </cell>
          <cell r="D7">
            <v>0</v>
          </cell>
          <cell r="E7">
            <v>0</v>
          </cell>
          <cell r="F7" t="str">
            <v>2nd Class Bricks</v>
          </cell>
          <cell r="G7">
            <v>1000</v>
          </cell>
          <cell r="H7" t="str">
            <v>Nos</v>
          </cell>
          <cell r="I7">
            <v>1200</v>
          </cell>
        </row>
        <row r="8">
          <cell r="B8">
            <v>67</v>
          </cell>
          <cell r="C8" t="str">
            <v>2c</v>
          </cell>
          <cell r="D8">
            <v>0</v>
          </cell>
          <cell r="E8">
            <v>0</v>
          </cell>
          <cell r="F8" t="str">
            <v>RR stone Granite Variety</v>
          </cell>
          <cell r="G8">
            <v>1</v>
          </cell>
          <cell r="H8" t="str">
            <v>cum</v>
          </cell>
          <cell r="I8">
            <v>75</v>
          </cell>
        </row>
        <row r="9">
          <cell r="B9">
            <v>72</v>
          </cell>
          <cell r="C9" t="str">
            <v>3a</v>
          </cell>
          <cell r="D9">
            <v>0</v>
          </cell>
          <cell r="E9">
            <v>0</v>
          </cell>
          <cell r="F9" t="str">
            <v>CR stone Granite Variety</v>
          </cell>
          <cell r="G9">
            <v>1</v>
          </cell>
          <cell r="H9" t="str">
            <v>cum</v>
          </cell>
          <cell r="I9">
            <v>109</v>
          </cell>
        </row>
        <row r="10">
          <cell r="B10">
            <v>80</v>
          </cell>
          <cell r="C10">
            <v>0</v>
          </cell>
          <cell r="D10">
            <v>0</v>
          </cell>
          <cell r="E10">
            <v>0</v>
          </cell>
          <cell r="F10" t="str">
            <v>6 mm SS</v>
          </cell>
          <cell r="G10">
            <v>1</v>
          </cell>
          <cell r="H10" t="str">
            <v>cum</v>
          </cell>
          <cell r="I10">
            <v>170</v>
          </cell>
        </row>
        <row r="11">
          <cell r="B11">
            <v>81</v>
          </cell>
          <cell r="C11">
            <v>0</v>
          </cell>
          <cell r="D11">
            <v>0</v>
          </cell>
          <cell r="E11">
            <v>0</v>
          </cell>
          <cell r="F11" t="str">
            <v>5 to 7 mm IRC</v>
          </cell>
          <cell r="G11">
            <v>1</v>
          </cell>
          <cell r="H11" t="str">
            <v>cum</v>
          </cell>
          <cell r="I11">
            <v>170</v>
          </cell>
        </row>
        <row r="12">
          <cell r="B12">
            <v>82</v>
          </cell>
          <cell r="C12">
            <v>0</v>
          </cell>
          <cell r="D12">
            <v>0</v>
          </cell>
          <cell r="E12">
            <v>0</v>
          </cell>
          <cell r="F12" t="str">
            <v>10 mm SS</v>
          </cell>
          <cell r="G12">
            <v>1</v>
          </cell>
          <cell r="H12" t="str">
            <v>cum</v>
          </cell>
          <cell r="I12">
            <v>250</v>
          </cell>
        </row>
        <row r="13">
          <cell r="B13">
            <v>83</v>
          </cell>
          <cell r="C13">
            <v>0</v>
          </cell>
          <cell r="D13">
            <v>0</v>
          </cell>
          <cell r="E13">
            <v>0</v>
          </cell>
          <cell r="F13" t="str">
            <v>10 to 11.2 IRC</v>
          </cell>
          <cell r="G13">
            <v>1</v>
          </cell>
          <cell r="H13" t="str">
            <v>cum</v>
          </cell>
          <cell r="I13">
            <v>250</v>
          </cell>
        </row>
        <row r="14">
          <cell r="B14">
            <v>84</v>
          </cell>
          <cell r="C14">
            <v>0</v>
          </cell>
          <cell r="D14">
            <v>0</v>
          </cell>
          <cell r="E14">
            <v>0</v>
          </cell>
          <cell r="F14" t="str">
            <v>12 mm SS</v>
          </cell>
          <cell r="G14">
            <v>1</v>
          </cell>
          <cell r="H14" t="str">
            <v>cum</v>
          </cell>
          <cell r="I14">
            <v>300</v>
          </cell>
        </row>
        <row r="15">
          <cell r="B15">
            <v>85</v>
          </cell>
          <cell r="C15">
            <v>0</v>
          </cell>
          <cell r="D15">
            <v>0</v>
          </cell>
          <cell r="E15">
            <v>0</v>
          </cell>
          <cell r="F15" t="str">
            <v>12 to 14 mm IRC</v>
          </cell>
          <cell r="G15">
            <v>1</v>
          </cell>
          <cell r="H15" t="str">
            <v>cum</v>
          </cell>
          <cell r="I15">
            <v>300</v>
          </cell>
        </row>
        <row r="16">
          <cell r="B16">
            <v>86</v>
          </cell>
          <cell r="C16">
            <v>0</v>
          </cell>
          <cell r="D16">
            <v>0</v>
          </cell>
          <cell r="E16">
            <v>0</v>
          </cell>
          <cell r="F16" t="str">
            <v>20 mm SS</v>
          </cell>
          <cell r="G16">
            <v>1</v>
          </cell>
          <cell r="H16" t="str">
            <v>cum</v>
          </cell>
          <cell r="I16">
            <v>380</v>
          </cell>
        </row>
        <row r="17">
          <cell r="B17">
            <v>87</v>
          </cell>
          <cell r="C17">
            <v>0</v>
          </cell>
          <cell r="D17">
            <v>0</v>
          </cell>
          <cell r="E17">
            <v>0</v>
          </cell>
          <cell r="F17" t="str">
            <v>20 to 22 mm IRC</v>
          </cell>
          <cell r="G17">
            <v>1</v>
          </cell>
          <cell r="H17" t="str">
            <v>cum</v>
          </cell>
          <cell r="I17">
            <v>375</v>
          </cell>
        </row>
        <row r="18">
          <cell r="B18">
            <v>88</v>
          </cell>
          <cell r="C18">
            <v>0</v>
          </cell>
          <cell r="D18">
            <v>0</v>
          </cell>
          <cell r="E18">
            <v>0</v>
          </cell>
          <cell r="F18" t="str">
            <v>25 mm SS</v>
          </cell>
          <cell r="G18">
            <v>1</v>
          </cell>
          <cell r="H18" t="str">
            <v>cum</v>
          </cell>
          <cell r="I18">
            <v>300</v>
          </cell>
        </row>
        <row r="19">
          <cell r="B19">
            <v>89</v>
          </cell>
          <cell r="C19">
            <v>0</v>
          </cell>
          <cell r="D19">
            <v>0</v>
          </cell>
          <cell r="E19">
            <v>0</v>
          </cell>
          <cell r="F19" t="str">
            <v>25 to 27 mm IRC</v>
          </cell>
          <cell r="G19">
            <v>1</v>
          </cell>
          <cell r="H19" t="str">
            <v>cum</v>
          </cell>
          <cell r="I19">
            <v>300</v>
          </cell>
        </row>
        <row r="20">
          <cell r="B20">
            <v>90</v>
          </cell>
          <cell r="C20">
            <v>0</v>
          </cell>
          <cell r="D20">
            <v>0</v>
          </cell>
          <cell r="E20">
            <v>0</v>
          </cell>
          <cell r="F20" t="str">
            <v>40 mm SS</v>
          </cell>
          <cell r="G20">
            <v>1</v>
          </cell>
          <cell r="H20" t="str">
            <v>cum</v>
          </cell>
          <cell r="I20">
            <v>215</v>
          </cell>
        </row>
        <row r="21">
          <cell r="B21">
            <v>91</v>
          </cell>
          <cell r="C21">
            <v>0</v>
          </cell>
          <cell r="D21">
            <v>0</v>
          </cell>
          <cell r="E21">
            <v>0</v>
          </cell>
          <cell r="F21" t="str">
            <v>40 to 45 mm IRC</v>
          </cell>
          <cell r="G21">
            <v>1</v>
          </cell>
          <cell r="H21" t="str">
            <v>cum</v>
          </cell>
          <cell r="I21">
            <v>200</v>
          </cell>
        </row>
        <row r="22">
          <cell r="B22">
            <v>92</v>
          </cell>
          <cell r="C22">
            <v>0</v>
          </cell>
          <cell r="D22">
            <v>0</v>
          </cell>
          <cell r="E22">
            <v>0</v>
          </cell>
          <cell r="F22" t="str">
            <v>50 mm SS</v>
          </cell>
          <cell r="G22">
            <v>1</v>
          </cell>
          <cell r="H22" t="str">
            <v>cum</v>
          </cell>
          <cell r="I22">
            <v>150</v>
          </cell>
        </row>
        <row r="23">
          <cell r="B23">
            <v>93</v>
          </cell>
          <cell r="C23">
            <v>0</v>
          </cell>
          <cell r="D23">
            <v>0</v>
          </cell>
          <cell r="E23">
            <v>0</v>
          </cell>
          <cell r="F23" t="str">
            <v>50 to 55mm IRC</v>
          </cell>
          <cell r="G23">
            <v>1</v>
          </cell>
          <cell r="H23" t="str">
            <v>cum</v>
          </cell>
          <cell r="I23">
            <v>120</v>
          </cell>
        </row>
        <row r="24">
          <cell r="B24">
            <v>94</v>
          </cell>
          <cell r="C24">
            <v>0</v>
          </cell>
          <cell r="D24">
            <v>0</v>
          </cell>
          <cell r="E24">
            <v>0</v>
          </cell>
          <cell r="F24" t="str">
            <v>60 mm SS</v>
          </cell>
          <cell r="G24">
            <v>1</v>
          </cell>
          <cell r="H24" t="str">
            <v>cum</v>
          </cell>
          <cell r="I24">
            <v>150</v>
          </cell>
        </row>
        <row r="25">
          <cell r="B25">
            <v>95</v>
          </cell>
          <cell r="C25">
            <v>0</v>
          </cell>
          <cell r="D25">
            <v>0</v>
          </cell>
          <cell r="E25">
            <v>0</v>
          </cell>
          <cell r="F25" t="str">
            <v>60 to 63 mm IRC</v>
          </cell>
          <cell r="G25">
            <v>1</v>
          </cell>
          <cell r="H25" t="str">
            <v>cum</v>
          </cell>
          <cell r="I25">
            <v>110</v>
          </cell>
        </row>
        <row r="26">
          <cell r="B26">
            <v>96</v>
          </cell>
          <cell r="C26">
            <v>0</v>
          </cell>
          <cell r="D26">
            <v>0</v>
          </cell>
          <cell r="E26">
            <v>0</v>
          </cell>
          <cell r="F26" t="str">
            <v>65 mm SS</v>
          </cell>
          <cell r="G26">
            <v>1</v>
          </cell>
          <cell r="H26" t="str">
            <v>cum</v>
          </cell>
          <cell r="I26">
            <v>150</v>
          </cell>
        </row>
        <row r="27">
          <cell r="B27">
            <v>97</v>
          </cell>
          <cell r="C27">
            <v>0</v>
          </cell>
          <cell r="D27">
            <v>0</v>
          </cell>
          <cell r="E27">
            <v>0</v>
          </cell>
          <cell r="F27" t="str">
            <v>65 mm IRC</v>
          </cell>
          <cell r="G27">
            <v>1</v>
          </cell>
          <cell r="H27" t="str">
            <v>cum</v>
          </cell>
          <cell r="I27">
            <v>120</v>
          </cell>
        </row>
        <row r="28">
          <cell r="B28">
            <v>98</v>
          </cell>
          <cell r="C28">
            <v>0</v>
          </cell>
          <cell r="D28">
            <v>0</v>
          </cell>
          <cell r="E28">
            <v>0</v>
          </cell>
          <cell r="F28" t="str">
            <v>75 mm SS</v>
          </cell>
          <cell r="G28">
            <v>1</v>
          </cell>
          <cell r="H28" t="str">
            <v>cum</v>
          </cell>
          <cell r="I28">
            <v>95</v>
          </cell>
        </row>
        <row r="29">
          <cell r="B29">
            <v>99</v>
          </cell>
          <cell r="C29">
            <v>0</v>
          </cell>
          <cell r="D29">
            <v>0</v>
          </cell>
          <cell r="E29">
            <v>0</v>
          </cell>
          <cell r="F29" t="str">
            <v>75 mm IRC</v>
          </cell>
          <cell r="G29">
            <v>1</v>
          </cell>
          <cell r="H29" t="str">
            <v>cum</v>
          </cell>
          <cell r="I29">
            <v>95</v>
          </cell>
        </row>
        <row r="30">
          <cell r="B30">
            <v>100</v>
          </cell>
          <cell r="C30">
            <v>0</v>
          </cell>
          <cell r="D30">
            <v>0</v>
          </cell>
          <cell r="E30">
            <v>0</v>
          </cell>
          <cell r="F30" t="str">
            <v>Blasting</v>
          </cell>
          <cell r="G30">
            <v>1</v>
          </cell>
          <cell r="H30" t="str">
            <v>cum</v>
          </cell>
          <cell r="I30">
            <v>40</v>
          </cell>
        </row>
        <row r="31">
          <cell r="B31">
            <v>101</v>
          </cell>
          <cell r="C31">
            <v>0</v>
          </cell>
          <cell r="D31">
            <v>0</v>
          </cell>
          <cell r="E31">
            <v>0</v>
          </cell>
          <cell r="F31" t="str">
            <v>Metal Crushing</v>
          </cell>
          <cell r="G31">
            <v>1</v>
          </cell>
          <cell r="H31" t="str">
            <v>cum</v>
          </cell>
          <cell r="I31">
            <v>0.25</v>
          </cell>
        </row>
        <row r="32">
          <cell r="B32">
            <v>127</v>
          </cell>
          <cell r="C32">
            <v>9</v>
          </cell>
          <cell r="D32">
            <v>0</v>
          </cell>
          <cell r="E32">
            <v>0</v>
          </cell>
          <cell r="F32" t="str">
            <v>Gravel</v>
          </cell>
          <cell r="G32">
            <v>1</v>
          </cell>
          <cell r="H32" t="str">
            <v>cum</v>
          </cell>
          <cell r="I32">
            <v>25</v>
          </cell>
        </row>
        <row r="33">
          <cell r="B33">
            <v>128</v>
          </cell>
          <cell r="C33">
            <v>0</v>
          </cell>
          <cell r="D33">
            <v>0</v>
          </cell>
          <cell r="E33">
            <v>0</v>
          </cell>
          <cell r="F33" t="str">
            <v>Quarry rubbish</v>
          </cell>
          <cell r="G33">
            <v>1</v>
          </cell>
          <cell r="H33" t="str">
            <v>cum</v>
          </cell>
          <cell r="I33">
            <v>11</v>
          </cell>
        </row>
        <row r="34">
          <cell r="B34">
            <v>129</v>
          </cell>
          <cell r="C34">
            <v>0</v>
          </cell>
          <cell r="D34">
            <v>0</v>
          </cell>
          <cell r="E34">
            <v>0</v>
          </cell>
          <cell r="F34" t="str">
            <v>Sand for Mortar, Seal coat</v>
          </cell>
          <cell r="G34">
            <v>1</v>
          </cell>
          <cell r="H34" t="str">
            <v>cum</v>
          </cell>
          <cell r="I34">
            <v>50</v>
          </cell>
        </row>
        <row r="35">
          <cell r="B35">
            <v>130</v>
          </cell>
          <cell r="C35">
            <v>0</v>
          </cell>
          <cell r="D35">
            <v>0</v>
          </cell>
          <cell r="E35">
            <v>0</v>
          </cell>
          <cell r="F35" t="str">
            <v>Sand for Filling, Blindage</v>
          </cell>
          <cell r="G35">
            <v>1</v>
          </cell>
          <cell r="H35" t="str">
            <v>cum</v>
          </cell>
          <cell r="I35">
            <v>20</v>
          </cell>
        </row>
        <row r="36">
          <cell r="B36">
            <v>133</v>
          </cell>
          <cell r="C36">
            <v>15</v>
          </cell>
          <cell r="D36">
            <v>0</v>
          </cell>
          <cell r="E36">
            <v>0</v>
          </cell>
          <cell r="F36" t="str">
            <v>40 mm thick 0.762 m x.457 m</v>
          </cell>
          <cell r="G36">
            <v>1</v>
          </cell>
          <cell r="H36" t="str">
            <v>sqm</v>
          </cell>
          <cell r="I36">
            <v>70</v>
          </cell>
        </row>
        <row r="37">
          <cell r="B37">
            <v>134</v>
          </cell>
          <cell r="C37">
            <v>16</v>
          </cell>
          <cell r="D37">
            <v>0</v>
          </cell>
          <cell r="E37">
            <v>0</v>
          </cell>
          <cell r="F37" t="str">
            <v>50 mm thick 0.762 m x.457 m</v>
          </cell>
          <cell r="G37">
            <v>1</v>
          </cell>
          <cell r="H37" t="str">
            <v>sqm</v>
          </cell>
          <cell r="I37">
            <v>80</v>
          </cell>
        </row>
        <row r="38">
          <cell r="B38">
            <v>136</v>
          </cell>
          <cell r="C38">
            <v>0</v>
          </cell>
          <cell r="D38">
            <v>0</v>
          </cell>
          <cell r="E38">
            <v>0</v>
          </cell>
          <cell r="F38" t="str">
            <v>25.4 mm thick White</v>
          </cell>
          <cell r="G38">
            <v>10</v>
          </cell>
          <cell r="H38" t="str">
            <v>sqm</v>
          </cell>
          <cell r="I38">
            <v>550</v>
          </cell>
        </row>
        <row r="39">
          <cell r="B39">
            <v>137</v>
          </cell>
          <cell r="C39">
            <v>0</v>
          </cell>
          <cell r="D39">
            <v>0</v>
          </cell>
          <cell r="E39">
            <v>0</v>
          </cell>
          <cell r="F39" t="str">
            <v>25.4 mm thick Blue</v>
          </cell>
          <cell r="G39">
            <v>10</v>
          </cell>
          <cell r="H39" t="str">
            <v>sqm</v>
          </cell>
          <cell r="I39">
            <v>600</v>
          </cell>
        </row>
        <row r="40">
          <cell r="B40">
            <v>138</v>
          </cell>
          <cell r="C40">
            <v>0</v>
          </cell>
          <cell r="D40">
            <v>0</v>
          </cell>
          <cell r="E40">
            <v>0</v>
          </cell>
          <cell r="F40" t="str">
            <v>25.4 mm thick White</v>
          </cell>
          <cell r="G40">
            <v>10</v>
          </cell>
          <cell r="H40" t="str">
            <v>sqm</v>
          </cell>
          <cell r="I40">
            <v>600</v>
          </cell>
        </row>
        <row r="41">
          <cell r="B41">
            <v>139</v>
          </cell>
          <cell r="C41">
            <v>0</v>
          </cell>
          <cell r="D41">
            <v>0</v>
          </cell>
          <cell r="E41">
            <v>0</v>
          </cell>
          <cell r="F41" t="str">
            <v>25.4 mm thick Blue</v>
          </cell>
          <cell r="G41">
            <v>10</v>
          </cell>
          <cell r="H41" t="str">
            <v>sqm</v>
          </cell>
          <cell r="I41">
            <v>700</v>
          </cell>
        </row>
        <row r="42">
          <cell r="B42">
            <v>140</v>
          </cell>
          <cell r="C42">
            <v>0</v>
          </cell>
          <cell r="D42">
            <v>0</v>
          </cell>
          <cell r="E42">
            <v>0</v>
          </cell>
          <cell r="F42" t="str">
            <v>25.4 mm thick White  0.457mx0.457 m</v>
          </cell>
          <cell r="G42">
            <v>10</v>
          </cell>
          <cell r="H42" t="str">
            <v>sqm</v>
          </cell>
          <cell r="I42">
            <v>1000</v>
          </cell>
        </row>
        <row r="43">
          <cell r="B43">
            <v>141</v>
          </cell>
          <cell r="C43">
            <v>0</v>
          </cell>
          <cell r="D43">
            <v>0</v>
          </cell>
          <cell r="E43">
            <v>0</v>
          </cell>
          <cell r="F43" t="str">
            <v>25.4 mm thick Blue  0.457mx0.457 m</v>
          </cell>
          <cell r="G43">
            <v>10</v>
          </cell>
          <cell r="H43" t="str">
            <v>sqm</v>
          </cell>
          <cell r="I43">
            <v>1150</v>
          </cell>
        </row>
        <row r="44">
          <cell r="B44">
            <v>142</v>
          </cell>
          <cell r="C44">
            <v>20</v>
          </cell>
          <cell r="D44">
            <v>0</v>
          </cell>
          <cell r="E44">
            <v>0</v>
          </cell>
          <cell r="F44" t="str">
            <v>25.4 mm thick   0.457mx0.457 m</v>
          </cell>
          <cell r="G44">
            <v>10</v>
          </cell>
          <cell r="H44" t="str">
            <v>sqm</v>
          </cell>
          <cell r="I44">
            <v>900</v>
          </cell>
        </row>
        <row r="45">
          <cell r="B45">
            <v>143</v>
          </cell>
          <cell r="C45">
            <v>21</v>
          </cell>
          <cell r="D45">
            <v>0</v>
          </cell>
          <cell r="E45">
            <v>0</v>
          </cell>
          <cell r="F45" t="str">
            <v>25.4 mm thick 0.254mx0.254 m White</v>
          </cell>
          <cell r="G45">
            <v>10</v>
          </cell>
          <cell r="H45" t="str">
            <v>sqm</v>
          </cell>
          <cell r="I45">
            <v>2700</v>
          </cell>
        </row>
        <row r="46">
          <cell r="B46">
            <v>168</v>
          </cell>
          <cell r="C46">
            <v>0</v>
          </cell>
          <cell r="D46">
            <v>0</v>
          </cell>
          <cell r="E46">
            <v>0</v>
          </cell>
          <cell r="F46" t="str">
            <v>Cement Mortar</v>
          </cell>
          <cell r="G46">
            <v>1</v>
          </cell>
          <cell r="H46" t="str">
            <v>cum</v>
          </cell>
          <cell r="I46">
            <v>15</v>
          </cell>
        </row>
        <row r="47">
          <cell r="B47">
            <v>169</v>
          </cell>
          <cell r="C47">
            <v>0</v>
          </cell>
          <cell r="D47">
            <v>0</v>
          </cell>
          <cell r="E47">
            <v>0</v>
          </cell>
          <cell r="F47" t="str">
            <v>By Machine</v>
          </cell>
          <cell r="G47">
            <v>1</v>
          </cell>
          <cell r="H47" t="str">
            <v>cum</v>
          </cell>
          <cell r="I47">
            <v>25</v>
          </cell>
        </row>
        <row r="48">
          <cell r="B48">
            <v>175</v>
          </cell>
          <cell r="C48">
            <v>0</v>
          </cell>
          <cell r="D48">
            <v>0</v>
          </cell>
          <cell r="E48">
            <v>0</v>
          </cell>
          <cell r="F48" t="str">
            <v>White Cement</v>
          </cell>
          <cell r="G48">
            <v>1</v>
          </cell>
          <cell r="H48" t="str">
            <v>kg</v>
          </cell>
          <cell r="I48">
            <v>9</v>
          </cell>
        </row>
        <row r="49">
          <cell r="B49">
            <v>176</v>
          </cell>
          <cell r="C49">
            <v>0</v>
          </cell>
          <cell r="D49">
            <v>0</v>
          </cell>
          <cell r="E49">
            <v>0</v>
          </cell>
          <cell r="F49" t="str">
            <v xml:space="preserve">Scantling below 2m </v>
          </cell>
          <cell r="G49">
            <v>1</v>
          </cell>
          <cell r="H49" t="str">
            <v>cum</v>
          </cell>
          <cell r="I49">
            <v>50000</v>
          </cell>
        </row>
        <row r="50">
          <cell r="B50">
            <v>177</v>
          </cell>
          <cell r="C50">
            <v>0</v>
          </cell>
          <cell r="D50">
            <v>0</v>
          </cell>
          <cell r="E50">
            <v>0</v>
          </cell>
          <cell r="F50" t="str">
            <v xml:space="preserve">Scantling above 2m </v>
          </cell>
          <cell r="G50">
            <v>1</v>
          </cell>
          <cell r="H50" t="str">
            <v>cum</v>
          </cell>
          <cell r="I50">
            <v>52000</v>
          </cell>
        </row>
        <row r="51">
          <cell r="B51">
            <v>178</v>
          </cell>
          <cell r="C51">
            <v>0</v>
          </cell>
          <cell r="D51">
            <v>0</v>
          </cell>
          <cell r="E51">
            <v>0</v>
          </cell>
          <cell r="F51" t="str">
            <v>Planks of all sizes</v>
          </cell>
          <cell r="G51">
            <v>1</v>
          </cell>
          <cell r="H51" t="str">
            <v>cum</v>
          </cell>
          <cell r="I51">
            <v>55000</v>
          </cell>
        </row>
        <row r="52">
          <cell r="B52">
            <v>176</v>
          </cell>
          <cell r="C52">
            <v>0</v>
          </cell>
          <cell r="D52">
            <v>0</v>
          </cell>
          <cell r="E52">
            <v>0</v>
          </cell>
          <cell r="F52" t="str">
            <v xml:space="preserve">Scantling below 2m </v>
          </cell>
          <cell r="G52">
            <v>1</v>
          </cell>
          <cell r="H52" t="str">
            <v>cum</v>
          </cell>
          <cell r="I52">
            <v>40000</v>
          </cell>
        </row>
        <row r="53">
          <cell r="B53">
            <v>177</v>
          </cell>
          <cell r="C53">
            <v>0</v>
          </cell>
          <cell r="D53">
            <v>0</v>
          </cell>
          <cell r="E53">
            <v>0</v>
          </cell>
          <cell r="F53" t="str">
            <v xml:space="preserve">Scantling above 2m </v>
          </cell>
          <cell r="G53">
            <v>1</v>
          </cell>
          <cell r="H53" t="str">
            <v>cum</v>
          </cell>
          <cell r="I53">
            <v>42000</v>
          </cell>
        </row>
        <row r="54">
          <cell r="B54">
            <v>178</v>
          </cell>
          <cell r="C54">
            <v>0</v>
          </cell>
          <cell r="D54">
            <v>0</v>
          </cell>
          <cell r="E54">
            <v>0</v>
          </cell>
          <cell r="F54" t="str">
            <v>Planks of all sizes</v>
          </cell>
          <cell r="G54">
            <v>1</v>
          </cell>
          <cell r="H54" t="str">
            <v>cum</v>
          </cell>
          <cell r="I54">
            <v>45000</v>
          </cell>
        </row>
        <row r="55">
          <cell r="B55">
            <v>187</v>
          </cell>
          <cell r="C55">
            <v>0</v>
          </cell>
          <cell r="D55">
            <v>0</v>
          </cell>
          <cell r="E55">
            <v>0</v>
          </cell>
          <cell r="F55" t="str">
            <v>Steel fabrication</v>
          </cell>
          <cell r="G55">
            <v>1</v>
          </cell>
          <cell r="H55" t="str">
            <v>kg</v>
          </cell>
          <cell r="I55">
            <v>3.25</v>
          </cell>
        </row>
        <row r="56">
          <cell r="B56">
            <v>234</v>
          </cell>
          <cell r="C56">
            <v>0</v>
          </cell>
          <cell r="D56">
            <v>0</v>
          </cell>
          <cell r="E56">
            <v>0</v>
          </cell>
          <cell r="F56" t="str">
            <v>25 mm thick</v>
          </cell>
          <cell r="G56">
            <v>1</v>
          </cell>
          <cell r="H56" t="str">
            <v>sqm</v>
          </cell>
          <cell r="I56">
            <v>80</v>
          </cell>
        </row>
        <row r="57">
          <cell r="B57">
            <v>235</v>
          </cell>
          <cell r="C57">
            <v>0</v>
          </cell>
          <cell r="D57">
            <v>0</v>
          </cell>
          <cell r="E57">
            <v>0</v>
          </cell>
          <cell r="F57" t="str">
            <v>40 mm thick</v>
          </cell>
          <cell r="G57">
            <v>1</v>
          </cell>
          <cell r="H57" t="str">
            <v>sqm</v>
          </cell>
          <cell r="I57">
            <v>105</v>
          </cell>
        </row>
        <row r="58">
          <cell r="B58">
            <v>236</v>
          </cell>
          <cell r="C58">
            <v>0</v>
          </cell>
          <cell r="D58">
            <v>0</v>
          </cell>
          <cell r="E58">
            <v>0</v>
          </cell>
          <cell r="F58" t="str">
            <v>50 mm thick</v>
          </cell>
          <cell r="G58">
            <v>1</v>
          </cell>
          <cell r="H58" t="str">
            <v>sqm</v>
          </cell>
          <cell r="I58">
            <v>140</v>
          </cell>
        </row>
        <row r="59">
          <cell r="B59">
            <v>239</v>
          </cell>
          <cell r="C59">
            <v>0</v>
          </cell>
          <cell r="D59">
            <v>0</v>
          </cell>
          <cell r="E59">
            <v>0</v>
          </cell>
          <cell r="F59" t="str">
            <v>Dry powder Distemper</v>
          </cell>
          <cell r="G59">
            <v>1</v>
          </cell>
          <cell r="H59" t="str">
            <v>kg</v>
          </cell>
          <cell r="I59">
            <v>20</v>
          </cell>
        </row>
        <row r="60">
          <cell r="B60">
            <v>240</v>
          </cell>
          <cell r="C60">
            <v>0</v>
          </cell>
          <cell r="D60">
            <v>0</v>
          </cell>
          <cell r="E60">
            <v>0</v>
          </cell>
          <cell r="F60" t="str">
            <v>Oil bound washable Distemper</v>
          </cell>
          <cell r="G60">
            <v>1</v>
          </cell>
          <cell r="H60" t="str">
            <v>kg</v>
          </cell>
          <cell r="I60">
            <v>60</v>
          </cell>
        </row>
        <row r="61">
          <cell r="B61">
            <v>245</v>
          </cell>
          <cell r="C61">
            <v>0</v>
          </cell>
          <cell r="D61">
            <v>0</v>
          </cell>
          <cell r="E61">
            <v>0</v>
          </cell>
          <cell r="F61" t="str">
            <v>Alluminium paint 1st grade</v>
          </cell>
          <cell r="G61">
            <v>1</v>
          </cell>
          <cell r="H61" t="str">
            <v>litre</v>
          </cell>
          <cell r="I61">
            <v>176</v>
          </cell>
        </row>
        <row r="62">
          <cell r="B62">
            <v>246</v>
          </cell>
          <cell r="C62">
            <v>0</v>
          </cell>
          <cell r="D62">
            <v>0</v>
          </cell>
          <cell r="E62">
            <v>0</v>
          </cell>
          <cell r="F62" t="str">
            <v>Anti corrosive bitument pain (Black) grade -1</v>
          </cell>
          <cell r="G62">
            <v>1</v>
          </cell>
          <cell r="H62" t="str">
            <v>litre</v>
          </cell>
          <cell r="I62">
            <v>250</v>
          </cell>
        </row>
        <row r="63">
          <cell r="B63">
            <v>247</v>
          </cell>
          <cell r="C63">
            <v>0</v>
          </cell>
          <cell r="D63">
            <v>0</v>
          </cell>
          <cell r="E63">
            <v>0</v>
          </cell>
          <cell r="F63" t="str">
            <v>Red oxide Primer Paint grade-I</v>
          </cell>
          <cell r="G63">
            <v>1</v>
          </cell>
          <cell r="H63" t="str">
            <v>litre</v>
          </cell>
          <cell r="I63">
            <v>55</v>
          </cell>
        </row>
        <row r="64">
          <cell r="B64">
            <v>248</v>
          </cell>
          <cell r="C64">
            <v>0</v>
          </cell>
          <cell r="D64">
            <v>0</v>
          </cell>
          <cell r="E64">
            <v>0</v>
          </cell>
          <cell r="F64" t="str">
            <v>Red oxide Primer Paint grade-II</v>
          </cell>
          <cell r="G64">
            <v>1</v>
          </cell>
          <cell r="H64" t="str">
            <v>litre</v>
          </cell>
          <cell r="I64">
            <v>45</v>
          </cell>
        </row>
        <row r="65">
          <cell r="B65">
            <v>249</v>
          </cell>
          <cell r="C65">
            <v>0</v>
          </cell>
          <cell r="D65">
            <v>0</v>
          </cell>
          <cell r="E65">
            <v>0</v>
          </cell>
          <cell r="F65" t="str">
            <v>Synthetic enamel paints in all shades grade-I</v>
          </cell>
          <cell r="G65">
            <v>1</v>
          </cell>
          <cell r="H65" t="str">
            <v>litre</v>
          </cell>
          <cell r="I65">
            <v>130</v>
          </cell>
        </row>
        <row r="66">
          <cell r="B66">
            <v>250</v>
          </cell>
          <cell r="C66">
            <v>0</v>
          </cell>
          <cell r="D66">
            <v>0</v>
          </cell>
          <cell r="E66">
            <v>0</v>
          </cell>
          <cell r="F66" t="str">
            <v>Synthetic enamel paints in all shades grade-II</v>
          </cell>
          <cell r="G66">
            <v>1</v>
          </cell>
          <cell r="H66" t="str">
            <v>litre</v>
          </cell>
          <cell r="I66">
            <v>95</v>
          </cell>
        </row>
        <row r="67">
          <cell r="B67">
            <v>251</v>
          </cell>
          <cell r="C67">
            <v>0</v>
          </cell>
          <cell r="D67">
            <v>0</v>
          </cell>
          <cell r="E67">
            <v>0</v>
          </cell>
          <cell r="F67" t="str">
            <v>Plastic emultion paint grade-I</v>
          </cell>
          <cell r="G67">
            <v>1</v>
          </cell>
          <cell r="H67" t="str">
            <v>litre</v>
          </cell>
          <cell r="I67">
            <v>200</v>
          </cell>
        </row>
        <row r="68">
          <cell r="B68">
            <v>252</v>
          </cell>
          <cell r="C68">
            <v>63</v>
          </cell>
          <cell r="D68">
            <v>0</v>
          </cell>
          <cell r="E68">
            <v>0</v>
          </cell>
          <cell r="F68" t="str">
            <v>Oil Bound Distemper</v>
          </cell>
          <cell r="G68">
            <v>1</v>
          </cell>
          <cell r="H68" t="str">
            <v>kg</v>
          </cell>
          <cell r="I68">
            <v>40</v>
          </cell>
        </row>
        <row r="69">
          <cell r="B69">
            <v>253</v>
          </cell>
          <cell r="C69">
            <v>64</v>
          </cell>
          <cell r="D69">
            <v>0</v>
          </cell>
          <cell r="E69">
            <v>0</v>
          </cell>
          <cell r="F69" t="str">
            <v>Water proof cement paint of Superior Quality</v>
          </cell>
          <cell r="G69">
            <v>1</v>
          </cell>
          <cell r="H69" t="str">
            <v>kg</v>
          </cell>
          <cell r="I69">
            <v>30</v>
          </cell>
        </row>
        <row r="70">
          <cell r="B70">
            <v>254</v>
          </cell>
          <cell r="C70">
            <v>65</v>
          </cell>
          <cell r="D70">
            <v>0</v>
          </cell>
          <cell r="E70">
            <v>0</v>
          </cell>
          <cell r="F70" t="str">
            <v>White lead</v>
          </cell>
          <cell r="G70">
            <v>1</v>
          </cell>
          <cell r="H70" t="str">
            <v>kg</v>
          </cell>
          <cell r="I70">
            <v>50</v>
          </cell>
        </row>
        <row r="71">
          <cell r="B71">
            <v>255</v>
          </cell>
          <cell r="C71">
            <v>66</v>
          </cell>
          <cell r="D71">
            <v>0</v>
          </cell>
          <cell r="E71">
            <v>0</v>
          </cell>
          <cell r="F71" t="str">
            <v>Marble powder</v>
          </cell>
          <cell r="G71">
            <v>1</v>
          </cell>
          <cell r="H71" t="str">
            <v>kg</v>
          </cell>
          <cell r="I71">
            <v>12.5</v>
          </cell>
        </row>
        <row r="72">
          <cell r="B72">
            <v>256</v>
          </cell>
          <cell r="C72">
            <v>67</v>
          </cell>
          <cell r="D72">
            <v>0</v>
          </cell>
          <cell r="E72">
            <v>0</v>
          </cell>
          <cell r="F72" t="str">
            <v>Cement Primer grade-I</v>
          </cell>
          <cell r="G72">
            <v>1</v>
          </cell>
          <cell r="H72" t="str">
            <v>kg</v>
          </cell>
          <cell r="I72">
            <v>65</v>
          </cell>
        </row>
        <row r="73">
          <cell r="B73">
            <v>257</v>
          </cell>
          <cell r="C73">
            <v>0</v>
          </cell>
          <cell r="D73">
            <v>0</v>
          </cell>
          <cell r="E73">
            <v>0</v>
          </cell>
          <cell r="F73" t="str">
            <v>Cement Primer grade-II</v>
          </cell>
          <cell r="G73">
            <v>1</v>
          </cell>
          <cell r="H73" t="str">
            <v>kg</v>
          </cell>
          <cell r="I73">
            <v>50</v>
          </cell>
        </row>
        <row r="74">
          <cell r="B74">
            <v>274</v>
          </cell>
          <cell r="C74">
            <v>0</v>
          </cell>
          <cell r="D74" t="str">
            <v>b</v>
          </cell>
          <cell r="E74">
            <v>0</v>
          </cell>
          <cell r="F74" t="str">
            <v>Fevicol</v>
          </cell>
          <cell r="G74">
            <v>1</v>
          </cell>
          <cell r="H74" t="str">
            <v>kg</v>
          </cell>
          <cell r="I74">
            <v>100</v>
          </cell>
        </row>
        <row r="75">
          <cell r="B75">
            <v>352</v>
          </cell>
          <cell r="C75">
            <v>0</v>
          </cell>
          <cell r="D75" t="str">
            <v>a</v>
          </cell>
          <cell r="E75">
            <v>0</v>
          </cell>
          <cell r="F75" t="str">
            <v>Clearing heavy jungle</v>
          </cell>
          <cell r="G75">
            <v>10</v>
          </cell>
          <cell r="H75" t="str">
            <v>sqm</v>
          </cell>
          <cell r="I75">
            <v>6</v>
          </cell>
        </row>
        <row r="76">
          <cell r="B76">
            <v>353</v>
          </cell>
          <cell r="C76">
            <v>0</v>
          </cell>
          <cell r="D76" t="str">
            <v>b</v>
          </cell>
          <cell r="E76">
            <v>0</v>
          </cell>
          <cell r="F76" t="str">
            <v>Clearing Light jungle</v>
          </cell>
          <cell r="G76">
            <v>10</v>
          </cell>
          <cell r="H76" t="str">
            <v>sqm</v>
          </cell>
          <cell r="I76">
            <v>5</v>
          </cell>
        </row>
        <row r="77">
          <cell r="B77">
            <v>354</v>
          </cell>
          <cell r="C77">
            <v>0</v>
          </cell>
          <cell r="D77" t="str">
            <v>c</v>
          </cell>
          <cell r="E77">
            <v>0</v>
          </cell>
          <cell r="F77" t="str">
            <v>Clearing Scrub jungle</v>
          </cell>
          <cell r="G77">
            <v>10</v>
          </cell>
          <cell r="H77" t="str">
            <v>sqm</v>
          </cell>
          <cell r="I77">
            <v>3</v>
          </cell>
        </row>
        <row r="78">
          <cell r="B78">
            <v>355</v>
          </cell>
          <cell r="C78">
            <v>0</v>
          </cell>
          <cell r="D78" t="str">
            <v>d</v>
          </cell>
          <cell r="E78">
            <v>0</v>
          </cell>
          <cell r="F78" t="str">
            <v xml:space="preserve">Cleaing Julie flora </v>
          </cell>
          <cell r="G78">
            <v>10</v>
          </cell>
          <cell r="H78" t="str">
            <v>sqm</v>
          </cell>
          <cell r="I78">
            <v>14</v>
          </cell>
        </row>
        <row r="79">
          <cell r="B79">
            <v>408</v>
          </cell>
          <cell r="C79">
            <v>0</v>
          </cell>
          <cell r="D79" t="str">
            <v>a</v>
          </cell>
          <cell r="E79">
            <v>0</v>
          </cell>
          <cell r="F79" t="str">
            <v>Loamy &amp; Clay soils like BC soils, Red earth &amp; OG SS 302 &amp; 303</v>
          </cell>
          <cell r="G79">
            <v>10</v>
          </cell>
          <cell r="H79" t="str">
            <v>cum</v>
          </cell>
          <cell r="I79">
            <v>235</v>
          </cell>
        </row>
        <row r="80">
          <cell r="B80">
            <v>409</v>
          </cell>
          <cell r="C80">
            <v>0</v>
          </cell>
          <cell r="D80">
            <v>0</v>
          </cell>
          <cell r="E80">
            <v>0</v>
          </cell>
          <cell r="F80" t="str">
            <v>Loamy &amp; Clay soils like BC soils, Red earth &amp; OG SS 301</v>
          </cell>
          <cell r="G80">
            <v>10</v>
          </cell>
          <cell r="H80" t="str">
            <v>cum</v>
          </cell>
          <cell r="I80">
            <v>215</v>
          </cell>
        </row>
        <row r="81">
          <cell r="B81">
            <v>412</v>
          </cell>
          <cell r="C81">
            <v>0</v>
          </cell>
          <cell r="D81">
            <v>0</v>
          </cell>
          <cell r="E81">
            <v>0</v>
          </cell>
          <cell r="F81" t="str">
            <v>Hard Gravelly Soils SS 302 &amp; 303</v>
          </cell>
          <cell r="G81">
            <v>10</v>
          </cell>
          <cell r="H81" t="str">
            <v>cum</v>
          </cell>
          <cell r="I81">
            <v>250</v>
          </cell>
        </row>
        <row r="82">
          <cell r="B82">
            <v>413</v>
          </cell>
          <cell r="C82">
            <v>0</v>
          </cell>
          <cell r="D82">
            <v>0</v>
          </cell>
          <cell r="E82">
            <v>0</v>
          </cell>
          <cell r="F82" t="str">
            <v>Hard Gravelly Soils SS 301</v>
          </cell>
          <cell r="G82">
            <v>10</v>
          </cell>
          <cell r="H82" t="str">
            <v>cum</v>
          </cell>
          <cell r="I82">
            <v>230</v>
          </cell>
        </row>
        <row r="83">
          <cell r="B83">
            <v>459</v>
          </cell>
          <cell r="C83">
            <v>35</v>
          </cell>
          <cell r="D83">
            <v>0</v>
          </cell>
          <cell r="E83">
            <v>0</v>
          </cell>
          <cell r="F83" t="str">
            <v>Vibrating Concrete</v>
          </cell>
          <cell r="G83">
            <v>1</v>
          </cell>
          <cell r="H83" t="str">
            <v>cum</v>
          </cell>
          <cell r="I83">
            <v>22.4</v>
          </cell>
        </row>
        <row r="84">
          <cell r="B84">
            <v>460</v>
          </cell>
          <cell r="C84">
            <v>36</v>
          </cell>
          <cell r="D84">
            <v>0</v>
          </cell>
          <cell r="E84">
            <v>0</v>
          </cell>
          <cell r="F84" t="str">
            <v>Machine mixing Concrete</v>
          </cell>
          <cell r="G84">
            <v>1</v>
          </cell>
          <cell r="H84" t="str">
            <v>cum</v>
          </cell>
          <cell r="I84">
            <v>21.8</v>
          </cell>
        </row>
        <row r="85">
          <cell r="B85">
            <v>461</v>
          </cell>
          <cell r="C85">
            <v>37</v>
          </cell>
          <cell r="D85">
            <v>0</v>
          </cell>
          <cell r="E85">
            <v>0</v>
          </cell>
          <cell r="F85" t="str">
            <v>Power for Mixer</v>
          </cell>
          <cell r="G85">
            <v>1</v>
          </cell>
          <cell r="H85" t="str">
            <v>cum</v>
          </cell>
          <cell r="I85">
            <v>14.5</v>
          </cell>
        </row>
        <row r="86">
          <cell r="B86">
            <v>495</v>
          </cell>
          <cell r="C86">
            <v>40</v>
          </cell>
          <cell r="D86" t="str">
            <v>a</v>
          </cell>
          <cell r="E86">
            <v>0</v>
          </cell>
          <cell r="F86" t="str">
            <v>First Floor</v>
          </cell>
          <cell r="G86">
            <v>1</v>
          </cell>
          <cell r="H86" t="str">
            <v>cum</v>
          </cell>
          <cell r="I86">
            <v>22</v>
          </cell>
        </row>
        <row r="87">
          <cell r="B87">
            <v>496</v>
          </cell>
          <cell r="C87">
            <v>0</v>
          </cell>
          <cell r="D87" t="str">
            <v>b</v>
          </cell>
          <cell r="E87">
            <v>0</v>
          </cell>
          <cell r="F87" t="str">
            <v>Second Floor</v>
          </cell>
          <cell r="G87">
            <v>1</v>
          </cell>
          <cell r="H87" t="str">
            <v>cum</v>
          </cell>
          <cell r="I87">
            <v>27</v>
          </cell>
        </row>
        <row r="88">
          <cell r="B88">
            <v>497</v>
          </cell>
          <cell r="C88">
            <v>0</v>
          </cell>
          <cell r="D88" t="str">
            <v>c</v>
          </cell>
          <cell r="E88">
            <v>0</v>
          </cell>
          <cell r="F88" t="str">
            <v>Third Floor</v>
          </cell>
          <cell r="G88">
            <v>1</v>
          </cell>
          <cell r="H88" t="str">
            <v>cum</v>
          </cell>
          <cell r="I88">
            <v>37</v>
          </cell>
        </row>
        <row r="89">
          <cell r="B89">
            <v>498</v>
          </cell>
          <cell r="C89">
            <v>0</v>
          </cell>
          <cell r="D89" t="str">
            <v>d</v>
          </cell>
          <cell r="E89">
            <v>0</v>
          </cell>
          <cell r="F89" t="str">
            <v>Each Additional Floor</v>
          </cell>
          <cell r="G89">
            <v>1</v>
          </cell>
          <cell r="H89" t="str">
            <v>cum</v>
          </cell>
          <cell r="I89">
            <v>16</v>
          </cell>
        </row>
        <row r="90">
          <cell r="B90">
            <v>499</v>
          </cell>
          <cell r="C90">
            <v>0</v>
          </cell>
          <cell r="D90" t="str">
            <v>a</v>
          </cell>
          <cell r="E90">
            <v>0</v>
          </cell>
          <cell r="F90" t="str">
            <v>1st &amp; 2nd Floor</v>
          </cell>
          <cell r="G90">
            <v>10</v>
          </cell>
          <cell r="H90" t="str">
            <v>sqm</v>
          </cell>
          <cell r="I90">
            <v>25</v>
          </cell>
        </row>
        <row r="91">
          <cell r="B91">
            <v>500</v>
          </cell>
          <cell r="C91">
            <v>0</v>
          </cell>
          <cell r="D91" t="str">
            <v>b</v>
          </cell>
          <cell r="E91">
            <v>0</v>
          </cell>
          <cell r="F91" t="str">
            <v>2nd &amp; 3rd Floor</v>
          </cell>
          <cell r="G91">
            <v>10</v>
          </cell>
          <cell r="H91" t="str">
            <v>sqm</v>
          </cell>
          <cell r="I91">
            <v>50</v>
          </cell>
        </row>
        <row r="92">
          <cell r="B92">
            <v>501</v>
          </cell>
          <cell r="C92">
            <v>0</v>
          </cell>
          <cell r="D92" t="str">
            <v>c</v>
          </cell>
          <cell r="E92">
            <v>0</v>
          </cell>
          <cell r="F92" t="str">
            <v>3rd &amp; 4th Floor</v>
          </cell>
          <cell r="G92">
            <v>10</v>
          </cell>
          <cell r="H92" t="str">
            <v>sqm</v>
          </cell>
          <cell r="I92">
            <v>75</v>
          </cell>
        </row>
        <row r="93">
          <cell r="B93">
            <v>502</v>
          </cell>
          <cell r="C93">
            <v>0</v>
          </cell>
          <cell r="D93" t="str">
            <v>d</v>
          </cell>
          <cell r="E93">
            <v>0</v>
          </cell>
          <cell r="F93" t="str">
            <v>Each Additional Floor</v>
          </cell>
          <cell r="G93">
            <v>10</v>
          </cell>
          <cell r="H93" t="str">
            <v>sqm</v>
          </cell>
          <cell r="I93">
            <v>18</v>
          </cell>
        </row>
        <row r="94">
          <cell r="B94">
            <v>503</v>
          </cell>
          <cell r="C94">
            <v>0</v>
          </cell>
          <cell r="D94" t="str">
            <v>a</v>
          </cell>
          <cell r="E94">
            <v>0</v>
          </cell>
          <cell r="F94" t="str">
            <v>upto 150 mm depth</v>
          </cell>
          <cell r="G94">
            <v>10</v>
          </cell>
          <cell r="H94" t="str">
            <v>sqm</v>
          </cell>
          <cell r="I94">
            <v>525</v>
          </cell>
        </row>
        <row r="95">
          <cell r="B95">
            <v>504</v>
          </cell>
          <cell r="C95">
            <v>0</v>
          </cell>
          <cell r="D95" t="str">
            <v>b</v>
          </cell>
          <cell r="E95">
            <v>0</v>
          </cell>
          <cell r="F95" t="str">
            <v>above 150 mm depth and upto 300 mm depth</v>
          </cell>
          <cell r="G95">
            <v>10</v>
          </cell>
          <cell r="H95" t="str">
            <v>sqm</v>
          </cell>
          <cell r="I95">
            <v>850</v>
          </cell>
        </row>
        <row r="96">
          <cell r="B96">
            <v>510</v>
          </cell>
          <cell r="C96">
            <v>0</v>
          </cell>
          <cell r="D96" t="str">
            <v>g</v>
          </cell>
          <cell r="E96" t="str">
            <v xml:space="preserve">i </v>
          </cell>
          <cell r="F96" t="str">
            <v>0.60 m width</v>
          </cell>
          <cell r="G96">
            <v>1</v>
          </cell>
          <cell r="H96" t="str">
            <v>rmt</v>
          </cell>
          <cell r="I96">
            <v>25</v>
          </cell>
        </row>
        <row r="97">
          <cell r="B97">
            <v>511</v>
          </cell>
          <cell r="C97">
            <v>0</v>
          </cell>
          <cell r="D97" t="str">
            <v>g</v>
          </cell>
          <cell r="E97" t="str">
            <v>ii</v>
          </cell>
          <cell r="F97" t="str">
            <v>0.80 m width</v>
          </cell>
          <cell r="G97">
            <v>1</v>
          </cell>
          <cell r="H97" t="str">
            <v>rmt</v>
          </cell>
          <cell r="I97">
            <v>30</v>
          </cell>
        </row>
        <row r="98">
          <cell r="B98">
            <v>512</v>
          </cell>
          <cell r="C98">
            <v>0</v>
          </cell>
          <cell r="D98" t="str">
            <v>g</v>
          </cell>
          <cell r="E98" t="str">
            <v>iii</v>
          </cell>
          <cell r="F98" t="str">
            <v>1.00 m width</v>
          </cell>
          <cell r="G98">
            <v>1</v>
          </cell>
          <cell r="H98" t="str">
            <v>rmt</v>
          </cell>
          <cell r="I98">
            <v>35</v>
          </cell>
        </row>
        <row r="99">
          <cell r="B99">
            <v>513</v>
          </cell>
          <cell r="C99">
            <v>0</v>
          </cell>
          <cell r="D99" t="str">
            <v>h</v>
          </cell>
          <cell r="E99">
            <v>0</v>
          </cell>
          <cell r="F99" t="str">
            <v>T.Beams</v>
          </cell>
          <cell r="G99">
            <v>1</v>
          </cell>
          <cell r="H99" t="str">
            <v>cum</v>
          </cell>
          <cell r="I99">
            <v>650</v>
          </cell>
        </row>
        <row r="100">
          <cell r="B100">
            <v>514</v>
          </cell>
          <cell r="C100">
            <v>0</v>
          </cell>
          <cell r="D100">
            <v>0</v>
          </cell>
          <cell r="E100">
            <v>0</v>
          </cell>
          <cell r="F100" t="str">
            <v>Columns, Rectangular beams, L.Beams</v>
          </cell>
          <cell r="G100">
            <v>1</v>
          </cell>
          <cell r="H100" t="str">
            <v>cum</v>
          </cell>
          <cell r="I100">
            <v>550</v>
          </cell>
        </row>
        <row r="101">
          <cell r="B101">
            <v>515</v>
          </cell>
          <cell r="C101">
            <v>0</v>
          </cell>
          <cell r="D101">
            <v>0</v>
          </cell>
          <cell r="E101">
            <v>0</v>
          </cell>
          <cell r="F101" t="str">
            <v>Templates, Bed blocks,Footings</v>
          </cell>
          <cell r="G101">
            <v>1</v>
          </cell>
          <cell r="H101" t="str">
            <v>cum</v>
          </cell>
          <cell r="I101">
            <v>330</v>
          </cell>
        </row>
        <row r="102">
          <cell r="B102">
            <v>518</v>
          </cell>
          <cell r="C102">
            <v>0</v>
          </cell>
          <cell r="D102">
            <v>0</v>
          </cell>
          <cell r="E102">
            <v>0</v>
          </cell>
          <cell r="F102" t="str">
            <v>Lintels, Plinth Beams</v>
          </cell>
          <cell r="G102">
            <v>1</v>
          </cell>
          <cell r="H102" t="str">
            <v>cum</v>
          </cell>
          <cell r="I102">
            <v>450</v>
          </cell>
        </row>
        <row r="103">
          <cell r="B103">
            <v>519</v>
          </cell>
          <cell r="C103">
            <v>0</v>
          </cell>
          <cell r="D103">
            <v>0</v>
          </cell>
          <cell r="E103">
            <v>0</v>
          </cell>
          <cell r="F103" t="str">
            <v>Slabs above 300 mm depth</v>
          </cell>
          <cell r="G103">
            <v>1</v>
          </cell>
          <cell r="H103" t="str">
            <v>cum</v>
          </cell>
          <cell r="I103">
            <v>520</v>
          </cell>
        </row>
        <row r="104">
          <cell r="B104">
            <v>521</v>
          </cell>
          <cell r="C104">
            <v>0</v>
          </cell>
          <cell r="D104" t="str">
            <v>a</v>
          </cell>
          <cell r="E104">
            <v>0</v>
          </cell>
          <cell r="F104" t="str">
            <v>For mass concrete Piers, Abutments and steining well curb well caps etc.,</v>
          </cell>
          <cell r="G104">
            <v>1</v>
          </cell>
          <cell r="H104" t="str">
            <v>cum</v>
          </cell>
          <cell r="I104">
            <v>380</v>
          </cell>
        </row>
        <row r="105">
          <cell r="B105">
            <v>522</v>
          </cell>
          <cell r="C105">
            <v>0</v>
          </cell>
          <cell r="D105">
            <v>0</v>
          </cell>
          <cell r="E105">
            <v>0</v>
          </cell>
          <cell r="F105" t="str">
            <v>For RCC Piers, Abutments, Wings, Well steining weel curbs, well Caps etc.,</v>
          </cell>
          <cell r="G105">
            <v>1</v>
          </cell>
          <cell r="H105" t="str">
            <v>cum</v>
          </cell>
          <cell r="I105">
            <v>500</v>
          </cell>
        </row>
        <row r="106">
          <cell r="B106">
            <v>523</v>
          </cell>
          <cell r="C106">
            <v>0</v>
          </cell>
          <cell r="D106">
            <v>0</v>
          </cell>
          <cell r="E106">
            <v>0</v>
          </cell>
          <cell r="F106" t="str">
            <v>For RCC Deck Slabs</v>
          </cell>
          <cell r="G106">
            <v>1</v>
          </cell>
          <cell r="H106" t="str">
            <v>cum</v>
          </cell>
          <cell r="I106">
            <v>950</v>
          </cell>
        </row>
        <row r="107">
          <cell r="B107">
            <v>524</v>
          </cell>
          <cell r="C107">
            <v>0</v>
          </cell>
          <cell r="D107">
            <v>0</v>
          </cell>
          <cell r="E107">
            <v>0</v>
          </cell>
          <cell r="F107" t="str">
            <v>For RCC beams</v>
          </cell>
          <cell r="G107">
            <v>1</v>
          </cell>
          <cell r="H107" t="str">
            <v>cum</v>
          </cell>
          <cell r="I107">
            <v>1150</v>
          </cell>
        </row>
        <row r="108">
          <cell r="B108">
            <v>525</v>
          </cell>
          <cell r="C108">
            <v>0</v>
          </cell>
          <cell r="D108">
            <v>0</v>
          </cell>
          <cell r="E108">
            <v>0</v>
          </cell>
          <cell r="F108" t="str">
            <v>RCC hand rails</v>
          </cell>
          <cell r="G108">
            <v>1</v>
          </cell>
          <cell r="H108" t="str">
            <v>cum</v>
          </cell>
          <cell r="I108">
            <v>1250</v>
          </cell>
        </row>
        <row r="109">
          <cell r="B109">
            <v>526</v>
          </cell>
          <cell r="C109">
            <v>0</v>
          </cell>
          <cell r="D109">
            <v>0</v>
          </cell>
          <cell r="E109">
            <v>0</v>
          </cell>
          <cell r="F109" t="str">
            <v>CC pavements, Wearing Coats, approach slabs guide stone JM stone etc.</v>
          </cell>
          <cell r="G109">
            <v>1</v>
          </cell>
          <cell r="H109" t="str">
            <v>cum</v>
          </cell>
          <cell r="I109">
            <v>95</v>
          </cell>
        </row>
        <row r="110">
          <cell r="B110">
            <v>555</v>
          </cell>
          <cell r="C110">
            <v>0</v>
          </cell>
          <cell r="D110" t="str">
            <v>a</v>
          </cell>
          <cell r="E110">
            <v>0</v>
          </cell>
          <cell r="F110" t="str">
            <v>250 mm dia</v>
          </cell>
          <cell r="G110">
            <v>1</v>
          </cell>
          <cell r="H110" t="str">
            <v>rmt</v>
          </cell>
          <cell r="I110">
            <v>8</v>
          </cell>
        </row>
        <row r="111">
          <cell r="B111">
            <v>556</v>
          </cell>
          <cell r="C111">
            <v>0</v>
          </cell>
          <cell r="D111" t="str">
            <v>b</v>
          </cell>
          <cell r="E111">
            <v>0</v>
          </cell>
          <cell r="F111" t="str">
            <v>300 mm dia</v>
          </cell>
          <cell r="G111">
            <v>1</v>
          </cell>
          <cell r="H111" t="str">
            <v>rmt</v>
          </cell>
          <cell r="I111">
            <v>11</v>
          </cell>
        </row>
        <row r="112">
          <cell r="B112">
            <v>557</v>
          </cell>
          <cell r="C112">
            <v>0</v>
          </cell>
          <cell r="D112" t="str">
            <v>c</v>
          </cell>
          <cell r="E112">
            <v>0</v>
          </cell>
          <cell r="F112" t="str">
            <v>450 mm dia</v>
          </cell>
          <cell r="G112">
            <v>1</v>
          </cell>
          <cell r="H112" t="str">
            <v>rmt</v>
          </cell>
          <cell r="I112">
            <v>15</v>
          </cell>
        </row>
        <row r="113">
          <cell r="B113">
            <v>558</v>
          </cell>
          <cell r="C113">
            <v>0</v>
          </cell>
          <cell r="D113" t="str">
            <v>d</v>
          </cell>
          <cell r="E113">
            <v>0</v>
          </cell>
          <cell r="F113" t="str">
            <v>600 mm dia</v>
          </cell>
          <cell r="G113">
            <v>1</v>
          </cell>
          <cell r="H113" t="str">
            <v>rmt</v>
          </cell>
          <cell r="I113">
            <v>25</v>
          </cell>
        </row>
        <row r="114">
          <cell r="B114">
            <v>559</v>
          </cell>
          <cell r="C114">
            <v>0</v>
          </cell>
          <cell r="D114" t="str">
            <v>e</v>
          </cell>
          <cell r="E114">
            <v>0</v>
          </cell>
          <cell r="F114" t="str">
            <v>750 mm dia</v>
          </cell>
          <cell r="G114">
            <v>1</v>
          </cell>
          <cell r="H114" t="str">
            <v>rmt</v>
          </cell>
          <cell r="I114">
            <v>30</v>
          </cell>
        </row>
        <row r="115">
          <cell r="B115">
            <v>560</v>
          </cell>
          <cell r="C115">
            <v>0</v>
          </cell>
          <cell r="D115" t="str">
            <v>f</v>
          </cell>
          <cell r="E115">
            <v>0</v>
          </cell>
          <cell r="F115" t="str">
            <v>800 mm dia</v>
          </cell>
          <cell r="G115">
            <v>1</v>
          </cell>
          <cell r="H115" t="str">
            <v>rmt</v>
          </cell>
          <cell r="I115">
            <v>35</v>
          </cell>
        </row>
        <row r="116">
          <cell r="B116">
            <v>561</v>
          </cell>
          <cell r="C116">
            <v>0</v>
          </cell>
          <cell r="D116" t="str">
            <v>g</v>
          </cell>
          <cell r="E116">
            <v>0</v>
          </cell>
          <cell r="F116" t="str">
            <v>1000 mm dia</v>
          </cell>
          <cell r="G116">
            <v>1</v>
          </cell>
          <cell r="H116" t="str">
            <v>rmt</v>
          </cell>
          <cell r="I116">
            <v>40</v>
          </cell>
        </row>
        <row r="117">
          <cell r="B117">
            <v>562</v>
          </cell>
          <cell r="C117">
            <v>0</v>
          </cell>
          <cell r="D117" t="str">
            <v>h</v>
          </cell>
          <cell r="E117">
            <v>0</v>
          </cell>
          <cell r="F117" t="str">
            <v>1220 mm dia</v>
          </cell>
          <cell r="G117">
            <v>1</v>
          </cell>
          <cell r="H117" t="str">
            <v>rmt</v>
          </cell>
          <cell r="I117">
            <v>50</v>
          </cell>
        </row>
        <row r="118">
          <cell r="B118">
            <v>563</v>
          </cell>
          <cell r="C118">
            <v>0</v>
          </cell>
          <cell r="D118" t="str">
            <v>a</v>
          </cell>
          <cell r="E118">
            <v>0</v>
          </cell>
          <cell r="F118" t="str">
            <v>40 mm</v>
          </cell>
          <cell r="G118">
            <v>1</v>
          </cell>
          <cell r="H118" t="str">
            <v>sqm</v>
          </cell>
          <cell r="I118">
            <v>29</v>
          </cell>
        </row>
        <row r="119">
          <cell r="B119">
            <v>564</v>
          </cell>
          <cell r="C119">
            <v>0</v>
          </cell>
          <cell r="D119" t="str">
            <v>b</v>
          </cell>
          <cell r="E119">
            <v>0</v>
          </cell>
          <cell r="F119" t="str">
            <v>50 mm</v>
          </cell>
          <cell r="G119">
            <v>1</v>
          </cell>
          <cell r="H119" t="str">
            <v>sqm</v>
          </cell>
          <cell r="I119">
            <v>31</v>
          </cell>
        </row>
        <row r="120">
          <cell r="B120">
            <v>565</v>
          </cell>
          <cell r="C120">
            <v>0</v>
          </cell>
          <cell r="D120" t="str">
            <v>c</v>
          </cell>
          <cell r="E120">
            <v>0</v>
          </cell>
          <cell r="F120" t="str">
            <v>75 mm</v>
          </cell>
          <cell r="G120">
            <v>1</v>
          </cell>
          <cell r="H120" t="str">
            <v>sqm</v>
          </cell>
          <cell r="I120">
            <v>34</v>
          </cell>
        </row>
        <row r="121">
          <cell r="B121">
            <v>566</v>
          </cell>
          <cell r="C121">
            <v>0</v>
          </cell>
          <cell r="D121" t="str">
            <v>d</v>
          </cell>
          <cell r="E121">
            <v>0</v>
          </cell>
          <cell r="F121" t="str">
            <v>100 mm</v>
          </cell>
          <cell r="G121">
            <v>1</v>
          </cell>
          <cell r="H121" t="str">
            <v>sqm</v>
          </cell>
          <cell r="I121">
            <v>36</v>
          </cell>
        </row>
        <row r="122">
          <cell r="B122">
            <v>570</v>
          </cell>
          <cell r="C122">
            <v>52</v>
          </cell>
          <cell r="D122">
            <v>0</v>
          </cell>
          <cell r="E122">
            <v>0</v>
          </cell>
          <cell r="F122" t="str">
            <v>Picking 50mm to 100mm old metalled surface and sectioning</v>
          </cell>
          <cell r="G122">
            <v>10</v>
          </cell>
          <cell r="H122" t="str">
            <v>sqm</v>
          </cell>
          <cell r="I122">
            <v>10</v>
          </cell>
        </row>
        <row r="123">
          <cell r="B123">
            <v>571</v>
          </cell>
          <cell r="C123">
            <v>53</v>
          </cell>
          <cell r="D123">
            <v>0</v>
          </cell>
          <cell r="E123">
            <v>0</v>
          </cell>
          <cell r="F123" t="str">
            <v>Picking gravelled surface 25mm deep and levelling and sectioning</v>
          </cell>
          <cell r="G123">
            <v>10</v>
          </cell>
          <cell r="H123" t="str">
            <v>sqm</v>
          </cell>
          <cell r="I123">
            <v>2.5</v>
          </cell>
        </row>
        <row r="124">
          <cell r="B124">
            <v>572</v>
          </cell>
          <cell r="C124">
            <v>54</v>
          </cell>
          <cell r="D124">
            <v>0</v>
          </cell>
          <cell r="E124">
            <v>0</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Bridge-well"/>
      <sheetName val="Wells data"/>
      <sheetName val="Road det"/>
      <sheetName val="Road Abs"/>
      <sheetName val="Cause way"/>
      <sheetName val="note file"/>
      <sheetName val="Sheet1"/>
      <sheetName val="Abstact"/>
      <sheetName val="Lead"/>
      <sheetName val="Data-Road "/>
      <sheetName val="DATA-CD "/>
      <sheetName val="water_cost_certificate"/>
      <sheetName val="Model sh"/>
      <sheetName val="Seig_Calculations"/>
      <sheetName val="transport"/>
      <sheetName val="lead-st"/>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CDdata (3)"/>
      <sheetName val="F7hp1v900"/>
      <sheetName val="F7hp2v900"/>
      <sheetName val="F7hp3v900"/>
      <sheetName val="Hydra"/>
      <sheetName val="#REF!"/>
      <sheetName val="PUMP_DATA"/>
      <sheetName val="leads"/>
      <sheetName val="#REF"/>
      <sheetName val="v"/>
      <sheetName val="r"/>
      <sheetName val="Sheet5"/>
      <sheetName val="Input Data"/>
      <sheetName val="SSR-rates"/>
      <sheetName val="C-data"/>
      <sheetName val="DATA_PRG"/>
      <sheetName val="Lead statement ss5"/>
      <sheetName val="maya"/>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row r="7">
          <cell r="L7">
            <v>470</v>
          </cell>
        </row>
      </sheetData>
      <sheetData sheetId="18"/>
      <sheetData sheetId="19" refreshError="1">
        <row r="6">
          <cell r="J6">
            <v>336.1</v>
          </cell>
        </row>
        <row r="7">
          <cell r="J7">
            <v>640.6</v>
          </cell>
        </row>
        <row r="8">
          <cell r="J8">
            <v>528.1</v>
          </cell>
        </row>
      </sheetData>
      <sheetData sheetId="20"/>
      <sheetData sheetId="21"/>
      <sheetData sheetId="22"/>
      <sheetData sheetId="23"/>
      <sheetData sheetId="24"/>
      <sheetData sheetId="25"/>
      <sheetData sheetId="26"/>
      <sheetData sheetId="27"/>
      <sheetData sheetId="28"/>
      <sheetData sheetId="29"/>
      <sheetData sheetId="30" refreshError="1"/>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 val="CDdata_(2)"/>
      <sheetName val="Labour"/>
      <sheetName val="C-data"/>
      <sheetName val="bom"/>
      <sheetName val="v"/>
      <sheetName val="r"/>
      <sheetName val="1"/>
      <sheetName val="data existing_do not delete"/>
      <sheetName val="lead-st"/>
      <sheetName val="Material"/>
      <sheetName val="Plant &amp;  Machinery"/>
      <sheetName val="#REF"/>
      <sheetName val="estt"/>
      <sheetName val="lead chart"/>
      <sheetName val="Det Est"/>
      <sheetName val="pvc"/>
      <sheetName val="HDPE"/>
      <sheetName val="pvc_basic"/>
      <sheetName val="hdpe_basic"/>
      <sheetName val="DI"/>
      <sheetName val="Datas"/>
      <sheetName val="windows"/>
      <sheetName val=" Doors flush &amp; Window"/>
      <sheetName val="Ele data "/>
      <sheetName val="Sanitary&amp;water supply DATA "/>
      <sheetName val="seing"/>
      <sheetName val="DATA-BASE"/>
      <sheetName val="DATA-ABSTRACT"/>
      <sheetName val="m"/>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heet2"/>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Sheet1"/>
      <sheetName val="New lead2"/>
      <sheetName val="CD-DAta"/>
      <sheetName val="Base Course "/>
      <sheetName val="Sheet3"/>
      <sheetName val="Sheet5"/>
      <sheetName val="Sheet18"/>
      <sheetName val="Sheet19"/>
      <sheetName val="sg-clay(d)"/>
      <sheetName val="DATA_PRG"/>
      <sheetName val="Main sheet"/>
      <sheetName val="comm hall"/>
      <sheetName val="Lead statement "/>
      <sheetName val="MRA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 val="CDdata_(2)"/>
      <sheetName val="rdamdata"/>
      <sheetName val="r"/>
      <sheetName val="l"/>
      <sheetName val="m"/>
      <sheetName val="CDd!ta"/>
      <sheetName val="MRATES"/>
      <sheetName val="lead-st"/>
      <sheetName val="Sheet1"/>
      <sheetName val="v"/>
      <sheetName val="Lead"/>
      <sheetName val="hdpe weights"/>
      <sheetName val="PVC weights"/>
      <sheetName val="index"/>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 val="lead-st"/>
      <sheetName val="rdamdata"/>
      <sheetName val="v"/>
      <sheetName val="r"/>
      <sheetName val="quarry"/>
      <sheetName val="MRATES"/>
      <sheetName val="data"/>
    </sheetNames>
    <sheetDataSet>
      <sheetData sheetId="0">
        <row r="2">
          <cell r="W2" t="str">
            <v>KM</v>
          </cell>
        </row>
      </sheetData>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Lead statement"/>
      <sheetName val="rdamdata"/>
      <sheetName val="Sheet3"/>
      <sheetName val="stone"/>
      <sheetName val="m"/>
      <sheetName val="leads"/>
      <sheetName val="Road Detail Est."/>
      <sheetName val="Road data"/>
    </sheetNames>
    <sheetDataSet>
      <sheetData sheetId="0">
        <row r="4">
          <cell r="F4">
            <v>65</v>
          </cell>
        </row>
      </sheetData>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vels"/>
      <sheetName val="MRATES"/>
      <sheetName val="rdamdata"/>
      <sheetName val="Road Detail Est."/>
      <sheetName val="Road data"/>
      <sheetName val="Lead"/>
      <sheetName val="mpp_b,dg"/>
      <sheetName val="Plant &amp;  Machinery"/>
      <sheetName val="Sheet1"/>
      <sheetName val="data"/>
      <sheetName val="Labour"/>
      <sheetName val="Material"/>
      <sheetName val="bundqty"/>
      <sheetName val="leads"/>
      <sheetName val="lead-st"/>
      <sheetName val="cert"/>
      <sheetName val="quarry"/>
      <sheetName val="data existing_do not dele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 val="leads"/>
      <sheetName val="CDdata_(2)"/>
      <sheetName val="cwaydata_(2)"/>
      <sheetName val="CDdata_(3)"/>
      <sheetName val="lead_st"/>
      <sheetName val="Labour"/>
      <sheetName val="Data"/>
      <sheetName val="#REF"/>
      <sheetName val="#REF!"/>
      <sheetName val="nodes"/>
      <sheetName val="habs-list"/>
      <sheetName val="int-Dia"/>
      <sheetName val="Rates"/>
      <sheetName val="Gen Abstract"/>
      <sheetName val="Sheet1"/>
      <sheetName val="coverpage"/>
      <sheetName val="Road data"/>
    </sheetNames>
    <sheetDataSet>
      <sheetData sheetId="0">
        <row r="6">
          <cell r="J6">
            <v>336.1</v>
          </cell>
        </row>
      </sheetData>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rdamdata"/>
      <sheetName val="lead-st"/>
      <sheetName val="Material"/>
      <sheetName val="Works"/>
      <sheetName val="RMR"/>
      <sheetName val="General"/>
      <sheetName val="CDdata_(2)"/>
      <sheetName val="Sheet1"/>
      <sheetName val="Lead"/>
      <sheetName val="Materials"/>
      <sheetName val="Data "/>
      <sheetName val="Retaing"/>
      <sheetName val="Abstract(F6)"/>
      <sheetName val="CDdata_(2)1"/>
      <sheetName val="bom"/>
      <sheetName val="Labour"/>
      <sheetName val="detls"/>
      <sheetName val="r"/>
      <sheetName val="CDdata_(2)5"/>
      <sheetName val="Data_2"/>
      <sheetName val="CDdata_(2)3"/>
      <sheetName val="CDdata_(2)2"/>
      <sheetName val="Data_"/>
      <sheetName val="CDdata_(2)4"/>
      <sheetName val="Data_1"/>
      <sheetName val="final abstract"/>
      <sheetName val="Plant &amp;  Machinery"/>
      <sheetName val="Bridge Data 2005-06"/>
      <sheetName val="Fee Rate Summary"/>
      <sheetName val="EDWise"/>
      <sheetName val="Design"/>
      <sheetName val="HDPE"/>
      <sheetName val="pvc"/>
      <sheetName val="pvc_basic"/>
      <sheetName val="t_prsr"/>
      <sheetName val="wh"/>
      <sheetName val="DI"/>
      <sheetName val="id"/>
      <sheetName val="Newabstract"/>
      <sheetName val="C-data"/>
      <sheetName val="civ data"/>
      <sheetName val="TOP SLAB-beams"/>
      <sheetName val="Rate Analysis"/>
      <sheetName val="Common "/>
      <sheetName val="Usage"/>
      <sheetName val="MRATES"/>
      <sheetName val="Specification report"/>
      <sheetName val="Specification"/>
      <sheetName val="DATA-BASE"/>
      <sheetName val="DATA-ABSTRACT"/>
      <sheetName val="v"/>
      <sheetName val="GN_ST_10"/>
      <sheetName val="PRECAST lightconc_II"/>
      <sheetName val="maya"/>
      <sheetName val="Abs"/>
      <sheetName val="Estimate"/>
      <sheetName val="Main sheet"/>
      <sheetName val="ci"/>
      <sheetName val="civil-works"/>
      <sheetName val="Datas"/>
      <sheetName val=" Brickwork Manhole "/>
      <sheetName val=" Estimate"/>
      <sheetName val="Levels"/>
      <sheetName val="BALAN1"/>
      <sheetName val="Voucher"/>
      <sheetName val="Road Detail Est."/>
      <sheetName val="Road data"/>
      <sheetName val="sg-clay(d)"/>
      <sheetName val="DATA_PRG"/>
      <sheetName val="Rates"/>
      <sheetName val="data.f8.btr"/>
      <sheetName val="Lead2021-22"/>
      <sheetName val="SPT vs PHI"/>
      <sheetName val="CDdata_(2)6"/>
      <sheetName val="Data_3"/>
      <sheetName val="Plant_&amp;__Machinery"/>
      <sheetName val="Bridge_Data_2005-06"/>
      <sheetName val="final_abstract"/>
      <sheetName val="Specification_report"/>
      <sheetName val="Fee_Rate_Summary"/>
      <sheetName val="Rate_Analysis"/>
      <sheetName val="hdpe_basic"/>
      <sheetName val="Cem Date"/>
      <sheetName val="BTR"/>
      <sheetName val="Line"/>
      <sheetName val="mlead"/>
      <sheetName val="abs road"/>
      <sheetName val="road est"/>
      <sheetName val="Sheet2"/>
      <sheetName val="Sanction dump"/>
      <sheetName val="MRoad data"/>
      <sheetName val="Background"/>
      <sheetName val="Material "/>
      <sheetName val="ANALYSIS"/>
      <sheetName val="wh_data"/>
      <sheetName val="wh_data_R"/>
      <sheetName val="CPHEEO"/>
      <sheetName val="input"/>
      <sheetName val="other rates"/>
      <sheetName val="WS SSR"/>
      <sheetName val="R_Det"/>
      <sheetName val="capacity-ohsrs"/>
      <sheetName val="Miscellaneous"/>
      <sheetName val="Road_All"/>
      <sheetName val="m"/>
      <sheetName val="data existing_do not delete"/>
      <sheetName val="CLEAR OVER FALL DROP"/>
      <sheetName val="ABS.C.D."/>
      <sheetName val="Boq"/>
      <sheetName val="GF SB Ok "/>
      <sheetName val="p&amp;m"/>
      <sheetName val="W.ESTIMATE"/>
      <sheetName val="Road FURNITURE"/>
      <sheetName val="Gen Abst"/>
      <sheetName val="quarry"/>
      <sheetName val="MTC-estimate"/>
      <sheetName val="Gen Abs"/>
      <sheetName val="#REF"/>
      <sheetName val="Det Est"/>
      <sheetName val="estt"/>
      <sheetName val="lead chart"/>
      <sheetName val="3Shops_Abstract"/>
      <sheetName val="CivilSSR"/>
      <sheetName val="Det esti (2)"/>
      <sheetName val="white swan"/>
      <sheetName val="Black swan"/>
      <sheetName val="1"/>
      <sheetName val="windows"/>
      <sheetName val=" Doors flush &amp; Window"/>
      <sheetName val="Ele data "/>
      <sheetName val="Sanitary&amp;water supply DATA "/>
      <sheetName val="seing"/>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Input Data"/>
      <sheetName val="0000000000000"/>
      <sheetName val="data-WC"/>
      <sheetName val="Lead (Final)"/>
      <sheetName val="clvrt_data"/>
      <sheetName val="Steel"/>
      <sheetName val="Elec data"/>
      <sheetName val="Comp"/>
      <sheetName val="DATA 2021-22"/>
      <sheetName val="Staff Civil o&amp;m draft policy"/>
      <sheetName val="Abs_CD_2"/>
      <sheetName val="coverpage"/>
      <sheetName val="ECV"/>
      <sheetName val="SSR-rates"/>
      <sheetName val="BLK3"/>
      <sheetName val="BLK2"/>
      <sheetName val="E &amp; R"/>
      <sheetName val="radar"/>
      <sheetName val="UG"/>
      <sheetName val="basdat-f"/>
      <sheetName val="Sub -  Analysis"/>
      <sheetName val="Labour rates"/>
      <sheetName val="not req 3"/>
      <sheetName val="HDPE-pipe-rates"/>
      <sheetName val="pvc-pipe-rates"/>
      <sheetName val="Iocount"/>
      <sheetName val="mas_hab"/>
      <sheetName val="c.d.abs.est."/>
      <sheetName val="l"/>
      <sheetName val="02"/>
      <sheetName val="03"/>
      <sheetName val="04"/>
      <sheetName val="05"/>
      <sheetName val="hdpe weights"/>
      <sheetName val="PVC weights"/>
      <sheetName val="index"/>
      <sheetName val="PRELIM5"/>
      <sheetName val="Nspt-smp-final-ORIGINAL"/>
      <sheetName val="m1"/>
      <sheetName val="AV-HDPE"/>
      <sheetName val="Di_gate-HDPE"/>
      <sheetName val="ewst"/>
      <sheetName val="Speci"/>
      <sheetName val="Summary"/>
      <sheetName val="Labour &amp; Plant"/>
      <sheetName val="Prjt"/>
      <sheetName val="Valves"/>
      <sheetName val="MS Rates"/>
      <sheetName val="boredetails"/>
      <sheetName val="RAFT"/>
      <sheetName val="Proforma -II "/>
      <sheetName val="1V800"/>
      <sheetName val="Work_sheet"/>
      <sheetName val="SUMP1420KL@HW"/>
      <sheetName val="aug,02"/>
      <sheetName val="lead statement"/>
      <sheetName val="detail'02"/>
      <sheetName val="PVC_dia"/>
      <sheetName val="ANN I"/>
      <sheetName val="pvc &amp; hdpe 3"/>
      <sheetName val="ew OG manual "/>
      <sheetName val="Boppudi data sheet "/>
      <sheetName val="CW_DATA"/>
      <sheetName val="Hire"/>
      <sheetName val="11.Habitations"/>
      <sheetName val="Met"/>
      <sheetName val="hdpe-rates"/>
      <sheetName val="pvc-rates"/>
      <sheetName val="Annex- 6 - Delinator"/>
      <sheetName val="Masonry"/>
      <sheetName val="Fill this out first..."/>
      <sheetName val="Intro"/>
      <sheetName val="banilad"/>
      <sheetName val="Mactan"/>
      <sheetName val="Mandaue"/>
      <sheetName val="Municipal.Office "/>
      <sheetName val="Data_Bit_I"/>
      <sheetName val="2"/>
      <sheetName val="3"/>
      <sheetName val="4"/>
      <sheetName val="DATA-2005-06"/>
      <sheetName val="DES"/>
      <sheetName val="CDdata_(2)7"/>
      <sheetName val="Data_4"/>
      <sheetName val="Plant_&amp;__Machinery1"/>
      <sheetName val="Bridge_Data_2005-061"/>
      <sheetName val="Fee_Rate_Summary1"/>
      <sheetName val="final_abstract1"/>
      <sheetName val="Specification_report1"/>
      <sheetName val="PRECAST_lightconc_II"/>
      <sheetName val="Rate_Analysis1"/>
      <sheetName val="SPT_vs_PHI"/>
      <sheetName val="Common_"/>
      <sheetName val="Main_sheet"/>
      <sheetName val="civ_data"/>
      <sheetName val="TOP_SLAB-beams"/>
      <sheetName val="_Brickwork_Manhole_"/>
      <sheetName val="_Estimate"/>
      <sheetName val="Material_"/>
      <sheetName val="Cem_Date"/>
      <sheetName val="Sanction_dump"/>
      <sheetName val="Road_data"/>
      <sheetName val="data_existing_do_not_delete"/>
      <sheetName val="CLEAR_OVER_FALL_DROP"/>
      <sheetName val="ABS_C_D_"/>
      <sheetName val="MRoad_data"/>
      <sheetName val="abs_road"/>
      <sheetName val="not_req_3"/>
      <sheetName val="road_detail_est_"/>
      <sheetName val="E_&amp;_R"/>
      <sheetName val="data_f8_bt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sheetData sheetId="35" refreshError="1"/>
      <sheetData sheetId="36" refreshError="1"/>
      <sheetData sheetId="37" refreshError="1"/>
      <sheetData sheetId="38"/>
      <sheetData sheetId="39"/>
      <sheetData sheetId="40"/>
      <sheetData sheetId="41"/>
      <sheetData sheetId="42" refreshError="1"/>
      <sheetData sheetId="43" refreshError="1"/>
      <sheetData sheetId="44" refreshError="1"/>
      <sheetData sheetId="45"/>
      <sheetData sheetId="46"/>
      <sheetData sheetId="47" refreshError="1"/>
      <sheetData sheetId="48" refreshError="1"/>
      <sheetData sheetId="49"/>
      <sheetData sheetId="50"/>
      <sheetData sheetId="51"/>
      <sheetData sheetId="52"/>
      <sheetData sheetId="53" refreshError="1"/>
      <sheetData sheetId="54"/>
      <sheetData sheetId="55" refreshError="1"/>
      <sheetData sheetId="56" refreshError="1"/>
      <sheetData sheetId="57" refreshError="1"/>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 val="CDdata_(2)"/>
      <sheetName val="Plant_&amp;__Machinery"/>
      <sheetName val="r"/>
      <sheetName val="Sheet1"/>
      <sheetName val="MRATES"/>
      <sheetName val="rdamdata"/>
      <sheetName val="sand"/>
      <sheetName val="stone"/>
      <sheetName val="Devider(CC)"/>
      <sheetName val="Devider (CRS)"/>
      <sheetName val="data-Parks-new"/>
      <sheetName val="C-Mat-Gen-"/>
      <sheetName val="Data "/>
      <sheetName val="Devider (CRS) final"/>
      <sheetName val="GA"/>
      <sheetName val="Single Devider"/>
      <sheetName val="v"/>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heet2"/>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Lead"/>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Rates SSR 2008-09"/>
      <sheetName val="final abstract"/>
      <sheetName val="DATA_PRG"/>
      <sheetName val="Quarry"/>
      <sheetName val="RMR"/>
      <sheetName val="Line"/>
      <sheetName val="BTR"/>
      <sheetName val="CRUST"/>
      <sheetName val="QDTS"/>
      <sheetName val="Rates"/>
      <sheetName val="Road data"/>
      <sheetName val="CDdata_(2)1"/>
      <sheetName val="Plant_&amp;__Machinery1"/>
      <sheetName val="CDdata_(2)2"/>
      <sheetName val="Plant_&amp;__Machinery2"/>
      <sheetName val="SC Cost FEB 03"/>
      <sheetName val="HDPE"/>
      <sheetName val="DI"/>
      <sheetName val="pvc"/>
      <sheetName val="coverpage"/>
      <sheetName val="Rd.Est"/>
      <sheetName val="Works"/>
      <sheetName val="General"/>
      <sheetName val="Convey"/>
      <sheetName val="C.D.Abs.Est."/>
      <sheetName val="m"/>
      <sheetName val="pvc_basic"/>
      <sheetName val="Rates2"/>
      <sheetName val="hdpe_basic"/>
      <sheetName val="BALAN1"/>
      <sheetName val="mlead"/>
      <sheetName val="abs road"/>
      <sheetName val="Abs_CD_2"/>
      <sheetName val="road est"/>
      <sheetName val="ECV"/>
      <sheetName val="Staff Acco."/>
      <sheetName val="Abs"/>
      <sheetName val="bom"/>
      <sheetName val="wh_data"/>
      <sheetName val="CPHEEO"/>
      <sheetName val="wh_data_R"/>
      <sheetName val="input"/>
      <sheetName val="MRoad data"/>
      <sheetName val="lead-st"/>
      <sheetName val="not req 3"/>
      <sheetName val="Estt"/>
      <sheetName val="road detail est."/>
      <sheetName val="BLK2"/>
      <sheetName val="BLK3"/>
      <sheetName val="E &amp; R"/>
      <sheetName val="radar"/>
      <sheetName val="UG"/>
      <sheetName val="Rates_SSR_2008-09"/>
      <sheetName val="final_abstract"/>
      <sheetName val="Devider_(CRS)"/>
      <sheetName val="Data_"/>
      <sheetName val="Devider_(CRS)_final"/>
      <sheetName val="Single_Devider"/>
      <sheetName val="Road_data"/>
      <sheetName val="TS memo"/>
      <sheetName val="DATA-BASE"/>
      <sheetName val="DATA-ABSTRACT"/>
      <sheetName val="detls"/>
      <sheetName val="Levels"/>
      <sheetName val="PS1"/>
      <sheetName val="GT DUMP"/>
      <sheetName val="sancdump"/>
      <sheetName val="GZL"/>
      <sheetName val="civ data"/>
      <sheetName val="X-2"/>
      <sheetName val="ewst"/>
      <sheetName val="C-data"/>
      <sheetName val="Sheet1 (2)"/>
      <sheetName val="cert"/>
      <sheetName val="Iocount"/>
      <sheetName val="Wordsdata"/>
      <sheetName val="int-Dia"/>
      <sheetName val="habs-list"/>
      <sheetName val="nodes"/>
      <sheetName val="maya"/>
      <sheetName val="Lead statement ss5"/>
      <sheetName val="factors"/>
      <sheetName val="Lead  RATES"/>
      <sheetName val="Gen_Abs"/>
      <sheetName val="hdpe weights"/>
      <sheetName val="PVC weights"/>
      <sheetName val="index"/>
      <sheetName val="Usage"/>
      <sheetName val="int-Dia-hdpe"/>
      <sheetName val="int-Dia-pvc"/>
      <sheetName val="segments-details"/>
      <sheetName val="Specification report"/>
      <sheetName val="FORM7"/>
      <sheetName val="Data base"/>
      <sheetName val="l"/>
      <sheetName val="CDd!ta"/>
      <sheetName val="Suppl-data"/>
      <sheetName val="SUMP1420KL@HW"/>
      <sheetName val="3V 6mt "/>
      <sheetName val="3V 1000PC "/>
      <sheetName val="1V 3mt"/>
      <sheetName val="Road dam"/>
      <sheetName val="clvrt_data"/>
      <sheetName val="Ins &amp; Bonds"/>
      <sheetName val="A-3.1"/>
      <sheetName val="Client req"/>
      <sheetName val="ESTIMATE"/>
      <sheetName val="t_prsr"/>
      <sheetName val="ssr-rates"/>
      <sheetName val="wh"/>
      <sheetName val="0000000000000"/>
      <sheetName val="Sub -  Analysis"/>
      <sheetName val="Labour rates"/>
      <sheetName val="Rate analysis"/>
      <sheetName val="RMR 2008-09"/>
      <sheetName val="Nspt-smp-final-ORIGINAL"/>
      <sheetName val="Design"/>
      <sheetName val="Spec"/>
      <sheetName val="Detail Est"/>
      <sheetName val="10KL OHSR"/>
      <sheetName val=" data sheet "/>
      <sheetName val="Rate"/>
      <sheetName val="sheet6"/>
      <sheetName val="work_sheet"/>
      <sheetName val="Y palem"/>
      <sheetName val="MDR"/>
      <sheetName val="Comparative Yerrupalem"/>
      <sheetName val="Comparative Madhira"/>
      <sheetName val="Comparative Bonakal"/>
      <sheetName val="SSR"/>
      <sheetName val="Earth work"/>
      <sheetName val="AC"/>
      <sheetName val="Bonakkal"/>
      <sheetName val="Wyra"/>
      <sheetName val="Comparative Abst"/>
      <sheetName val="Yer"/>
      <sheetName val="WATER-HAMMER"/>
      <sheetName val="m1"/>
      <sheetName val="pop"/>
      <sheetName val="VIP03"/>
      <sheetName val="VIP_02"/>
      <sheetName val="Summary"/>
      <sheetName val="Prjt"/>
      <sheetName val="Common "/>
      <sheetName val="app2"/>
      <sheetName val="road safety datas"/>
      <sheetName val="Below_Earth"/>
      <sheetName val="Fee Rate Summary"/>
      <sheetName val="87.Gazinagar"/>
      <sheetName val="HDPE-pipe-rates"/>
      <sheetName val="pvc-pipe-rates"/>
      <sheetName val="Existing"/>
      <sheetName val="Material "/>
      <sheetName val="Labour &amp; Plant"/>
      <sheetName val="R_Det"/>
      <sheetName val="data existing_do not delete"/>
      <sheetName val="Data-Road "/>
      <sheetName val="Side Drains"/>
      <sheetName val="DATA-CD "/>
      <sheetName val="Protection Wall"/>
      <sheetName val="Met"/>
      <sheetName val="office"/>
      <sheetName val="Lab"/>
      <sheetName val="Material&amp;equipment"/>
      <sheetName val="Weightage-Sub Sht"/>
      <sheetName val="Irrigation"/>
      <sheetName val="labour coeff"/>
      <sheetName val="Boq"/>
      <sheetName val="DISCOUNT"/>
      <sheetName val="Basement Budget"/>
      <sheetName val="Indices"/>
      <sheetName val="Sheet1_(2)"/>
      <sheetName val="sectorwise"/>
      <sheetName val="Publicbuilding"/>
      <sheetName val="water prop."/>
      <sheetName val="IO LIST"/>
      <sheetName val="maing1"/>
      <sheetName val="Analy"/>
      <sheetName val="mlead "/>
      <sheetName val="other rates"/>
      <sheetName val="DATAS"/>
      <sheetName val="upa"/>
      <sheetName val="Bitumen trunk"/>
      <sheetName val="Process"/>
      <sheetName val="Feeder"/>
      <sheetName val="R99 etc"/>
      <sheetName val="Trunk unpaved"/>
      <sheetName val="1"/>
      <sheetName val="2"/>
      <sheetName val="3"/>
      <sheetName val="4"/>
      <sheetName val="Plant _  Machinery"/>
      <sheetName val="CDdata_(2)3"/>
      <sheetName val="Plant_&amp;__Machinery3"/>
      <sheetName val="Devider_(CRS)1"/>
      <sheetName val="Data_1"/>
      <sheetName val="Devider_(CRS)_final1"/>
      <sheetName val="Single_Devider1"/>
      <sheetName val="Rates_SSR_2008-091"/>
      <sheetName val="final_abstract1"/>
      <sheetName val="Road_data1"/>
      <sheetName val="1__Add"/>
      <sheetName val="2__Fill"/>
      <sheetName val="3__Split"/>
      <sheetName val="4__Transpose"/>
      <sheetName val="5__Sort_&amp;_filter"/>
      <sheetName val="6__Tables"/>
      <sheetName val="7__Drop-downs"/>
      <sheetName val="8__Analyze"/>
      <sheetName val="9__Charts"/>
      <sheetName val="10__PivotTables"/>
      <sheetName val="Learn_more"/>
      <sheetName val="Cover_Page"/>
      <sheetName val="Sp__Rep_"/>
      <sheetName val="Sp_Rep_2"/>
      <sheetName val="CC_est_3_00_lakhs"/>
      <sheetName val="Drain_est"/>
      <sheetName val="Input_Sheet_3_00_L"/>
      <sheetName val="Sp__Rep__(wrk_dne)"/>
      <sheetName val="CC_est_80+20_(work_done)"/>
      <sheetName val="CC_est_80+20"/>
      <sheetName val="Input_Sheet_80+20"/>
      <sheetName val="comp_report"/>
      <sheetName val="CC_Road_data"/>
      <sheetName val="Drain_DATA"/>
      <sheetName val="Sp__Rep__(2)"/>
      <sheetName val="Work_done"/>
      <sheetName val="New_lead2"/>
      <sheetName val="Base_Course_"/>
      <sheetName val="Staff_Acco_"/>
      <sheetName val="SC_Cost_FEB_03"/>
      <sheetName val="MRoad_data"/>
      <sheetName val="not_req_3"/>
      <sheetName val="Rd_Est"/>
      <sheetName val="C_D_Abs_Est_"/>
      <sheetName val="abs_road"/>
      <sheetName val="road_est"/>
      <sheetName val="GT_DUMP"/>
      <sheetName val="E_&amp;_R"/>
      <sheetName val="Lead_statement_ss5"/>
      <sheetName val="civ_data"/>
      <sheetName val="Ins_&amp;_Bonds"/>
      <sheetName val="A-3_1"/>
      <sheetName val="Client_req"/>
      <sheetName val="TS_memo"/>
      <sheetName val="hdpe_weights"/>
      <sheetName val="PVC_weights"/>
      <sheetName val="RMR_2008-09"/>
      <sheetName val="road_detail_est_"/>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t"/>
      <sheetName val="rdamdata"/>
      <sheetName val="leads"/>
      <sheetName val="v"/>
      <sheetName val="r"/>
      <sheetName val="HDPE"/>
      <sheetName val="pvc_basic"/>
      <sheetName val="wh"/>
      <sheetName val="Lead"/>
      <sheetName val="DATA_PRG"/>
      <sheetName val="Labour"/>
      <sheetName val="Material"/>
      <sheetName val="Plant &amp;  Machinery"/>
      <sheetName val="GEN-ABS Del"/>
      <sheetName val="Rates SSR 2008-09"/>
      <sheetName val="m"/>
      <sheetName val="DI"/>
      <sheetName val="pvc"/>
      <sheetName val="mlead"/>
      <sheetName val="MRATES"/>
      <sheetName val="Cover"/>
      <sheetName val="Rates"/>
      <sheetName val="abs road"/>
      <sheetName val="DATA"/>
      <sheetName val="mas_hab"/>
      <sheetName val=" Doors-Window (2)"/>
      <sheetName val="BALAN1"/>
      <sheetName val="Voucher"/>
      <sheetName val="FORM7"/>
      <sheetName val="RMR"/>
      <sheetName val="Staff Acco."/>
      <sheetName val="DATA-BASE"/>
      <sheetName val="DATA-ABSTRACT"/>
      <sheetName val="ewst"/>
      <sheetName val="BHANDUP"/>
      <sheetName val="Plant_&amp;__Machinery"/>
      <sheetName val="GEN-ABS_Del"/>
      <sheetName val="Rates_SSR_2008-09"/>
      <sheetName val="BTR"/>
      <sheetName val="Road data"/>
      <sheetName val="coverpage"/>
      <sheetName val="R_Det"/>
      <sheetName val="GT DUMP"/>
      <sheetName val="sancdump"/>
      <sheetName val="Lead statement ss5"/>
      <sheetName val="ONLINE DUMP"/>
      <sheetName val="pv cement"/>
      <sheetName val="POL"/>
      <sheetName val="PH RATE"/>
      <sheetName val="hdpe_basic"/>
      <sheetName val="TS memo"/>
      <sheetName val="GF SB Ok "/>
      <sheetName val="civ data"/>
      <sheetName val="PRECAST lightconc-II"/>
      <sheetName val="sectorwise"/>
      <sheetName val="road safety datas"/>
      <sheetName val="0000000000000"/>
      <sheetName val="DATA-2005-06"/>
      <sheetName val="m1"/>
      <sheetName val="not req 3"/>
      <sheetName val="C-data"/>
      <sheetName val="hdpe weights"/>
      <sheetName val="PVC weights"/>
      <sheetName val="index"/>
      <sheetName val="Sub -  Analysis"/>
      <sheetName val="Labour rates"/>
      <sheetName val="CABLE DATA"/>
      <sheetName val="Lead statement"/>
      <sheetName val="11.Habitations"/>
      <sheetName val="Sheet11"/>
      <sheetName val="Addl.40"/>
      <sheetName val="Summary"/>
      <sheetName val="Material "/>
      <sheetName val="Labour &amp; Plant"/>
      <sheetName val="Prjt"/>
      <sheetName val="Works"/>
      <sheetName val="Detailed"/>
      <sheetName val="face"/>
      <sheetName val="INPUT"/>
      <sheetName val="BidRequirement"/>
      <sheetName val="Road Detail Est."/>
      <sheetName val="maya"/>
      <sheetName val="ssr-rates"/>
      <sheetName val="t_prsr"/>
      <sheetName val="id"/>
      <sheetName val="bundqty"/>
      <sheetName val="Sheet5"/>
      <sheetName val="final abstract"/>
      <sheetName val="wh_data_R"/>
      <sheetName val="wh_data"/>
      <sheetName val="CPHEEO"/>
      <sheetName val="Data_Base"/>
      <sheetName val="Factory_rates"/>
      <sheetName val="Specification"/>
      <sheetName val="quarry"/>
      <sheetName val="Sheet3"/>
      <sheetName val="segments-details"/>
      <sheetName val="int-Dia-hdpe"/>
      <sheetName val="habs-list"/>
      <sheetName val="int-Dia-pvc"/>
      <sheetName val="MRoad data"/>
      <sheetName val="Boq"/>
      <sheetName val="Bitumen trunk"/>
      <sheetName val="Specification report"/>
      <sheetName val="Process"/>
      <sheetName val="Design"/>
      <sheetName val="Feeder"/>
      <sheetName val="R99 etc"/>
      <sheetName val="Trunk unpaved"/>
      <sheetName val="Buildings"/>
      <sheetName val="General"/>
      <sheetName val="Irrigation"/>
      <sheetName val="Hire"/>
      <sheetName val="Conveyance"/>
      <sheetName val="MRates R "/>
      <sheetName val="Plant_&amp;__Machinery1"/>
      <sheetName val="GEN-ABS_Del1"/>
      <sheetName val="Rates_SSR_2008-091"/>
      <sheetName val="Staff_Acco_"/>
      <sheetName val="abs_road"/>
      <sheetName val="_Doors-Window_(2)"/>
      <sheetName val="GT_DUMP"/>
      <sheetName val="Lead_statement_ss5"/>
      <sheetName val="ONLINE_DUMP"/>
      <sheetName val="pv_cement"/>
      <sheetName val="PH_RATE"/>
      <sheetName val="Road_data"/>
      <sheetName val="TS_memo"/>
      <sheetName val="not_req_3"/>
      <sheetName val="hdpe_weights"/>
      <sheetName val="PVC_weights"/>
      <sheetName val="GF_SB_Ok_"/>
    </sheetNames>
    <sheetDataSet>
      <sheetData sheetId="0">
        <row r="1">
          <cell r="JB1">
            <v>0</v>
          </cell>
        </row>
      </sheetData>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sheetData sheetId="92"/>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leads"/>
      <sheetName val="rdamdata"/>
      <sheetName val="ssr-rates"/>
      <sheetName val="Estimate "/>
      <sheetName val="HDPE"/>
      <sheetName val="Sheet3"/>
      <sheetName val="data existing_do not delete"/>
      <sheetName val="stone"/>
      <sheetName val="EDWise"/>
      <sheetName val="BHANDUP"/>
      <sheetName val="Quarry"/>
      <sheetName val="Line"/>
      <sheetName val="CRUST"/>
      <sheetName val="QDTS"/>
      <sheetName val="RMR"/>
      <sheetName val="Rates"/>
      <sheetName val="BTR"/>
      <sheetName val="Road data"/>
      <sheetName val="PRECAST lightconc-II"/>
      <sheetName val="Lead"/>
      <sheetName val="DI"/>
      <sheetName val="pvc"/>
      <sheetName val="ROADS"/>
      <sheetName val="labour"/>
      <sheetName val="Material"/>
      <sheetName val="Plant &amp;  Machinery"/>
      <sheetName val="civ data"/>
      <sheetName val="coverpage"/>
      <sheetName val="mlead"/>
      <sheetName val="Levels"/>
      <sheetName val="Road Detail Est."/>
      <sheetName val="data"/>
      <sheetName val="id"/>
      <sheetName val="wh"/>
      <sheetName val="pvc_basic"/>
      <sheetName val="overviewbarmer"/>
      <sheetName val="DATA_PRG"/>
      <sheetName val="Master_data"/>
      <sheetName val="C-data"/>
      <sheetName val="MRATES"/>
      <sheetName val="BALAN1"/>
      <sheetName val="Cover"/>
      <sheetName val="census91"/>
      <sheetName val="0000000000000"/>
      <sheetName val="maya"/>
      <sheetName val="Lead statement"/>
      <sheetName val="Nspt-smp-final-ORIGINAL"/>
      <sheetName val="DES"/>
      <sheetName val="HP PIPE  DATA"/>
      <sheetName val="SLAB  DATA"/>
      <sheetName val="Data o"/>
      <sheetName val="Boq"/>
      <sheetName val="C &amp; G RHS"/>
      <sheetName val="Estimate_"/>
      <sheetName val="PRECAST_lightconc-II"/>
      <sheetName val="data_existing_do_not_delete"/>
      <sheetName val="Road_data"/>
      <sheetName val="GenAbst"/>
      <sheetName val="Gen Abs"/>
      <sheetName val="GF SB Ok "/>
      <sheetName val="HDPE-pipe-rates"/>
      <sheetName val="pvc-pipe-rates"/>
      <sheetName val="splmidata"/>
      <sheetName val="ppraodata"/>
      <sheetName val="CONST"/>
      <sheetName val="m"/>
      <sheetName val="MRoad data"/>
      <sheetName val="AV-HDPE"/>
      <sheetName val="Di_gate-HDPE"/>
      <sheetName val="DISCOUNT"/>
      <sheetName val="t_prsr"/>
      <sheetName val="Common "/>
      <sheetName val="final abstract"/>
      <sheetName val="Basicrates"/>
      <sheetName val="mas_hab"/>
      <sheetName val="BLK3"/>
      <sheetName val="BLK2"/>
      <sheetName val="radar"/>
      <sheetName val="E &amp; R"/>
      <sheetName val="hdpe_basic"/>
      <sheetName val="11.Habitations"/>
      <sheetName val="bom"/>
      <sheetName val="Rate"/>
      <sheetName val="Sheet1 (2)"/>
      <sheetName val="Data.F8.BTR"/>
      <sheetName val="Proforma-I (2)"/>
      <sheetName val="PROCTOR"/>
      <sheetName val="abs road"/>
      <sheetName val="TS memo"/>
      <sheetName val="work_sheet"/>
      <sheetName val="segments-details"/>
      <sheetName val="int-Dia-hdpe"/>
      <sheetName val="habs-list"/>
      <sheetName val="int-Dia-pvc"/>
      <sheetName val="LEAD S 10-11"/>
      <sheetName val="Flight-1"/>
      <sheetName val="QTY"/>
      <sheetName val="R_Det"/>
      <sheetName val="Sheet2"/>
      <sheetName val="Rate Analysis"/>
      <sheetName val="SPT vs PHI"/>
      <sheetName val="wh_data_R"/>
      <sheetName val="wh_data"/>
      <sheetName val="CPHEEO"/>
      <sheetName val="input"/>
      <sheetName val="hdpe weights"/>
      <sheetName val="PVC weights"/>
      <sheetName val="DATA-BASE"/>
      <sheetName val="DATA-ABSTRACT"/>
      <sheetName val="sand"/>
      <sheetName val="clvrt_data"/>
      <sheetName val="GA"/>
      <sheetName val="hdpe-rates"/>
      <sheetName val="pvc-rates"/>
      <sheetName val="detls"/>
      <sheetName val=" data sheet "/>
      <sheetName val="Civil Boq"/>
      <sheetName val="Summary"/>
      <sheetName val="Note"/>
      <sheetName val="Specification"/>
      <sheetName val="analy"/>
      <sheetName val="basdat"/>
      <sheetName val="WITH STACKING CHARGES"/>
      <sheetName val="Table10"/>
      <sheetName val="Table11"/>
      <sheetName val="Table12"/>
      <sheetName val="SSR 2014-15 Rates"/>
      <sheetName val="not req 3"/>
      <sheetName val="DATA-2005-06"/>
      <sheetName val="ABS"/>
      <sheetName val="Abs_CD_2"/>
      <sheetName val="road est"/>
      <sheetName val="ECV"/>
      <sheetName val="Format-A (B)"/>
      <sheetName val="Format-A"/>
      <sheetName val="Format-A (HQ)"/>
      <sheetName val="Sheet2 (2)"/>
      <sheetName val="Format-A (S)"/>
      <sheetName val="UG"/>
      <sheetName val="Design"/>
      <sheetName val="Prjt"/>
      <sheetName val="suppl-data"/>
      <sheetName val="joinery data"/>
      <sheetName val="Master data"/>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Materials"/>
      <sheetName val="Conveyance"/>
      <sheetName val="Bitumen trunk"/>
      <sheetName val="Feeder"/>
      <sheetName val="R99 etc"/>
      <sheetName val="Trunk unpaved"/>
      <sheetName val="Data_Renuals"/>
      <sheetName val="Data_Base"/>
      <sheetName val="Labour rates"/>
      <sheetName val="Legal Risk Analysis"/>
      <sheetName val="Cover-MEstt."/>
      <sheetName val="bldg"/>
      <sheetName val="G F  (2)"/>
      <sheetName val="Main sheet"/>
      <sheetName val="G Hostel"/>
      <sheetName val="Main Bldg"/>
      <sheetName val="B Student Hostel"/>
      <sheetName val="B Resident Hostel"/>
      <sheetName val="Qtrs"/>
      <sheetName val="Kitchen&amp;Dining"/>
      <sheetName val="STP"/>
      <sheetName val="WTP"/>
      <sheetName val="Sump"/>
      <sheetName val="Sump (2)"/>
      <sheetName val="Compound wall"/>
      <sheetName val="Sheet1 (3)"/>
      <sheetName val="WATER-HAMMER"/>
      <sheetName val="Calc1"/>
      <sheetName val="organi synthesis lab"/>
      <sheetName val="Lead_statement"/>
      <sheetName val="GF_SB_Ok_"/>
      <sheetName val="Plant_&amp;__Machinery"/>
      <sheetName val="HP_PIPE__DATA"/>
      <sheetName val="SLAB__DATA"/>
      <sheetName val="MRoad_data"/>
      <sheetName val="C.D.Abs.Est."/>
      <sheetName val="ESTIMATE"/>
      <sheetName val="sectorwise"/>
      <sheetName val="PUMP_DATA"/>
      <sheetName val="Global factors"/>
      <sheetName val="Roadlist"/>
      <sheetName val="Estt"/>
      <sheetName val="Lead statement ss5"/>
      <sheetName val="Proforma -II "/>
      <sheetName val="Basic Rates"/>
      <sheetName val="Sent NHO"/>
      <sheetName val="MTC-estimate"/>
      <sheetName val="Cover Page"/>
      <sheetName val="Sub -  Analysis"/>
      <sheetName val=" Targets Homes site"/>
      <sheetName val="mrmecadamoad data"/>
      <sheetName val="labour coeff"/>
      <sheetName val="Specification report"/>
      <sheetName val="Process"/>
      <sheetName val="Datas"/>
      <sheetName val="C&amp;S monthwise"/>
      <sheetName val="C&amp;S"/>
      <sheetName val="CC"/>
      <sheetName val="General"/>
      <sheetName val="Works"/>
      <sheetName val="1"/>
      <sheetName val="2"/>
      <sheetName val="3"/>
      <sheetName val="4"/>
      <sheetName val="Estimate_1"/>
      <sheetName val="PRECAST_lightconc-II1"/>
      <sheetName val="data_existing_do_not_delete1"/>
      <sheetName val="Road_data1"/>
      <sheetName val="civ_data"/>
      <sheetName val="Road_Detail_Est_"/>
      <sheetName val="11_Habitations"/>
      <sheetName val="C_&amp;_G_RHS"/>
      <sheetName val="Sheet1_(2)"/>
      <sheetName val="Data_F8_BTR"/>
      <sheetName val="Proforma-I_(2)"/>
      <sheetName val="abs_road"/>
      <sheetName val="TS_memo"/>
      <sheetName val="not_req_3"/>
      <sheetName val="Data_o"/>
      <sheetName val="Common_"/>
      <sheetName val="final_abstract"/>
      <sheetName val="E_&amp;_R"/>
      <sheetName val="Rate_Analysis"/>
      <sheetName val="SPT_vs_PHI"/>
      <sheetName val="hdpe_weights"/>
      <sheetName val="PVC_weights"/>
      <sheetName val="_data_sheet_"/>
      <sheetName val="Civil_Boq"/>
      <sheetName val="WITH_STACKING_CHARGES"/>
    </sheetNames>
    <sheetDataSet>
      <sheetData sheetId="0">
        <row r="2">
          <cell r="F2">
            <v>100</v>
          </cell>
        </row>
      </sheetData>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refreshError="1"/>
      <sheetData sheetId="39" refreshError="1"/>
      <sheetData sheetId="40" refreshError="1"/>
      <sheetData sheetId="41" refreshError="1"/>
      <sheetData sheetId="42" refreshError="1"/>
      <sheetData sheetId="43"/>
      <sheetData sheetId="44"/>
      <sheetData sheetId="45"/>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ad"/>
      <sheetName val="leads"/>
      <sheetName val="rdamdata"/>
      <sheetName val="wh_data"/>
      <sheetName val="wh_data_R"/>
      <sheetName val="CPHEEO"/>
      <sheetName val="input"/>
      <sheetName val="Levels"/>
      <sheetName val="HDPE"/>
      <sheetName val="DI"/>
      <sheetName val="pvc"/>
      <sheetName val="Road Detail Est."/>
      <sheetName val="Road data"/>
      <sheetName val="EDWise"/>
      <sheetName val="Red oxide Primer Paint grade-II"/>
      <sheetName val="MRATES"/>
      <sheetName val="RMR"/>
      <sheetName val="Sheet1"/>
      <sheetName val="lead-st"/>
      <sheetName val="data"/>
      <sheetName val="Sheet1 (2)"/>
      <sheetName val="Material"/>
      <sheetName val="Plant &amp;  Machinery"/>
      <sheetName val="Labour"/>
      <sheetName val="Cover"/>
      <sheetName val="int-Dia-hdpe"/>
      <sheetName val="Design"/>
      <sheetName val="quarry"/>
      <sheetName val="mlead"/>
      <sheetName val="DATA-BASE"/>
      <sheetName val="DATA-ABSTRACT"/>
      <sheetName val="Data.F8.BTR"/>
      <sheetName val="Sheet2"/>
      <sheetName val="not req 3"/>
      <sheetName val="sup dat"/>
      <sheetName val="DATA_PRG"/>
      <sheetName val="Rates"/>
      <sheetName val="BTR"/>
      <sheetName val="Line"/>
      <sheetName val="dlvoid"/>
      <sheetName val="index"/>
      <sheetName val="BALAN1"/>
      <sheetName val="Work_sheet"/>
      <sheetName val="DATA ENTRY SHEET"/>
      <sheetName val="TOTAL DATA"/>
      <sheetName val="HP PIPE  DATA"/>
      <sheetName val="SLAB  DATA"/>
      <sheetName val="abs road"/>
      <sheetName val="coverpage"/>
      <sheetName val="m"/>
      <sheetName val="C.D.Abs.Est."/>
      <sheetName val="final abstract"/>
      <sheetName val="Intro"/>
      <sheetName val="Sheet1_(2)"/>
      <sheetName val="Plant_&amp;__Machinery"/>
      <sheetName val="Red_oxide_Primer_Paint_grade-II"/>
      <sheetName val="Road_Detail_Est_"/>
      <sheetName val="Road_data"/>
      <sheetName val="Data_F8_BTR"/>
      <sheetName val="pvc_basic"/>
      <sheetName val="MRoad data"/>
      <sheetName val="mas_hab"/>
      <sheetName val="GZL"/>
      <sheetName val="Bitumen trunk"/>
      <sheetName val="Feeder"/>
      <sheetName val="R99 etc"/>
      <sheetName val="Trunk unpaved"/>
      <sheetName val="Project cost"/>
      <sheetName val="Abs_CD_2"/>
      <sheetName val="road est"/>
      <sheetName val="ECV"/>
      <sheetName val="bom"/>
      <sheetName val="TS memo"/>
      <sheetName val="C-data"/>
      <sheetName val="hdpe_basic"/>
      <sheetName val="civ data"/>
      <sheetName val="road safety datas"/>
      <sheetName val="Data_Bit_I"/>
      <sheetName val="Bill_amt_qty_cc_1"/>
      <sheetName val="Side wall dsn Formula"/>
      <sheetName val="SPT vs PHI"/>
      <sheetName val="Lead statement"/>
      <sheetName val="SSR 2014-15 Rates"/>
      <sheetName val="detls"/>
      <sheetName val="FINAL DATA"/>
      <sheetName val="RA"/>
      <sheetName val="R_Det"/>
      <sheetName val="Mp-team 1"/>
      <sheetName val="Material "/>
      <sheetName val="Labour &amp; Plant"/>
      <sheetName val="Roadlist"/>
      <sheetName val="HDPE-pipe-rates"/>
      <sheetName val="pvc-pipe-rates"/>
      <sheetName val="DATA-2005-06"/>
      <sheetName val="maya"/>
      <sheetName val="Rubber Gaskets"/>
      <sheetName val="Dom"/>
      <sheetName val="Format-A (B)"/>
      <sheetName val="Format-A"/>
      <sheetName val="Format-A (HQ)"/>
      <sheetName val="Sheet2 (2)"/>
      <sheetName val="Format-A (S)"/>
      <sheetName val="Prjt"/>
      <sheetName val="BLK3"/>
      <sheetName val="BLK2"/>
      <sheetName val="E &amp; R"/>
      <sheetName val="radar"/>
      <sheetName val="UG"/>
      <sheetName val="ESTIMATE"/>
      <sheetName val="Data_Base"/>
      <sheetName val="SubAnlysis"/>
      <sheetName val="Summary"/>
      <sheetName val="SUMP1420KL@HW"/>
      <sheetName val="Exp"/>
      <sheetName val="Road data-TDR"/>
      <sheetName val="sheet9"/>
      <sheetName val="Global factors"/>
      <sheetName val="Datas"/>
      <sheetName val="Boq"/>
      <sheetName val="Process"/>
      <sheetName val="C&amp;S monthwise"/>
      <sheetName val="General"/>
      <sheetName val="Abs"/>
      <sheetName val="Red_oxide_Primer_Paint_grade-I1"/>
      <sheetName val="Sheet1_(2)1"/>
      <sheetName val="Plant_&amp;__Machinery1"/>
      <sheetName val="Road_Detail_Est_1"/>
      <sheetName val="Road_data1"/>
      <sheetName val="Data_F8_BTR1"/>
      <sheetName val="sup_dat"/>
      <sheetName val="not_req_3"/>
      <sheetName val="MRoad_data"/>
      <sheetName val="C_D_Abs_Est_"/>
      <sheetName val="DATA_ENTRY_SHEET"/>
      <sheetName val="TOTAL_DATA"/>
      <sheetName val="HP_PIPE__DATA"/>
      <sheetName val="SLAB__DATA"/>
      <sheetName val="Bitumen_trunk"/>
      <sheetName val="R99_etc"/>
      <sheetName val="Trunk_unpaved"/>
      <sheetName val="Project_cost"/>
      <sheetName val="final_abstract"/>
      <sheetName val="Lead_statement"/>
      <sheetName val="SSR_2014-15_Rates"/>
      <sheetName val="abs_road"/>
      <sheetName val="TS_memo"/>
      <sheetName val="Mp-team_1"/>
      <sheetName val="FINAL_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C6">
            <v>0</v>
          </cell>
          <cell r="D6">
            <v>2500</v>
          </cell>
          <cell r="E6" t="str">
            <v>/MT</v>
          </cell>
        </row>
        <row r="7">
          <cell r="A7">
            <v>6</v>
          </cell>
          <cell r="B7" t="str">
            <v>Steel</v>
          </cell>
          <cell r="C7">
            <v>0</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C14">
            <v>0</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D1">
            <v>0</v>
          </cell>
          <cell r="E1">
            <v>0</v>
          </cell>
          <cell r="F1" t="str">
            <v>DETAILS</v>
          </cell>
          <cell r="G1" t="str">
            <v>Unit</v>
          </cell>
          <cell r="H1" t="str">
            <v>PER</v>
          </cell>
          <cell r="I1" t="str">
            <v>RATE</v>
          </cell>
        </row>
        <row r="2">
          <cell r="B2">
            <v>1</v>
          </cell>
          <cell r="C2" t="str">
            <v>1ab</v>
          </cell>
          <cell r="D2">
            <v>0</v>
          </cell>
          <cell r="E2">
            <v>0</v>
          </cell>
          <cell r="F2" t="str">
            <v>1st Class Mason</v>
          </cell>
          <cell r="G2">
            <v>1</v>
          </cell>
          <cell r="H2" t="str">
            <v>each</v>
          </cell>
          <cell r="I2">
            <v>86</v>
          </cell>
        </row>
        <row r="3">
          <cell r="B3">
            <v>26</v>
          </cell>
          <cell r="C3">
            <v>17</v>
          </cell>
          <cell r="D3">
            <v>0</v>
          </cell>
          <cell r="E3">
            <v>0</v>
          </cell>
          <cell r="F3" t="str">
            <v>Spl.grade Mason</v>
          </cell>
          <cell r="G3">
            <v>1</v>
          </cell>
          <cell r="H3" t="str">
            <v>each</v>
          </cell>
          <cell r="I3">
            <v>0</v>
          </cell>
        </row>
        <row r="4">
          <cell r="B4">
            <v>28</v>
          </cell>
          <cell r="C4" t="str">
            <v>1a</v>
          </cell>
          <cell r="D4">
            <v>0</v>
          </cell>
          <cell r="E4">
            <v>0</v>
          </cell>
          <cell r="F4" t="str">
            <v>2nd Class Mason</v>
          </cell>
          <cell r="G4">
            <v>1</v>
          </cell>
          <cell r="H4" t="str">
            <v>each</v>
          </cell>
          <cell r="I4">
            <v>75</v>
          </cell>
        </row>
        <row r="5">
          <cell r="B5">
            <v>53</v>
          </cell>
          <cell r="C5">
            <v>2</v>
          </cell>
          <cell r="D5">
            <v>0</v>
          </cell>
          <cell r="E5">
            <v>0</v>
          </cell>
          <cell r="F5" t="str">
            <v>Man Mazdoor</v>
          </cell>
          <cell r="G5">
            <v>1</v>
          </cell>
          <cell r="H5" t="str">
            <v>each</v>
          </cell>
          <cell r="I5">
            <v>55</v>
          </cell>
        </row>
        <row r="6">
          <cell r="B6">
            <v>54</v>
          </cell>
          <cell r="C6">
            <v>3</v>
          </cell>
          <cell r="D6">
            <v>0</v>
          </cell>
          <cell r="E6">
            <v>0</v>
          </cell>
          <cell r="F6" t="str">
            <v>Woman Mazdoor</v>
          </cell>
          <cell r="G6">
            <v>1</v>
          </cell>
          <cell r="H6" t="str">
            <v>each</v>
          </cell>
          <cell r="I6">
            <v>55</v>
          </cell>
        </row>
        <row r="7">
          <cell r="B7">
            <v>60</v>
          </cell>
          <cell r="C7" t="str">
            <v>1a</v>
          </cell>
          <cell r="D7">
            <v>0</v>
          </cell>
          <cell r="E7">
            <v>0</v>
          </cell>
          <cell r="F7" t="str">
            <v>2nd Class Bricks</v>
          </cell>
          <cell r="G7">
            <v>1000</v>
          </cell>
          <cell r="H7" t="str">
            <v>Nos</v>
          </cell>
          <cell r="I7">
            <v>1200</v>
          </cell>
        </row>
        <row r="8">
          <cell r="B8">
            <v>67</v>
          </cell>
          <cell r="C8" t="str">
            <v>2c</v>
          </cell>
          <cell r="D8">
            <v>0</v>
          </cell>
          <cell r="E8">
            <v>0</v>
          </cell>
          <cell r="F8" t="str">
            <v>RR stone Granite Variety</v>
          </cell>
          <cell r="G8">
            <v>1</v>
          </cell>
          <cell r="H8" t="str">
            <v>cum</v>
          </cell>
          <cell r="I8">
            <v>75</v>
          </cell>
        </row>
        <row r="9">
          <cell r="B9">
            <v>72</v>
          </cell>
          <cell r="C9" t="str">
            <v>3a</v>
          </cell>
          <cell r="D9">
            <v>0</v>
          </cell>
          <cell r="E9">
            <v>0</v>
          </cell>
          <cell r="F9" t="str">
            <v>CR stone Granite Variety</v>
          </cell>
          <cell r="G9">
            <v>1</v>
          </cell>
          <cell r="H9" t="str">
            <v>cum</v>
          </cell>
          <cell r="I9">
            <v>109</v>
          </cell>
        </row>
        <row r="10">
          <cell r="B10">
            <v>80</v>
          </cell>
          <cell r="C10">
            <v>0</v>
          </cell>
          <cell r="D10">
            <v>0</v>
          </cell>
          <cell r="E10">
            <v>0</v>
          </cell>
          <cell r="F10" t="str">
            <v>6 mm SS</v>
          </cell>
          <cell r="G10">
            <v>1</v>
          </cell>
          <cell r="H10" t="str">
            <v>cum</v>
          </cell>
          <cell r="I10">
            <v>170</v>
          </cell>
        </row>
        <row r="11">
          <cell r="B11">
            <v>81</v>
          </cell>
          <cell r="C11">
            <v>0</v>
          </cell>
          <cell r="D11">
            <v>0</v>
          </cell>
          <cell r="E11">
            <v>0</v>
          </cell>
          <cell r="F11" t="str">
            <v>5 to 7 mm IRC</v>
          </cell>
          <cell r="G11">
            <v>1</v>
          </cell>
          <cell r="H11" t="str">
            <v>cum</v>
          </cell>
          <cell r="I11">
            <v>170</v>
          </cell>
        </row>
        <row r="12">
          <cell r="B12">
            <v>82</v>
          </cell>
          <cell r="C12">
            <v>0</v>
          </cell>
          <cell r="D12">
            <v>0</v>
          </cell>
          <cell r="E12">
            <v>0</v>
          </cell>
          <cell r="F12" t="str">
            <v>10 mm SS</v>
          </cell>
          <cell r="G12">
            <v>1</v>
          </cell>
          <cell r="H12" t="str">
            <v>cum</v>
          </cell>
          <cell r="I12">
            <v>250</v>
          </cell>
        </row>
        <row r="13">
          <cell r="B13">
            <v>83</v>
          </cell>
          <cell r="C13">
            <v>0</v>
          </cell>
          <cell r="D13">
            <v>0</v>
          </cell>
          <cell r="E13">
            <v>0</v>
          </cell>
          <cell r="F13" t="str">
            <v>10 to 11.2 IRC</v>
          </cell>
          <cell r="G13">
            <v>1</v>
          </cell>
          <cell r="H13" t="str">
            <v>cum</v>
          </cell>
          <cell r="I13">
            <v>250</v>
          </cell>
        </row>
        <row r="14">
          <cell r="B14">
            <v>84</v>
          </cell>
          <cell r="C14">
            <v>0</v>
          </cell>
          <cell r="D14">
            <v>0</v>
          </cell>
          <cell r="E14">
            <v>0</v>
          </cell>
          <cell r="F14" t="str">
            <v>12 mm SS</v>
          </cell>
          <cell r="G14">
            <v>1</v>
          </cell>
          <cell r="H14" t="str">
            <v>cum</v>
          </cell>
          <cell r="I14">
            <v>300</v>
          </cell>
        </row>
        <row r="15">
          <cell r="B15">
            <v>85</v>
          </cell>
          <cell r="C15">
            <v>0</v>
          </cell>
          <cell r="D15">
            <v>0</v>
          </cell>
          <cell r="E15">
            <v>0</v>
          </cell>
          <cell r="F15" t="str">
            <v>12 to 14 mm IRC</v>
          </cell>
          <cell r="G15">
            <v>1</v>
          </cell>
          <cell r="H15" t="str">
            <v>cum</v>
          </cell>
          <cell r="I15">
            <v>300</v>
          </cell>
        </row>
        <row r="16">
          <cell r="B16">
            <v>86</v>
          </cell>
          <cell r="C16">
            <v>0</v>
          </cell>
          <cell r="D16">
            <v>0</v>
          </cell>
          <cell r="E16">
            <v>0</v>
          </cell>
          <cell r="F16" t="str">
            <v>20 mm SS</v>
          </cell>
          <cell r="G16">
            <v>1</v>
          </cell>
          <cell r="H16" t="str">
            <v>cum</v>
          </cell>
          <cell r="I16">
            <v>380</v>
          </cell>
        </row>
        <row r="17">
          <cell r="B17">
            <v>87</v>
          </cell>
          <cell r="C17">
            <v>0</v>
          </cell>
          <cell r="D17">
            <v>0</v>
          </cell>
          <cell r="E17">
            <v>0</v>
          </cell>
          <cell r="F17" t="str">
            <v>20 to 22 mm IRC</v>
          </cell>
          <cell r="G17">
            <v>1</v>
          </cell>
          <cell r="H17" t="str">
            <v>cum</v>
          </cell>
          <cell r="I17">
            <v>375</v>
          </cell>
        </row>
        <row r="18">
          <cell r="B18">
            <v>88</v>
          </cell>
          <cell r="C18">
            <v>0</v>
          </cell>
          <cell r="D18">
            <v>0</v>
          </cell>
          <cell r="E18">
            <v>0</v>
          </cell>
          <cell r="F18" t="str">
            <v>25 mm SS</v>
          </cell>
          <cell r="G18">
            <v>1</v>
          </cell>
          <cell r="H18" t="str">
            <v>cum</v>
          </cell>
          <cell r="I18">
            <v>300</v>
          </cell>
        </row>
        <row r="19">
          <cell r="B19">
            <v>89</v>
          </cell>
          <cell r="C19">
            <v>0</v>
          </cell>
          <cell r="D19">
            <v>0</v>
          </cell>
          <cell r="E19">
            <v>0</v>
          </cell>
          <cell r="F19" t="str">
            <v>25 to 27 mm IRC</v>
          </cell>
          <cell r="G19">
            <v>1</v>
          </cell>
          <cell r="H19" t="str">
            <v>cum</v>
          </cell>
          <cell r="I19">
            <v>300</v>
          </cell>
        </row>
        <row r="20">
          <cell r="B20">
            <v>90</v>
          </cell>
          <cell r="C20">
            <v>0</v>
          </cell>
          <cell r="D20">
            <v>0</v>
          </cell>
          <cell r="E20">
            <v>0</v>
          </cell>
          <cell r="F20" t="str">
            <v>40 mm SS</v>
          </cell>
          <cell r="G20">
            <v>1</v>
          </cell>
          <cell r="H20" t="str">
            <v>cum</v>
          </cell>
          <cell r="I20">
            <v>215</v>
          </cell>
        </row>
        <row r="21">
          <cell r="B21">
            <v>91</v>
          </cell>
          <cell r="C21">
            <v>0</v>
          </cell>
          <cell r="D21">
            <v>0</v>
          </cell>
          <cell r="E21">
            <v>0</v>
          </cell>
          <cell r="F21" t="str">
            <v>40 to 45 mm IRC</v>
          </cell>
          <cell r="G21">
            <v>1</v>
          </cell>
          <cell r="H21" t="str">
            <v>cum</v>
          </cell>
          <cell r="I21">
            <v>200</v>
          </cell>
        </row>
        <row r="22">
          <cell r="B22">
            <v>92</v>
          </cell>
          <cell r="C22">
            <v>0</v>
          </cell>
          <cell r="D22">
            <v>0</v>
          </cell>
          <cell r="E22">
            <v>0</v>
          </cell>
          <cell r="F22" t="str">
            <v>50 mm SS</v>
          </cell>
          <cell r="G22">
            <v>1</v>
          </cell>
          <cell r="H22" t="str">
            <v>cum</v>
          </cell>
          <cell r="I22">
            <v>150</v>
          </cell>
        </row>
        <row r="23">
          <cell r="B23">
            <v>93</v>
          </cell>
          <cell r="C23">
            <v>0</v>
          </cell>
          <cell r="D23">
            <v>0</v>
          </cell>
          <cell r="E23">
            <v>0</v>
          </cell>
          <cell r="F23" t="str">
            <v>50 to 55mm IRC</v>
          </cell>
          <cell r="G23">
            <v>1</v>
          </cell>
          <cell r="H23" t="str">
            <v>cum</v>
          </cell>
          <cell r="I23">
            <v>120</v>
          </cell>
        </row>
        <row r="24">
          <cell r="B24">
            <v>94</v>
          </cell>
          <cell r="C24">
            <v>0</v>
          </cell>
          <cell r="D24">
            <v>0</v>
          </cell>
          <cell r="E24">
            <v>0</v>
          </cell>
          <cell r="F24" t="str">
            <v>60 mm SS</v>
          </cell>
          <cell r="G24">
            <v>1</v>
          </cell>
          <cell r="H24" t="str">
            <v>cum</v>
          </cell>
          <cell r="I24">
            <v>150</v>
          </cell>
        </row>
        <row r="25">
          <cell r="B25">
            <v>95</v>
          </cell>
          <cell r="C25">
            <v>0</v>
          </cell>
          <cell r="D25">
            <v>0</v>
          </cell>
          <cell r="E25">
            <v>0</v>
          </cell>
          <cell r="F25" t="str">
            <v>60 to 63 mm IRC</v>
          </cell>
          <cell r="G25">
            <v>1</v>
          </cell>
          <cell r="H25" t="str">
            <v>cum</v>
          </cell>
          <cell r="I25">
            <v>110</v>
          </cell>
        </row>
        <row r="26">
          <cell r="B26">
            <v>96</v>
          </cell>
          <cell r="C26">
            <v>0</v>
          </cell>
          <cell r="D26">
            <v>0</v>
          </cell>
          <cell r="E26">
            <v>0</v>
          </cell>
          <cell r="F26" t="str">
            <v>65 mm SS</v>
          </cell>
          <cell r="G26">
            <v>1</v>
          </cell>
          <cell r="H26" t="str">
            <v>cum</v>
          </cell>
          <cell r="I26">
            <v>150</v>
          </cell>
        </row>
        <row r="27">
          <cell r="B27">
            <v>97</v>
          </cell>
          <cell r="C27">
            <v>0</v>
          </cell>
          <cell r="D27">
            <v>0</v>
          </cell>
          <cell r="E27">
            <v>0</v>
          </cell>
          <cell r="F27" t="str">
            <v>65 mm IRC</v>
          </cell>
          <cell r="G27">
            <v>1</v>
          </cell>
          <cell r="H27" t="str">
            <v>cum</v>
          </cell>
          <cell r="I27">
            <v>120</v>
          </cell>
        </row>
        <row r="28">
          <cell r="B28">
            <v>98</v>
          </cell>
          <cell r="C28">
            <v>0</v>
          </cell>
          <cell r="D28">
            <v>0</v>
          </cell>
          <cell r="E28">
            <v>0</v>
          </cell>
          <cell r="F28" t="str">
            <v>75 mm SS</v>
          </cell>
          <cell r="G28">
            <v>1</v>
          </cell>
          <cell r="H28" t="str">
            <v>cum</v>
          </cell>
          <cell r="I28">
            <v>95</v>
          </cell>
        </row>
        <row r="29">
          <cell r="B29">
            <v>99</v>
          </cell>
          <cell r="C29">
            <v>0</v>
          </cell>
          <cell r="D29">
            <v>0</v>
          </cell>
          <cell r="E29">
            <v>0</v>
          </cell>
          <cell r="F29" t="str">
            <v>75 mm IRC</v>
          </cell>
          <cell r="G29">
            <v>1</v>
          </cell>
          <cell r="H29" t="str">
            <v>cum</v>
          </cell>
          <cell r="I29">
            <v>95</v>
          </cell>
        </row>
        <row r="30">
          <cell r="B30">
            <v>100</v>
          </cell>
          <cell r="C30">
            <v>0</v>
          </cell>
          <cell r="D30">
            <v>0</v>
          </cell>
          <cell r="E30">
            <v>0</v>
          </cell>
          <cell r="F30" t="str">
            <v>Blasting</v>
          </cell>
          <cell r="G30">
            <v>1</v>
          </cell>
          <cell r="H30" t="str">
            <v>cum</v>
          </cell>
          <cell r="I30">
            <v>40</v>
          </cell>
        </row>
        <row r="31">
          <cell r="B31">
            <v>101</v>
          </cell>
          <cell r="C31">
            <v>0</v>
          </cell>
          <cell r="D31">
            <v>0</v>
          </cell>
          <cell r="E31">
            <v>0</v>
          </cell>
          <cell r="F31" t="str">
            <v>Metal Crushing</v>
          </cell>
          <cell r="G31">
            <v>1</v>
          </cell>
          <cell r="H31" t="str">
            <v>cum</v>
          </cell>
          <cell r="I31">
            <v>0.25</v>
          </cell>
        </row>
        <row r="32">
          <cell r="B32">
            <v>127</v>
          </cell>
          <cell r="C32">
            <v>9</v>
          </cell>
          <cell r="D32">
            <v>0</v>
          </cell>
          <cell r="E32">
            <v>0</v>
          </cell>
          <cell r="F32" t="str">
            <v>Gravel</v>
          </cell>
          <cell r="G32">
            <v>1</v>
          </cell>
          <cell r="H32" t="str">
            <v>cum</v>
          </cell>
          <cell r="I32">
            <v>25</v>
          </cell>
        </row>
        <row r="33">
          <cell r="B33">
            <v>128</v>
          </cell>
          <cell r="C33">
            <v>0</v>
          </cell>
          <cell r="D33">
            <v>0</v>
          </cell>
          <cell r="E33">
            <v>0</v>
          </cell>
          <cell r="F33" t="str">
            <v>Quarry rubbish</v>
          </cell>
          <cell r="G33">
            <v>1</v>
          </cell>
          <cell r="H33" t="str">
            <v>cum</v>
          </cell>
          <cell r="I33">
            <v>11</v>
          </cell>
        </row>
        <row r="34">
          <cell r="B34">
            <v>129</v>
          </cell>
          <cell r="C34">
            <v>0</v>
          </cell>
          <cell r="D34">
            <v>0</v>
          </cell>
          <cell r="E34">
            <v>0</v>
          </cell>
          <cell r="F34" t="str">
            <v>Sand for Mortar, Seal coat</v>
          </cell>
          <cell r="G34">
            <v>1</v>
          </cell>
          <cell r="H34" t="str">
            <v>cum</v>
          </cell>
          <cell r="I34">
            <v>50</v>
          </cell>
        </row>
        <row r="35">
          <cell r="B35">
            <v>130</v>
          </cell>
          <cell r="C35">
            <v>0</v>
          </cell>
          <cell r="D35">
            <v>0</v>
          </cell>
          <cell r="E35">
            <v>0</v>
          </cell>
          <cell r="F35" t="str">
            <v>Sand for Filling, Blindage</v>
          </cell>
          <cell r="G35">
            <v>1</v>
          </cell>
          <cell r="H35" t="str">
            <v>cum</v>
          </cell>
          <cell r="I35">
            <v>20</v>
          </cell>
        </row>
        <row r="36">
          <cell r="B36">
            <v>133</v>
          </cell>
          <cell r="C36">
            <v>15</v>
          </cell>
          <cell r="D36">
            <v>0</v>
          </cell>
          <cell r="E36">
            <v>0</v>
          </cell>
          <cell r="F36" t="str">
            <v>40 mm thick 0.762 m x.457 m</v>
          </cell>
          <cell r="G36">
            <v>1</v>
          </cell>
          <cell r="H36" t="str">
            <v>sqm</v>
          </cell>
          <cell r="I36">
            <v>70</v>
          </cell>
        </row>
        <row r="37">
          <cell r="B37">
            <v>134</v>
          </cell>
          <cell r="C37">
            <v>16</v>
          </cell>
          <cell r="D37">
            <v>0</v>
          </cell>
          <cell r="E37">
            <v>0</v>
          </cell>
          <cell r="F37" t="str">
            <v>50 mm thick 0.762 m x.457 m</v>
          </cell>
          <cell r="G37">
            <v>1</v>
          </cell>
          <cell r="H37" t="str">
            <v>sqm</v>
          </cell>
          <cell r="I37">
            <v>80</v>
          </cell>
        </row>
        <row r="38">
          <cell r="B38">
            <v>136</v>
          </cell>
          <cell r="C38">
            <v>0</v>
          </cell>
          <cell r="D38">
            <v>0</v>
          </cell>
          <cell r="E38">
            <v>0</v>
          </cell>
          <cell r="F38" t="str">
            <v>25.4 mm thick White</v>
          </cell>
          <cell r="G38">
            <v>10</v>
          </cell>
          <cell r="H38" t="str">
            <v>sqm</v>
          </cell>
          <cell r="I38">
            <v>550</v>
          </cell>
        </row>
        <row r="39">
          <cell r="B39">
            <v>137</v>
          </cell>
          <cell r="C39">
            <v>0</v>
          </cell>
          <cell r="D39">
            <v>0</v>
          </cell>
          <cell r="E39">
            <v>0</v>
          </cell>
          <cell r="F39" t="str">
            <v>25.4 mm thick Blue</v>
          </cell>
          <cell r="G39">
            <v>10</v>
          </cell>
          <cell r="H39" t="str">
            <v>sqm</v>
          </cell>
          <cell r="I39">
            <v>600</v>
          </cell>
        </row>
        <row r="40">
          <cell r="B40">
            <v>138</v>
          </cell>
          <cell r="C40">
            <v>0</v>
          </cell>
          <cell r="D40">
            <v>0</v>
          </cell>
          <cell r="E40">
            <v>0</v>
          </cell>
          <cell r="F40" t="str">
            <v>25.4 mm thick White</v>
          </cell>
          <cell r="G40">
            <v>10</v>
          </cell>
          <cell r="H40" t="str">
            <v>sqm</v>
          </cell>
          <cell r="I40">
            <v>600</v>
          </cell>
        </row>
        <row r="41">
          <cell r="B41">
            <v>139</v>
          </cell>
          <cell r="C41">
            <v>0</v>
          </cell>
          <cell r="D41">
            <v>0</v>
          </cell>
          <cell r="E41">
            <v>0</v>
          </cell>
          <cell r="F41" t="str">
            <v>25.4 mm thick Blue</v>
          </cell>
          <cell r="G41">
            <v>10</v>
          </cell>
          <cell r="H41" t="str">
            <v>sqm</v>
          </cell>
          <cell r="I41">
            <v>700</v>
          </cell>
        </row>
        <row r="42">
          <cell r="B42">
            <v>140</v>
          </cell>
          <cell r="C42">
            <v>0</v>
          </cell>
          <cell r="D42">
            <v>0</v>
          </cell>
          <cell r="E42">
            <v>0</v>
          </cell>
          <cell r="F42" t="str">
            <v>25.4 mm thick White  0.457mx0.457 m</v>
          </cell>
          <cell r="G42">
            <v>10</v>
          </cell>
          <cell r="H42" t="str">
            <v>sqm</v>
          </cell>
          <cell r="I42">
            <v>1000</v>
          </cell>
        </row>
        <row r="43">
          <cell r="B43">
            <v>141</v>
          </cell>
          <cell r="C43">
            <v>0</v>
          </cell>
          <cell r="D43">
            <v>0</v>
          </cell>
          <cell r="E43">
            <v>0</v>
          </cell>
          <cell r="F43" t="str">
            <v>25.4 mm thick Blue  0.457mx0.457 m</v>
          </cell>
          <cell r="G43">
            <v>10</v>
          </cell>
          <cell r="H43" t="str">
            <v>sqm</v>
          </cell>
          <cell r="I43">
            <v>1150</v>
          </cell>
        </row>
        <row r="44">
          <cell r="B44">
            <v>142</v>
          </cell>
          <cell r="C44">
            <v>20</v>
          </cell>
          <cell r="D44">
            <v>0</v>
          </cell>
          <cell r="E44">
            <v>0</v>
          </cell>
          <cell r="F44" t="str">
            <v>25.4 mm thick   0.457mx0.457 m</v>
          </cell>
          <cell r="G44">
            <v>10</v>
          </cell>
          <cell r="H44" t="str">
            <v>sqm</v>
          </cell>
          <cell r="I44">
            <v>900</v>
          </cell>
        </row>
        <row r="45">
          <cell r="B45">
            <v>143</v>
          </cell>
          <cell r="C45">
            <v>21</v>
          </cell>
          <cell r="D45">
            <v>0</v>
          </cell>
          <cell r="E45">
            <v>0</v>
          </cell>
          <cell r="F45" t="str">
            <v>25.4 mm thick 0.254mx0.254 m White</v>
          </cell>
          <cell r="G45">
            <v>10</v>
          </cell>
          <cell r="H45" t="str">
            <v>sqm</v>
          </cell>
          <cell r="I45">
            <v>2700</v>
          </cell>
        </row>
        <row r="46">
          <cell r="B46">
            <v>168</v>
          </cell>
          <cell r="C46">
            <v>0</v>
          </cell>
          <cell r="D46">
            <v>0</v>
          </cell>
          <cell r="E46">
            <v>0</v>
          </cell>
          <cell r="F46" t="str">
            <v>Cement Mortar</v>
          </cell>
          <cell r="G46">
            <v>1</v>
          </cell>
          <cell r="H46" t="str">
            <v>cum</v>
          </cell>
          <cell r="I46">
            <v>15</v>
          </cell>
        </row>
        <row r="47">
          <cell r="B47">
            <v>169</v>
          </cell>
          <cell r="C47">
            <v>0</v>
          </cell>
          <cell r="D47">
            <v>0</v>
          </cell>
          <cell r="E47">
            <v>0</v>
          </cell>
          <cell r="F47" t="str">
            <v>By Machine</v>
          </cell>
          <cell r="G47">
            <v>1</v>
          </cell>
          <cell r="H47" t="str">
            <v>cum</v>
          </cell>
          <cell r="I47">
            <v>25</v>
          </cell>
        </row>
        <row r="48">
          <cell r="B48">
            <v>175</v>
          </cell>
          <cell r="C48">
            <v>0</v>
          </cell>
          <cell r="D48">
            <v>0</v>
          </cell>
          <cell r="E48">
            <v>0</v>
          </cell>
          <cell r="F48" t="str">
            <v>White Cement</v>
          </cell>
          <cell r="G48">
            <v>1</v>
          </cell>
          <cell r="H48" t="str">
            <v>kg</v>
          </cell>
          <cell r="I48">
            <v>9</v>
          </cell>
        </row>
        <row r="49">
          <cell r="B49">
            <v>176</v>
          </cell>
          <cell r="C49">
            <v>0</v>
          </cell>
          <cell r="D49">
            <v>0</v>
          </cell>
          <cell r="E49">
            <v>0</v>
          </cell>
          <cell r="F49" t="str">
            <v xml:space="preserve">Scantling below 2m </v>
          </cell>
          <cell r="G49">
            <v>1</v>
          </cell>
          <cell r="H49" t="str">
            <v>cum</v>
          </cell>
          <cell r="I49">
            <v>50000</v>
          </cell>
        </row>
        <row r="50">
          <cell r="B50">
            <v>177</v>
          </cell>
          <cell r="C50">
            <v>0</v>
          </cell>
          <cell r="D50">
            <v>0</v>
          </cell>
          <cell r="E50">
            <v>0</v>
          </cell>
          <cell r="F50" t="str">
            <v xml:space="preserve">Scantling above 2m </v>
          </cell>
          <cell r="G50">
            <v>1</v>
          </cell>
          <cell r="H50" t="str">
            <v>cum</v>
          </cell>
          <cell r="I50">
            <v>52000</v>
          </cell>
        </row>
        <row r="51">
          <cell r="B51">
            <v>178</v>
          </cell>
          <cell r="C51">
            <v>0</v>
          </cell>
          <cell r="D51">
            <v>0</v>
          </cell>
          <cell r="E51">
            <v>0</v>
          </cell>
          <cell r="F51" t="str">
            <v>Planks of all sizes</v>
          </cell>
          <cell r="G51">
            <v>1</v>
          </cell>
          <cell r="H51" t="str">
            <v>cum</v>
          </cell>
          <cell r="I51">
            <v>55000</v>
          </cell>
        </row>
        <row r="52">
          <cell r="B52">
            <v>176</v>
          </cell>
          <cell r="C52">
            <v>0</v>
          </cell>
          <cell r="D52">
            <v>0</v>
          </cell>
          <cell r="E52">
            <v>0</v>
          </cell>
          <cell r="F52" t="str">
            <v xml:space="preserve">Scantling below 2m </v>
          </cell>
          <cell r="G52">
            <v>1</v>
          </cell>
          <cell r="H52" t="str">
            <v>cum</v>
          </cell>
          <cell r="I52">
            <v>40000</v>
          </cell>
        </row>
        <row r="53">
          <cell r="B53">
            <v>177</v>
          </cell>
          <cell r="C53">
            <v>0</v>
          </cell>
          <cell r="D53">
            <v>0</v>
          </cell>
          <cell r="E53">
            <v>0</v>
          </cell>
          <cell r="F53" t="str">
            <v xml:space="preserve">Scantling above 2m </v>
          </cell>
          <cell r="G53">
            <v>1</v>
          </cell>
          <cell r="H53" t="str">
            <v>cum</v>
          </cell>
          <cell r="I53">
            <v>42000</v>
          </cell>
        </row>
        <row r="54">
          <cell r="B54">
            <v>178</v>
          </cell>
          <cell r="C54">
            <v>0</v>
          </cell>
          <cell r="D54">
            <v>0</v>
          </cell>
          <cell r="E54">
            <v>0</v>
          </cell>
          <cell r="F54" t="str">
            <v>Planks of all sizes</v>
          </cell>
          <cell r="G54">
            <v>1</v>
          </cell>
          <cell r="H54" t="str">
            <v>cum</v>
          </cell>
          <cell r="I54">
            <v>45000</v>
          </cell>
        </row>
        <row r="55">
          <cell r="B55">
            <v>187</v>
          </cell>
          <cell r="C55">
            <v>0</v>
          </cell>
          <cell r="D55">
            <v>0</v>
          </cell>
          <cell r="E55">
            <v>0</v>
          </cell>
          <cell r="F55" t="str">
            <v>Steel fabrication</v>
          </cell>
          <cell r="G55">
            <v>1</v>
          </cell>
          <cell r="H55" t="str">
            <v>kg</v>
          </cell>
          <cell r="I55">
            <v>3.25</v>
          </cell>
        </row>
        <row r="56">
          <cell r="B56">
            <v>234</v>
          </cell>
          <cell r="C56">
            <v>0</v>
          </cell>
          <cell r="D56">
            <v>0</v>
          </cell>
          <cell r="E56">
            <v>0</v>
          </cell>
          <cell r="F56" t="str">
            <v>25 mm thick</v>
          </cell>
          <cell r="G56">
            <v>1</v>
          </cell>
          <cell r="H56" t="str">
            <v>sqm</v>
          </cell>
          <cell r="I56">
            <v>80</v>
          </cell>
        </row>
        <row r="57">
          <cell r="B57">
            <v>235</v>
          </cell>
          <cell r="C57">
            <v>0</v>
          </cell>
          <cell r="D57">
            <v>0</v>
          </cell>
          <cell r="E57">
            <v>0</v>
          </cell>
          <cell r="F57" t="str">
            <v>40 mm thick</v>
          </cell>
          <cell r="G57">
            <v>1</v>
          </cell>
          <cell r="H57" t="str">
            <v>sqm</v>
          </cell>
          <cell r="I57">
            <v>105</v>
          </cell>
        </row>
        <row r="58">
          <cell r="B58">
            <v>236</v>
          </cell>
          <cell r="C58">
            <v>0</v>
          </cell>
          <cell r="D58">
            <v>0</v>
          </cell>
          <cell r="E58">
            <v>0</v>
          </cell>
          <cell r="F58" t="str">
            <v>50 mm thick</v>
          </cell>
          <cell r="G58">
            <v>1</v>
          </cell>
          <cell r="H58" t="str">
            <v>sqm</v>
          </cell>
          <cell r="I58">
            <v>140</v>
          </cell>
        </row>
        <row r="59">
          <cell r="B59">
            <v>239</v>
          </cell>
          <cell r="C59">
            <v>0</v>
          </cell>
          <cell r="D59">
            <v>0</v>
          </cell>
          <cell r="E59">
            <v>0</v>
          </cell>
          <cell r="F59" t="str">
            <v>Dry powder Distemper</v>
          </cell>
          <cell r="G59">
            <v>1</v>
          </cell>
          <cell r="H59" t="str">
            <v>kg</v>
          </cell>
          <cell r="I59">
            <v>20</v>
          </cell>
        </row>
        <row r="60">
          <cell r="B60">
            <v>240</v>
          </cell>
          <cell r="C60">
            <v>0</v>
          </cell>
          <cell r="D60">
            <v>0</v>
          </cell>
          <cell r="E60">
            <v>0</v>
          </cell>
          <cell r="F60" t="str">
            <v>Oil bound washable Distemper</v>
          </cell>
          <cell r="G60">
            <v>1</v>
          </cell>
          <cell r="H60" t="str">
            <v>kg</v>
          </cell>
          <cell r="I60">
            <v>60</v>
          </cell>
        </row>
        <row r="61">
          <cell r="B61">
            <v>245</v>
          </cell>
          <cell r="C61">
            <v>0</v>
          </cell>
          <cell r="D61">
            <v>0</v>
          </cell>
          <cell r="E61">
            <v>0</v>
          </cell>
          <cell r="F61" t="str">
            <v>Alluminium paint 1st grade</v>
          </cell>
          <cell r="G61">
            <v>1</v>
          </cell>
          <cell r="H61" t="str">
            <v>litre</v>
          </cell>
          <cell r="I61">
            <v>176</v>
          </cell>
        </row>
        <row r="62">
          <cell r="B62">
            <v>246</v>
          </cell>
          <cell r="C62">
            <v>0</v>
          </cell>
          <cell r="D62">
            <v>0</v>
          </cell>
          <cell r="E62">
            <v>0</v>
          </cell>
          <cell r="F62" t="str">
            <v>Anti corrosive bitument pain (Black) grade -1</v>
          </cell>
          <cell r="G62">
            <v>1</v>
          </cell>
          <cell r="H62" t="str">
            <v>litre</v>
          </cell>
          <cell r="I62">
            <v>250</v>
          </cell>
        </row>
        <row r="63">
          <cell r="B63">
            <v>247</v>
          </cell>
          <cell r="C63">
            <v>0</v>
          </cell>
          <cell r="D63">
            <v>0</v>
          </cell>
          <cell r="E63">
            <v>0</v>
          </cell>
          <cell r="F63" t="str">
            <v>Red oxide Primer Paint grade-I</v>
          </cell>
          <cell r="G63">
            <v>1</v>
          </cell>
          <cell r="H63" t="str">
            <v>litre</v>
          </cell>
          <cell r="I63">
            <v>55</v>
          </cell>
        </row>
        <row r="64">
          <cell r="B64">
            <v>248</v>
          </cell>
          <cell r="C64">
            <v>0</v>
          </cell>
          <cell r="D64">
            <v>0</v>
          </cell>
          <cell r="E64">
            <v>0</v>
          </cell>
          <cell r="F64" t="str">
            <v>Red oxide Primer Paint grade-II</v>
          </cell>
          <cell r="G64">
            <v>1</v>
          </cell>
          <cell r="H64" t="str">
            <v>litre</v>
          </cell>
          <cell r="I64">
            <v>45</v>
          </cell>
        </row>
        <row r="65">
          <cell r="B65">
            <v>249</v>
          </cell>
          <cell r="C65">
            <v>0</v>
          </cell>
          <cell r="D65">
            <v>0</v>
          </cell>
          <cell r="E65">
            <v>0</v>
          </cell>
          <cell r="F65" t="str">
            <v>Synthetic enamel paints in all shades grade-I</v>
          </cell>
          <cell r="G65">
            <v>1</v>
          </cell>
          <cell r="H65" t="str">
            <v>litre</v>
          </cell>
          <cell r="I65">
            <v>130</v>
          </cell>
        </row>
        <row r="66">
          <cell r="B66">
            <v>250</v>
          </cell>
          <cell r="C66">
            <v>0</v>
          </cell>
          <cell r="D66">
            <v>0</v>
          </cell>
          <cell r="E66">
            <v>0</v>
          </cell>
          <cell r="F66" t="str">
            <v>Synthetic enamel paints in all shades grade-II</v>
          </cell>
          <cell r="G66">
            <v>1</v>
          </cell>
          <cell r="H66" t="str">
            <v>litre</v>
          </cell>
          <cell r="I66">
            <v>95</v>
          </cell>
        </row>
        <row r="67">
          <cell r="B67">
            <v>251</v>
          </cell>
          <cell r="C67">
            <v>0</v>
          </cell>
          <cell r="D67">
            <v>0</v>
          </cell>
          <cell r="E67">
            <v>0</v>
          </cell>
          <cell r="F67" t="str">
            <v>Plastic emultion paint grade-I</v>
          </cell>
          <cell r="G67">
            <v>1</v>
          </cell>
          <cell r="H67" t="str">
            <v>litre</v>
          </cell>
          <cell r="I67">
            <v>200</v>
          </cell>
        </row>
        <row r="68">
          <cell r="B68">
            <v>252</v>
          </cell>
          <cell r="C68">
            <v>63</v>
          </cell>
          <cell r="D68">
            <v>0</v>
          </cell>
          <cell r="E68">
            <v>0</v>
          </cell>
          <cell r="F68" t="str">
            <v>Oil Bound Distemper</v>
          </cell>
          <cell r="G68">
            <v>1</v>
          </cell>
          <cell r="H68" t="str">
            <v>kg</v>
          </cell>
          <cell r="I68">
            <v>40</v>
          </cell>
        </row>
        <row r="69">
          <cell r="B69">
            <v>253</v>
          </cell>
          <cell r="C69">
            <v>64</v>
          </cell>
          <cell r="D69">
            <v>0</v>
          </cell>
          <cell r="E69">
            <v>0</v>
          </cell>
          <cell r="F69" t="str">
            <v>Water proof cement paint of Superior Quality</v>
          </cell>
          <cell r="G69">
            <v>1</v>
          </cell>
          <cell r="H69" t="str">
            <v>kg</v>
          </cell>
          <cell r="I69">
            <v>30</v>
          </cell>
        </row>
        <row r="70">
          <cell r="B70">
            <v>254</v>
          </cell>
          <cell r="C70">
            <v>65</v>
          </cell>
          <cell r="D70">
            <v>0</v>
          </cell>
          <cell r="E70">
            <v>0</v>
          </cell>
          <cell r="F70" t="str">
            <v>White lead</v>
          </cell>
          <cell r="G70">
            <v>1</v>
          </cell>
          <cell r="H70" t="str">
            <v>kg</v>
          </cell>
          <cell r="I70">
            <v>50</v>
          </cell>
        </row>
        <row r="71">
          <cell r="B71">
            <v>255</v>
          </cell>
          <cell r="C71">
            <v>66</v>
          </cell>
          <cell r="D71">
            <v>0</v>
          </cell>
          <cell r="E71">
            <v>0</v>
          </cell>
          <cell r="F71" t="str">
            <v>Marble powder</v>
          </cell>
          <cell r="G71">
            <v>1</v>
          </cell>
          <cell r="H71" t="str">
            <v>kg</v>
          </cell>
          <cell r="I71">
            <v>12.5</v>
          </cell>
        </row>
        <row r="72">
          <cell r="B72">
            <v>256</v>
          </cell>
          <cell r="C72">
            <v>67</v>
          </cell>
          <cell r="D72">
            <v>0</v>
          </cell>
          <cell r="E72">
            <v>0</v>
          </cell>
          <cell r="F72" t="str">
            <v>Cement Primer grade-I</v>
          </cell>
          <cell r="G72">
            <v>1</v>
          </cell>
          <cell r="H72" t="str">
            <v>kg</v>
          </cell>
          <cell r="I72">
            <v>65</v>
          </cell>
        </row>
        <row r="73">
          <cell r="B73">
            <v>257</v>
          </cell>
          <cell r="C73">
            <v>0</v>
          </cell>
          <cell r="D73">
            <v>0</v>
          </cell>
          <cell r="E73">
            <v>0</v>
          </cell>
          <cell r="F73" t="str">
            <v>Cement Primer grade-II</v>
          </cell>
          <cell r="G73">
            <v>1</v>
          </cell>
          <cell r="H73" t="str">
            <v>kg</v>
          </cell>
          <cell r="I73">
            <v>50</v>
          </cell>
        </row>
        <row r="74">
          <cell r="B74">
            <v>274</v>
          </cell>
          <cell r="C74">
            <v>0</v>
          </cell>
          <cell r="D74" t="str">
            <v>b</v>
          </cell>
          <cell r="E74">
            <v>0</v>
          </cell>
          <cell r="F74" t="str">
            <v>Fevicol</v>
          </cell>
          <cell r="G74">
            <v>1</v>
          </cell>
          <cell r="H74" t="str">
            <v>kg</v>
          </cell>
          <cell r="I74">
            <v>100</v>
          </cell>
        </row>
        <row r="75">
          <cell r="B75">
            <v>352</v>
          </cell>
          <cell r="C75">
            <v>0</v>
          </cell>
          <cell r="D75" t="str">
            <v>a</v>
          </cell>
          <cell r="E75">
            <v>0</v>
          </cell>
          <cell r="F75" t="str">
            <v>Clearing heavy jungle</v>
          </cell>
          <cell r="G75">
            <v>10</v>
          </cell>
          <cell r="H75" t="str">
            <v>sqm</v>
          </cell>
          <cell r="I75">
            <v>6</v>
          </cell>
        </row>
        <row r="76">
          <cell r="B76">
            <v>353</v>
          </cell>
          <cell r="C76">
            <v>0</v>
          </cell>
          <cell r="D76" t="str">
            <v>b</v>
          </cell>
          <cell r="E76">
            <v>0</v>
          </cell>
          <cell r="F76" t="str">
            <v>Clearing Light jungle</v>
          </cell>
          <cell r="G76">
            <v>10</v>
          </cell>
          <cell r="H76" t="str">
            <v>sqm</v>
          </cell>
          <cell r="I76">
            <v>5</v>
          </cell>
        </row>
        <row r="77">
          <cell r="B77">
            <v>354</v>
          </cell>
          <cell r="C77">
            <v>0</v>
          </cell>
          <cell r="D77" t="str">
            <v>c</v>
          </cell>
          <cell r="E77">
            <v>0</v>
          </cell>
          <cell r="F77" t="str">
            <v>Clearing Scrub jungle</v>
          </cell>
          <cell r="G77">
            <v>10</v>
          </cell>
          <cell r="H77" t="str">
            <v>sqm</v>
          </cell>
          <cell r="I77">
            <v>3</v>
          </cell>
        </row>
        <row r="78">
          <cell r="B78">
            <v>355</v>
          </cell>
          <cell r="C78">
            <v>0</v>
          </cell>
          <cell r="D78" t="str">
            <v>d</v>
          </cell>
          <cell r="E78">
            <v>0</v>
          </cell>
          <cell r="F78" t="str">
            <v xml:space="preserve">Cleaing Julie flora </v>
          </cell>
          <cell r="G78">
            <v>10</v>
          </cell>
          <cell r="H78" t="str">
            <v>sqm</v>
          </cell>
          <cell r="I78">
            <v>14</v>
          </cell>
        </row>
        <row r="79">
          <cell r="B79">
            <v>408</v>
          </cell>
          <cell r="C79">
            <v>0</v>
          </cell>
          <cell r="D79" t="str">
            <v>a</v>
          </cell>
          <cell r="E79">
            <v>0</v>
          </cell>
          <cell r="F79" t="str">
            <v>Loamy &amp; Clay soils like BC soils, Red earth &amp; OG SS 302 &amp; 303</v>
          </cell>
          <cell r="G79">
            <v>10</v>
          </cell>
          <cell r="H79" t="str">
            <v>cum</v>
          </cell>
          <cell r="I79">
            <v>235</v>
          </cell>
        </row>
        <row r="80">
          <cell r="B80">
            <v>409</v>
          </cell>
          <cell r="C80">
            <v>0</v>
          </cell>
          <cell r="D80">
            <v>0</v>
          </cell>
          <cell r="E80">
            <v>0</v>
          </cell>
          <cell r="F80" t="str">
            <v>Loamy &amp; Clay soils like BC soils, Red earth &amp; OG SS 301</v>
          </cell>
          <cell r="G80">
            <v>10</v>
          </cell>
          <cell r="H80" t="str">
            <v>cum</v>
          </cell>
          <cell r="I80">
            <v>215</v>
          </cell>
        </row>
        <row r="81">
          <cell r="B81">
            <v>412</v>
          </cell>
          <cell r="C81">
            <v>0</v>
          </cell>
          <cell r="D81">
            <v>0</v>
          </cell>
          <cell r="E81">
            <v>0</v>
          </cell>
          <cell r="F81" t="str">
            <v>Hard Gravelly Soils SS 302 &amp; 303</v>
          </cell>
          <cell r="G81">
            <v>10</v>
          </cell>
          <cell r="H81" t="str">
            <v>cum</v>
          </cell>
          <cell r="I81">
            <v>250</v>
          </cell>
        </row>
        <row r="82">
          <cell r="B82">
            <v>413</v>
          </cell>
          <cell r="C82">
            <v>0</v>
          </cell>
          <cell r="D82">
            <v>0</v>
          </cell>
          <cell r="E82">
            <v>0</v>
          </cell>
          <cell r="F82" t="str">
            <v>Hard Gravelly Soils SS 301</v>
          </cell>
          <cell r="G82">
            <v>10</v>
          </cell>
          <cell r="H82" t="str">
            <v>cum</v>
          </cell>
          <cell r="I82">
            <v>230</v>
          </cell>
        </row>
        <row r="83">
          <cell r="B83">
            <v>459</v>
          </cell>
          <cell r="C83">
            <v>35</v>
          </cell>
          <cell r="D83">
            <v>0</v>
          </cell>
          <cell r="E83">
            <v>0</v>
          </cell>
          <cell r="F83" t="str">
            <v>Vibrating Concrete</v>
          </cell>
          <cell r="G83">
            <v>1</v>
          </cell>
          <cell r="H83" t="str">
            <v>cum</v>
          </cell>
          <cell r="I83">
            <v>22.4</v>
          </cell>
        </row>
        <row r="84">
          <cell r="B84">
            <v>460</v>
          </cell>
          <cell r="C84">
            <v>36</v>
          </cell>
          <cell r="D84">
            <v>0</v>
          </cell>
          <cell r="E84">
            <v>0</v>
          </cell>
          <cell r="F84" t="str">
            <v>Machine mixing Concrete</v>
          </cell>
          <cell r="G84">
            <v>1</v>
          </cell>
          <cell r="H84" t="str">
            <v>cum</v>
          </cell>
          <cell r="I84">
            <v>21.8</v>
          </cell>
        </row>
        <row r="85">
          <cell r="B85">
            <v>461</v>
          </cell>
          <cell r="C85">
            <v>37</v>
          </cell>
          <cell r="D85">
            <v>0</v>
          </cell>
          <cell r="E85">
            <v>0</v>
          </cell>
          <cell r="F85" t="str">
            <v>Power for Mixer</v>
          </cell>
          <cell r="G85">
            <v>1</v>
          </cell>
          <cell r="H85" t="str">
            <v>cum</v>
          </cell>
          <cell r="I85">
            <v>14.5</v>
          </cell>
        </row>
        <row r="86">
          <cell r="B86">
            <v>495</v>
          </cell>
          <cell r="C86">
            <v>40</v>
          </cell>
          <cell r="D86" t="str">
            <v>a</v>
          </cell>
          <cell r="E86">
            <v>0</v>
          </cell>
          <cell r="F86" t="str">
            <v>First Floor</v>
          </cell>
          <cell r="G86">
            <v>1</v>
          </cell>
          <cell r="H86" t="str">
            <v>cum</v>
          </cell>
          <cell r="I86">
            <v>22</v>
          </cell>
        </row>
        <row r="87">
          <cell r="B87">
            <v>496</v>
          </cell>
          <cell r="C87">
            <v>0</v>
          </cell>
          <cell r="D87" t="str">
            <v>b</v>
          </cell>
          <cell r="E87">
            <v>0</v>
          </cell>
          <cell r="F87" t="str">
            <v>Second Floor</v>
          </cell>
          <cell r="G87">
            <v>1</v>
          </cell>
          <cell r="H87" t="str">
            <v>cum</v>
          </cell>
          <cell r="I87">
            <v>27</v>
          </cell>
        </row>
        <row r="88">
          <cell r="B88">
            <v>497</v>
          </cell>
          <cell r="C88">
            <v>0</v>
          </cell>
          <cell r="D88" t="str">
            <v>c</v>
          </cell>
          <cell r="E88">
            <v>0</v>
          </cell>
          <cell r="F88" t="str">
            <v>Third Floor</v>
          </cell>
          <cell r="G88">
            <v>1</v>
          </cell>
          <cell r="H88" t="str">
            <v>cum</v>
          </cell>
          <cell r="I88">
            <v>37</v>
          </cell>
        </row>
        <row r="89">
          <cell r="B89">
            <v>498</v>
          </cell>
          <cell r="C89">
            <v>0</v>
          </cell>
          <cell r="D89" t="str">
            <v>d</v>
          </cell>
          <cell r="E89">
            <v>0</v>
          </cell>
          <cell r="F89" t="str">
            <v>Each Additional Floor</v>
          </cell>
          <cell r="G89">
            <v>1</v>
          </cell>
          <cell r="H89" t="str">
            <v>cum</v>
          </cell>
          <cell r="I89">
            <v>16</v>
          </cell>
        </row>
        <row r="90">
          <cell r="B90">
            <v>499</v>
          </cell>
          <cell r="C90">
            <v>0</v>
          </cell>
          <cell r="D90" t="str">
            <v>a</v>
          </cell>
          <cell r="E90">
            <v>0</v>
          </cell>
          <cell r="F90" t="str">
            <v>1st &amp; 2nd Floor</v>
          </cell>
          <cell r="G90">
            <v>10</v>
          </cell>
          <cell r="H90" t="str">
            <v>sqm</v>
          </cell>
          <cell r="I90">
            <v>25</v>
          </cell>
        </row>
        <row r="91">
          <cell r="B91">
            <v>500</v>
          </cell>
          <cell r="C91">
            <v>0</v>
          </cell>
          <cell r="D91" t="str">
            <v>b</v>
          </cell>
          <cell r="E91">
            <v>0</v>
          </cell>
          <cell r="F91" t="str">
            <v>2nd &amp; 3rd Floor</v>
          </cell>
          <cell r="G91">
            <v>10</v>
          </cell>
          <cell r="H91" t="str">
            <v>sqm</v>
          </cell>
          <cell r="I91">
            <v>50</v>
          </cell>
        </row>
        <row r="92">
          <cell r="B92">
            <v>501</v>
          </cell>
          <cell r="C92">
            <v>0</v>
          </cell>
          <cell r="D92" t="str">
            <v>c</v>
          </cell>
          <cell r="E92">
            <v>0</v>
          </cell>
          <cell r="F92" t="str">
            <v>3rd &amp; 4th Floor</v>
          </cell>
          <cell r="G92">
            <v>10</v>
          </cell>
          <cell r="H92" t="str">
            <v>sqm</v>
          </cell>
          <cell r="I92">
            <v>75</v>
          </cell>
        </row>
        <row r="93">
          <cell r="B93">
            <v>502</v>
          </cell>
          <cell r="C93">
            <v>0</v>
          </cell>
          <cell r="D93" t="str">
            <v>d</v>
          </cell>
          <cell r="E93">
            <v>0</v>
          </cell>
          <cell r="F93" t="str">
            <v>Each Additional Floor</v>
          </cell>
          <cell r="G93">
            <v>10</v>
          </cell>
          <cell r="H93" t="str">
            <v>sqm</v>
          </cell>
          <cell r="I93">
            <v>18</v>
          </cell>
        </row>
        <row r="94">
          <cell r="B94">
            <v>503</v>
          </cell>
          <cell r="C94">
            <v>0</v>
          </cell>
          <cell r="D94" t="str">
            <v>a</v>
          </cell>
          <cell r="E94">
            <v>0</v>
          </cell>
          <cell r="F94" t="str">
            <v>upto 150 mm depth</v>
          </cell>
          <cell r="G94">
            <v>10</v>
          </cell>
          <cell r="H94" t="str">
            <v>sqm</v>
          </cell>
          <cell r="I94">
            <v>525</v>
          </cell>
        </row>
        <row r="95">
          <cell r="B95">
            <v>504</v>
          </cell>
          <cell r="C95">
            <v>0</v>
          </cell>
          <cell r="D95" t="str">
            <v>b</v>
          </cell>
          <cell r="E95">
            <v>0</v>
          </cell>
          <cell r="F95" t="str">
            <v>above 150 mm depth and upto 300 mm depth</v>
          </cell>
          <cell r="G95">
            <v>10</v>
          </cell>
          <cell r="H95" t="str">
            <v>sqm</v>
          </cell>
          <cell r="I95">
            <v>850</v>
          </cell>
        </row>
        <row r="96">
          <cell r="B96">
            <v>510</v>
          </cell>
          <cell r="C96">
            <v>0</v>
          </cell>
          <cell r="D96" t="str">
            <v>g</v>
          </cell>
          <cell r="E96" t="str">
            <v xml:space="preserve">i </v>
          </cell>
          <cell r="F96" t="str">
            <v>0.60 m width</v>
          </cell>
          <cell r="G96">
            <v>1</v>
          </cell>
          <cell r="H96" t="str">
            <v>rmt</v>
          </cell>
          <cell r="I96">
            <v>25</v>
          </cell>
        </row>
        <row r="97">
          <cell r="B97">
            <v>511</v>
          </cell>
          <cell r="C97">
            <v>0</v>
          </cell>
          <cell r="D97" t="str">
            <v>g</v>
          </cell>
          <cell r="E97" t="str">
            <v>ii</v>
          </cell>
          <cell r="F97" t="str">
            <v>0.80 m width</v>
          </cell>
          <cell r="G97">
            <v>1</v>
          </cell>
          <cell r="H97" t="str">
            <v>rmt</v>
          </cell>
          <cell r="I97">
            <v>30</v>
          </cell>
        </row>
        <row r="98">
          <cell r="B98">
            <v>512</v>
          </cell>
          <cell r="C98">
            <v>0</v>
          </cell>
          <cell r="D98" t="str">
            <v>g</v>
          </cell>
          <cell r="E98" t="str">
            <v>iii</v>
          </cell>
          <cell r="F98" t="str">
            <v>1.00 m width</v>
          </cell>
          <cell r="G98">
            <v>1</v>
          </cell>
          <cell r="H98" t="str">
            <v>rmt</v>
          </cell>
          <cell r="I98">
            <v>35</v>
          </cell>
        </row>
        <row r="99">
          <cell r="B99">
            <v>513</v>
          </cell>
          <cell r="C99">
            <v>0</v>
          </cell>
          <cell r="D99" t="str">
            <v>h</v>
          </cell>
          <cell r="E99">
            <v>0</v>
          </cell>
          <cell r="F99" t="str">
            <v>T.Beams</v>
          </cell>
          <cell r="G99">
            <v>1</v>
          </cell>
          <cell r="H99" t="str">
            <v>cum</v>
          </cell>
          <cell r="I99">
            <v>650</v>
          </cell>
        </row>
        <row r="100">
          <cell r="B100">
            <v>514</v>
          </cell>
          <cell r="C100">
            <v>0</v>
          </cell>
          <cell r="D100">
            <v>0</v>
          </cell>
          <cell r="E100">
            <v>0</v>
          </cell>
          <cell r="F100" t="str">
            <v>Columns, Rectangular beams, L.Beams</v>
          </cell>
          <cell r="G100">
            <v>1</v>
          </cell>
          <cell r="H100" t="str">
            <v>cum</v>
          </cell>
          <cell r="I100">
            <v>550</v>
          </cell>
        </row>
        <row r="101">
          <cell r="B101">
            <v>515</v>
          </cell>
          <cell r="C101">
            <v>0</v>
          </cell>
          <cell r="D101">
            <v>0</v>
          </cell>
          <cell r="E101">
            <v>0</v>
          </cell>
          <cell r="F101" t="str">
            <v>Templates, Bed blocks,Footings</v>
          </cell>
          <cell r="G101">
            <v>1</v>
          </cell>
          <cell r="H101" t="str">
            <v>cum</v>
          </cell>
          <cell r="I101">
            <v>330</v>
          </cell>
        </row>
        <row r="102">
          <cell r="B102">
            <v>518</v>
          </cell>
          <cell r="C102">
            <v>0</v>
          </cell>
          <cell r="D102">
            <v>0</v>
          </cell>
          <cell r="E102">
            <v>0</v>
          </cell>
          <cell r="F102" t="str">
            <v>Lintels, Plinth Beams</v>
          </cell>
          <cell r="G102">
            <v>1</v>
          </cell>
          <cell r="H102" t="str">
            <v>cum</v>
          </cell>
          <cell r="I102">
            <v>450</v>
          </cell>
        </row>
        <row r="103">
          <cell r="B103">
            <v>519</v>
          </cell>
          <cell r="C103">
            <v>0</v>
          </cell>
          <cell r="D103">
            <v>0</v>
          </cell>
          <cell r="E103">
            <v>0</v>
          </cell>
          <cell r="F103" t="str">
            <v>Slabs above 300 mm depth</v>
          </cell>
          <cell r="G103">
            <v>1</v>
          </cell>
          <cell r="H103" t="str">
            <v>cum</v>
          </cell>
          <cell r="I103">
            <v>520</v>
          </cell>
        </row>
        <row r="104">
          <cell r="B104">
            <v>521</v>
          </cell>
          <cell r="C104">
            <v>0</v>
          </cell>
          <cell r="D104" t="str">
            <v>a</v>
          </cell>
          <cell r="E104">
            <v>0</v>
          </cell>
          <cell r="F104" t="str">
            <v>For mass concrete Piers, Abutments and steining well curb well caps etc.,</v>
          </cell>
          <cell r="G104">
            <v>1</v>
          </cell>
          <cell r="H104" t="str">
            <v>cum</v>
          </cell>
          <cell r="I104">
            <v>380</v>
          </cell>
        </row>
        <row r="105">
          <cell r="B105">
            <v>522</v>
          </cell>
          <cell r="C105">
            <v>0</v>
          </cell>
          <cell r="D105">
            <v>0</v>
          </cell>
          <cell r="E105">
            <v>0</v>
          </cell>
          <cell r="F105" t="str">
            <v>For RCC Piers, Abutments, Wings, Well steining weel curbs, well Caps etc.,</v>
          </cell>
          <cell r="G105">
            <v>1</v>
          </cell>
          <cell r="H105" t="str">
            <v>cum</v>
          </cell>
          <cell r="I105">
            <v>500</v>
          </cell>
        </row>
        <row r="106">
          <cell r="B106">
            <v>523</v>
          </cell>
          <cell r="C106">
            <v>0</v>
          </cell>
          <cell r="D106">
            <v>0</v>
          </cell>
          <cell r="E106">
            <v>0</v>
          </cell>
          <cell r="F106" t="str">
            <v>For RCC Deck Slabs</v>
          </cell>
          <cell r="G106">
            <v>1</v>
          </cell>
          <cell r="H106" t="str">
            <v>cum</v>
          </cell>
          <cell r="I106">
            <v>950</v>
          </cell>
        </row>
        <row r="107">
          <cell r="B107">
            <v>524</v>
          </cell>
          <cell r="C107">
            <v>0</v>
          </cell>
          <cell r="D107">
            <v>0</v>
          </cell>
          <cell r="E107">
            <v>0</v>
          </cell>
          <cell r="F107" t="str">
            <v>For RCC beams</v>
          </cell>
          <cell r="G107">
            <v>1</v>
          </cell>
          <cell r="H107" t="str">
            <v>cum</v>
          </cell>
          <cell r="I107">
            <v>1150</v>
          </cell>
        </row>
        <row r="108">
          <cell r="B108">
            <v>525</v>
          </cell>
          <cell r="C108">
            <v>0</v>
          </cell>
          <cell r="D108">
            <v>0</v>
          </cell>
          <cell r="E108">
            <v>0</v>
          </cell>
          <cell r="F108" t="str">
            <v>RCC hand rails</v>
          </cell>
          <cell r="G108">
            <v>1</v>
          </cell>
          <cell r="H108" t="str">
            <v>cum</v>
          </cell>
          <cell r="I108">
            <v>1250</v>
          </cell>
        </row>
        <row r="109">
          <cell r="B109">
            <v>526</v>
          </cell>
          <cell r="C109">
            <v>0</v>
          </cell>
          <cell r="D109">
            <v>0</v>
          </cell>
          <cell r="E109">
            <v>0</v>
          </cell>
          <cell r="F109" t="str">
            <v>CC pavements, Wearing Coats, approach slabs guide stone JM stone etc.</v>
          </cell>
          <cell r="G109">
            <v>1</v>
          </cell>
          <cell r="H109" t="str">
            <v>cum</v>
          </cell>
          <cell r="I109">
            <v>95</v>
          </cell>
        </row>
        <row r="110">
          <cell r="B110">
            <v>555</v>
          </cell>
          <cell r="C110">
            <v>0</v>
          </cell>
          <cell r="D110" t="str">
            <v>a</v>
          </cell>
          <cell r="E110">
            <v>0</v>
          </cell>
          <cell r="F110" t="str">
            <v>250 mm dia</v>
          </cell>
          <cell r="G110">
            <v>1</v>
          </cell>
          <cell r="H110" t="str">
            <v>rmt</v>
          </cell>
          <cell r="I110">
            <v>8</v>
          </cell>
        </row>
        <row r="111">
          <cell r="B111">
            <v>556</v>
          </cell>
          <cell r="C111">
            <v>0</v>
          </cell>
          <cell r="D111" t="str">
            <v>b</v>
          </cell>
          <cell r="E111">
            <v>0</v>
          </cell>
          <cell r="F111" t="str">
            <v>300 mm dia</v>
          </cell>
          <cell r="G111">
            <v>1</v>
          </cell>
          <cell r="H111" t="str">
            <v>rmt</v>
          </cell>
          <cell r="I111">
            <v>11</v>
          </cell>
        </row>
        <row r="112">
          <cell r="B112">
            <v>557</v>
          </cell>
          <cell r="C112">
            <v>0</v>
          </cell>
          <cell r="D112" t="str">
            <v>c</v>
          </cell>
          <cell r="E112">
            <v>0</v>
          </cell>
          <cell r="F112" t="str">
            <v>450 mm dia</v>
          </cell>
          <cell r="G112">
            <v>1</v>
          </cell>
          <cell r="H112" t="str">
            <v>rmt</v>
          </cell>
          <cell r="I112">
            <v>15</v>
          </cell>
        </row>
        <row r="113">
          <cell r="B113">
            <v>558</v>
          </cell>
          <cell r="C113">
            <v>0</v>
          </cell>
          <cell r="D113" t="str">
            <v>d</v>
          </cell>
          <cell r="E113">
            <v>0</v>
          </cell>
          <cell r="F113" t="str">
            <v>600 mm dia</v>
          </cell>
          <cell r="G113">
            <v>1</v>
          </cell>
          <cell r="H113" t="str">
            <v>rmt</v>
          </cell>
          <cell r="I113">
            <v>25</v>
          </cell>
        </row>
        <row r="114">
          <cell r="B114">
            <v>559</v>
          </cell>
          <cell r="C114">
            <v>0</v>
          </cell>
          <cell r="D114" t="str">
            <v>e</v>
          </cell>
          <cell r="E114">
            <v>0</v>
          </cell>
          <cell r="F114" t="str">
            <v>750 mm dia</v>
          </cell>
          <cell r="G114">
            <v>1</v>
          </cell>
          <cell r="H114" t="str">
            <v>rmt</v>
          </cell>
          <cell r="I114">
            <v>30</v>
          </cell>
        </row>
        <row r="115">
          <cell r="B115">
            <v>560</v>
          </cell>
          <cell r="C115">
            <v>0</v>
          </cell>
          <cell r="D115" t="str">
            <v>f</v>
          </cell>
          <cell r="E115">
            <v>0</v>
          </cell>
          <cell r="F115" t="str">
            <v>800 mm dia</v>
          </cell>
          <cell r="G115">
            <v>1</v>
          </cell>
          <cell r="H115" t="str">
            <v>rmt</v>
          </cell>
          <cell r="I115">
            <v>35</v>
          </cell>
        </row>
        <row r="116">
          <cell r="B116">
            <v>561</v>
          </cell>
          <cell r="C116">
            <v>0</v>
          </cell>
          <cell r="D116" t="str">
            <v>g</v>
          </cell>
          <cell r="E116">
            <v>0</v>
          </cell>
          <cell r="F116" t="str">
            <v>1000 mm dia</v>
          </cell>
          <cell r="G116">
            <v>1</v>
          </cell>
          <cell r="H116" t="str">
            <v>rmt</v>
          </cell>
          <cell r="I116">
            <v>40</v>
          </cell>
        </row>
        <row r="117">
          <cell r="B117">
            <v>562</v>
          </cell>
          <cell r="C117">
            <v>0</v>
          </cell>
          <cell r="D117" t="str">
            <v>h</v>
          </cell>
          <cell r="E117">
            <v>0</v>
          </cell>
          <cell r="F117" t="str">
            <v>1220 mm dia</v>
          </cell>
          <cell r="G117">
            <v>1</v>
          </cell>
          <cell r="H117" t="str">
            <v>rmt</v>
          </cell>
          <cell r="I117">
            <v>50</v>
          </cell>
        </row>
        <row r="118">
          <cell r="B118">
            <v>563</v>
          </cell>
          <cell r="C118">
            <v>0</v>
          </cell>
          <cell r="D118" t="str">
            <v>a</v>
          </cell>
          <cell r="E118">
            <v>0</v>
          </cell>
          <cell r="F118" t="str">
            <v>40 mm</v>
          </cell>
          <cell r="G118">
            <v>1</v>
          </cell>
          <cell r="H118" t="str">
            <v>sqm</v>
          </cell>
          <cell r="I118">
            <v>29</v>
          </cell>
        </row>
        <row r="119">
          <cell r="B119">
            <v>564</v>
          </cell>
          <cell r="C119">
            <v>0</v>
          </cell>
          <cell r="D119" t="str">
            <v>b</v>
          </cell>
          <cell r="E119">
            <v>0</v>
          </cell>
          <cell r="F119" t="str">
            <v>50 mm</v>
          </cell>
          <cell r="G119">
            <v>1</v>
          </cell>
          <cell r="H119" t="str">
            <v>sqm</v>
          </cell>
          <cell r="I119">
            <v>31</v>
          </cell>
        </row>
        <row r="120">
          <cell r="B120">
            <v>565</v>
          </cell>
          <cell r="C120">
            <v>0</v>
          </cell>
          <cell r="D120" t="str">
            <v>c</v>
          </cell>
          <cell r="E120">
            <v>0</v>
          </cell>
          <cell r="F120" t="str">
            <v>75 mm</v>
          </cell>
          <cell r="G120">
            <v>1</v>
          </cell>
          <cell r="H120" t="str">
            <v>sqm</v>
          </cell>
          <cell r="I120">
            <v>34</v>
          </cell>
        </row>
        <row r="121">
          <cell r="B121">
            <v>566</v>
          </cell>
          <cell r="C121">
            <v>0</v>
          </cell>
          <cell r="D121" t="str">
            <v>d</v>
          </cell>
          <cell r="E121">
            <v>0</v>
          </cell>
          <cell r="F121" t="str">
            <v>100 mm</v>
          </cell>
          <cell r="G121">
            <v>1</v>
          </cell>
          <cell r="H121" t="str">
            <v>sqm</v>
          </cell>
          <cell r="I121">
            <v>36</v>
          </cell>
        </row>
        <row r="122">
          <cell r="B122">
            <v>570</v>
          </cell>
          <cell r="C122">
            <v>52</v>
          </cell>
          <cell r="D122">
            <v>0</v>
          </cell>
          <cell r="E122">
            <v>0</v>
          </cell>
          <cell r="F122" t="str">
            <v>Picking 50mm to 100mm old metalled surface and sectioning</v>
          </cell>
          <cell r="G122">
            <v>10</v>
          </cell>
          <cell r="H122" t="str">
            <v>sqm</v>
          </cell>
          <cell r="I122">
            <v>10</v>
          </cell>
        </row>
        <row r="123">
          <cell r="B123">
            <v>571</v>
          </cell>
          <cell r="C123">
            <v>53</v>
          </cell>
          <cell r="D123">
            <v>0</v>
          </cell>
          <cell r="E123">
            <v>0</v>
          </cell>
          <cell r="F123" t="str">
            <v>Picking gravelled surface 25mm deep and levelling and sectioning</v>
          </cell>
          <cell r="G123">
            <v>10</v>
          </cell>
          <cell r="H123" t="str">
            <v>sqm</v>
          </cell>
          <cell r="I123">
            <v>2.5</v>
          </cell>
        </row>
        <row r="124">
          <cell r="B124">
            <v>572</v>
          </cell>
          <cell r="C124">
            <v>54</v>
          </cell>
          <cell r="D124">
            <v>0</v>
          </cell>
          <cell r="E124">
            <v>0</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sheetData sheetId="139" refreshError="1"/>
      <sheetData sheetId="140"/>
      <sheetData sheetId="141"/>
      <sheetData sheetId="142"/>
      <sheetData sheetId="143"/>
      <sheetData sheetId="144"/>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leads"/>
      <sheetName val="#REF"/>
      <sheetName val="Lead statement ss5"/>
      <sheetName val="v"/>
      <sheetName val="r"/>
      <sheetName val="#REF!"/>
      <sheetName val="Sheet1"/>
      <sheetName val="CDdata_(2)"/>
      <sheetName val="cwaydata_(2)"/>
      <sheetName val="CDdata_(3)"/>
      <sheetName val="Lead_statement_ss5"/>
      <sheetName val="lead_st"/>
      <sheetName val="CDdata_(2)1"/>
      <sheetName val="cwaydata_(2)1"/>
      <sheetName val="CDdata_(3)1"/>
      <sheetName val="data-WC"/>
      <sheetName val="DATA"/>
      <sheetName val="Labour"/>
      <sheetName val="CDdata_(2)5"/>
      <sheetName val="cwaydata_(2)5"/>
      <sheetName val="CDdata_(3)5"/>
      <sheetName val="Lead_statement_ss53"/>
      <sheetName val="CDdata_(2)3"/>
      <sheetName val="cwaydata_(2)3"/>
      <sheetName val="CDdata_(3)3"/>
      <sheetName val="CDdata_(2)2"/>
      <sheetName val="cwaydata_(2)2"/>
      <sheetName val="CDdata_(3)2"/>
      <sheetName val="Lead_statement_ss51"/>
      <sheetName val="CDdata_(2)4"/>
      <sheetName val="cwaydata_(2)4"/>
      <sheetName val="CDdata_(3)4"/>
      <sheetName val="Lead_statement_ss52"/>
      <sheetName val="Rates"/>
      <sheetName val="Road data"/>
      <sheetName val="Common "/>
      <sheetName val="Data-ELSR"/>
      <sheetName val="Mortars"/>
      <sheetName val="MRATES"/>
      <sheetName val="Material"/>
      <sheetName val="Usage"/>
      <sheetName val="General"/>
      <sheetName val="Lead statement"/>
      <sheetName val="hdpe_basic"/>
      <sheetName val="pvc_basic"/>
      <sheetName val="HDPE"/>
      <sheetName val="DI"/>
      <sheetName val="pvc"/>
      <sheetName val="CD works"/>
      <sheetName val="SUMP1420KL@HW"/>
      <sheetName val="Sheet2"/>
      <sheetName val="coverpage"/>
      <sheetName val="1V800"/>
      <sheetName val="Lead"/>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ABS"/>
      <sheetName val="Data.F8.BTR"/>
      <sheetName val="mlead"/>
      <sheetName val="DATA-BASE"/>
      <sheetName val="DATA-ABSTRACT"/>
      <sheetName val="final abstract"/>
      <sheetName val="RMR"/>
      <sheetName val="Summary"/>
      <sheetName val="DATA_PRG"/>
      <sheetName val="Main sheet"/>
      <sheetName val="Quotes"/>
      <sheetName val="work_sheet"/>
      <sheetName val="Levels"/>
      <sheetName val="maya"/>
      <sheetName val="BALAN1"/>
      <sheetName val="Plant &amp;  Machinery"/>
      <sheetName val="abs road"/>
      <sheetName val="sand"/>
      <sheetName val="stone"/>
      <sheetName val="index"/>
      <sheetName val="Boq"/>
      <sheetName val="BS8007"/>
      <sheetName val="Deck Slab"/>
      <sheetName val="CDdata_(2)6"/>
      <sheetName val="cwaydata_(2)6"/>
      <sheetName val="CDdata_(3)6"/>
      <sheetName val="Lead_statement_ss54"/>
      <sheetName val="Common_"/>
      <sheetName val="Lead_statement"/>
      <sheetName val="CD_works"/>
      <sheetName val="Road_data"/>
      <sheetName val="t_prsr"/>
      <sheetName val="id"/>
      <sheetName val="Detailed Estimate"/>
      <sheetName val="MRoad data"/>
      <sheetName val="m"/>
      <sheetName val="bom"/>
      <sheetName val="clvrt_data"/>
      <sheetName val="wh"/>
      <sheetName val="PVC_dia"/>
      <sheetName val="Rate"/>
      <sheetName val="ONLINE DUMP"/>
      <sheetName val="sancdump"/>
      <sheetName val="INPUT"/>
      <sheetName val="Quarry"/>
      <sheetName val="SSR 2014-15 Rates"/>
      <sheetName val="wh_data"/>
      <sheetName val="CPHEEO"/>
      <sheetName val="wh_data_R"/>
      <sheetName val="Sheet1 (2)"/>
      <sheetName val="Cover"/>
      <sheetName val="segments-details"/>
      <sheetName val="habs-list"/>
      <sheetName val="int-Dia-hdpe"/>
      <sheetName val="int-Dia-pvc"/>
      <sheetName val="BTR"/>
      <sheetName val="C.D.Abs.Est."/>
      <sheetName val="HDPE-pipe-rates"/>
      <sheetName val="pvc-pipe-rates"/>
      <sheetName val="detls"/>
      <sheetName val="Valves"/>
      <sheetName val="MS Rates"/>
      <sheetName val="PRECAST lightconc-II"/>
      <sheetName val="Road Detail Est."/>
      <sheetName val="DISCOUNT"/>
      <sheetName val="JAWAHAR-hyd-original"/>
      <sheetName val="DATA-2005-06"/>
      <sheetName val="civil-works"/>
      <sheetName val=" Data -Valves"/>
      <sheetName val="04REL"/>
      <sheetName val="Format-A (B)"/>
      <sheetName val="Format-A"/>
      <sheetName val="Format-A (HQ)"/>
      <sheetName val="Sheet2 (2)"/>
      <sheetName val="Format-A (S)"/>
      <sheetName val="PH data"/>
      <sheetName val="(4)F-81 Exp.side"/>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FACE"/>
      <sheetName val="CC Road"/>
      <sheetName val="Census_of_India_2001"/>
      <sheetName val="rate analysis "/>
      <sheetName val="INPUT-DATA"/>
      <sheetName val="Pier Design(with offset)"/>
      <sheetName val="Relig-place"/>
      <sheetName val="Check List"/>
      <sheetName val="Recovery"/>
      <sheetName val="HYDRAULICS"/>
      <sheetName val="Designs"/>
      <sheetName val="DataInput"/>
      <sheetName val="DataInput-1"/>
      <sheetName val="DI Rate Analysis"/>
      <sheetName val="Economic RisingMain  Ph-I"/>
      <sheetName val="1-Pop Proj"/>
      <sheetName val="Sheet3-1"/>
      <sheetName val="LIST"/>
      <sheetName val="Area Sheet NO 1"/>
      <sheetName val="N- Ward Codes"/>
      <sheetName val="STAMT"/>
      <sheetName val="data existing_do not delete"/>
      <sheetName val="CONNECT"/>
      <sheetName val="WTP-Pr"/>
      <sheetName val="EDWise"/>
      <sheetName val="slab"/>
      <sheetName val="DREV"/>
      <sheetName val="CREV"/>
      <sheetName val="Sheet9"/>
      <sheetName val="LLEGADA"/>
      <sheetName val="app2"/>
      <sheetName val="AV-HDPE"/>
      <sheetName val="Di_gate-HDPE"/>
      <sheetName val="R_Det"/>
      <sheetName val="habcodes"/>
      <sheetName val="SubAnlysis"/>
      <sheetName val="SubAnalysis"/>
      <sheetName val="Design"/>
      <sheetName val="Sketch"/>
      <sheetName val="Specification"/>
      <sheetName val="PUMP_DATA"/>
      <sheetName val="PROCTOR"/>
      <sheetName val="data_sein"/>
      <sheetName val="Sanction dump"/>
      <sheetName val="civ data"/>
      <sheetName val="0000000000000"/>
      <sheetName val="l"/>
      <sheetName val="Nspt-smp-final-ORIGINAL"/>
      <sheetName val="Gen Info"/>
      <sheetName val="Process"/>
      <sheetName val="Datas"/>
      <sheetName val="Fee Rate Summary"/>
      <sheetName val="CDdata_(2)7"/>
      <sheetName val="cwaydata_(2)7"/>
      <sheetName val="CDdata_(3)7"/>
      <sheetName val="Lead_statement_ss55"/>
      <sheetName val="Road_data1"/>
      <sheetName val="Common_1"/>
      <sheetName val="Lead_statement1"/>
      <sheetName val="CD_works1"/>
      <sheetName val="Main_sheet"/>
      <sheetName val="1__Add"/>
      <sheetName val="2__Fill"/>
      <sheetName val="3__Split"/>
      <sheetName val="4__Transpose"/>
      <sheetName val="5__Sort_&amp;_filter"/>
      <sheetName val="6__Tables"/>
      <sheetName val="7__Drop-downs"/>
      <sheetName val="8__Analyze"/>
      <sheetName val="9__Charts"/>
      <sheetName val="10__PivotTables"/>
      <sheetName val="Learn_more"/>
      <sheetName val="Cover_Page"/>
      <sheetName val="Sp__Rep_"/>
      <sheetName val="Sp_Rep_2"/>
      <sheetName val="CC_est_3_00_lakhs"/>
      <sheetName val="Drain_est"/>
      <sheetName val="Input_Sheet_3_00_L"/>
      <sheetName val="Sp__Rep__(wrk_dne)"/>
      <sheetName val="CC_est_80+20_(work_done)"/>
      <sheetName val="CC_est_80+20"/>
      <sheetName val="Input_Sheet_80+20"/>
      <sheetName val="comp_report"/>
      <sheetName val="CC_Road_data"/>
      <sheetName val="Drain_DATA"/>
      <sheetName val="Sp__Rep__(2)"/>
      <sheetName val="Work_done"/>
      <sheetName val="New_lead2"/>
      <sheetName val="Base_Course_"/>
      <sheetName val="Data_F8_BTR"/>
      <sheetName val="final_abstract"/>
      <sheetName val="Plant_&amp;__Machinery"/>
      <sheetName val="MRoad_data"/>
      <sheetName val="abs_road"/>
      <sheetName val="Deck_Slab"/>
      <sheetName val="SSR_2014-15_Rates"/>
      <sheetName val="ONLINE_DUMP"/>
      <sheetName val="Detailed_Estimate"/>
      <sheetName val="MS_Rates"/>
      <sheetName val="C_D_Abs_Est_"/>
    </sheetNames>
    <sheetDataSet>
      <sheetData sheetId="0">
        <row r="6">
          <cell r="J6">
            <v>336.1</v>
          </cell>
        </row>
      </sheetData>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ow r="1">
          <cell r="B1">
            <v>0</v>
          </cell>
        </row>
      </sheetData>
      <sheetData sheetId="40">
        <row r="1">
          <cell r="B1">
            <v>0</v>
          </cell>
        </row>
      </sheetData>
      <sheetData sheetId="41">
        <row r="1">
          <cell r="B1">
            <v>0</v>
          </cell>
        </row>
      </sheetData>
      <sheetData sheetId="42">
        <row r="1">
          <cell r="B1">
            <v>0</v>
          </cell>
        </row>
      </sheetData>
      <sheetData sheetId="43">
        <row r="1">
          <cell r="B1">
            <v>0</v>
          </cell>
        </row>
      </sheetData>
      <sheetData sheetId="44">
        <row r="1">
          <cell r="B1">
            <v>0</v>
          </cell>
        </row>
      </sheetData>
      <sheetData sheetId="45">
        <row r="1">
          <cell r="B1">
            <v>0</v>
          </cell>
        </row>
      </sheetData>
      <sheetData sheetId="46">
        <row r="1">
          <cell r="B1">
            <v>0</v>
          </cell>
        </row>
      </sheetData>
      <sheetData sheetId="47">
        <row r="1">
          <cell r="B1">
            <v>0</v>
          </cell>
        </row>
      </sheetData>
      <sheetData sheetId="48">
        <row r="1">
          <cell r="B1">
            <v>0</v>
          </cell>
        </row>
      </sheetData>
      <sheetData sheetId="49">
        <row r="1">
          <cell r="B1">
            <v>0</v>
          </cell>
        </row>
      </sheetData>
      <sheetData sheetId="50">
        <row r="1">
          <cell r="B1">
            <v>0</v>
          </cell>
        </row>
      </sheetData>
      <sheetData sheetId="51"/>
      <sheetData sheetId="52"/>
      <sheetData sheetId="53" refreshError="1"/>
      <sheetData sheetId="54" refreshError="1"/>
      <sheetData sheetId="55" refreshError="1"/>
      <sheetData sheetId="56">
        <row r="1">
          <cell r="B1">
            <v>0</v>
          </cell>
        </row>
      </sheetData>
      <sheetData sheetId="57">
        <row r="1">
          <cell r="B1">
            <v>0</v>
          </cell>
        </row>
      </sheetData>
      <sheetData sheetId="58">
        <row r="1">
          <cell r="B1">
            <v>0</v>
          </cell>
        </row>
      </sheetData>
      <sheetData sheetId="59">
        <row r="1">
          <cell r="B1">
            <v>0</v>
          </cell>
        </row>
      </sheetData>
      <sheetData sheetId="60">
        <row r="1">
          <cell r="B1">
            <v>0</v>
          </cell>
        </row>
      </sheetData>
      <sheetData sheetId="61">
        <row r="1">
          <cell r="B1">
            <v>0</v>
          </cell>
        </row>
      </sheetData>
      <sheetData sheetId="62">
        <row r="1">
          <cell r="B1">
            <v>0</v>
          </cell>
        </row>
      </sheetData>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M"/>
      <sheetName val="com st PM"/>
      <sheetName val="GM"/>
      <sheetName val="comst GM"/>
      <sheetName val="eweljlt"/>
      <sheetName val="pvc_basic"/>
      <sheetName val="pvc"/>
      <sheetName val="hdpe_basic"/>
      <sheetName val="HDPE"/>
      <sheetName val="DI"/>
      <sheetName val="CI"/>
      <sheetName val="G.R.P"/>
      <sheetName val="Labour"/>
      <sheetName val="com_st_PM"/>
      <sheetName val="comst_GM"/>
      <sheetName val="G_R_P"/>
      <sheetName val="sand"/>
      <sheetName val="stone"/>
      <sheetName val="Road Detail Est."/>
      <sheetName val="Road data"/>
      <sheetName val="DATA"/>
      <sheetName val="maya"/>
      <sheetName val="rdamdata"/>
      <sheetName val="Material"/>
      <sheetName val="data-WC"/>
      <sheetName val="detls"/>
      <sheetName val="#REF"/>
      <sheetName val="v"/>
      <sheetName val="Sheet1"/>
      <sheetName val="hdpe weights"/>
      <sheetName val="PVC weights"/>
      <sheetName val="index"/>
      <sheetName val="ssr-rates"/>
      <sheetName val="Lead statement"/>
      <sheetName val="r"/>
      <sheetName val="quarry"/>
      <sheetName val="com_st_PM1"/>
      <sheetName val="comst_GM1"/>
      <sheetName val="G_R_P1"/>
      <sheetName val="SPT vs PHI"/>
      <sheetName val="leads"/>
      <sheetName val="hdpe-rates"/>
      <sheetName val="pvc-rates"/>
      <sheetName val="Specification report"/>
      <sheetName val=""/>
      <sheetName val="Nspt-smp-final-ORIGINAL"/>
      <sheetName val="Lead"/>
      <sheetName val="_V_O_I_L_S_I_N_G_R_A_M_._X_L_S_"/>
      <sheetName val="com_st_PM5"/>
      <sheetName val="comst_GM5"/>
      <sheetName val="G_R_P5"/>
      <sheetName val="Road_Detail_Est_2"/>
      <sheetName val="Road_data2"/>
      <sheetName val="Lead_statement2"/>
      <sheetName val="com_st_PM3"/>
      <sheetName val="comst_GM3"/>
      <sheetName val="G_R_P3"/>
      <sheetName val="com_st_PM2"/>
      <sheetName val="comst_GM2"/>
      <sheetName val="G_R_P2"/>
      <sheetName val="Road_Detail_Est_"/>
      <sheetName val="Road_data"/>
      <sheetName val="Lead_statement"/>
      <sheetName val="com_st_PM4"/>
      <sheetName val="comst_GM4"/>
      <sheetName val="G_R_P4"/>
      <sheetName val="Road_Detail_Est_1"/>
      <sheetName val="Road_data1"/>
      <sheetName val="Lead_statement1"/>
      <sheetName val="EDWise"/>
      <sheetName val="lead-st"/>
      <sheetName val="SSR 2010-11 Rates"/>
      <sheetName val="wh_data"/>
      <sheetName val="CPHEEO"/>
      <sheetName val="wh_data_R"/>
      <sheetName val="input"/>
      <sheetName val="Ward areas"/>
      <sheetName val="Zi-co"/>
      <sheetName val="0000000000000"/>
      <sheetName val="Leads Entry"/>
      <sheetName val="RMR"/>
      <sheetName val="Plant &amp;  Machinery"/>
      <sheetName val="DATA_PRG"/>
      <sheetName val="MRATES"/>
      <sheetName val="Staff Acco."/>
      <sheetName val="C.D.Abs.Est."/>
      <sheetName val="Di_gate-HDPE"/>
      <sheetName val="COLUMN"/>
      <sheetName val="t_prsr"/>
      <sheetName val="wh"/>
      <sheetName val="AV-HDPE"/>
      <sheetName val="_5wgdhabfinal00_01"/>
      <sheetName val="WATER-HAMMER"/>
      <sheetName val="not req 3"/>
      <sheetName val="_x0000_V_x0000_O_x0000_I_x0000_L_x0000_S_x0000_I_x0000_N_x0000_G_x0000_R_x0000_A_x0000_M_x0000_._x0000_X_x0000_L_x0000_S_x0000_"/>
      <sheetName val="?V?O?I?L?S?I?N?G?R?A?M?.?X?L?S?"/>
      <sheetName val="m"/>
      <sheetName val="Rates-May-14"/>
      <sheetName val="p&amp;m"/>
      <sheetName val="C-data"/>
      <sheetName val="segments-details"/>
      <sheetName val="Datas"/>
      <sheetName val="Plant_&amp;__Machinery"/>
      <sheetName val="Sheet2"/>
      <sheetName val="HDPE-pipe-rates"/>
      <sheetName val="Sheet1_(2)"/>
      <sheetName val="int-Dia-hdpe"/>
      <sheetName val="habs-list"/>
      <sheetName val="pvc-pipe-rates"/>
      <sheetName val="PVC_dia"/>
      <sheetName val="int-Dia-pvc"/>
      <sheetName val="ABS"/>
      <sheetName val="bom"/>
      <sheetName val="l"/>
      <sheetName val="Cover"/>
      <sheetName val="coverpage"/>
      <sheetName val="R_Det"/>
      <sheetName val="Estimate"/>
      <sheetName val="Data rough"/>
      <sheetName val="Rates"/>
      <sheetName val="PRECAST lightconc-II"/>
      <sheetName val="CC &amp; VC"/>
      <sheetName val="hdpe_weights"/>
      <sheetName val="PVC_weights"/>
      <sheetName val="BWSCPlt"/>
      <sheetName val="DATA-BASE"/>
      <sheetName val="int-Dia"/>
      <sheetName val="mas_hab"/>
      <sheetName val="id"/>
      <sheetName val="PSC_REVISED"/>
      <sheetName val="DATA-ABSTRACT"/>
      <sheetName val="hdpe_weights2"/>
      <sheetName val="PVC_weights2"/>
      <sheetName val="hdpe_weights1"/>
      <sheetName val="PVC_weights1"/>
      <sheetName val="Plant_&amp;__Machinery1"/>
      <sheetName val="_x005f_x0000_V_x005f_x0000_O_x005f_x0000_I_x005f_x0000_"/>
      <sheetName val="water-hammar-strenght"/>
      <sheetName val="Summary"/>
      <sheetName val="abs road"/>
      <sheetName val="Data-ELSR"/>
      <sheetName val="Levels"/>
      <sheetName val="data existing_do not delete"/>
      <sheetName val="MRoad data"/>
      <sheetName val="VC rate"/>
      <sheetName val="dbl-airvalve-PVC"/>
      <sheetName val="airvalve(AC)"/>
      <sheetName val="DFjoints"/>
      <sheetName val="census91"/>
      <sheetName val="m1"/>
      <sheetName val="Detailed"/>
      <sheetName val="_x005f_x0000_V_x005f_x0000_O_x005f_x0000_I_x000_2"/>
      <sheetName val="com_st_PM6"/>
      <sheetName val="comst_GM6"/>
      <sheetName val="G_R_P6"/>
      <sheetName val="Road_Detail_Est_3"/>
      <sheetName val="Road_data3"/>
      <sheetName val="Lead_statement3"/>
      <sheetName val="dlvoid"/>
      <sheetName val="mlead"/>
      <sheetName val="Voucher"/>
      <sheetName val="BHANDUP"/>
      <sheetName val="Intro"/>
      <sheetName val="work_sheet"/>
      <sheetName val="hdpe-int-Dia"/>
      <sheetName val="E-Table"/>
      <sheetName val="pvc-int-Dia"/>
      <sheetName val="General"/>
      <sheetName val="Bitumen trunk"/>
      <sheetName val="Feeder"/>
      <sheetName val="R99 etc"/>
      <sheetName val="Trunk unpaved"/>
      <sheetName val="road safety datas"/>
      <sheetName val="SPT_vs_PHI"/>
      <sheetName val="Ward_areas"/>
      <sheetName val="SSR_2010-11_Rates"/>
      <sheetName val="Leads_Entry"/>
      <sheetName val="Specification_report"/>
      <sheetName val="VOILSINGRAM_XLS"/>
      <sheetName val="?V?O?I?L?S?I?N?G?R?A?M?_?X?L?S?"/>
      <sheetName val="Staff_Acco_"/>
      <sheetName val="_V_O_I_L_S_I_N_G_R_A_M___X_L_S_"/>
      <sheetName val="Lead statement ss5"/>
      <sheetName val="1000 (1V)"/>
      <sheetName val="Specification Repoer CC"/>
      <sheetName val="Main Sheet"/>
      <sheetName val="final abstract"/>
      <sheetName val="Drain Est (2)"/>
      <sheetName val="SPECI (2)"/>
      <sheetName val="DATA SHEET"/>
      <sheetName val="PM&amp;GM"/>
      <sheetName val="AV-PVC"/>
      <sheetName val="DIgate_PVC "/>
      <sheetName val="DI gate-DI"/>
      <sheetName val="AV-BWSC&amp;MS"/>
      <sheetName val="AV_AC"/>
      <sheetName val="AV-DI"/>
      <sheetName val="di_Gate_AC"/>
      <sheetName val="Digate-BWSCP-MS"/>
      <sheetName val="DI_gate_di"/>
      <sheetName val="scour-DI-CI"/>
      <sheetName val="scour-pvc-hdpe-psc-bwsc"/>
      <sheetName val="AC"/>
      <sheetName val="pumping main"/>
      <sheetName val="bar bending"/>
      <sheetName val="Working Estimate"/>
      <sheetName val="other rates"/>
      <sheetName val="hdpe_weights3"/>
      <sheetName val="PVC_weights3"/>
      <sheetName val="Data_rough"/>
      <sheetName val="not_req_3"/>
      <sheetName val="CC_&amp;_VC"/>
      <sheetName val="MRoad_data"/>
      <sheetName val="VC_rate"/>
      <sheetName val="data_existing_do_not_delete"/>
      <sheetName val="11.Habitations"/>
      <sheetName val="Suppl-data"/>
      <sheetName val="iocount"/>
      <sheetName val="SSR 2014-15 Rates"/>
      <sheetName val="Usage"/>
      <sheetName val="Common "/>
      <sheetName val="civ data"/>
      <sheetName val="VOILSINGRAM.XLS"/>
      <sheetName val="01"/>
      <sheetName val="DREV"/>
      <sheetName val="CREV"/>
      <sheetName val="Prjt"/>
      <sheetName val="_x005f_x005f_x005f_x0000_V_x005f_x005f_x005f_x0000_O_x0"/>
      <sheetName val="VOI"/>
      <sheetName val="VOI_x000_2"/>
      <sheetName val="_x0000_V_x0000_O_x0000_I_x0000_"/>
      <sheetName val="_x0000_V_x0000_O_x0000_I_x000_2"/>
      <sheetName val="Proforma -II "/>
      <sheetName val="boredetails"/>
      <sheetName val="new33kvss_e3"/>
      <sheetName val="prop aug of ex 33kvss_e3a"/>
      <sheetName val="Boppudi data sheet "/>
      <sheetName val="FINAL DATA"/>
      <sheetName val="Part-A"/>
      <sheetName val="basdat"/>
      <sheetName val="Sheet5"/>
      <sheetName val="joinery data"/>
      <sheetName val="PH data"/>
      <sheetName val="Bill-12"/>
      <sheetName val="Specification"/>
      <sheetName val="BTR"/>
      <sheetName val="Line"/>
      <sheetName val="Plant_&amp;__Machinery2"/>
      <sheetName val="abs_road"/>
      <sheetName val="C_D_Abs_Est_"/>
      <sheetName val="Lookup"/>
      <sheetName val="Dist Network"/>
      <sheetName val="Usage "/>
      <sheetName val="Basicrates"/>
      <sheetName val="FORM7"/>
      <sheetName val="BALAN1"/>
      <sheetName val="Det.SC2"/>
      <sheetName val="ANAL"/>
      <sheetName val="RA"/>
      <sheetName val="DATA-2005-06"/>
      <sheetName val="com_st_PM7"/>
      <sheetName val="comst_GM7"/>
      <sheetName val="G_R_P7"/>
      <sheetName val="Road_Detail_Est_4"/>
      <sheetName val="Road_data4"/>
      <sheetName val="Lead_statement4"/>
      <sheetName val="SSR_2010-11_Rates1"/>
      <sheetName val="SPT_vs_PHI1"/>
      <sheetName val="hdpe_weights4"/>
      <sheetName val="PVC_weights4"/>
      <sheetName val="Ward_areas1"/>
      <sheetName val="Specification_report1"/>
      <sheetName val="Staff_Acco_1"/>
      <sheetName val="not_req_31"/>
      <sheetName val="Leads_Entry1"/>
      <sheetName val="?V?O?I?L?S?I?N?G?R?A?M?_?X?L?S1"/>
      <sheetName val="Data_rough1"/>
      <sheetName val="PRECAST_lightconc-II"/>
      <sheetName val="CC_&amp;_VC1"/>
      <sheetName val="MRoad_data1"/>
      <sheetName val="VC_rate1"/>
      <sheetName val="_V_O_I_L_S_I_N_G_R_A_M___X_L_S1"/>
      <sheetName val="data_existing_do_not_delete1"/>
      <sheetName val="Main_Sheet"/>
      <sheetName val="final_abstract"/>
      <sheetName val="road_safety_datas"/>
      <sheetName val="DATA_SHEET"/>
      <sheetName val="DIgate_PVC_"/>
      <sheetName val="DI_gate-DI"/>
      <sheetName val="pumping_main"/>
      <sheetName val="Bitumen_trunk"/>
      <sheetName val="R99_etc"/>
      <sheetName val="Trunk_unpaved"/>
      <sheetName val="bar_bending"/>
      <sheetName val="SSR_2014-15_Rates"/>
      <sheetName val="Specification_Repoer_CC"/>
      <sheetName val="Drain_Est_(2)"/>
      <sheetName val="SPECI_(2)"/>
      <sheetName val="11_Habitations"/>
      <sheetName val="Lead_statement_ss5"/>
      <sheetName val="1000_(1V)"/>
      <sheetName val="VOILSINGRAM_XLS1"/>
    </sheetNames>
    <sheetDataSet>
      <sheetData sheetId="0">
        <row r="14">
          <cell r="G14">
            <v>35.35</v>
          </cell>
        </row>
      </sheetData>
      <sheetData sheetId="1">
        <row r="16">
          <cell r="C16">
            <v>73.2</v>
          </cell>
        </row>
      </sheetData>
      <sheetData sheetId="2">
        <row r="14">
          <cell r="G14">
            <v>40.78</v>
          </cell>
        </row>
      </sheetData>
      <sheetData sheetId="3">
        <row r="16">
          <cell r="C16">
            <v>73.2</v>
          </cell>
        </row>
      </sheetData>
      <sheetData sheetId="4" refreshError="1"/>
      <sheetData sheetId="5" refreshError="1"/>
      <sheetData sheetId="6" refreshError="1">
        <row r="14">
          <cell r="G14">
            <v>35.35</v>
          </cell>
        </row>
        <row r="31">
          <cell r="D31">
            <v>91.08</v>
          </cell>
          <cell r="E31">
            <v>107.35</v>
          </cell>
          <cell r="F31">
            <v>133.26</v>
          </cell>
          <cell r="G31">
            <v>158.58000000000001</v>
          </cell>
          <cell r="H31">
            <v>185.06</v>
          </cell>
          <cell r="I31">
            <v>236.46</v>
          </cell>
          <cell r="J31">
            <v>285.23</v>
          </cell>
        </row>
        <row r="46">
          <cell r="C46">
            <v>90.35</v>
          </cell>
          <cell r="D46">
            <v>106.67</v>
          </cell>
          <cell r="E46">
            <v>130.63999999999999</v>
          </cell>
          <cell r="F46">
            <v>167.37</v>
          </cell>
          <cell r="G46">
            <v>197.57</v>
          </cell>
          <cell r="H46">
            <v>242.04</v>
          </cell>
          <cell r="I46">
            <v>307.83</v>
          </cell>
          <cell r="J46">
            <v>380.99</v>
          </cell>
          <cell r="K46">
            <v>448.54</v>
          </cell>
        </row>
        <row r="61">
          <cell r="C61">
            <v>112.12</v>
          </cell>
          <cell r="D61">
            <v>135.81</v>
          </cell>
          <cell r="E61">
            <v>171.19</v>
          </cell>
          <cell r="F61">
            <v>232.15</v>
          </cell>
          <cell r="H61">
            <v>343.32</v>
          </cell>
        </row>
      </sheetData>
      <sheetData sheetId="7" refreshError="1"/>
      <sheetData sheetId="8" refreshError="1">
        <row r="14">
          <cell r="G14">
            <v>35.35</v>
          </cell>
        </row>
        <row r="16">
          <cell r="C16">
            <v>73.2</v>
          </cell>
        </row>
        <row r="30">
          <cell r="L30">
            <v>887.49</v>
          </cell>
          <cell r="M30">
            <v>1081.68</v>
          </cell>
          <cell r="N30">
            <v>1343.94</v>
          </cell>
          <cell r="O30">
            <v>1690.77</v>
          </cell>
        </row>
      </sheetData>
      <sheetData sheetId="9" refreshError="1">
        <row r="14">
          <cell r="G14">
            <v>40.78</v>
          </cell>
        </row>
        <row r="37">
          <cell r="C37">
            <v>678.83</v>
          </cell>
          <cell r="D37">
            <v>960.38</v>
          </cell>
          <cell r="F37">
            <v>1844.87</v>
          </cell>
          <cell r="G37">
            <v>2369.41</v>
          </cell>
        </row>
      </sheetData>
      <sheetData sheetId="10">
        <row r="37">
          <cell r="C37">
            <v>678.83</v>
          </cell>
        </row>
      </sheetData>
      <sheetData sheetId="11"/>
      <sheetData sheetId="12"/>
      <sheetData sheetId="13"/>
      <sheetData sheetId="14"/>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refreshError="1"/>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sheetData sheetId="81" refreshError="1"/>
      <sheetData sheetId="82" refreshError="1"/>
      <sheetData sheetId="83" refreshError="1"/>
      <sheetData sheetId="84" refreshError="1"/>
      <sheetData sheetId="85" refreshError="1"/>
      <sheetData sheetId="86" refreshError="1"/>
      <sheetData sheetId="87" refreshError="1"/>
      <sheetData sheetId="88"/>
      <sheetData sheetId="89"/>
      <sheetData sheetId="90"/>
      <sheetData sheetId="91"/>
      <sheetData sheetId="92"/>
      <sheetData sheetId="93"/>
      <sheetData sheetId="94" refreshError="1"/>
      <sheetData sheetId="95" refreshError="1"/>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refreshError="1"/>
      <sheetData sheetId="285"/>
      <sheetData sheetId="286"/>
      <sheetData sheetId="287"/>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 val="HDPE"/>
      <sheetName val="DI"/>
      <sheetName val="pvc"/>
      <sheetName val="maya"/>
      <sheetName val="C-data"/>
      <sheetName val="r"/>
      <sheetName val="rdamdata"/>
      <sheetName val="v"/>
      <sheetName val="MRATES"/>
      <sheetName val="data existing_do not delete"/>
      <sheetName val="Lead"/>
      <sheetName val="Labour"/>
      <sheetName val="leads"/>
      <sheetName val="Plant &amp;  Machinery"/>
      <sheetName val="Material"/>
      <sheetName val="hdpe_basic"/>
      <sheetName val="pvc_basic"/>
      <sheetName val="input"/>
      <sheetName val="Conveyance"/>
      <sheetName val="Estt"/>
      <sheetName val="Estimate  N"/>
      <sheetName val="clvrt_data"/>
      <sheetName val="road safety datas"/>
      <sheetName val="Rates"/>
      <sheetName val="bom"/>
      <sheetName val="11.Habitations"/>
      <sheetName val="LEAD (2)"/>
      <sheetName val="0000000000000"/>
      <sheetName val="XXXXXXXXXXXXX"/>
      <sheetName val="XXXXXXXXXXXX0"/>
      <sheetName val="Leadstatement "/>
      <sheetName val="exe"/>
      <sheetName val="insp"/>
      <sheetName val="sp"/>
      <sheetName val="Sheet3"/>
      <sheetName val="sub-est"/>
      <sheetName val="ann-b"/>
      <sheetName val="EWCal"/>
      <sheetName val="Sheet4"/>
      <sheetName val="COR.EST"/>
      <sheetName val="Abstrct-Part A"/>
      <sheetName val="Data_Base"/>
      <sheetName val="Factory_rates"/>
      <sheetName val="lead-st"/>
      <sheetName val="DATA-BASE"/>
      <sheetName val="Levels"/>
      <sheetName val="Plant_&amp;__Machinery"/>
      <sheetName val="quarry"/>
      <sheetName val="DATA-ABSTRACT"/>
      <sheetName val="Bridge Data 2005-06"/>
      <sheetName val="Part-A"/>
      <sheetName val="sup dat"/>
      <sheetName val="Sheet2"/>
      <sheetName val="in Put sheet"/>
      <sheetName val="Sheet9"/>
      <sheetName val="Abstrct "/>
      <sheetName val="Abstrct  CD works"/>
      <sheetName val="est"/>
      <sheetName val="Slab cul-2m span 1"/>
      <sheetName val="Slab cul-3m span 2"/>
      <sheetName val="Slab cul-2m span 3"/>
      <sheetName val="Slab cul-2m span 4"/>
      <sheetName val="CC over pitching"/>
      <sheetName val="Data CD"/>
      <sheetName val="Lead Statement"/>
      <sheetName val="package summary"/>
      <sheetName val="Nindugerla"/>
      <sheetName val="cc pavement(b)"/>
      <sheetName val="foundations (b)"/>
      <sheetName val="est  (mord)"/>
      <sheetName val="Check Slip"/>
      <sheetName val="Sub Estiamte (2)"/>
      <sheetName val="Field Data"/>
      <sheetName val="Field Data (2)"/>
      <sheetName val="Field Data (3)"/>
      <sheetName val="3day Count"/>
      <sheetName val="Gen. Abstract"/>
      <sheetName val="Common "/>
      <sheetName val="other rates"/>
      <sheetName val="RMR"/>
      <sheetName val="Plant_㫨__Machinery"/>
      <sheetName val="Plant 㫨  Machinery"/>
      <sheetName val="Data.F8.BTR"/>
      <sheetName val="l"/>
      <sheetName val="Fie,d Data"/>
      <sheetName val="final abstract"/>
      <sheetName val="Estimate "/>
      <sheetName val="hdpe-rates"/>
      <sheetName val="hdpe weights"/>
      <sheetName val="ssr-rates"/>
      <sheetName val="pvc-rates"/>
      <sheetName val="PVC weights"/>
      <sheetName val="Class IV Qtr. Ele"/>
      <sheetName val="DATA_ENTRY"/>
      <sheetName val="BTLeads"/>
      <sheetName val="GF SB Ok "/>
      <sheetName val="GN_ST_10"/>
      <sheetName val="pvc-pipe-rates"/>
      <sheetName val="LEAD S 10-11"/>
      <sheetName val="CD_Data"/>
      <sheetName val="Nspt-smp-final-ORIGINAL"/>
      <sheetName val="Work_sheet"/>
      <sheetName val="Sheet1 (2)"/>
      <sheetName val="GN-ST-10"/>
      <sheetName val="habs-list"/>
      <sheetName val="nodes"/>
      <sheetName val="Gen Abs"/>
      <sheetName val="Bitumen trunk"/>
      <sheetName val="R99 etc"/>
      <sheetName val="Trunk unpaved"/>
      <sheetName val="mas_hab"/>
      <sheetName val="Specification report"/>
      <sheetName val="Rates2"/>
      <sheetName val="sch"/>
      <sheetName val="entitlements"/>
      <sheetName val="fnote"/>
      <sheetName val="int-Dia"/>
      <sheetName val="Usage"/>
      <sheetName val="General"/>
      <sheetName val="PRECAST lightconc-II"/>
      <sheetName val="Usage "/>
      <sheetName val="water-hammar-strenght"/>
      <sheetName val="AV-HDPE"/>
      <sheetName val="Di_gate-HDPE"/>
      <sheetName val="index"/>
      <sheetName val="Masonry"/>
      <sheetName val="1V800"/>
      <sheetName val="COVER"/>
      <sheetName val="Convey"/>
      <sheetName val="Conv. 13-14"/>
      <sheetName val="GEN-ABS Del"/>
      <sheetName val="BTR"/>
      <sheetName val="Line"/>
      <sheetName val="Road data"/>
      <sheetName val="Road Detail Est."/>
      <sheetName val="QDTS"/>
      <sheetName val="Rates SSR 2008-09"/>
      <sheetName val="C.D.Abs.Est."/>
      <sheetName val="Rates-May-14"/>
      <sheetName val="LOCAL RATES"/>
      <sheetName val="sand"/>
      <sheetName val="stone"/>
      <sheetName val="detls"/>
      <sheetName val="mlead"/>
      <sheetName val="abs road"/>
      <sheetName val="road est"/>
      <sheetName val="DATA_PRG"/>
      <sheetName val="Habcodes"/>
      <sheetName val="Data rough"/>
      <sheetName val="Rate"/>
      <sheetName val="ESTIMATE"/>
      <sheetName val="HDPE-pipe-rates"/>
      <sheetName val="coverpage"/>
      <sheetName val="R_Det"/>
      <sheetName val="Input Sheet"/>
      <sheetName val="cover page"/>
      <sheetName val="Specification Repoer"/>
      <sheetName val="DETAILED ESTIMATE (2)"/>
      <sheetName val="Data (2)"/>
      <sheetName val="DETAILED ESTIMATE"/>
      <sheetName val="detailed dt22.10.2014"/>
      <sheetName val="PSet(1Ph)"/>
      <sheetName val="comparative"/>
      <sheetName val="seigniorage"/>
      <sheetName val="electrification"/>
      <sheetName val="septic tank"/>
      <sheetName val="ELEC datas"/>
      <sheetName val="san data"/>
      <sheetName val="SEIGNORAGE"/>
      <sheetName val="SCHEDULE."/>
      <sheetName val="Est (2)"/>
      <sheetName val="report"/>
      <sheetName val="schedule"/>
      <sheetName val="sectorwise"/>
      <sheetName val="Lead  RATES"/>
      <sheetName val="p&amp;m"/>
      <sheetName val="Boq"/>
      <sheetName val="TBAL9697 -group wise  sdpl"/>
      <sheetName val="Data_Bit_I"/>
      <sheetName val="id"/>
      <sheetName val="CI"/>
      <sheetName val="GA"/>
      <sheetName val="Dn LF Sluice"/>
      <sheetName val="GM&amp;PM EST- final "/>
      <sheetName val="hdpe_rates"/>
      <sheetName val="hdpe_wt-r"/>
      <sheetName val="Sheet5"/>
      <sheetName val="segments-details"/>
      <sheetName val="Detailed"/>
      <sheetName val="Door&amp;Window data"/>
      <sheetName val="Main sheet"/>
      <sheetName val="dlvoid"/>
      <sheetName val="Suppl-data"/>
      <sheetName val="GBW"/>
      <sheetName val="Main"/>
      <sheetName val="Material "/>
      <sheetName val="Cover page  for Lead "/>
      <sheetName val="V.N.Pur 0.60MPGF"/>
      <sheetName val="B.W. BC COMMUNITY HALL"/>
      <sheetName val="AWB YALAL"/>
      <sheetName val="DOULAPUR "/>
      <sheetName val="Modal Estimate 2"/>
      <sheetName val="Modal Estimate "/>
      <sheetName val=" Ramp"/>
      <sheetName val="PS KOKAT"/>
      <sheetName val="Elec Estimate"/>
      <sheetName val="Sanitory Estimate"/>
      <sheetName val="Bore &amp; Pumpset"/>
      <sheetName val="Furniture "/>
      <sheetName val="20 TNs Detailed Est "/>
      <sheetName val="Bar Bending Schedule"/>
      <sheetName val="Flush Door  Shutter Country"/>
      <sheetName val=" Compound wall  "/>
      <sheetName val="Datas"/>
      <sheetName val="Datas  Side wall "/>
      <sheetName val="Veternory  Desponsory  BLDG"/>
      <sheetName val="Rural Live stock"/>
      <sheetName val="Ele data "/>
      <sheetName val="Sanitary&amp;water supply DATA "/>
      <sheetName val=" Doors window- Country 2.0- 1.2"/>
      <sheetName val=" Doors window- Sal Wood "/>
      <sheetName val=" Doors window- Teak 17-18"/>
      <sheetName val=" Doors window- Country "/>
      <sheetName val=" Doors window- Country  -2.0 m"/>
      <sheetName val=" Doors and windows "/>
      <sheetName val="MRoad data"/>
      <sheetName val="QTY"/>
      <sheetName val="BM-HOOP"/>
      <sheetName val="int-dia-hdpe"/>
      <sheetName val="Database"/>
      <sheetName val="schedule nos"/>
      <sheetName val="Summary"/>
      <sheetName val="JAWAHAR-hyd-original"/>
      <sheetName val="Pop"/>
      <sheetName val="DATA SHEET"/>
      <sheetName val="PUMP_DATA"/>
      <sheetName val="Lead statement ss5"/>
      <sheetName val="SSR"/>
      <sheetName val="RAM"/>
      <sheetName val="Data-all"/>
      <sheetName val="ewst"/>
      <sheetName val="datas slabs, beams"/>
      <sheetName val="VKB-Sump-20-Kotalguda-wd"/>
      <sheetName val="VKB-60-12.95-Burgply-wd"/>
      <sheetName val="VKB60-12.95-Brgply-Specials"/>
      <sheetName val="steel price variation"/>
      <sheetName val="DI Wt"/>
      <sheetName val="VKB-60-30-Enkepally-we4"/>
      <sheetName val="ESSR"/>
      <sheetName val="tax sheet"/>
      <sheetName val="Steel &amp; PV"/>
      <sheetName val="CEMENT - PV"/>
      <sheetName val="Watersoft (2)"/>
      <sheetName val="Abstrct_"/>
      <sheetName val="Abstrct__CD_works"/>
      <sheetName val="Slab_cul-2m_span_1"/>
      <sheetName val="Slab_cul-3m_span_2"/>
      <sheetName val="Slab_cul-2m_span_3"/>
      <sheetName val="Slab_cul-2m_span_4"/>
      <sheetName val="CC_over_pitching"/>
      <sheetName val="Data_CD"/>
      <sheetName val="Lead_Statement"/>
      <sheetName val="package_summary"/>
      <sheetName val="cc_pavement(b)"/>
      <sheetName val="foundations_(b)"/>
      <sheetName val="est__(mord)"/>
      <sheetName val="Check_Slip"/>
      <sheetName val="Sub_Estiamte_(2)"/>
      <sheetName val="Field_Data"/>
      <sheetName val="Field_Data_(2)"/>
      <sheetName val="Field_Data_(3)"/>
      <sheetName val="3day_Count"/>
      <sheetName val="Gen__Abstract"/>
      <sheetName val="Fie,d_Data"/>
      <sheetName val="Estimate_"/>
      <sheetName val="final_abstract"/>
      <sheetName val="leads-11-12"/>
      <sheetName val="PVC_dia"/>
      <sheetName val="Conveayance charges"/>
      <sheetName val="Hire"/>
      <sheetName val="c.d.data (morth)"/>
      <sheetName val="rd.det.est"/>
      <sheetName val="rd.data"/>
      <sheetName val="mlead "/>
      <sheetName val="cert"/>
      <sheetName val="SSR 2010-11 Rates"/>
      <sheetName val="int-Dia-pvc"/>
      <sheetName val="Feeder"/>
      <sheetName val="Variables"/>
      <sheetName val="data-WC"/>
      <sheetName val="cover (2)"/>
      <sheetName val="InputData"/>
      <sheetName val="Spec"/>
      <sheetName val="evaluate"/>
      <sheetName val="_5wgdhabfinal00_01"/>
      <sheetName val="CRUST"/>
      <sheetName val="Data chokanpally"/>
      <sheetName val="Data o"/>
      <sheetName val="basic-data"/>
      <sheetName val="P "/>
      <sheetName val="DATA HM KM NB"/>
      <sheetName val="M5 900"/>
      <sheetName val="M7"/>
      <sheetName val="A.O.R."/>
      <sheetName val="Leadstatement_"/>
      <sheetName val="COR_EST"/>
      <sheetName val="Abstrct-Part_A"/>
      <sheetName val="Bridge_Data_2005-06"/>
      <sheetName val="Plant_&amp;__Machinery1"/>
      <sheetName val="sup_dat"/>
      <sheetName val="Common_"/>
      <sheetName val="Specification_report"/>
      <sheetName val="Sheet1_(2)"/>
      <sheetName val="MTC-estimate"/>
      <sheetName val="bricks"/>
      <sheetName val="hdpe-int-Dia"/>
      <sheetName val="SPT vs PHI"/>
      <sheetName val="Class_IV_Qtr__Ele"/>
      <sheetName val="data_existing_do_not_delete"/>
      <sheetName val="other_rates"/>
      <sheetName val="in_Put_sheet"/>
      <sheetName val="Bitumen_trunk"/>
      <sheetName val="R99_etc"/>
      <sheetName val="Trunk_unpaved"/>
      <sheetName val="Data_F8_BTR"/>
      <sheetName val="PRECAST_lightconc-II"/>
      <sheetName val="Plant_㫨__Machinery1"/>
      <sheetName val="Conv__13-14"/>
      <sheetName val="GEN-ABS_Del"/>
      <sheetName val="Road_data"/>
      <sheetName val="hdpe_weights"/>
      <sheetName val="PVC_weights"/>
      <sheetName val="GF_SB_Ok_"/>
      <sheetName val="LEAD_S_10-11"/>
      <sheetName val="Gen_Abs"/>
      <sheetName val="Road_Detail_Est_"/>
      <sheetName val="Rates_SSR_2008-09"/>
      <sheetName val="Sump_cal"/>
      <sheetName val="pumping main"/>
      <sheetName val="co_5"/>
      <sheetName val="section"/>
      <sheetName val="BOQ Distribution"/>
      <sheetName val="calcul"/>
      <sheetName val="t_prsr"/>
      <sheetName val="wh"/>
      <sheetName val="iocount"/>
      <sheetName val="boredetails"/>
      <sheetName val="Sorted"/>
      <sheetName val="BWSCPlt"/>
      <sheetName val="G.R.P"/>
      <sheetName val="PSC REVISED"/>
      <sheetName val="Staff Acco."/>
      <sheetName val="Lead- Input sheet "/>
      <sheetName val="IIDP caste Rural I"/>
      <sheetName val="Ellis &amp; WS&amp;S"/>
      <sheetName val="Drip mould &amp; Elevation"/>
      <sheetName val="Trussess"/>
      <sheetName val="WATER-HAMMER"/>
      <sheetName val="MRMECADAMoad data"/>
      <sheetName val="Lookup"/>
      <sheetName val="EDWise"/>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cell r="D149" t="str">
            <v>Bijnepally</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DESIGEN_RCC_CULVERT"/>
      <sheetName val="DESIGENS_HP_CULVERT"/>
      <sheetName val="leads"/>
      <sheetName val="PM&amp;GM"/>
      <sheetName val="AV-DI"/>
      <sheetName val="AV-PVC"/>
      <sheetName val="DI"/>
      <sheetName val="DI gate-DI"/>
      <sheetName val="DIgate_PVC "/>
      <sheetName val="PVC"/>
      <sheetName val="scour-DI-CI"/>
      <sheetName val="scour-pvc-hdpe-psc-bwsc"/>
      <sheetName val="Plant &amp;  Machinery"/>
      <sheetName val="Lead"/>
      <sheetName val="Analy"/>
      <sheetName val="HDPE"/>
      <sheetName val="hdpe_basic"/>
      <sheetName val="pvc_basic"/>
      <sheetName val="Main sheet"/>
    </sheetNames>
    <sheetDataSet>
      <sheetData sheetId="0" refreshError="1">
        <row r="2">
          <cell r="D2" t="str">
            <v>CONST.OF 2V RCC SLAB CULVERT AT 6/1 to 6/2 KM</v>
          </cell>
        </row>
        <row r="3">
          <cell r="B3" t="str">
            <v>PWD ROAD VATTEM TO PALEM (VIA) JAWAHARNAVODAYA SCHOOL,KARKONDA</v>
          </cell>
        </row>
        <row r="17">
          <cell r="H17">
            <v>2350</v>
          </cell>
        </row>
        <row r="32">
          <cell r="H32">
            <v>282.88</v>
          </cell>
        </row>
        <row r="37">
          <cell r="H37">
            <v>258.95999999999998</v>
          </cell>
        </row>
        <row r="59">
          <cell r="I59" t="str">
            <v>/cum</v>
          </cell>
        </row>
        <row r="67">
          <cell r="H67">
            <v>1410.4611040000002</v>
          </cell>
        </row>
        <row r="97">
          <cell r="H97">
            <v>2314.9090639999999</v>
          </cell>
        </row>
        <row r="105">
          <cell r="H105">
            <v>2722.5890640000002</v>
          </cell>
        </row>
        <row r="113">
          <cell r="H113">
            <v>2836.9890640000003</v>
          </cell>
        </row>
        <row r="138">
          <cell r="H138">
            <v>1120.2928879999999</v>
          </cell>
        </row>
        <row r="163">
          <cell r="H163">
            <v>1012.4607168000001</v>
          </cell>
        </row>
        <row r="182">
          <cell r="H182">
            <v>382.90917600000006</v>
          </cell>
        </row>
        <row r="189">
          <cell r="H189">
            <v>88.4</v>
          </cell>
        </row>
        <row r="199">
          <cell r="H199">
            <v>4.16</v>
          </cell>
        </row>
        <row r="215">
          <cell r="H215">
            <v>389.89599999999996</v>
          </cell>
        </row>
        <row r="233">
          <cell r="H233">
            <v>131.04</v>
          </cell>
        </row>
        <row r="245">
          <cell r="H245">
            <v>30.16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DESIGEN_RCC_CULVERT"/>
      <sheetName val="DESIGENS_HP_CULVERT"/>
    </sheetNames>
    <sheetDataSet>
      <sheetData sheetId="0" refreshError="1">
        <row r="2">
          <cell r="D2" t="str">
            <v>CONST.OF 2V RCC SLAB CULVERT AT 6/1 to 6/2 KM</v>
          </cell>
        </row>
        <row r="3">
          <cell r="B3" t="str">
            <v>PWD ROAD VATTEM TO PALEM (VIA) JAWAHARNAVODAYA SCHOOL,KARKONDA</v>
          </cell>
        </row>
        <row r="17">
          <cell r="H17">
            <v>2350</v>
          </cell>
        </row>
        <row r="32">
          <cell r="H32">
            <v>282.88</v>
          </cell>
        </row>
        <row r="37">
          <cell r="H37">
            <v>258.95999999999998</v>
          </cell>
        </row>
        <row r="59">
          <cell r="I59" t="str">
            <v>/cum</v>
          </cell>
        </row>
        <row r="67">
          <cell r="H67">
            <v>1410.4611040000002</v>
          </cell>
        </row>
        <row r="97">
          <cell r="H97">
            <v>2314.9090639999999</v>
          </cell>
        </row>
        <row r="105">
          <cell r="H105">
            <v>2722.5890640000002</v>
          </cell>
        </row>
        <row r="113">
          <cell r="H113">
            <v>2836.9890640000003</v>
          </cell>
        </row>
        <row r="138">
          <cell r="H138">
            <v>1120.2928879999999</v>
          </cell>
        </row>
        <row r="163">
          <cell r="H163">
            <v>1012.4607168000001</v>
          </cell>
        </row>
        <row r="182">
          <cell r="H182">
            <v>382.90917600000006</v>
          </cell>
        </row>
        <row r="189">
          <cell r="H189">
            <v>88.4</v>
          </cell>
        </row>
        <row r="199">
          <cell r="H199">
            <v>4.16</v>
          </cell>
        </row>
        <row r="215">
          <cell r="H215">
            <v>389.89599999999996</v>
          </cell>
        </row>
        <row r="233">
          <cell r="H233">
            <v>131.04</v>
          </cell>
        </row>
        <row r="245">
          <cell r="H245">
            <v>30.16</v>
          </cell>
        </row>
      </sheetData>
      <sheetData sheetId="1" refreshError="1"/>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_PRG"/>
      <sheetName val="SPECIFICATION"/>
      <sheetName val="COMMUNITY_HALL_ESTT22"/>
      <sheetName val="COMM_HALL_3LAKHS"/>
      <sheetName val="PLAN"/>
      <sheetName val="DATA_TEMP(MC)"/>
      <sheetName val="Sheet5"/>
      <sheetName val="final abstract"/>
      <sheetName val="DATA"/>
      <sheetName val="v"/>
      <sheetName val="r"/>
      <sheetName val="Lead"/>
      <sheetName val="leads"/>
      <sheetName val="Sheet1"/>
      <sheetName val="DI"/>
      <sheetName val="MRATES"/>
      <sheetName val="HDPE"/>
      <sheetName val="pvc"/>
      <sheetName val="rdamdata"/>
      <sheetName val="SPT vs PHI"/>
      <sheetName val="bom"/>
      <sheetName val="Levels"/>
      <sheetName val="Labour"/>
      <sheetName val="Material"/>
      <sheetName val="Plant &amp;  Machinery"/>
      <sheetName val="GF SB Ok "/>
      <sheetName val="pvc_basic"/>
      <sheetName val="mlead"/>
      <sheetName val="abs road"/>
      <sheetName val="Abs_CD_2"/>
      <sheetName val="coverpage"/>
      <sheetName val="RMR"/>
      <sheetName val="road est"/>
      <sheetName val="Road data"/>
      <sheetName val="ECV"/>
      <sheetName val="m"/>
      <sheetName val="Lead statement"/>
      <sheetName val="lead-st"/>
      <sheetName val="Data.F8.BTR"/>
      <sheetName val="Works"/>
      <sheetName val="General"/>
      <sheetName val="civ data"/>
      <sheetName val="Elc.Stnd.Data-17-18 "/>
      <sheetName val="Plant_&amp;__Machinery"/>
      <sheetName val="GF_SB_Ok_"/>
      <sheetName val="Lead_statement"/>
      <sheetName val="Data_F8_BTR"/>
      <sheetName val="Plant_&amp;__Machinery1"/>
      <sheetName val="GF_SB_Ok_1"/>
      <sheetName val="Lead_statement1"/>
    </sheetNames>
    <sheetDataSet>
      <sheetData sheetId="0" refreshError="1">
        <row r="245">
          <cell r="H245">
            <v>892.697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 sheetId="48"/>
      <sheetData sheetId="49"/>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leads"/>
      <sheetName val="maya"/>
      <sheetName val="C-data"/>
      <sheetName val="RMR"/>
      <sheetName val="Lead statement"/>
      <sheetName val="Sheet3"/>
      <sheetName val="coverpage"/>
      <sheetName val="Road data"/>
      <sheetName val="DATA"/>
      <sheetName val="Sheet1"/>
      <sheetName val="Lead"/>
      <sheetName val="Labour"/>
      <sheetName val="m"/>
      <sheetName val="rdamdata"/>
      <sheetName val="mlead"/>
      <sheetName val="R_Det"/>
      <sheetName val="MRATES"/>
      <sheetName val="DATA_PRG"/>
      <sheetName val="Bitumen trunk"/>
      <sheetName val="Feeder"/>
      <sheetName val="R99 etc"/>
      <sheetName val="Trunk unpaved"/>
      <sheetName val="HDPE"/>
      <sheetName val="DI"/>
      <sheetName val="pvc"/>
      <sheetName val="hdpe_basic"/>
      <sheetName val="pvc_basic"/>
      <sheetName val="Data_Renuals"/>
      <sheetName val="civ data"/>
      <sheetName val="Material"/>
      <sheetName val="Plant &amp;  Machinery"/>
      <sheetName val="Roadlist"/>
      <sheetName val="Estt"/>
      <sheetName val="bom"/>
      <sheetName val="DATA-BASE"/>
      <sheetName val="DATA-ABSTRACT"/>
      <sheetName val="Lead statement ss5"/>
      <sheetName val="SSR 2014-15 Rates"/>
      <sheetName val="Flight-1"/>
      <sheetName val="Road Detail Est."/>
      <sheetName val="WATER-HAMMER"/>
      <sheetName val="wh_data"/>
      <sheetName val="wh_data_R"/>
      <sheetName val="CPHEEO"/>
      <sheetName val="input"/>
      <sheetName val="ssr-rates"/>
      <sheetName val="Levels"/>
      <sheetName val="clvrt_data"/>
      <sheetName val="Cover"/>
      <sheetName val="Culverts"/>
      <sheetName val="0000000000000"/>
      <sheetName val="Rates"/>
      <sheetName val="Usage"/>
      <sheetName val="Common "/>
      <sheetName val="General"/>
      <sheetName val="BTR"/>
      <sheetName val="DES"/>
      <sheetName val="HP PIPE  DATA"/>
      <sheetName val="SLAB  DATA"/>
      <sheetName val="Quarry"/>
      <sheetName val="Line"/>
      <sheetName val="CRUST"/>
      <sheetName val="QDTS"/>
      <sheetName val="census91"/>
      <sheetName val="stone"/>
      <sheetName val="Nspt-smp-final-ORIGINAL"/>
      <sheetName val="GF SB Ok "/>
      <sheetName val="HDPE-pipe-rates"/>
      <sheetName val="pvc-pipe-rates"/>
      <sheetName val="final abstract"/>
      <sheetName val="MRoad data"/>
      <sheetName val="AV-HDPE"/>
      <sheetName val="Di_gate-HDPE"/>
      <sheetName val="splmidata"/>
      <sheetName val="ppraodata"/>
      <sheetName val="CONST"/>
      <sheetName val="Estimate "/>
      <sheetName val="EDWise"/>
      <sheetName val="BHANDUP"/>
      <sheetName val="PRECAST lightconc-II"/>
      <sheetName val="data existing_do not delete"/>
      <sheetName val="Basicrates"/>
      <sheetName val="ROADS"/>
      <sheetName val="Data.F8.BTR"/>
      <sheetName val="1"/>
      <sheetName val="2"/>
      <sheetName val="3"/>
      <sheetName val="4"/>
      <sheetName val="DATA-2005-06"/>
      <sheetName val="BWSCPlt"/>
      <sheetName val="CI"/>
      <sheetName val="G.R.P"/>
      <sheetName val="PSC REVISED"/>
      <sheetName val="C.D.Abs.Est."/>
      <sheetName val="Work_sheet"/>
      <sheetName val="Lead_statement"/>
      <sheetName val="Sheet2"/>
      <sheetName val="DISCOUNT"/>
      <sheetName val="t_prsr"/>
      <sheetName val="wh"/>
      <sheetName val="Rate Analysis"/>
      <sheetName val="BALAN1"/>
      <sheetName val="mas_hab"/>
      <sheetName val="SPT vs PHI"/>
      <sheetName val="sand"/>
      <sheetName val="hdpe weights"/>
      <sheetName val="PVC weights"/>
      <sheetName val="BLK3"/>
      <sheetName val="BLK2"/>
      <sheetName val="radar"/>
      <sheetName val="E &amp; R"/>
      <sheetName val="GA"/>
      <sheetName val="hdpe-rates"/>
      <sheetName val="pvc-rates"/>
      <sheetName val="detls"/>
      <sheetName val="Note"/>
      <sheetName val="Summary"/>
      <sheetName val="WITH STACKING CHARGES"/>
      <sheetName val="analy"/>
      <sheetName val="basdat"/>
      <sheetName val=" data sheet "/>
      <sheetName val="Civil Boq"/>
      <sheetName val="Specification"/>
      <sheetName val="id"/>
      <sheetName val="Main sheet"/>
      <sheetName val="Legal Risk Analysis"/>
      <sheetName val="Data_Base"/>
      <sheetName val="G F  (2)"/>
      <sheetName val="overviewbarmer"/>
      <sheetName val="Master_data"/>
      <sheetName val="11.Habitations"/>
      <sheetName val="Table10"/>
      <sheetName val="Table11"/>
      <sheetName val="Table12"/>
      <sheetName val="Calc1"/>
      <sheetName val="ABS"/>
      <sheetName val="Labour rates"/>
      <sheetName val="Cover-MEstt."/>
      <sheetName val="organi synthesis lab"/>
      <sheetName val="abs road"/>
    </sheetNames>
    <sheetDataSet>
      <sheetData sheetId="0">
        <row r="4">
          <cell r="F4">
            <v>65</v>
          </cell>
        </row>
      </sheetData>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ECIFICATION"/>
      <sheetName val="ANGANWADI_BULDG"/>
      <sheetName val="DATA_PRG"/>
      <sheetName val="DATA_COPY"/>
      <sheetName val="DATA_PRG _NO_SEIG"/>
      <sheetName val="Sheet3"/>
      <sheetName val="Sheet2"/>
      <sheetName val="Sheet1"/>
      <sheetName val="Specification report"/>
      <sheetName val="DATA_PRG__NO_SEIG"/>
      <sheetName val="Specification_report"/>
      <sheetName val="r"/>
      <sheetName val="rdamdata"/>
      <sheetName val="lead-st"/>
      <sheetName val="v"/>
      <sheetName val="Lead"/>
      <sheetName val="0000000000000"/>
      <sheetName val="m"/>
      <sheetName val="Lead statement"/>
      <sheetName val="leads"/>
      <sheetName val="Data"/>
      <sheetName val="maya"/>
      <sheetName val="segments-details"/>
      <sheetName val="habs-list"/>
      <sheetName val="int-Dia-hdpe"/>
      <sheetName val="int-Dia-pvc"/>
      <sheetName val="wh_data"/>
      <sheetName val="wh_data_R"/>
      <sheetName val="CPHEEO"/>
      <sheetName val="input"/>
      <sheetName val="Boq (Main Building)"/>
      <sheetName val="p&amp;m"/>
      <sheetName val="Cover"/>
      <sheetName val="FORM7"/>
      <sheetName val="Usage"/>
      <sheetName val="Common "/>
      <sheetName val="General"/>
      <sheetName val="C-data"/>
      <sheetName val="Labour"/>
      <sheetName val="HDPE"/>
      <sheetName val="DI"/>
      <sheetName val="pvc"/>
      <sheetName val="hdpe_basic"/>
      <sheetName val="pvc_basic"/>
      <sheetName val="civ data"/>
      <sheetName val="Sheet9"/>
      <sheetName val="DATA_PRG__NO_SEIG1"/>
      <sheetName val="Specification_report1"/>
      <sheetName val="Lead_statement"/>
      <sheetName val="Common_"/>
      <sheetName val="DATA_PRG__NO_SEIG2"/>
      <sheetName val="Specification_report2"/>
      <sheetName val="Lead_statement1"/>
      <sheetName val="Common_1"/>
      <sheetName val="Nspt-smp-final-ORIGINAL"/>
      <sheetName val="Material"/>
      <sheetName val="Plant &amp;  Machinery"/>
    </sheetNames>
    <sheetDataSet>
      <sheetData sheetId="0" refreshError="1"/>
      <sheetData sheetId="1" refreshError="1"/>
      <sheetData sheetId="2" refreshError="1">
        <row r="2">
          <cell r="E2" t="str">
            <v>ANGANWADI BUILDING</v>
          </cell>
        </row>
        <row r="5">
          <cell r="B5" t="str">
            <v>ANGAN WADI GRANT</v>
          </cell>
        </row>
        <row r="86">
          <cell r="H86">
            <v>880.30000000000007</v>
          </cell>
        </row>
        <row r="187">
          <cell r="H187">
            <v>2363.5500000000002</v>
          </cell>
        </row>
        <row r="252">
          <cell r="H252">
            <v>360.40000000000003</v>
          </cell>
        </row>
        <row r="269">
          <cell r="H269">
            <v>388.8</v>
          </cell>
        </row>
        <row r="326">
          <cell r="H326">
            <v>162.60000000000002</v>
          </cell>
        </row>
        <row r="359">
          <cell r="F359">
            <v>2945</v>
          </cell>
        </row>
        <row r="373">
          <cell r="F373">
            <v>1772</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refreshError="1"/>
      <sheetData sheetId="55" refreshError="1"/>
      <sheetData sheetId="5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EST_TELK"/>
      <sheetName val="SPEC"/>
      <sheetName val="Sheet4"/>
      <sheetName val="Sheet5"/>
      <sheetName val="Sheet6"/>
      <sheetName val="Sheet7"/>
      <sheetName val="Sheet8"/>
      <sheetName val="Sheet9"/>
      <sheetName val="Sheet10"/>
      <sheetName val="MRATES"/>
      <sheetName val="data existing_do not delete"/>
      <sheetName val="Lead"/>
      <sheetName val="ssr-rates"/>
      <sheetName val="rdamdata"/>
      <sheetName val="lead-st"/>
      <sheetName val="sand"/>
      <sheetName val="stone"/>
      <sheetName val="DATA"/>
      <sheetName val="v"/>
      <sheetName val="r"/>
      <sheetName val="DATA_PRG"/>
      <sheetName val="index"/>
      <sheetName val="Nspt-smp-final-ORIGINAL"/>
      <sheetName val="Abs"/>
      <sheetName val="hdpe weights"/>
      <sheetName val="PVC weights"/>
      <sheetName val="wh_data"/>
      <sheetName val="wh_data_R"/>
      <sheetName val="CPHEEO"/>
      <sheetName val="input"/>
      <sheetName val="HDPE"/>
      <sheetName val="DI"/>
      <sheetName val="pvc"/>
      <sheetName val="AV-HDPE"/>
      <sheetName val="Di_gate-HDPE"/>
      <sheetName val="leads"/>
      <sheetName val="Labour"/>
      <sheetName val="Plant &amp;  Machinery"/>
      <sheetName val="RA"/>
      <sheetName val="Road data"/>
      <sheetName val="Cover"/>
      <sheetName val="maya"/>
      <sheetName val="MRoad data"/>
      <sheetName val="hdpe-rates"/>
      <sheetName val="pvc-rates"/>
      <sheetName val="hdpe_basic"/>
      <sheetName val="Road data-TDR"/>
      <sheetName val="Sheet2"/>
      <sheetName val="ESTIMATE"/>
      <sheetName val="t_prsr"/>
      <sheetName val="detls"/>
      <sheetName val="0000000000000"/>
      <sheetName val="pvc_basic"/>
      <sheetName val="pvc-pipe-rates"/>
      <sheetName val="Levels"/>
      <sheetName val="RMR"/>
      <sheetName val="R_Det"/>
      <sheetName val="Estt"/>
      <sheetName val="Data_Base"/>
      <sheetName val="C.D.Abs.Est."/>
      <sheetName val="wordsdata"/>
      <sheetName val="DL CAL"/>
      <sheetName val="ROADS"/>
      <sheetName val="p&amp;m"/>
      <sheetName val="Rate Analysis"/>
      <sheetName val="Quarry"/>
      <sheetName val="Line"/>
      <sheetName val="BTR"/>
      <sheetName val="CRUST"/>
      <sheetName val="QDTS"/>
      <sheetName val="Rates"/>
      <sheetName val="_5wgdhabfinal00_01"/>
      <sheetName val="ANAL-PIPE LINE"/>
      <sheetName val="Rate"/>
      <sheetName val="1-Pop Proj"/>
      <sheetName val="int-Dia-pvc"/>
      <sheetName val="not req 3"/>
      <sheetName val="l"/>
      <sheetName val="DATA-2005-06"/>
      <sheetName val="water-hammar-strenght"/>
      <sheetName val="Bitumen trunk"/>
      <sheetName val="bom"/>
      <sheetName val="BWSCPlt"/>
      <sheetName val="CI"/>
      <sheetName val="G.R.P"/>
      <sheetName val="PSC REVISED"/>
      <sheetName val="PM&amp;GM"/>
      <sheetName val="AV-DI"/>
      <sheetName val="AV-PVC"/>
      <sheetName val="DI gate-DI"/>
      <sheetName val="DIgate_PVC "/>
      <sheetName val="scour-DI-CI"/>
      <sheetName val="scour-pvc-hdpe-psc-bwsc"/>
      <sheetName val="Work_sheet"/>
      <sheetName val="Iocount"/>
      <sheetName val="co_5"/>
      <sheetName val="labour rates"/>
      <sheetName val="abs road"/>
      <sheetName val="GM&amp;PM WE1 EST"/>
      <sheetName val="airvalve-AC PN 1.60"/>
      <sheetName val="AV_GRP ms bwsc"/>
      <sheetName val="BWSCP"/>
      <sheetName val="Soft-sluice-AC,GRP PN 1.6"/>
      <sheetName val="soft-sluice-BWSC-MS"/>
      <sheetName val="DI sluice valve"/>
      <sheetName val="ewst"/>
      <sheetName val="Material"/>
      <sheetName val="GA"/>
      <sheetName val="WATER-HAMMER"/>
      <sheetName val="m"/>
      <sheetName val="Usage"/>
      <sheetName val="Common "/>
      <sheetName val="General"/>
      <sheetName val="pop"/>
      <sheetName val="Data rough"/>
      <sheetName val="HDPE-pipe-rates"/>
      <sheetName val="C-data"/>
      <sheetName val="mlead"/>
      <sheetName val="Abs_CD_2"/>
      <sheetName val="coverpage"/>
      <sheetName val="road est"/>
      <sheetName val="ECV"/>
      <sheetName val="clvrt_data"/>
      <sheetName val="int-dia-hdpe"/>
      <sheetName val="Gen_Abs"/>
      <sheetName val="FORM7"/>
      <sheetName val="Data.F8.BTR"/>
      <sheetName val="Lead statement"/>
      <sheetName val="other rates"/>
      <sheetName val="MTC-estimate"/>
      <sheetName val="Specification"/>
      <sheetName val="Specification report"/>
      <sheetName val="Works"/>
      <sheetName val="civ data"/>
      <sheetName val="PUMP_DATA"/>
      <sheetName val="Data_Renuals"/>
      <sheetName val="SPT vs PHI"/>
      <sheetName val="PRELIM5"/>
      <sheetName val="Plant_&amp;__Machinery"/>
      <sheetName val="data_existing_do_not_delete"/>
      <sheetName val="hdpe_weights"/>
      <sheetName val="PVC_weights"/>
      <sheetName val="Road_data"/>
      <sheetName val="Road_data-TDR"/>
      <sheetName val="MRoad_data"/>
      <sheetName val="Lead_statement"/>
      <sheetName val="DL_CAL"/>
      <sheetName val="Plant_&amp;__Machinery1"/>
      <sheetName val="data_existing_do_not_delete1"/>
      <sheetName val="hdpe_weights1"/>
      <sheetName val="PVC_weights1"/>
      <sheetName val="Road_data1"/>
      <sheetName val="Road_data-TDR1"/>
      <sheetName val="MRoad_data1"/>
      <sheetName val="Lead_statement1"/>
      <sheetName val="Analy"/>
    </sheetNames>
    <sheetDataSet>
      <sheetData sheetId="0" refreshError="1">
        <row r="15">
          <cell r="C15" t="str">
            <v>Filling Basement with excavated soils with watering and tamping etc.complete.</v>
          </cell>
        </row>
        <row r="18">
          <cell r="C18" t="str">
            <v>C.C.(1:2:4) mix using 20mm guage HG metal including cost and conveyance of  all materials and labour charges, seig.charges etc.,complete for Bed Blocks.</v>
          </cell>
        </row>
        <row r="24">
          <cell r="C24" t="str">
            <v>Impervious coat plastering with C.M.(1:3) 20mm thick 2kgs of Acco-proof powder  including cost and conveyance of all materials and labour charges, seig.charges etc., complete.</v>
          </cell>
        </row>
      </sheetData>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s>
    <sheetDataSet>
      <sheetData sheetId="0" refreshError="1"/>
      <sheetData sheetId="1" refreshError="1"/>
      <sheetData sheetId="2" refreshError="1"/>
      <sheetData sheetId="3" refreshError="1"/>
      <sheetData sheetId="4" refreshError="1"/>
      <sheetData sheetId="5" refreshError="1"/>
      <sheetData sheetId="6" refreshError="1">
        <row r="149">
          <cell r="B149" t="str">
            <v>Bijnepally</v>
          </cell>
          <cell r="D149" t="str">
            <v>Bijnepally</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rdamdata"/>
      <sheetName val="lead-st"/>
      <sheetName val="MRATES"/>
      <sheetName val="maya"/>
      <sheetName val="v"/>
      <sheetName val="r"/>
      <sheetName val="m"/>
      <sheetName val="HDPE"/>
      <sheetName val="DI"/>
      <sheetName val="pvc"/>
      <sheetName val="bom"/>
      <sheetName val="Sheet1"/>
      <sheetName val="hdpe_basic"/>
      <sheetName val="pvc_basic"/>
      <sheetName val="clvrt_data"/>
      <sheetName val="Ra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DESIGEN_RCC_CULVERT"/>
      <sheetName val="DESIGENS_HP_CULVERT"/>
    </sheetNames>
    <sheetDataSet>
      <sheetData sheetId="0" refreshError="1">
        <row r="67">
          <cell r="H67">
            <v>1410.4611040000002</v>
          </cell>
        </row>
        <row r="97">
          <cell r="H97">
            <v>2314.9090639999999</v>
          </cell>
        </row>
        <row r="245">
          <cell r="H245">
            <v>30.16</v>
          </cell>
        </row>
      </sheetData>
      <sheetData sheetId="1" refreshError="1"/>
      <sheetData sheetId="2"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r"/>
      <sheetName val="v"/>
      <sheetName val="MRATES"/>
      <sheetName val="HDPE"/>
      <sheetName val="pvc"/>
      <sheetName val="hdpe_basic"/>
      <sheetName val="pvc_basic"/>
      <sheetName val="DI"/>
      <sheetName val="bom"/>
      <sheetName val="rdamdata"/>
      <sheetName val="Sheet1"/>
      <sheetName val="wh_data"/>
      <sheetName val="CPHEEO"/>
      <sheetName val="wh_data_R"/>
      <sheetName val="input"/>
      <sheetName val="clvrt_data"/>
      <sheetName val="lead-st"/>
      <sheetName val="Abs"/>
      <sheetName val="Lead"/>
      <sheetName val="mlead"/>
      <sheetName val="RMR"/>
      <sheetName val="Quarry"/>
      <sheetName val="Line"/>
      <sheetName val="BTR"/>
      <sheetName val="CRUST"/>
      <sheetName val="QDTS"/>
      <sheetName val="Rates"/>
      <sheetName val="Road data"/>
      <sheetName val="Specification report"/>
      <sheetName val="SPT vs PHI"/>
      <sheetName val="m"/>
      <sheetName val="Material"/>
      <sheetName val="Works"/>
      <sheetName val="General"/>
      <sheetName val="Pop"/>
      <sheetName val="HS final-2"/>
      <sheetName val="int-dia-hdpe"/>
      <sheetName val="int-dia-pvc"/>
      <sheetName val="DATA_PRG"/>
      <sheetName val="C-data"/>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 val="MRATES"/>
      <sheetName val="bom"/>
      <sheetName val="HDPE"/>
      <sheetName val="pvc"/>
      <sheetName val="rdamdata"/>
      <sheetName val="data-WC"/>
      <sheetName val="data"/>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C-data"/>
      <sheetName val="Estimate-Civil"/>
      <sheetName val="det-qty"/>
      <sheetName val="Joinary"/>
      <sheetName val="Sheet1"/>
      <sheetName val="DATA"/>
      <sheetName val="DATA_PRG"/>
    </sheetNames>
    <sheetDataSet>
      <sheetData sheetId="0" refreshError="1"/>
      <sheetData sheetId="1" refreshError="1">
        <row r="6">
          <cell r="F6">
            <v>180</v>
          </cell>
        </row>
        <row r="7">
          <cell r="F7">
            <v>160</v>
          </cell>
        </row>
        <row r="12">
          <cell r="F12">
            <v>180</v>
          </cell>
        </row>
        <row r="13">
          <cell r="F13">
            <v>160</v>
          </cell>
        </row>
        <row r="25">
          <cell r="F25">
            <v>64</v>
          </cell>
        </row>
        <row r="45">
          <cell r="F45">
            <v>155</v>
          </cell>
        </row>
        <row r="55">
          <cell r="F55">
            <v>6192</v>
          </cell>
        </row>
        <row r="63">
          <cell r="F63">
            <v>2280.9</v>
          </cell>
        </row>
        <row r="86">
          <cell r="F86">
            <v>33</v>
          </cell>
        </row>
        <row r="90">
          <cell r="F90">
            <v>68358</v>
          </cell>
        </row>
        <row r="92">
          <cell r="F92">
            <v>71613</v>
          </cell>
        </row>
        <row r="112">
          <cell r="F112">
            <v>10</v>
          </cell>
        </row>
        <row r="115">
          <cell r="F115">
            <v>324</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C-data"/>
      <sheetName val="Lead statement"/>
      <sheetName val="m"/>
      <sheetName val="nodes"/>
      <sheetName val="habs-list"/>
      <sheetName val="int-Dia"/>
      <sheetName val="Lead statement ss5"/>
      <sheetName val="leads"/>
      <sheetName val="HDPE"/>
      <sheetName val="DI"/>
      <sheetName val="pvc"/>
      <sheetName val="hdpe_basic"/>
      <sheetName val="pvc_basic"/>
      <sheetName val="rdamdata"/>
      <sheetName val="DATA_PRG"/>
      <sheetName val="RMR"/>
      <sheetName val="Pop"/>
      <sheetName val="wh_data"/>
      <sheetName val="wh_data_R"/>
      <sheetName val="CPHEEO"/>
      <sheetName val="input"/>
      <sheetName val="DATA"/>
      <sheetName val="clvrt_data"/>
    </sheetNames>
    <sheetDataSet>
      <sheetData sheetId="0"/>
      <sheetData sheetId="1"/>
      <sheetData sheetId="2"/>
      <sheetData sheetId="3"/>
      <sheetData sheetId="4"/>
      <sheetData sheetId="5"/>
      <sheetData sheetId="6"/>
      <sheetData sheetId="7"/>
      <sheetData sheetId="8" refreshError="1">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MRATES"/>
      <sheetName val="Lead statement"/>
      <sheetName val="Sheet1"/>
      <sheetName val="leads"/>
      <sheetName val="C-data"/>
      <sheetName val="m"/>
      <sheetName val="DATA"/>
      <sheetName val="MRoad data"/>
      <sheetName val="rdamdata"/>
      <sheetName val="lead-st"/>
      <sheetName val="DATA_PRG"/>
      <sheetName val="Lead"/>
      <sheetName val="Pop"/>
      <sheetName val="Usage"/>
      <sheetName val="Common "/>
      <sheetName val="General"/>
      <sheetName val="wh_data_R"/>
      <sheetName val="Cover"/>
      <sheetName val="PM&amp;GM"/>
      <sheetName val="AV-DI"/>
      <sheetName val="AV-PVC"/>
      <sheetName val="DI"/>
      <sheetName val="DI gate-DI"/>
      <sheetName val="DIgate_PVC "/>
      <sheetName val="PVC"/>
      <sheetName val="scour-DI-CI"/>
      <sheetName val="scour-pvc-hdpe-psc-bwsc"/>
      <sheetName val="zone-2"/>
      <sheetName val="HDPE"/>
      <sheetName val="water-hammar-strenght"/>
      <sheetName val="PUMP_DATA"/>
      <sheetName val="m1"/>
      <sheetName val="hdpe weights"/>
      <sheetName val="PVC weights"/>
      <sheetName val="bom"/>
      <sheetName val="PRELIM5"/>
      <sheetName val="clvrt_data"/>
      <sheetName val="may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C6">
            <v>0</v>
          </cell>
          <cell r="D6">
            <v>2500</v>
          </cell>
          <cell r="E6" t="str">
            <v>/MT</v>
          </cell>
        </row>
        <row r="7">
          <cell r="A7">
            <v>6</v>
          </cell>
          <cell r="B7" t="str">
            <v>Steel</v>
          </cell>
          <cell r="C7">
            <v>0</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C14">
            <v>0</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D1">
            <v>0</v>
          </cell>
          <cell r="E1">
            <v>0</v>
          </cell>
          <cell r="F1" t="str">
            <v>DETAILS</v>
          </cell>
          <cell r="G1" t="str">
            <v>Unit</v>
          </cell>
          <cell r="H1" t="str">
            <v>PER</v>
          </cell>
          <cell r="I1" t="str">
            <v>RATE</v>
          </cell>
        </row>
        <row r="2">
          <cell r="B2">
            <v>1</v>
          </cell>
          <cell r="C2" t="str">
            <v>1ab</v>
          </cell>
          <cell r="D2">
            <v>0</v>
          </cell>
          <cell r="E2">
            <v>0</v>
          </cell>
          <cell r="F2" t="str">
            <v>1st Class Mason</v>
          </cell>
          <cell r="G2">
            <v>1</v>
          </cell>
          <cell r="H2" t="str">
            <v>each</v>
          </cell>
          <cell r="I2">
            <v>86</v>
          </cell>
        </row>
        <row r="3">
          <cell r="B3">
            <v>26</v>
          </cell>
          <cell r="C3">
            <v>17</v>
          </cell>
          <cell r="D3">
            <v>0</v>
          </cell>
          <cell r="E3">
            <v>0</v>
          </cell>
          <cell r="F3" t="str">
            <v>Spl.grade Mason</v>
          </cell>
          <cell r="G3">
            <v>1</v>
          </cell>
          <cell r="H3" t="str">
            <v>each</v>
          </cell>
          <cell r="I3">
            <v>0</v>
          </cell>
        </row>
        <row r="4">
          <cell r="B4">
            <v>28</v>
          </cell>
          <cell r="C4" t="str">
            <v>1a</v>
          </cell>
          <cell r="D4">
            <v>0</v>
          </cell>
          <cell r="E4">
            <v>0</v>
          </cell>
          <cell r="F4" t="str">
            <v>2nd Class Mason</v>
          </cell>
          <cell r="G4">
            <v>1</v>
          </cell>
          <cell r="H4" t="str">
            <v>each</v>
          </cell>
          <cell r="I4">
            <v>75</v>
          </cell>
        </row>
        <row r="5">
          <cell r="B5">
            <v>53</v>
          </cell>
          <cell r="C5">
            <v>2</v>
          </cell>
          <cell r="D5">
            <v>0</v>
          </cell>
          <cell r="E5">
            <v>0</v>
          </cell>
          <cell r="F5" t="str">
            <v>Man Mazdoor</v>
          </cell>
          <cell r="G5">
            <v>1</v>
          </cell>
          <cell r="H5" t="str">
            <v>each</v>
          </cell>
          <cell r="I5">
            <v>55</v>
          </cell>
        </row>
        <row r="6">
          <cell r="B6">
            <v>54</v>
          </cell>
          <cell r="C6">
            <v>3</v>
          </cell>
          <cell r="D6">
            <v>0</v>
          </cell>
          <cell r="E6">
            <v>0</v>
          </cell>
          <cell r="F6" t="str">
            <v>Woman Mazdoor</v>
          </cell>
          <cell r="G6">
            <v>1</v>
          </cell>
          <cell r="H6" t="str">
            <v>each</v>
          </cell>
          <cell r="I6">
            <v>55</v>
          </cell>
        </row>
        <row r="7">
          <cell r="B7">
            <v>60</v>
          </cell>
          <cell r="C7" t="str">
            <v>1a</v>
          </cell>
          <cell r="D7">
            <v>0</v>
          </cell>
          <cell r="E7">
            <v>0</v>
          </cell>
          <cell r="F7" t="str">
            <v>2nd Class Bricks</v>
          </cell>
          <cell r="G7">
            <v>1000</v>
          </cell>
          <cell r="H7" t="str">
            <v>Nos</v>
          </cell>
          <cell r="I7">
            <v>1200</v>
          </cell>
        </row>
        <row r="8">
          <cell r="B8">
            <v>67</v>
          </cell>
          <cell r="C8" t="str">
            <v>2c</v>
          </cell>
          <cell r="D8">
            <v>0</v>
          </cell>
          <cell r="E8">
            <v>0</v>
          </cell>
          <cell r="F8" t="str">
            <v>RR stone Granite Variety</v>
          </cell>
          <cell r="G8">
            <v>1</v>
          </cell>
          <cell r="H8" t="str">
            <v>cum</v>
          </cell>
          <cell r="I8">
            <v>75</v>
          </cell>
        </row>
        <row r="9">
          <cell r="B9">
            <v>72</v>
          </cell>
          <cell r="C9" t="str">
            <v>3a</v>
          </cell>
          <cell r="D9">
            <v>0</v>
          </cell>
          <cell r="E9">
            <v>0</v>
          </cell>
          <cell r="F9" t="str">
            <v>CR stone Granite Variety</v>
          </cell>
          <cell r="G9">
            <v>1</v>
          </cell>
          <cell r="H9" t="str">
            <v>cum</v>
          </cell>
          <cell r="I9">
            <v>109</v>
          </cell>
        </row>
        <row r="10">
          <cell r="B10">
            <v>80</v>
          </cell>
          <cell r="C10">
            <v>0</v>
          </cell>
          <cell r="D10">
            <v>0</v>
          </cell>
          <cell r="E10">
            <v>0</v>
          </cell>
          <cell r="F10" t="str">
            <v>6 mm SS</v>
          </cell>
          <cell r="G10">
            <v>1</v>
          </cell>
          <cell r="H10" t="str">
            <v>cum</v>
          </cell>
          <cell r="I10">
            <v>170</v>
          </cell>
        </row>
        <row r="11">
          <cell r="B11">
            <v>81</v>
          </cell>
          <cell r="C11">
            <v>0</v>
          </cell>
          <cell r="D11">
            <v>0</v>
          </cell>
          <cell r="E11">
            <v>0</v>
          </cell>
          <cell r="F11" t="str">
            <v>5 to 7 mm IRC</v>
          </cell>
          <cell r="G11">
            <v>1</v>
          </cell>
          <cell r="H11" t="str">
            <v>cum</v>
          </cell>
          <cell r="I11">
            <v>170</v>
          </cell>
        </row>
        <row r="12">
          <cell r="B12">
            <v>82</v>
          </cell>
          <cell r="C12">
            <v>0</v>
          </cell>
          <cell r="D12">
            <v>0</v>
          </cell>
          <cell r="E12">
            <v>0</v>
          </cell>
          <cell r="F12" t="str">
            <v>10 mm SS</v>
          </cell>
          <cell r="G12">
            <v>1</v>
          </cell>
          <cell r="H12" t="str">
            <v>cum</v>
          </cell>
          <cell r="I12">
            <v>250</v>
          </cell>
        </row>
        <row r="13">
          <cell r="B13">
            <v>83</v>
          </cell>
          <cell r="C13">
            <v>0</v>
          </cell>
          <cell r="D13">
            <v>0</v>
          </cell>
          <cell r="E13">
            <v>0</v>
          </cell>
          <cell r="F13" t="str">
            <v>10 to 11.2 IRC</v>
          </cell>
          <cell r="G13">
            <v>1</v>
          </cell>
          <cell r="H13" t="str">
            <v>cum</v>
          </cell>
          <cell r="I13">
            <v>250</v>
          </cell>
        </row>
        <row r="14">
          <cell r="B14">
            <v>84</v>
          </cell>
          <cell r="C14">
            <v>0</v>
          </cell>
          <cell r="D14">
            <v>0</v>
          </cell>
          <cell r="E14">
            <v>0</v>
          </cell>
          <cell r="F14" t="str">
            <v>12 mm SS</v>
          </cell>
          <cell r="G14">
            <v>1</v>
          </cell>
          <cell r="H14" t="str">
            <v>cum</v>
          </cell>
          <cell r="I14">
            <v>300</v>
          </cell>
        </row>
        <row r="15">
          <cell r="B15">
            <v>85</v>
          </cell>
          <cell r="C15">
            <v>0</v>
          </cell>
          <cell r="D15">
            <v>0</v>
          </cell>
          <cell r="E15">
            <v>0</v>
          </cell>
          <cell r="F15" t="str">
            <v>12 to 14 mm IRC</v>
          </cell>
          <cell r="G15">
            <v>1</v>
          </cell>
          <cell r="H15" t="str">
            <v>cum</v>
          </cell>
          <cell r="I15">
            <v>300</v>
          </cell>
        </row>
        <row r="16">
          <cell r="B16">
            <v>86</v>
          </cell>
          <cell r="C16">
            <v>0</v>
          </cell>
          <cell r="D16">
            <v>0</v>
          </cell>
          <cell r="E16">
            <v>0</v>
          </cell>
          <cell r="F16" t="str">
            <v>20 mm SS</v>
          </cell>
          <cell r="G16">
            <v>1</v>
          </cell>
          <cell r="H16" t="str">
            <v>cum</v>
          </cell>
          <cell r="I16">
            <v>380</v>
          </cell>
        </row>
        <row r="17">
          <cell r="B17">
            <v>87</v>
          </cell>
          <cell r="C17">
            <v>0</v>
          </cell>
          <cell r="D17">
            <v>0</v>
          </cell>
          <cell r="E17">
            <v>0</v>
          </cell>
          <cell r="F17" t="str">
            <v>20 to 22 mm IRC</v>
          </cell>
          <cell r="G17">
            <v>1</v>
          </cell>
          <cell r="H17" t="str">
            <v>cum</v>
          </cell>
          <cell r="I17">
            <v>375</v>
          </cell>
        </row>
        <row r="18">
          <cell r="B18">
            <v>88</v>
          </cell>
          <cell r="C18">
            <v>0</v>
          </cell>
          <cell r="D18">
            <v>0</v>
          </cell>
          <cell r="E18">
            <v>0</v>
          </cell>
          <cell r="F18" t="str">
            <v>25 mm SS</v>
          </cell>
          <cell r="G18">
            <v>1</v>
          </cell>
          <cell r="H18" t="str">
            <v>cum</v>
          </cell>
          <cell r="I18">
            <v>300</v>
          </cell>
        </row>
        <row r="19">
          <cell r="B19">
            <v>89</v>
          </cell>
          <cell r="C19">
            <v>0</v>
          </cell>
          <cell r="D19">
            <v>0</v>
          </cell>
          <cell r="E19">
            <v>0</v>
          </cell>
          <cell r="F19" t="str">
            <v>25 to 27 mm IRC</v>
          </cell>
          <cell r="G19">
            <v>1</v>
          </cell>
          <cell r="H19" t="str">
            <v>cum</v>
          </cell>
          <cell r="I19">
            <v>300</v>
          </cell>
        </row>
        <row r="20">
          <cell r="B20">
            <v>90</v>
          </cell>
          <cell r="C20">
            <v>0</v>
          </cell>
          <cell r="D20">
            <v>0</v>
          </cell>
          <cell r="E20">
            <v>0</v>
          </cell>
          <cell r="F20" t="str">
            <v>40 mm SS</v>
          </cell>
          <cell r="G20">
            <v>1</v>
          </cell>
          <cell r="H20" t="str">
            <v>cum</v>
          </cell>
          <cell r="I20">
            <v>215</v>
          </cell>
        </row>
        <row r="21">
          <cell r="B21">
            <v>91</v>
          </cell>
          <cell r="C21">
            <v>0</v>
          </cell>
          <cell r="D21">
            <v>0</v>
          </cell>
          <cell r="E21">
            <v>0</v>
          </cell>
          <cell r="F21" t="str">
            <v>40 to 45 mm IRC</v>
          </cell>
          <cell r="G21">
            <v>1</v>
          </cell>
          <cell r="H21" t="str">
            <v>cum</v>
          </cell>
          <cell r="I21">
            <v>200</v>
          </cell>
        </row>
        <row r="22">
          <cell r="B22">
            <v>92</v>
          </cell>
          <cell r="C22">
            <v>0</v>
          </cell>
          <cell r="D22">
            <v>0</v>
          </cell>
          <cell r="E22">
            <v>0</v>
          </cell>
          <cell r="F22" t="str">
            <v>50 mm SS</v>
          </cell>
          <cell r="G22">
            <v>1</v>
          </cell>
          <cell r="H22" t="str">
            <v>cum</v>
          </cell>
          <cell r="I22">
            <v>150</v>
          </cell>
        </row>
        <row r="23">
          <cell r="B23">
            <v>93</v>
          </cell>
          <cell r="C23">
            <v>0</v>
          </cell>
          <cell r="D23">
            <v>0</v>
          </cell>
          <cell r="E23">
            <v>0</v>
          </cell>
          <cell r="F23" t="str">
            <v>50 to 55mm IRC</v>
          </cell>
          <cell r="G23">
            <v>1</v>
          </cell>
          <cell r="H23" t="str">
            <v>cum</v>
          </cell>
          <cell r="I23">
            <v>120</v>
          </cell>
        </row>
        <row r="24">
          <cell r="B24">
            <v>94</v>
          </cell>
          <cell r="C24">
            <v>0</v>
          </cell>
          <cell r="D24">
            <v>0</v>
          </cell>
          <cell r="E24">
            <v>0</v>
          </cell>
          <cell r="F24" t="str">
            <v>60 mm SS</v>
          </cell>
          <cell r="G24">
            <v>1</v>
          </cell>
          <cell r="H24" t="str">
            <v>cum</v>
          </cell>
          <cell r="I24">
            <v>150</v>
          </cell>
        </row>
        <row r="25">
          <cell r="B25">
            <v>95</v>
          </cell>
          <cell r="C25">
            <v>0</v>
          </cell>
          <cell r="D25">
            <v>0</v>
          </cell>
          <cell r="E25">
            <v>0</v>
          </cell>
          <cell r="F25" t="str">
            <v>60 to 63 mm IRC</v>
          </cell>
          <cell r="G25">
            <v>1</v>
          </cell>
          <cell r="H25" t="str">
            <v>cum</v>
          </cell>
          <cell r="I25">
            <v>110</v>
          </cell>
        </row>
        <row r="26">
          <cell r="B26">
            <v>96</v>
          </cell>
          <cell r="C26">
            <v>0</v>
          </cell>
          <cell r="D26">
            <v>0</v>
          </cell>
          <cell r="E26">
            <v>0</v>
          </cell>
          <cell r="F26" t="str">
            <v>65 mm SS</v>
          </cell>
          <cell r="G26">
            <v>1</v>
          </cell>
          <cell r="H26" t="str">
            <v>cum</v>
          </cell>
          <cell r="I26">
            <v>150</v>
          </cell>
        </row>
        <row r="27">
          <cell r="B27">
            <v>97</v>
          </cell>
          <cell r="C27">
            <v>0</v>
          </cell>
          <cell r="D27">
            <v>0</v>
          </cell>
          <cell r="E27">
            <v>0</v>
          </cell>
          <cell r="F27" t="str">
            <v>65 mm IRC</v>
          </cell>
          <cell r="G27">
            <v>1</v>
          </cell>
          <cell r="H27" t="str">
            <v>cum</v>
          </cell>
          <cell r="I27">
            <v>120</v>
          </cell>
        </row>
        <row r="28">
          <cell r="B28">
            <v>98</v>
          </cell>
          <cell r="C28">
            <v>0</v>
          </cell>
          <cell r="D28">
            <v>0</v>
          </cell>
          <cell r="E28">
            <v>0</v>
          </cell>
          <cell r="F28" t="str">
            <v>75 mm SS</v>
          </cell>
          <cell r="G28">
            <v>1</v>
          </cell>
          <cell r="H28" t="str">
            <v>cum</v>
          </cell>
          <cell r="I28">
            <v>95</v>
          </cell>
        </row>
        <row r="29">
          <cell r="B29">
            <v>99</v>
          </cell>
          <cell r="C29">
            <v>0</v>
          </cell>
          <cell r="D29">
            <v>0</v>
          </cell>
          <cell r="E29">
            <v>0</v>
          </cell>
          <cell r="F29" t="str">
            <v>75 mm IRC</v>
          </cell>
          <cell r="G29">
            <v>1</v>
          </cell>
          <cell r="H29" t="str">
            <v>cum</v>
          </cell>
          <cell r="I29">
            <v>95</v>
          </cell>
        </row>
        <row r="30">
          <cell r="B30">
            <v>100</v>
          </cell>
          <cell r="C30">
            <v>0</v>
          </cell>
          <cell r="D30">
            <v>0</v>
          </cell>
          <cell r="E30">
            <v>0</v>
          </cell>
          <cell r="F30" t="str">
            <v>Blasting</v>
          </cell>
          <cell r="G30">
            <v>1</v>
          </cell>
          <cell r="H30" t="str">
            <v>cum</v>
          </cell>
          <cell r="I30">
            <v>40</v>
          </cell>
        </row>
        <row r="31">
          <cell r="B31">
            <v>101</v>
          </cell>
          <cell r="C31">
            <v>0</v>
          </cell>
          <cell r="D31">
            <v>0</v>
          </cell>
          <cell r="E31">
            <v>0</v>
          </cell>
          <cell r="F31" t="str">
            <v>Metal Crushing</v>
          </cell>
          <cell r="G31">
            <v>1</v>
          </cell>
          <cell r="H31" t="str">
            <v>cum</v>
          </cell>
          <cell r="I31">
            <v>0.25</v>
          </cell>
        </row>
        <row r="32">
          <cell r="B32">
            <v>127</v>
          </cell>
          <cell r="C32">
            <v>9</v>
          </cell>
          <cell r="D32">
            <v>0</v>
          </cell>
          <cell r="E32">
            <v>0</v>
          </cell>
          <cell r="F32" t="str">
            <v>Gravel</v>
          </cell>
          <cell r="G32">
            <v>1</v>
          </cell>
          <cell r="H32" t="str">
            <v>cum</v>
          </cell>
          <cell r="I32">
            <v>25</v>
          </cell>
        </row>
        <row r="33">
          <cell r="B33">
            <v>128</v>
          </cell>
          <cell r="C33">
            <v>0</v>
          </cell>
          <cell r="D33">
            <v>0</v>
          </cell>
          <cell r="E33">
            <v>0</v>
          </cell>
          <cell r="F33" t="str">
            <v>Quarry rubbish</v>
          </cell>
          <cell r="G33">
            <v>1</v>
          </cell>
          <cell r="H33" t="str">
            <v>cum</v>
          </cell>
          <cell r="I33">
            <v>11</v>
          </cell>
        </row>
        <row r="34">
          <cell r="B34">
            <v>129</v>
          </cell>
          <cell r="C34">
            <v>0</v>
          </cell>
          <cell r="D34">
            <v>0</v>
          </cell>
          <cell r="E34">
            <v>0</v>
          </cell>
          <cell r="F34" t="str">
            <v>Sand for Mortar, Seal coat</v>
          </cell>
          <cell r="G34">
            <v>1</v>
          </cell>
          <cell r="H34" t="str">
            <v>cum</v>
          </cell>
          <cell r="I34">
            <v>50</v>
          </cell>
        </row>
        <row r="35">
          <cell r="B35">
            <v>130</v>
          </cell>
          <cell r="C35">
            <v>0</v>
          </cell>
          <cell r="D35">
            <v>0</v>
          </cell>
          <cell r="E35">
            <v>0</v>
          </cell>
          <cell r="F35" t="str">
            <v>Sand for Filling, Blindage</v>
          </cell>
          <cell r="G35">
            <v>1</v>
          </cell>
          <cell r="H35" t="str">
            <v>cum</v>
          </cell>
          <cell r="I35">
            <v>20</v>
          </cell>
        </row>
        <row r="36">
          <cell r="B36">
            <v>133</v>
          </cell>
          <cell r="C36">
            <v>15</v>
          </cell>
          <cell r="D36">
            <v>0</v>
          </cell>
          <cell r="E36">
            <v>0</v>
          </cell>
          <cell r="F36" t="str">
            <v>40 mm thick 0.762 m x.457 m</v>
          </cell>
          <cell r="G36">
            <v>1</v>
          </cell>
          <cell r="H36" t="str">
            <v>sqm</v>
          </cell>
          <cell r="I36">
            <v>70</v>
          </cell>
        </row>
        <row r="37">
          <cell r="B37">
            <v>134</v>
          </cell>
          <cell r="C37">
            <v>16</v>
          </cell>
          <cell r="D37">
            <v>0</v>
          </cell>
          <cell r="E37">
            <v>0</v>
          </cell>
          <cell r="F37" t="str">
            <v>50 mm thick 0.762 m x.457 m</v>
          </cell>
          <cell r="G37">
            <v>1</v>
          </cell>
          <cell r="H37" t="str">
            <v>sqm</v>
          </cell>
          <cell r="I37">
            <v>80</v>
          </cell>
        </row>
        <row r="38">
          <cell r="B38">
            <v>136</v>
          </cell>
          <cell r="C38">
            <v>0</v>
          </cell>
          <cell r="D38">
            <v>0</v>
          </cell>
          <cell r="E38">
            <v>0</v>
          </cell>
          <cell r="F38" t="str">
            <v>25.4 mm thick White</v>
          </cell>
          <cell r="G38">
            <v>10</v>
          </cell>
          <cell r="H38" t="str">
            <v>sqm</v>
          </cell>
          <cell r="I38">
            <v>550</v>
          </cell>
        </row>
        <row r="39">
          <cell r="B39">
            <v>137</v>
          </cell>
          <cell r="C39">
            <v>0</v>
          </cell>
          <cell r="D39">
            <v>0</v>
          </cell>
          <cell r="E39">
            <v>0</v>
          </cell>
          <cell r="F39" t="str">
            <v>25.4 mm thick Blue</v>
          </cell>
          <cell r="G39">
            <v>10</v>
          </cell>
          <cell r="H39" t="str">
            <v>sqm</v>
          </cell>
          <cell r="I39">
            <v>600</v>
          </cell>
        </row>
        <row r="40">
          <cell r="B40">
            <v>138</v>
          </cell>
          <cell r="C40">
            <v>0</v>
          </cell>
          <cell r="D40">
            <v>0</v>
          </cell>
          <cell r="E40">
            <v>0</v>
          </cell>
          <cell r="F40" t="str">
            <v>25.4 mm thick White</v>
          </cell>
          <cell r="G40">
            <v>10</v>
          </cell>
          <cell r="H40" t="str">
            <v>sqm</v>
          </cell>
          <cell r="I40">
            <v>600</v>
          </cell>
        </row>
        <row r="41">
          <cell r="B41">
            <v>139</v>
          </cell>
          <cell r="C41">
            <v>0</v>
          </cell>
          <cell r="D41">
            <v>0</v>
          </cell>
          <cell r="E41">
            <v>0</v>
          </cell>
          <cell r="F41" t="str">
            <v>25.4 mm thick Blue</v>
          </cell>
          <cell r="G41">
            <v>10</v>
          </cell>
          <cell r="H41" t="str">
            <v>sqm</v>
          </cell>
          <cell r="I41">
            <v>700</v>
          </cell>
        </row>
        <row r="42">
          <cell r="B42">
            <v>140</v>
          </cell>
          <cell r="C42">
            <v>0</v>
          </cell>
          <cell r="D42">
            <v>0</v>
          </cell>
          <cell r="E42">
            <v>0</v>
          </cell>
          <cell r="F42" t="str">
            <v>25.4 mm thick White  0.457mx0.457 m</v>
          </cell>
          <cell r="G42">
            <v>10</v>
          </cell>
          <cell r="H42" t="str">
            <v>sqm</v>
          </cell>
          <cell r="I42">
            <v>1000</v>
          </cell>
        </row>
        <row r="43">
          <cell r="B43">
            <v>141</v>
          </cell>
          <cell r="C43">
            <v>0</v>
          </cell>
          <cell r="D43">
            <v>0</v>
          </cell>
          <cell r="E43">
            <v>0</v>
          </cell>
          <cell r="F43" t="str">
            <v>25.4 mm thick Blue  0.457mx0.457 m</v>
          </cell>
          <cell r="G43">
            <v>10</v>
          </cell>
          <cell r="H43" t="str">
            <v>sqm</v>
          </cell>
          <cell r="I43">
            <v>1150</v>
          </cell>
        </row>
        <row r="44">
          <cell r="B44">
            <v>142</v>
          </cell>
          <cell r="C44">
            <v>20</v>
          </cell>
          <cell r="D44">
            <v>0</v>
          </cell>
          <cell r="E44">
            <v>0</v>
          </cell>
          <cell r="F44" t="str">
            <v>25.4 mm thick   0.457mx0.457 m</v>
          </cell>
          <cell r="G44">
            <v>10</v>
          </cell>
          <cell r="H44" t="str">
            <v>sqm</v>
          </cell>
          <cell r="I44">
            <v>900</v>
          </cell>
        </row>
        <row r="45">
          <cell r="B45">
            <v>143</v>
          </cell>
          <cell r="C45">
            <v>21</v>
          </cell>
          <cell r="D45">
            <v>0</v>
          </cell>
          <cell r="E45">
            <v>0</v>
          </cell>
          <cell r="F45" t="str">
            <v>25.4 mm thick 0.254mx0.254 m White</v>
          </cell>
          <cell r="G45">
            <v>10</v>
          </cell>
          <cell r="H45" t="str">
            <v>sqm</v>
          </cell>
          <cell r="I45">
            <v>2700</v>
          </cell>
        </row>
        <row r="46">
          <cell r="B46">
            <v>168</v>
          </cell>
          <cell r="C46">
            <v>0</v>
          </cell>
          <cell r="D46">
            <v>0</v>
          </cell>
          <cell r="E46">
            <v>0</v>
          </cell>
          <cell r="F46" t="str">
            <v>Cement Mortar</v>
          </cell>
          <cell r="G46">
            <v>1</v>
          </cell>
          <cell r="H46" t="str">
            <v>cum</v>
          </cell>
          <cell r="I46">
            <v>15</v>
          </cell>
        </row>
        <row r="47">
          <cell r="B47">
            <v>169</v>
          </cell>
          <cell r="C47">
            <v>0</v>
          </cell>
          <cell r="D47">
            <v>0</v>
          </cell>
          <cell r="E47">
            <v>0</v>
          </cell>
          <cell r="F47" t="str">
            <v>By Machine</v>
          </cell>
          <cell r="G47">
            <v>1</v>
          </cell>
          <cell r="H47" t="str">
            <v>cum</v>
          </cell>
          <cell r="I47">
            <v>25</v>
          </cell>
        </row>
        <row r="48">
          <cell r="B48">
            <v>175</v>
          </cell>
          <cell r="C48">
            <v>0</v>
          </cell>
          <cell r="D48">
            <v>0</v>
          </cell>
          <cell r="E48">
            <v>0</v>
          </cell>
          <cell r="F48" t="str">
            <v>White Cement</v>
          </cell>
          <cell r="G48">
            <v>1</v>
          </cell>
          <cell r="H48" t="str">
            <v>kg</v>
          </cell>
          <cell r="I48">
            <v>9</v>
          </cell>
        </row>
        <row r="49">
          <cell r="B49">
            <v>176</v>
          </cell>
          <cell r="C49">
            <v>0</v>
          </cell>
          <cell r="D49">
            <v>0</v>
          </cell>
          <cell r="E49">
            <v>0</v>
          </cell>
          <cell r="F49" t="str">
            <v xml:space="preserve">Scantling below 2m </v>
          </cell>
          <cell r="G49">
            <v>1</v>
          </cell>
          <cell r="H49" t="str">
            <v>cum</v>
          </cell>
          <cell r="I49">
            <v>50000</v>
          </cell>
        </row>
        <row r="50">
          <cell r="B50">
            <v>177</v>
          </cell>
          <cell r="C50">
            <v>0</v>
          </cell>
          <cell r="D50">
            <v>0</v>
          </cell>
          <cell r="E50">
            <v>0</v>
          </cell>
          <cell r="F50" t="str">
            <v xml:space="preserve">Scantling above 2m </v>
          </cell>
          <cell r="G50">
            <v>1</v>
          </cell>
          <cell r="H50" t="str">
            <v>cum</v>
          </cell>
          <cell r="I50">
            <v>52000</v>
          </cell>
        </row>
        <row r="51">
          <cell r="B51">
            <v>178</v>
          </cell>
          <cell r="C51">
            <v>0</v>
          </cell>
          <cell r="D51">
            <v>0</v>
          </cell>
          <cell r="E51">
            <v>0</v>
          </cell>
          <cell r="F51" t="str">
            <v>Planks of all sizes</v>
          </cell>
          <cell r="G51">
            <v>1</v>
          </cell>
          <cell r="H51" t="str">
            <v>cum</v>
          </cell>
          <cell r="I51">
            <v>55000</v>
          </cell>
        </row>
        <row r="52">
          <cell r="B52">
            <v>176</v>
          </cell>
          <cell r="C52">
            <v>0</v>
          </cell>
          <cell r="D52">
            <v>0</v>
          </cell>
          <cell r="E52">
            <v>0</v>
          </cell>
          <cell r="F52" t="str">
            <v xml:space="preserve">Scantling below 2m </v>
          </cell>
          <cell r="G52">
            <v>1</v>
          </cell>
          <cell r="H52" t="str">
            <v>cum</v>
          </cell>
          <cell r="I52">
            <v>40000</v>
          </cell>
        </row>
        <row r="53">
          <cell r="B53">
            <v>177</v>
          </cell>
          <cell r="C53">
            <v>0</v>
          </cell>
          <cell r="D53">
            <v>0</v>
          </cell>
          <cell r="E53">
            <v>0</v>
          </cell>
          <cell r="F53" t="str">
            <v xml:space="preserve">Scantling above 2m </v>
          </cell>
          <cell r="G53">
            <v>1</v>
          </cell>
          <cell r="H53" t="str">
            <v>cum</v>
          </cell>
          <cell r="I53">
            <v>42000</v>
          </cell>
        </row>
        <row r="54">
          <cell r="B54">
            <v>178</v>
          </cell>
          <cell r="C54">
            <v>0</v>
          </cell>
          <cell r="D54">
            <v>0</v>
          </cell>
          <cell r="E54">
            <v>0</v>
          </cell>
          <cell r="F54" t="str">
            <v>Planks of all sizes</v>
          </cell>
          <cell r="G54">
            <v>1</v>
          </cell>
          <cell r="H54" t="str">
            <v>cum</v>
          </cell>
          <cell r="I54">
            <v>45000</v>
          </cell>
        </row>
        <row r="55">
          <cell r="B55">
            <v>187</v>
          </cell>
          <cell r="C55">
            <v>0</v>
          </cell>
          <cell r="D55">
            <v>0</v>
          </cell>
          <cell r="E55">
            <v>0</v>
          </cell>
          <cell r="F55" t="str">
            <v>Steel fabrication</v>
          </cell>
          <cell r="G55">
            <v>1</v>
          </cell>
          <cell r="H55" t="str">
            <v>kg</v>
          </cell>
          <cell r="I55">
            <v>3.25</v>
          </cell>
        </row>
        <row r="56">
          <cell r="B56">
            <v>234</v>
          </cell>
          <cell r="C56">
            <v>0</v>
          </cell>
          <cell r="D56">
            <v>0</v>
          </cell>
          <cell r="E56">
            <v>0</v>
          </cell>
          <cell r="F56" t="str">
            <v>25 mm thick</v>
          </cell>
          <cell r="G56">
            <v>1</v>
          </cell>
          <cell r="H56" t="str">
            <v>sqm</v>
          </cell>
          <cell r="I56">
            <v>80</v>
          </cell>
        </row>
        <row r="57">
          <cell r="B57">
            <v>235</v>
          </cell>
          <cell r="C57">
            <v>0</v>
          </cell>
          <cell r="D57">
            <v>0</v>
          </cell>
          <cell r="E57">
            <v>0</v>
          </cell>
          <cell r="F57" t="str">
            <v>40 mm thick</v>
          </cell>
          <cell r="G57">
            <v>1</v>
          </cell>
          <cell r="H57" t="str">
            <v>sqm</v>
          </cell>
          <cell r="I57">
            <v>105</v>
          </cell>
        </row>
        <row r="58">
          <cell r="B58">
            <v>236</v>
          </cell>
          <cell r="C58">
            <v>0</v>
          </cell>
          <cell r="D58">
            <v>0</v>
          </cell>
          <cell r="E58">
            <v>0</v>
          </cell>
          <cell r="F58" t="str">
            <v>50 mm thick</v>
          </cell>
          <cell r="G58">
            <v>1</v>
          </cell>
          <cell r="H58" t="str">
            <v>sqm</v>
          </cell>
          <cell r="I58">
            <v>140</v>
          </cell>
        </row>
        <row r="59">
          <cell r="B59">
            <v>239</v>
          </cell>
          <cell r="C59">
            <v>0</v>
          </cell>
          <cell r="D59">
            <v>0</v>
          </cell>
          <cell r="E59">
            <v>0</v>
          </cell>
          <cell r="F59" t="str">
            <v>Dry powder Distemper</v>
          </cell>
          <cell r="G59">
            <v>1</v>
          </cell>
          <cell r="H59" t="str">
            <v>kg</v>
          </cell>
          <cell r="I59">
            <v>20</v>
          </cell>
        </row>
        <row r="60">
          <cell r="B60">
            <v>240</v>
          </cell>
          <cell r="C60">
            <v>0</v>
          </cell>
          <cell r="D60">
            <v>0</v>
          </cell>
          <cell r="E60">
            <v>0</v>
          </cell>
          <cell r="F60" t="str">
            <v>Oil bound washable Distemper</v>
          </cell>
          <cell r="G60">
            <v>1</v>
          </cell>
          <cell r="H60" t="str">
            <v>kg</v>
          </cell>
          <cell r="I60">
            <v>60</v>
          </cell>
        </row>
        <row r="61">
          <cell r="B61">
            <v>245</v>
          </cell>
          <cell r="C61">
            <v>0</v>
          </cell>
          <cell r="D61">
            <v>0</v>
          </cell>
          <cell r="E61">
            <v>0</v>
          </cell>
          <cell r="F61" t="str">
            <v>Alluminium paint 1st grade</v>
          </cell>
          <cell r="G61">
            <v>1</v>
          </cell>
          <cell r="H61" t="str">
            <v>litre</v>
          </cell>
          <cell r="I61">
            <v>176</v>
          </cell>
        </row>
        <row r="62">
          <cell r="B62">
            <v>246</v>
          </cell>
          <cell r="C62">
            <v>0</v>
          </cell>
          <cell r="D62">
            <v>0</v>
          </cell>
          <cell r="E62">
            <v>0</v>
          </cell>
          <cell r="F62" t="str">
            <v>Anti corrosive bitument pain (Black) grade -1</v>
          </cell>
          <cell r="G62">
            <v>1</v>
          </cell>
          <cell r="H62" t="str">
            <v>litre</v>
          </cell>
          <cell r="I62">
            <v>250</v>
          </cell>
        </row>
        <row r="63">
          <cell r="B63">
            <v>247</v>
          </cell>
          <cell r="C63">
            <v>0</v>
          </cell>
          <cell r="D63">
            <v>0</v>
          </cell>
          <cell r="E63">
            <v>0</v>
          </cell>
          <cell r="F63" t="str">
            <v>Red oxide Primer Paint grade-I</v>
          </cell>
          <cell r="G63">
            <v>1</v>
          </cell>
          <cell r="H63" t="str">
            <v>litre</v>
          </cell>
          <cell r="I63">
            <v>55</v>
          </cell>
        </row>
        <row r="64">
          <cell r="B64">
            <v>248</v>
          </cell>
          <cell r="C64">
            <v>0</v>
          </cell>
          <cell r="D64">
            <v>0</v>
          </cell>
          <cell r="E64">
            <v>0</v>
          </cell>
          <cell r="F64" t="str">
            <v>Red oxide Primer Paint grade-II</v>
          </cell>
          <cell r="G64">
            <v>1</v>
          </cell>
          <cell r="H64" t="str">
            <v>litre</v>
          </cell>
          <cell r="I64">
            <v>45</v>
          </cell>
        </row>
        <row r="65">
          <cell r="B65">
            <v>249</v>
          </cell>
          <cell r="C65">
            <v>0</v>
          </cell>
          <cell r="D65">
            <v>0</v>
          </cell>
          <cell r="E65">
            <v>0</v>
          </cell>
          <cell r="F65" t="str">
            <v>Synthetic enamel paints in all shades grade-I</v>
          </cell>
          <cell r="G65">
            <v>1</v>
          </cell>
          <cell r="H65" t="str">
            <v>litre</v>
          </cell>
          <cell r="I65">
            <v>130</v>
          </cell>
        </row>
        <row r="66">
          <cell r="B66">
            <v>250</v>
          </cell>
          <cell r="C66">
            <v>0</v>
          </cell>
          <cell r="D66">
            <v>0</v>
          </cell>
          <cell r="E66">
            <v>0</v>
          </cell>
          <cell r="F66" t="str">
            <v>Synthetic enamel paints in all shades grade-II</v>
          </cell>
          <cell r="G66">
            <v>1</v>
          </cell>
          <cell r="H66" t="str">
            <v>litre</v>
          </cell>
          <cell r="I66">
            <v>95</v>
          </cell>
        </row>
        <row r="67">
          <cell r="B67">
            <v>251</v>
          </cell>
          <cell r="C67">
            <v>0</v>
          </cell>
          <cell r="D67">
            <v>0</v>
          </cell>
          <cell r="E67">
            <v>0</v>
          </cell>
          <cell r="F67" t="str">
            <v>Plastic emultion paint grade-I</v>
          </cell>
          <cell r="G67">
            <v>1</v>
          </cell>
          <cell r="H67" t="str">
            <v>litre</v>
          </cell>
          <cell r="I67">
            <v>200</v>
          </cell>
        </row>
        <row r="68">
          <cell r="B68">
            <v>252</v>
          </cell>
          <cell r="C68">
            <v>63</v>
          </cell>
          <cell r="D68">
            <v>0</v>
          </cell>
          <cell r="E68">
            <v>0</v>
          </cell>
          <cell r="F68" t="str">
            <v>Oil Bound Distemper</v>
          </cell>
          <cell r="G68">
            <v>1</v>
          </cell>
          <cell r="H68" t="str">
            <v>kg</v>
          </cell>
          <cell r="I68">
            <v>40</v>
          </cell>
        </row>
        <row r="69">
          <cell r="B69">
            <v>253</v>
          </cell>
          <cell r="C69">
            <v>64</v>
          </cell>
          <cell r="D69">
            <v>0</v>
          </cell>
          <cell r="E69">
            <v>0</v>
          </cell>
          <cell r="F69" t="str">
            <v>Water proof cement paint of Superior Quality</v>
          </cell>
          <cell r="G69">
            <v>1</v>
          </cell>
          <cell r="H69" t="str">
            <v>kg</v>
          </cell>
          <cell r="I69">
            <v>30</v>
          </cell>
        </row>
        <row r="70">
          <cell r="B70">
            <v>254</v>
          </cell>
          <cell r="C70">
            <v>65</v>
          </cell>
          <cell r="D70">
            <v>0</v>
          </cell>
          <cell r="E70">
            <v>0</v>
          </cell>
          <cell r="F70" t="str">
            <v>White lead</v>
          </cell>
          <cell r="G70">
            <v>1</v>
          </cell>
          <cell r="H70" t="str">
            <v>kg</v>
          </cell>
          <cell r="I70">
            <v>50</v>
          </cell>
        </row>
        <row r="71">
          <cell r="B71">
            <v>255</v>
          </cell>
          <cell r="C71">
            <v>66</v>
          </cell>
          <cell r="D71">
            <v>0</v>
          </cell>
          <cell r="E71">
            <v>0</v>
          </cell>
          <cell r="F71" t="str">
            <v>Marble powder</v>
          </cell>
          <cell r="G71">
            <v>1</v>
          </cell>
          <cell r="H71" t="str">
            <v>kg</v>
          </cell>
          <cell r="I71">
            <v>12.5</v>
          </cell>
        </row>
        <row r="72">
          <cell r="B72">
            <v>256</v>
          </cell>
          <cell r="C72">
            <v>67</v>
          </cell>
          <cell r="D72">
            <v>0</v>
          </cell>
          <cell r="E72">
            <v>0</v>
          </cell>
          <cell r="F72" t="str">
            <v>Cement Primer grade-I</v>
          </cell>
          <cell r="G72">
            <v>1</v>
          </cell>
          <cell r="H72" t="str">
            <v>kg</v>
          </cell>
          <cell r="I72">
            <v>65</v>
          </cell>
        </row>
        <row r="73">
          <cell r="B73">
            <v>257</v>
          </cell>
          <cell r="C73">
            <v>0</v>
          </cell>
          <cell r="D73">
            <v>0</v>
          </cell>
          <cell r="E73">
            <v>0</v>
          </cell>
          <cell r="F73" t="str">
            <v>Cement Primer grade-II</v>
          </cell>
          <cell r="G73">
            <v>1</v>
          </cell>
          <cell r="H73" t="str">
            <v>kg</v>
          </cell>
          <cell r="I73">
            <v>50</v>
          </cell>
        </row>
        <row r="74">
          <cell r="B74">
            <v>274</v>
          </cell>
          <cell r="C74">
            <v>0</v>
          </cell>
          <cell r="D74" t="str">
            <v>b</v>
          </cell>
          <cell r="E74">
            <v>0</v>
          </cell>
          <cell r="F74" t="str">
            <v>Fevicol</v>
          </cell>
          <cell r="G74">
            <v>1</v>
          </cell>
          <cell r="H74" t="str">
            <v>kg</v>
          </cell>
          <cell r="I74">
            <v>100</v>
          </cell>
        </row>
        <row r="75">
          <cell r="B75">
            <v>352</v>
          </cell>
          <cell r="C75">
            <v>0</v>
          </cell>
          <cell r="D75" t="str">
            <v>a</v>
          </cell>
          <cell r="E75">
            <v>0</v>
          </cell>
          <cell r="F75" t="str">
            <v>Clearing heavy jungle</v>
          </cell>
          <cell r="G75">
            <v>10</v>
          </cell>
          <cell r="H75" t="str">
            <v>sqm</v>
          </cell>
          <cell r="I75">
            <v>6</v>
          </cell>
        </row>
        <row r="76">
          <cell r="B76">
            <v>353</v>
          </cell>
          <cell r="C76">
            <v>0</v>
          </cell>
          <cell r="D76" t="str">
            <v>b</v>
          </cell>
          <cell r="E76">
            <v>0</v>
          </cell>
          <cell r="F76" t="str">
            <v>Clearing Light jungle</v>
          </cell>
          <cell r="G76">
            <v>10</v>
          </cell>
          <cell r="H76" t="str">
            <v>sqm</v>
          </cell>
          <cell r="I76">
            <v>5</v>
          </cell>
        </row>
        <row r="77">
          <cell r="B77">
            <v>354</v>
          </cell>
          <cell r="C77">
            <v>0</v>
          </cell>
          <cell r="D77" t="str">
            <v>c</v>
          </cell>
          <cell r="E77">
            <v>0</v>
          </cell>
          <cell r="F77" t="str">
            <v>Clearing Scrub jungle</v>
          </cell>
          <cell r="G77">
            <v>10</v>
          </cell>
          <cell r="H77" t="str">
            <v>sqm</v>
          </cell>
          <cell r="I77">
            <v>3</v>
          </cell>
        </row>
        <row r="78">
          <cell r="B78">
            <v>355</v>
          </cell>
          <cell r="C78">
            <v>0</v>
          </cell>
          <cell r="D78" t="str">
            <v>d</v>
          </cell>
          <cell r="E78">
            <v>0</v>
          </cell>
          <cell r="F78" t="str">
            <v xml:space="preserve">Cleaing Julie flora </v>
          </cell>
          <cell r="G78">
            <v>10</v>
          </cell>
          <cell r="H78" t="str">
            <v>sqm</v>
          </cell>
          <cell r="I78">
            <v>14</v>
          </cell>
        </row>
        <row r="79">
          <cell r="B79">
            <v>408</v>
          </cell>
          <cell r="C79">
            <v>0</v>
          </cell>
          <cell r="D79" t="str">
            <v>a</v>
          </cell>
          <cell r="E79">
            <v>0</v>
          </cell>
          <cell r="F79" t="str">
            <v>Loamy &amp; Clay soils like BC soils, Red earth &amp; OG SS 302 &amp; 303</v>
          </cell>
          <cell r="G79">
            <v>10</v>
          </cell>
          <cell r="H79" t="str">
            <v>cum</v>
          </cell>
          <cell r="I79">
            <v>235</v>
          </cell>
        </row>
        <row r="80">
          <cell r="B80">
            <v>409</v>
          </cell>
          <cell r="C80">
            <v>0</v>
          </cell>
          <cell r="D80">
            <v>0</v>
          </cell>
          <cell r="E80">
            <v>0</v>
          </cell>
          <cell r="F80" t="str">
            <v>Loamy &amp; Clay soils like BC soils, Red earth &amp; OG SS 301</v>
          </cell>
          <cell r="G80">
            <v>10</v>
          </cell>
          <cell r="H80" t="str">
            <v>cum</v>
          </cell>
          <cell r="I80">
            <v>215</v>
          </cell>
        </row>
        <row r="81">
          <cell r="B81">
            <v>412</v>
          </cell>
          <cell r="C81">
            <v>0</v>
          </cell>
          <cell r="D81">
            <v>0</v>
          </cell>
          <cell r="E81">
            <v>0</v>
          </cell>
          <cell r="F81" t="str">
            <v>Hard Gravelly Soils SS 302 &amp; 303</v>
          </cell>
          <cell r="G81">
            <v>10</v>
          </cell>
          <cell r="H81" t="str">
            <v>cum</v>
          </cell>
          <cell r="I81">
            <v>250</v>
          </cell>
        </row>
        <row r="82">
          <cell r="B82">
            <v>413</v>
          </cell>
          <cell r="C82">
            <v>0</v>
          </cell>
          <cell r="D82">
            <v>0</v>
          </cell>
          <cell r="E82">
            <v>0</v>
          </cell>
          <cell r="F82" t="str">
            <v>Hard Gravelly Soils SS 301</v>
          </cell>
          <cell r="G82">
            <v>10</v>
          </cell>
          <cell r="H82" t="str">
            <v>cum</v>
          </cell>
          <cell r="I82">
            <v>230</v>
          </cell>
        </row>
        <row r="83">
          <cell r="B83">
            <v>459</v>
          </cell>
          <cell r="C83">
            <v>35</v>
          </cell>
          <cell r="D83">
            <v>0</v>
          </cell>
          <cell r="E83">
            <v>0</v>
          </cell>
          <cell r="F83" t="str">
            <v>Vibrating Concrete</v>
          </cell>
          <cell r="G83">
            <v>1</v>
          </cell>
          <cell r="H83" t="str">
            <v>cum</v>
          </cell>
          <cell r="I83">
            <v>22.4</v>
          </cell>
        </row>
        <row r="84">
          <cell r="B84">
            <v>460</v>
          </cell>
          <cell r="C84">
            <v>36</v>
          </cell>
          <cell r="D84">
            <v>0</v>
          </cell>
          <cell r="E84">
            <v>0</v>
          </cell>
          <cell r="F84" t="str">
            <v>Machine mixing Concrete</v>
          </cell>
          <cell r="G84">
            <v>1</v>
          </cell>
          <cell r="H84" t="str">
            <v>cum</v>
          </cell>
          <cell r="I84">
            <v>21.8</v>
          </cell>
        </row>
        <row r="85">
          <cell r="B85">
            <v>461</v>
          </cell>
          <cell r="C85">
            <v>37</v>
          </cell>
          <cell r="D85">
            <v>0</v>
          </cell>
          <cell r="E85">
            <v>0</v>
          </cell>
          <cell r="F85" t="str">
            <v>Power for Mixer</v>
          </cell>
          <cell r="G85">
            <v>1</v>
          </cell>
          <cell r="H85" t="str">
            <v>cum</v>
          </cell>
          <cell r="I85">
            <v>14.5</v>
          </cell>
        </row>
        <row r="86">
          <cell r="B86">
            <v>495</v>
          </cell>
          <cell r="C86">
            <v>40</v>
          </cell>
          <cell r="D86" t="str">
            <v>a</v>
          </cell>
          <cell r="E86">
            <v>0</v>
          </cell>
          <cell r="F86" t="str">
            <v>First Floor</v>
          </cell>
          <cell r="G86">
            <v>1</v>
          </cell>
          <cell r="H86" t="str">
            <v>cum</v>
          </cell>
          <cell r="I86">
            <v>22</v>
          </cell>
        </row>
        <row r="87">
          <cell r="B87">
            <v>496</v>
          </cell>
          <cell r="C87">
            <v>0</v>
          </cell>
          <cell r="D87" t="str">
            <v>b</v>
          </cell>
          <cell r="E87">
            <v>0</v>
          </cell>
          <cell r="F87" t="str">
            <v>Second Floor</v>
          </cell>
          <cell r="G87">
            <v>1</v>
          </cell>
          <cell r="H87" t="str">
            <v>cum</v>
          </cell>
          <cell r="I87">
            <v>27</v>
          </cell>
        </row>
        <row r="88">
          <cell r="B88">
            <v>497</v>
          </cell>
          <cell r="C88">
            <v>0</v>
          </cell>
          <cell r="D88" t="str">
            <v>c</v>
          </cell>
          <cell r="E88">
            <v>0</v>
          </cell>
          <cell r="F88" t="str">
            <v>Third Floor</v>
          </cell>
          <cell r="G88">
            <v>1</v>
          </cell>
          <cell r="H88" t="str">
            <v>cum</v>
          </cell>
          <cell r="I88">
            <v>37</v>
          </cell>
        </row>
        <row r="89">
          <cell r="B89">
            <v>498</v>
          </cell>
          <cell r="C89">
            <v>0</v>
          </cell>
          <cell r="D89" t="str">
            <v>d</v>
          </cell>
          <cell r="E89">
            <v>0</v>
          </cell>
          <cell r="F89" t="str">
            <v>Each Additional Floor</v>
          </cell>
          <cell r="G89">
            <v>1</v>
          </cell>
          <cell r="H89" t="str">
            <v>cum</v>
          </cell>
          <cell r="I89">
            <v>16</v>
          </cell>
        </row>
        <row r="90">
          <cell r="B90">
            <v>499</v>
          </cell>
          <cell r="C90">
            <v>0</v>
          </cell>
          <cell r="D90" t="str">
            <v>a</v>
          </cell>
          <cell r="E90">
            <v>0</v>
          </cell>
          <cell r="F90" t="str">
            <v>1st &amp; 2nd Floor</v>
          </cell>
          <cell r="G90">
            <v>10</v>
          </cell>
          <cell r="H90" t="str">
            <v>sqm</v>
          </cell>
          <cell r="I90">
            <v>25</v>
          </cell>
        </row>
        <row r="91">
          <cell r="B91">
            <v>500</v>
          </cell>
          <cell r="C91">
            <v>0</v>
          </cell>
          <cell r="D91" t="str">
            <v>b</v>
          </cell>
          <cell r="E91">
            <v>0</v>
          </cell>
          <cell r="F91" t="str">
            <v>2nd &amp; 3rd Floor</v>
          </cell>
          <cell r="G91">
            <v>10</v>
          </cell>
          <cell r="H91" t="str">
            <v>sqm</v>
          </cell>
          <cell r="I91">
            <v>50</v>
          </cell>
        </row>
        <row r="92">
          <cell r="B92">
            <v>501</v>
          </cell>
          <cell r="C92">
            <v>0</v>
          </cell>
          <cell r="D92" t="str">
            <v>c</v>
          </cell>
          <cell r="E92">
            <v>0</v>
          </cell>
          <cell r="F92" t="str">
            <v>3rd &amp; 4th Floor</v>
          </cell>
          <cell r="G92">
            <v>10</v>
          </cell>
          <cell r="H92" t="str">
            <v>sqm</v>
          </cell>
          <cell r="I92">
            <v>75</v>
          </cell>
        </row>
        <row r="93">
          <cell r="B93">
            <v>502</v>
          </cell>
          <cell r="C93">
            <v>0</v>
          </cell>
          <cell r="D93" t="str">
            <v>d</v>
          </cell>
          <cell r="E93">
            <v>0</v>
          </cell>
          <cell r="F93" t="str">
            <v>Each Additional Floor</v>
          </cell>
          <cell r="G93">
            <v>10</v>
          </cell>
          <cell r="H93" t="str">
            <v>sqm</v>
          </cell>
          <cell r="I93">
            <v>18</v>
          </cell>
        </row>
        <row r="94">
          <cell r="B94">
            <v>503</v>
          </cell>
          <cell r="C94">
            <v>0</v>
          </cell>
          <cell r="D94" t="str">
            <v>a</v>
          </cell>
          <cell r="E94">
            <v>0</v>
          </cell>
          <cell r="F94" t="str">
            <v>upto 150 mm depth</v>
          </cell>
          <cell r="G94">
            <v>10</v>
          </cell>
          <cell r="H94" t="str">
            <v>sqm</v>
          </cell>
          <cell r="I94">
            <v>525</v>
          </cell>
        </row>
        <row r="95">
          <cell r="B95">
            <v>504</v>
          </cell>
          <cell r="C95">
            <v>0</v>
          </cell>
          <cell r="D95" t="str">
            <v>b</v>
          </cell>
          <cell r="E95">
            <v>0</v>
          </cell>
          <cell r="F95" t="str">
            <v>above 150 mm depth and upto 300 mm depth</v>
          </cell>
          <cell r="G95">
            <v>10</v>
          </cell>
          <cell r="H95" t="str">
            <v>sqm</v>
          </cell>
          <cell r="I95">
            <v>850</v>
          </cell>
        </row>
        <row r="96">
          <cell r="B96">
            <v>510</v>
          </cell>
          <cell r="C96">
            <v>0</v>
          </cell>
          <cell r="D96" t="str">
            <v>g</v>
          </cell>
          <cell r="E96" t="str">
            <v xml:space="preserve">i </v>
          </cell>
          <cell r="F96" t="str">
            <v>0.60 m width</v>
          </cell>
          <cell r="G96">
            <v>1</v>
          </cell>
          <cell r="H96" t="str">
            <v>rmt</v>
          </cell>
          <cell r="I96">
            <v>25</v>
          </cell>
        </row>
        <row r="97">
          <cell r="B97">
            <v>511</v>
          </cell>
          <cell r="C97">
            <v>0</v>
          </cell>
          <cell r="D97" t="str">
            <v>g</v>
          </cell>
          <cell r="E97" t="str">
            <v>ii</v>
          </cell>
          <cell r="F97" t="str">
            <v>0.80 m width</v>
          </cell>
          <cell r="G97">
            <v>1</v>
          </cell>
          <cell r="H97" t="str">
            <v>rmt</v>
          </cell>
          <cell r="I97">
            <v>30</v>
          </cell>
        </row>
        <row r="98">
          <cell r="B98">
            <v>512</v>
          </cell>
          <cell r="C98">
            <v>0</v>
          </cell>
          <cell r="D98" t="str">
            <v>g</v>
          </cell>
          <cell r="E98" t="str">
            <v>iii</v>
          </cell>
          <cell r="F98" t="str">
            <v>1.00 m width</v>
          </cell>
          <cell r="G98">
            <v>1</v>
          </cell>
          <cell r="H98" t="str">
            <v>rmt</v>
          </cell>
          <cell r="I98">
            <v>35</v>
          </cell>
        </row>
        <row r="99">
          <cell r="B99">
            <v>513</v>
          </cell>
          <cell r="C99">
            <v>0</v>
          </cell>
          <cell r="D99" t="str">
            <v>h</v>
          </cell>
          <cell r="E99">
            <v>0</v>
          </cell>
          <cell r="F99" t="str">
            <v>T.Beams</v>
          </cell>
          <cell r="G99">
            <v>1</v>
          </cell>
          <cell r="H99" t="str">
            <v>cum</v>
          </cell>
          <cell r="I99">
            <v>650</v>
          </cell>
        </row>
        <row r="100">
          <cell r="B100">
            <v>514</v>
          </cell>
          <cell r="C100">
            <v>0</v>
          </cell>
          <cell r="D100">
            <v>0</v>
          </cell>
          <cell r="E100">
            <v>0</v>
          </cell>
          <cell r="F100" t="str">
            <v>Columns, Rectangular beams, L.Beams</v>
          </cell>
          <cell r="G100">
            <v>1</v>
          </cell>
          <cell r="H100" t="str">
            <v>cum</v>
          </cell>
          <cell r="I100">
            <v>550</v>
          </cell>
        </row>
        <row r="101">
          <cell r="B101">
            <v>515</v>
          </cell>
          <cell r="C101">
            <v>0</v>
          </cell>
          <cell r="D101">
            <v>0</v>
          </cell>
          <cell r="E101">
            <v>0</v>
          </cell>
          <cell r="F101" t="str">
            <v>Templates, Bed blocks,Footings</v>
          </cell>
          <cell r="G101">
            <v>1</v>
          </cell>
          <cell r="H101" t="str">
            <v>cum</v>
          </cell>
          <cell r="I101">
            <v>330</v>
          </cell>
        </row>
        <row r="102">
          <cell r="B102">
            <v>518</v>
          </cell>
          <cell r="C102">
            <v>0</v>
          </cell>
          <cell r="D102">
            <v>0</v>
          </cell>
          <cell r="E102">
            <v>0</v>
          </cell>
          <cell r="F102" t="str">
            <v>Lintels, Plinth Beams</v>
          </cell>
          <cell r="G102">
            <v>1</v>
          </cell>
          <cell r="H102" t="str">
            <v>cum</v>
          </cell>
          <cell r="I102">
            <v>450</v>
          </cell>
        </row>
        <row r="103">
          <cell r="B103">
            <v>519</v>
          </cell>
          <cell r="C103">
            <v>0</v>
          </cell>
          <cell r="D103">
            <v>0</v>
          </cell>
          <cell r="E103">
            <v>0</v>
          </cell>
          <cell r="F103" t="str">
            <v>Slabs above 300 mm depth</v>
          </cell>
          <cell r="G103">
            <v>1</v>
          </cell>
          <cell r="H103" t="str">
            <v>cum</v>
          </cell>
          <cell r="I103">
            <v>520</v>
          </cell>
        </row>
        <row r="104">
          <cell r="B104">
            <v>521</v>
          </cell>
          <cell r="C104">
            <v>0</v>
          </cell>
          <cell r="D104" t="str">
            <v>a</v>
          </cell>
          <cell r="E104">
            <v>0</v>
          </cell>
          <cell r="F104" t="str">
            <v>For mass concrete Piers, Abutments and steining well curb well caps etc.,</v>
          </cell>
          <cell r="G104">
            <v>1</v>
          </cell>
          <cell r="H104" t="str">
            <v>cum</v>
          </cell>
          <cell r="I104">
            <v>380</v>
          </cell>
        </row>
        <row r="105">
          <cell r="B105">
            <v>522</v>
          </cell>
          <cell r="C105">
            <v>0</v>
          </cell>
          <cell r="D105">
            <v>0</v>
          </cell>
          <cell r="E105">
            <v>0</v>
          </cell>
          <cell r="F105" t="str">
            <v>For RCC Piers, Abutments, Wings, Well steining weel curbs, well Caps etc.,</v>
          </cell>
          <cell r="G105">
            <v>1</v>
          </cell>
          <cell r="H105" t="str">
            <v>cum</v>
          </cell>
          <cell r="I105">
            <v>500</v>
          </cell>
        </row>
        <row r="106">
          <cell r="B106">
            <v>523</v>
          </cell>
          <cell r="C106">
            <v>0</v>
          </cell>
          <cell r="D106">
            <v>0</v>
          </cell>
          <cell r="E106">
            <v>0</v>
          </cell>
          <cell r="F106" t="str">
            <v>For RCC Deck Slabs</v>
          </cell>
          <cell r="G106">
            <v>1</v>
          </cell>
          <cell r="H106" t="str">
            <v>cum</v>
          </cell>
          <cell r="I106">
            <v>950</v>
          </cell>
        </row>
        <row r="107">
          <cell r="B107">
            <v>524</v>
          </cell>
          <cell r="C107">
            <v>0</v>
          </cell>
          <cell r="D107">
            <v>0</v>
          </cell>
          <cell r="E107">
            <v>0</v>
          </cell>
          <cell r="F107" t="str">
            <v>For RCC beams</v>
          </cell>
          <cell r="G107">
            <v>1</v>
          </cell>
          <cell r="H107" t="str">
            <v>cum</v>
          </cell>
          <cell r="I107">
            <v>1150</v>
          </cell>
        </row>
        <row r="108">
          <cell r="B108">
            <v>525</v>
          </cell>
          <cell r="C108">
            <v>0</v>
          </cell>
          <cell r="D108">
            <v>0</v>
          </cell>
          <cell r="E108">
            <v>0</v>
          </cell>
          <cell r="F108" t="str">
            <v>RCC hand rails</v>
          </cell>
          <cell r="G108">
            <v>1</v>
          </cell>
          <cell r="H108" t="str">
            <v>cum</v>
          </cell>
          <cell r="I108">
            <v>1250</v>
          </cell>
        </row>
        <row r="109">
          <cell r="B109">
            <v>526</v>
          </cell>
          <cell r="C109">
            <v>0</v>
          </cell>
          <cell r="D109">
            <v>0</v>
          </cell>
          <cell r="E109">
            <v>0</v>
          </cell>
          <cell r="F109" t="str">
            <v>CC pavements, Wearing Coats, approach slabs guide stone JM stone etc.</v>
          </cell>
          <cell r="G109">
            <v>1</v>
          </cell>
          <cell r="H109" t="str">
            <v>cum</v>
          </cell>
          <cell r="I109">
            <v>95</v>
          </cell>
        </row>
        <row r="110">
          <cell r="B110">
            <v>555</v>
          </cell>
          <cell r="C110">
            <v>0</v>
          </cell>
          <cell r="D110" t="str">
            <v>a</v>
          </cell>
          <cell r="E110">
            <v>0</v>
          </cell>
          <cell r="F110" t="str">
            <v>250 mm dia</v>
          </cell>
          <cell r="G110">
            <v>1</v>
          </cell>
          <cell r="H110" t="str">
            <v>rmt</v>
          </cell>
          <cell r="I110">
            <v>8</v>
          </cell>
        </row>
        <row r="111">
          <cell r="B111">
            <v>556</v>
          </cell>
          <cell r="C111">
            <v>0</v>
          </cell>
          <cell r="D111" t="str">
            <v>b</v>
          </cell>
          <cell r="E111">
            <v>0</v>
          </cell>
          <cell r="F111" t="str">
            <v>300 mm dia</v>
          </cell>
          <cell r="G111">
            <v>1</v>
          </cell>
          <cell r="H111" t="str">
            <v>rmt</v>
          </cell>
          <cell r="I111">
            <v>11</v>
          </cell>
        </row>
        <row r="112">
          <cell r="B112">
            <v>557</v>
          </cell>
          <cell r="C112">
            <v>0</v>
          </cell>
          <cell r="D112" t="str">
            <v>c</v>
          </cell>
          <cell r="E112">
            <v>0</v>
          </cell>
          <cell r="F112" t="str">
            <v>450 mm dia</v>
          </cell>
          <cell r="G112">
            <v>1</v>
          </cell>
          <cell r="H112" t="str">
            <v>rmt</v>
          </cell>
          <cell r="I112">
            <v>15</v>
          </cell>
        </row>
        <row r="113">
          <cell r="B113">
            <v>558</v>
          </cell>
          <cell r="C113">
            <v>0</v>
          </cell>
          <cell r="D113" t="str">
            <v>d</v>
          </cell>
          <cell r="E113">
            <v>0</v>
          </cell>
          <cell r="F113" t="str">
            <v>600 mm dia</v>
          </cell>
          <cell r="G113">
            <v>1</v>
          </cell>
          <cell r="H113" t="str">
            <v>rmt</v>
          </cell>
          <cell r="I113">
            <v>25</v>
          </cell>
        </row>
        <row r="114">
          <cell r="B114">
            <v>559</v>
          </cell>
          <cell r="C114">
            <v>0</v>
          </cell>
          <cell r="D114" t="str">
            <v>e</v>
          </cell>
          <cell r="E114">
            <v>0</v>
          </cell>
          <cell r="F114" t="str">
            <v>750 mm dia</v>
          </cell>
          <cell r="G114">
            <v>1</v>
          </cell>
          <cell r="H114" t="str">
            <v>rmt</v>
          </cell>
          <cell r="I114">
            <v>30</v>
          </cell>
        </row>
        <row r="115">
          <cell r="B115">
            <v>560</v>
          </cell>
          <cell r="C115">
            <v>0</v>
          </cell>
          <cell r="D115" t="str">
            <v>f</v>
          </cell>
          <cell r="E115">
            <v>0</v>
          </cell>
          <cell r="F115" t="str">
            <v>800 mm dia</v>
          </cell>
          <cell r="G115">
            <v>1</v>
          </cell>
          <cell r="H115" t="str">
            <v>rmt</v>
          </cell>
          <cell r="I115">
            <v>35</v>
          </cell>
        </row>
        <row r="116">
          <cell r="B116">
            <v>561</v>
          </cell>
          <cell r="C116">
            <v>0</v>
          </cell>
          <cell r="D116" t="str">
            <v>g</v>
          </cell>
          <cell r="E116">
            <v>0</v>
          </cell>
          <cell r="F116" t="str">
            <v>1000 mm dia</v>
          </cell>
          <cell r="G116">
            <v>1</v>
          </cell>
          <cell r="H116" t="str">
            <v>rmt</v>
          </cell>
          <cell r="I116">
            <v>40</v>
          </cell>
        </row>
        <row r="117">
          <cell r="B117">
            <v>562</v>
          </cell>
          <cell r="C117">
            <v>0</v>
          </cell>
          <cell r="D117" t="str">
            <v>h</v>
          </cell>
          <cell r="E117">
            <v>0</v>
          </cell>
          <cell r="F117" t="str">
            <v>1220 mm dia</v>
          </cell>
          <cell r="G117">
            <v>1</v>
          </cell>
          <cell r="H117" t="str">
            <v>rmt</v>
          </cell>
          <cell r="I117">
            <v>50</v>
          </cell>
        </row>
        <row r="118">
          <cell r="B118">
            <v>563</v>
          </cell>
          <cell r="C118">
            <v>0</v>
          </cell>
          <cell r="D118" t="str">
            <v>a</v>
          </cell>
          <cell r="E118">
            <v>0</v>
          </cell>
          <cell r="F118" t="str">
            <v>40 mm</v>
          </cell>
          <cell r="G118">
            <v>1</v>
          </cell>
          <cell r="H118" t="str">
            <v>sqm</v>
          </cell>
          <cell r="I118">
            <v>29</v>
          </cell>
        </row>
        <row r="119">
          <cell r="B119">
            <v>564</v>
          </cell>
          <cell r="C119">
            <v>0</v>
          </cell>
          <cell r="D119" t="str">
            <v>b</v>
          </cell>
          <cell r="E119">
            <v>0</v>
          </cell>
          <cell r="F119" t="str">
            <v>50 mm</v>
          </cell>
          <cell r="G119">
            <v>1</v>
          </cell>
          <cell r="H119" t="str">
            <v>sqm</v>
          </cell>
          <cell r="I119">
            <v>31</v>
          </cell>
        </row>
        <row r="120">
          <cell r="B120">
            <v>565</v>
          </cell>
          <cell r="C120">
            <v>0</v>
          </cell>
          <cell r="D120" t="str">
            <v>c</v>
          </cell>
          <cell r="E120">
            <v>0</v>
          </cell>
          <cell r="F120" t="str">
            <v>75 mm</v>
          </cell>
          <cell r="G120">
            <v>1</v>
          </cell>
          <cell r="H120" t="str">
            <v>sqm</v>
          </cell>
          <cell r="I120">
            <v>34</v>
          </cell>
        </row>
        <row r="121">
          <cell r="B121">
            <v>566</v>
          </cell>
          <cell r="C121">
            <v>0</v>
          </cell>
          <cell r="D121" t="str">
            <v>d</v>
          </cell>
          <cell r="E121">
            <v>0</v>
          </cell>
          <cell r="F121" t="str">
            <v>100 mm</v>
          </cell>
          <cell r="G121">
            <v>1</v>
          </cell>
          <cell r="H121" t="str">
            <v>sqm</v>
          </cell>
          <cell r="I121">
            <v>36</v>
          </cell>
        </row>
        <row r="122">
          <cell r="B122">
            <v>570</v>
          </cell>
          <cell r="C122">
            <v>52</v>
          </cell>
          <cell r="D122">
            <v>0</v>
          </cell>
          <cell r="E122">
            <v>0</v>
          </cell>
          <cell r="F122" t="str">
            <v>Picking 50mm to 100mm old metalled surface and sectioning</v>
          </cell>
          <cell r="G122">
            <v>10</v>
          </cell>
          <cell r="H122" t="str">
            <v>sqm</v>
          </cell>
          <cell r="I122">
            <v>10</v>
          </cell>
        </row>
        <row r="123">
          <cell r="B123">
            <v>571</v>
          </cell>
          <cell r="C123">
            <v>53</v>
          </cell>
          <cell r="D123">
            <v>0</v>
          </cell>
          <cell r="E123">
            <v>0</v>
          </cell>
          <cell r="F123" t="str">
            <v>Picking gravelled surface 25mm deep and levelling and sectioning</v>
          </cell>
          <cell r="G123">
            <v>10</v>
          </cell>
          <cell r="H123" t="str">
            <v>sqm</v>
          </cell>
          <cell r="I123">
            <v>2.5</v>
          </cell>
        </row>
        <row r="124">
          <cell r="B124">
            <v>572</v>
          </cell>
          <cell r="C124">
            <v>54</v>
          </cell>
          <cell r="D124">
            <v>0</v>
          </cell>
          <cell r="E124">
            <v>0</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 val="C-data"/>
      <sheetName val="Sheet1"/>
      <sheetName val="leads"/>
      <sheetName val="bom"/>
      <sheetName val="MRATES"/>
      <sheetName val="DATA_PRG"/>
      <sheetName val="mlead"/>
      <sheetName val="m"/>
      <sheetName val="PRELIM5"/>
      <sheetName val="wh_data_R"/>
      <sheetName val="Cover"/>
      <sheetName val="C.D.Abs.Est."/>
      <sheetName val="DATA"/>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DESIGEN_RCC_CULVERT"/>
      <sheetName val="DESIGENS_HP_CULVERT"/>
    </sheetNames>
    <sheetDataSet>
      <sheetData sheetId="0" refreshError="1">
        <row r="2">
          <cell r="D2" t="str">
            <v>CONST.OF 2V RCC SLAB CULVERT AT 6/1 to 6/2 KM</v>
          </cell>
        </row>
        <row r="67">
          <cell r="H67">
            <v>1410.4611040000002</v>
          </cell>
        </row>
        <row r="97">
          <cell r="H97">
            <v>2314.9090639999999</v>
          </cell>
        </row>
        <row r="245">
          <cell r="H245">
            <v>30.16</v>
          </cell>
        </row>
      </sheetData>
      <sheetData sheetId="1" refreshError="1"/>
      <sheetData sheetId="2"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BOUR CHARGES"/>
      <sheetName val="Programme "/>
      <sheetName val="LEAD  CHART 2014-15"/>
      <sheetName val="ABSRACT "/>
      <sheetName val="SPECIFICATION REPORT"/>
      <sheetName val="Gen.Abs"/>
      <sheetName val="seigniorage-charges"/>
      <sheetName val="ESTIMATE "/>
      <sheetName val="CD Work ESTIMATE"/>
      <sheetName val="Road-furniture"/>
      <sheetName val="LEAD CHART ( 2014- 15 )"/>
      <sheetName val="DATA SHEET FOR 2014-15"/>
      <sheetName val=" DOOR DATA SHEET  2012-13"/>
      <sheetName val="WORK EXECUTIVE MEMBER"/>
      <sheetName val="Nomination Covering Letter "/>
      <sheetName val="Nomination Proposals"/>
      <sheetName val="MEMORANDAM"/>
      <sheetName val="AGREEMENT"/>
      <sheetName val=" SCHEDULE"/>
      <sheetName val="Tender Schedule "/>
      <sheetName val="SUPPLEMENTARY AGREEMENT "/>
      <sheetName val="DD Covering Letter "/>
      <sheetName val="Estimate Covering Letter "/>
      <sheetName val="Workdone Specification Report "/>
      <sheetName val="WORKDONE ESTIMATE"/>
      <sheetName val="COMPARATIVE STATEMENT "/>
      <sheetName val="COMPLITION REPORT "/>
      <sheetName val="CC BILLS"/>
      <sheetName val="CC BILLS COVERING LETTER"/>
      <sheetName val="MP MEMORANDAM"/>
      <sheetName val="MP Agreement "/>
      <sheetName val="CERTIFICATE"/>
      <sheetName val="MOVEMENT SLIP "/>
      <sheetName val="LUMP SUM CONTRACTOR "/>
      <sheetName val="PART- LUMP SUM CONTRACTOR"/>
      <sheetName val="LINE SPECIFICATION REPORT"/>
      <sheetName val="LINE ESTIMATE"/>
      <sheetName val="Sheet1"/>
      <sheetName val="Sheet2"/>
      <sheetName val="COVERPAGE"/>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rdamdata"/>
      <sheetName val="Estimate "/>
      <sheetName val="HDPE"/>
      <sheetName val="Fee Rate Summary"/>
      <sheetName val="Basement Budget"/>
      <sheetName val="RECAPITULATION"/>
      <sheetName val="Rate analysis"/>
      <sheetName val="Break up Sheet"/>
      <sheetName val="TBAL9697 -group wise  sdpl"/>
      <sheetName val="B &amp; C - M - ccp"/>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 val="Field Values"/>
      <sheetName val="Lead"/>
      <sheetName val="Rates"/>
      <sheetName val="PH data"/>
      <sheetName val="labour"/>
      <sheetName val="Details (3)"/>
      <sheetName val="Rates-May-14"/>
      <sheetName val="Load Details(B1)"/>
      <sheetName val="RA-markate"/>
      <sheetName val="Structure Bills Qty"/>
      <sheetName val="Fill this out first..."/>
      <sheetName val="Micro"/>
      <sheetName val="Macro"/>
      <sheetName val="Scaff-Rose"/>
      <sheetName val="Builtup Area"/>
      <sheetName val="analysis"/>
      <sheetName val="Headings"/>
      <sheetName val="MASTER_RATE ANALYSIS"/>
      <sheetName val="cubes_M20"/>
      <sheetName val="A"/>
      <sheetName val="Cop -VGN"/>
      <sheetName val="CASHFLOWS"/>
      <sheetName val="SUMMARY"/>
      <sheetName val="Sheet2"/>
      <sheetName val="dyes"/>
      <sheetName val="Sheet3"/>
      <sheetName val="UTILITY"/>
      <sheetName val="경비공통"/>
      <sheetName val="Input"/>
      <sheetName val="Activity"/>
      <sheetName val="Crew"/>
      <sheetName val="Piping"/>
      <sheetName val="Pipe Supports"/>
      <sheetName val="S1BOQ"/>
      <sheetName val="2gii"/>
      <sheetName val="Manpower"/>
      <sheetName val="HPL"/>
      <sheetName val="월선수금"/>
      <sheetName val="Materials "/>
      <sheetName val="strand"/>
      <sheetName val="BOQ_Direct_selling cost"/>
      <sheetName val="Stress Calculation"/>
      <sheetName val="VIWSCo1"/>
      <sheetName val="IO List"/>
      <sheetName val="MN T.B."/>
      <sheetName val="database"/>
      <sheetName val="Coalmine"/>
      <sheetName val="A1-Continuous"/>
      <sheetName val="starter"/>
      <sheetName val="Preside"/>
      <sheetName val="Summary_Local"/>
      <sheetName val="factor sheet"/>
      <sheetName val="RA"/>
      <sheetName val="Factor_Sheet"/>
      <sheetName val="Exp."/>
      <sheetName val="Factors"/>
      <sheetName val="INDIGINEOUS ITEMS "/>
      <sheetName val="BLK2"/>
      <sheetName val="BLK3"/>
      <sheetName val="E &amp; R"/>
      <sheetName val="radar"/>
      <sheetName val="UG"/>
      <sheetName val="Sheet1"/>
      <sheetName val="Config"/>
      <sheetName val="Break Dw"/>
      <sheetName val="MES-SEC"/>
      <sheetName val="Data"/>
      <sheetName val="Analy_7-10"/>
      <sheetName val="INDORAMA Group June 02"/>
      <sheetName val="SPT vs PHI"/>
      <sheetName val="Civil Boq"/>
      <sheetName val="beam-reinft-IIInd floor"/>
      <sheetName val="Design"/>
      <sheetName val="Desgn(zone I)"/>
      <sheetName val="PA- Consutant "/>
      <sheetName val="Debits as on 12.04.08"/>
      <sheetName val="THK"/>
      <sheetName val="FitOutConfCentre"/>
      <sheetName val="PART-I_(2)"/>
      <sheetName val="final_abstract"/>
      <sheetName val="INPUT-DATA1"/>
      <sheetName val="VCH-SLC"/>
      <sheetName val="Supplier"/>
      <sheetName val="Basement_Budget"/>
      <sheetName val="Rate_analysis"/>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SPT_vs_PHI"/>
      <sheetName val="RES-PLANNING"/>
      <sheetName val="col-reinft1"/>
      <sheetName val="FORM7"/>
      <sheetName val="RCC,Ret. Wall"/>
      <sheetName val="Build-up"/>
      <sheetName val="RA 4 Challan Summary "/>
      <sheetName val="p&amp;m"/>
      <sheetName val="Labour productivity"/>
      <sheetName val="labour coeff"/>
      <sheetName val="BOQ (2)"/>
      <sheetName val="GBW"/>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ORDER BOOKING"/>
      <sheetName val="Usage"/>
      <sheetName val="Common "/>
      <sheetName val="General"/>
      <sheetName val="Sheet3 (2)"/>
      <sheetName val="대외공문"/>
      <sheetName val="COST"/>
      <sheetName val="Formulas"/>
      <sheetName val="For Bill-04 PS"/>
      <sheetName val="M B-QtyRecn"/>
      <sheetName val="Quotation"/>
      <sheetName val="Sqn _Main_ Abs"/>
      <sheetName val="Mat.Cost"/>
      <sheetName val="Staff Acco."/>
      <sheetName val="Section Catalogue"/>
      <sheetName val="#REF!"/>
      <sheetName val="lookup"/>
      <sheetName val="Approved MTD Proj #'s"/>
      <sheetName val="Delhi"/>
      <sheetName val="Site_Dev_BOQ"/>
      <sheetName val="Staff_Forecast_spread"/>
      <sheetName val="INDORAMA_Group_June_02"/>
      <sheetName val="Pipe_Supports"/>
      <sheetName val="RCC,Ret__Wall"/>
      <sheetName val="RA_4_Challan_Summary_"/>
      <sheetName val="Labour_productivity"/>
      <sheetName val="labour_coeff"/>
      <sheetName val="PART-I_(2)1"/>
      <sheetName val="final_abstract1"/>
      <sheetName val="Fee_Rate_Summary1"/>
      <sheetName val="Basement_Budget1"/>
      <sheetName val="Rate_analysis1"/>
      <sheetName val="Materials_Cost1"/>
      <sheetName val="Break_up_Sheet1"/>
      <sheetName val="RES_STEEL_TO1"/>
      <sheetName val="10__&amp;_11__Rate_Code_&amp;_BQ1"/>
      <sheetName val="B_&amp;_C_-_M_-_ccp1"/>
      <sheetName val="RMZ_Summary1"/>
      <sheetName val="Fin_Sum1"/>
      <sheetName val="Fill_this_out_first___1"/>
      <sheetName val="Site_Dev_BOQ1"/>
      <sheetName val="Staff_Forecast_spread1"/>
      <sheetName val="Field_Values1"/>
      <sheetName val="INDORAMA_Group_June_021"/>
      <sheetName val="Pipe_Supports1"/>
      <sheetName val="RCC,Ret__Wall1"/>
      <sheetName val="RA_4_Challan_Summary_1"/>
      <sheetName val="Labour_productivity1"/>
      <sheetName val="labour_coeff1"/>
      <sheetName val="BOQ_Direct_selling_cost"/>
      <sheetName val="Stress_Calculation"/>
      <sheetName val="IO_List"/>
      <sheetName val="MN_T_B_"/>
      <sheetName val="Exp_"/>
      <sheetName val="INDIGINEOUS_ITEMS_"/>
      <sheetName val="E_&amp;_R"/>
      <sheetName val="Civil_Boq"/>
      <sheetName val="CABLE DATA"/>
      <sheetName val="gen"/>
      <sheetName val="目录"/>
      <sheetName val="Lowside"/>
      <sheetName val="Measurements"/>
      <sheetName val="Tables"/>
      <sheetName val="Flooring"/>
      <sheetName val="Ceilings"/>
      <sheetName val="ACAD Finishes"/>
      <sheetName val="Site Details"/>
      <sheetName val="Chair"/>
      <sheetName val="Site Area Statement"/>
      <sheetName val="Doors"/>
      <sheetName val="Estimate"/>
      <sheetName val="Material "/>
      <sheetName val="std.wt."/>
      <sheetName val="BOQ-Tower"/>
      <sheetName val="BOQ civil"/>
      <sheetName val="Interior"/>
      <sheetName val="parametry"/>
      <sheetName val="VARIABLE"/>
      <sheetName val="#REF"/>
      <sheetName val="GR.slab-reinft"/>
      <sheetName val="SCHEDULE"/>
      <sheetName val="Aseet1998"/>
      <sheetName val="M-Book for Conc"/>
      <sheetName val="M-Book for FW"/>
      <sheetName val="PACK (B)"/>
      <sheetName val="TBAL9697_-group_wise__sdpl"/>
      <sheetName val="Break_Dw"/>
      <sheetName val="Load_Details(B1)"/>
      <sheetName val="PA-_Consutant_"/>
      <sheetName val="Debits_as_on_12_04_08"/>
      <sheetName val="Desgn(zone_I)"/>
      <sheetName val="Bed_Class"/>
      <sheetName val="PART-I_(2)2"/>
      <sheetName val="final_abstract2"/>
      <sheetName val="Structure_Bills_Qty1"/>
      <sheetName val="Builtup_Area1"/>
      <sheetName val="MASTER_RATE_ANALYSIS1"/>
      <sheetName val="Cop_-VGN1"/>
      <sheetName val="Materials_1"/>
      <sheetName val="MN_T_B_1"/>
      <sheetName val="BOQ_Direct_selling_cost1"/>
      <sheetName val="Stress_Calculation1"/>
      <sheetName val="IO_List1"/>
      <sheetName val="E_&amp;_R1"/>
      <sheetName val="Exp_1"/>
      <sheetName val="INDIGINEOUS_ITEMS_1"/>
      <sheetName val="TBAL9697_-group_wise__sdpl1"/>
      <sheetName val="Break_Dw1"/>
      <sheetName val="Load_Details(B1)1"/>
      <sheetName val="SPT_vs_PHI1"/>
      <sheetName val="Civil_Boq1"/>
      <sheetName val="PA-_Consutant_1"/>
      <sheetName val="Debits_as_on_12_04_081"/>
      <sheetName val="Desgn(zone_I)1"/>
      <sheetName val="Bed_Class1"/>
      <sheetName val="PART-I_(2)3"/>
      <sheetName val="final_abstract3"/>
      <sheetName val="Fee_Rate_Summary2"/>
      <sheetName val="Basement_Budget2"/>
      <sheetName val="Rate_analysis2"/>
      <sheetName val="Materials_Cost2"/>
      <sheetName val="10__&amp;_11__Rate_Code_&amp;_BQ2"/>
      <sheetName val="Break_up_Sheet2"/>
      <sheetName val="B_&amp;_C_-_M_-_ccp2"/>
      <sheetName val="RES_STEEL_TO2"/>
      <sheetName val="RMZ_Summary2"/>
      <sheetName val="Pipe_Supports2"/>
      <sheetName val="Field_Values2"/>
      <sheetName val="Fin_Sum2"/>
      <sheetName val="Fill_this_out_first___2"/>
      <sheetName val="Site_Dev_BOQ2"/>
      <sheetName val="Staff_Forecast_spread2"/>
      <sheetName val="Structure_Bills_Qty2"/>
      <sheetName val="Builtup_Area2"/>
      <sheetName val="MASTER_RATE_ANALYSIS2"/>
      <sheetName val="Cop_-VGN2"/>
      <sheetName val="Materials_2"/>
      <sheetName val="MN_T_B_2"/>
      <sheetName val="BOQ_Direct_selling_cost2"/>
      <sheetName val="Stress_Calculation2"/>
      <sheetName val="IO_List2"/>
      <sheetName val="E_&amp;_R2"/>
      <sheetName val="factor_sheet1"/>
      <sheetName val="Exp_2"/>
      <sheetName val="INDIGINEOUS_ITEMS_2"/>
      <sheetName val="TBAL9697_-group_wise__sdpl2"/>
      <sheetName val="Break_Dw2"/>
      <sheetName val="Load_Details(B1)2"/>
      <sheetName val="SPT_vs_PHI2"/>
      <sheetName val="Civil_Boq2"/>
      <sheetName val="PA-_Consutant_2"/>
      <sheetName val="Debits_as_on_12_04_082"/>
      <sheetName val="INDORAMA_Group_June_022"/>
      <sheetName val="Desgn(zone_I)2"/>
      <sheetName val="Bed_Class2"/>
      <sheetName val="Voucher"/>
      <sheetName val="jobhist"/>
      <sheetName val="PART-I_(2)4"/>
      <sheetName val="final_abstract4"/>
      <sheetName val="Fee_Rate_Summary3"/>
      <sheetName val="Basement_Budget3"/>
      <sheetName val="Rate_analysis3"/>
      <sheetName val="Materials_Cost3"/>
      <sheetName val="10__&amp;_11__Rate_Code_&amp;_BQ3"/>
      <sheetName val="Break_up_Sheet3"/>
      <sheetName val="B_&amp;_C_-_M_-_ccp3"/>
      <sheetName val="RES_STEEL_TO3"/>
      <sheetName val="RMZ_Summary3"/>
      <sheetName val="Pipe_Supports3"/>
      <sheetName val="Field_Values3"/>
      <sheetName val="Fin_Sum3"/>
      <sheetName val="Fill_this_out_first___3"/>
      <sheetName val="Site_Dev_BOQ3"/>
      <sheetName val="Staff_Forecast_spread3"/>
      <sheetName val="Structure_Bills_Qty3"/>
      <sheetName val="Builtup_Area3"/>
      <sheetName val="MASTER_RATE_ANALYSIS3"/>
      <sheetName val="Cop_-VGN3"/>
      <sheetName val="Materials_3"/>
      <sheetName val="MN_T_B_3"/>
      <sheetName val="BOQ_Direct_selling_cost3"/>
      <sheetName val="Stress_Calculation3"/>
      <sheetName val="IO_List3"/>
      <sheetName val="E_&amp;_R3"/>
      <sheetName val="Exp_3"/>
      <sheetName val="INDIGINEOUS_ITEMS_3"/>
      <sheetName val="TBAL9697_-group_wise__sdpl3"/>
      <sheetName val="Break_Dw3"/>
      <sheetName val="Load_Details(B1)3"/>
      <sheetName val="SPT_vs_PHI3"/>
      <sheetName val="Civil_Boq3"/>
      <sheetName val="PA-_Consutant_3"/>
      <sheetName val="Debits_as_on_12_04_083"/>
      <sheetName val="INDORAMA_Group_June_023"/>
      <sheetName val="Desgn(zone_I)3"/>
      <sheetName val="Bed_Class3"/>
      <sheetName val="M_B-QtyRecn"/>
      <sheetName val="PART-I_(2)5"/>
      <sheetName val="final_abstract5"/>
      <sheetName val="Fee_Rate_Summary4"/>
      <sheetName val="Basement_Budget4"/>
      <sheetName val="Rate_analysis4"/>
      <sheetName val="Materials_Cost4"/>
      <sheetName val="10__&amp;_11__Rate_Code_&amp;_BQ4"/>
      <sheetName val="Break_up_Sheet4"/>
      <sheetName val="B_&amp;_C_-_M_-_ccp4"/>
      <sheetName val="RES_STEEL_TO4"/>
      <sheetName val="RMZ_Summary4"/>
      <sheetName val="Pipe_Supports4"/>
      <sheetName val="Field_Values4"/>
      <sheetName val="Fin_Sum4"/>
      <sheetName val="Fill_this_out_first___4"/>
      <sheetName val="Site_Dev_BOQ4"/>
      <sheetName val="Staff_Forecast_spread4"/>
      <sheetName val="Structure_Bills_Qty4"/>
      <sheetName val="Builtup_Area4"/>
      <sheetName val="MASTER_RATE_ANALYSIS4"/>
      <sheetName val="Cop_-VGN4"/>
      <sheetName val="Materials_4"/>
      <sheetName val="MN_T_B_4"/>
      <sheetName val="BOQ_Direct_selling_cost4"/>
      <sheetName val="Stress_Calculation4"/>
      <sheetName val="IO_List4"/>
      <sheetName val="E_&amp;_R4"/>
      <sheetName val="factor_sheet2"/>
      <sheetName val="Exp_4"/>
      <sheetName val="INDIGINEOUS_ITEMS_4"/>
      <sheetName val="TBAL9697_-group_wise__sdpl4"/>
      <sheetName val="Break_Dw4"/>
      <sheetName val="Load_Details(B1)4"/>
      <sheetName val="SPT_vs_PHI4"/>
      <sheetName val="Civil_Boq4"/>
      <sheetName val="PA-_Consutant_4"/>
      <sheetName val="Debits_as_on_12_04_084"/>
      <sheetName val="INDORAMA_Group_June_024"/>
      <sheetName val="Desgn(zone_I)4"/>
      <sheetName val="Bed_Class4"/>
      <sheetName val="M_B-QtyRecn1"/>
      <sheetName val="det_est"/>
      <sheetName val="Lead statement"/>
      <sheetName val="PRECAST lightconc-II"/>
      <sheetName val="pvc"/>
      <sheetName val="선수금"/>
      <sheetName val="Code"/>
      <sheetName val="Set"/>
      <sheetName val="Summary_Bank"/>
      <sheetName val="Staircase "/>
      <sheetName val="concrete"/>
      <sheetName val="NLD - Assum"/>
      <sheetName val="Capex-fixed"/>
      <sheetName val="schedule nos"/>
      <sheetName val="CPIPE"/>
      <sheetName val="INPUT SHEET"/>
      <sheetName val="BOM"/>
      <sheetName val="Price Schedule"/>
      <sheetName val="Mat_Cost"/>
      <sheetName val="Cost_Any."/>
      <sheetName val="Ratio"/>
      <sheetName val="S &amp; A"/>
      <sheetName val="office"/>
      <sheetName val="Lab"/>
      <sheetName val="Material&amp;equipment"/>
      <sheetName val="Mat_Cost1"/>
      <sheetName val="Price_Schedule"/>
      <sheetName val="S_&amp;_A"/>
      <sheetName val="Cost_Any_"/>
      <sheetName val="PointNo.5"/>
      <sheetName val="Mat_Cost2"/>
      <sheetName val="Price_Schedule1"/>
      <sheetName val="S_&amp;_A1"/>
      <sheetName val="Cost_Any_1"/>
      <sheetName val="Cost_any"/>
      <sheetName val="d-safe specs"/>
      <sheetName val="d-safe DELUXE"/>
      <sheetName val="Diawise steel abstract"/>
      <sheetName val="SUMMARY-client"/>
      <sheetName val="Rising Main"/>
      <sheetName val="LTG-STG"/>
      <sheetName val="CCTV_EST1"/>
      <sheetName val="bill 2"/>
      <sheetName val="SOR"/>
      <sheetName val="Cable-data"/>
      <sheetName val="purpose&amp;input"/>
      <sheetName val="train cash"/>
      <sheetName val="accom cash"/>
      <sheetName val="Column Steel-R2"/>
      <sheetName val="beam-reinft-machine rm"/>
      <sheetName val="QS Name"/>
      <sheetName val="CANDY BOQ"/>
      <sheetName val="BOQ_(2)"/>
      <sheetName val="ACAD_Finishes"/>
      <sheetName val="Site_Details"/>
      <sheetName val="Site_Area_Statement"/>
      <sheetName val="DATA-2005-06"/>
      <sheetName val="Labour &amp; Plant"/>
      <sheetName val="ssr-rates"/>
      <sheetName val="leads"/>
      <sheetName val="Flight-1"/>
      <sheetName val="r"/>
      <sheetName val="Proforma -II "/>
      <sheetName val="DATA_PRG"/>
      <sheetName val="Ellis &amp; WS&amp;S"/>
      <sheetName val="Drip mould &amp; Elevation"/>
      <sheetName val="Trussess"/>
      <sheetName val="Hire"/>
      <sheetName val="MRATES"/>
      <sheetName val="Register"/>
      <sheetName val="Data.F8.BTR"/>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ELSR-2400 KL-Z-14"/>
      <sheetName val="ELSR-1200 KL-Z-15"/>
      <sheetName val="ELSR-2000 KL-Z-16"/>
      <sheetName val="Pumping Main-500mm-(2)"/>
      <sheetName val="Pumping Main-450mm-(3)"/>
      <sheetName val="BS"/>
      <sheetName val="Capex"/>
      <sheetName val="Pumping Main-(4)"/>
      <sheetName val="350 KL GLSR"/>
      <sheetName val="1000 KL Sump-"/>
      <sheetName val="1000 KL MBR"/>
      <sheetName val="MBR-1000 KL"/>
      <sheetName val="Pump room-12x8"/>
      <sheetName val="HSC"/>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Sheet1 (2)"/>
      <sheetName val="Mortars,"/>
      <sheetName val="Cent'g-1"/>
      <sheetName val="Cent'g-2"/>
      <sheetName val="Loading"/>
      <sheetName val="Dismantling"/>
      <sheetName val="DI pipes"/>
      <sheetName val="DI-Spe-1"/>
      <sheetName val="Wt.of DI Spe."/>
      <sheetName val="HDPE pipes"/>
      <sheetName val="HDPE-Spe"/>
      <sheetName val="RCC-PE"/>
      <sheetName val="RCC SS"/>
      <sheetName val="CI Spe."/>
      <sheetName val="PVC-WS"/>
      <sheetName val="ELSR-2"/>
      <sheetName val="data-ELSR "/>
      <sheetName val="Lowering"/>
      <sheetName val="data-Water Supply"/>
      <sheetName val="Sump &amp; ST"/>
      <sheetName val="Chamber-1"/>
      <sheetName val="Bld.Stnd,Data"/>
      <sheetName val="Bld up to 3F"/>
      <sheetName val="CC road"/>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CI weights"/>
      <sheetName val="PH-BWSC"/>
      <sheetName val="BWSC-Rate"/>
      <sheetName val="BWSC-Cal"/>
      <sheetName val="newsales"/>
      <sheetName val="Meas.-Hotel Part"/>
      <sheetName val="Pay_Sep06"/>
      <sheetName val="협조전"/>
      <sheetName val="AK-Offertstammblatt"/>
      <sheetName val="WORK TABLE"/>
      <sheetName val="220 11  BS "/>
      <sheetName val="Intro."/>
      <sheetName val="B3-B4-B5-B6"/>
      <sheetName val="Detail"/>
      <sheetName val="B1"/>
      <sheetName val="B"/>
      <sheetName val="BOQ Distribution"/>
      <sheetName val="Balustrade"/>
      <sheetName val="CFForecast detail"/>
      <sheetName val="Model (Not Merged)"/>
      <sheetName val="IS"/>
      <sheetName val="SGS ACQ"/>
      <sheetName val="Form 6"/>
      <sheetName val="EDWise"/>
      <sheetName val="01"/>
      <sheetName val="Version"/>
      <sheetName val="환율"/>
      <sheetName val="discounts_XP140"/>
      <sheetName val="Vind - BtB"/>
      <sheetName val="Tender Summary"/>
      <sheetName val="intr stool brkup"/>
      <sheetName val="Cash Flows &amp; IRR"/>
      <sheetName val="MFG"/>
      <sheetName val="QCEQPT-owned"/>
      <sheetName val="Internet"/>
      <sheetName val="Introduction"/>
      <sheetName val="Operating Statistics"/>
      <sheetName val="Financials"/>
      <sheetName val="1"/>
      <sheetName val="PriceSummary"/>
      <sheetName val="A.O.R."/>
      <sheetName val="sheeet7"/>
      <sheetName val="P4-BOQ"/>
      <sheetName val="Material Rate"/>
      <sheetName val="Conc_Analysis"/>
      <sheetName val="upa"/>
      <sheetName val="RAJU ASSO"/>
      <sheetName val="소상 &quot;1&quot;"/>
      <sheetName val="Discount &amp; Margin"/>
      <sheetName val="Material"/>
      <sheetName val="Lead statement ss5"/>
      <sheetName val="pvc_basic"/>
      <sheetName val="lead-st"/>
      <sheetName val="Estimate 10.00 Lakhs "/>
      <sheetName val="mlead"/>
      <sheetName val="abs road"/>
      <sheetName val="coverpage"/>
      <sheetName val="RMR"/>
      <sheetName val="Road data"/>
      <sheetName val="R_Det"/>
      <sheetName val="Detail In Door Stad"/>
      <sheetName val="Mater_x0000_fÙ_x0002_G"/>
      <sheetName val=""/>
      <sheetName val="Pump se_x0000_Ñ"/>
      <sheetName val="Pump se"/>
      <sheetName val="Works - Quote Sheet"/>
      <sheetName val="CIV INV&amp;EXP"/>
      <sheetName val="not req 3"/>
      <sheetName val="C-data"/>
      <sheetName val="220Kv (2)"/>
      <sheetName val="COMPLEXALL"/>
      <sheetName val="Cover"/>
      <sheetName val="DATA-BASE"/>
      <sheetName val="DATA-ABSTRACT"/>
      <sheetName val="v"/>
      <sheetName val="maya"/>
      <sheetName val="DI"/>
      <sheetName val="hdpe_basic"/>
      <sheetName val="wh_data_R"/>
      <sheetName val="report"/>
      <sheetName val="3. Elemental Summary"/>
      <sheetName val="Retaing wall"/>
      <sheetName val="TS-TC"/>
      <sheetName val="대비표"/>
      <sheetName val="except wiring"/>
      <sheetName val="Cs"/>
      <sheetName val="CPIPE 1"/>
      <sheetName val="Assumptions"/>
      <sheetName val="DetEst"/>
      <sheetName val="basdat"/>
      <sheetName val="P-Ins &amp; Bonds"/>
      <sheetName val="M.S."/>
      <sheetName val="Branch Power"/>
      <sheetName val="Distrib"/>
      <sheetName val="Emergency"/>
      <sheetName val="Equipment"/>
      <sheetName val="Lighting"/>
      <sheetName val="P.Well( RCC)"/>
      <sheetName val="Template4444"/>
      <sheetName val="CONNECT"/>
      <sheetName val="PART-I_(2)6"/>
      <sheetName val="final_abstract6"/>
      <sheetName val="Basement_Budget5"/>
      <sheetName val="Fee_Rate_Summary5"/>
      <sheetName val="Rate_analysis5"/>
      <sheetName val="Materials_Cost5"/>
      <sheetName val="10__&amp;_11__Rate_Code_&amp;_BQ5"/>
      <sheetName val="RES_STEEL_TO5"/>
      <sheetName val="Break_up_Sheet5"/>
      <sheetName val="B_&amp;_C_-_M_-_ccp5"/>
      <sheetName val="RMZ_Summary5"/>
      <sheetName val="Fill_this_out_first___5"/>
      <sheetName val="TBAL9697_-group_wise__sdpl5"/>
      <sheetName val="Fin_Sum5"/>
      <sheetName val="Site_Dev_BOQ5"/>
      <sheetName val="Staff_Forecast_spread5"/>
      <sheetName val="Field_Values5"/>
      <sheetName val="Structure_Bills_Qty5"/>
      <sheetName val="Builtup_Area5"/>
      <sheetName val="MASTER_RATE_ANALYSIS5"/>
      <sheetName val="Cop_-VGN5"/>
      <sheetName val="IO_List5"/>
      <sheetName val="BOQ_Direct_selling_cost5"/>
      <sheetName val="Stress_Calculation5"/>
      <sheetName val="Pipe_Supports5"/>
      <sheetName val="Materials_5"/>
      <sheetName val="MN_T_B_5"/>
      <sheetName val="Exp_5"/>
      <sheetName val="INDIGINEOUS_ITEMS_5"/>
      <sheetName val="INDORAMA_Group_June_025"/>
      <sheetName val="E_&amp;_R5"/>
      <sheetName val="Break_Dw5"/>
      <sheetName val="Load_Details(B1)5"/>
      <sheetName val="SPT_vs_PHI5"/>
      <sheetName val="Civil_Boq5"/>
      <sheetName val="Debits_as_on_12_04_085"/>
      <sheetName val="For_Bill-04_PS"/>
      <sheetName val="RCC,Ret__Wall2"/>
      <sheetName val="RA_4_Challan_Summary_2"/>
      <sheetName val="Labour_productivity2"/>
      <sheetName val="labour_coeff2"/>
      <sheetName val="BOQ_(2)1"/>
      <sheetName val="PA-_Consutant_5"/>
      <sheetName val="Sheet3_(2)"/>
      <sheetName val="ORDER_BOOKING"/>
      <sheetName val="beam-reinft-IIInd_floor"/>
      <sheetName val="Bed_Class5"/>
      <sheetName val="PH_data"/>
      <sheetName val="Details_(3)"/>
      <sheetName val="Desgn(zone_I)5"/>
      <sheetName val="M_B-QtyRecn2"/>
      <sheetName val="Sqn__Main__Abs"/>
      <sheetName val="Staff_Acco_"/>
      <sheetName val="Section_Catalogue"/>
      <sheetName val="Approved_MTD_Proj_#'s"/>
      <sheetName val="ACAD_Finishes1"/>
      <sheetName val="Site_Details1"/>
      <sheetName val="Site_Area_Statement1"/>
      <sheetName val="CABLE_DATA"/>
      <sheetName val="GR_slab-reinft"/>
      <sheetName val="BOQ_civil"/>
      <sheetName val="INPUT_SHEET"/>
      <sheetName val="Rising_Main"/>
      <sheetName val="Estimate_"/>
      <sheetName val="Common_"/>
      <sheetName val="Staircase_"/>
      <sheetName val="Material_"/>
      <sheetName val="PACK_(B)"/>
      <sheetName val="M-Book_for_Conc"/>
      <sheetName val="M-Book_for_FW"/>
      <sheetName val="QS_Name"/>
      <sheetName val="CANDY_BOQ"/>
      <sheetName val="NLD_-_Assum"/>
      <sheetName val="schedule_nos"/>
      <sheetName val="bill_2"/>
      <sheetName val="train_cash"/>
      <sheetName val="accom_cash"/>
      <sheetName val="d-safe_specs"/>
      <sheetName val="d-safe_DELUXE"/>
      <sheetName val="Diawise_steel_abstract"/>
      <sheetName val="Column_Steel-R2"/>
      <sheetName val="std_wt_"/>
      <sheetName val="Meas_-Hotel_Part"/>
      <sheetName val="beam-reinft-machine_rm"/>
      <sheetName val="Vind_-_BtB"/>
      <sheetName val="Tender_Summary"/>
      <sheetName val="WORK_TABLE"/>
      <sheetName val="220_11__BS_"/>
      <sheetName val="Intro_"/>
      <sheetName val="Cash_Flows_&amp;_IRR"/>
      <sheetName val="SGS_ACQ"/>
      <sheetName val="CFForecast_detail"/>
      <sheetName val="Model_(Not_Merged)"/>
      <sheetName val="Form_6"/>
      <sheetName val="Operating_Statistics"/>
      <sheetName val="Occ, Other Rev, Exp, Dispo"/>
      <sheetName val="PC Master List"/>
      <sheetName val="Project Details.."/>
      <sheetName val="TOS-F"/>
      <sheetName val="PO Summary"/>
      <sheetName val="BOQ Summary"/>
      <sheetName val="Sec 1 Loose Furniture 18% GST"/>
      <sheetName val="Sec 1 Loose Furniture 12% GST"/>
      <sheetName val="Sec 1 Loose Furniture 5% GST"/>
      <sheetName val="Sec 2 Cafeteria Tables"/>
      <sheetName val="Sec 3 Cafeteria Chairs"/>
      <sheetName val="Sec 4 Work Floors - NT "/>
      <sheetName val="Sec 5 LGF Chairs-NT"/>
      <sheetName val="Sec 6 Additional 18% GST "/>
      <sheetName val="Sec 6 Additional 12% GST "/>
      <sheetName val="Sec 11-NT set 3"/>
      <sheetName val="DC Summary"/>
      <sheetName val="M Sheet"/>
      <sheetName val="RA4 Checklist"/>
      <sheetName val="2.대외공문"/>
      <sheetName val="PCC"/>
      <sheetName val="NEW-IDs Fun &amp; Group"/>
      <sheetName val="Values"/>
      <sheetName val="ANNEXURE-A"/>
      <sheetName val="Qty-UG"/>
      <sheetName val="Labor abs-NMR"/>
      <sheetName val="FINOLEX"/>
      <sheetName val="Japan Reco"/>
      <sheetName val="INFRA-CONTRACOR"/>
      <sheetName val="Excavation"/>
      <sheetName val="RCC"/>
      <sheetName val=" Block work"/>
      <sheetName val="Plaster"/>
      <sheetName val="Flooring &amp; Road"/>
      <sheetName val="CHintamani"/>
      <sheetName val="SSF"/>
      <sheetName val="Plumbing"/>
      <sheetName val="Cement"/>
      <sheetName val="BOM "/>
      <sheetName val="SUBMITED bISS"/>
      <sheetName val="TOTAL SUMMARY"/>
      <sheetName val="QTY"/>
      <sheetName val="DOOR-WINDOW SCHEDULE"/>
      <sheetName val="BLOCK WORK-GRD FLR"/>
      <sheetName val="project"/>
      <sheetName val="except_wiring"/>
      <sheetName val="CPIPE_1"/>
      <sheetName val="M_S_"/>
      <sheetName val="PART-I_(2)28"/>
      <sheetName val="final_abstract28"/>
      <sheetName val="Basement_Budget27"/>
      <sheetName val="Rate_analysis27"/>
      <sheetName val="Fee_Rate_Summary27"/>
      <sheetName val="Materials_Cost27"/>
      <sheetName val="10__&amp;_11__Rate_Code_&amp;_BQ27"/>
      <sheetName val="Break_up_Sheet27"/>
      <sheetName val="B_&amp;_C_-_M_-_ccp27"/>
      <sheetName val="RES_STEEL_TO27"/>
      <sheetName val="RMZ_Summary27"/>
      <sheetName val="Materials_27"/>
      <sheetName val="Field_Values27"/>
      <sheetName val="Fin_Sum27"/>
      <sheetName val="Fill_this_out_first___27"/>
      <sheetName val="Site_Dev_BOQ27"/>
      <sheetName val="Staff_Forecast_spread27"/>
      <sheetName val="Structure_Bills_Qty27"/>
      <sheetName val="Builtup_Area27"/>
      <sheetName val="MASTER_RATE_ANALYSIS27"/>
      <sheetName val="Cop_-VGN27"/>
      <sheetName val="Pipe_Supports27"/>
      <sheetName val="MN_T_B_27"/>
      <sheetName val="BOQ_Direct_selling_cost27"/>
      <sheetName val="Stress_Calculation27"/>
      <sheetName val="IO_List27"/>
      <sheetName val="TBAL9697_-group_wise__sdpl27"/>
      <sheetName val="Exp_27"/>
      <sheetName val="INDIGINEOUS_ITEMS_27"/>
      <sheetName val="E_&amp;_R27"/>
      <sheetName val="Load_Details(B1)27"/>
      <sheetName val="Break_Dw27"/>
      <sheetName val="SPT_vs_PHI27"/>
      <sheetName val="Civil_Boq27"/>
      <sheetName val="PA-_Consutant_27"/>
      <sheetName val="Debits_as_on_12_04_0827"/>
      <sheetName val="Sheet3_(2)27"/>
      <sheetName val="INDORAMA_Group_June_0227"/>
      <sheetName val="Sheet3_(2)1"/>
      <sheetName val="Sheet3_(2)2"/>
      <sheetName val="Sheet3_(2)3"/>
      <sheetName val="Sheet3_(2)5"/>
      <sheetName val="Sheet3_(2)4"/>
      <sheetName val="PART-I_(2)7"/>
      <sheetName val="final_abstract7"/>
      <sheetName val="Basement_Budget6"/>
      <sheetName val="Rate_analysis6"/>
      <sheetName val="Fee_Rate_Summary6"/>
      <sheetName val="Materials_Cost6"/>
      <sheetName val="10__&amp;_11__Rate_Code_&amp;_BQ6"/>
      <sheetName val="Break_up_Sheet6"/>
      <sheetName val="B_&amp;_C_-_M_-_ccp6"/>
      <sheetName val="RES_STEEL_TO6"/>
      <sheetName val="RMZ_Summary6"/>
      <sheetName val="Materials_6"/>
      <sheetName val="Field_Values6"/>
      <sheetName val="Fin_Sum6"/>
      <sheetName val="Fill_this_out_first___6"/>
      <sheetName val="Site_Dev_BOQ6"/>
      <sheetName val="Staff_Forecast_spread6"/>
      <sheetName val="Structure_Bills_Qty6"/>
      <sheetName val="Builtup_Area6"/>
      <sheetName val="MASTER_RATE_ANALYSIS6"/>
      <sheetName val="Cop_-VGN6"/>
      <sheetName val="Pipe_Supports6"/>
      <sheetName val="MN_T_B_6"/>
      <sheetName val="BOQ_Direct_selling_cost6"/>
      <sheetName val="Stress_Calculation6"/>
      <sheetName val="IO_List6"/>
      <sheetName val="TBAL9697_-group_wise__sdpl6"/>
      <sheetName val="Exp_6"/>
      <sheetName val="INDIGINEOUS_ITEMS_6"/>
      <sheetName val="E_&amp;_R6"/>
      <sheetName val="Load_Details(B1)6"/>
      <sheetName val="Break_Dw6"/>
      <sheetName val="SPT_vs_PHI6"/>
      <sheetName val="Civil_Boq6"/>
      <sheetName val="PA-_Consutant_6"/>
      <sheetName val="Debits_as_on_12_04_086"/>
      <sheetName val="Sheet3_(2)6"/>
      <sheetName val="INDORAMA_Group_June_026"/>
      <sheetName val="PART-I_(2)8"/>
      <sheetName val="final_abstract8"/>
      <sheetName val="Basement_Budget7"/>
      <sheetName val="Rate_analysis7"/>
      <sheetName val="Fee_Rate_Summary7"/>
      <sheetName val="Materials_Cost7"/>
      <sheetName val="10__&amp;_11__Rate_Code_&amp;_BQ7"/>
      <sheetName val="Break_up_Sheet7"/>
      <sheetName val="B_&amp;_C_-_M_-_ccp7"/>
      <sheetName val="RES_STEEL_TO7"/>
      <sheetName val="RMZ_Summary7"/>
      <sheetName val="Materials_7"/>
      <sheetName val="Field_Values7"/>
      <sheetName val="Fin_Sum7"/>
      <sheetName val="Fill_this_out_first___7"/>
      <sheetName val="Site_Dev_BOQ7"/>
      <sheetName val="Staff_Forecast_spread7"/>
      <sheetName val="Structure_Bills_Qty7"/>
      <sheetName val="Builtup_Area7"/>
      <sheetName val="MASTER_RATE_ANALYSIS7"/>
      <sheetName val="Cop_-VGN7"/>
      <sheetName val="Pipe_Supports7"/>
      <sheetName val="MN_T_B_7"/>
      <sheetName val="BOQ_Direct_selling_cost7"/>
      <sheetName val="Stress_Calculation7"/>
      <sheetName val="IO_List7"/>
      <sheetName val="TBAL9697_-group_wise__sdpl7"/>
      <sheetName val="Exp_7"/>
      <sheetName val="INDIGINEOUS_ITEMS_7"/>
      <sheetName val="E_&amp;_R7"/>
      <sheetName val="Load_Details(B1)7"/>
      <sheetName val="Break_Dw7"/>
      <sheetName val="SPT_vs_PHI7"/>
      <sheetName val="Civil_Boq7"/>
      <sheetName val="PA-_Consutant_7"/>
      <sheetName val="Debits_as_on_12_04_087"/>
      <sheetName val="Sheet3_(2)7"/>
      <sheetName val="INDORAMA_Group_June_027"/>
      <sheetName val="PART-I_(2)12"/>
      <sheetName val="final_abstract12"/>
      <sheetName val="Basement_Budget11"/>
      <sheetName val="Rate_analysis11"/>
      <sheetName val="Fee_Rate_Summary11"/>
      <sheetName val="Materials_Cost11"/>
      <sheetName val="10__&amp;_11__Rate_Code_&amp;_BQ11"/>
      <sheetName val="Break_up_Sheet11"/>
      <sheetName val="B_&amp;_C_-_M_-_ccp11"/>
      <sheetName val="RES_STEEL_TO11"/>
      <sheetName val="RMZ_Summary11"/>
      <sheetName val="Materials_11"/>
      <sheetName val="Field_Values11"/>
      <sheetName val="Fin_Sum11"/>
      <sheetName val="Fill_this_out_first___11"/>
      <sheetName val="Site_Dev_BOQ11"/>
      <sheetName val="Staff_Forecast_spread11"/>
      <sheetName val="Structure_Bills_Qty11"/>
      <sheetName val="Builtup_Area11"/>
      <sheetName val="MASTER_RATE_ANALYSIS11"/>
      <sheetName val="Cop_-VGN11"/>
      <sheetName val="Pipe_Supports11"/>
      <sheetName val="MN_T_B_11"/>
      <sheetName val="BOQ_Direct_selling_cost11"/>
      <sheetName val="Stress_Calculation11"/>
      <sheetName val="IO_List11"/>
      <sheetName val="TBAL9697_-group_wise__sdpl11"/>
      <sheetName val="Exp_11"/>
      <sheetName val="INDIGINEOUS_ITEMS_11"/>
      <sheetName val="E_&amp;_R11"/>
      <sheetName val="Load_Details(B1)11"/>
      <sheetName val="Break_Dw11"/>
      <sheetName val="SPT_vs_PHI11"/>
      <sheetName val="Civil_Boq11"/>
      <sheetName val="PA-_Consutant_11"/>
      <sheetName val="Debits_as_on_12_04_0811"/>
      <sheetName val="Sheet3_(2)11"/>
      <sheetName val="INDORAMA_Group_June_0211"/>
      <sheetName val="PART-I_(2)9"/>
      <sheetName val="final_abstract9"/>
      <sheetName val="Basement_Budget8"/>
      <sheetName val="Rate_analysis8"/>
      <sheetName val="Fee_Rate_Summary8"/>
      <sheetName val="Materials_Cost8"/>
      <sheetName val="10__&amp;_11__Rate_Code_&amp;_BQ8"/>
      <sheetName val="Break_up_Sheet8"/>
      <sheetName val="B_&amp;_C_-_M_-_ccp8"/>
      <sheetName val="RES_STEEL_TO8"/>
      <sheetName val="RMZ_Summary8"/>
      <sheetName val="Materials_8"/>
      <sheetName val="Field_Values8"/>
      <sheetName val="Fin_Sum8"/>
      <sheetName val="Fill_this_out_first___8"/>
      <sheetName val="Site_Dev_BOQ8"/>
      <sheetName val="Staff_Forecast_spread8"/>
      <sheetName val="Structure_Bills_Qty8"/>
      <sheetName val="Builtup_Area8"/>
      <sheetName val="MASTER_RATE_ANALYSIS8"/>
      <sheetName val="Cop_-VGN8"/>
      <sheetName val="Pipe_Supports8"/>
      <sheetName val="MN_T_B_8"/>
      <sheetName val="BOQ_Direct_selling_cost8"/>
      <sheetName val="Stress_Calculation8"/>
      <sheetName val="IO_List8"/>
      <sheetName val="TBAL9697_-group_wise__sdpl8"/>
      <sheetName val="Exp_8"/>
      <sheetName val="INDIGINEOUS_ITEMS_8"/>
      <sheetName val="E_&amp;_R8"/>
      <sheetName val="Load_Details(B1)8"/>
      <sheetName val="Break_Dw8"/>
      <sheetName val="SPT_vs_PHI8"/>
      <sheetName val="Civil_Boq8"/>
      <sheetName val="PA-_Consutant_8"/>
      <sheetName val="Debits_as_on_12_04_088"/>
      <sheetName val="Sheet3_(2)8"/>
      <sheetName val="INDORAMA_Group_June_028"/>
      <sheetName val="PART-I_(2)10"/>
      <sheetName val="final_abstract10"/>
      <sheetName val="Basement_Budget9"/>
      <sheetName val="Rate_analysis9"/>
      <sheetName val="Fee_Rate_Summary9"/>
      <sheetName val="Materials_Cost9"/>
      <sheetName val="10__&amp;_11__Rate_Code_&amp;_BQ9"/>
      <sheetName val="Break_up_Sheet9"/>
      <sheetName val="B_&amp;_C_-_M_-_ccp9"/>
      <sheetName val="RES_STEEL_TO9"/>
      <sheetName val="RMZ_Summary9"/>
      <sheetName val="Materials_9"/>
      <sheetName val="Field_Values9"/>
      <sheetName val="Fin_Sum9"/>
      <sheetName val="Fill_this_out_first___9"/>
      <sheetName val="Site_Dev_BOQ9"/>
      <sheetName val="Staff_Forecast_spread9"/>
      <sheetName val="Structure_Bills_Qty9"/>
      <sheetName val="Builtup_Area9"/>
      <sheetName val="MASTER_RATE_ANALYSIS9"/>
      <sheetName val="Cop_-VGN9"/>
      <sheetName val="Pipe_Supports9"/>
      <sheetName val="MN_T_B_9"/>
      <sheetName val="BOQ_Direct_selling_cost9"/>
      <sheetName val="Stress_Calculation9"/>
      <sheetName val="IO_List9"/>
      <sheetName val="TBAL9697_-group_wise__sdpl9"/>
      <sheetName val="Exp_9"/>
      <sheetName val="INDIGINEOUS_ITEMS_9"/>
      <sheetName val="E_&amp;_R9"/>
      <sheetName val="Load_Details(B1)9"/>
      <sheetName val="Break_Dw9"/>
      <sheetName val="SPT_vs_PHI9"/>
      <sheetName val="Civil_Boq9"/>
      <sheetName val="PA-_Consutant_9"/>
      <sheetName val="Debits_as_on_12_04_089"/>
      <sheetName val="Sheet3_(2)9"/>
      <sheetName val="INDORAMA_Group_June_029"/>
      <sheetName val="PART-I_(2)11"/>
      <sheetName val="final_abstract11"/>
      <sheetName val="Basement_Budget10"/>
      <sheetName val="Rate_analysis10"/>
      <sheetName val="Fee_Rate_Summary10"/>
      <sheetName val="Materials_Cost10"/>
      <sheetName val="10__&amp;_11__Rate_Code_&amp;_BQ10"/>
      <sheetName val="Break_up_Sheet10"/>
      <sheetName val="B_&amp;_C_-_M_-_ccp10"/>
      <sheetName val="RES_STEEL_TO10"/>
      <sheetName val="RMZ_Summary10"/>
      <sheetName val="Materials_10"/>
      <sheetName val="Field_Values10"/>
      <sheetName val="Fin_Sum10"/>
      <sheetName val="Fill_this_out_first___10"/>
      <sheetName val="Site_Dev_BOQ10"/>
      <sheetName val="Staff_Forecast_spread10"/>
      <sheetName val="Structure_Bills_Qty10"/>
      <sheetName val="Builtup_Area10"/>
      <sheetName val="MASTER_RATE_ANALYSIS10"/>
      <sheetName val="Cop_-VGN10"/>
      <sheetName val="Pipe_Supports10"/>
      <sheetName val="MN_T_B_10"/>
      <sheetName val="BOQ_Direct_selling_cost10"/>
      <sheetName val="Stress_Calculation10"/>
      <sheetName val="IO_List10"/>
      <sheetName val="TBAL9697_-group_wise__sdpl10"/>
      <sheetName val="Exp_10"/>
      <sheetName val="INDIGINEOUS_ITEMS_10"/>
      <sheetName val="E_&amp;_R10"/>
      <sheetName val="Load_Details(B1)10"/>
      <sheetName val="Break_Dw10"/>
      <sheetName val="SPT_vs_PHI10"/>
      <sheetName val="Civil_Boq10"/>
      <sheetName val="PA-_Consutant_10"/>
      <sheetName val="Debits_as_on_12_04_0810"/>
      <sheetName val="Sheet3_(2)10"/>
      <sheetName val="INDORAMA_Group_June_0210"/>
      <sheetName val="PART-I_(2)13"/>
      <sheetName val="final_abstract13"/>
      <sheetName val="Basement_Budget12"/>
      <sheetName val="Rate_analysis12"/>
      <sheetName val="Fee_Rate_Summary12"/>
      <sheetName val="Materials_Cost12"/>
      <sheetName val="10__&amp;_11__Rate_Code_&amp;_BQ12"/>
      <sheetName val="Break_up_Sheet12"/>
      <sheetName val="B_&amp;_C_-_M_-_ccp12"/>
      <sheetName val="RES_STEEL_TO12"/>
      <sheetName val="RMZ_Summary12"/>
      <sheetName val="Materials_12"/>
      <sheetName val="Fill_this_out_first___12"/>
      <sheetName val="Cop_-VGN12"/>
      <sheetName val="Field_Values12"/>
      <sheetName val="Fin_Sum12"/>
      <sheetName val="Site_Dev_BOQ12"/>
      <sheetName val="Staff_Forecast_spread12"/>
      <sheetName val="Structure_Bills_Qty12"/>
      <sheetName val="Builtup_Area12"/>
      <sheetName val="MASTER_RATE_ANALYSIS12"/>
      <sheetName val="Pipe_Supports12"/>
      <sheetName val="MN_T_B_12"/>
      <sheetName val="BOQ_Direct_selling_cost12"/>
      <sheetName val="Stress_Calculation12"/>
      <sheetName val="IO_List12"/>
      <sheetName val="TBAL9697_-group_wise__sdpl12"/>
      <sheetName val="Exp_12"/>
      <sheetName val="INDIGINEOUS_ITEMS_12"/>
      <sheetName val="E_&amp;_R12"/>
      <sheetName val="Load_Details(B1)12"/>
      <sheetName val="Break_Dw12"/>
      <sheetName val="SPT_vs_PHI12"/>
      <sheetName val="Civil_Boq12"/>
      <sheetName val="PA-_Consutant_12"/>
      <sheetName val="Debits_as_on_12_04_0812"/>
      <sheetName val="Sheet3_(2)12"/>
      <sheetName val="INDORAMA_Group_June_0212"/>
      <sheetName val="PART-I_(2)16"/>
      <sheetName val="final_abstract16"/>
      <sheetName val="Basement_Budget15"/>
      <sheetName val="Rate_analysis15"/>
      <sheetName val="Fee_Rate_Summary15"/>
      <sheetName val="Materials_Cost15"/>
      <sheetName val="10__&amp;_11__Rate_Code_&amp;_BQ15"/>
      <sheetName val="Break_up_Sheet15"/>
      <sheetName val="B_&amp;_C_-_M_-_ccp15"/>
      <sheetName val="RES_STEEL_TO15"/>
      <sheetName val="RMZ_Summary15"/>
      <sheetName val="Materials_15"/>
      <sheetName val="Field_Values15"/>
      <sheetName val="Fin_Sum15"/>
      <sheetName val="Fill_this_out_first___15"/>
      <sheetName val="Site_Dev_BOQ15"/>
      <sheetName val="Staff_Forecast_spread15"/>
      <sheetName val="Structure_Bills_Qty15"/>
      <sheetName val="Builtup_Area15"/>
      <sheetName val="MASTER_RATE_ANALYSIS15"/>
      <sheetName val="Cop_-VGN15"/>
      <sheetName val="Pipe_Supports15"/>
      <sheetName val="MN_T_B_15"/>
      <sheetName val="BOQ_Direct_selling_cost15"/>
      <sheetName val="Stress_Calculation15"/>
      <sheetName val="IO_List15"/>
      <sheetName val="TBAL9697_-group_wise__sdpl15"/>
      <sheetName val="Exp_15"/>
      <sheetName val="INDIGINEOUS_ITEMS_15"/>
      <sheetName val="E_&amp;_R15"/>
      <sheetName val="Load_Details(B1)15"/>
      <sheetName val="Break_Dw15"/>
      <sheetName val="SPT_vs_PHI15"/>
      <sheetName val="Civil_Boq15"/>
      <sheetName val="PA-_Consutant_15"/>
      <sheetName val="Debits_as_on_12_04_0815"/>
      <sheetName val="Sheet3_(2)15"/>
      <sheetName val="INDORAMA_Group_June_0215"/>
      <sheetName val="PART-I_(2)14"/>
      <sheetName val="final_abstract14"/>
      <sheetName val="Basement_Budget13"/>
      <sheetName val="Rate_analysis13"/>
      <sheetName val="Fee_Rate_Summary13"/>
      <sheetName val="Materials_Cost13"/>
      <sheetName val="10__&amp;_11__Rate_Code_&amp;_BQ13"/>
      <sheetName val="Break_up_Sheet13"/>
      <sheetName val="B_&amp;_C_-_M_-_ccp13"/>
      <sheetName val="RES_STEEL_TO13"/>
      <sheetName val="RMZ_Summary13"/>
      <sheetName val="Materials_13"/>
      <sheetName val="Field_Values13"/>
      <sheetName val="Fin_Sum13"/>
      <sheetName val="Fill_this_out_first___13"/>
      <sheetName val="Site_Dev_BOQ13"/>
      <sheetName val="Staff_Forecast_spread13"/>
      <sheetName val="Structure_Bills_Qty13"/>
      <sheetName val="Builtup_Area13"/>
      <sheetName val="MASTER_RATE_ANALYSIS13"/>
      <sheetName val="Cop_-VGN13"/>
      <sheetName val="Pipe_Supports13"/>
      <sheetName val="MN_T_B_13"/>
      <sheetName val="BOQ_Direct_selling_cost13"/>
      <sheetName val="Stress_Calculation13"/>
      <sheetName val="IO_List13"/>
      <sheetName val="TBAL9697_-group_wise__sdpl13"/>
      <sheetName val="Exp_13"/>
      <sheetName val="INDIGINEOUS_ITEMS_13"/>
      <sheetName val="E_&amp;_R13"/>
      <sheetName val="Load_Details(B1)13"/>
      <sheetName val="Break_Dw13"/>
      <sheetName val="SPT_vs_PHI13"/>
      <sheetName val="Civil_Boq13"/>
      <sheetName val="PA-_Consutant_13"/>
      <sheetName val="Debits_as_on_12_04_0813"/>
      <sheetName val="Sheet3_(2)13"/>
      <sheetName val="INDORAMA_Group_June_0213"/>
      <sheetName val="PART-I_(2)15"/>
      <sheetName val="final_abstract15"/>
      <sheetName val="Basement_Budget14"/>
      <sheetName val="Rate_analysis14"/>
      <sheetName val="Fee_Rate_Summary14"/>
      <sheetName val="Materials_Cost14"/>
      <sheetName val="10__&amp;_11__Rate_Code_&amp;_BQ14"/>
      <sheetName val="Break_up_Sheet14"/>
      <sheetName val="B_&amp;_C_-_M_-_ccp14"/>
      <sheetName val="RES_STEEL_TO14"/>
      <sheetName val="RMZ_Summary14"/>
      <sheetName val="Materials_14"/>
      <sheetName val="Field_Values14"/>
      <sheetName val="Fin_Sum14"/>
      <sheetName val="Fill_this_out_first___14"/>
      <sheetName val="Site_Dev_BOQ14"/>
      <sheetName val="Staff_Forecast_spread14"/>
      <sheetName val="Structure_Bills_Qty14"/>
      <sheetName val="Builtup_Area14"/>
      <sheetName val="MASTER_RATE_ANALYSIS14"/>
      <sheetName val="Cop_-VGN14"/>
      <sheetName val="Pipe_Supports14"/>
      <sheetName val="MN_T_B_14"/>
      <sheetName val="BOQ_Direct_selling_cost14"/>
      <sheetName val="Stress_Calculation14"/>
      <sheetName val="IO_List14"/>
      <sheetName val="TBAL9697_-group_wise__sdpl14"/>
      <sheetName val="Exp_14"/>
      <sheetName val="INDIGINEOUS_ITEMS_14"/>
      <sheetName val="E_&amp;_R14"/>
      <sheetName val="Load_Details(B1)14"/>
      <sheetName val="Break_Dw14"/>
      <sheetName val="SPT_vs_PHI14"/>
      <sheetName val="Civil_Boq14"/>
      <sheetName val="PA-_Consutant_14"/>
      <sheetName val="Debits_as_on_12_04_0814"/>
      <sheetName val="Sheet3_(2)14"/>
      <sheetName val="INDORAMA_Group_June_0214"/>
      <sheetName val="PART-I_(2)17"/>
      <sheetName val="final_abstract17"/>
      <sheetName val="Rate_analysis16"/>
      <sheetName val="Fee_Rate_Summary16"/>
      <sheetName val="Basement_Budget16"/>
      <sheetName val="Materials_Cost16"/>
      <sheetName val="10__&amp;_11__Rate_Code_&amp;_BQ16"/>
      <sheetName val="Break_up_Sheet16"/>
      <sheetName val="B_&amp;_C_-_M_-_ccp16"/>
      <sheetName val="RES_STEEL_TO16"/>
      <sheetName val="RMZ_Summary16"/>
      <sheetName val="Field_Values16"/>
      <sheetName val="Fin_Sum16"/>
      <sheetName val="Fill_this_out_first___16"/>
      <sheetName val="Site_Dev_BOQ16"/>
      <sheetName val="Staff_Forecast_spread16"/>
      <sheetName val="Structure_Bills_Qty16"/>
      <sheetName val="Builtup_Area16"/>
      <sheetName val="MASTER_RATE_ANALYSIS16"/>
      <sheetName val="Cop_-VGN16"/>
      <sheetName val="Pipe_Supports16"/>
      <sheetName val="Materials_16"/>
      <sheetName val="MN_T_B_16"/>
      <sheetName val="BOQ_Direct_selling_cost16"/>
      <sheetName val="Stress_Calculation16"/>
      <sheetName val="IO_List16"/>
      <sheetName val="TBAL9697_-group_wise__sdpl16"/>
      <sheetName val="Exp_16"/>
      <sheetName val="INDIGINEOUS_ITEMS_16"/>
      <sheetName val="E_&amp;_R16"/>
      <sheetName val="Load_Details(B1)16"/>
      <sheetName val="Break_Dw16"/>
      <sheetName val="SPT_vs_PHI16"/>
      <sheetName val="Civil_Boq16"/>
      <sheetName val="PA-_Consutant_16"/>
      <sheetName val="Debits_as_on_12_04_0816"/>
      <sheetName val="Sheet3_(2)16"/>
      <sheetName val="INDORAMA_Group_June_0216"/>
      <sheetName val="PART-I_(2)22"/>
      <sheetName val="final_abstract22"/>
      <sheetName val="Basement_Budget21"/>
      <sheetName val="Rate_analysis21"/>
      <sheetName val="Fee_Rate_Summary21"/>
      <sheetName val="Materials_Cost21"/>
      <sheetName val="10__&amp;_11__Rate_Code_&amp;_BQ21"/>
      <sheetName val="Break_up_Sheet21"/>
      <sheetName val="B_&amp;_C_-_M_-_ccp21"/>
      <sheetName val="RES_STEEL_TO21"/>
      <sheetName val="RMZ_Summary21"/>
      <sheetName val="Materials_21"/>
      <sheetName val="Field_Values21"/>
      <sheetName val="Fin_Sum21"/>
      <sheetName val="Fill_this_out_first___21"/>
      <sheetName val="Site_Dev_BOQ21"/>
      <sheetName val="Staff_Forecast_spread21"/>
      <sheetName val="Structure_Bills_Qty21"/>
      <sheetName val="Builtup_Area21"/>
      <sheetName val="MASTER_RATE_ANALYSIS21"/>
      <sheetName val="Cop_-VGN21"/>
      <sheetName val="Pipe_Supports21"/>
      <sheetName val="MN_T_B_21"/>
      <sheetName val="BOQ_Direct_selling_cost21"/>
      <sheetName val="Stress_Calculation21"/>
      <sheetName val="IO_List21"/>
      <sheetName val="TBAL9697_-group_wise__sdpl21"/>
      <sheetName val="Exp_21"/>
      <sheetName val="INDIGINEOUS_ITEMS_21"/>
      <sheetName val="E_&amp;_R21"/>
      <sheetName val="Load_Details(B1)21"/>
      <sheetName val="Break_Dw21"/>
      <sheetName val="SPT_vs_PHI21"/>
      <sheetName val="Civil_Boq21"/>
      <sheetName val="PA-_Consutant_21"/>
      <sheetName val="Debits_as_on_12_04_0821"/>
      <sheetName val="Sheet3_(2)21"/>
      <sheetName val="INDORAMA_Group_June_0221"/>
      <sheetName val="PART-I_(2)19"/>
      <sheetName val="final_abstract19"/>
      <sheetName val="Rate_analysis18"/>
      <sheetName val="Fee_Rate_Summary18"/>
      <sheetName val="Basement_Budget18"/>
      <sheetName val="Materials_Cost18"/>
      <sheetName val="10__&amp;_11__Rate_Code_&amp;_BQ18"/>
      <sheetName val="Break_up_Sheet18"/>
      <sheetName val="B_&amp;_C_-_M_-_ccp18"/>
      <sheetName val="RES_STEEL_TO18"/>
      <sheetName val="RMZ_Summary18"/>
      <sheetName val="Field_Values18"/>
      <sheetName val="Fin_Sum18"/>
      <sheetName val="Fill_this_out_first___18"/>
      <sheetName val="Site_Dev_BOQ18"/>
      <sheetName val="Staff_Forecast_spread18"/>
      <sheetName val="Structure_Bills_Qty18"/>
      <sheetName val="Builtup_Area18"/>
      <sheetName val="MASTER_RATE_ANALYSIS18"/>
      <sheetName val="Cop_-VGN18"/>
      <sheetName val="Pipe_Supports18"/>
      <sheetName val="Materials_18"/>
      <sheetName val="MN_T_B_18"/>
      <sheetName val="BOQ_Direct_selling_cost18"/>
      <sheetName val="Stress_Calculation18"/>
      <sheetName val="IO_List18"/>
      <sheetName val="TBAL9697_-group_wise__sdpl18"/>
      <sheetName val="Exp_18"/>
      <sheetName val="INDIGINEOUS_ITEMS_18"/>
      <sheetName val="E_&amp;_R18"/>
      <sheetName val="Load_Details(B1)18"/>
      <sheetName val="Break_Dw18"/>
      <sheetName val="SPT_vs_PHI18"/>
      <sheetName val="Civil_Boq18"/>
      <sheetName val="PA-_Consutant_18"/>
      <sheetName val="Debits_as_on_12_04_0818"/>
      <sheetName val="Sheet3_(2)18"/>
      <sheetName val="INDORAMA_Group_June_0218"/>
      <sheetName val="PART-I_(2)18"/>
      <sheetName val="final_abstract18"/>
      <sheetName val="Rate_analysis17"/>
      <sheetName val="Fee_Rate_Summary17"/>
      <sheetName val="Basement_Budget17"/>
      <sheetName val="Materials_Cost17"/>
      <sheetName val="10__&amp;_11__Rate_Code_&amp;_BQ17"/>
      <sheetName val="Break_up_Sheet17"/>
      <sheetName val="B_&amp;_C_-_M_-_ccp17"/>
      <sheetName val="RES_STEEL_TO17"/>
      <sheetName val="RMZ_Summary17"/>
      <sheetName val="Field_Values17"/>
      <sheetName val="Fin_Sum17"/>
      <sheetName val="Fill_this_out_first___17"/>
      <sheetName val="Site_Dev_BOQ17"/>
      <sheetName val="Staff_Forecast_spread17"/>
      <sheetName val="Structure_Bills_Qty17"/>
      <sheetName val="Builtup_Area17"/>
      <sheetName val="MASTER_RATE_ANALYSIS17"/>
      <sheetName val="Cop_-VGN17"/>
      <sheetName val="Pipe_Supports17"/>
      <sheetName val="Materials_17"/>
      <sheetName val="MN_T_B_17"/>
      <sheetName val="BOQ_Direct_selling_cost17"/>
      <sheetName val="Stress_Calculation17"/>
      <sheetName val="IO_List17"/>
      <sheetName val="TBAL9697_-group_wise__sdpl17"/>
      <sheetName val="Exp_17"/>
      <sheetName val="INDIGINEOUS_ITEMS_17"/>
      <sheetName val="E_&amp;_R17"/>
      <sheetName val="Load_Details(B1)17"/>
      <sheetName val="Break_Dw17"/>
      <sheetName val="SPT_vs_PHI17"/>
      <sheetName val="Civil_Boq17"/>
      <sheetName val="PA-_Consutant_17"/>
      <sheetName val="Debits_as_on_12_04_0817"/>
      <sheetName val="Sheet3_(2)17"/>
      <sheetName val="INDORAMA_Group_June_0217"/>
      <sheetName val="PART-I_(2)20"/>
      <sheetName val="final_abstract20"/>
      <sheetName val="Rate_analysis19"/>
      <sheetName val="Fee_Rate_Summary19"/>
      <sheetName val="Basement_Budget19"/>
      <sheetName val="Materials_Cost19"/>
      <sheetName val="10__&amp;_11__Rate_Code_&amp;_BQ19"/>
      <sheetName val="Break_up_Sheet19"/>
      <sheetName val="B_&amp;_C_-_M_-_ccp19"/>
      <sheetName val="RES_STEEL_TO19"/>
      <sheetName val="RMZ_Summary19"/>
      <sheetName val="Field_Values19"/>
      <sheetName val="Fin_Sum19"/>
      <sheetName val="Fill_this_out_first___19"/>
      <sheetName val="Site_Dev_BOQ19"/>
      <sheetName val="Staff_Forecast_spread19"/>
      <sheetName val="Structure_Bills_Qty19"/>
      <sheetName val="Builtup_Area19"/>
      <sheetName val="MASTER_RATE_ANALYSIS19"/>
      <sheetName val="Cop_-VGN19"/>
      <sheetName val="Pipe_Supports19"/>
      <sheetName val="Materials_19"/>
      <sheetName val="MN_T_B_19"/>
      <sheetName val="BOQ_Direct_selling_cost19"/>
      <sheetName val="Stress_Calculation19"/>
      <sheetName val="IO_List19"/>
      <sheetName val="TBAL9697_-group_wise__sdpl19"/>
      <sheetName val="Exp_19"/>
      <sheetName val="INDIGINEOUS_ITEMS_19"/>
      <sheetName val="E_&amp;_R19"/>
      <sheetName val="Load_Details(B1)19"/>
      <sheetName val="Break_Dw19"/>
      <sheetName val="SPT_vs_PHI19"/>
      <sheetName val="Civil_Boq19"/>
      <sheetName val="PA-_Consutant_19"/>
      <sheetName val="Debits_as_on_12_04_0819"/>
      <sheetName val="Sheet3_(2)19"/>
      <sheetName val="INDORAMA_Group_June_0219"/>
      <sheetName val="PART-I_(2)21"/>
      <sheetName val="final_abstract21"/>
      <sheetName val="Basement_Budget20"/>
      <sheetName val="Rate_analysis20"/>
      <sheetName val="Fee_Rate_Summary20"/>
      <sheetName val="Materials_Cost20"/>
      <sheetName val="10__&amp;_11__Rate_Code_&amp;_BQ20"/>
      <sheetName val="Break_up_Sheet20"/>
      <sheetName val="B_&amp;_C_-_M_-_ccp20"/>
      <sheetName val="RES_STEEL_TO20"/>
      <sheetName val="RMZ_Summary20"/>
      <sheetName val="Materials_20"/>
      <sheetName val="Field_Values20"/>
      <sheetName val="Fin_Sum20"/>
      <sheetName val="Fill_this_out_first___20"/>
      <sheetName val="Site_Dev_BOQ20"/>
      <sheetName val="Staff_Forecast_spread20"/>
      <sheetName val="Structure_Bills_Qty20"/>
      <sheetName val="Builtup_Area20"/>
      <sheetName val="MASTER_RATE_ANALYSIS20"/>
      <sheetName val="Cop_-VGN20"/>
      <sheetName val="Pipe_Supports20"/>
      <sheetName val="MN_T_B_20"/>
      <sheetName val="BOQ_Direct_selling_cost20"/>
      <sheetName val="Stress_Calculation20"/>
      <sheetName val="IO_List20"/>
      <sheetName val="TBAL9697_-group_wise__sdpl20"/>
      <sheetName val="Exp_20"/>
      <sheetName val="INDIGINEOUS_ITEMS_20"/>
      <sheetName val="E_&amp;_R20"/>
      <sheetName val="Load_Details(B1)20"/>
      <sheetName val="Break_Dw20"/>
      <sheetName val="SPT_vs_PHI20"/>
      <sheetName val="Civil_Boq20"/>
      <sheetName val="PA-_Consutant_20"/>
      <sheetName val="Debits_as_on_12_04_0820"/>
      <sheetName val="Sheet3_(2)20"/>
      <sheetName val="INDORAMA_Group_June_0220"/>
      <sheetName val="PART-I_(2)23"/>
      <sheetName val="final_abstract23"/>
      <sheetName val="Basement_Budget22"/>
      <sheetName val="Rate_analysis22"/>
      <sheetName val="Fee_Rate_Summary22"/>
      <sheetName val="Materials_Cost22"/>
      <sheetName val="10__&amp;_11__Rate_Code_&amp;_BQ22"/>
      <sheetName val="Break_up_Sheet22"/>
      <sheetName val="B_&amp;_C_-_M_-_ccp22"/>
      <sheetName val="RES_STEEL_TO22"/>
      <sheetName val="RMZ_Summary22"/>
      <sheetName val="Materials_22"/>
      <sheetName val="Field_Values22"/>
      <sheetName val="Fin_Sum22"/>
      <sheetName val="Fill_this_out_first___22"/>
      <sheetName val="Site_Dev_BOQ22"/>
      <sheetName val="Staff_Forecast_spread22"/>
      <sheetName val="Structure_Bills_Qty22"/>
      <sheetName val="Builtup_Area22"/>
      <sheetName val="MASTER_RATE_ANALYSIS22"/>
      <sheetName val="Cop_-VGN22"/>
      <sheetName val="Pipe_Supports22"/>
      <sheetName val="MN_T_B_22"/>
      <sheetName val="BOQ_Direct_selling_cost22"/>
      <sheetName val="Stress_Calculation22"/>
      <sheetName val="IO_List22"/>
      <sheetName val="TBAL9697_-group_wise__sdpl22"/>
      <sheetName val="Exp_22"/>
      <sheetName val="INDIGINEOUS_ITEMS_22"/>
      <sheetName val="E_&amp;_R22"/>
      <sheetName val="Load_Details(B1)22"/>
      <sheetName val="Break_Dw22"/>
      <sheetName val="SPT_vs_PHI22"/>
      <sheetName val="Civil_Boq22"/>
      <sheetName val="PA-_Consutant_22"/>
      <sheetName val="Debits_as_on_12_04_0822"/>
      <sheetName val="Sheet3_(2)22"/>
      <sheetName val="INDORAMA_Group_June_0222"/>
      <sheetName val="PART-I_(2)24"/>
      <sheetName val="final_abstract24"/>
      <sheetName val="Basement_Budget23"/>
      <sheetName val="Rate_analysis23"/>
      <sheetName val="Fee_Rate_Summary23"/>
      <sheetName val="Materials_Cost23"/>
      <sheetName val="10__&amp;_11__Rate_Code_&amp;_BQ23"/>
      <sheetName val="Break_up_Sheet23"/>
      <sheetName val="B_&amp;_C_-_M_-_ccp23"/>
      <sheetName val="RES_STEEL_TO23"/>
      <sheetName val="RMZ_Summary23"/>
      <sheetName val="Materials_23"/>
      <sheetName val="Field_Values23"/>
      <sheetName val="Fin_Sum23"/>
      <sheetName val="Fill_this_out_first___23"/>
      <sheetName val="Site_Dev_BOQ23"/>
      <sheetName val="Staff_Forecast_spread23"/>
      <sheetName val="Structure_Bills_Qty23"/>
      <sheetName val="Builtup_Area23"/>
      <sheetName val="MASTER_RATE_ANALYSIS23"/>
      <sheetName val="Cop_-VGN23"/>
      <sheetName val="Pipe_Supports23"/>
      <sheetName val="MN_T_B_23"/>
      <sheetName val="BOQ_Direct_selling_cost23"/>
      <sheetName val="Stress_Calculation23"/>
      <sheetName val="IO_List23"/>
      <sheetName val="TBAL9697_-group_wise__sdpl23"/>
      <sheetName val="Exp_23"/>
      <sheetName val="INDIGINEOUS_ITEMS_23"/>
      <sheetName val="E_&amp;_R23"/>
      <sheetName val="Load_Details(B1)23"/>
      <sheetName val="Break_Dw23"/>
      <sheetName val="SPT_vs_PHI23"/>
      <sheetName val="Civil_Boq23"/>
      <sheetName val="PA-_Consutant_23"/>
      <sheetName val="Debits_as_on_12_04_0823"/>
      <sheetName val="Sheet3_(2)23"/>
      <sheetName val="INDORAMA_Group_June_0223"/>
      <sheetName val="PART-I_(2)25"/>
      <sheetName val="final_abstract25"/>
      <sheetName val="Basement_Budget24"/>
      <sheetName val="Rate_analysis24"/>
      <sheetName val="Fee_Rate_Summary24"/>
      <sheetName val="Materials_Cost24"/>
      <sheetName val="10__&amp;_11__Rate_Code_&amp;_BQ24"/>
      <sheetName val="Break_up_Sheet24"/>
      <sheetName val="B_&amp;_C_-_M_-_ccp24"/>
      <sheetName val="RES_STEEL_TO24"/>
      <sheetName val="RMZ_Summary24"/>
      <sheetName val="Materials_24"/>
      <sheetName val="Field_Values24"/>
      <sheetName val="Fin_Sum24"/>
      <sheetName val="Fill_this_out_first___24"/>
      <sheetName val="Site_Dev_BOQ24"/>
      <sheetName val="Staff_Forecast_spread24"/>
      <sheetName val="Structure_Bills_Qty24"/>
      <sheetName val="Builtup_Area24"/>
      <sheetName val="MASTER_RATE_ANALYSIS24"/>
      <sheetName val="Cop_-VGN24"/>
      <sheetName val="Pipe_Supports24"/>
      <sheetName val="MN_T_B_24"/>
      <sheetName val="BOQ_Direct_selling_cost24"/>
      <sheetName val="Stress_Calculation24"/>
      <sheetName val="IO_List24"/>
      <sheetName val="TBAL9697_-group_wise__sdpl24"/>
      <sheetName val="Exp_24"/>
      <sheetName val="INDIGINEOUS_ITEMS_24"/>
      <sheetName val="E_&amp;_R24"/>
      <sheetName val="Load_Details(B1)24"/>
      <sheetName val="Break_Dw24"/>
      <sheetName val="SPT_vs_PHI24"/>
      <sheetName val="Civil_Boq24"/>
      <sheetName val="PA-_Consutant_24"/>
      <sheetName val="Debits_as_on_12_04_0824"/>
      <sheetName val="Sheet3_(2)24"/>
      <sheetName val="INDORAMA_Group_June_0224"/>
      <sheetName val="PART-I_(2)26"/>
      <sheetName val="final_abstract26"/>
      <sheetName val="Basement_Budget25"/>
      <sheetName val="Rate_analysis25"/>
      <sheetName val="Fee_Rate_Summary25"/>
      <sheetName val="Materials_Cost25"/>
      <sheetName val="10__&amp;_11__Rate_Code_&amp;_BQ25"/>
      <sheetName val="Break_up_Sheet25"/>
      <sheetName val="B_&amp;_C_-_M_-_ccp25"/>
      <sheetName val="RES_STEEL_TO25"/>
      <sheetName val="RMZ_Summary25"/>
      <sheetName val="Materials_25"/>
      <sheetName val="Field_Values25"/>
      <sheetName val="Fin_Sum25"/>
      <sheetName val="Fill_this_out_first___25"/>
      <sheetName val="Site_Dev_BOQ25"/>
      <sheetName val="Staff_Forecast_spread25"/>
      <sheetName val="Structure_Bills_Qty25"/>
      <sheetName val="Builtup_Area25"/>
      <sheetName val="MASTER_RATE_ANALYSIS25"/>
      <sheetName val="Cop_-VGN25"/>
      <sheetName val="Pipe_Supports25"/>
      <sheetName val="MN_T_B_25"/>
      <sheetName val="BOQ_Direct_selling_cost25"/>
      <sheetName val="Stress_Calculation25"/>
      <sheetName val="IO_List25"/>
      <sheetName val="TBAL9697_-group_wise__sdpl25"/>
      <sheetName val="Exp_25"/>
      <sheetName val="INDIGINEOUS_ITEMS_25"/>
      <sheetName val="E_&amp;_R25"/>
      <sheetName val="Load_Details(B1)25"/>
      <sheetName val="Break_Dw25"/>
      <sheetName val="SPT_vs_PHI25"/>
      <sheetName val="Civil_Boq25"/>
      <sheetName val="PA-_Consutant_25"/>
      <sheetName val="Debits_as_on_12_04_0825"/>
      <sheetName val="Sheet3_(2)25"/>
      <sheetName val="INDORAMA_Group_June_0225"/>
      <sheetName val="PART-I_(2)27"/>
      <sheetName val="final_abstract27"/>
      <sheetName val="Basement_Budget26"/>
      <sheetName val="Rate_analysis26"/>
      <sheetName val="Fee_Rate_Summary26"/>
      <sheetName val="Materials_Cost26"/>
      <sheetName val="10__&amp;_11__Rate_Code_&amp;_BQ26"/>
      <sheetName val="Break_up_Sheet26"/>
      <sheetName val="B_&amp;_C_-_M_-_ccp26"/>
      <sheetName val="RES_STEEL_TO26"/>
      <sheetName val="RMZ_Summary26"/>
      <sheetName val="Materials_26"/>
      <sheetName val="Fill_this_out_first___26"/>
      <sheetName val="Cop_-VGN26"/>
      <sheetName val="Field_Values26"/>
      <sheetName val="Fin_Sum26"/>
      <sheetName val="Site_Dev_BOQ26"/>
      <sheetName val="Staff_Forecast_spread26"/>
      <sheetName val="Structure_Bills_Qty26"/>
      <sheetName val="Builtup_Area26"/>
      <sheetName val="MASTER_RATE_ANALYSIS26"/>
      <sheetName val="Pipe_Supports26"/>
      <sheetName val="MN_T_B_26"/>
      <sheetName val="BOQ_Direct_selling_cost26"/>
      <sheetName val="Stress_Calculation26"/>
      <sheetName val="IO_List26"/>
      <sheetName val="TBAL9697_-group_wise__sdpl26"/>
      <sheetName val="factor_sheet3"/>
      <sheetName val="Exp_26"/>
      <sheetName val="INDIGINEOUS_ITEMS_26"/>
      <sheetName val="E_&amp;_R26"/>
      <sheetName val="Load_Details(B1)26"/>
      <sheetName val="Break_Dw26"/>
      <sheetName val="SPT_vs_PHI26"/>
      <sheetName val="Civil_Boq26"/>
      <sheetName val="PA-_Consutant_26"/>
      <sheetName val="Debits_as_on_12_04_0826"/>
      <sheetName val="Sheet3_(2)26"/>
      <sheetName val="INDORAMA_Group_June_0226"/>
      <sheetName val="PART-I_(2)38"/>
      <sheetName val="final_abstract38"/>
      <sheetName val="Basement_Budget37"/>
      <sheetName val="Rate_analysis37"/>
      <sheetName val="Fee_Rate_Summary37"/>
      <sheetName val="Materials_Cost37"/>
      <sheetName val="10__&amp;_11__Rate_Code_&amp;_BQ37"/>
      <sheetName val="Break_up_Sheet37"/>
      <sheetName val="B_&amp;_C_-_M_-_ccp37"/>
      <sheetName val="RES_STEEL_TO37"/>
      <sheetName val="RMZ_Summary37"/>
      <sheetName val="Materials_37"/>
      <sheetName val="Field_Values37"/>
      <sheetName val="Fin_Sum37"/>
      <sheetName val="Fill_this_out_first___37"/>
      <sheetName val="Site_Dev_BOQ37"/>
      <sheetName val="Staff_Forecast_spread37"/>
      <sheetName val="Structure_Bills_Qty37"/>
      <sheetName val="Builtup_Area37"/>
      <sheetName val="MASTER_RATE_ANALYSIS37"/>
      <sheetName val="Cop_-VGN37"/>
      <sheetName val="Pipe_Supports37"/>
      <sheetName val="MN_T_B_37"/>
      <sheetName val="BOQ_Direct_selling_cost37"/>
      <sheetName val="Stress_Calculation37"/>
      <sheetName val="IO_List37"/>
      <sheetName val="TBAL9697_-group_wise__sdpl37"/>
      <sheetName val="factor_sheet12"/>
      <sheetName val="Exp_37"/>
      <sheetName val="INDIGINEOUS_ITEMS_37"/>
      <sheetName val="E_&amp;_R37"/>
      <sheetName val="Load_Details(B1)37"/>
      <sheetName val="Break_Dw37"/>
      <sheetName val="SPT_vs_PHI37"/>
      <sheetName val="Civil_Boq37"/>
      <sheetName val="PA-_Consutant_37"/>
      <sheetName val="Debits_as_on_12_04_0837"/>
      <sheetName val="Sheet3_(2)37"/>
      <sheetName val="INDORAMA_Group_June_0237"/>
      <sheetName val="PART-I_(2)29"/>
      <sheetName val="final_abstract29"/>
      <sheetName val="Basement_Budget28"/>
      <sheetName val="Rate_analysis28"/>
      <sheetName val="Fee_Rate_Summary28"/>
      <sheetName val="Materials_Cost28"/>
      <sheetName val="10__&amp;_11__Rate_Code_&amp;_BQ28"/>
      <sheetName val="Break_up_Sheet28"/>
      <sheetName val="B_&amp;_C_-_M_-_ccp28"/>
      <sheetName val="RES_STEEL_TO28"/>
      <sheetName val="RMZ_Summary28"/>
      <sheetName val="Materials_28"/>
      <sheetName val="Field_Values28"/>
      <sheetName val="Fin_Sum28"/>
      <sheetName val="Fill_this_out_first___28"/>
      <sheetName val="Site_Dev_BOQ28"/>
      <sheetName val="Staff_Forecast_spread28"/>
      <sheetName val="Structure_Bills_Qty28"/>
      <sheetName val="Builtup_Area28"/>
      <sheetName val="MASTER_RATE_ANALYSIS28"/>
      <sheetName val="Cop_-VGN28"/>
      <sheetName val="Pipe_Supports28"/>
      <sheetName val="MN_T_B_28"/>
      <sheetName val="BOQ_Direct_selling_cost28"/>
      <sheetName val="Stress_Calculation28"/>
      <sheetName val="IO_List28"/>
      <sheetName val="TBAL9697_-group_wise__sdpl28"/>
      <sheetName val="factor_sheet4"/>
      <sheetName val="Exp_28"/>
      <sheetName val="INDIGINEOUS_ITEMS_28"/>
      <sheetName val="E_&amp;_R28"/>
      <sheetName val="Load_Details(B1)28"/>
      <sheetName val="Break_Dw28"/>
      <sheetName val="SPT_vs_PHI28"/>
      <sheetName val="Civil_Boq28"/>
      <sheetName val="PA-_Consutant_28"/>
      <sheetName val="Debits_as_on_12_04_0828"/>
      <sheetName val="Sheet3_(2)28"/>
      <sheetName val="INDORAMA_Group_June_0228"/>
      <sheetName val="PART-I_(2)30"/>
      <sheetName val="final_abstract30"/>
      <sheetName val="Basement_Budget29"/>
      <sheetName val="Rate_analysis29"/>
      <sheetName val="Fee_Rate_Summary29"/>
      <sheetName val="Materials_Cost29"/>
      <sheetName val="10__&amp;_11__Rate_Code_&amp;_BQ29"/>
      <sheetName val="Break_up_Sheet29"/>
      <sheetName val="B_&amp;_C_-_M_-_ccp29"/>
      <sheetName val="RES_STEEL_TO29"/>
      <sheetName val="RMZ_Summary29"/>
      <sheetName val="Materials_29"/>
      <sheetName val="Field_Values29"/>
      <sheetName val="Fin_Sum29"/>
      <sheetName val="Fill_this_out_first___29"/>
      <sheetName val="Site_Dev_BOQ29"/>
      <sheetName val="Staff_Forecast_spread29"/>
      <sheetName val="Structure_Bills_Qty29"/>
      <sheetName val="Builtup_Area29"/>
      <sheetName val="MASTER_RATE_ANALYSIS29"/>
      <sheetName val="Cop_-VGN29"/>
      <sheetName val="Pipe_Supports29"/>
      <sheetName val="MN_T_B_29"/>
      <sheetName val="BOQ_Direct_selling_cost29"/>
      <sheetName val="Stress_Calculation29"/>
      <sheetName val="IO_List29"/>
      <sheetName val="TBAL9697_-group_wise__sdpl29"/>
      <sheetName val="factor_sheet5"/>
      <sheetName val="Exp_29"/>
      <sheetName val="INDIGINEOUS_ITEMS_29"/>
      <sheetName val="E_&amp;_R29"/>
      <sheetName val="Load_Details(B1)29"/>
      <sheetName val="Break_Dw29"/>
      <sheetName val="SPT_vs_PHI29"/>
      <sheetName val="Civil_Boq29"/>
      <sheetName val="PA-_Consutant_29"/>
      <sheetName val="Debits_as_on_12_04_0829"/>
      <sheetName val="Sheet3_(2)29"/>
      <sheetName val="INDORAMA_Group_June_0229"/>
      <sheetName val="PART-I_(2)31"/>
      <sheetName val="final_abstract31"/>
      <sheetName val="Basement_Budget30"/>
      <sheetName val="Rate_analysis30"/>
      <sheetName val="Fee_Rate_Summary30"/>
      <sheetName val="Materials_Cost30"/>
      <sheetName val="10__&amp;_11__Rate_Code_&amp;_BQ30"/>
      <sheetName val="Break_up_Sheet30"/>
      <sheetName val="B_&amp;_C_-_M_-_ccp30"/>
      <sheetName val="RES_STEEL_TO30"/>
      <sheetName val="RMZ_Summary30"/>
      <sheetName val="Materials_30"/>
      <sheetName val="Field_Values30"/>
      <sheetName val="Fin_Sum30"/>
      <sheetName val="Fill_this_out_first___30"/>
      <sheetName val="Site_Dev_BOQ30"/>
      <sheetName val="Staff_Forecast_spread30"/>
      <sheetName val="Structure_Bills_Qty30"/>
      <sheetName val="Builtup_Area30"/>
      <sheetName val="MASTER_RATE_ANALYSIS30"/>
      <sheetName val="Cop_-VGN30"/>
      <sheetName val="Pipe_Supports30"/>
      <sheetName val="MN_T_B_30"/>
      <sheetName val="BOQ_Direct_selling_cost30"/>
      <sheetName val="Stress_Calculation30"/>
      <sheetName val="IO_List30"/>
      <sheetName val="TBAL9697_-group_wise__sdpl30"/>
      <sheetName val="factor_sheet6"/>
      <sheetName val="Exp_30"/>
      <sheetName val="INDIGINEOUS_ITEMS_30"/>
      <sheetName val="E_&amp;_R30"/>
      <sheetName val="Load_Details(B1)30"/>
      <sheetName val="Break_Dw30"/>
      <sheetName val="SPT_vs_PHI30"/>
      <sheetName val="Civil_Boq30"/>
      <sheetName val="PA-_Consutant_30"/>
      <sheetName val="Debits_as_on_12_04_0830"/>
      <sheetName val="Sheet3_(2)30"/>
      <sheetName val="INDORAMA_Group_June_0230"/>
      <sheetName val="PART-I_(2)32"/>
      <sheetName val="final_abstract32"/>
      <sheetName val="Basement_Budget31"/>
      <sheetName val="Rate_analysis31"/>
      <sheetName val="Fee_Rate_Summary31"/>
      <sheetName val="Materials_Cost31"/>
      <sheetName val="10__&amp;_11__Rate_Code_&amp;_BQ31"/>
      <sheetName val="Break_up_Sheet31"/>
      <sheetName val="B_&amp;_C_-_M_-_ccp31"/>
      <sheetName val="RES_STEEL_TO31"/>
      <sheetName val="RMZ_Summary31"/>
      <sheetName val="Materials_31"/>
      <sheetName val="Field_Values31"/>
      <sheetName val="Fin_Sum31"/>
      <sheetName val="Fill_this_out_first___31"/>
      <sheetName val="Site_Dev_BOQ31"/>
      <sheetName val="Staff_Forecast_spread31"/>
      <sheetName val="Structure_Bills_Qty31"/>
      <sheetName val="Builtup_Area31"/>
      <sheetName val="MASTER_RATE_ANALYSIS31"/>
      <sheetName val="Cop_-VGN31"/>
      <sheetName val="Pipe_Supports31"/>
      <sheetName val="MN_T_B_31"/>
      <sheetName val="BOQ_Direct_selling_cost31"/>
      <sheetName val="Stress_Calculation31"/>
      <sheetName val="IO_List31"/>
      <sheetName val="TBAL9697_-group_wise__sdpl31"/>
      <sheetName val="factor_sheet7"/>
      <sheetName val="Exp_31"/>
      <sheetName val="INDIGINEOUS_ITEMS_31"/>
      <sheetName val="E_&amp;_R31"/>
      <sheetName val="Load_Details(B1)31"/>
      <sheetName val="Break_Dw31"/>
      <sheetName val="SPT_vs_PHI31"/>
      <sheetName val="Civil_Boq31"/>
      <sheetName val="PA-_Consutant_31"/>
      <sheetName val="Debits_as_on_12_04_0831"/>
      <sheetName val="Sheet3_(2)31"/>
      <sheetName val="INDORAMA_Group_June_0231"/>
      <sheetName val="PART-I_(2)34"/>
      <sheetName val="final_abstract34"/>
      <sheetName val="Basement_Budget33"/>
      <sheetName val="Rate_analysis33"/>
      <sheetName val="Fee_Rate_Summary33"/>
      <sheetName val="Materials_Cost33"/>
      <sheetName val="10__&amp;_11__Rate_Code_&amp;_BQ33"/>
      <sheetName val="Break_up_Sheet33"/>
      <sheetName val="B_&amp;_C_-_M_-_ccp33"/>
      <sheetName val="RES_STEEL_TO33"/>
      <sheetName val="RMZ_Summary33"/>
      <sheetName val="Materials_33"/>
      <sheetName val="Field_Values33"/>
      <sheetName val="Fin_Sum33"/>
      <sheetName val="Fill_this_out_first___33"/>
      <sheetName val="Site_Dev_BOQ33"/>
      <sheetName val="Staff_Forecast_spread33"/>
      <sheetName val="Structure_Bills_Qty33"/>
      <sheetName val="Builtup_Area33"/>
      <sheetName val="MASTER_RATE_ANALYSIS33"/>
      <sheetName val="Cop_-VGN33"/>
      <sheetName val="Pipe_Supports33"/>
      <sheetName val="MN_T_B_33"/>
      <sheetName val="BOQ_Direct_selling_cost33"/>
      <sheetName val="Stress_Calculation33"/>
      <sheetName val="IO_List33"/>
      <sheetName val="TBAL9697_-group_wise__sdpl33"/>
      <sheetName val="Exp_33"/>
      <sheetName val="INDIGINEOUS_ITEMS_33"/>
      <sheetName val="E_&amp;_R33"/>
      <sheetName val="Load_Details(B1)33"/>
      <sheetName val="Break_Dw33"/>
      <sheetName val="SPT_vs_PHI33"/>
      <sheetName val="Civil_Boq33"/>
      <sheetName val="PA-_Consutant_33"/>
      <sheetName val="Debits_as_on_12_04_0833"/>
      <sheetName val="Sheet3_(2)33"/>
      <sheetName val="INDORAMA_Group_June_0233"/>
      <sheetName val="PART-I_(2)33"/>
      <sheetName val="final_abstract33"/>
      <sheetName val="Basement_Budget32"/>
      <sheetName val="Rate_analysis32"/>
      <sheetName val="Fee_Rate_Summary32"/>
      <sheetName val="Materials_Cost32"/>
      <sheetName val="10__&amp;_11__Rate_Code_&amp;_BQ32"/>
      <sheetName val="Break_up_Sheet32"/>
      <sheetName val="B_&amp;_C_-_M_-_ccp32"/>
      <sheetName val="RES_STEEL_TO32"/>
      <sheetName val="RMZ_Summary32"/>
      <sheetName val="Materials_32"/>
      <sheetName val="Field_Values32"/>
      <sheetName val="Fin_Sum32"/>
      <sheetName val="Fill_this_out_first___32"/>
      <sheetName val="Site_Dev_BOQ32"/>
      <sheetName val="Staff_Forecast_spread32"/>
      <sheetName val="Structure_Bills_Qty32"/>
      <sheetName val="Builtup_Area32"/>
      <sheetName val="MASTER_RATE_ANALYSIS32"/>
      <sheetName val="Cop_-VGN32"/>
      <sheetName val="Pipe_Supports32"/>
      <sheetName val="MN_T_B_32"/>
      <sheetName val="BOQ_Direct_selling_cost32"/>
      <sheetName val="Stress_Calculation32"/>
      <sheetName val="IO_List32"/>
      <sheetName val="TBAL9697_-group_wise__sdpl32"/>
      <sheetName val="factor_sheet8"/>
      <sheetName val="Exp_32"/>
      <sheetName val="INDIGINEOUS_ITEMS_32"/>
      <sheetName val="E_&amp;_R32"/>
      <sheetName val="Load_Details(B1)32"/>
      <sheetName val="Break_Dw32"/>
      <sheetName val="SPT_vs_PHI32"/>
      <sheetName val="Civil_Boq32"/>
      <sheetName val="PA-_Consutant_32"/>
      <sheetName val="Debits_as_on_12_04_0832"/>
      <sheetName val="Sheet3_(2)32"/>
      <sheetName val="INDORAMA_Group_June_0232"/>
      <sheetName val="PART-I_(2)35"/>
      <sheetName val="final_abstract35"/>
      <sheetName val="Basement_Budget34"/>
      <sheetName val="Rate_analysis34"/>
      <sheetName val="Fee_Rate_Summary34"/>
      <sheetName val="Materials_Cost34"/>
      <sheetName val="10__&amp;_11__Rate_Code_&amp;_BQ34"/>
      <sheetName val="Break_up_Sheet34"/>
      <sheetName val="B_&amp;_C_-_M_-_ccp34"/>
      <sheetName val="RES_STEEL_TO34"/>
      <sheetName val="RMZ_Summary34"/>
      <sheetName val="Materials_34"/>
      <sheetName val="Field_Values34"/>
      <sheetName val="Fin_Sum34"/>
      <sheetName val="Fill_this_out_first___34"/>
      <sheetName val="Site_Dev_BOQ34"/>
      <sheetName val="Staff_Forecast_spread34"/>
      <sheetName val="Structure_Bills_Qty34"/>
      <sheetName val="Builtup_Area34"/>
      <sheetName val="MASTER_RATE_ANALYSIS34"/>
      <sheetName val="Cop_-VGN34"/>
      <sheetName val="Pipe_Supports34"/>
      <sheetName val="MN_T_B_34"/>
      <sheetName val="BOQ_Direct_selling_cost34"/>
      <sheetName val="Stress_Calculation34"/>
      <sheetName val="IO_List34"/>
      <sheetName val="TBAL9697_-group_wise__sdpl34"/>
      <sheetName val="factor_sheet9"/>
      <sheetName val="Exp_34"/>
      <sheetName val="INDIGINEOUS_ITEMS_34"/>
      <sheetName val="E_&amp;_R34"/>
      <sheetName val="Load_Details(B1)34"/>
      <sheetName val="Break_Dw34"/>
      <sheetName val="SPT_vs_PHI34"/>
      <sheetName val="Civil_Boq34"/>
      <sheetName val="PA-_Consutant_34"/>
      <sheetName val="Debits_as_on_12_04_0834"/>
      <sheetName val="Sheet3_(2)34"/>
      <sheetName val="INDORAMA_Group_June_0234"/>
      <sheetName val="PART-I_(2)36"/>
      <sheetName val="final_abstract36"/>
      <sheetName val="Basement_Budget35"/>
      <sheetName val="Rate_analysis35"/>
      <sheetName val="Fee_Rate_Summary35"/>
      <sheetName val="Materials_Cost35"/>
      <sheetName val="10__&amp;_11__Rate_Code_&amp;_BQ35"/>
      <sheetName val="Break_up_Sheet35"/>
      <sheetName val="B_&amp;_C_-_M_-_ccp35"/>
      <sheetName val="RES_STEEL_TO35"/>
      <sheetName val="RMZ_Summary35"/>
      <sheetName val="Materials_35"/>
      <sheetName val="Field_Values35"/>
      <sheetName val="Fin_Sum35"/>
      <sheetName val="Fill_this_out_first___35"/>
      <sheetName val="Site_Dev_BOQ35"/>
      <sheetName val="Staff_Forecast_spread35"/>
      <sheetName val="Structure_Bills_Qty35"/>
      <sheetName val="Builtup_Area35"/>
      <sheetName val="MASTER_RATE_ANALYSIS35"/>
      <sheetName val="Cop_-VGN35"/>
      <sheetName val="Pipe_Supports35"/>
      <sheetName val="MN_T_B_35"/>
      <sheetName val="BOQ_Direct_selling_cost35"/>
      <sheetName val="Stress_Calculation35"/>
      <sheetName val="IO_List35"/>
      <sheetName val="TBAL9697_-group_wise__sdpl35"/>
      <sheetName val="factor_sheet10"/>
      <sheetName val="Exp_35"/>
      <sheetName val="INDIGINEOUS_ITEMS_35"/>
      <sheetName val="E_&amp;_R35"/>
      <sheetName val="Load_Details(B1)35"/>
      <sheetName val="Break_Dw35"/>
      <sheetName val="SPT_vs_PHI35"/>
      <sheetName val="Civil_Boq35"/>
      <sheetName val="PA-_Consutant_35"/>
      <sheetName val="Debits_as_on_12_04_0835"/>
      <sheetName val="Sheet3_(2)35"/>
      <sheetName val="INDORAMA_Group_June_0235"/>
      <sheetName val="PART-I_(2)37"/>
      <sheetName val="final_abstract37"/>
      <sheetName val="Basement_Budget36"/>
      <sheetName val="Rate_analysis36"/>
      <sheetName val="Fee_Rate_Summary36"/>
      <sheetName val="Materials_Cost36"/>
      <sheetName val="10__&amp;_11__Rate_Code_&amp;_BQ36"/>
      <sheetName val="Break_up_Sheet36"/>
      <sheetName val="B_&amp;_C_-_M_-_ccp36"/>
      <sheetName val="RES_STEEL_TO36"/>
      <sheetName val="RMZ_Summary36"/>
      <sheetName val="Materials_36"/>
      <sheetName val="Field_Values36"/>
      <sheetName val="Fin_Sum36"/>
      <sheetName val="Fill_this_out_first___36"/>
      <sheetName val="Site_Dev_BOQ36"/>
      <sheetName val="Staff_Forecast_spread36"/>
      <sheetName val="Structure_Bills_Qty36"/>
      <sheetName val="Builtup_Area36"/>
      <sheetName val="MASTER_RATE_ANALYSIS36"/>
      <sheetName val="Cop_-VGN36"/>
      <sheetName val="Pipe_Supports36"/>
      <sheetName val="MN_T_B_36"/>
      <sheetName val="BOQ_Direct_selling_cost36"/>
      <sheetName val="Stress_Calculation36"/>
      <sheetName val="IO_List36"/>
      <sheetName val="TBAL9697_-group_wise__sdpl36"/>
      <sheetName val="factor_sheet11"/>
      <sheetName val="Exp_36"/>
      <sheetName val="INDIGINEOUS_ITEMS_36"/>
      <sheetName val="E_&amp;_R36"/>
      <sheetName val="Load_Details(B1)36"/>
      <sheetName val="Break_Dw36"/>
      <sheetName val="SPT_vs_PHI36"/>
      <sheetName val="Civil_Boq36"/>
      <sheetName val="PA-_Consutant_36"/>
      <sheetName val="Debits_as_on_12_04_0836"/>
      <sheetName val="Sheet3_(2)36"/>
      <sheetName val="INDORAMA_Group_June_0236"/>
      <sheetName val="PART-I_(2)44"/>
      <sheetName val="final_abstract44"/>
      <sheetName val="Basement_Budget43"/>
      <sheetName val="Rate_analysis43"/>
      <sheetName val="Fee_Rate_Summary43"/>
      <sheetName val="Materials_Cost43"/>
      <sheetName val="10__&amp;_11__Rate_Code_&amp;_BQ43"/>
      <sheetName val="Break_up_Sheet43"/>
      <sheetName val="B_&amp;_C_-_M_-_ccp43"/>
      <sheetName val="RES_STEEL_TO43"/>
      <sheetName val="RMZ_Summary43"/>
      <sheetName val="Materials_43"/>
      <sheetName val="Field_Values43"/>
      <sheetName val="Fin_Sum43"/>
      <sheetName val="Fill_this_out_first___43"/>
      <sheetName val="Site_Dev_BOQ43"/>
      <sheetName val="Staff_Forecast_spread43"/>
      <sheetName val="Structure_Bills_Qty43"/>
      <sheetName val="Builtup_Area43"/>
      <sheetName val="MASTER_RATE_ANALYSIS43"/>
      <sheetName val="Cop_-VGN43"/>
      <sheetName val="Pipe_Supports43"/>
      <sheetName val="MN_T_B_43"/>
      <sheetName val="BOQ_Direct_selling_cost43"/>
      <sheetName val="Stress_Calculation43"/>
      <sheetName val="IO_List43"/>
      <sheetName val="TBAL9697_-group_wise__sdpl43"/>
      <sheetName val="factor_sheet16"/>
      <sheetName val="Exp_43"/>
      <sheetName val="INDIGINEOUS_ITEMS_43"/>
      <sheetName val="E_&amp;_R43"/>
      <sheetName val="Load_Details(B1)43"/>
      <sheetName val="Break_Dw43"/>
      <sheetName val="SPT_vs_PHI43"/>
      <sheetName val="Civil_Boq43"/>
      <sheetName val="PA-_Consutant_43"/>
      <sheetName val="Debits_as_on_12_04_0843"/>
      <sheetName val="Sheet3_(2)43"/>
      <sheetName val="INDORAMA_Group_June_0243"/>
      <sheetName val="PART-I_(2)39"/>
      <sheetName val="final_abstract39"/>
      <sheetName val="Basement_Budget38"/>
      <sheetName val="Rate_analysis38"/>
      <sheetName val="Fee_Rate_Summary38"/>
      <sheetName val="Materials_Cost38"/>
      <sheetName val="10__&amp;_11__Rate_Code_&amp;_BQ38"/>
      <sheetName val="Break_up_Sheet38"/>
      <sheetName val="B_&amp;_C_-_M_-_ccp38"/>
      <sheetName val="RES_STEEL_TO38"/>
      <sheetName val="RMZ_Summary38"/>
      <sheetName val="Materials_38"/>
      <sheetName val="Field_Values38"/>
      <sheetName val="Fin_Sum38"/>
      <sheetName val="Fill_this_out_first___38"/>
      <sheetName val="Site_Dev_BOQ38"/>
      <sheetName val="Staff_Forecast_spread38"/>
      <sheetName val="Structure_Bills_Qty38"/>
      <sheetName val="Builtup_Area38"/>
      <sheetName val="MASTER_RATE_ANALYSIS38"/>
      <sheetName val="Cop_-VGN38"/>
      <sheetName val="Pipe_Supports38"/>
      <sheetName val="MN_T_B_38"/>
      <sheetName val="BOQ_Direct_selling_cost38"/>
      <sheetName val="Stress_Calculation38"/>
      <sheetName val="IO_List38"/>
      <sheetName val="TBAL9697_-group_wise__sdpl38"/>
      <sheetName val="Exp_38"/>
      <sheetName val="INDIGINEOUS_ITEMS_38"/>
      <sheetName val="E_&amp;_R38"/>
      <sheetName val="Load_Details(B1)38"/>
      <sheetName val="Break_Dw38"/>
      <sheetName val="SPT_vs_PHI38"/>
      <sheetName val="Civil_Boq38"/>
      <sheetName val="PA-_Consutant_38"/>
      <sheetName val="Debits_as_on_12_04_0838"/>
      <sheetName val="Sheet3_(2)38"/>
      <sheetName val="INDORAMA_Group_June_0238"/>
      <sheetName val="PART-I_(2)40"/>
      <sheetName val="final_abstract40"/>
      <sheetName val="Basement_Budget39"/>
      <sheetName val="Rate_analysis39"/>
      <sheetName val="Fee_Rate_Summary39"/>
      <sheetName val="Materials_Cost39"/>
      <sheetName val="10__&amp;_11__Rate_Code_&amp;_BQ39"/>
      <sheetName val="Break_up_Sheet39"/>
      <sheetName val="B_&amp;_C_-_M_-_ccp39"/>
      <sheetName val="RES_STEEL_TO39"/>
      <sheetName val="RMZ_Summary39"/>
      <sheetName val="Materials_39"/>
      <sheetName val="Field_Values39"/>
      <sheetName val="Fin_Sum39"/>
      <sheetName val="Fill_this_out_first___39"/>
      <sheetName val="Site_Dev_BOQ39"/>
      <sheetName val="Staff_Forecast_spread39"/>
      <sheetName val="Structure_Bills_Qty39"/>
      <sheetName val="Builtup_Area39"/>
      <sheetName val="MASTER_RATE_ANALYSIS39"/>
      <sheetName val="Cop_-VGN39"/>
      <sheetName val="Pipe_Supports39"/>
      <sheetName val="MN_T_B_39"/>
      <sheetName val="BOQ_Direct_selling_cost39"/>
      <sheetName val="Stress_Calculation39"/>
      <sheetName val="IO_List39"/>
      <sheetName val="TBAL9697_-group_wise__sdpl39"/>
      <sheetName val="Exp_39"/>
      <sheetName val="INDIGINEOUS_ITEMS_39"/>
      <sheetName val="E_&amp;_R39"/>
      <sheetName val="Load_Details(B1)39"/>
      <sheetName val="Break_Dw39"/>
      <sheetName val="SPT_vs_PHI39"/>
      <sheetName val="Civil_Boq39"/>
      <sheetName val="PA-_Consutant_39"/>
      <sheetName val="Debits_as_on_12_04_0839"/>
      <sheetName val="Sheet3_(2)39"/>
      <sheetName val="INDORAMA_Group_June_0239"/>
      <sheetName val="PART-I_(2)42"/>
      <sheetName val="final_abstract42"/>
      <sheetName val="Basement_Budget41"/>
      <sheetName val="Rate_analysis41"/>
      <sheetName val="Fee_Rate_Summary41"/>
      <sheetName val="Materials_Cost41"/>
      <sheetName val="10__&amp;_11__Rate_Code_&amp;_BQ41"/>
      <sheetName val="Break_up_Sheet41"/>
      <sheetName val="B_&amp;_C_-_M_-_ccp41"/>
      <sheetName val="RES_STEEL_TO41"/>
      <sheetName val="RMZ_Summary41"/>
      <sheetName val="Materials_41"/>
      <sheetName val="Field_Values41"/>
      <sheetName val="Fin_Sum41"/>
      <sheetName val="Fill_this_out_first___41"/>
      <sheetName val="Site_Dev_BOQ41"/>
      <sheetName val="Staff_Forecast_spread41"/>
      <sheetName val="Structure_Bills_Qty41"/>
      <sheetName val="Builtup_Area41"/>
      <sheetName val="MASTER_RATE_ANALYSIS41"/>
      <sheetName val="Cop_-VGN41"/>
      <sheetName val="Pipe_Supports41"/>
      <sheetName val="MN_T_B_41"/>
      <sheetName val="BOQ_Direct_selling_cost41"/>
      <sheetName val="Stress_Calculation41"/>
      <sheetName val="IO_List41"/>
      <sheetName val="TBAL9697_-group_wise__sdpl41"/>
      <sheetName val="factor_sheet14"/>
      <sheetName val="Exp_41"/>
      <sheetName val="INDIGINEOUS_ITEMS_41"/>
      <sheetName val="E_&amp;_R41"/>
      <sheetName val="Load_Details(B1)41"/>
      <sheetName val="Break_Dw41"/>
      <sheetName val="SPT_vs_PHI41"/>
      <sheetName val="Civil_Boq41"/>
      <sheetName val="PA-_Consutant_41"/>
      <sheetName val="Debits_as_on_12_04_0841"/>
      <sheetName val="Sheet3_(2)41"/>
      <sheetName val="INDORAMA_Group_June_0241"/>
      <sheetName val="PART-I_(2)41"/>
      <sheetName val="final_abstract41"/>
      <sheetName val="Basement_Budget40"/>
      <sheetName val="Rate_analysis40"/>
      <sheetName val="Fee_Rate_Summary40"/>
      <sheetName val="Materials_Cost40"/>
      <sheetName val="10__&amp;_11__Rate_Code_&amp;_BQ40"/>
      <sheetName val="Break_up_Sheet40"/>
      <sheetName val="B_&amp;_C_-_M_-_ccp40"/>
      <sheetName val="RES_STEEL_TO40"/>
      <sheetName val="RMZ_Summary40"/>
      <sheetName val="Materials_40"/>
      <sheetName val="Field_Values40"/>
      <sheetName val="Fin_Sum40"/>
      <sheetName val="Fill_this_out_first___40"/>
      <sheetName val="Site_Dev_BOQ40"/>
      <sheetName val="Staff_Forecast_spread40"/>
      <sheetName val="Structure_Bills_Qty40"/>
      <sheetName val="Builtup_Area40"/>
      <sheetName val="MASTER_RATE_ANALYSIS40"/>
      <sheetName val="Cop_-VGN40"/>
      <sheetName val="Pipe_Supports40"/>
      <sheetName val="MN_T_B_40"/>
      <sheetName val="BOQ_Direct_selling_cost40"/>
      <sheetName val="Stress_Calculation40"/>
      <sheetName val="IO_List40"/>
      <sheetName val="TBAL9697_-group_wise__sdpl40"/>
      <sheetName val="factor_sheet13"/>
      <sheetName val="Exp_40"/>
      <sheetName val="INDIGINEOUS_ITEMS_40"/>
      <sheetName val="E_&amp;_R40"/>
      <sheetName val="Load_Details(B1)40"/>
      <sheetName val="Break_Dw40"/>
      <sheetName val="SPT_vs_PHI40"/>
      <sheetName val="Civil_Boq40"/>
      <sheetName val="PA-_Consutant_40"/>
      <sheetName val="Debits_as_on_12_04_0840"/>
      <sheetName val="Sheet3_(2)40"/>
      <sheetName val="INDORAMA_Group_June_0240"/>
      <sheetName val="PART-I_(2)43"/>
      <sheetName val="final_abstract43"/>
      <sheetName val="Basement_Budget42"/>
      <sheetName val="Rate_analysis42"/>
      <sheetName val="Fee_Rate_Summary42"/>
      <sheetName val="Materials_Cost42"/>
      <sheetName val="10__&amp;_11__Rate_Code_&amp;_BQ42"/>
      <sheetName val="Break_up_Sheet42"/>
      <sheetName val="B_&amp;_C_-_M_-_ccp42"/>
      <sheetName val="RES_STEEL_TO42"/>
      <sheetName val="RMZ_Summary42"/>
      <sheetName val="Materials_42"/>
      <sheetName val="Field_Values42"/>
      <sheetName val="Fin_Sum42"/>
      <sheetName val="Fill_this_out_first___42"/>
      <sheetName val="Site_Dev_BOQ42"/>
      <sheetName val="Staff_Forecast_spread42"/>
      <sheetName val="Structure_Bills_Qty42"/>
      <sheetName val="Builtup_Area42"/>
      <sheetName val="MASTER_RATE_ANALYSIS42"/>
      <sheetName val="Cop_-VGN42"/>
      <sheetName val="Pipe_Supports42"/>
      <sheetName val="MN_T_B_42"/>
      <sheetName val="BOQ_Direct_selling_cost42"/>
      <sheetName val="Stress_Calculation42"/>
      <sheetName val="IO_List42"/>
      <sheetName val="TBAL9697_-group_wise__sdpl42"/>
      <sheetName val="factor_sheet15"/>
      <sheetName val="Exp_42"/>
      <sheetName val="INDIGINEOUS_ITEMS_42"/>
      <sheetName val="E_&amp;_R42"/>
      <sheetName val="Load_Details(B1)42"/>
      <sheetName val="Break_Dw42"/>
      <sheetName val="SPT_vs_PHI42"/>
      <sheetName val="Civil_Boq42"/>
      <sheetName val="PA-_Consutant_42"/>
      <sheetName val="Debits_as_on_12_04_0842"/>
      <sheetName val="Sheet3_(2)42"/>
      <sheetName val="INDORAMA_Group_June_0242"/>
      <sheetName val="PART-I_(2)45"/>
      <sheetName val="final_abstract45"/>
      <sheetName val="Basement_Budget44"/>
      <sheetName val="Rate_analysis44"/>
      <sheetName val="Fee_Rate_Summary44"/>
      <sheetName val="Materials_Cost44"/>
      <sheetName val="10__&amp;_11__Rate_Code_&amp;_BQ44"/>
      <sheetName val="Break_up_Sheet44"/>
      <sheetName val="B_&amp;_C_-_M_-_ccp44"/>
      <sheetName val="RES_STEEL_TO44"/>
      <sheetName val="RMZ_Summary44"/>
      <sheetName val="Materials_44"/>
      <sheetName val="Field_Values44"/>
      <sheetName val="Fin_Sum44"/>
      <sheetName val="Fill_this_out_first___44"/>
      <sheetName val="Site_Dev_BOQ44"/>
      <sheetName val="Staff_Forecast_spread44"/>
      <sheetName val="Structure_Bills_Qty44"/>
      <sheetName val="Builtup_Area44"/>
      <sheetName val="MASTER_RATE_ANALYSIS44"/>
      <sheetName val="Cop_-VGN44"/>
      <sheetName val="Pipe_Supports44"/>
      <sheetName val="MN_T_B_44"/>
      <sheetName val="BOQ_Direct_selling_cost44"/>
      <sheetName val="Stress_Calculation44"/>
      <sheetName val="IO_List44"/>
      <sheetName val="TBAL9697_-group_wise__sdpl44"/>
      <sheetName val="factor_sheet17"/>
      <sheetName val="Exp_44"/>
      <sheetName val="INDIGINEOUS_ITEMS_44"/>
      <sheetName val="E_&amp;_R44"/>
      <sheetName val="Load_Details(B1)44"/>
      <sheetName val="Break_Dw44"/>
      <sheetName val="SPT_vs_PHI44"/>
      <sheetName val="Civil_Boq44"/>
      <sheetName val="PA-_Consutant_44"/>
      <sheetName val="Debits_as_on_12_04_0844"/>
      <sheetName val="Sheet3_(2)44"/>
      <sheetName val="INDORAMA_Group_June_0244"/>
      <sheetName val="PART-I_(2)58"/>
      <sheetName val="final_abstract58"/>
      <sheetName val="Basement_Budget57"/>
      <sheetName val="Rate_analysis57"/>
      <sheetName val="Fee_Rate_Summary57"/>
      <sheetName val="Materials_Cost57"/>
      <sheetName val="10__&amp;_11__Rate_Code_&amp;_BQ57"/>
      <sheetName val="Break_up_Sheet57"/>
      <sheetName val="B_&amp;_C_-_M_-_ccp57"/>
      <sheetName val="RES_STEEL_TO57"/>
      <sheetName val="RMZ_Summary57"/>
      <sheetName val="Materials_57"/>
      <sheetName val="Field_Values57"/>
      <sheetName val="Fin_Sum57"/>
      <sheetName val="Fill_this_out_first___57"/>
      <sheetName val="Site_Dev_BOQ57"/>
      <sheetName val="Staff_Forecast_spread57"/>
      <sheetName val="Structure_Bills_Qty57"/>
      <sheetName val="Builtup_Area57"/>
      <sheetName val="MASTER_RATE_ANALYSIS57"/>
      <sheetName val="Cop_-VGN57"/>
      <sheetName val="Pipe_Supports57"/>
      <sheetName val="MN_T_B_57"/>
      <sheetName val="BOQ_Direct_selling_cost57"/>
      <sheetName val="Stress_Calculation57"/>
      <sheetName val="IO_List57"/>
      <sheetName val="TBAL9697_-group_wise__sdpl57"/>
      <sheetName val="factor_sheet30"/>
      <sheetName val="Exp_57"/>
      <sheetName val="INDIGINEOUS_ITEMS_57"/>
      <sheetName val="E_&amp;_R57"/>
      <sheetName val="Load_Details(B1)57"/>
      <sheetName val="Break_Dw57"/>
      <sheetName val="SPT_vs_PHI57"/>
      <sheetName val="Civil_Boq57"/>
      <sheetName val="PA-_Consutant_57"/>
      <sheetName val="Debits_as_on_12_04_0857"/>
      <sheetName val="Sheet3_(2)57"/>
      <sheetName val="INDORAMA_Group_June_0257"/>
      <sheetName val="PART-I_(2)46"/>
      <sheetName val="final_abstract46"/>
      <sheetName val="Basement_Budget45"/>
      <sheetName val="Rate_analysis45"/>
      <sheetName val="Fee_Rate_Summary45"/>
      <sheetName val="Materials_Cost45"/>
      <sheetName val="10__&amp;_11__Rate_Code_&amp;_BQ45"/>
      <sheetName val="Break_up_Sheet45"/>
      <sheetName val="B_&amp;_C_-_M_-_ccp45"/>
      <sheetName val="RES_STEEL_TO45"/>
      <sheetName val="RMZ_Summary45"/>
      <sheetName val="Materials_45"/>
      <sheetName val="Field_Values45"/>
      <sheetName val="Fin_Sum45"/>
      <sheetName val="Fill_this_out_first___45"/>
      <sheetName val="Site_Dev_BOQ45"/>
      <sheetName val="Staff_Forecast_spread45"/>
      <sheetName val="Structure_Bills_Qty45"/>
      <sheetName val="Builtup_Area45"/>
      <sheetName val="MASTER_RATE_ANALYSIS45"/>
      <sheetName val="Cop_-VGN45"/>
      <sheetName val="Pipe_Supports45"/>
      <sheetName val="MN_T_B_45"/>
      <sheetName val="BOQ_Direct_selling_cost45"/>
      <sheetName val="Stress_Calculation45"/>
      <sheetName val="IO_List45"/>
      <sheetName val="TBAL9697_-group_wise__sdpl45"/>
      <sheetName val="factor_sheet18"/>
      <sheetName val="Exp_45"/>
      <sheetName val="INDIGINEOUS_ITEMS_45"/>
      <sheetName val="E_&amp;_R45"/>
      <sheetName val="Load_Details(B1)45"/>
      <sheetName val="Break_Dw45"/>
      <sheetName val="SPT_vs_PHI45"/>
      <sheetName val="Civil_Boq45"/>
      <sheetName val="PA-_Consutant_45"/>
      <sheetName val="Debits_as_on_12_04_0845"/>
      <sheetName val="Sheet3_(2)45"/>
      <sheetName val="INDORAMA_Group_June_0245"/>
      <sheetName val="PART-I_(2)47"/>
      <sheetName val="final_abstract47"/>
      <sheetName val="Basement_Budget46"/>
      <sheetName val="Rate_analysis46"/>
      <sheetName val="Fee_Rate_Summary46"/>
      <sheetName val="Materials_Cost46"/>
      <sheetName val="10__&amp;_11__Rate_Code_&amp;_BQ46"/>
      <sheetName val="Break_up_Sheet46"/>
      <sheetName val="B_&amp;_C_-_M_-_ccp46"/>
      <sheetName val="RES_STEEL_TO46"/>
      <sheetName val="RMZ_Summary46"/>
      <sheetName val="Materials_46"/>
      <sheetName val="Field_Values46"/>
      <sheetName val="Fin_Sum46"/>
      <sheetName val="Fill_this_out_first___46"/>
      <sheetName val="Site_Dev_BOQ46"/>
      <sheetName val="Staff_Forecast_spread46"/>
      <sheetName val="Structure_Bills_Qty46"/>
      <sheetName val="Builtup_Area46"/>
      <sheetName val="MASTER_RATE_ANALYSIS46"/>
      <sheetName val="Cop_-VGN46"/>
      <sheetName val="Pipe_Supports46"/>
      <sheetName val="MN_T_B_46"/>
      <sheetName val="BOQ_Direct_selling_cost46"/>
      <sheetName val="Stress_Calculation46"/>
      <sheetName val="IO_List46"/>
      <sheetName val="TBAL9697_-group_wise__sdpl46"/>
      <sheetName val="factor_sheet19"/>
      <sheetName val="Exp_46"/>
      <sheetName val="INDIGINEOUS_ITEMS_46"/>
      <sheetName val="E_&amp;_R46"/>
      <sheetName val="Load_Details(B1)46"/>
      <sheetName val="Break_Dw46"/>
      <sheetName val="SPT_vs_PHI46"/>
      <sheetName val="Civil_Boq46"/>
      <sheetName val="PA-_Consutant_46"/>
      <sheetName val="Debits_as_on_12_04_0846"/>
      <sheetName val="Sheet3_(2)46"/>
      <sheetName val="INDORAMA_Group_June_0246"/>
      <sheetName val="PART-I_(2)50"/>
      <sheetName val="final_abstract50"/>
      <sheetName val="Basement_Budget49"/>
      <sheetName val="Rate_analysis49"/>
      <sheetName val="Fee_Rate_Summary49"/>
      <sheetName val="Materials_Cost49"/>
      <sheetName val="10__&amp;_11__Rate_Code_&amp;_BQ49"/>
      <sheetName val="Break_up_Sheet49"/>
      <sheetName val="B_&amp;_C_-_M_-_ccp49"/>
      <sheetName val="RES_STEEL_TO49"/>
      <sheetName val="RMZ_Summary49"/>
      <sheetName val="Materials_49"/>
      <sheetName val="Field_Values49"/>
      <sheetName val="Fin_Sum49"/>
      <sheetName val="Fill_this_out_first___49"/>
      <sheetName val="Site_Dev_BOQ49"/>
      <sheetName val="Staff_Forecast_spread49"/>
      <sheetName val="Structure_Bills_Qty49"/>
      <sheetName val="Builtup_Area49"/>
      <sheetName val="MASTER_RATE_ANALYSIS49"/>
      <sheetName val="Cop_-VGN49"/>
      <sheetName val="Pipe_Supports49"/>
      <sheetName val="MN_T_B_49"/>
      <sheetName val="BOQ_Direct_selling_cost49"/>
      <sheetName val="Stress_Calculation49"/>
      <sheetName val="IO_List49"/>
      <sheetName val="TBAL9697_-group_wise__sdpl49"/>
      <sheetName val="factor_sheet22"/>
      <sheetName val="Exp_49"/>
      <sheetName val="INDIGINEOUS_ITEMS_49"/>
      <sheetName val="E_&amp;_R49"/>
      <sheetName val="Load_Details(B1)49"/>
      <sheetName val="Break_Dw49"/>
      <sheetName val="SPT_vs_PHI49"/>
      <sheetName val="Civil_Boq49"/>
      <sheetName val="PA-_Consutant_49"/>
      <sheetName val="Debits_as_on_12_04_0849"/>
      <sheetName val="Sheet3_(2)49"/>
      <sheetName val="INDORAMA_Group_June_0249"/>
      <sheetName val="PART-I_(2)48"/>
      <sheetName val="final_abstract48"/>
      <sheetName val="Basement_Budget47"/>
      <sheetName val="Rate_analysis47"/>
      <sheetName val="Fee_Rate_Summary47"/>
      <sheetName val="Materials_Cost47"/>
      <sheetName val="10__&amp;_11__Rate_Code_&amp;_BQ47"/>
      <sheetName val="Break_up_Sheet47"/>
      <sheetName val="B_&amp;_C_-_M_-_ccp47"/>
      <sheetName val="RES_STEEL_TO47"/>
      <sheetName val="RMZ_Summary47"/>
      <sheetName val="Materials_47"/>
      <sheetName val="Field_Values47"/>
      <sheetName val="Fin_Sum47"/>
      <sheetName val="Fill_this_out_first___47"/>
      <sheetName val="Site_Dev_BOQ47"/>
      <sheetName val="Staff_Forecast_spread47"/>
      <sheetName val="Structure_Bills_Qty47"/>
      <sheetName val="Builtup_Area47"/>
      <sheetName val="MASTER_RATE_ANALYSIS47"/>
      <sheetName val="Cop_-VGN47"/>
      <sheetName val="Pipe_Supports47"/>
      <sheetName val="MN_T_B_47"/>
      <sheetName val="BOQ_Direct_selling_cost47"/>
      <sheetName val="Stress_Calculation47"/>
      <sheetName val="IO_List47"/>
      <sheetName val="TBAL9697_-group_wise__sdpl47"/>
      <sheetName val="factor_sheet20"/>
      <sheetName val="Exp_47"/>
      <sheetName val="INDIGINEOUS_ITEMS_47"/>
      <sheetName val="E_&amp;_R47"/>
      <sheetName val="Load_Details(B1)47"/>
      <sheetName val="Break_Dw47"/>
      <sheetName val="SPT_vs_PHI47"/>
      <sheetName val="Civil_Boq47"/>
      <sheetName val="PA-_Consutant_47"/>
      <sheetName val="Debits_as_on_12_04_0847"/>
      <sheetName val="Sheet3_(2)47"/>
      <sheetName val="INDORAMA_Group_June_0247"/>
      <sheetName val="PART-I_(2)49"/>
      <sheetName val="final_abstract49"/>
      <sheetName val="Basement_Budget48"/>
      <sheetName val="Rate_analysis48"/>
      <sheetName val="Fee_Rate_Summary48"/>
      <sheetName val="Materials_Cost48"/>
      <sheetName val="10__&amp;_11__Rate_Code_&amp;_BQ48"/>
      <sheetName val="Break_up_Sheet48"/>
      <sheetName val="B_&amp;_C_-_M_-_ccp48"/>
      <sheetName val="RES_STEEL_TO48"/>
      <sheetName val="RMZ_Summary48"/>
      <sheetName val="Materials_48"/>
      <sheetName val="Field_Values48"/>
      <sheetName val="Fin_Sum48"/>
      <sheetName val="Fill_this_out_first___48"/>
      <sheetName val="Site_Dev_BOQ48"/>
      <sheetName val="Staff_Forecast_spread48"/>
      <sheetName val="Structure_Bills_Qty48"/>
      <sheetName val="Builtup_Area48"/>
      <sheetName val="MASTER_RATE_ANALYSIS48"/>
      <sheetName val="Cop_-VGN48"/>
      <sheetName val="Pipe_Supports48"/>
      <sheetName val="MN_T_B_48"/>
      <sheetName val="BOQ_Direct_selling_cost48"/>
      <sheetName val="Stress_Calculation48"/>
      <sheetName val="IO_List48"/>
      <sheetName val="TBAL9697_-group_wise__sdpl48"/>
      <sheetName val="factor_sheet21"/>
      <sheetName val="Exp_48"/>
      <sheetName val="INDIGINEOUS_ITEMS_48"/>
      <sheetName val="E_&amp;_R48"/>
      <sheetName val="Load_Details(B1)48"/>
      <sheetName val="Break_Dw48"/>
      <sheetName val="SPT_vs_PHI48"/>
      <sheetName val="Civil_Boq48"/>
      <sheetName val="PA-_Consutant_48"/>
      <sheetName val="Debits_as_on_12_04_0848"/>
      <sheetName val="Sheet3_(2)48"/>
      <sheetName val="INDORAMA_Group_June_0248"/>
      <sheetName val="PART-I_(2)51"/>
      <sheetName val="final_abstract51"/>
      <sheetName val="Basement_Budget50"/>
      <sheetName val="Rate_analysis50"/>
      <sheetName val="Fee_Rate_Summary50"/>
      <sheetName val="Materials_Cost50"/>
      <sheetName val="10__&amp;_11__Rate_Code_&amp;_BQ50"/>
      <sheetName val="Break_up_Sheet50"/>
      <sheetName val="B_&amp;_C_-_M_-_ccp50"/>
      <sheetName val="RES_STEEL_TO50"/>
      <sheetName val="RMZ_Summary50"/>
      <sheetName val="Materials_50"/>
      <sheetName val="Field_Values50"/>
      <sheetName val="Fin_Sum50"/>
      <sheetName val="Fill_this_out_first___50"/>
      <sheetName val="Site_Dev_BOQ50"/>
      <sheetName val="Staff_Forecast_spread50"/>
      <sheetName val="Structure_Bills_Qty50"/>
      <sheetName val="Builtup_Area50"/>
      <sheetName val="MASTER_RATE_ANALYSIS50"/>
      <sheetName val="Cop_-VGN50"/>
      <sheetName val="Pipe_Supports50"/>
      <sheetName val="MN_T_B_50"/>
      <sheetName val="BOQ_Direct_selling_cost50"/>
      <sheetName val="Stress_Calculation50"/>
      <sheetName val="IO_List50"/>
      <sheetName val="TBAL9697_-group_wise__sdpl50"/>
      <sheetName val="factor_sheet23"/>
      <sheetName val="Exp_50"/>
      <sheetName val="INDIGINEOUS_ITEMS_50"/>
      <sheetName val="E_&amp;_R50"/>
      <sheetName val="Load_Details(B1)50"/>
      <sheetName val="Break_Dw50"/>
      <sheetName val="SPT_vs_PHI50"/>
      <sheetName val="Civil_Boq50"/>
      <sheetName val="PA-_Consutant_50"/>
      <sheetName val="Debits_as_on_12_04_0850"/>
      <sheetName val="Sheet3_(2)50"/>
      <sheetName val="INDORAMA_Group_June_0250"/>
      <sheetName val="PART-I_(2)52"/>
      <sheetName val="final_abstract52"/>
      <sheetName val="Basement_Budget51"/>
      <sheetName val="Rate_analysis51"/>
      <sheetName val="Fee_Rate_Summary51"/>
      <sheetName val="Materials_Cost51"/>
      <sheetName val="10__&amp;_11__Rate_Code_&amp;_BQ51"/>
      <sheetName val="Break_up_Sheet51"/>
      <sheetName val="B_&amp;_C_-_M_-_ccp51"/>
      <sheetName val="RES_STEEL_TO51"/>
      <sheetName val="RMZ_Summary51"/>
      <sheetName val="Materials_51"/>
      <sheetName val="Field_Values51"/>
      <sheetName val="Fin_Sum51"/>
      <sheetName val="Fill_this_out_first___51"/>
      <sheetName val="Site_Dev_BOQ51"/>
      <sheetName val="Staff_Forecast_spread51"/>
      <sheetName val="Structure_Bills_Qty51"/>
      <sheetName val="Builtup_Area51"/>
      <sheetName val="MASTER_RATE_ANALYSIS51"/>
      <sheetName val="Cop_-VGN51"/>
      <sheetName val="Pipe_Supports51"/>
      <sheetName val="MN_T_B_51"/>
      <sheetName val="BOQ_Direct_selling_cost51"/>
      <sheetName val="Stress_Calculation51"/>
      <sheetName val="IO_List51"/>
      <sheetName val="TBAL9697_-group_wise__sdpl51"/>
      <sheetName val="factor_sheet24"/>
      <sheetName val="Exp_51"/>
      <sheetName val="INDIGINEOUS_ITEMS_51"/>
      <sheetName val="E_&amp;_R51"/>
      <sheetName val="Load_Details(B1)51"/>
      <sheetName val="Break_Dw51"/>
      <sheetName val="SPT_vs_PHI51"/>
      <sheetName val="Civil_Boq51"/>
      <sheetName val="PA-_Consutant_51"/>
      <sheetName val="Debits_as_on_12_04_0851"/>
      <sheetName val="Sheet3_(2)51"/>
      <sheetName val="INDORAMA_Group_June_0251"/>
      <sheetName val="PART-I_(2)53"/>
      <sheetName val="final_abstract53"/>
      <sheetName val="Basement_Budget52"/>
      <sheetName val="Rate_analysis52"/>
      <sheetName val="Fee_Rate_Summary52"/>
      <sheetName val="Materials_Cost52"/>
      <sheetName val="10__&amp;_11__Rate_Code_&amp;_BQ52"/>
      <sheetName val="Break_up_Sheet52"/>
      <sheetName val="B_&amp;_C_-_M_-_ccp52"/>
      <sheetName val="RES_STEEL_TO52"/>
      <sheetName val="RMZ_Summary52"/>
      <sheetName val="Materials_52"/>
      <sheetName val="Field_Values52"/>
      <sheetName val="Fin_Sum52"/>
      <sheetName val="Fill_this_out_first___52"/>
      <sheetName val="Site_Dev_BOQ52"/>
      <sheetName val="Staff_Forecast_spread52"/>
      <sheetName val="Structure_Bills_Qty52"/>
      <sheetName val="Builtup_Area52"/>
      <sheetName val="MASTER_RATE_ANALYSIS52"/>
      <sheetName val="Cop_-VGN52"/>
      <sheetName val="Pipe_Supports52"/>
      <sheetName val="MN_T_B_52"/>
      <sheetName val="BOQ_Direct_selling_cost52"/>
      <sheetName val="Stress_Calculation52"/>
      <sheetName val="IO_List52"/>
      <sheetName val="TBAL9697_-group_wise__sdpl52"/>
      <sheetName val="factor_sheet25"/>
      <sheetName val="Exp_52"/>
      <sheetName val="INDIGINEOUS_ITEMS_52"/>
      <sheetName val="E_&amp;_R52"/>
      <sheetName val="Load_Details(B1)52"/>
      <sheetName val="Break_Dw52"/>
      <sheetName val="SPT_vs_PHI52"/>
      <sheetName val="Civil_Boq52"/>
      <sheetName val="PA-_Consutant_52"/>
      <sheetName val="Debits_as_on_12_04_0852"/>
      <sheetName val="Sheet3_(2)52"/>
      <sheetName val="INDORAMA_Group_June_0252"/>
      <sheetName val="PART-I_(2)54"/>
      <sheetName val="final_abstract54"/>
      <sheetName val="Basement_Budget53"/>
      <sheetName val="Rate_analysis53"/>
      <sheetName val="Fee_Rate_Summary53"/>
      <sheetName val="Materials_Cost53"/>
      <sheetName val="10__&amp;_11__Rate_Code_&amp;_BQ53"/>
      <sheetName val="Break_up_Sheet53"/>
      <sheetName val="B_&amp;_C_-_M_-_ccp53"/>
      <sheetName val="RES_STEEL_TO53"/>
      <sheetName val="RMZ_Summary53"/>
      <sheetName val="Materials_53"/>
      <sheetName val="Field_Values53"/>
      <sheetName val="Fin_Sum53"/>
      <sheetName val="Fill_this_out_first___53"/>
      <sheetName val="Site_Dev_BOQ53"/>
      <sheetName val="Staff_Forecast_spread53"/>
      <sheetName val="Structure_Bills_Qty53"/>
      <sheetName val="Builtup_Area53"/>
      <sheetName val="MASTER_RATE_ANALYSIS53"/>
      <sheetName val="Cop_-VGN53"/>
      <sheetName val="Pipe_Supports53"/>
      <sheetName val="MN_T_B_53"/>
      <sheetName val="BOQ_Direct_selling_cost53"/>
      <sheetName val="Stress_Calculation53"/>
      <sheetName val="IO_List53"/>
      <sheetName val="TBAL9697_-group_wise__sdpl53"/>
      <sheetName val="factor_sheet26"/>
      <sheetName val="Exp_53"/>
      <sheetName val="INDIGINEOUS_ITEMS_53"/>
      <sheetName val="E_&amp;_R53"/>
      <sheetName val="Load_Details(B1)53"/>
      <sheetName val="Break_Dw53"/>
      <sheetName val="SPT_vs_PHI53"/>
      <sheetName val="Civil_Boq53"/>
      <sheetName val="PA-_Consutant_53"/>
      <sheetName val="Debits_as_on_12_04_0853"/>
      <sheetName val="Sheet3_(2)53"/>
      <sheetName val="INDORAMA_Group_June_0253"/>
      <sheetName val="PART-I_(2)55"/>
      <sheetName val="final_abstract55"/>
      <sheetName val="Basement_Budget54"/>
      <sheetName val="Rate_analysis54"/>
      <sheetName val="Fee_Rate_Summary54"/>
      <sheetName val="Materials_Cost54"/>
      <sheetName val="10__&amp;_11__Rate_Code_&amp;_BQ54"/>
      <sheetName val="Break_up_Sheet54"/>
      <sheetName val="B_&amp;_C_-_M_-_ccp54"/>
      <sheetName val="RES_STEEL_TO54"/>
      <sheetName val="RMZ_Summary54"/>
      <sheetName val="Materials_54"/>
      <sheetName val="Field_Values54"/>
      <sheetName val="Fin_Sum54"/>
      <sheetName val="Fill_this_out_first___54"/>
      <sheetName val="Site_Dev_BOQ54"/>
      <sheetName val="Staff_Forecast_spread54"/>
      <sheetName val="Structure_Bills_Qty54"/>
      <sheetName val="Builtup_Area54"/>
      <sheetName val="MASTER_RATE_ANALYSIS54"/>
      <sheetName val="Cop_-VGN54"/>
      <sheetName val="Pipe_Supports54"/>
      <sheetName val="MN_T_B_54"/>
      <sheetName val="BOQ_Direct_selling_cost54"/>
      <sheetName val="Stress_Calculation54"/>
      <sheetName val="IO_List54"/>
      <sheetName val="TBAL9697_-group_wise__sdpl54"/>
      <sheetName val="factor_sheet27"/>
      <sheetName val="Exp_54"/>
      <sheetName val="INDIGINEOUS_ITEMS_54"/>
      <sheetName val="E_&amp;_R54"/>
      <sheetName val="Load_Details(B1)54"/>
      <sheetName val="Break_Dw54"/>
      <sheetName val="SPT_vs_PHI54"/>
      <sheetName val="Civil_Boq54"/>
      <sheetName val="PA-_Consutant_54"/>
      <sheetName val="Debits_as_on_12_04_0854"/>
      <sheetName val="Sheet3_(2)54"/>
      <sheetName val="INDORAMA_Group_June_0254"/>
      <sheetName val="PART-I_(2)57"/>
      <sheetName val="final_abstract57"/>
      <sheetName val="Basement_Budget56"/>
      <sheetName val="Rate_analysis56"/>
      <sheetName val="Fee_Rate_Summary56"/>
      <sheetName val="Materials_Cost56"/>
      <sheetName val="10__&amp;_11__Rate_Code_&amp;_BQ56"/>
      <sheetName val="Break_up_Sheet56"/>
      <sheetName val="B_&amp;_C_-_M_-_ccp56"/>
      <sheetName val="RES_STEEL_TO56"/>
      <sheetName val="RMZ_Summary56"/>
      <sheetName val="Materials_56"/>
      <sheetName val="Field_Values56"/>
      <sheetName val="Fin_Sum56"/>
      <sheetName val="Fill_this_out_first___56"/>
      <sheetName val="Site_Dev_BOQ56"/>
      <sheetName val="Staff_Forecast_spread56"/>
      <sheetName val="Structure_Bills_Qty56"/>
      <sheetName val="Builtup_Area56"/>
      <sheetName val="MASTER_RATE_ANALYSIS56"/>
      <sheetName val="Cop_-VGN56"/>
      <sheetName val="Pipe_Supports56"/>
      <sheetName val="MN_T_B_56"/>
      <sheetName val="BOQ_Direct_selling_cost56"/>
      <sheetName val="Stress_Calculation56"/>
      <sheetName val="IO_List56"/>
      <sheetName val="TBAL9697_-group_wise__sdpl56"/>
      <sheetName val="factor_sheet29"/>
      <sheetName val="Exp_56"/>
      <sheetName val="INDIGINEOUS_ITEMS_56"/>
      <sheetName val="E_&amp;_R56"/>
      <sheetName val="Load_Details(B1)56"/>
      <sheetName val="Break_Dw56"/>
      <sheetName val="SPT_vs_PHI56"/>
      <sheetName val="Civil_Boq56"/>
      <sheetName val="PA-_Consutant_56"/>
      <sheetName val="Debits_as_on_12_04_0856"/>
      <sheetName val="Sheet3_(2)56"/>
      <sheetName val="INDORAMA_Group_June_0256"/>
      <sheetName val="PART-I_(2)56"/>
      <sheetName val="final_abstract56"/>
      <sheetName val="Basement_Budget55"/>
      <sheetName val="Rate_analysis55"/>
      <sheetName val="Fee_Rate_Summary55"/>
      <sheetName val="Materials_Cost55"/>
      <sheetName val="10__&amp;_11__Rate_Code_&amp;_BQ55"/>
      <sheetName val="Break_up_Sheet55"/>
      <sheetName val="B_&amp;_C_-_M_-_ccp55"/>
      <sheetName val="RES_STEEL_TO55"/>
      <sheetName val="RMZ_Summary55"/>
      <sheetName val="Materials_55"/>
      <sheetName val="Field_Values55"/>
      <sheetName val="Fin_Sum55"/>
      <sheetName val="Fill_this_out_first___55"/>
      <sheetName val="Site_Dev_BOQ55"/>
      <sheetName val="Staff_Forecast_spread55"/>
      <sheetName val="Structure_Bills_Qty55"/>
      <sheetName val="Builtup_Area55"/>
      <sheetName val="MASTER_RATE_ANALYSIS55"/>
      <sheetName val="Cop_-VGN55"/>
      <sheetName val="Pipe_Supports55"/>
      <sheetName val="MN_T_B_55"/>
      <sheetName val="BOQ_Direct_selling_cost55"/>
      <sheetName val="Stress_Calculation55"/>
      <sheetName val="IO_List55"/>
      <sheetName val="TBAL9697_-group_wise__sdpl55"/>
      <sheetName val="factor_sheet28"/>
      <sheetName val="Exp_55"/>
      <sheetName val="INDIGINEOUS_ITEMS_55"/>
      <sheetName val="E_&amp;_R55"/>
      <sheetName val="Load_Details(B1)55"/>
      <sheetName val="Break_Dw55"/>
      <sheetName val="SPT_vs_PHI55"/>
      <sheetName val="Civil_Boq55"/>
      <sheetName val="PA-_Consutant_55"/>
      <sheetName val="Debits_as_on_12_04_0855"/>
      <sheetName val="Sheet3_(2)55"/>
      <sheetName val="INDORAMA_Group_June_0255"/>
      <sheetName val="PART-I_(2)59"/>
      <sheetName val="final_abstract59"/>
      <sheetName val="Basement_Budget58"/>
      <sheetName val="Rate_analysis58"/>
      <sheetName val="Fee_Rate_Summary58"/>
      <sheetName val="Materials_Cost58"/>
      <sheetName val="10__&amp;_11__Rate_Code_&amp;_BQ58"/>
      <sheetName val="Break_up_Sheet58"/>
      <sheetName val="B_&amp;_C_-_M_-_ccp58"/>
      <sheetName val="RES_STEEL_TO58"/>
      <sheetName val="RMZ_Summary58"/>
      <sheetName val="Materials_58"/>
      <sheetName val="Field_Values58"/>
      <sheetName val="Fin_Sum58"/>
      <sheetName val="Fill_this_out_first___58"/>
      <sheetName val="Site_Dev_BOQ58"/>
      <sheetName val="Staff_Forecast_spread58"/>
      <sheetName val="Structure_Bills_Qty58"/>
      <sheetName val="Builtup_Area58"/>
      <sheetName val="MASTER_RATE_ANALYSIS58"/>
      <sheetName val="Cop_-VGN58"/>
      <sheetName val="Pipe_Supports58"/>
      <sheetName val="MN_T_B_58"/>
      <sheetName val="BOQ_Direct_selling_cost58"/>
      <sheetName val="Stress_Calculation58"/>
      <sheetName val="IO_List58"/>
      <sheetName val="TBAL9697_-group_wise__sdpl58"/>
      <sheetName val="factor_sheet31"/>
      <sheetName val="Exp_58"/>
      <sheetName val="INDIGINEOUS_ITEMS_58"/>
      <sheetName val="E_&amp;_R58"/>
      <sheetName val="Load_Details(B1)58"/>
      <sheetName val="Break_Dw58"/>
      <sheetName val="SPT_vs_PHI58"/>
      <sheetName val="Civil_Boq58"/>
      <sheetName val="PA-_Consutant_58"/>
      <sheetName val="Debits_as_on_12_04_0858"/>
      <sheetName val="Sheet3_(2)58"/>
      <sheetName val="INDORAMA_Group_June_0258"/>
      <sheetName val="PART-I_(2)60"/>
      <sheetName val="final_abstract60"/>
      <sheetName val="Basement_Budget59"/>
      <sheetName val="Rate_analysis59"/>
      <sheetName val="Fee_Rate_Summary59"/>
      <sheetName val="Materials_Cost59"/>
      <sheetName val="10__&amp;_11__Rate_Code_&amp;_BQ59"/>
      <sheetName val="Break_up_Sheet59"/>
      <sheetName val="B_&amp;_C_-_M_-_ccp59"/>
      <sheetName val="RES_STEEL_TO59"/>
      <sheetName val="RMZ_Summary59"/>
      <sheetName val="Materials_59"/>
      <sheetName val="Field_Values59"/>
      <sheetName val="Fin_Sum59"/>
      <sheetName val="Fill_this_out_first___59"/>
      <sheetName val="Site_Dev_BOQ59"/>
      <sheetName val="Staff_Forecast_spread59"/>
      <sheetName val="Structure_Bills_Qty59"/>
      <sheetName val="Builtup_Area59"/>
      <sheetName val="MASTER_RATE_ANALYSIS59"/>
      <sheetName val="Cop_-VGN59"/>
      <sheetName val="Pipe_Supports59"/>
      <sheetName val="MN_T_B_59"/>
      <sheetName val="BOQ_Direct_selling_cost59"/>
      <sheetName val="Stress_Calculation59"/>
      <sheetName val="IO_List59"/>
      <sheetName val="TBAL9697_-group_wise__sdpl59"/>
      <sheetName val="factor_sheet32"/>
      <sheetName val="Exp_59"/>
      <sheetName val="INDIGINEOUS_ITEMS_59"/>
      <sheetName val="E_&amp;_R59"/>
      <sheetName val="Load_Details(B1)59"/>
      <sheetName val="Break_Dw59"/>
      <sheetName val="SPT_vs_PHI59"/>
      <sheetName val="Civil_Boq59"/>
      <sheetName val="PA-_Consutant_59"/>
      <sheetName val="Debits_as_on_12_04_0859"/>
      <sheetName val="Sheet3_(2)59"/>
      <sheetName val="INDORAMA_Group_June_0259"/>
      <sheetName val="PART-I_(2)61"/>
      <sheetName val="final_abstract61"/>
      <sheetName val="Basement_Budget60"/>
      <sheetName val="Rate_analysis60"/>
      <sheetName val="Fee_Rate_Summary60"/>
      <sheetName val="Materials_Cost60"/>
      <sheetName val="10__&amp;_11__Rate_Code_&amp;_BQ60"/>
      <sheetName val="Break_up_Sheet60"/>
      <sheetName val="B_&amp;_C_-_M_-_ccp60"/>
      <sheetName val="RES_STEEL_TO60"/>
      <sheetName val="RMZ_Summary60"/>
      <sheetName val="Materials_60"/>
      <sheetName val="Field_Values60"/>
      <sheetName val="Fin_Sum60"/>
      <sheetName val="Fill_this_out_first___60"/>
      <sheetName val="Site_Dev_BOQ60"/>
      <sheetName val="Staff_Forecast_spread60"/>
      <sheetName val="Structure_Bills_Qty60"/>
      <sheetName val="Builtup_Area60"/>
      <sheetName val="MASTER_RATE_ANALYSIS60"/>
      <sheetName val="Cop_-VGN60"/>
      <sheetName val="Pipe_Supports60"/>
      <sheetName val="MN_T_B_60"/>
      <sheetName val="BOQ_Direct_selling_cost60"/>
      <sheetName val="Stress_Calculation60"/>
      <sheetName val="IO_List60"/>
      <sheetName val="TBAL9697_-group_wise__sdpl60"/>
      <sheetName val="factor_sheet33"/>
      <sheetName val="Exp_60"/>
      <sheetName val="INDIGINEOUS_ITEMS_60"/>
      <sheetName val="E_&amp;_R60"/>
      <sheetName val="Load_Details(B1)60"/>
      <sheetName val="Break_Dw60"/>
      <sheetName val="SPT_vs_PHI60"/>
      <sheetName val="Civil_Boq60"/>
      <sheetName val="PA-_Consutant_60"/>
      <sheetName val="Debits_as_on_12_04_0860"/>
      <sheetName val="Sheet3_(2)60"/>
      <sheetName val="INDORAMA_Group_June_0260"/>
      <sheetName val="Abs PMRL"/>
      <sheetName val="s"/>
      <sheetName val="Baricading"/>
      <sheetName val="TEXT"/>
      <sheetName val="Cleaning &amp; Grubbing"/>
      <sheetName val="Name List"/>
      <sheetName val="PRELIM5"/>
      <sheetName val="ecc_res"/>
      <sheetName val="water prop."/>
      <sheetName val="BHANDUP"/>
      <sheetName val="Control"/>
      <sheetName val="PROG_DATA"/>
      <sheetName val="detail'02"/>
      <sheetName val="Transfer"/>
      <sheetName val="4 Annex 1 Basic rate"/>
      <sheetName val="Door Qty"/>
      <sheetName val="Win Qty"/>
      <sheetName val="ICO_budzet_97"/>
      <sheetName val="sheet6"/>
      <sheetName val="Costing-blk-B"/>
      <sheetName val="inWords"/>
      <sheetName val="Mar Roster"/>
      <sheetName val="Master"/>
      <sheetName val="Basic"/>
      <sheetName val="Capital Structure"/>
      <sheetName val="Actuals_by_Job"/>
      <sheetName val="Outlook"/>
      <sheetName val="compare"/>
      <sheetName val="Price Comparison"/>
      <sheetName val="BLOCK-A (MEA.SHEET)"/>
      <sheetName val="Insts"/>
      <sheetName val="PRICE-COMP"/>
      <sheetName val="India F&amp;S Template"/>
      <sheetName val="DETAILED  BOQ"/>
      <sheetName val="R20_R30_work"/>
      <sheetName val="PRSH"/>
      <sheetName val="Results"/>
      <sheetName val="PLGroupings"/>
      <sheetName val="List"/>
      <sheetName val="BASIS -DEC 08"/>
      <sheetName val=" "/>
      <sheetName val="costing sheet"/>
      <sheetName val="R.A."/>
      <sheetName val="Recap."/>
      <sheetName val="Abstract"/>
      <sheetName val="Schedule A1"/>
      <sheetName val="Abstract (Buyback)"/>
      <sheetName val="Civil RA"/>
      <sheetName val="Plumbing RA"/>
      <sheetName val="Electrical  RA"/>
      <sheetName val="ELV RA"/>
      <sheetName val="FFTG RA"/>
      <sheetName val="HVAC RA"/>
      <sheetName val="Furniture RA"/>
      <sheetName val="Kichen Equi. RA"/>
      <sheetName val="drg"/>
      <sheetName val="0"/>
      <sheetName val="CUM-Mar07"/>
      <sheetName val="CRM"/>
      <sheetName val="A3"/>
      <sheetName val="BUD 07-08"/>
      <sheetName val="HIDE"/>
      <sheetName val="XL"/>
      <sheetName val="Vind-BtB"/>
      <sheetName val="UNP-NCW "/>
      <sheetName val="Codes"/>
      <sheetName val="Final Basic rate"/>
      <sheetName val="Labels"/>
      <sheetName val="intr_stool_brkup"/>
      <sheetName val="Process"/>
      <sheetName val="P&amp;L-BDMC"/>
      <sheetName val="Elect."/>
      <sheetName val="pri-com"/>
      <sheetName val="Step 1"/>
      <sheetName val="Assumptions-Input"/>
      <sheetName val="RP2"/>
      <sheetName val="Quantity"/>
      <sheetName val="Param"/>
      <sheetName val="dummy"/>
      <sheetName val="PART-I_(2)62"/>
      <sheetName val="final_abstract62"/>
      <sheetName val="Basement_Budget61"/>
      <sheetName val="Rate_analysis61"/>
      <sheetName val="Fee_Rate_Summary61"/>
      <sheetName val="Materials_Cost61"/>
      <sheetName val="10__&amp;_11__Rate_Code_&amp;_BQ61"/>
      <sheetName val="Break_up_Sheet61"/>
      <sheetName val="B_&amp;_C_-_M_-_ccp61"/>
      <sheetName val="RES_STEEL_TO61"/>
      <sheetName val="RMZ_Summary61"/>
      <sheetName val="Materials_61"/>
      <sheetName val="Field_Values61"/>
      <sheetName val="Fin_Sum61"/>
      <sheetName val="Fill_this_out_first___61"/>
      <sheetName val="Site_Dev_BOQ61"/>
      <sheetName val="Staff_Forecast_spread61"/>
      <sheetName val="Structure_Bills_Qty61"/>
      <sheetName val="Builtup_Area61"/>
      <sheetName val="MASTER_RATE_ANALYSIS61"/>
      <sheetName val="Cop_-VGN61"/>
      <sheetName val="Pipe_Supports61"/>
      <sheetName val="MN_T_B_61"/>
      <sheetName val="BOQ_Direct_selling_cost61"/>
      <sheetName val="Stress_Calculation61"/>
      <sheetName val="IO_List61"/>
      <sheetName val="TBAL9697_-group_wise__sdpl61"/>
      <sheetName val="factor_sheet34"/>
      <sheetName val="Exp_61"/>
      <sheetName val="INDIGINEOUS_ITEMS_61"/>
      <sheetName val="E_&amp;_R61"/>
      <sheetName val="Load_Details(B1)61"/>
      <sheetName val="Break_Dw61"/>
      <sheetName val="SPT_vs_PHI61"/>
      <sheetName val="Civil_Boq61"/>
      <sheetName val="PA-_Consutant_61"/>
      <sheetName val="Debits_as_on_12_04_0861"/>
      <sheetName val="Sheet3_(2)61"/>
      <sheetName val="INDORAMA_Group_June_0261"/>
      <sheetName val="Project Budget Worksheet"/>
      <sheetName val="All Components Report"/>
      <sheetName val="Site"/>
      <sheetName val="2.1 受電設備棟"/>
      <sheetName val="2.2 受・防火水槽"/>
      <sheetName val="2.3 排水処理設備棟"/>
      <sheetName val="2.4 倉庫棟"/>
      <sheetName val="2.5 守衛棟"/>
      <sheetName val="old boq"/>
      <sheetName val="girder"/>
      <sheetName val="Intro"/>
      <sheetName val="Mater"/>
      <sheetName val="Abs_CD_2"/>
      <sheetName val="road est"/>
      <sheetName val="ECV"/>
      <sheetName val="Plant &amp;  Machinery"/>
      <sheetName val="MRoad data"/>
      <sheetName val="conc-foot-gradeslab"/>
      <sheetName val="Parameter"/>
      <sheetName val="site fab&amp;ernstr"/>
      <sheetName val="ABST SANITARY"/>
      <sheetName val="ABST CIVIL"/>
      <sheetName val="DATA SHEET FOR 2014-15"/>
      <sheetName val="wh_data"/>
      <sheetName val="CPHEEO"/>
      <sheetName val="SSR 2014-15 Rates"/>
      <sheetName val="GROUND FLOOR"/>
      <sheetName val="Bitumen trunk"/>
      <sheetName val="Feeder"/>
      <sheetName val="R99 etc"/>
      <sheetName val="Trunk unpaved"/>
      <sheetName val="Work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sheetData sheetId="176"/>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sheetData sheetId="188"/>
      <sheetData sheetId="189" refreshError="1"/>
      <sheetData sheetId="190" refreshError="1"/>
      <sheetData sheetId="191" refreshError="1"/>
      <sheetData sheetId="192" refreshError="1"/>
      <sheetData sheetId="193" refreshError="1"/>
      <sheetData sheetId="194"/>
      <sheetData sheetId="195" refreshError="1"/>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refreshError="1"/>
      <sheetData sheetId="211"/>
      <sheetData sheetId="212" refreshError="1"/>
      <sheetData sheetId="213" refreshError="1"/>
      <sheetData sheetId="214" refreshError="1"/>
      <sheetData sheetId="215" refreshError="1"/>
      <sheetData sheetId="216"/>
      <sheetData sheetId="217"/>
      <sheetData sheetId="218"/>
      <sheetData sheetId="219" refreshError="1"/>
      <sheetData sheetId="220"/>
      <sheetData sheetId="221"/>
      <sheetData sheetId="222"/>
      <sheetData sheetId="223"/>
      <sheetData sheetId="224" refreshError="1"/>
      <sheetData sheetId="225" refreshError="1"/>
      <sheetData sheetId="226" refreshError="1"/>
      <sheetData sheetId="227" refreshError="1"/>
      <sheetData sheetId="228"/>
      <sheetData sheetId="229" refreshError="1"/>
      <sheetData sheetId="230" refreshError="1"/>
      <sheetData sheetId="231" refreshError="1"/>
      <sheetData sheetId="232" refreshError="1"/>
      <sheetData sheetId="233"/>
      <sheetData sheetId="234"/>
      <sheetData sheetId="235"/>
      <sheetData sheetId="236"/>
      <sheetData sheetId="237" refreshError="1"/>
      <sheetData sheetId="238" refreshError="1"/>
      <sheetData sheetId="239" refreshError="1"/>
      <sheetData sheetId="240" refreshError="1"/>
      <sheetData sheetId="241" refreshError="1"/>
      <sheetData sheetId="242"/>
      <sheetData sheetId="243"/>
      <sheetData sheetId="244" refreshError="1"/>
      <sheetData sheetId="245" refreshError="1"/>
      <sheetData sheetId="246" refreshError="1"/>
      <sheetData sheetId="247" refreshError="1"/>
      <sheetData sheetId="248"/>
      <sheetData sheetId="249" refreshError="1"/>
      <sheetData sheetId="250" refreshError="1"/>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sheetData sheetId="275"/>
      <sheetData sheetId="276"/>
      <sheetData sheetId="277" refreshError="1"/>
      <sheetData sheetId="278" refreshError="1"/>
      <sheetData sheetId="279"/>
      <sheetData sheetId="280" refreshError="1"/>
      <sheetData sheetId="281" refreshError="1"/>
      <sheetData sheetId="282" refreshError="1"/>
      <sheetData sheetId="283" refreshError="1"/>
      <sheetData sheetId="284"/>
      <sheetData sheetId="285"/>
      <sheetData sheetId="286" refreshError="1"/>
      <sheetData sheetId="287"/>
      <sheetData sheetId="288"/>
      <sheetData sheetId="289" refreshError="1"/>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ow r="52">
          <cell r="B52" t="str">
            <v>Main Panel</v>
          </cell>
        </row>
      </sheetData>
      <sheetData sheetId="724">
        <row r="52">
          <cell r="B52" t="str">
            <v>Main Panel</v>
          </cell>
        </row>
      </sheetData>
      <sheetData sheetId="725">
        <row r="52">
          <cell r="B52" t="str">
            <v>Main Panel</v>
          </cell>
        </row>
      </sheetData>
      <sheetData sheetId="726">
        <row r="52">
          <cell r="B52" t="str">
            <v>Main Panel</v>
          </cell>
        </row>
      </sheetData>
      <sheetData sheetId="727">
        <row r="52">
          <cell r="B52" t="str">
            <v>Main Panel</v>
          </cell>
        </row>
      </sheetData>
      <sheetData sheetId="728">
        <row r="52">
          <cell r="B52" t="str">
            <v>Main Panel</v>
          </cell>
        </row>
      </sheetData>
      <sheetData sheetId="729">
        <row r="52">
          <cell r="B52" t="str">
            <v>Main Panel</v>
          </cell>
        </row>
      </sheetData>
      <sheetData sheetId="730">
        <row r="52">
          <cell r="B52" t="str">
            <v>Main Panel</v>
          </cell>
        </row>
      </sheetData>
      <sheetData sheetId="731">
        <row r="52">
          <cell r="B52" t="str">
            <v>Main Panel</v>
          </cell>
        </row>
      </sheetData>
      <sheetData sheetId="732">
        <row r="52">
          <cell r="B52" t="str">
            <v>Main Panel</v>
          </cell>
        </row>
      </sheetData>
      <sheetData sheetId="733">
        <row r="52">
          <cell r="B52" t="str">
            <v>Main Panel</v>
          </cell>
        </row>
      </sheetData>
      <sheetData sheetId="734">
        <row r="52">
          <cell r="B52" t="str">
            <v>Main Panel</v>
          </cell>
        </row>
      </sheetData>
      <sheetData sheetId="735">
        <row r="52">
          <cell r="B52" t="str">
            <v>Main Panel</v>
          </cell>
        </row>
      </sheetData>
      <sheetData sheetId="736">
        <row r="52">
          <cell r="B52" t="str">
            <v>Main Panel</v>
          </cell>
        </row>
      </sheetData>
      <sheetData sheetId="737">
        <row r="52">
          <cell r="B52" t="str">
            <v>Main Panel</v>
          </cell>
        </row>
      </sheetData>
      <sheetData sheetId="738">
        <row r="52">
          <cell r="B52" t="str">
            <v>Main Panel</v>
          </cell>
        </row>
      </sheetData>
      <sheetData sheetId="739">
        <row r="52">
          <cell r="B52" t="str">
            <v>Main Panel</v>
          </cell>
        </row>
      </sheetData>
      <sheetData sheetId="740">
        <row r="52">
          <cell r="B52" t="str">
            <v>Main Panel</v>
          </cell>
        </row>
      </sheetData>
      <sheetData sheetId="741">
        <row r="52">
          <cell r="B52" t="str">
            <v>Main Panel</v>
          </cell>
        </row>
      </sheetData>
      <sheetData sheetId="742">
        <row r="52">
          <cell r="B52" t="str">
            <v>Main Panel</v>
          </cell>
        </row>
      </sheetData>
      <sheetData sheetId="743">
        <row r="52">
          <cell r="B52" t="str">
            <v>Main Panel</v>
          </cell>
        </row>
      </sheetData>
      <sheetData sheetId="744">
        <row r="52">
          <cell r="B52" t="str">
            <v>Main Panel</v>
          </cell>
        </row>
      </sheetData>
      <sheetData sheetId="745">
        <row r="52">
          <cell r="B52" t="str">
            <v>Main Panel</v>
          </cell>
        </row>
      </sheetData>
      <sheetData sheetId="746">
        <row r="52">
          <cell r="B52" t="str">
            <v>Main Panel</v>
          </cell>
        </row>
      </sheetData>
      <sheetData sheetId="747">
        <row r="52">
          <cell r="B52" t="str">
            <v>Main Panel</v>
          </cell>
        </row>
      </sheetData>
      <sheetData sheetId="748">
        <row r="52">
          <cell r="B52" t="str">
            <v>Main Panel</v>
          </cell>
        </row>
      </sheetData>
      <sheetData sheetId="749">
        <row r="52">
          <cell r="B52" t="str">
            <v>Main Panel</v>
          </cell>
        </row>
      </sheetData>
      <sheetData sheetId="750">
        <row r="52">
          <cell r="B52" t="str">
            <v>Main Panel</v>
          </cell>
        </row>
      </sheetData>
      <sheetData sheetId="751">
        <row r="52">
          <cell r="B52" t="str">
            <v>Main Panel</v>
          </cell>
        </row>
      </sheetData>
      <sheetData sheetId="752">
        <row r="52">
          <cell r="B52" t="str">
            <v>Main Panel</v>
          </cell>
        </row>
      </sheetData>
      <sheetData sheetId="753">
        <row r="52">
          <cell r="B52" t="str">
            <v>Main Panel</v>
          </cell>
        </row>
      </sheetData>
      <sheetData sheetId="754">
        <row r="52">
          <cell r="B52" t="str">
            <v>Main Panel</v>
          </cell>
        </row>
      </sheetData>
      <sheetData sheetId="755">
        <row r="52">
          <cell r="B52" t="str">
            <v>Main Panel</v>
          </cell>
        </row>
      </sheetData>
      <sheetData sheetId="756">
        <row r="52">
          <cell r="B52" t="str">
            <v>Main Panel</v>
          </cell>
        </row>
      </sheetData>
      <sheetData sheetId="757">
        <row r="52">
          <cell r="B52" t="str">
            <v>Main Panel</v>
          </cell>
        </row>
      </sheetData>
      <sheetData sheetId="758">
        <row r="52">
          <cell r="B52" t="str">
            <v>Main Panel</v>
          </cell>
        </row>
      </sheetData>
      <sheetData sheetId="759">
        <row r="52">
          <cell r="B52" t="str">
            <v>Main Panel</v>
          </cell>
        </row>
      </sheetData>
      <sheetData sheetId="760">
        <row r="52">
          <cell r="B52" t="str">
            <v>Main Panel</v>
          </cell>
        </row>
      </sheetData>
      <sheetData sheetId="761">
        <row r="52">
          <cell r="B52" t="str">
            <v>Main Panel</v>
          </cell>
        </row>
      </sheetData>
      <sheetData sheetId="762">
        <row r="52">
          <cell r="B52" t="str">
            <v>Main Panel</v>
          </cell>
        </row>
      </sheetData>
      <sheetData sheetId="763">
        <row r="52">
          <cell r="B52" t="str">
            <v>Main Panel</v>
          </cell>
        </row>
      </sheetData>
      <sheetData sheetId="764">
        <row r="52">
          <cell r="B52" t="str">
            <v>Main Panel</v>
          </cell>
        </row>
      </sheetData>
      <sheetData sheetId="765">
        <row r="52">
          <cell r="B52" t="str">
            <v>Main Panel</v>
          </cell>
        </row>
      </sheetData>
      <sheetData sheetId="766">
        <row r="52">
          <cell r="B52" t="str">
            <v>Main Panel</v>
          </cell>
        </row>
      </sheetData>
      <sheetData sheetId="767">
        <row r="52">
          <cell r="B52" t="str">
            <v>Main Panel</v>
          </cell>
        </row>
      </sheetData>
      <sheetData sheetId="768">
        <row r="52">
          <cell r="B52" t="str">
            <v>Main Panel</v>
          </cell>
        </row>
      </sheetData>
      <sheetData sheetId="769">
        <row r="52">
          <cell r="B52" t="str">
            <v>Main Panel</v>
          </cell>
        </row>
      </sheetData>
      <sheetData sheetId="770">
        <row r="52">
          <cell r="B52" t="str">
            <v>Main Panel</v>
          </cell>
        </row>
      </sheetData>
      <sheetData sheetId="771">
        <row r="52">
          <cell r="B52" t="str">
            <v>Main Panel</v>
          </cell>
        </row>
      </sheetData>
      <sheetData sheetId="772">
        <row r="52">
          <cell r="B52" t="str">
            <v>Main Panel</v>
          </cell>
        </row>
      </sheetData>
      <sheetData sheetId="773">
        <row r="52">
          <cell r="B52" t="str">
            <v>Main Panel</v>
          </cell>
        </row>
      </sheetData>
      <sheetData sheetId="774">
        <row r="52">
          <cell r="B52" t="str">
            <v>Main Panel</v>
          </cell>
        </row>
      </sheetData>
      <sheetData sheetId="775">
        <row r="52">
          <cell r="B52" t="str">
            <v>Main Panel</v>
          </cell>
        </row>
      </sheetData>
      <sheetData sheetId="776">
        <row r="52">
          <cell r="B52" t="str">
            <v>Main Panel</v>
          </cell>
        </row>
      </sheetData>
      <sheetData sheetId="777">
        <row r="52">
          <cell r="B52" t="str">
            <v>Main Panel</v>
          </cell>
        </row>
      </sheetData>
      <sheetData sheetId="778">
        <row r="52">
          <cell r="B52" t="str">
            <v>Main Panel</v>
          </cell>
        </row>
      </sheetData>
      <sheetData sheetId="779">
        <row r="52">
          <cell r="B52" t="str">
            <v>Main Panel</v>
          </cell>
        </row>
      </sheetData>
      <sheetData sheetId="780">
        <row r="52">
          <cell r="B52" t="str">
            <v>Main Panel</v>
          </cell>
        </row>
      </sheetData>
      <sheetData sheetId="781">
        <row r="52">
          <cell r="B52" t="str">
            <v>Main Panel</v>
          </cell>
        </row>
      </sheetData>
      <sheetData sheetId="782">
        <row r="52">
          <cell r="B52" t="str">
            <v>Main Panel</v>
          </cell>
        </row>
      </sheetData>
      <sheetData sheetId="783">
        <row r="52">
          <cell r="B52" t="str">
            <v>Main Panel</v>
          </cell>
        </row>
      </sheetData>
      <sheetData sheetId="784">
        <row r="52">
          <cell r="B52" t="str">
            <v>Main Panel</v>
          </cell>
        </row>
      </sheetData>
      <sheetData sheetId="785">
        <row r="52">
          <cell r="B52" t="str">
            <v>Main Panel</v>
          </cell>
        </row>
      </sheetData>
      <sheetData sheetId="786">
        <row r="52">
          <cell r="B52" t="str">
            <v>Main Panel</v>
          </cell>
        </row>
      </sheetData>
      <sheetData sheetId="787">
        <row r="52">
          <cell r="B52" t="str">
            <v>Main Panel</v>
          </cell>
        </row>
      </sheetData>
      <sheetData sheetId="788">
        <row r="52">
          <cell r="B52" t="str">
            <v>Main Panel</v>
          </cell>
        </row>
      </sheetData>
      <sheetData sheetId="789">
        <row r="52">
          <cell r="B52" t="str">
            <v>Main Panel</v>
          </cell>
        </row>
      </sheetData>
      <sheetData sheetId="790">
        <row r="52">
          <cell r="B52" t="str">
            <v>Main Panel</v>
          </cell>
        </row>
      </sheetData>
      <sheetData sheetId="791">
        <row r="52">
          <cell r="B52" t="str">
            <v>Main Panel</v>
          </cell>
        </row>
      </sheetData>
      <sheetData sheetId="792">
        <row r="52">
          <cell r="B52" t="str">
            <v>Main Panel</v>
          </cell>
        </row>
      </sheetData>
      <sheetData sheetId="793">
        <row r="52">
          <cell r="B52" t="str">
            <v>Main Panel</v>
          </cell>
        </row>
      </sheetData>
      <sheetData sheetId="794">
        <row r="52">
          <cell r="B52" t="str">
            <v>Main Panel</v>
          </cell>
        </row>
      </sheetData>
      <sheetData sheetId="795">
        <row r="52">
          <cell r="B52" t="str">
            <v>Main Panel</v>
          </cell>
        </row>
      </sheetData>
      <sheetData sheetId="796">
        <row r="52">
          <cell r="B52" t="str">
            <v>Main Panel</v>
          </cell>
        </row>
      </sheetData>
      <sheetData sheetId="797">
        <row r="52">
          <cell r="B52" t="str">
            <v>Main Panel</v>
          </cell>
        </row>
      </sheetData>
      <sheetData sheetId="798">
        <row r="52">
          <cell r="B52" t="str">
            <v>Main Panel</v>
          </cell>
        </row>
      </sheetData>
      <sheetData sheetId="799">
        <row r="52">
          <cell r="B52" t="str">
            <v>Main Panel</v>
          </cell>
        </row>
      </sheetData>
      <sheetData sheetId="800">
        <row r="52">
          <cell r="B52" t="str">
            <v>Main Panel</v>
          </cell>
        </row>
      </sheetData>
      <sheetData sheetId="801">
        <row r="52">
          <cell r="B52" t="str">
            <v>Main Panel</v>
          </cell>
        </row>
      </sheetData>
      <sheetData sheetId="802">
        <row r="52">
          <cell r="B52" t="str">
            <v>Main Panel</v>
          </cell>
        </row>
      </sheetData>
      <sheetData sheetId="803">
        <row r="52">
          <cell r="B52" t="str">
            <v>Main Panel</v>
          </cell>
        </row>
      </sheetData>
      <sheetData sheetId="804">
        <row r="52">
          <cell r="B52" t="str">
            <v>Main Panel</v>
          </cell>
        </row>
      </sheetData>
      <sheetData sheetId="805">
        <row r="52">
          <cell r="B52" t="str">
            <v>Main Panel</v>
          </cell>
        </row>
      </sheetData>
      <sheetData sheetId="806">
        <row r="52">
          <cell r="B52" t="str">
            <v>Main Panel</v>
          </cell>
        </row>
      </sheetData>
      <sheetData sheetId="807">
        <row r="52">
          <cell r="B52" t="str">
            <v>Main Panel</v>
          </cell>
        </row>
      </sheetData>
      <sheetData sheetId="808">
        <row r="52">
          <cell r="B52" t="str">
            <v>Main Panel</v>
          </cell>
        </row>
      </sheetData>
      <sheetData sheetId="809">
        <row r="52">
          <cell r="B52" t="str">
            <v>Main Panel</v>
          </cell>
        </row>
      </sheetData>
      <sheetData sheetId="810">
        <row r="52">
          <cell r="B52" t="str">
            <v>Main Panel</v>
          </cell>
        </row>
      </sheetData>
      <sheetData sheetId="811">
        <row r="52">
          <cell r="B52" t="str">
            <v>Main Panel</v>
          </cell>
        </row>
      </sheetData>
      <sheetData sheetId="812">
        <row r="52">
          <cell r="B52" t="str">
            <v>Main Panel</v>
          </cell>
        </row>
      </sheetData>
      <sheetData sheetId="813">
        <row r="52">
          <cell r="B52" t="str">
            <v>Main Panel</v>
          </cell>
        </row>
      </sheetData>
      <sheetData sheetId="814">
        <row r="52">
          <cell r="B52" t="str">
            <v>Main Panel</v>
          </cell>
        </row>
      </sheetData>
      <sheetData sheetId="815">
        <row r="52">
          <cell r="B52" t="str">
            <v>Main Panel</v>
          </cell>
        </row>
      </sheetData>
      <sheetData sheetId="816">
        <row r="52">
          <cell r="B52" t="str">
            <v>Main Panel</v>
          </cell>
        </row>
      </sheetData>
      <sheetData sheetId="817">
        <row r="52">
          <cell r="B52" t="str">
            <v>Main Panel</v>
          </cell>
        </row>
      </sheetData>
      <sheetData sheetId="818" refreshError="1"/>
      <sheetData sheetId="819" refreshError="1"/>
      <sheetData sheetId="820" refreshError="1"/>
      <sheetData sheetId="821" refreshError="1"/>
      <sheetData sheetId="822">
        <row r="52">
          <cell r="B52" t="str">
            <v>Main Panel</v>
          </cell>
        </row>
      </sheetData>
      <sheetData sheetId="823">
        <row r="52">
          <cell r="B52" t="str">
            <v>Main Panel</v>
          </cell>
        </row>
      </sheetData>
      <sheetData sheetId="824">
        <row r="52">
          <cell r="B52" t="str">
            <v>Main Panel</v>
          </cell>
        </row>
      </sheetData>
      <sheetData sheetId="825">
        <row r="52">
          <cell r="B52" t="str">
            <v>Main Panel</v>
          </cell>
        </row>
      </sheetData>
      <sheetData sheetId="826">
        <row r="52">
          <cell r="B52" t="str">
            <v>Main Panel</v>
          </cell>
        </row>
      </sheetData>
      <sheetData sheetId="827">
        <row r="52">
          <cell r="B52" t="str">
            <v>Main Panel</v>
          </cell>
        </row>
      </sheetData>
      <sheetData sheetId="828">
        <row r="52">
          <cell r="B52" t="str">
            <v>Main Panel</v>
          </cell>
        </row>
      </sheetData>
      <sheetData sheetId="829">
        <row r="52">
          <cell r="B52" t="str">
            <v>Main Panel</v>
          </cell>
        </row>
      </sheetData>
      <sheetData sheetId="830">
        <row r="52">
          <cell r="B52" t="str">
            <v>Main Panel</v>
          </cell>
        </row>
      </sheetData>
      <sheetData sheetId="831">
        <row r="52">
          <cell r="B52" t="str">
            <v>Main Panel</v>
          </cell>
        </row>
      </sheetData>
      <sheetData sheetId="832">
        <row r="52">
          <cell r="B52" t="str">
            <v>Main Panel</v>
          </cell>
        </row>
      </sheetData>
      <sheetData sheetId="833">
        <row r="52">
          <cell r="B52" t="str">
            <v>Main Panel</v>
          </cell>
        </row>
      </sheetData>
      <sheetData sheetId="834">
        <row r="52">
          <cell r="B52" t="str">
            <v>Main Panel</v>
          </cell>
        </row>
      </sheetData>
      <sheetData sheetId="835">
        <row r="52">
          <cell r="B52" t="str">
            <v>Main Panel</v>
          </cell>
        </row>
      </sheetData>
      <sheetData sheetId="836">
        <row r="52">
          <cell r="B52" t="str">
            <v>Main Panel</v>
          </cell>
        </row>
      </sheetData>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ow r="52">
          <cell r="B52" t="str">
            <v>Main Panel</v>
          </cell>
        </row>
      </sheetData>
      <sheetData sheetId="847">
        <row r="52">
          <cell r="B52" t="str">
            <v>Main Panel</v>
          </cell>
        </row>
      </sheetData>
      <sheetData sheetId="848">
        <row r="52">
          <cell r="B52" t="str">
            <v>Main Panel</v>
          </cell>
        </row>
      </sheetData>
      <sheetData sheetId="849">
        <row r="52">
          <cell r="B52" t="str">
            <v>Main Panel</v>
          </cell>
        </row>
      </sheetData>
      <sheetData sheetId="850" refreshError="1"/>
      <sheetData sheetId="851" refreshError="1"/>
      <sheetData sheetId="852">
        <row r="52">
          <cell r="B52" t="str">
            <v>Main Panel</v>
          </cell>
        </row>
      </sheetData>
      <sheetData sheetId="853" refreshError="1"/>
      <sheetData sheetId="854" refreshError="1"/>
      <sheetData sheetId="855" refreshError="1"/>
      <sheetData sheetId="856" refreshError="1"/>
      <sheetData sheetId="857" refreshError="1"/>
      <sheetData sheetId="858" refreshError="1"/>
      <sheetData sheetId="859" refreshError="1"/>
      <sheetData sheetId="860"/>
      <sheetData sheetId="86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refreshError="1"/>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refreshError="1"/>
      <sheetData sheetId="2995"/>
      <sheetData sheetId="2996"/>
      <sheetData sheetId="2997"/>
      <sheetData sheetId="2998"/>
      <sheetData sheetId="2999"/>
      <sheetData sheetId="3000"/>
      <sheetData sheetId="3001" refreshError="1"/>
      <sheetData sheetId="3002" refreshError="1"/>
      <sheetData sheetId="3003" refreshError="1"/>
      <sheetData sheetId="3004"/>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sheetData sheetId="3014"/>
      <sheetData sheetId="3015"/>
      <sheetData sheetId="3016"/>
      <sheetData sheetId="3017"/>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rdamdata"/>
      <sheetName val="SOR"/>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Quarry"/>
      <sheetName val="Line"/>
      <sheetName val="CRUST"/>
      <sheetName val="QDTS"/>
      <sheetName val="Rates"/>
      <sheetName val="BTR"/>
      <sheetName val="Road data"/>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mlead"/>
    </sheetNames>
    <sheetDataSet>
      <sheetData sheetId="0"/>
      <sheetData sheetId="1"/>
      <sheetData sheetId="2"/>
      <sheetData sheetId="3"/>
      <sheetData sheetId="4"/>
      <sheetData sheetId="5"/>
      <sheetData sheetId="6"/>
      <sheetData sheetId="7"/>
      <sheetData sheetId="8" refreshError="1">
        <row r="4">
          <cell r="F4">
            <v>65</v>
          </cell>
        </row>
      </sheetData>
      <sheetData sheetId="9"/>
      <sheetData sheetId="10"/>
      <sheetData sheetId="11"/>
      <sheetData sheetId="12"/>
      <sheetData sheetId="13"/>
      <sheetData sheetId="14"/>
      <sheetData sheetId="15" refreshError="1"/>
      <sheetData sheetId="1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M"/>
      <sheetName val="com st PM"/>
      <sheetName val="GM"/>
      <sheetName val="comst GM"/>
      <sheetName val="eweljlt"/>
      <sheetName val="pvc_basic"/>
      <sheetName val="pvc"/>
      <sheetName val="hdpe_basic"/>
      <sheetName val="HDPE"/>
      <sheetName val="DI"/>
      <sheetName val="CI"/>
      <sheetName val="G.R.P"/>
      <sheetName val="detls"/>
      <sheetName val=""/>
      <sheetName val="leads"/>
      <sheetName val="hdpe-rates"/>
      <sheetName val="hdpe weights"/>
      <sheetName val="ssr-rates"/>
      <sheetName val="pvc-rates"/>
      <sheetName val="PVC weights"/>
      <sheetName val="com_st_PM"/>
      <sheetName val="comst_GM"/>
      <sheetName val="G_R_P"/>
      <sheetName val="v"/>
      <sheetName val="r"/>
      <sheetName val="Lead"/>
      <sheetName val="Specification report"/>
      <sheetName val="maya"/>
      <sheetName val="Nspt-smp-final-ORIGINAL"/>
      <sheetName val="Sheet1"/>
      <sheetName val="rdamdata"/>
      <sheetName val="lead-st"/>
      <sheetName val="sand"/>
      <sheetName val="stone"/>
      <sheetName val="Road Detail Est."/>
      <sheetName val="Road data"/>
      <sheetName val="Plant &amp;  Machinery"/>
      <sheetName val="ABS"/>
      <sheetName val="_V_O_I_L_S_I_N_G_R_A_M_._X_L_S_"/>
      <sheetName val="DATA"/>
      <sheetName val="com_st_PM1"/>
      <sheetName val="comst_GM1"/>
      <sheetName val="G_R_P1"/>
      <sheetName val="com_st_PM5"/>
      <sheetName val="comst_GM5"/>
      <sheetName val="G_R_P5"/>
      <sheetName val="Specification_report2"/>
      <sheetName val="com_st_PM3"/>
      <sheetName val="comst_GM3"/>
      <sheetName val="G_R_P3"/>
      <sheetName val="com_st_PM2"/>
      <sheetName val="comst_GM2"/>
      <sheetName val="G_R_P2"/>
      <sheetName val="Specification_report"/>
      <sheetName val="com_st_PM4"/>
      <sheetName val="comst_GM4"/>
      <sheetName val="G_R_P4"/>
      <sheetName val="Specification_report1"/>
      <sheetName val="LEAD STATEMENT"/>
      <sheetName val="SSR 2014-15 Rates"/>
      <sheetName val="Summary"/>
      <sheetName val="final abstract"/>
      <sheetName val="BWSCPlt"/>
      <sheetName val="PSC REVISED"/>
      <sheetName val="Work_sheet"/>
      <sheetName val="data existing_do not delete"/>
      <sheetName val="m1"/>
      <sheetName val="RMR"/>
      <sheetName val="DATA_PRG"/>
      <sheetName val="GF SB Ok "/>
      <sheetName val="wh_data"/>
      <sheetName val="wh_data_R"/>
      <sheetName val="CPHEEO"/>
      <sheetName val="input"/>
      <sheetName val="mlead"/>
      <sheetName val="abs road"/>
      <sheetName val="coverpage"/>
      <sheetName val="R_Det"/>
      <sheetName val="HDPE-pipe-rates"/>
      <sheetName val="pvc-pipe-rates"/>
      <sheetName val="m"/>
      <sheetName val="Material"/>
      <sheetName val="Labour"/>
      <sheetName val="_x0000_V_x0000_O_x0000_I_x0000_L_x0000_S_x0000_I_x0000_N_x0000_G_x0000_R_x0000_A_x0000_M_x0000_._x0000_X_x0000_L_x0000_S_x0000_"/>
      <sheetName val="?V?O?I?L?S?I?N?G?R?A?M?.?X?L?S?"/>
      <sheetName val="TBAL9697 -group wise  sdpl"/>
      <sheetName val="ABS.C.D."/>
      <sheetName val="Rates"/>
      <sheetName val="Line"/>
      <sheetName val="0000000000000"/>
      <sheetName val="_x005f_x0000_V_x005f_x0000_O_x005f_x0000_I_x005f_x0000_"/>
      <sheetName val="2A_2008_09_ABST_GENSCST"/>
      <sheetName val="Data_Renuals"/>
      <sheetName val="SPT vs PHI"/>
      <sheetName val="Flight-1"/>
      <sheetName val="RAM"/>
      <sheetName val="Shaft type"/>
      <sheetName val="SSR"/>
      <sheetName val="ESTIMATE"/>
      <sheetName val="FF WRK"/>
      <sheetName val="_x0000_V_x0000_O_x0000_I_x0000_"/>
      <sheetName val="Proforma -II "/>
      <sheetName val=" Estt."/>
      <sheetName val="Cover"/>
      <sheetName val="_V_O_I_L_S_I_N_G_R_A_M___X_L__2"/>
      <sheetName val="EDWise"/>
      <sheetName val="COLUMN"/>
      <sheetName val="STRIP Sizing"/>
      <sheetName val="upa"/>
      <sheetName val="SC Cost FEB 03"/>
      <sheetName val="Tees"/>
      <sheetName val="water-hammar-strenght"/>
      <sheetName val="CS "/>
      <sheetName val="Data.F8.BTR"/>
      <sheetName val="C-data"/>
      <sheetName val="MRATES"/>
      <sheetName val="Bitumen trunk"/>
      <sheetName val="Feeder"/>
      <sheetName val="R99 etc"/>
      <sheetName val="Trunk unpaved"/>
      <sheetName val="Sheet2"/>
      <sheetName val="_x005f_x005f_x005f_x0000_V_x005f_x005f_x005f_x0000_O_x0"/>
      <sheetName val="wh"/>
      <sheetName val="PVC_dia"/>
      <sheetName val="mas_hab"/>
      <sheetName val="int-Dia-pvc"/>
      <sheetName val="_V_O_I_L_S_I_N_G_R_A_M___X_L__3"/>
      <sheetName val="Levels"/>
      <sheetName val="bundqty"/>
      <sheetName val="Lead- Input sheet "/>
      <sheetName val="CONST"/>
      <sheetName val="Leads Entry"/>
      <sheetName val="clvrt_data"/>
      <sheetName val="road est"/>
      <sheetName val="_V_O_I_L_S_I_N_G_R_A_M___X_L__4"/>
      <sheetName val="Main sheet"/>
      <sheetName val="Iocount"/>
      <sheetName val="VOILSINGRAM.XLS"/>
      <sheetName val="VOI"/>
      <sheetName val="l"/>
      <sheetName val="_5wgdhabfinal00_01"/>
      <sheetName val="WATER-HAMMER"/>
      <sheetName val="com_st_PM6"/>
      <sheetName val="comst_GM6"/>
      <sheetName val="G_R_P6"/>
      <sheetName val="Specification_report3"/>
      <sheetName val="id"/>
      <sheetName val="joinery data"/>
    </sheetNames>
    <sheetDataSet>
      <sheetData sheetId="0" refreshError="1"/>
      <sheetData sheetId="1" refreshError="1"/>
      <sheetData sheetId="2" refreshError="1"/>
      <sheetData sheetId="3" refreshError="1"/>
      <sheetData sheetId="4" refreshError="1"/>
      <sheetData sheetId="5" refreshError="1">
        <row r="14">
          <cell r="G14">
            <v>35.35</v>
          </cell>
        </row>
        <row r="15">
          <cell r="G15">
            <v>49.78</v>
          </cell>
        </row>
        <row r="16">
          <cell r="G16">
            <v>72</v>
          </cell>
        </row>
        <row r="17">
          <cell r="G17">
            <v>93.9</v>
          </cell>
        </row>
        <row r="18">
          <cell r="G18">
            <v>117.01</v>
          </cell>
        </row>
        <row r="19">
          <cell r="G19">
            <v>154.61000000000001</v>
          </cell>
        </row>
        <row r="20">
          <cell r="G20">
            <v>197.16</v>
          </cell>
        </row>
        <row r="27">
          <cell r="G27">
            <v>35.159999999999997</v>
          </cell>
        </row>
        <row r="28">
          <cell r="G28">
            <v>49.04</v>
          </cell>
        </row>
        <row r="29">
          <cell r="G29">
            <v>70.27</v>
          </cell>
        </row>
        <row r="30">
          <cell r="G30">
            <v>102</v>
          </cell>
        </row>
        <row r="31">
          <cell r="G31">
            <v>128.19</v>
          </cell>
        </row>
        <row r="32">
          <cell r="G32">
            <v>167.11</v>
          </cell>
        </row>
        <row r="33">
          <cell r="G33">
            <v>217.34</v>
          </cell>
        </row>
        <row r="34">
          <cell r="G34">
            <v>281.33999999999997</v>
          </cell>
        </row>
        <row r="35">
          <cell r="G35">
            <v>340.32</v>
          </cell>
        </row>
        <row r="41">
          <cell r="G41">
            <v>54.3</v>
          </cell>
        </row>
        <row r="42">
          <cell r="G42">
            <v>77.55</v>
          </cell>
        </row>
        <row r="44">
          <cell r="G44">
            <v>165.03</v>
          </cell>
        </row>
        <row r="45">
          <cell r="G45">
            <v>216.24</v>
          </cell>
        </row>
        <row r="46">
          <cell r="G46">
            <v>265.97000000000003</v>
          </cell>
        </row>
      </sheetData>
      <sheetData sheetId="6" refreshError="1">
        <row r="31">
          <cell r="D31">
            <v>91.08</v>
          </cell>
          <cell r="E31">
            <v>107.35</v>
          </cell>
          <cell r="F31">
            <v>133.26</v>
          </cell>
          <cell r="G31">
            <v>158.58000000000001</v>
          </cell>
          <cell r="H31">
            <v>185.06</v>
          </cell>
          <cell r="I31">
            <v>236.46</v>
          </cell>
          <cell r="J31">
            <v>285.23</v>
          </cell>
        </row>
        <row r="46">
          <cell r="C46">
            <v>90.35</v>
          </cell>
          <cell r="D46">
            <v>106.67</v>
          </cell>
          <cell r="E46">
            <v>130.63999999999999</v>
          </cell>
          <cell r="F46">
            <v>167.37</v>
          </cell>
          <cell r="G46">
            <v>197.57</v>
          </cell>
          <cell r="H46">
            <v>242.04</v>
          </cell>
          <cell r="I46">
            <v>307.83</v>
          </cell>
          <cell r="J46">
            <v>380.99</v>
          </cell>
          <cell r="K46">
            <v>448.54</v>
          </cell>
        </row>
        <row r="61">
          <cell r="C61">
            <v>112.12</v>
          </cell>
          <cell r="D61">
            <v>135.81</v>
          </cell>
          <cell r="E61">
            <v>171.19</v>
          </cell>
          <cell r="F61">
            <v>232.15</v>
          </cell>
          <cell r="H61">
            <v>343.32</v>
          </cell>
        </row>
      </sheetData>
      <sheetData sheetId="7" refreshError="1">
        <row r="14">
          <cell r="G14">
            <v>40.78</v>
          </cell>
        </row>
        <row r="37">
          <cell r="G37">
            <v>730.74</v>
          </cell>
        </row>
        <row r="38">
          <cell r="G38">
            <v>899.42</v>
          </cell>
        </row>
        <row r="39">
          <cell r="G39">
            <v>1127.6099999999999</v>
          </cell>
        </row>
        <row r="40">
          <cell r="G40">
            <v>1430.04</v>
          </cell>
        </row>
      </sheetData>
      <sheetData sheetId="8" refreshError="1">
        <row r="16">
          <cell r="C16">
            <v>73.2</v>
          </cell>
        </row>
        <row r="30">
          <cell r="L30">
            <v>887.49</v>
          </cell>
          <cell r="M30">
            <v>1081.68</v>
          </cell>
          <cell r="N30">
            <v>1343.94</v>
          </cell>
          <cell r="O30">
            <v>1690.77</v>
          </cell>
        </row>
      </sheetData>
      <sheetData sheetId="9" refreshError="1">
        <row r="37">
          <cell r="C37">
            <v>678.83</v>
          </cell>
          <cell r="D37">
            <v>960.38</v>
          </cell>
          <cell r="F37">
            <v>1844.87</v>
          </cell>
          <cell r="G37">
            <v>2369.41</v>
          </cell>
        </row>
      </sheetData>
      <sheetData sheetId="10" refreshError="1"/>
      <sheetData sheetId="11" refreshError="1"/>
      <sheetData sheetId="12" refreshError="1"/>
      <sheetData sheetId="13" refreshError="1"/>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at pro site adjusted"/>
      <sheetName val="CS at 500M DS"/>
      <sheetName val="Design"/>
      <sheetName val="CS at 350m US"/>
      <sheetName val="CS at pro site "/>
      <sheetName val="LS for 0 - 270m for CD work"/>
      <sheetName val="Pre levels&amp;formation levels"/>
      <sheetName val="Sheet2"/>
      <sheetName val="Sheet3"/>
    </sheetNames>
    <sheetDataSet>
      <sheetData sheetId="0"/>
      <sheetData sheetId="1"/>
      <sheetData sheetId="2"/>
      <sheetData sheetId="3"/>
      <sheetData sheetId="4"/>
      <sheetData sheetId="5"/>
      <sheetData sheetId="6"/>
      <sheetData sheetId="7" refreshError="1">
        <row r="7">
          <cell r="F7">
            <v>8.4499999999999993</v>
          </cell>
        </row>
        <row r="9">
          <cell r="F9">
            <v>2.2000000000000002</v>
          </cell>
        </row>
        <row r="10">
          <cell r="F10">
            <v>0</v>
          </cell>
        </row>
        <row r="11">
          <cell r="F11">
            <v>92.5</v>
          </cell>
        </row>
        <row r="17">
          <cell r="F17">
            <v>2</v>
          </cell>
        </row>
        <row r="18">
          <cell r="F18">
            <v>2</v>
          </cell>
        </row>
        <row r="34">
          <cell r="F34">
            <v>8</v>
          </cell>
        </row>
        <row r="35">
          <cell r="F35">
            <v>0.65</v>
          </cell>
        </row>
        <row r="36">
          <cell r="F36">
            <v>7.4999999999999997E-2</v>
          </cell>
        </row>
        <row r="37">
          <cell r="F37">
            <v>0.3</v>
          </cell>
        </row>
        <row r="39">
          <cell r="F39">
            <v>97.924999999999997</v>
          </cell>
        </row>
        <row r="46">
          <cell r="I46">
            <v>8.3699999999999992</v>
          </cell>
        </row>
        <row r="47">
          <cell r="I47">
            <v>3</v>
          </cell>
        </row>
        <row r="48">
          <cell r="I48">
            <v>2.39</v>
          </cell>
        </row>
        <row r="61">
          <cell r="G61">
            <v>63.64</v>
          </cell>
        </row>
        <row r="80">
          <cell r="I80">
            <v>56.54</v>
          </cell>
        </row>
        <row r="85">
          <cell r="H85">
            <v>0</v>
          </cell>
        </row>
        <row r="88">
          <cell r="H88">
            <v>3.22</v>
          </cell>
        </row>
        <row r="98">
          <cell r="H98">
            <v>1.1000000000000001</v>
          </cell>
        </row>
        <row r="112">
          <cell r="H112">
            <v>2.4500000000000002</v>
          </cell>
        </row>
        <row r="115">
          <cell r="H115">
            <v>0.313</v>
          </cell>
        </row>
        <row r="116">
          <cell r="H116">
            <v>-7.2999999999999995E-2</v>
          </cell>
        </row>
        <row r="122">
          <cell r="H122">
            <v>24.02</v>
          </cell>
        </row>
        <row r="128">
          <cell r="H128">
            <v>28.2</v>
          </cell>
        </row>
        <row r="131">
          <cell r="H131">
            <v>1.3</v>
          </cell>
        </row>
        <row r="133">
          <cell r="H133">
            <v>56.1</v>
          </cell>
        </row>
        <row r="135">
          <cell r="H135">
            <v>-12.29</v>
          </cell>
        </row>
        <row r="137">
          <cell r="H137">
            <v>57.51</v>
          </cell>
        </row>
        <row r="148">
          <cell r="H148">
            <v>21.69</v>
          </cell>
        </row>
        <row r="149">
          <cell r="H149">
            <v>2.4900000000000002</v>
          </cell>
        </row>
        <row r="150">
          <cell r="H150">
            <v>0.05</v>
          </cell>
        </row>
        <row r="153">
          <cell r="H153">
            <v>24.23</v>
          </cell>
        </row>
        <row r="155">
          <cell r="H155">
            <v>22.8</v>
          </cell>
        </row>
        <row r="156">
          <cell r="H156">
            <v>6.8</v>
          </cell>
        </row>
        <row r="157">
          <cell r="H157">
            <v>6.8</v>
          </cell>
        </row>
        <row r="158">
          <cell r="H158">
            <v>36.4</v>
          </cell>
        </row>
        <row r="161">
          <cell r="H161">
            <v>1.67</v>
          </cell>
        </row>
        <row r="163">
          <cell r="H163">
            <v>57.38</v>
          </cell>
        </row>
        <row r="165">
          <cell r="H165">
            <v>-15.86</v>
          </cell>
        </row>
        <row r="167">
          <cell r="H167">
            <v>58.82</v>
          </cell>
        </row>
        <row r="181">
          <cell r="H181">
            <v>0.69999999999999973</v>
          </cell>
        </row>
        <row r="184">
          <cell r="H184">
            <v>112.19</v>
          </cell>
        </row>
        <row r="186">
          <cell r="H186">
            <v>-24.57</v>
          </cell>
        </row>
        <row r="188">
          <cell r="H188">
            <v>32.86</v>
          </cell>
        </row>
        <row r="193">
          <cell r="H193">
            <v>114.76</v>
          </cell>
        </row>
        <row r="195">
          <cell r="H195">
            <v>-31.72</v>
          </cell>
        </row>
        <row r="197">
          <cell r="H197">
            <v>33.61</v>
          </cell>
        </row>
        <row r="213">
          <cell r="H213">
            <v>0.14000000000000001</v>
          </cell>
        </row>
        <row r="217">
          <cell r="H217">
            <v>0.26</v>
          </cell>
        </row>
        <row r="218">
          <cell r="H218">
            <v>3.8999999999999915</v>
          </cell>
        </row>
        <row r="219">
          <cell r="H219">
            <v>2.75</v>
          </cell>
        </row>
        <row r="226">
          <cell r="H226">
            <v>2.25</v>
          </cell>
        </row>
        <row r="227">
          <cell r="H227">
            <v>0.17</v>
          </cell>
        </row>
        <row r="228">
          <cell r="H228">
            <v>2.37</v>
          </cell>
        </row>
        <row r="230">
          <cell r="H230">
            <v>0.35</v>
          </cell>
        </row>
        <row r="231">
          <cell r="H231">
            <v>5.14</v>
          </cell>
        </row>
        <row r="235">
          <cell r="H235">
            <v>9.1</v>
          </cell>
        </row>
        <row r="237">
          <cell r="H237">
            <v>14.239999999999998</v>
          </cell>
        </row>
        <row r="241">
          <cell r="H241">
            <v>9.26</v>
          </cell>
        </row>
        <row r="243">
          <cell r="H243">
            <v>14.239999999999998</v>
          </cell>
        </row>
        <row r="254">
          <cell r="H254">
            <v>0.3</v>
          </cell>
        </row>
        <row r="271">
          <cell r="H271">
            <v>0.65</v>
          </cell>
        </row>
        <row r="274">
          <cell r="H274">
            <v>2.66</v>
          </cell>
        </row>
        <row r="275">
          <cell r="H275">
            <v>0.3</v>
          </cell>
        </row>
        <row r="281">
          <cell r="H281">
            <v>11.48</v>
          </cell>
        </row>
      </sheetData>
      <sheetData sheetId="8"/>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eder"/>
      <sheetName val="Trunk unpaved"/>
      <sheetName val="R99 etc"/>
      <sheetName val="Bitumen trunk"/>
      <sheetName val="paved"/>
      <sheetName val="defects"/>
      <sheetName val="Labour"/>
      <sheetName val="Material"/>
      <sheetName val="rdamdata"/>
      <sheetName val="v"/>
      <sheetName val="r"/>
      <sheetName val="lead-st"/>
      <sheetName val="wh_data_R"/>
      <sheetName val="data"/>
      <sheetName val="Trunk_unpaved"/>
      <sheetName val="R99_etc"/>
      <sheetName val="Bitumen_trunk"/>
      <sheetName val="LEAD"/>
      <sheetName val="m"/>
      <sheetName val="Leads"/>
      <sheetName val="Trunk_unpaved1"/>
      <sheetName val="R99_etc1"/>
      <sheetName val="Bitumen_trunk1"/>
      <sheetName val="Trunk_unpaved2"/>
      <sheetName val="R99_etc2"/>
      <sheetName val="Bitumen_trunk2"/>
      <sheetName val="Trunk_unpaved3"/>
      <sheetName val="R99_etc3"/>
      <sheetName val="Bitumen_trunk3"/>
      <sheetName val="Sheet1"/>
      <sheetName val="HDPE"/>
      <sheetName val="DI"/>
      <sheetName val="pvc"/>
      <sheetName val="coverpage"/>
      <sheetName val="DATA-BASE"/>
      <sheetName val="Sheet2"/>
      <sheetName val="Plant_&amp;__Machinery"/>
      <sheetName val="sectorwise"/>
      <sheetName val="detls"/>
      <sheetName val="hdpe_weights"/>
      <sheetName val="cover_(2)"/>
      <sheetName val="Levels"/>
      <sheetName val="Plant_&amp;__Machinery2"/>
      <sheetName val="t_prsr"/>
      <sheetName val="PVC_weights"/>
      <sheetName val="Road_data"/>
      <sheetName val="ssr-rates"/>
      <sheetName val="RMR"/>
      <sheetName val="l"/>
      <sheetName val="DATA-ABSTRACT"/>
      <sheetName val="wh"/>
      <sheetName val="hdpe_basic"/>
      <sheetName val="pvc_basic"/>
      <sheetName val="0000000000000"/>
      <sheetName val="index"/>
      <sheetName val="Abs_Road"/>
      <sheetName val="Estimate "/>
      <sheetName val="GROUND FLOOR"/>
      <sheetName val="pop"/>
      <sheetName val="m1"/>
      <sheetName val="mlead"/>
      <sheetName val="abs road"/>
      <sheetName val="Road data"/>
      <sheetName val="R_Det"/>
      <sheetName val="2ABC R+U_Sector_wise_2008_09"/>
      <sheetName val="SUMP1420KL@HW"/>
      <sheetName val="water-hammar-strenght"/>
      <sheetName val="Class IV Qtr. Ele"/>
      <sheetName val="Cover"/>
      <sheetName val="Abs"/>
      <sheetName val="wh_data"/>
      <sheetName val="CPHEEO"/>
      <sheetName val="input"/>
      <sheetName val="Data.F8.BTR"/>
      <sheetName val="id"/>
      <sheetName val="Lead statement"/>
      <sheetName val="MRATES"/>
      <sheetName val="Data_Renuals"/>
      <sheetName val="Rates SSR 2008-09"/>
      <sheetName val="bom"/>
      <sheetName val="Road Detail Est."/>
      <sheetName val="quarry"/>
      <sheetName val="maya"/>
      <sheetName val="C.D.Abs.Est."/>
      <sheetName val="Nspt-smp-final-ORIGINAL"/>
      <sheetName val="Trunk_unpaved4"/>
      <sheetName val="R99_etc4"/>
      <sheetName val="Bitumen_trunk4"/>
      <sheetName val="Estimate_"/>
      <sheetName val="GROUND_FLOOR"/>
      <sheetName val="Road_data1"/>
      <sheetName val="Trunk_unpaved5"/>
      <sheetName val="R99_etc5"/>
      <sheetName val="Bitumen_trunk5"/>
      <sheetName val="Estimate_1"/>
      <sheetName val="GROUND_FLOOR1"/>
      <sheetName val="Road_data2"/>
      <sheetName val="Specification report"/>
      <sheetName val="final abstract"/>
      <sheetName val="Data_Base"/>
      <sheetName val="JACKWELL"/>
      <sheetName val="Lead Sheet1"/>
      <sheetName val="AC"/>
      <sheetName val="AV-BWSC&amp;MS"/>
      <sheetName val="AV_AC"/>
      <sheetName val="AV-DI"/>
      <sheetName val="AV-HDPE"/>
      <sheetName val="di_Gate_AC"/>
      <sheetName val="Digate-BWSCP-MS"/>
      <sheetName val="DI_gate_di"/>
      <sheetName val="Di_gate-HDPE"/>
      <sheetName val="scour-DI-CI"/>
      <sheetName val="scour-pvc-hdpe-psc-bwsc"/>
      <sheetName val="pumping main"/>
      <sheetName val="int-Dia-hdpe"/>
      <sheetName val="int-Dia-pvc"/>
      <sheetName val="_5wgdhabfinal00_01"/>
      <sheetName val="Analysis"/>
      <sheetName val="GM&amp;PM EST- final "/>
      <sheetName val="K.AV-HDPE"/>
      <sheetName val="scour-DI"/>
      <sheetName val="CI-scour-pvc-hdpe-psc-bwsc"/>
      <sheetName val="soft-HDPE"/>
      <sheetName val="soft-PVC"/>
      <sheetName val="DI-AV-DI-final"/>
      <sheetName val="DI-AV-HDPE- Final "/>
      <sheetName val="DI- Final"/>
      <sheetName val="DI_scour-DI-final"/>
      <sheetName val="DI_scour-pvc-hdpe-psc-bwsc"/>
      <sheetName val="DI SV on DI-final "/>
      <sheetName val="DI Sluice_HDPE"/>
      <sheetName val="HDPE-Final "/>
      <sheetName val="hdpe weights"/>
      <sheetName val="PVC weights"/>
      <sheetName val="Sheet9"/>
      <sheetName val="MRoad data"/>
      <sheetName val="DATA_PRG"/>
      <sheetName val="Gravity Main-Jukkal"/>
      <sheetName val="Boq"/>
      <sheetName val="civ data"/>
      <sheetName val="Plant &amp;  Machinery"/>
      <sheetName val="data existing_do not delete"/>
      <sheetName val="GM&amp;PM EST"/>
      <sheetName val="GM&amp;PM WE1 EST"/>
      <sheetName val="airvalve-AC PN 1.60"/>
      <sheetName val="AV_GRP ms bwsc"/>
      <sheetName val="BWSCP"/>
      <sheetName val="Soft-sluice-AC,GRP PN 1.6"/>
      <sheetName val="soft-sluice-BWSC-MS"/>
      <sheetName val="DI sluice valve"/>
      <sheetName val="dbl-airvalve-HDPE"/>
      <sheetName val="dbl-airvalve-PVC"/>
      <sheetName val="soft sluice -HDPE"/>
      <sheetName val="DI-kintc air valve-DI"/>
      <sheetName val="P "/>
      <sheetName val="Grand Abstract  (3)"/>
      <sheetName val="Bridges"/>
      <sheetName val="CBF (2)"/>
      <sheetName val="555555555555555555555555CBF BC "/>
      <sheetName val="CBF SC"/>
      <sheetName val="SDF 2016-17"/>
      <sheetName val="Fisheries Comminuty Halls"/>
      <sheetName val="MPLADS "/>
      <sheetName val="333333333333333333MPP Buildings"/>
      <sheetName val="RGPSA proforma"/>
      <sheetName val="22222222222CRR 2017-18 proforma"/>
      <sheetName val="MRMECADAMoad data"/>
      <sheetName val="C-data"/>
      <sheetName val="Design"/>
      <sheetName val="nodes"/>
      <sheetName val="int-Dia"/>
      <sheetName val="habs-list"/>
      <sheetName val="JAWAHAR-hyd-original"/>
      <sheetName val="data-WC"/>
      <sheetName val="PUMP_DATA"/>
      <sheetName val="PVC_dia"/>
      <sheetName val="Abstract of Wargal"/>
      <sheetName val="Factory_rates"/>
      <sheetName val="Specification"/>
      <sheetName val="PM&amp;GM"/>
      <sheetName val="AV-PVC"/>
      <sheetName val="DI gate-DI"/>
      <sheetName val="DIgate_PVC "/>
      <sheetName val="D2_CO"/>
      <sheetName val="hdpe-rates"/>
      <sheetName val="pvc-rates"/>
      <sheetName val="Rates"/>
      <sheetName val="Leads Entry"/>
      <sheetName val="BTR"/>
      <sheetName val="est"/>
      <sheetName val="1v_1000_PC"/>
      <sheetName val="CD abs"/>
      <sheetName val="2v_1000_PC"/>
      <sheetName val="GenAbst"/>
      <sheetName val="Road-furniture"/>
      <sheetName val="1v_600_PC"/>
      <sheetName val="Retaining-wall"/>
      <sheetName val="6v_1000_RDVENTS"/>
      <sheetName val="(Road-Project)"/>
      <sheetName val="road est"/>
      <sheetName val="DIgate_PVC"/>
      <sheetName val="MS "/>
      <sheetName val="Line estimates"/>
      <sheetName val="sand"/>
      <sheetName val="stone"/>
      <sheetName val="TOP SLAB-beams"/>
      <sheetName val="Common "/>
      <sheetName val="zone-8"/>
      <sheetName val="MHNO_LEV"/>
      <sheetName val="HS 30.04.2015.Final"/>
      <sheetName val="Bed Class"/>
      <sheetName val="Cd"/>
      <sheetName val="SPT vs PHI"/>
      <sheetName val="co_5"/>
      <sheetName val="DATA SHEET"/>
      <sheetName val="Sheet5"/>
      <sheetName val="Basis"/>
      <sheetName val="Trunk Main"/>
      <sheetName val="Detail In Door Stad"/>
      <sheetName val="CAT_5"/>
      <sheetName val="Gen Abs"/>
      <sheetName val="Conveayance charges"/>
      <sheetName val="Conveyance"/>
      <sheetName val="mas_hab"/>
      <sheetName val="VALV"/>
      <sheetName val="Usage"/>
      <sheetName val="General"/>
      <sheetName val="well"/>
      <sheetName val="SCHEDULE"/>
      <sheetName val="schedule nos"/>
      <sheetName val="Database"/>
      <sheetName val="MEXICO-C"/>
      <sheetName val="ADJUS"/>
      <sheetName val="mat-jak (2)"/>
      <sheetName val="mat-Arm"/>
      <sheetName val="mat-jak"/>
      <sheetName val="Abs- bal"/>
      <sheetName val="comparitive- bal"/>
      <sheetName val="Bal Sub"/>
      <sheetName val="Cover- Jak"/>
      <sheetName val="Abs - jak"/>
      <sheetName val="comparitive- jak"/>
      <sheetName val="Cover- Arm"/>
      <sheetName val="Jak Sub"/>
      <sheetName val="Abs- Arm"/>
      <sheetName val="comparitive- arm"/>
      <sheetName val="Arm Sub"/>
      <sheetName val="Arm Sub (2)"/>
      <sheetName val="PART A"/>
      <sheetName val="p&amp;m"/>
      <sheetName val="BALAN1"/>
      <sheetName val="Mp-team 1"/>
      <sheetName val="Class_IV_Qtr__Ele"/>
      <sheetName val="Data_F8_BTR"/>
      <sheetName val="Lead_statement"/>
      <sheetName val="C_D_Abs_Est_"/>
      <sheetName val="Rates_SSR_2008-09"/>
      <sheetName val="Specification_report"/>
      <sheetName val="2ABC_R+U_Sector_wise_2008_09"/>
      <sheetName val="Road_Detail_Est_"/>
      <sheetName val="MRoad_data"/>
      <sheetName val="pumping_main"/>
      <sheetName val="GM&amp;PM_EST-_final_"/>
      <sheetName val="K_AV-HDPE"/>
      <sheetName val="DI-AV-HDPE-_Final_"/>
      <sheetName val="DI-_Final"/>
      <sheetName val="DI_SV_on_DI-final_"/>
      <sheetName val="DI_Sluice_HDPE"/>
      <sheetName val="HDPE-Final_"/>
      <sheetName val="hdpe_weights1"/>
      <sheetName val="PVC_weights1"/>
      <sheetName val="Habcodes"/>
      <sheetName val="Sheet3"/>
      <sheetName val="Works"/>
      <sheetName val="SSR 2010-11 Rates"/>
      <sheetName val="Open"/>
      <sheetName val="11.Habitations"/>
      <sheetName val="GN-ST-10"/>
      <sheetName val="PRECAST lightconc-II"/>
      <sheetName val="MTC-estimate"/>
      <sheetName val="other rates"/>
      <sheetName val="Newabstract"/>
      <sheetName val="BWSCPlt"/>
      <sheetName val="CI"/>
      <sheetName val="G.R.P"/>
      <sheetName val="PSC REVISED"/>
      <sheetName val="clvrt_data"/>
      <sheetName val="Abs weir"/>
      <sheetName val="Sluece (2)"/>
      <sheetName val="Sluece"/>
      <sheetName val="Abs sluice (2)"/>
      <sheetName val="Lead (2)"/>
      <sheetName val="MACHINACHERUVU"/>
      <sheetName val="Det Est Sluice"/>
      <sheetName val="Ab Guide wall"/>
      <sheetName val="Det Est guide wall"/>
      <sheetName val="DATA-CC-BW"/>
      <sheetName val="DATA-CC-Fdn"/>
      <sheetName val="DATA-EWE"/>
      <sheetName val="data 21-22 (2)"/>
      <sheetName val="deta weir"/>
      <sheetName val="deta sluice (2)"/>
      <sheetName val="SSR 2014-15 Rates"/>
      <sheetName val="Rate Analysis"/>
      <sheetName val="RAFT"/>
      <sheetName val="ABUT"/>
      <sheetName val="Abutment"/>
      <sheetName val="ABST CIVIL"/>
      <sheetName val="ewst"/>
      <sheetName val="HDPE-pipe-rates"/>
      <sheetName val="pvc-pipe-rates"/>
      <sheetName val="pt-cw"/>
      <sheetName val="Bridge Data 2005-06"/>
      <sheetName val="PROCTOR"/>
      <sheetName val="Line"/>
      <sheetName val="CRUST"/>
      <sheetName val="QDTS"/>
      <sheetName val="Sheet1 (2)"/>
    </sheetNames>
    <sheetDataSet>
      <sheetData sheetId="0" refreshError="1">
        <row r="1">
          <cell r="A1" t="str">
            <v>Table A5 - Feeder Road Sections</v>
          </cell>
          <cell r="B1">
            <v>0</v>
          </cell>
          <cell r="C1">
            <v>0</v>
          </cell>
          <cell r="D1">
            <v>0</v>
          </cell>
          <cell r="E1" t="str">
            <v>RS 722</v>
          </cell>
          <cell r="F1">
            <v>544</v>
          </cell>
          <cell r="G1" t="str">
            <v>S</v>
          </cell>
          <cell r="H1" t="str">
            <v>F</v>
          </cell>
          <cell r="I1" t="str">
            <v>Shire North TC - Kasangale (junction S139)</v>
          </cell>
          <cell r="J1" t="str">
            <v>T400</v>
          </cell>
          <cell r="K1">
            <v>4</v>
          </cell>
          <cell r="L1">
            <v>10.199999999999999</v>
          </cell>
        </row>
        <row r="2">
          <cell r="A2" t="str">
            <v>Road Section No.</v>
          </cell>
          <cell r="B2" t="str">
            <v>MOWS Project No.</v>
          </cell>
          <cell r="C2" t="str">
            <v>Region</v>
          </cell>
          <cell r="D2" t="str">
            <v>Road class</v>
          </cell>
          <cell r="E2" t="str">
            <v>Road section</v>
          </cell>
          <cell r="F2" t="str">
            <v>Designation</v>
          </cell>
          <cell r="G2" t="str">
            <v>Sequence</v>
          </cell>
          <cell r="H2" t="str">
            <v>Length (km)</v>
          </cell>
          <cell r="I2" t="str">
            <v>Trrrain</v>
          </cell>
          <cell r="J2" t="str">
            <v>District</v>
          </cell>
          <cell r="K2" t="str">
            <v>Map sheet No.</v>
          </cell>
          <cell r="L2" t="str">
            <v>Location comments</v>
          </cell>
        </row>
        <row r="3">
          <cell r="A3" t="str">
            <v>RS 443</v>
          </cell>
          <cell r="B3">
            <v>265</v>
          </cell>
          <cell r="C3" t="str">
            <v>N</v>
          </cell>
          <cell r="D3" t="str">
            <v>F</v>
          </cell>
          <cell r="E3" t="str">
            <v>Davide Kameme - James Kameme</v>
          </cell>
          <cell r="F3" t="str">
            <v>T300</v>
          </cell>
          <cell r="G3">
            <v>1</v>
          </cell>
          <cell r="H3">
            <v>15.2</v>
          </cell>
          <cell r="I3" t="str">
            <v>R</v>
          </cell>
          <cell r="J3" t="str">
            <v>CHITIPA</v>
          </cell>
          <cell r="K3">
            <v>1</v>
          </cell>
          <cell r="L3" t="str">
            <v>Part of RS1</v>
          </cell>
        </row>
        <row r="4">
          <cell r="A4" t="str">
            <v>RS 444</v>
          </cell>
          <cell r="B4">
            <v>266</v>
          </cell>
          <cell r="C4" t="str">
            <v>N</v>
          </cell>
          <cell r="D4" t="str">
            <v>F</v>
          </cell>
          <cell r="E4" t="str">
            <v>Fikolo Mkisi - Winston Kmeme</v>
          </cell>
          <cell r="F4" t="str">
            <v>T301</v>
          </cell>
          <cell r="G4">
            <v>1</v>
          </cell>
          <cell r="H4">
            <v>24.8</v>
          </cell>
          <cell r="I4" t="str">
            <v>R</v>
          </cell>
          <cell r="J4" t="str">
            <v>CHITIPA</v>
          </cell>
          <cell r="K4">
            <v>1</v>
          </cell>
          <cell r="L4" t="str">
            <v>Part of RS1</v>
          </cell>
        </row>
        <row r="5">
          <cell r="A5" t="str">
            <v>RS 445</v>
          </cell>
          <cell r="B5">
            <v>267</v>
          </cell>
          <cell r="C5" t="str">
            <v>N</v>
          </cell>
          <cell r="D5" t="str">
            <v>F</v>
          </cell>
          <cell r="E5" t="str">
            <v>Namatandala - Mwenichinga</v>
          </cell>
          <cell r="F5" t="str">
            <v>T302</v>
          </cell>
          <cell r="G5">
            <v>1</v>
          </cell>
          <cell r="H5">
            <v>22.4</v>
          </cell>
          <cell r="I5" t="str">
            <v>F</v>
          </cell>
          <cell r="J5" t="str">
            <v>CHITIPA</v>
          </cell>
          <cell r="K5">
            <v>1</v>
          </cell>
          <cell r="L5">
            <v>0</v>
          </cell>
        </row>
        <row r="6">
          <cell r="A6" t="str">
            <v>RS 446</v>
          </cell>
          <cell r="B6">
            <v>268</v>
          </cell>
          <cell r="C6" t="str">
            <v>N</v>
          </cell>
          <cell r="D6" t="str">
            <v>F</v>
          </cell>
          <cell r="E6" t="str">
            <v>Pinda River - Mwenitete</v>
          </cell>
          <cell r="F6" t="str">
            <v>T303</v>
          </cell>
          <cell r="G6">
            <v>1</v>
          </cell>
          <cell r="H6">
            <v>22.1</v>
          </cell>
          <cell r="I6" t="str">
            <v>R</v>
          </cell>
          <cell r="J6" t="str">
            <v>KARONGA</v>
          </cell>
          <cell r="K6">
            <v>1</v>
          </cell>
          <cell r="L6">
            <v>0</v>
          </cell>
        </row>
        <row r="7">
          <cell r="A7" t="str">
            <v>RS 447</v>
          </cell>
          <cell r="B7">
            <v>269</v>
          </cell>
          <cell r="C7" t="str">
            <v>N</v>
          </cell>
          <cell r="D7" t="str">
            <v>F</v>
          </cell>
          <cell r="E7" t="str">
            <v>Wovwe - Uliwa</v>
          </cell>
          <cell r="F7" t="str">
            <v>T304</v>
          </cell>
          <cell r="G7">
            <v>1</v>
          </cell>
          <cell r="H7">
            <v>28.3</v>
          </cell>
          <cell r="I7" t="str">
            <v>F</v>
          </cell>
          <cell r="J7" t="str">
            <v>KARONGA</v>
          </cell>
          <cell r="K7">
            <v>2</v>
          </cell>
          <cell r="L7">
            <v>0</v>
          </cell>
        </row>
        <row r="8">
          <cell r="A8" t="str">
            <v>RS 448</v>
          </cell>
          <cell r="B8">
            <v>270</v>
          </cell>
          <cell r="C8" t="str">
            <v>N</v>
          </cell>
          <cell r="D8" t="str">
            <v>F</v>
          </cell>
          <cell r="E8" t="str">
            <v>Hananiya - Chipoka Bawoli</v>
          </cell>
          <cell r="F8" t="str">
            <v>T305</v>
          </cell>
          <cell r="G8">
            <v>1</v>
          </cell>
          <cell r="H8">
            <v>47</v>
          </cell>
          <cell r="I8" t="str">
            <v>R</v>
          </cell>
          <cell r="J8" t="str">
            <v>RUMPHI</v>
          </cell>
          <cell r="K8" t="str">
            <v>2,3</v>
          </cell>
          <cell r="L8">
            <v>0</v>
          </cell>
        </row>
        <row r="9">
          <cell r="A9" t="str">
            <v>RS 450</v>
          </cell>
          <cell r="B9">
            <v>272</v>
          </cell>
          <cell r="C9" t="str">
            <v>N</v>
          </cell>
          <cell r="D9" t="str">
            <v>F</v>
          </cell>
          <cell r="E9" t="str">
            <v>Phwamphwa - Uzumara - Usowoya - Malongowe River</v>
          </cell>
          <cell r="F9" t="str">
            <v>T306</v>
          </cell>
          <cell r="G9">
            <v>1</v>
          </cell>
          <cell r="H9">
            <v>42.1</v>
          </cell>
          <cell r="I9" t="str">
            <v>H</v>
          </cell>
          <cell r="J9" t="str">
            <v>RUMPHI</v>
          </cell>
          <cell r="K9">
            <v>3</v>
          </cell>
          <cell r="L9">
            <v>0</v>
          </cell>
        </row>
        <row r="10">
          <cell r="A10" t="str">
            <v>RS 449</v>
          </cell>
          <cell r="B10">
            <v>271</v>
          </cell>
          <cell r="C10" t="str">
            <v>N</v>
          </cell>
          <cell r="D10" t="str">
            <v>F</v>
          </cell>
          <cell r="E10" t="str">
            <v>Malongowe River - Bula</v>
          </cell>
          <cell r="F10" t="str">
            <v>T306</v>
          </cell>
          <cell r="G10">
            <v>2</v>
          </cell>
          <cell r="H10">
            <v>19.5</v>
          </cell>
          <cell r="I10" t="str">
            <v>H</v>
          </cell>
          <cell r="J10" t="str">
            <v>MZIMBA</v>
          </cell>
          <cell r="K10">
            <v>3</v>
          </cell>
          <cell r="L10">
            <v>0</v>
          </cell>
        </row>
        <row r="11">
          <cell r="A11" t="str">
            <v>RS 451</v>
          </cell>
          <cell r="B11">
            <v>273</v>
          </cell>
          <cell r="C11" t="str">
            <v>N</v>
          </cell>
          <cell r="D11" t="str">
            <v>F</v>
          </cell>
          <cell r="E11" t="str">
            <v>Njakwa - Mthwalo</v>
          </cell>
          <cell r="F11" t="str">
            <v>T308</v>
          </cell>
          <cell r="G11">
            <v>1</v>
          </cell>
          <cell r="H11">
            <v>44</v>
          </cell>
          <cell r="I11" t="str">
            <v>R</v>
          </cell>
          <cell r="J11" t="str">
            <v>MZIMBA</v>
          </cell>
          <cell r="K11">
            <v>3</v>
          </cell>
          <cell r="L11">
            <v>0</v>
          </cell>
        </row>
        <row r="12">
          <cell r="A12" t="str">
            <v>RS 452</v>
          </cell>
          <cell r="B12">
            <v>274</v>
          </cell>
          <cell r="C12" t="str">
            <v>N</v>
          </cell>
          <cell r="D12" t="str">
            <v>F</v>
          </cell>
          <cell r="E12" t="str">
            <v>Chesamu - Engucwini</v>
          </cell>
          <cell r="F12" t="str">
            <v>T309</v>
          </cell>
          <cell r="G12">
            <v>1</v>
          </cell>
          <cell r="H12">
            <v>30.7</v>
          </cell>
          <cell r="I12" t="str">
            <v>R</v>
          </cell>
          <cell r="J12" t="str">
            <v>MZIMBA</v>
          </cell>
          <cell r="K12">
            <v>3</v>
          </cell>
          <cell r="L12" t="str">
            <v>Changed designation from T413  to M04</v>
          </cell>
        </row>
        <row r="13">
          <cell r="A13" t="str">
            <v>RS 454</v>
          </cell>
          <cell r="B13">
            <v>276</v>
          </cell>
          <cell r="C13" t="str">
            <v>N</v>
          </cell>
          <cell r="D13" t="str">
            <v>F</v>
          </cell>
          <cell r="E13" t="str">
            <v>Hewe - Vwaza Game Camp</v>
          </cell>
          <cell r="F13" t="str">
            <v>T310</v>
          </cell>
          <cell r="G13">
            <v>1</v>
          </cell>
          <cell r="H13">
            <v>41.5</v>
          </cell>
          <cell r="I13" t="str">
            <v>F</v>
          </cell>
          <cell r="J13" t="str">
            <v>RUMPHI</v>
          </cell>
          <cell r="K13" t="str">
            <v>2,3</v>
          </cell>
          <cell r="L13" t="str">
            <v xml:space="preserve">New section part of RS 330 </v>
          </cell>
        </row>
        <row r="14">
          <cell r="A14" t="str">
            <v>RS 453</v>
          </cell>
          <cell r="B14">
            <v>275</v>
          </cell>
          <cell r="C14" t="str">
            <v>N</v>
          </cell>
          <cell r="D14" t="str">
            <v>F</v>
          </cell>
          <cell r="E14" t="str">
            <v>Vwaza Game Camp - Munyanja</v>
          </cell>
          <cell r="F14" t="str">
            <v>T310</v>
          </cell>
          <cell r="G14">
            <v>2</v>
          </cell>
          <cell r="H14">
            <v>22.1</v>
          </cell>
          <cell r="I14" t="str">
            <v>F</v>
          </cell>
          <cell r="J14" t="str">
            <v>MZIMBA</v>
          </cell>
          <cell r="K14">
            <v>3</v>
          </cell>
          <cell r="L14">
            <v>0</v>
          </cell>
        </row>
        <row r="15">
          <cell r="A15" t="str">
            <v>RS 455</v>
          </cell>
          <cell r="B15">
            <v>277</v>
          </cell>
          <cell r="C15" t="str">
            <v>N</v>
          </cell>
          <cell r="D15" t="str">
            <v>F</v>
          </cell>
          <cell r="E15" t="str">
            <v>Munyanja - Sokopo Chinura</v>
          </cell>
          <cell r="F15" t="str">
            <v>T311</v>
          </cell>
          <cell r="G15">
            <v>1</v>
          </cell>
          <cell r="H15">
            <v>29.5</v>
          </cell>
          <cell r="I15" t="str">
            <v>F</v>
          </cell>
          <cell r="J15" t="str">
            <v>MZIMBA</v>
          </cell>
          <cell r="K15">
            <v>3</v>
          </cell>
          <cell r="L15">
            <v>0</v>
          </cell>
        </row>
        <row r="16">
          <cell r="A16" t="str">
            <v>RS 456</v>
          </cell>
          <cell r="B16">
            <v>278</v>
          </cell>
          <cell r="C16" t="str">
            <v>N</v>
          </cell>
          <cell r="D16" t="str">
            <v>F</v>
          </cell>
          <cell r="E16" t="str">
            <v>Yesaya Nkosi - Magodi Nyirenda</v>
          </cell>
          <cell r="F16" t="str">
            <v>T312</v>
          </cell>
          <cell r="G16">
            <v>1</v>
          </cell>
          <cell r="H16">
            <v>22</v>
          </cell>
          <cell r="I16" t="str">
            <v>R</v>
          </cell>
          <cell r="J16" t="str">
            <v>MZIMBA</v>
          </cell>
          <cell r="K16">
            <v>3</v>
          </cell>
          <cell r="L16">
            <v>0</v>
          </cell>
        </row>
        <row r="17">
          <cell r="A17" t="str">
            <v>RS 457</v>
          </cell>
          <cell r="B17">
            <v>279</v>
          </cell>
          <cell r="C17" t="str">
            <v>N</v>
          </cell>
          <cell r="D17" t="str">
            <v>F</v>
          </cell>
          <cell r="E17" t="str">
            <v>Eswazini - Kamchocho Banda</v>
          </cell>
          <cell r="F17" t="str">
            <v>T313</v>
          </cell>
          <cell r="G17">
            <v>1</v>
          </cell>
          <cell r="H17">
            <v>31.1</v>
          </cell>
          <cell r="I17" t="str">
            <v>R</v>
          </cell>
          <cell r="J17" t="str">
            <v>MZIMBA</v>
          </cell>
          <cell r="K17">
            <v>3</v>
          </cell>
          <cell r="L17">
            <v>0</v>
          </cell>
        </row>
        <row r="18">
          <cell r="A18" t="str">
            <v>RS 458</v>
          </cell>
          <cell r="B18">
            <v>280</v>
          </cell>
          <cell r="C18" t="str">
            <v>N</v>
          </cell>
          <cell r="D18" t="str">
            <v>F</v>
          </cell>
          <cell r="E18" t="str">
            <v>Emvuyeni - Emoneni</v>
          </cell>
          <cell r="F18" t="str">
            <v>T314</v>
          </cell>
          <cell r="G18">
            <v>1</v>
          </cell>
          <cell r="H18">
            <v>47</v>
          </cell>
          <cell r="I18" t="str">
            <v>R</v>
          </cell>
          <cell r="J18" t="str">
            <v>MZIMBA</v>
          </cell>
          <cell r="K18">
            <v>3</v>
          </cell>
          <cell r="L18">
            <v>0</v>
          </cell>
        </row>
        <row r="19">
          <cell r="A19" t="str">
            <v>RS 459</v>
          </cell>
          <cell r="B19">
            <v>281</v>
          </cell>
          <cell r="C19" t="str">
            <v>N</v>
          </cell>
          <cell r="D19" t="str">
            <v>F</v>
          </cell>
          <cell r="E19" t="str">
            <v>Mbowe - Mazamba Hill</v>
          </cell>
          <cell r="F19" t="str">
            <v>T315</v>
          </cell>
          <cell r="G19">
            <v>1</v>
          </cell>
          <cell r="H19">
            <v>19.8</v>
          </cell>
          <cell r="I19" t="str">
            <v>R</v>
          </cell>
          <cell r="J19" t="str">
            <v>MZIMBA</v>
          </cell>
          <cell r="K19">
            <v>3</v>
          </cell>
          <cell r="L19">
            <v>0</v>
          </cell>
        </row>
        <row r="20">
          <cell r="A20" t="str">
            <v>RS 460</v>
          </cell>
          <cell r="B20">
            <v>282</v>
          </cell>
          <cell r="C20" t="str">
            <v>N</v>
          </cell>
          <cell r="D20" t="str">
            <v>F</v>
          </cell>
          <cell r="E20" t="str">
            <v>Choma - Chikwina</v>
          </cell>
          <cell r="F20" t="str">
            <v>T316</v>
          </cell>
          <cell r="G20">
            <v>1</v>
          </cell>
          <cell r="H20">
            <v>12.6</v>
          </cell>
          <cell r="I20" t="str">
            <v>R</v>
          </cell>
          <cell r="J20" t="str">
            <v>NKHATA BAY</v>
          </cell>
          <cell r="K20">
            <v>3</v>
          </cell>
          <cell r="L20">
            <v>0</v>
          </cell>
        </row>
        <row r="21">
          <cell r="A21" t="str">
            <v>RS 461</v>
          </cell>
          <cell r="B21">
            <v>283</v>
          </cell>
          <cell r="C21" t="str">
            <v>N</v>
          </cell>
          <cell r="D21" t="str">
            <v>F</v>
          </cell>
          <cell r="E21" t="str">
            <v>Mzenga - Lwazi</v>
          </cell>
          <cell r="F21" t="str">
            <v>T317</v>
          </cell>
          <cell r="G21">
            <v>1</v>
          </cell>
          <cell r="H21">
            <v>23.6</v>
          </cell>
          <cell r="I21" t="str">
            <v>R</v>
          </cell>
          <cell r="J21" t="str">
            <v>NKHATA BAY</v>
          </cell>
          <cell r="K21">
            <v>3</v>
          </cell>
          <cell r="L21">
            <v>0</v>
          </cell>
        </row>
        <row r="22">
          <cell r="A22" t="str">
            <v>RS 463</v>
          </cell>
          <cell r="B22">
            <v>285</v>
          </cell>
          <cell r="C22" t="str">
            <v>N</v>
          </cell>
          <cell r="D22" t="str">
            <v>F</v>
          </cell>
          <cell r="E22" t="str">
            <v>Manyamula - Mbawa</v>
          </cell>
          <cell r="F22" t="str">
            <v>T321</v>
          </cell>
          <cell r="G22">
            <v>1</v>
          </cell>
          <cell r="H22">
            <v>19.100000000000001</v>
          </cell>
          <cell r="I22" t="str">
            <v>F</v>
          </cell>
          <cell r="J22" t="str">
            <v>MZIMBA</v>
          </cell>
          <cell r="K22">
            <v>4</v>
          </cell>
          <cell r="L22" t="str">
            <v>New section part of origional RS 179</v>
          </cell>
        </row>
        <row r="23">
          <cell r="A23" t="str">
            <v>RS 524</v>
          </cell>
          <cell r="B23">
            <v>346</v>
          </cell>
          <cell r="C23" t="str">
            <v>C</v>
          </cell>
          <cell r="D23" t="str">
            <v>F</v>
          </cell>
          <cell r="E23" t="str">
            <v>Kamtuwale - Chimaliro Police</v>
          </cell>
          <cell r="F23" t="str">
            <v>T323</v>
          </cell>
          <cell r="G23">
            <v>1</v>
          </cell>
          <cell r="H23">
            <v>36.1</v>
          </cell>
          <cell r="I23" t="str">
            <v>F</v>
          </cell>
          <cell r="J23" t="str">
            <v>KASUNGU</v>
          </cell>
          <cell r="K23">
            <v>5</v>
          </cell>
          <cell r="L23" t="str">
            <v>New section part of origional RS 179</v>
          </cell>
        </row>
        <row r="24">
          <cell r="A24" t="str">
            <v>RS 525</v>
          </cell>
          <cell r="B24">
            <v>347</v>
          </cell>
          <cell r="C24" t="str">
            <v>C</v>
          </cell>
          <cell r="D24" t="str">
            <v>F</v>
          </cell>
          <cell r="E24" t="str">
            <v>Mphomwa - Kamtuwale</v>
          </cell>
          <cell r="F24" t="str">
            <v>T324</v>
          </cell>
          <cell r="G24">
            <v>1</v>
          </cell>
          <cell r="H24">
            <v>11.3</v>
          </cell>
          <cell r="I24" t="str">
            <v>F</v>
          </cell>
          <cell r="J24" t="str">
            <v>KASUNGU</v>
          </cell>
          <cell r="K24">
            <v>5</v>
          </cell>
          <cell r="L24" t="str">
            <v>End point altered from Mphangara Stream to Chatanga</v>
          </cell>
        </row>
        <row r="25">
          <cell r="A25" t="str">
            <v>RS 528</v>
          </cell>
          <cell r="B25">
            <v>350</v>
          </cell>
          <cell r="C25" t="str">
            <v>C</v>
          </cell>
          <cell r="D25" t="str">
            <v>F</v>
          </cell>
          <cell r="E25" t="str">
            <v>Chasato - General Farming Estate</v>
          </cell>
          <cell r="F25" t="str">
            <v>T325</v>
          </cell>
          <cell r="G25">
            <v>1</v>
          </cell>
          <cell r="H25">
            <v>13.6</v>
          </cell>
          <cell r="I25" t="str">
            <v>F</v>
          </cell>
          <cell r="J25" t="str">
            <v>KASUNGU</v>
          </cell>
          <cell r="K25">
            <v>5</v>
          </cell>
          <cell r="L25">
            <v>0</v>
          </cell>
        </row>
        <row r="26">
          <cell r="A26" t="str">
            <v>RS 526</v>
          </cell>
          <cell r="B26">
            <v>348</v>
          </cell>
          <cell r="C26" t="str">
            <v>C</v>
          </cell>
          <cell r="D26" t="str">
            <v>F</v>
          </cell>
          <cell r="E26" t="str">
            <v>General Farming Estate - Dwangwa River</v>
          </cell>
          <cell r="F26" t="str">
            <v>T325</v>
          </cell>
          <cell r="G26">
            <v>2</v>
          </cell>
          <cell r="H26">
            <v>15.5</v>
          </cell>
          <cell r="I26" t="str">
            <v>R</v>
          </cell>
          <cell r="J26" t="str">
            <v>KASUNGU</v>
          </cell>
          <cell r="K26">
            <v>5</v>
          </cell>
          <cell r="L26">
            <v>0</v>
          </cell>
        </row>
        <row r="27">
          <cell r="A27" t="str">
            <v>RS 527</v>
          </cell>
          <cell r="B27">
            <v>349</v>
          </cell>
          <cell r="C27" t="str">
            <v>C</v>
          </cell>
          <cell r="D27" t="str">
            <v>F</v>
          </cell>
          <cell r="E27" t="str">
            <v>Dwangwa River - Mkanakhoti</v>
          </cell>
          <cell r="F27" t="str">
            <v>T325</v>
          </cell>
          <cell r="G27">
            <v>3</v>
          </cell>
          <cell r="H27">
            <v>16.2</v>
          </cell>
          <cell r="I27" t="str">
            <v>R</v>
          </cell>
          <cell r="J27" t="str">
            <v>KASUNGU</v>
          </cell>
          <cell r="K27">
            <v>5</v>
          </cell>
          <cell r="L27" t="str">
            <v>New section part of origional RS 181</v>
          </cell>
        </row>
        <row r="28">
          <cell r="A28" t="str">
            <v>RS 464</v>
          </cell>
          <cell r="B28">
            <v>286</v>
          </cell>
          <cell r="C28" t="str">
            <v>N</v>
          </cell>
          <cell r="D28" t="str">
            <v>F</v>
          </cell>
          <cell r="E28" t="str">
            <v>Chimaliro Forest-Mabulabo-Chiwandauka -Chombe</v>
          </cell>
          <cell r="F28" t="str">
            <v>T326</v>
          </cell>
          <cell r="G28">
            <v>1</v>
          </cell>
          <cell r="H28">
            <v>41</v>
          </cell>
          <cell r="I28" t="str">
            <v>R</v>
          </cell>
          <cell r="J28" t="str">
            <v>MZIMBA</v>
          </cell>
          <cell r="K28" t="str">
            <v>4,5</v>
          </cell>
          <cell r="L28">
            <v>0</v>
          </cell>
        </row>
        <row r="29">
          <cell r="A29" t="str">
            <v>RS 529</v>
          </cell>
          <cell r="B29">
            <v>351</v>
          </cell>
          <cell r="C29" t="str">
            <v>C</v>
          </cell>
          <cell r="D29" t="str">
            <v>F</v>
          </cell>
          <cell r="E29" t="str">
            <v>Kalula - Mabulabo</v>
          </cell>
          <cell r="F29" t="str">
            <v>T327</v>
          </cell>
          <cell r="G29">
            <v>1</v>
          </cell>
          <cell r="H29">
            <v>12.5</v>
          </cell>
          <cell r="I29" t="str">
            <v>R</v>
          </cell>
          <cell r="J29" t="str">
            <v>KASUNGU/MZIMBA</v>
          </cell>
          <cell r="K29">
            <v>4</v>
          </cell>
          <cell r="L29">
            <v>0</v>
          </cell>
        </row>
        <row r="30">
          <cell r="A30" t="str">
            <v>RS 534</v>
          </cell>
          <cell r="B30">
            <v>356</v>
          </cell>
          <cell r="C30" t="str">
            <v>C</v>
          </cell>
          <cell r="D30" t="str">
            <v>F</v>
          </cell>
          <cell r="E30" t="str">
            <v>Simlemba - Dwangwa River</v>
          </cell>
          <cell r="F30" t="str">
            <v>T328</v>
          </cell>
          <cell r="G30">
            <v>1</v>
          </cell>
          <cell r="H30">
            <v>7</v>
          </cell>
          <cell r="I30" t="str">
            <v>R</v>
          </cell>
          <cell r="J30" t="str">
            <v>KASUNGU</v>
          </cell>
          <cell r="K30">
            <v>5</v>
          </cell>
          <cell r="L30">
            <v>0</v>
          </cell>
        </row>
        <row r="31">
          <cell r="A31" t="str">
            <v>RS 531</v>
          </cell>
          <cell r="B31">
            <v>353</v>
          </cell>
          <cell r="C31" t="str">
            <v>C</v>
          </cell>
          <cell r="D31" t="str">
            <v>F</v>
          </cell>
          <cell r="E31" t="str">
            <v>Dwangwa River - Mwimwila</v>
          </cell>
          <cell r="F31" t="str">
            <v>T328</v>
          </cell>
          <cell r="G31">
            <v>2</v>
          </cell>
          <cell r="H31">
            <v>11</v>
          </cell>
          <cell r="I31" t="str">
            <v>R</v>
          </cell>
          <cell r="J31" t="str">
            <v>KASUNGU</v>
          </cell>
          <cell r="K31">
            <v>5</v>
          </cell>
          <cell r="L31">
            <v>0</v>
          </cell>
        </row>
        <row r="32">
          <cell r="A32" t="str">
            <v>RS 532</v>
          </cell>
          <cell r="B32">
            <v>354</v>
          </cell>
          <cell r="C32" t="str">
            <v>C</v>
          </cell>
          <cell r="D32" t="str">
            <v>F</v>
          </cell>
          <cell r="E32" t="str">
            <v>Mwimwila - Kapwaye</v>
          </cell>
          <cell r="F32" t="str">
            <v>T328</v>
          </cell>
          <cell r="G32">
            <v>3</v>
          </cell>
          <cell r="H32">
            <v>9.6999999999999993</v>
          </cell>
          <cell r="I32" t="str">
            <v>F</v>
          </cell>
          <cell r="J32" t="str">
            <v>KASUNGU</v>
          </cell>
          <cell r="K32">
            <v>5</v>
          </cell>
          <cell r="L32" t="str">
            <v>Changed designation from M5 to M18</v>
          </cell>
        </row>
        <row r="33">
          <cell r="A33" t="str">
            <v>RS 530</v>
          </cell>
          <cell r="B33">
            <v>352</v>
          </cell>
          <cell r="C33" t="str">
            <v>C</v>
          </cell>
          <cell r="D33" t="str">
            <v>F</v>
          </cell>
          <cell r="E33" t="str">
            <v>Kapwaye - Mphepo</v>
          </cell>
          <cell r="F33" t="str">
            <v>T328</v>
          </cell>
          <cell r="G33">
            <v>4</v>
          </cell>
          <cell r="H33">
            <v>21.7</v>
          </cell>
          <cell r="I33" t="str">
            <v>F</v>
          </cell>
          <cell r="J33" t="str">
            <v>KASUNGU</v>
          </cell>
          <cell r="K33">
            <v>5</v>
          </cell>
          <cell r="L33">
            <v>0</v>
          </cell>
        </row>
        <row r="34">
          <cell r="A34" t="str">
            <v>RS 533</v>
          </cell>
          <cell r="B34">
            <v>355</v>
          </cell>
          <cell r="C34" t="str">
            <v>C</v>
          </cell>
          <cell r="D34" t="str">
            <v>F</v>
          </cell>
          <cell r="E34" t="str">
            <v>Mphepo - Chasato</v>
          </cell>
          <cell r="F34" t="str">
            <v>T328</v>
          </cell>
          <cell r="G34">
            <v>5</v>
          </cell>
          <cell r="H34">
            <v>8.3000000000000007</v>
          </cell>
          <cell r="I34" t="str">
            <v>F</v>
          </cell>
          <cell r="J34" t="str">
            <v>KASUNGU</v>
          </cell>
          <cell r="K34">
            <v>5</v>
          </cell>
          <cell r="L34">
            <v>0</v>
          </cell>
        </row>
        <row r="35">
          <cell r="A35" t="str">
            <v>RS 466</v>
          </cell>
          <cell r="B35">
            <v>288</v>
          </cell>
          <cell r="C35" t="str">
            <v>N</v>
          </cell>
          <cell r="D35" t="str">
            <v>F</v>
          </cell>
          <cell r="E35" t="str">
            <v>Nthalire - Zambia border</v>
          </cell>
          <cell r="F35" t="str">
            <v>T331</v>
          </cell>
          <cell r="G35">
            <v>1</v>
          </cell>
          <cell r="H35">
            <v>10</v>
          </cell>
          <cell r="I35" t="str">
            <v>R</v>
          </cell>
          <cell r="J35" t="str">
            <v>CHITIPA</v>
          </cell>
          <cell r="K35">
            <v>2</v>
          </cell>
          <cell r="L35">
            <v>0</v>
          </cell>
        </row>
        <row r="36">
          <cell r="A36" t="str">
            <v>RS 535</v>
          </cell>
          <cell r="B36">
            <v>357</v>
          </cell>
          <cell r="C36" t="str">
            <v>C</v>
          </cell>
          <cell r="D36" t="str">
            <v>F</v>
          </cell>
          <cell r="E36" t="str">
            <v>Mkanda - General Farming Estate 68</v>
          </cell>
          <cell r="F36" t="str">
            <v>T333</v>
          </cell>
          <cell r="G36">
            <v>1</v>
          </cell>
          <cell r="H36">
            <v>16.5</v>
          </cell>
          <cell r="I36" t="str">
            <v>F</v>
          </cell>
          <cell r="J36" t="str">
            <v>MCHINJI</v>
          </cell>
          <cell r="K36">
            <v>5</v>
          </cell>
          <cell r="L36" t="str">
            <v>New section part of RS 225</v>
          </cell>
        </row>
        <row r="37">
          <cell r="A37" t="str">
            <v>RS 536</v>
          </cell>
          <cell r="B37">
            <v>358</v>
          </cell>
          <cell r="C37" t="str">
            <v>C</v>
          </cell>
          <cell r="D37" t="str">
            <v>F</v>
          </cell>
          <cell r="E37" t="str">
            <v>General Farming Estate 68 - Kapezi</v>
          </cell>
          <cell r="F37" t="str">
            <v>T333</v>
          </cell>
          <cell r="G37">
            <v>2</v>
          </cell>
          <cell r="H37">
            <v>20.399999999999999</v>
          </cell>
          <cell r="I37" t="str">
            <v>R</v>
          </cell>
          <cell r="J37" t="str">
            <v>MCHINJI</v>
          </cell>
          <cell r="K37">
            <v>6</v>
          </cell>
          <cell r="L37" t="str">
            <v>Changed designation from S120 to M18. Now by-passed.</v>
          </cell>
        </row>
        <row r="38">
          <cell r="A38" t="str">
            <v>RS 537</v>
          </cell>
          <cell r="B38">
            <v>259</v>
          </cell>
          <cell r="C38" t="str">
            <v>C</v>
          </cell>
          <cell r="D38" t="str">
            <v>F</v>
          </cell>
          <cell r="E38" t="str">
            <v>Chilanga - Kalolo</v>
          </cell>
          <cell r="F38" t="str">
            <v>T335</v>
          </cell>
          <cell r="G38">
            <v>1</v>
          </cell>
          <cell r="H38">
            <v>8.1999999999999993</v>
          </cell>
          <cell r="I38" t="str">
            <v>F</v>
          </cell>
          <cell r="J38" t="str">
            <v>KASUNGU</v>
          </cell>
          <cell r="K38">
            <v>5</v>
          </cell>
          <cell r="L38" t="str">
            <v>Changed to trunk</v>
          </cell>
        </row>
        <row r="39">
          <cell r="A39" t="str">
            <v>RS 538</v>
          </cell>
          <cell r="B39">
            <v>360</v>
          </cell>
          <cell r="C39" t="str">
            <v>C</v>
          </cell>
          <cell r="D39" t="str">
            <v>F</v>
          </cell>
          <cell r="E39" t="str">
            <v>Plaka Estate - Kapiri</v>
          </cell>
          <cell r="F39" t="str">
            <v>T336</v>
          </cell>
          <cell r="G39">
            <v>1</v>
          </cell>
          <cell r="H39">
            <v>28.2</v>
          </cell>
          <cell r="I39" t="str">
            <v>F</v>
          </cell>
          <cell r="J39" t="str">
            <v>MCHINJI</v>
          </cell>
          <cell r="K39">
            <v>5</v>
          </cell>
          <cell r="L39" t="str">
            <v>Contains road designated T322 (on 1:250,000 series map)</v>
          </cell>
        </row>
        <row r="40">
          <cell r="A40" t="str">
            <v>RS 539</v>
          </cell>
          <cell r="B40">
            <v>361</v>
          </cell>
          <cell r="C40" t="str">
            <v>C</v>
          </cell>
          <cell r="D40" t="str">
            <v>F</v>
          </cell>
          <cell r="E40" t="str">
            <v>Malipela - Misozi</v>
          </cell>
          <cell r="F40" t="str">
            <v>T337</v>
          </cell>
          <cell r="G40">
            <v>1</v>
          </cell>
          <cell r="H40">
            <v>9.1</v>
          </cell>
          <cell r="I40" t="str">
            <v>F</v>
          </cell>
          <cell r="J40" t="str">
            <v>KASUNGU</v>
          </cell>
          <cell r="K40">
            <v>5</v>
          </cell>
          <cell r="L40">
            <v>0</v>
          </cell>
        </row>
        <row r="41">
          <cell r="A41" t="str">
            <v>RS 659</v>
          </cell>
          <cell r="B41">
            <v>481</v>
          </cell>
          <cell r="C41" t="str">
            <v>C</v>
          </cell>
          <cell r="D41" t="str">
            <v>F</v>
          </cell>
          <cell r="E41" t="str">
            <v>Misozi - Kasela</v>
          </cell>
          <cell r="F41" t="str">
            <v>T337</v>
          </cell>
          <cell r="G41">
            <v>2</v>
          </cell>
          <cell r="H41">
            <v>14.9</v>
          </cell>
          <cell r="I41" t="str">
            <v>F</v>
          </cell>
          <cell r="J41" t="str">
            <v>KASUNGU</v>
          </cell>
          <cell r="K41">
            <v>5</v>
          </cell>
          <cell r="L41" t="str">
            <v>Changed designation from D194 to T337</v>
          </cell>
        </row>
        <row r="42">
          <cell r="A42" t="str">
            <v>RS 541</v>
          </cell>
          <cell r="B42">
            <v>363</v>
          </cell>
          <cell r="C42" t="str">
            <v>C</v>
          </cell>
          <cell r="D42" t="str">
            <v>F</v>
          </cell>
          <cell r="E42" t="str">
            <v>Mponela - Chososo</v>
          </cell>
          <cell r="F42" t="str">
            <v>T339</v>
          </cell>
          <cell r="G42">
            <v>1</v>
          </cell>
          <cell r="H42">
            <v>26.8</v>
          </cell>
          <cell r="I42" t="str">
            <v>F</v>
          </cell>
          <cell r="J42" t="str">
            <v>NTCHISI</v>
          </cell>
          <cell r="K42">
            <v>5</v>
          </cell>
          <cell r="L42">
            <v>0</v>
          </cell>
        </row>
        <row r="43">
          <cell r="A43" t="str">
            <v>RS 540</v>
          </cell>
          <cell r="B43">
            <v>362</v>
          </cell>
          <cell r="C43" t="str">
            <v>C</v>
          </cell>
          <cell r="D43" t="str">
            <v>F</v>
          </cell>
          <cell r="E43" t="str">
            <v>Guma - Bua River</v>
          </cell>
          <cell r="F43" t="str">
            <v>T339</v>
          </cell>
          <cell r="G43">
            <v>2</v>
          </cell>
          <cell r="H43">
            <v>15</v>
          </cell>
          <cell r="I43" t="str">
            <v>F</v>
          </cell>
          <cell r="J43" t="str">
            <v>NTCHISI</v>
          </cell>
          <cell r="K43">
            <v>5</v>
          </cell>
          <cell r="L43">
            <v>0</v>
          </cell>
        </row>
        <row r="44">
          <cell r="A44" t="str">
            <v>RS 542</v>
          </cell>
          <cell r="B44">
            <v>364</v>
          </cell>
          <cell r="C44" t="str">
            <v>C</v>
          </cell>
          <cell r="D44" t="str">
            <v>F</v>
          </cell>
          <cell r="E44" t="str">
            <v>Bua River - Chambwe</v>
          </cell>
          <cell r="F44" t="str">
            <v>T339</v>
          </cell>
          <cell r="G44">
            <v>3</v>
          </cell>
          <cell r="H44">
            <v>1.6</v>
          </cell>
          <cell r="I44" t="str">
            <v>F</v>
          </cell>
          <cell r="J44" t="str">
            <v>KASUNGU</v>
          </cell>
          <cell r="K44">
            <v>5</v>
          </cell>
          <cell r="L44">
            <v>0</v>
          </cell>
        </row>
        <row r="45">
          <cell r="A45" t="str">
            <v>RS 545</v>
          </cell>
          <cell r="B45">
            <v>367</v>
          </cell>
          <cell r="C45" t="str">
            <v>C</v>
          </cell>
          <cell r="D45" t="str">
            <v>F</v>
          </cell>
          <cell r="E45" t="str">
            <v>junction M7 - Ngombe</v>
          </cell>
          <cell r="F45" t="str">
            <v>T340</v>
          </cell>
          <cell r="G45">
            <v>1</v>
          </cell>
          <cell r="H45">
            <v>11.1</v>
          </cell>
          <cell r="I45" t="str">
            <v>F</v>
          </cell>
          <cell r="J45" t="str">
            <v>NTCHISI</v>
          </cell>
          <cell r="K45">
            <v>5</v>
          </cell>
          <cell r="L45">
            <v>0</v>
          </cell>
        </row>
        <row r="46">
          <cell r="A46" t="str">
            <v>RS 544</v>
          </cell>
          <cell r="B46">
            <v>366</v>
          </cell>
          <cell r="C46" t="str">
            <v>C</v>
          </cell>
          <cell r="D46" t="str">
            <v>F</v>
          </cell>
          <cell r="E46" t="str">
            <v>Ngombe - Kamsonga</v>
          </cell>
          <cell r="F46" t="str">
            <v>T340</v>
          </cell>
          <cell r="G46">
            <v>2</v>
          </cell>
          <cell r="H46">
            <v>9.8000000000000007</v>
          </cell>
          <cell r="I46" t="str">
            <v>F</v>
          </cell>
          <cell r="J46" t="str">
            <v>NTCHISI</v>
          </cell>
          <cell r="K46">
            <v>5</v>
          </cell>
          <cell r="L46">
            <v>0</v>
          </cell>
        </row>
        <row r="47">
          <cell r="A47" t="str">
            <v>RS 546</v>
          </cell>
          <cell r="B47">
            <v>368</v>
          </cell>
          <cell r="C47" t="str">
            <v>C</v>
          </cell>
          <cell r="D47" t="str">
            <v>F</v>
          </cell>
          <cell r="E47" t="str">
            <v>Kamsonga - Chungu (junction M18)</v>
          </cell>
          <cell r="F47" t="str">
            <v>T340</v>
          </cell>
          <cell r="G47">
            <v>3</v>
          </cell>
          <cell r="H47">
            <v>17.899999999999999</v>
          </cell>
          <cell r="I47" t="str">
            <v>F</v>
          </cell>
          <cell r="J47" t="str">
            <v>NTCHISI</v>
          </cell>
          <cell r="K47">
            <v>5</v>
          </cell>
          <cell r="L47" t="str">
            <v>Changed designation from S100 to S101</v>
          </cell>
        </row>
        <row r="48">
          <cell r="A48" t="str">
            <v>RS 553</v>
          </cell>
          <cell r="B48">
            <v>375</v>
          </cell>
          <cell r="C48" t="str">
            <v>C</v>
          </cell>
          <cell r="D48" t="str">
            <v>F</v>
          </cell>
          <cell r="E48" t="str">
            <v>Malenga (junction M18) - Mpamantha</v>
          </cell>
          <cell r="F48" t="str">
            <v>T341</v>
          </cell>
          <cell r="G48">
            <v>1</v>
          </cell>
          <cell r="H48">
            <v>15.9</v>
          </cell>
          <cell r="I48" t="str">
            <v>F</v>
          </cell>
          <cell r="J48" t="str">
            <v>NKHOTA KOTA</v>
          </cell>
          <cell r="K48">
            <v>5</v>
          </cell>
          <cell r="L48">
            <v>0</v>
          </cell>
        </row>
        <row r="49">
          <cell r="A49" t="str">
            <v>RS 548</v>
          </cell>
          <cell r="B49">
            <v>370</v>
          </cell>
          <cell r="C49" t="str">
            <v>C</v>
          </cell>
          <cell r="D49" t="str">
            <v>F</v>
          </cell>
          <cell r="E49" t="str">
            <v>Mpamantha - Luwi River</v>
          </cell>
          <cell r="F49" t="str">
            <v>T341</v>
          </cell>
          <cell r="G49">
            <v>2</v>
          </cell>
          <cell r="H49">
            <v>5.8</v>
          </cell>
          <cell r="I49" t="str">
            <v>F</v>
          </cell>
          <cell r="J49" t="str">
            <v>NKHOTA KOTA</v>
          </cell>
          <cell r="K49">
            <v>5</v>
          </cell>
          <cell r="L49">
            <v>0</v>
          </cell>
        </row>
        <row r="50">
          <cell r="A50" t="str">
            <v>RS 555</v>
          </cell>
          <cell r="B50">
            <v>377</v>
          </cell>
          <cell r="C50" t="str">
            <v>C</v>
          </cell>
          <cell r="D50" t="str">
            <v>F</v>
          </cell>
          <cell r="E50" t="str">
            <v>Luwi River - Chalunda</v>
          </cell>
          <cell r="F50" t="str">
            <v>T341</v>
          </cell>
          <cell r="G50">
            <v>3</v>
          </cell>
          <cell r="H50">
            <v>8</v>
          </cell>
          <cell r="I50" t="str">
            <v>F</v>
          </cell>
          <cell r="J50" t="str">
            <v>NKHOTA KOTA</v>
          </cell>
          <cell r="K50">
            <v>5</v>
          </cell>
          <cell r="L50">
            <v>0</v>
          </cell>
        </row>
        <row r="51">
          <cell r="A51" t="str">
            <v>RS 554</v>
          </cell>
          <cell r="B51">
            <v>376</v>
          </cell>
          <cell r="C51" t="str">
            <v>C</v>
          </cell>
          <cell r="D51" t="str">
            <v>F</v>
          </cell>
          <cell r="E51" t="str">
            <v>Chalunda - Gomadzi</v>
          </cell>
          <cell r="F51" t="str">
            <v>T341</v>
          </cell>
          <cell r="G51">
            <v>4</v>
          </cell>
          <cell r="H51">
            <v>5.4</v>
          </cell>
          <cell r="I51" t="str">
            <v>F</v>
          </cell>
          <cell r="J51" t="str">
            <v>NKHOTA KOTA</v>
          </cell>
          <cell r="K51">
            <v>5</v>
          </cell>
          <cell r="L51">
            <v>0</v>
          </cell>
        </row>
        <row r="52">
          <cell r="A52" t="str">
            <v>RS 549</v>
          </cell>
          <cell r="B52">
            <v>371</v>
          </cell>
          <cell r="C52" t="str">
            <v>C</v>
          </cell>
          <cell r="D52" t="str">
            <v>F</v>
          </cell>
          <cell r="E52" t="str">
            <v>Gomadzi - Kayoyo</v>
          </cell>
          <cell r="F52" t="str">
            <v>T341</v>
          </cell>
          <cell r="G52">
            <v>5</v>
          </cell>
          <cell r="H52">
            <v>8.6999999999999993</v>
          </cell>
          <cell r="I52" t="str">
            <v>F</v>
          </cell>
          <cell r="J52" t="str">
            <v>NKHOTA KOTA</v>
          </cell>
          <cell r="K52">
            <v>5</v>
          </cell>
          <cell r="L52">
            <v>0</v>
          </cell>
        </row>
        <row r="53">
          <cell r="A53" t="str">
            <v>RS 551</v>
          </cell>
          <cell r="B53">
            <v>373</v>
          </cell>
          <cell r="C53" t="str">
            <v>C</v>
          </cell>
          <cell r="D53" t="str">
            <v>F</v>
          </cell>
          <cell r="E53" t="str">
            <v>Kayoyo - Mwasambo</v>
          </cell>
          <cell r="F53" t="str">
            <v>T341</v>
          </cell>
          <cell r="G53">
            <v>6</v>
          </cell>
          <cell r="H53">
            <v>15.4</v>
          </cell>
          <cell r="I53" t="str">
            <v>F</v>
          </cell>
          <cell r="J53" t="str">
            <v>NKHOTA KOTA</v>
          </cell>
          <cell r="K53">
            <v>5</v>
          </cell>
          <cell r="L53">
            <v>0</v>
          </cell>
        </row>
        <row r="54">
          <cell r="A54" t="str">
            <v>RS 547</v>
          </cell>
          <cell r="B54">
            <v>369</v>
          </cell>
          <cell r="C54" t="str">
            <v>C</v>
          </cell>
          <cell r="D54" t="str">
            <v>F</v>
          </cell>
          <cell r="E54" t="str">
            <v>Mwasambo - Kasakula</v>
          </cell>
          <cell r="F54" t="str">
            <v>T341</v>
          </cell>
          <cell r="G54">
            <v>7</v>
          </cell>
          <cell r="H54">
            <v>5.0999999999999996</v>
          </cell>
          <cell r="I54" t="str">
            <v>F</v>
          </cell>
          <cell r="J54" t="str">
            <v>NKHOTA KOTA</v>
          </cell>
          <cell r="K54">
            <v>5</v>
          </cell>
          <cell r="L54">
            <v>0</v>
          </cell>
        </row>
        <row r="55">
          <cell r="A55" t="str">
            <v>RS 552</v>
          </cell>
          <cell r="B55">
            <v>374</v>
          </cell>
          <cell r="C55" t="str">
            <v>C</v>
          </cell>
          <cell r="D55" t="str">
            <v>F</v>
          </cell>
          <cell r="E55" t="str">
            <v>Kasakula - Chithembwe Village</v>
          </cell>
          <cell r="F55" t="str">
            <v>T341</v>
          </cell>
          <cell r="G55">
            <v>8</v>
          </cell>
          <cell r="H55">
            <v>12.2</v>
          </cell>
          <cell r="I55" t="str">
            <v>H</v>
          </cell>
          <cell r="J55" t="str">
            <v>NICHISI</v>
          </cell>
          <cell r="K55">
            <v>5</v>
          </cell>
          <cell r="L55">
            <v>0</v>
          </cell>
        </row>
        <row r="56">
          <cell r="A56" t="str">
            <v>RS 550</v>
          </cell>
          <cell r="B56">
            <v>372</v>
          </cell>
          <cell r="C56" t="str">
            <v>C</v>
          </cell>
          <cell r="D56" t="str">
            <v>F</v>
          </cell>
          <cell r="E56" t="str">
            <v>Chithembwe Village - Mbonekela (junction M7)</v>
          </cell>
          <cell r="F56" t="str">
            <v>T341</v>
          </cell>
          <cell r="G56">
            <v>9</v>
          </cell>
          <cell r="H56">
            <v>17.8</v>
          </cell>
          <cell r="I56" t="str">
            <v>H</v>
          </cell>
          <cell r="J56" t="str">
            <v>NTCHISI</v>
          </cell>
          <cell r="K56">
            <v>5</v>
          </cell>
          <cell r="L56">
            <v>0</v>
          </cell>
        </row>
        <row r="57">
          <cell r="A57" t="str">
            <v>RS 556</v>
          </cell>
          <cell r="B57">
            <v>378</v>
          </cell>
          <cell r="C57" t="str">
            <v>C</v>
          </cell>
          <cell r="D57" t="str">
            <v>F</v>
          </cell>
          <cell r="E57" t="str">
            <v>Kamwendo - Chiwoshya</v>
          </cell>
          <cell r="F57" t="str">
            <v>T342</v>
          </cell>
          <cell r="G57">
            <v>1</v>
          </cell>
          <cell r="H57">
            <v>17.5</v>
          </cell>
          <cell r="I57" t="str">
            <v>F</v>
          </cell>
          <cell r="J57" t="str">
            <v>MCHINJI</v>
          </cell>
          <cell r="K57">
            <v>6</v>
          </cell>
          <cell r="L57">
            <v>0</v>
          </cell>
        </row>
        <row r="58">
          <cell r="A58" t="str">
            <v>RS 557</v>
          </cell>
          <cell r="B58">
            <v>379</v>
          </cell>
          <cell r="C58" t="str">
            <v>C</v>
          </cell>
          <cell r="D58" t="str">
            <v>F</v>
          </cell>
          <cell r="E58" t="str">
            <v>Chiwoshya - Bua River (Near Mphanga)</v>
          </cell>
          <cell r="F58" t="str">
            <v>T342</v>
          </cell>
          <cell r="G58">
            <v>2</v>
          </cell>
          <cell r="H58">
            <v>8.9</v>
          </cell>
          <cell r="I58" t="str">
            <v>F</v>
          </cell>
          <cell r="J58" t="str">
            <v>MCHINJI</v>
          </cell>
          <cell r="K58">
            <v>6</v>
          </cell>
          <cell r="L58">
            <v>0</v>
          </cell>
        </row>
        <row r="59">
          <cell r="A59" t="str">
            <v>RS 558</v>
          </cell>
          <cell r="B59">
            <v>380</v>
          </cell>
          <cell r="C59" t="str">
            <v>C</v>
          </cell>
          <cell r="D59" t="str">
            <v>F</v>
          </cell>
          <cell r="E59" t="str">
            <v>Kasiya - Tonde</v>
          </cell>
          <cell r="F59" t="str">
            <v>T342</v>
          </cell>
          <cell r="G59">
            <v>3</v>
          </cell>
          <cell r="H59">
            <v>11</v>
          </cell>
          <cell r="I59" t="str">
            <v>F</v>
          </cell>
          <cell r="J59" t="str">
            <v>LILONGWE</v>
          </cell>
          <cell r="K59">
            <v>6</v>
          </cell>
          <cell r="L59">
            <v>0</v>
          </cell>
        </row>
        <row r="60">
          <cell r="A60" t="str">
            <v>RS 560</v>
          </cell>
          <cell r="B60">
            <v>382</v>
          </cell>
          <cell r="C60" t="str">
            <v>C</v>
          </cell>
          <cell r="D60" t="str">
            <v>F</v>
          </cell>
          <cell r="E60" t="str">
            <v>Mung'ona - Chiwoshya</v>
          </cell>
          <cell r="F60" t="str">
            <v>T343</v>
          </cell>
          <cell r="G60">
            <v>1</v>
          </cell>
          <cell r="H60">
            <v>18</v>
          </cell>
          <cell r="I60" t="str">
            <v>F</v>
          </cell>
          <cell r="J60" t="str">
            <v>MCHINJI</v>
          </cell>
          <cell r="K60">
            <v>6</v>
          </cell>
          <cell r="L60">
            <v>0</v>
          </cell>
        </row>
        <row r="61">
          <cell r="A61" t="str">
            <v>RS 559</v>
          </cell>
          <cell r="B61">
            <v>381</v>
          </cell>
          <cell r="C61" t="str">
            <v>C</v>
          </cell>
          <cell r="D61" t="str">
            <v>F</v>
          </cell>
          <cell r="E61" t="str">
            <v>Chiwoshya - Mavwere</v>
          </cell>
          <cell r="F61" t="str">
            <v>T343</v>
          </cell>
          <cell r="G61">
            <v>2</v>
          </cell>
          <cell r="H61">
            <v>15</v>
          </cell>
          <cell r="I61" t="str">
            <v>F</v>
          </cell>
          <cell r="J61" t="str">
            <v>MCHINJI</v>
          </cell>
          <cell r="K61">
            <v>6</v>
          </cell>
          <cell r="L61">
            <v>0</v>
          </cell>
        </row>
        <row r="62">
          <cell r="A62" t="str">
            <v>RS 561</v>
          </cell>
          <cell r="B62">
            <v>383</v>
          </cell>
          <cell r="C62" t="str">
            <v>C</v>
          </cell>
          <cell r="D62" t="str">
            <v>F</v>
          </cell>
          <cell r="E62" t="str">
            <v>Mavwere - Msitu</v>
          </cell>
          <cell r="F62" t="str">
            <v>T343</v>
          </cell>
          <cell r="G62">
            <v>3</v>
          </cell>
          <cell r="H62">
            <v>8.3000000000000007</v>
          </cell>
          <cell r="I62" t="str">
            <v>F</v>
          </cell>
          <cell r="J62" t="str">
            <v>MCHINJI</v>
          </cell>
          <cell r="K62">
            <v>6</v>
          </cell>
          <cell r="L62">
            <v>0</v>
          </cell>
        </row>
        <row r="63">
          <cell r="A63" t="str">
            <v>RS 562</v>
          </cell>
          <cell r="B63">
            <v>384</v>
          </cell>
          <cell r="C63" t="str">
            <v>C</v>
          </cell>
          <cell r="D63" t="str">
            <v>F</v>
          </cell>
          <cell r="E63" t="str">
            <v>Majiga - Daminga - junction D187</v>
          </cell>
          <cell r="F63" t="str">
            <v>T344</v>
          </cell>
          <cell r="G63">
            <v>1</v>
          </cell>
          <cell r="H63">
            <v>26</v>
          </cell>
          <cell r="I63" t="str">
            <v>F</v>
          </cell>
          <cell r="J63" t="str">
            <v>LILONGWE</v>
          </cell>
          <cell r="K63">
            <v>6</v>
          </cell>
          <cell r="L63" t="str">
            <v>Changed designation from M16 to S115</v>
          </cell>
        </row>
        <row r="64">
          <cell r="A64" t="str">
            <v>RS 563</v>
          </cell>
          <cell r="B64">
            <v>385</v>
          </cell>
          <cell r="C64" t="str">
            <v>C</v>
          </cell>
          <cell r="D64" t="str">
            <v>F</v>
          </cell>
          <cell r="E64" t="str">
            <v>Chileka (junction M12) - Mingondo T. C.</v>
          </cell>
          <cell r="F64" t="str">
            <v>T345</v>
          </cell>
          <cell r="G64">
            <v>1</v>
          </cell>
          <cell r="H64">
            <v>10.199999999999999</v>
          </cell>
          <cell r="I64" t="str">
            <v>F</v>
          </cell>
          <cell r="J64" t="str">
            <v>LILONGWE</v>
          </cell>
          <cell r="K64">
            <v>6</v>
          </cell>
          <cell r="L64">
            <v>0</v>
          </cell>
        </row>
        <row r="65">
          <cell r="A65" t="str">
            <v>RS 567</v>
          </cell>
          <cell r="B65">
            <v>389</v>
          </cell>
          <cell r="C65" t="str">
            <v>C</v>
          </cell>
          <cell r="D65" t="str">
            <v>F</v>
          </cell>
          <cell r="E65" t="str">
            <v>Mingondo T. C. - Likuni River</v>
          </cell>
          <cell r="F65" t="str">
            <v>T345</v>
          </cell>
          <cell r="G65">
            <v>2</v>
          </cell>
          <cell r="H65">
            <v>7.9</v>
          </cell>
          <cell r="I65" t="str">
            <v>F</v>
          </cell>
          <cell r="J65" t="str">
            <v>LILONGWE</v>
          </cell>
          <cell r="K65">
            <v>6</v>
          </cell>
          <cell r="L65">
            <v>0</v>
          </cell>
        </row>
        <row r="66">
          <cell r="A66" t="str">
            <v>RS 565</v>
          </cell>
          <cell r="B66">
            <v>387</v>
          </cell>
          <cell r="C66" t="str">
            <v>C</v>
          </cell>
          <cell r="D66" t="str">
            <v>F</v>
          </cell>
          <cell r="E66" t="str">
            <v>Likuni River - Njoka</v>
          </cell>
          <cell r="F66" t="str">
            <v>T345</v>
          </cell>
          <cell r="G66">
            <v>3</v>
          </cell>
          <cell r="H66">
            <v>8.4</v>
          </cell>
          <cell r="I66" t="str">
            <v>F</v>
          </cell>
          <cell r="J66" t="str">
            <v>LILONGWE</v>
          </cell>
          <cell r="K66">
            <v>6</v>
          </cell>
          <cell r="L66">
            <v>0</v>
          </cell>
        </row>
        <row r="67">
          <cell r="A67" t="str">
            <v>RS 566</v>
          </cell>
          <cell r="B67">
            <v>388</v>
          </cell>
          <cell r="C67" t="str">
            <v>C</v>
          </cell>
          <cell r="D67" t="str">
            <v>F</v>
          </cell>
          <cell r="E67" t="str">
            <v>Njoka - Malingunde (junction S124)</v>
          </cell>
          <cell r="F67" t="str">
            <v>T345</v>
          </cell>
          <cell r="G67">
            <v>4</v>
          </cell>
          <cell r="H67">
            <v>9.6999999999999993</v>
          </cell>
          <cell r="I67" t="str">
            <v>F</v>
          </cell>
          <cell r="J67" t="str">
            <v>LILONGWE</v>
          </cell>
          <cell r="K67">
            <v>6</v>
          </cell>
          <cell r="L67">
            <v>0</v>
          </cell>
        </row>
        <row r="68">
          <cell r="A68" t="str">
            <v>RS 569</v>
          </cell>
          <cell r="B68">
            <v>391</v>
          </cell>
          <cell r="C68" t="str">
            <v>C</v>
          </cell>
          <cell r="D68" t="str">
            <v>F</v>
          </cell>
          <cell r="E68" t="str">
            <v>Kayabwa - Badwa River</v>
          </cell>
          <cell r="F68" t="str">
            <v>T346</v>
          </cell>
          <cell r="G68">
            <v>1</v>
          </cell>
          <cell r="H68">
            <v>7.3</v>
          </cell>
          <cell r="I68" t="str">
            <v>F</v>
          </cell>
          <cell r="J68" t="str">
            <v>LILONGWE</v>
          </cell>
          <cell r="K68">
            <v>6</v>
          </cell>
          <cell r="L68">
            <v>0</v>
          </cell>
        </row>
        <row r="69">
          <cell r="A69" t="str">
            <v>RS 568</v>
          </cell>
          <cell r="B69">
            <v>390</v>
          </cell>
          <cell r="C69" t="str">
            <v>C</v>
          </cell>
          <cell r="D69" t="str">
            <v>F</v>
          </cell>
          <cell r="E69" t="str">
            <v>Badwa River - Mika</v>
          </cell>
          <cell r="F69" t="str">
            <v>T346</v>
          </cell>
          <cell r="G69">
            <v>2</v>
          </cell>
          <cell r="H69">
            <v>7.3</v>
          </cell>
          <cell r="I69" t="str">
            <v>F</v>
          </cell>
          <cell r="J69" t="str">
            <v>LILONGWE</v>
          </cell>
          <cell r="K69">
            <v>6</v>
          </cell>
          <cell r="L69">
            <v>0</v>
          </cell>
        </row>
        <row r="70">
          <cell r="A70" t="str">
            <v>RS 570</v>
          </cell>
          <cell r="B70">
            <v>382</v>
          </cell>
          <cell r="C70" t="str">
            <v>C</v>
          </cell>
          <cell r="D70" t="str">
            <v>F</v>
          </cell>
          <cell r="E70" t="str">
            <v xml:space="preserve">Mika - Kalonga </v>
          </cell>
          <cell r="F70" t="str">
            <v>T346</v>
          </cell>
          <cell r="G70">
            <v>3</v>
          </cell>
          <cell r="H70">
            <v>2.8</v>
          </cell>
          <cell r="I70" t="str">
            <v>F</v>
          </cell>
          <cell r="J70" t="str">
            <v>LILONGWE</v>
          </cell>
          <cell r="K70">
            <v>6</v>
          </cell>
          <cell r="L70">
            <v>0</v>
          </cell>
        </row>
        <row r="71">
          <cell r="A71" t="str">
            <v>RS 571</v>
          </cell>
          <cell r="B71">
            <v>393</v>
          </cell>
          <cell r="C71" t="str">
            <v>C</v>
          </cell>
          <cell r="D71" t="str">
            <v>F</v>
          </cell>
          <cell r="E71" t="str">
            <v>Mutu - Mwalilakwacha</v>
          </cell>
          <cell r="F71" t="str">
            <v>T347</v>
          </cell>
          <cell r="G71">
            <v>1</v>
          </cell>
          <cell r="H71">
            <v>26</v>
          </cell>
          <cell r="I71" t="str">
            <v>F</v>
          </cell>
          <cell r="J71" t="str">
            <v>LILONGWE</v>
          </cell>
          <cell r="K71">
            <v>6</v>
          </cell>
          <cell r="L71">
            <v>0</v>
          </cell>
        </row>
        <row r="72">
          <cell r="A72" t="str">
            <v>RS 572</v>
          </cell>
          <cell r="B72">
            <v>394</v>
          </cell>
          <cell r="C72" t="str">
            <v>C</v>
          </cell>
          <cell r="D72" t="str">
            <v>F</v>
          </cell>
          <cell r="E72" t="str">
            <v>Mponela - Mkulumimba</v>
          </cell>
          <cell r="F72" t="str">
            <v>T348</v>
          </cell>
          <cell r="G72">
            <v>1</v>
          </cell>
          <cell r="H72">
            <v>23.7</v>
          </cell>
          <cell r="I72" t="str">
            <v>F</v>
          </cell>
          <cell r="J72" t="str">
            <v>DOWA</v>
          </cell>
          <cell r="K72">
            <v>6</v>
          </cell>
          <cell r="L72">
            <v>0</v>
          </cell>
        </row>
        <row r="73">
          <cell r="A73" t="str">
            <v>RS 258</v>
          </cell>
          <cell r="B73">
            <v>80</v>
          </cell>
          <cell r="C73" t="str">
            <v>C</v>
          </cell>
          <cell r="D73" t="str">
            <v>F</v>
          </cell>
          <cell r="E73" t="str">
            <v>Kasuntha - Mkulumimba</v>
          </cell>
          <cell r="F73" t="str">
            <v>T349</v>
          </cell>
          <cell r="G73">
            <v>1</v>
          </cell>
          <cell r="H73">
            <v>11.6</v>
          </cell>
          <cell r="I73" t="str">
            <v>FL</v>
          </cell>
          <cell r="J73" t="str">
            <v>DOWA</v>
          </cell>
          <cell r="K73" t="str">
            <v>5,6</v>
          </cell>
          <cell r="L73" t="str">
            <v>Changed designation from S120 to T349</v>
          </cell>
        </row>
        <row r="74">
          <cell r="A74" t="str">
            <v>RS 573</v>
          </cell>
          <cell r="B74">
            <v>395</v>
          </cell>
          <cell r="C74" t="str">
            <v>C</v>
          </cell>
          <cell r="D74" t="str">
            <v>F</v>
          </cell>
          <cell r="E74" t="str">
            <v>Mponera - Ntchisi</v>
          </cell>
          <cell r="F74" t="str">
            <v>T350</v>
          </cell>
          <cell r="G74">
            <v>1</v>
          </cell>
          <cell r="H74">
            <v>40</v>
          </cell>
          <cell r="I74" t="str">
            <v>FL</v>
          </cell>
          <cell r="J74" t="str">
            <v>DOWA</v>
          </cell>
          <cell r="K74">
            <v>5</v>
          </cell>
          <cell r="L74">
            <v>0</v>
          </cell>
        </row>
        <row r="75">
          <cell r="A75" t="str">
            <v>RS 576</v>
          </cell>
          <cell r="B75">
            <v>398</v>
          </cell>
          <cell r="C75" t="str">
            <v>C</v>
          </cell>
          <cell r="D75" t="str">
            <v>F</v>
          </cell>
          <cell r="E75" t="str">
            <v>Mchinji Customs (junction M12) - Chikoka</v>
          </cell>
          <cell r="F75" t="str">
            <v>T351</v>
          </cell>
          <cell r="G75">
            <v>1</v>
          </cell>
          <cell r="H75">
            <v>9</v>
          </cell>
          <cell r="I75" t="str">
            <v>FL</v>
          </cell>
          <cell r="J75" t="str">
            <v>MCHINJI</v>
          </cell>
          <cell r="K75">
            <v>6</v>
          </cell>
          <cell r="L75">
            <v>0</v>
          </cell>
        </row>
        <row r="76">
          <cell r="A76" t="str">
            <v>RS 574</v>
          </cell>
          <cell r="B76">
            <v>396</v>
          </cell>
          <cell r="C76" t="str">
            <v>C</v>
          </cell>
          <cell r="D76" t="str">
            <v>F</v>
          </cell>
          <cell r="E76" t="str">
            <v>Chikoka - Likawe</v>
          </cell>
          <cell r="F76" t="str">
            <v>T351</v>
          </cell>
          <cell r="G76">
            <v>2</v>
          </cell>
          <cell r="H76">
            <v>6.5</v>
          </cell>
          <cell r="I76" t="str">
            <v>FL</v>
          </cell>
          <cell r="J76" t="str">
            <v>MCHINJI</v>
          </cell>
          <cell r="K76">
            <v>6</v>
          </cell>
          <cell r="L76">
            <v>0</v>
          </cell>
        </row>
        <row r="77">
          <cell r="A77" t="str">
            <v>RS 577</v>
          </cell>
          <cell r="B77">
            <v>399</v>
          </cell>
          <cell r="C77" t="str">
            <v>C</v>
          </cell>
          <cell r="D77" t="str">
            <v>F</v>
          </cell>
          <cell r="E77" t="str">
            <v>Likawe - Ulele</v>
          </cell>
          <cell r="F77" t="str">
            <v>T351</v>
          </cell>
          <cell r="G77">
            <v>3</v>
          </cell>
          <cell r="H77">
            <v>39.6</v>
          </cell>
          <cell r="I77" t="str">
            <v>FL</v>
          </cell>
          <cell r="J77" t="str">
            <v>MCHINJI</v>
          </cell>
          <cell r="K77">
            <v>6</v>
          </cell>
          <cell r="L77">
            <v>0</v>
          </cell>
        </row>
        <row r="78">
          <cell r="A78" t="str">
            <v>RS 575</v>
          </cell>
          <cell r="B78">
            <v>397</v>
          </cell>
          <cell r="C78" t="str">
            <v>C</v>
          </cell>
          <cell r="D78" t="str">
            <v>F</v>
          </cell>
          <cell r="E78" t="str">
            <v>Ulele - Kamwendo (junction M12)</v>
          </cell>
          <cell r="F78" t="str">
            <v>T351</v>
          </cell>
          <cell r="G78">
            <v>4</v>
          </cell>
          <cell r="H78">
            <v>14.8</v>
          </cell>
          <cell r="I78" t="str">
            <v>FL</v>
          </cell>
          <cell r="J78" t="str">
            <v>MCHINJI</v>
          </cell>
          <cell r="K78">
            <v>6</v>
          </cell>
          <cell r="L78">
            <v>0</v>
          </cell>
        </row>
        <row r="79">
          <cell r="A79" t="str">
            <v>RS 578</v>
          </cell>
          <cell r="B79">
            <v>400</v>
          </cell>
          <cell r="C79" t="str">
            <v>C</v>
          </cell>
          <cell r="D79" t="str">
            <v>F</v>
          </cell>
          <cell r="E79" t="str">
            <v>Benga (junction M5) - Juma</v>
          </cell>
          <cell r="F79" t="str">
            <v>T355</v>
          </cell>
          <cell r="G79">
            <v>1</v>
          </cell>
          <cell r="H79">
            <v>2.8</v>
          </cell>
          <cell r="I79" t="str">
            <v>FL</v>
          </cell>
          <cell r="J79" t="str">
            <v>NKHOTA KOTA</v>
          </cell>
          <cell r="K79">
            <v>5</v>
          </cell>
          <cell r="L79">
            <v>0</v>
          </cell>
        </row>
        <row r="80">
          <cell r="A80" t="str">
            <v>RS 579</v>
          </cell>
          <cell r="B80">
            <v>401</v>
          </cell>
          <cell r="C80" t="str">
            <v>C</v>
          </cell>
          <cell r="D80" t="str">
            <v>F</v>
          </cell>
          <cell r="E80" t="str">
            <v>Juma - Suluwi</v>
          </cell>
          <cell r="F80" t="str">
            <v>T355</v>
          </cell>
          <cell r="G80">
            <v>2</v>
          </cell>
          <cell r="H80">
            <v>8</v>
          </cell>
          <cell r="I80" t="str">
            <v>FL</v>
          </cell>
          <cell r="J80" t="str">
            <v>NKHOTA KOTA</v>
          </cell>
          <cell r="K80">
            <v>5</v>
          </cell>
          <cell r="L80">
            <v>0</v>
          </cell>
        </row>
        <row r="81">
          <cell r="A81" t="str">
            <v>RS 591</v>
          </cell>
          <cell r="B81">
            <v>413</v>
          </cell>
          <cell r="C81" t="str">
            <v>C</v>
          </cell>
          <cell r="D81" t="str">
            <v>F</v>
          </cell>
          <cell r="E81" t="str">
            <v>Suluwi - Kachisoka (junction M5)</v>
          </cell>
          <cell r="F81" t="str">
            <v>T355</v>
          </cell>
          <cell r="G81">
            <v>3</v>
          </cell>
          <cell r="H81">
            <v>9.5</v>
          </cell>
          <cell r="I81" t="str">
            <v>FL</v>
          </cell>
          <cell r="J81" t="str">
            <v>NKHOTA KOTA</v>
          </cell>
          <cell r="K81">
            <v>7</v>
          </cell>
          <cell r="L81" t="str">
            <v>Changed designation from T358 to T355</v>
          </cell>
        </row>
        <row r="82">
          <cell r="A82" t="str">
            <v>RS 580</v>
          </cell>
          <cell r="B82">
            <v>402</v>
          </cell>
          <cell r="C82" t="str">
            <v>C</v>
          </cell>
          <cell r="D82" t="str">
            <v>F</v>
          </cell>
          <cell r="E82" t="str">
            <v>Kanyenyeva (junction M14) - Chitala River Bridge</v>
          </cell>
          <cell r="F82" t="str">
            <v>T356</v>
          </cell>
          <cell r="G82">
            <v>1</v>
          </cell>
          <cell r="H82">
            <v>8.1999999999999993</v>
          </cell>
          <cell r="I82" t="str">
            <v>FL</v>
          </cell>
          <cell r="J82" t="str">
            <v>DOWA</v>
          </cell>
          <cell r="K82">
            <v>6</v>
          </cell>
          <cell r="L82">
            <v>0</v>
          </cell>
        </row>
        <row r="83">
          <cell r="A83" t="str">
            <v>RS 581</v>
          </cell>
          <cell r="B83">
            <v>403</v>
          </cell>
          <cell r="C83" t="str">
            <v>C</v>
          </cell>
          <cell r="D83" t="str">
            <v>F</v>
          </cell>
          <cell r="E83" t="str">
            <v>Chitala River Bridge - Sambo</v>
          </cell>
          <cell r="F83" t="str">
            <v>T356</v>
          </cell>
          <cell r="G83">
            <v>2</v>
          </cell>
          <cell r="H83">
            <v>12</v>
          </cell>
          <cell r="I83" t="str">
            <v>FL</v>
          </cell>
          <cell r="J83" t="str">
            <v>SALIMA</v>
          </cell>
          <cell r="K83">
            <v>6</v>
          </cell>
          <cell r="L83">
            <v>0</v>
          </cell>
        </row>
        <row r="84">
          <cell r="A84" t="str">
            <v>RS 582</v>
          </cell>
          <cell r="B84">
            <v>404</v>
          </cell>
          <cell r="C84" t="str">
            <v>C</v>
          </cell>
          <cell r="D84" t="str">
            <v>F</v>
          </cell>
          <cell r="E84" t="str">
            <v>Sambo - Nkhombedza (junction M5)</v>
          </cell>
          <cell r="F84" t="str">
            <v>T356</v>
          </cell>
          <cell r="G84">
            <v>3</v>
          </cell>
          <cell r="H84">
            <v>5.9</v>
          </cell>
          <cell r="I84" t="str">
            <v>FL</v>
          </cell>
          <cell r="J84" t="str">
            <v>SALIMA</v>
          </cell>
          <cell r="K84">
            <v>6</v>
          </cell>
          <cell r="L84">
            <v>0</v>
          </cell>
        </row>
        <row r="85">
          <cell r="A85" t="str">
            <v>RS 585</v>
          </cell>
          <cell r="B85">
            <v>407</v>
          </cell>
          <cell r="C85" t="str">
            <v>C</v>
          </cell>
          <cell r="D85" t="str">
            <v>F</v>
          </cell>
          <cell r="E85" t="str">
            <v>Chipemedza - Salima railway crossing</v>
          </cell>
          <cell r="F85" t="str">
            <v>T357</v>
          </cell>
          <cell r="G85">
            <v>1</v>
          </cell>
          <cell r="H85">
            <v>1.6</v>
          </cell>
          <cell r="I85" t="str">
            <v>FL</v>
          </cell>
          <cell r="J85" t="str">
            <v>SALIMA</v>
          </cell>
          <cell r="K85">
            <v>7</v>
          </cell>
          <cell r="L85">
            <v>0</v>
          </cell>
        </row>
        <row r="86">
          <cell r="A86" t="str">
            <v>RS 583</v>
          </cell>
          <cell r="B86">
            <v>405</v>
          </cell>
          <cell r="C86" t="str">
            <v>C</v>
          </cell>
          <cell r="D86" t="str">
            <v>F</v>
          </cell>
          <cell r="E86" t="str">
            <v>Salima railway crossing - Cherani</v>
          </cell>
          <cell r="F86" t="str">
            <v>T357</v>
          </cell>
          <cell r="G86">
            <v>2</v>
          </cell>
          <cell r="H86">
            <v>8.3000000000000007</v>
          </cell>
          <cell r="I86" t="str">
            <v>FL</v>
          </cell>
          <cell r="J86" t="str">
            <v>SALIMA</v>
          </cell>
          <cell r="K86">
            <v>7</v>
          </cell>
          <cell r="L86">
            <v>0</v>
          </cell>
        </row>
        <row r="87">
          <cell r="A87" t="str">
            <v>RS 584</v>
          </cell>
          <cell r="B87">
            <v>406</v>
          </cell>
          <cell r="C87" t="str">
            <v>C</v>
          </cell>
          <cell r="D87" t="str">
            <v>F</v>
          </cell>
          <cell r="E87" t="str">
            <v>Cherani - Kachulu</v>
          </cell>
          <cell r="F87" t="str">
            <v>T357</v>
          </cell>
          <cell r="G87">
            <v>3</v>
          </cell>
          <cell r="H87">
            <v>10.4</v>
          </cell>
          <cell r="I87" t="str">
            <v>FL</v>
          </cell>
          <cell r="J87" t="str">
            <v>SALIMA</v>
          </cell>
          <cell r="K87">
            <v>7</v>
          </cell>
          <cell r="L87">
            <v>0</v>
          </cell>
        </row>
        <row r="88">
          <cell r="A88" t="str">
            <v>RS 663</v>
          </cell>
          <cell r="B88">
            <v>485</v>
          </cell>
          <cell r="C88" t="str">
            <v>C</v>
          </cell>
          <cell r="D88" t="str">
            <v>F</v>
          </cell>
          <cell r="E88" t="str">
            <v>Kachulu - Lifuwu</v>
          </cell>
          <cell r="F88" t="str">
            <v>T357</v>
          </cell>
          <cell r="G88">
            <v>3</v>
          </cell>
          <cell r="H88">
            <v>7</v>
          </cell>
          <cell r="I88" t="str">
            <v>FL</v>
          </cell>
          <cell r="J88" t="str">
            <v>SALIMA</v>
          </cell>
          <cell r="K88">
            <v>7</v>
          </cell>
          <cell r="L88" t="str">
            <v>Changed designation from D276 to T357</v>
          </cell>
        </row>
        <row r="89">
          <cell r="A89" t="str">
            <v>RS 587</v>
          </cell>
          <cell r="B89">
            <v>409</v>
          </cell>
          <cell r="C89" t="str">
            <v>C</v>
          </cell>
          <cell r="D89" t="str">
            <v>F</v>
          </cell>
          <cell r="E89" t="str">
            <v>Lifuwu - Mikute</v>
          </cell>
          <cell r="F89" t="str">
            <v>T357</v>
          </cell>
          <cell r="G89">
            <v>5</v>
          </cell>
          <cell r="H89">
            <v>9.6</v>
          </cell>
          <cell r="I89" t="str">
            <v>FL</v>
          </cell>
          <cell r="J89" t="str">
            <v>SALIMA</v>
          </cell>
          <cell r="K89">
            <v>7</v>
          </cell>
          <cell r="L89" t="str">
            <v>Changed designation from T358 to T357</v>
          </cell>
        </row>
        <row r="90">
          <cell r="A90" t="str">
            <v>RS 586</v>
          </cell>
          <cell r="B90">
            <v>408</v>
          </cell>
          <cell r="C90" t="str">
            <v>C</v>
          </cell>
          <cell r="D90" t="str">
            <v>F</v>
          </cell>
          <cell r="E90" t="str">
            <v>Mikute - Nafulu</v>
          </cell>
          <cell r="F90" t="str">
            <v>T358</v>
          </cell>
          <cell r="G90">
            <v>1</v>
          </cell>
          <cell r="H90">
            <v>2.7</v>
          </cell>
          <cell r="I90" t="str">
            <v>FL</v>
          </cell>
          <cell r="J90" t="str">
            <v>SALIMA</v>
          </cell>
          <cell r="K90">
            <v>7</v>
          </cell>
          <cell r="L90">
            <v>0</v>
          </cell>
        </row>
        <row r="91">
          <cell r="A91" t="str">
            <v>RS 590</v>
          </cell>
          <cell r="B91">
            <v>412</v>
          </cell>
          <cell r="C91" t="str">
            <v>C</v>
          </cell>
          <cell r="D91" t="str">
            <v>F</v>
          </cell>
          <cell r="E91" t="str">
            <v>Nafulu - Kachule</v>
          </cell>
          <cell r="F91" t="str">
            <v>T358</v>
          </cell>
          <cell r="G91">
            <v>2</v>
          </cell>
          <cell r="H91">
            <v>10.5</v>
          </cell>
          <cell r="I91" t="str">
            <v>FL</v>
          </cell>
          <cell r="J91" t="str">
            <v>SALIMA</v>
          </cell>
          <cell r="K91">
            <v>7</v>
          </cell>
          <cell r="L91">
            <v>0</v>
          </cell>
        </row>
        <row r="92">
          <cell r="A92" t="str">
            <v>RS 589</v>
          </cell>
          <cell r="B92">
            <v>411</v>
          </cell>
          <cell r="C92" t="str">
            <v>C</v>
          </cell>
          <cell r="D92" t="str">
            <v>F</v>
          </cell>
          <cell r="E92" t="str">
            <v>Kachule - Maganga</v>
          </cell>
          <cell r="F92" t="str">
            <v>T358</v>
          </cell>
          <cell r="G92">
            <v>3</v>
          </cell>
          <cell r="H92">
            <v>2.4</v>
          </cell>
          <cell r="I92" t="str">
            <v>FL</v>
          </cell>
          <cell r="J92" t="str">
            <v>SALIMA</v>
          </cell>
          <cell r="K92">
            <v>7</v>
          </cell>
          <cell r="L92">
            <v>0</v>
          </cell>
        </row>
        <row r="93">
          <cell r="A93" t="str">
            <v>RS 588</v>
          </cell>
          <cell r="B93">
            <v>410</v>
          </cell>
          <cell r="C93" t="str">
            <v>C</v>
          </cell>
          <cell r="D93" t="str">
            <v>F</v>
          </cell>
          <cell r="E93" t="str">
            <v>Kachule - Chipemedza</v>
          </cell>
          <cell r="F93" t="str">
            <v>T358</v>
          </cell>
          <cell r="G93">
            <v>4</v>
          </cell>
          <cell r="H93">
            <v>10.8</v>
          </cell>
          <cell r="I93" t="str">
            <v>FL</v>
          </cell>
          <cell r="J93" t="str">
            <v>SALIMA</v>
          </cell>
          <cell r="K93">
            <v>7</v>
          </cell>
          <cell r="L93">
            <v>0</v>
          </cell>
        </row>
        <row r="94">
          <cell r="A94" t="str">
            <v>RS 594</v>
          </cell>
          <cell r="B94">
            <v>416</v>
          </cell>
          <cell r="C94" t="str">
            <v>C</v>
          </cell>
          <cell r="D94" t="str">
            <v>F</v>
          </cell>
          <cell r="E94" t="str">
            <v>Mpeya T.C - Kalembera</v>
          </cell>
          <cell r="F94" t="str">
            <v>T363</v>
          </cell>
          <cell r="G94">
            <v>1</v>
          </cell>
          <cell r="H94">
            <v>9.1999999999999993</v>
          </cell>
          <cell r="I94" t="str">
            <v>R</v>
          </cell>
          <cell r="J94" t="str">
            <v>LILONGWE</v>
          </cell>
          <cell r="K94">
            <v>6</v>
          </cell>
          <cell r="L94" t="str">
            <v>Section start changed to exclude Chendawaka Road (RS 154)</v>
          </cell>
        </row>
        <row r="95">
          <cell r="A95" t="str">
            <v>RS 593</v>
          </cell>
          <cell r="B95">
            <v>415</v>
          </cell>
          <cell r="C95" t="str">
            <v>C</v>
          </cell>
          <cell r="D95" t="str">
            <v>F</v>
          </cell>
          <cell r="E95" t="str">
            <v>Kalembera - Lundu</v>
          </cell>
          <cell r="F95" t="str">
            <v>T363</v>
          </cell>
          <cell r="G95">
            <v>2</v>
          </cell>
          <cell r="H95">
            <v>5.8</v>
          </cell>
          <cell r="I95" t="str">
            <v>R</v>
          </cell>
          <cell r="J95" t="str">
            <v>LILONGWE</v>
          </cell>
          <cell r="K95">
            <v>6</v>
          </cell>
          <cell r="L95">
            <v>0</v>
          </cell>
        </row>
        <row r="96">
          <cell r="A96" t="str">
            <v>RS 596</v>
          </cell>
          <cell r="B96">
            <v>418</v>
          </cell>
          <cell r="C96" t="str">
            <v>C</v>
          </cell>
          <cell r="D96" t="str">
            <v>F</v>
          </cell>
          <cell r="E96" t="str">
            <v>Samu (junction M12) - Kanyelele</v>
          </cell>
          <cell r="F96" t="str">
            <v>T364</v>
          </cell>
          <cell r="G96">
            <v>1</v>
          </cell>
          <cell r="H96">
            <v>5.7</v>
          </cell>
          <cell r="I96" t="str">
            <v>FL</v>
          </cell>
          <cell r="J96" t="str">
            <v>LILONGWE</v>
          </cell>
          <cell r="K96">
            <v>6</v>
          </cell>
          <cell r="L96">
            <v>0</v>
          </cell>
        </row>
        <row r="97">
          <cell r="A97" t="str">
            <v>RS 595</v>
          </cell>
          <cell r="B97">
            <v>417</v>
          </cell>
          <cell r="C97" t="str">
            <v>C</v>
          </cell>
          <cell r="D97" t="str">
            <v>F</v>
          </cell>
          <cell r="E97" t="str">
            <v>Kanyelele - Nakura</v>
          </cell>
          <cell r="F97" t="str">
            <v>T364</v>
          </cell>
          <cell r="G97">
            <v>2</v>
          </cell>
          <cell r="H97">
            <v>5.9</v>
          </cell>
          <cell r="I97" t="str">
            <v>FL</v>
          </cell>
          <cell r="J97" t="str">
            <v>LILONGWE</v>
          </cell>
          <cell r="K97">
            <v>6</v>
          </cell>
          <cell r="L97" t="str">
            <v>Changed junction road designation from M5</v>
          </cell>
        </row>
        <row r="98">
          <cell r="A98" t="str">
            <v>RS 669</v>
          </cell>
          <cell r="B98">
            <v>491</v>
          </cell>
          <cell r="C98" t="str">
            <v>C</v>
          </cell>
          <cell r="D98" t="str">
            <v>F</v>
          </cell>
          <cell r="E98" t="str">
            <v>Nakula - Kakoma</v>
          </cell>
          <cell r="F98" t="str">
            <v>T364</v>
          </cell>
          <cell r="G98">
            <v>3</v>
          </cell>
          <cell r="H98">
            <v>8.4</v>
          </cell>
          <cell r="I98" t="str">
            <v>FL</v>
          </cell>
          <cell r="J98" t="str">
            <v>LILONGWE</v>
          </cell>
          <cell r="K98">
            <v>6</v>
          </cell>
          <cell r="L98" t="str">
            <v>Changed designation from UDX to T364</v>
          </cell>
        </row>
        <row r="99">
          <cell r="A99" t="str">
            <v>RS 597</v>
          </cell>
          <cell r="B99">
            <v>419</v>
          </cell>
          <cell r="C99" t="str">
            <v>C</v>
          </cell>
          <cell r="D99" t="str">
            <v>F</v>
          </cell>
          <cell r="E99" t="str">
            <v>Kakoma - Njoka</v>
          </cell>
          <cell r="F99" t="str">
            <v>T364</v>
          </cell>
          <cell r="G99">
            <v>4</v>
          </cell>
          <cell r="H99">
            <v>11.9</v>
          </cell>
          <cell r="I99" t="str">
            <v>FL</v>
          </cell>
          <cell r="J99" t="str">
            <v>LILONGWE</v>
          </cell>
          <cell r="K99">
            <v>6</v>
          </cell>
          <cell r="L99">
            <v>0</v>
          </cell>
        </row>
        <row r="100">
          <cell r="A100" t="str">
            <v>RS 604</v>
          </cell>
          <cell r="B100">
            <v>426</v>
          </cell>
          <cell r="C100" t="str">
            <v>C</v>
          </cell>
          <cell r="D100" t="str">
            <v>F</v>
          </cell>
          <cell r="E100" t="str">
            <v>Kbyzala Village - Chizandu</v>
          </cell>
          <cell r="F100" t="str">
            <v>T366</v>
          </cell>
          <cell r="G100">
            <v>1</v>
          </cell>
          <cell r="H100">
            <v>12.1</v>
          </cell>
          <cell r="I100" t="str">
            <v>FL</v>
          </cell>
          <cell r="J100" t="str">
            <v>LILONGWE</v>
          </cell>
          <cell r="K100">
            <v>6</v>
          </cell>
          <cell r="L100">
            <v>0</v>
          </cell>
        </row>
        <row r="101">
          <cell r="A101" t="str">
            <v>RS 603</v>
          </cell>
          <cell r="B101">
            <v>425</v>
          </cell>
          <cell r="C101" t="str">
            <v>C</v>
          </cell>
          <cell r="D101" t="str">
            <v>F</v>
          </cell>
          <cell r="E101" t="str">
            <v>Chizandu - Kambanizithe</v>
          </cell>
          <cell r="F101" t="str">
            <v>T366</v>
          </cell>
          <cell r="G101">
            <v>2</v>
          </cell>
          <cell r="H101">
            <v>8.6999999999999993</v>
          </cell>
          <cell r="I101" t="str">
            <v>FL</v>
          </cell>
          <cell r="J101" t="str">
            <v>LILONGWE</v>
          </cell>
          <cell r="K101">
            <v>6</v>
          </cell>
          <cell r="L101" t="str">
            <v>Changed designation from D198 to S124</v>
          </cell>
        </row>
        <row r="102">
          <cell r="A102" t="str">
            <v>RS 601</v>
          </cell>
          <cell r="B102">
            <v>423</v>
          </cell>
          <cell r="C102" t="str">
            <v>C</v>
          </cell>
          <cell r="D102" t="str">
            <v>F</v>
          </cell>
          <cell r="E102" t="str">
            <v>Kambanizithe - Diamphwe River bridge</v>
          </cell>
          <cell r="F102" t="str">
            <v>T366</v>
          </cell>
          <cell r="G102">
            <v>3</v>
          </cell>
          <cell r="H102">
            <v>7.7</v>
          </cell>
          <cell r="I102" t="str">
            <v>FL</v>
          </cell>
          <cell r="J102" t="str">
            <v>LILONGWE</v>
          </cell>
          <cell r="K102">
            <v>6</v>
          </cell>
          <cell r="L102">
            <v>0</v>
          </cell>
        </row>
        <row r="103">
          <cell r="A103" t="str">
            <v>RS 598</v>
          </cell>
          <cell r="B103">
            <v>420</v>
          </cell>
          <cell r="C103" t="str">
            <v>C</v>
          </cell>
          <cell r="D103" t="str">
            <v>F</v>
          </cell>
          <cell r="E103" t="str">
            <v>Diamphwe River bridge - Kafere</v>
          </cell>
          <cell r="F103" t="str">
            <v>T366</v>
          </cell>
          <cell r="G103">
            <v>4</v>
          </cell>
          <cell r="H103">
            <v>12.2</v>
          </cell>
          <cell r="I103" t="str">
            <v>FL</v>
          </cell>
          <cell r="J103" t="str">
            <v>DEDZA</v>
          </cell>
          <cell r="K103">
            <v>6</v>
          </cell>
          <cell r="L103">
            <v>0</v>
          </cell>
        </row>
        <row r="104">
          <cell r="A104" t="str">
            <v>RS 602</v>
          </cell>
          <cell r="B104">
            <v>424</v>
          </cell>
          <cell r="C104" t="str">
            <v>C</v>
          </cell>
          <cell r="D104" t="str">
            <v>F</v>
          </cell>
          <cell r="E104" t="str">
            <v>Kafere - Dzalanyama</v>
          </cell>
          <cell r="F104" t="str">
            <v>T366</v>
          </cell>
          <cell r="G104">
            <v>5</v>
          </cell>
          <cell r="H104">
            <v>3.3</v>
          </cell>
          <cell r="I104" t="str">
            <v>FL</v>
          </cell>
          <cell r="J104" t="str">
            <v>DEDZA</v>
          </cell>
          <cell r="K104">
            <v>6</v>
          </cell>
          <cell r="L104">
            <v>0</v>
          </cell>
        </row>
        <row r="105">
          <cell r="A105" t="str">
            <v>RS 599</v>
          </cell>
          <cell r="B105">
            <v>421</v>
          </cell>
          <cell r="C105" t="str">
            <v>C</v>
          </cell>
          <cell r="D105" t="str">
            <v>F</v>
          </cell>
          <cell r="E105" t="str">
            <v>Dzalanyama - Mtengowagwa</v>
          </cell>
          <cell r="F105" t="str">
            <v>T366</v>
          </cell>
          <cell r="G105">
            <v>6</v>
          </cell>
          <cell r="H105">
            <v>31.3</v>
          </cell>
          <cell r="I105" t="str">
            <v>FL</v>
          </cell>
          <cell r="J105" t="str">
            <v>DEDZA</v>
          </cell>
          <cell r="K105">
            <v>6</v>
          </cell>
          <cell r="L105">
            <v>0</v>
          </cell>
        </row>
        <row r="106">
          <cell r="A106" t="str">
            <v>RS 662</v>
          </cell>
          <cell r="B106">
            <v>484</v>
          </cell>
          <cell r="C106" t="str">
            <v>C</v>
          </cell>
          <cell r="D106" t="str">
            <v>F</v>
          </cell>
          <cell r="E106" t="str">
            <v>Mtengowagwa - Mikonde</v>
          </cell>
          <cell r="F106" t="str">
            <v>T366</v>
          </cell>
          <cell r="G106">
            <v>7</v>
          </cell>
          <cell r="H106">
            <v>2.8</v>
          </cell>
          <cell r="I106" t="str">
            <v>FL</v>
          </cell>
          <cell r="J106" t="str">
            <v>DEDZA</v>
          </cell>
          <cell r="K106">
            <v>6</v>
          </cell>
          <cell r="L106" t="str">
            <v>Changed designation from D209 to T366</v>
          </cell>
        </row>
        <row r="107">
          <cell r="A107" t="str">
            <v>RS 600</v>
          </cell>
          <cell r="B107">
            <v>422</v>
          </cell>
          <cell r="C107" t="str">
            <v>C</v>
          </cell>
          <cell r="D107" t="str">
            <v>F</v>
          </cell>
          <cell r="E107" t="str">
            <v>Mikonde - Njonja</v>
          </cell>
          <cell r="F107" t="str">
            <v>T366</v>
          </cell>
          <cell r="G107">
            <v>8</v>
          </cell>
          <cell r="H107">
            <v>6.2</v>
          </cell>
          <cell r="I107" t="str">
            <v>FL</v>
          </cell>
          <cell r="J107" t="str">
            <v>DEDZA</v>
          </cell>
          <cell r="K107">
            <v>6</v>
          </cell>
          <cell r="L107">
            <v>0</v>
          </cell>
        </row>
        <row r="108">
          <cell r="A108" t="str">
            <v>RS 668</v>
          </cell>
          <cell r="B108">
            <v>490</v>
          </cell>
          <cell r="C108" t="str">
            <v>C</v>
          </cell>
          <cell r="D108" t="str">
            <v>F</v>
          </cell>
          <cell r="E108" t="str">
            <v>Mbala - Kambanizithe</v>
          </cell>
          <cell r="F108" t="str">
            <v>T367</v>
          </cell>
          <cell r="G108">
            <v>1</v>
          </cell>
          <cell r="H108">
            <v>8.1999999999999993</v>
          </cell>
          <cell r="I108" t="str">
            <v>FL</v>
          </cell>
          <cell r="J108" t="str">
            <v>LILONGWE</v>
          </cell>
          <cell r="K108">
            <v>6</v>
          </cell>
          <cell r="L108" t="str">
            <v>Changed designation from UD to T367.</v>
          </cell>
        </row>
        <row r="109">
          <cell r="A109" t="str">
            <v>RS 605</v>
          </cell>
          <cell r="B109">
            <v>427</v>
          </cell>
          <cell r="C109" t="str">
            <v>C</v>
          </cell>
          <cell r="D109" t="str">
            <v>F</v>
          </cell>
          <cell r="E109" t="str">
            <v>Diamphwe River - Mtengowangwa</v>
          </cell>
          <cell r="F109" t="str">
            <v>T368</v>
          </cell>
          <cell r="G109">
            <v>1</v>
          </cell>
          <cell r="H109">
            <v>18.600000000000001</v>
          </cell>
          <cell r="I109" t="str">
            <v>FL</v>
          </cell>
          <cell r="J109" t="str">
            <v>DEDZA</v>
          </cell>
          <cell r="K109">
            <v>6</v>
          </cell>
          <cell r="L109">
            <v>0</v>
          </cell>
        </row>
        <row r="110">
          <cell r="A110" t="str">
            <v>RS 608</v>
          </cell>
          <cell r="B110">
            <v>430</v>
          </cell>
          <cell r="C110" t="str">
            <v>C</v>
          </cell>
          <cell r="D110" t="str">
            <v>F</v>
          </cell>
          <cell r="E110" t="str">
            <v>Chalendewa - Nanjiri River</v>
          </cell>
          <cell r="F110" t="str">
            <v>T369</v>
          </cell>
          <cell r="G110">
            <v>1</v>
          </cell>
          <cell r="H110">
            <v>6.3</v>
          </cell>
          <cell r="I110" t="str">
            <v>FL</v>
          </cell>
          <cell r="J110" t="str">
            <v>LILONGWE</v>
          </cell>
          <cell r="K110">
            <v>6</v>
          </cell>
          <cell r="L110">
            <v>0</v>
          </cell>
        </row>
        <row r="111">
          <cell r="A111" t="str">
            <v>RS 607</v>
          </cell>
          <cell r="B111">
            <v>429</v>
          </cell>
          <cell r="C111" t="str">
            <v>C</v>
          </cell>
          <cell r="D111" t="str">
            <v>F</v>
          </cell>
          <cell r="E111" t="str">
            <v>Nanjiri River - Perete</v>
          </cell>
          <cell r="F111" t="str">
            <v>T369</v>
          </cell>
          <cell r="G111">
            <v>2</v>
          </cell>
          <cell r="H111">
            <v>9</v>
          </cell>
          <cell r="I111" t="str">
            <v>FL</v>
          </cell>
          <cell r="J111" t="str">
            <v>LILONGWE</v>
          </cell>
          <cell r="K111">
            <v>6</v>
          </cell>
          <cell r="L111">
            <v>0</v>
          </cell>
        </row>
        <row r="112">
          <cell r="A112" t="str">
            <v>RS 606</v>
          </cell>
          <cell r="B112">
            <v>428</v>
          </cell>
          <cell r="C112" t="str">
            <v>C</v>
          </cell>
          <cell r="D112" t="str">
            <v>F</v>
          </cell>
          <cell r="E112" t="str">
            <v>Perete - Chiwoko</v>
          </cell>
          <cell r="F112" t="str">
            <v>T369</v>
          </cell>
          <cell r="G112">
            <v>3</v>
          </cell>
          <cell r="H112">
            <v>5.9</v>
          </cell>
          <cell r="I112" t="str">
            <v>FL</v>
          </cell>
          <cell r="J112" t="str">
            <v>LILONGWE</v>
          </cell>
          <cell r="K112">
            <v>6</v>
          </cell>
          <cell r="L112">
            <v>0</v>
          </cell>
        </row>
        <row r="113">
          <cell r="A113" t="str">
            <v>RS 664</v>
          </cell>
          <cell r="B113">
            <v>486</v>
          </cell>
          <cell r="C113" t="str">
            <v>C</v>
          </cell>
          <cell r="D113" t="str">
            <v>F</v>
          </cell>
          <cell r="E113" t="str">
            <v>Kalumba T/Off (junction M1) - Chikhombe</v>
          </cell>
          <cell r="F113" t="str">
            <v>T370</v>
          </cell>
          <cell r="G113">
            <v>1</v>
          </cell>
          <cell r="H113">
            <v>10.5</v>
          </cell>
          <cell r="I113" t="str">
            <v>C</v>
          </cell>
          <cell r="J113" t="str">
            <v>LILONGWE</v>
          </cell>
          <cell r="K113">
            <v>8</v>
          </cell>
          <cell r="L113" t="str">
            <v>Changed designation from D370 to T370</v>
          </cell>
        </row>
        <row r="114">
          <cell r="A114" t="str">
            <v>RS 665</v>
          </cell>
          <cell r="B114">
            <v>487</v>
          </cell>
          <cell r="C114" t="str">
            <v>C</v>
          </cell>
          <cell r="D114" t="str">
            <v>F</v>
          </cell>
          <cell r="E114" t="str">
            <v>Chikhombe - Chiwoko</v>
          </cell>
          <cell r="F114" t="str">
            <v>T370</v>
          </cell>
          <cell r="G114">
            <v>2</v>
          </cell>
          <cell r="H114">
            <v>10.4</v>
          </cell>
          <cell r="I114" t="str">
            <v>C</v>
          </cell>
          <cell r="J114" t="str">
            <v>LILONGWE</v>
          </cell>
          <cell r="K114">
            <v>8</v>
          </cell>
          <cell r="L114" t="str">
            <v>Changed designation from D370 to T370</v>
          </cell>
        </row>
        <row r="115">
          <cell r="A115" t="str">
            <v>RS 609</v>
          </cell>
          <cell r="B115">
            <v>431</v>
          </cell>
          <cell r="C115" t="str">
            <v>C</v>
          </cell>
          <cell r="D115" t="str">
            <v>F</v>
          </cell>
          <cell r="E115" t="str">
            <v>Chiwoko - Chisendera</v>
          </cell>
          <cell r="F115" t="str">
            <v>T370</v>
          </cell>
          <cell r="G115">
            <v>3</v>
          </cell>
          <cell r="H115">
            <v>8</v>
          </cell>
          <cell r="I115" t="str">
            <v>FL</v>
          </cell>
          <cell r="J115" t="str">
            <v>LILONGWE</v>
          </cell>
          <cell r="K115">
            <v>6</v>
          </cell>
          <cell r="L115">
            <v>0</v>
          </cell>
        </row>
        <row r="116">
          <cell r="A116" t="str">
            <v>RS 614</v>
          </cell>
          <cell r="B116">
            <v>436</v>
          </cell>
          <cell r="C116" t="str">
            <v>C</v>
          </cell>
          <cell r="D116" t="str">
            <v>F</v>
          </cell>
          <cell r="E116" t="str">
            <v>junction M1 - Kakolo</v>
          </cell>
          <cell r="F116" t="str">
            <v>T372</v>
          </cell>
          <cell r="G116">
            <v>1</v>
          </cell>
          <cell r="H116">
            <v>7.7</v>
          </cell>
          <cell r="I116" t="str">
            <v>FL</v>
          </cell>
          <cell r="J116" t="str">
            <v>DEDZA</v>
          </cell>
          <cell r="K116">
            <v>6</v>
          </cell>
          <cell r="L116">
            <v>0</v>
          </cell>
        </row>
        <row r="117">
          <cell r="A117" t="str">
            <v>RS 616</v>
          </cell>
          <cell r="B117">
            <v>438</v>
          </cell>
          <cell r="C117" t="str">
            <v>C</v>
          </cell>
          <cell r="D117" t="str">
            <v>F</v>
          </cell>
          <cell r="E117" t="str">
            <v>Kakolo - Nkhonga</v>
          </cell>
          <cell r="F117" t="str">
            <v>T372</v>
          </cell>
          <cell r="G117">
            <v>2</v>
          </cell>
          <cell r="H117">
            <v>5.4</v>
          </cell>
          <cell r="I117" t="str">
            <v>FL</v>
          </cell>
          <cell r="J117" t="str">
            <v>DEDZA</v>
          </cell>
          <cell r="K117">
            <v>6</v>
          </cell>
          <cell r="L117">
            <v>0</v>
          </cell>
        </row>
        <row r="118">
          <cell r="A118" t="str">
            <v>RS 610</v>
          </cell>
          <cell r="B118">
            <v>432</v>
          </cell>
          <cell r="C118" t="str">
            <v>C</v>
          </cell>
          <cell r="D118" t="str">
            <v>F</v>
          </cell>
          <cell r="E118" t="str">
            <v>Mpatamilonde - Mpalale</v>
          </cell>
          <cell r="F118" t="str">
            <v>T372</v>
          </cell>
          <cell r="G118">
            <v>3</v>
          </cell>
          <cell r="H118">
            <v>20.3</v>
          </cell>
          <cell r="I118" t="str">
            <v>H</v>
          </cell>
          <cell r="J118" t="str">
            <v>DEDZA</v>
          </cell>
          <cell r="K118">
            <v>6</v>
          </cell>
          <cell r="L118">
            <v>0</v>
          </cell>
        </row>
        <row r="119">
          <cell r="A119" t="str">
            <v>RS 612</v>
          </cell>
          <cell r="B119">
            <v>434</v>
          </cell>
          <cell r="C119" t="str">
            <v>C</v>
          </cell>
          <cell r="D119" t="str">
            <v>F</v>
          </cell>
          <cell r="E119" t="str">
            <v>Mpalale - Dedza</v>
          </cell>
          <cell r="F119" t="str">
            <v>T372</v>
          </cell>
          <cell r="G119">
            <v>4</v>
          </cell>
          <cell r="H119">
            <v>7.5</v>
          </cell>
          <cell r="I119" t="str">
            <v>H</v>
          </cell>
          <cell r="J119" t="str">
            <v>DEDZA</v>
          </cell>
          <cell r="K119">
            <v>6</v>
          </cell>
          <cell r="L119">
            <v>0</v>
          </cell>
        </row>
        <row r="120">
          <cell r="A120" t="str">
            <v>RS 265</v>
          </cell>
          <cell r="B120">
            <v>87</v>
          </cell>
          <cell r="C120" t="str">
            <v>C</v>
          </cell>
          <cell r="D120" t="str">
            <v>F</v>
          </cell>
          <cell r="E120" t="str">
            <v>Chamadenga - Katete River</v>
          </cell>
          <cell r="F120" t="str">
            <v>T373</v>
          </cell>
          <cell r="G120">
            <v>1</v>
          </cell>
          <cell r="H120">
            <v>6.3</v>
          </cell>
          <cell r="I120" t="str">
            <v>FL</v>
          </cell>
          <cell r="J120" t="str">
            <v>LILONGWE</v>
          </cell>
          <cell r="K120">
            <v>6</v>
          </cell>
          <cell r="L120" t="str">
            <v>Changed designation from S121 to T373</v>
          </cell>
        </row>
        <row r="121">
          <cell r="A121" t="str">
            <v>RS 266</v>
          </cell>
          <cell r="B121">
            <v>88</v>
          </cell>
          <cell r="C121" t="str">
            <v>C</v>
          </cell>
          <cell r="D121" t="str">
            <v>F</v>
          </cell>
          <cell r="E121" t="str">
            <v>Katete River - Linthipe River Bridge</v>
          </cell>
          <cell r="F121" t="str">
            <v>T373</v>
          </cell>
          <cell r="G121">
            <v>2</v>
          </cell>
          <cell r="H121">
            <v>2.8</v>
          </cell>
          <cell r="I121" t="str">
            <v>R</v>
          </cell>
          <cell r="J121" t="str">
            <v>LILONGWE</v>
          </cell>
          <cell r="K121">
            <v>6</v>
          </cell>
          <cell r="L121" t="str">
            <v>Changed designation from S121 to T373</v>
          </cell>
        </row>
        <row r="122">
          <cell r="A122" t="str">
            <v>RS 619</v>
          </cell>
          <cell r="B122">
            <v>441</v>
          </cell>
          <cell r="C122" t="str">
            <v>C</v>
          </cell>
          <cell r="D122" t="str">
            <v>F</v>
          </cell>
          <cell r="E122" t="str">
            <v>Linthipe River River - Livuwadzi River (North)</v>
          </cell>
          <cell r="F122" t="str">
            <v>T373</v>
          </cell>
          <cell r="G122">
            <v>3</v>
          </cell>
          <cell r="H122">
            <v>5.6</v>
          </cell>
          <cell r="I122" t="str">
            <v>FL</v>
          </cell>
          <cell r="J122" t="str">
            <v>DEDZA</v>
          </cell>
          <cell r="K122">
            <v>6</v>
          </cell>
          <cell r="L122">
            <v>0</v>
          </cell>
        </row>
        <row r="123">
          <cell r="A123" t="str">
            <v>RS 620</v>
          </cell>
          <cell r="B123">
            <v>442</v>
          </cell>
          <cell r="C123" t="str">
            <v>C</v>
          </cell>
          <cell r="D123" t="str">
            <v>F</v>
          </cell>
          <cell r="E123" t="str">
            <v>Livuwadzi River (North) - Chilanga</v>
          </cell>
          <cell r="F123" t="str">
            <v>T373</v>
          </cell>
          <cell r="G123">
            <v>4</v>
          </cell>
          <cell r="H123">
            <v>4.7</v>
          </cell>
          <cell r="I123" t="str">
            <v>FL</v>
          </cell>
          <cell r="J123" t="str">
            <v>DEDZA</v>
          </cell>
          <cell r="K123">
            <v>6</v>
          </cell>
          <cell r="L123">
            <v>0</v>
          </cell>
        </row>
        <row r="124">
          <cell r="A124" t="str">
            <v>RS 618</v>
          </cell>
          <cell r="B124">
            <v>440</v>
          </cell>
          <cell r="C124" t="str">
            <v>C</v>
          </cell>
          <cell r="D124" t="str">
            <v>F</v>
          </cell>
          <cell r="E124" t="str">
            <v>Nkhonga - Livuwadzi river (South)</v>
          </cell>
          <cell r="F124" t="str">
            <v>T373</v>
          </cell>
          <cell r="G124">
            <v>5</v>
          </cell>
          <cell r="H124">
            <v>5.7</v>
          </cell>
          <cell r="I124" t="str">
            <v>R</v>
          </cell>
          <cell r="J124" t="str">
            <v>DEDZA</v>
          </cell>
          <cell r="K124">
            <v>6</v>
          </cell>
          <cell r="L124">
            <v>0</v>
          </cell>
        </row>
        <row r="125">
          <cell r="A125" t="str">
            <v>RS 617</v>
          </cell>
          <cell r="B125">
            <v>439</v>
          </cell>
          <cell r="C125" t="str">
            <v>C</v>
          </cell>
          <cell r="D125" t="str">
            <v>F</v>
          </cell>
          <cell r="E125" t="str">
            <v>Kapesi (junction M1) - Mlunduni</v>
          </cell>
          <cell r="F125" t="str">
            <v>T374</v>
          </cell>
          <cell r="G125">
            <v>1</v>
          </cell>
          <cell r="H125">
            <v>9.1999999999999993</v>
          </cell>
          <cell r="I125" t="str">
            <v>R</v>
          </cell>
          <cell r="J125" t="str">
            <v>DEDZA</v>
          </cell>
          <cell r="K125">
            <v>6</v>
          </cell>
          <cell r="L125" t="str">
            <v>Changed designation from D226 to T374</v>
          </cell>
        </row>
        <row r="126">
          <cell r="A126" t="str">
            <v>RS 627</v>
          </cell>
          <cell r="B126">
            <v>449</v>
          </cell>
          <cell r="C126" t="str">
            <v>C</v>
          </cell>
          <cell r="D126" t="str">
            <v>F</v>
          </cell>
          <cell r="E126" t="str">
            <v>Mlunduni - Namilulu</v>
          </cell>
          <cell r="F126" t="str">
            <v>T374</v>
          </cell>
          <cell r="G126">
            <v>2</v>
          </cell>
          <cell r="H126">
            <v>4.5</v>
          </cell>
          <cell r="I126" t="str">
            <v>R</v>
          </cell>
          <cell r="J126" t="str">
            <v>DEDZA</v>
          </cell>
          <cell r="K126">
            <v>6</v>
          </cell>
          <cell r="L126">
            <v>0</v>
          </cell>
        </row>
        <row r="127">
          <cell r="A127" t="str">
            <v>RS 622</v>
          </cell>
          <cell r="B127">
            <v>444</v>
          </cell>
          <cell r="C127" t="str">
            <v>C</v>
          </cell>
          <cell r="D127" t="str">
            <v>F</v>
          </cell>
          <cell r="E127" t="str">
            <v>Namilulu - Kumayani</v>
          </cell>
          <cell r="F127" t="str">
            <v>T374</v>
          </cell>
          <cell r="G127">
            <v>3</v>
          </cell>
          <cell r="H127">
            <v>10.199999999999999</v>
          </cell>
          <cell r="I127" t="str">
            <v>H</v>
          </cell>
          <cell r="J127" t="str">
            <v>DEDZA</v>
          </cell>
          <cell r="K127">
            <v>6</v>
          </cell>
          <cell r="L127">
            <v>0</v>
          </cell>
        </row>
        <row r="128">
          <cell r="A128" t="str">
            <v>RS 623</v>
          </cell>
          <cell r="B128">
            <v>445</v>
          </cell>
          <cell r="C128" t="str">
            <v>C</v>
          </cell>
          <cell r="D128" t="str">
            <v>F</v>
          </cell>
          <cell r="E128" t="str">
            <v>Kumayani - Tembwe</v>
          </cell>
          <cell r="F128" t="str">
            <v>T374</v>
          </cell>
          <cell r="G128">
            <v>4</v>
          </cell>
          <cell r="H128">
            <v>2.2000000000000002</v>
          </cell>
          <cell r="I128" t="str">
            <v>M</v>
          </cell>
          <cell r="J128" t="str">
            <v>DEDZA</v>
          </cell>
          <cell r="K128">
            <v>6</v>
          </cell>
          <cell r="L128">
            <v>0</v>
          </cell>
        </row>
        <row r="129">
          <cell r="A129" t="str">
            <v>RS 626</v>
          </cell>
          <cell r="B129">
            <v>448</v>
          </cell>
          <cell r="C129" t="str">
            <v>C</v>
          </cell>
          <cell r="D129" t="str">
            <v>F</v>
          </cell>
          <cell r="E129" t="str">
            <v>Tembwe - Mlulu River</v>
          </cell>
          <cell r="F129" t="str">
            <v>T374</v>
          </cell>
          <cell r="G129">
            <v>5</v>
          </cell>
          <cell r="H129">
            <v>5.6</v>
          </cell>
          <cell r="I129" t="str">
            <v>M</v>
          </cell>
          <cell r="J129" t="str">
            <v>DEDZA</v>
          </cell>
          <cell r="K129">
            <v>6</v>
          </cell>
          <cell r="L129">
            <v>0</v>
          </cell>
        </row>
        <row r="130">
          <cell r="A130" t="str">
            <v>RS 624</v>
          </cell>
          <cell r="B130">
            <v>446</v>
          </cell>
          <cell r="C130" t="str">
            <v>C</v>
          </cell>
          <cell r="D130" t="str">
            <v>F</v>
          </cell>
          <cell r="E130" t="str">
            <v>Mlulu River - Kuntawanga</v>
          </cell>
          <cell r="F130" t="str">
            <v>T374</v>
          </cell>
          <cell r="G130">
            <v>6</v>
          </cell>
          <cell r="H130">
            <v>6.7</v>
          </cell>
          <cell r="I130" t="str">
            <v>H</v>
          </cell>
          <cell r="J130" t="str">
            <v>DEDZA</v>
          </cell>
          <cell r="K130">
            <v>6</v>
          </cell>
          <cell r="L130">
            <v>0</v>
          </cell>
        </row>
        <row r="131">
          <cell r="A131" t="str">
            <v>RS 621</v>
          </cell>
          <cell r="B131">
            <v>443</v>
          </cell>
          <cell r="C131" t="str">
            <v>C</v>
          </cell>
          <cell r="D131" t="str">
            <v>F</v>
          </cell>
          <cell r="E131" t="str">
            <v>Kuntawanga - Mayani</v>
          </cell>
          <cell r="F131" t="str">
            <v>T374</v>
          </cell>
          <cell r="G131">
            <v>7</v>
          </cell>
          <cell r="H131">
            <v>3.6</v>
          </cell>
          <cell r="I131" t="str">
            <v>FL</v>
          </cell>
          <cell r="J131" t="str">
            <v>DEDZA</v>
          </cell>
          <cell r="K131">
            <v>6</v>
          </cell>
          <cell r="L131" t="str">
            <v xml:space="preserve">New section part of RS 78 </v>
          </cell>
        </row>
        <row r="132">
          <cell r="A132" t="str">
            <v>RS 631</v>
          </cell>
          <cell r="B132">
            <v>453</v>
          </cell>
          <cell r="C132" t="str">
            <v>C</v>
          </cell>
          <cell r="D132" t="str">
            <v>F</v>
          </cell>
          <cell r="E132" t="str">
            <v>Linthipe River Bridge- Chaseta</v>
          </cell>
          <cell r="F132" t="str">
            <v>T375</v>
          </cell>
          <cell r="G132">
            <v>1</v>
          </cell>
          <cell r="H132">
            <v>12.3</v>
          </cell>
          <cell r="I132" t="str">
            <v>H</v>
          </cell>
          <cell r="J132" t="str">
            <v>SALIMA</v>
          </cell>
          <cell r="K132">
            <v>6</v>
          </cell>
          <cell r="L132">
            <v>0</v>
          </cell>
        </row>
        <row r="133">
          <cell r="A133" t="str">
            <v>RS 629</v>
          </cell>
          <cell r="B133">
            <v>451</v>
          </cell>
          <cell r="C133" t="str">
            <v>C</v>
          </cell>
          <cell r="D133" t="str">
            <v>F</v>
          </cell>
          <cell r="E133" t="str">
            <v>Chaseta - Mponde</v>
          </cell>
          <cell r="F133" t="str">
            <v>T375</v>
          </cell>
          <cell r="G133">
            <v>2</v>
          </cell>
          <cell r="H133">
            <v>11</v>
          </cell>
          <cell r="I133" t="str">
            <v>M</v>
          </cell>
          <cell r="J133" t="str">
            <v>DEDZA</v>
          </cell>
          <cell r="K133">
            <v>6</v>
          </cell>
          <cell r="L133">
            <v>0</v>
          </cell>
        </row>
        <row r="134">
          <cell r="A134" t="str">
            <v>RS 632</v>
          </cell>
          <cell r="B134">
            <v>454</v>
          </cell>
          <cell r="C134" t="str">
            <v>C</v>
          </cell>
          <cell r="D134" t="str">
            <v>F</v>
          </cell>
          <cell r="E134" t="str">
            <v>Mponde - Gwengwe</v>
          </cell>
          <cell r="F134" t="str">
            <v>T375</v>
          </cell>
          <cell r="G134">
            <v>3</v>
          </cell>
          <cell r="H134">
            <v>8</v>
          </cell>
          <cell r="I134" t="str">
            <v>R</v>
          </cell>
          <cell r="J134" t="str">
            <v>DEDZA</v>
          </cell>
          <cell r="K134">
            <v>6</v>
          </cell>
          <cell r="L134">
            <v>0</v>
          </cell>
        </row>
        <row r="135">
          <cell r="A135" t="str">
            <v>RS 628</v>
          </cell>
          <cell r="B135">
            <v>450</v>
          </cell>
          <cell r="C135" t="str">
            <v>C</v>
          </cell>
          <cell r="D135" t="str">
            <v>F</v>
          </cell>
          <cell r="E135" t="str">
            <v>Gwengwe - Ngombe</v>
          </cell>
          <cell r="F135" t="str">
            <v>T375</v>
          </cell>
          <cell r="G135">
            <v>4</v>
          </cell>
          <cell r="H135">
            <v>3.9</v>
          </cell>
          <cell r="I135" t="str">
            <v>R</v>
          </cell>
          <cell r="J135" t="str">
            <v>DEDZA</v>
          </cell>
          <cell r="K135">
            <v>6</v>
          </cell>
          <cell r="L135" t="str">
            <v>New section added to cover origional RS 352</v>
          </cell>
        </row>
        <row r="136">
          <cell r="A136" t="str">
            <v>RS 630</v>
          </cell>
          <cell r="B136">
            <v>452</v>
          </cell>
          <cell r="C136" t="str">
            <v>C</v>
          </cell>
          <cell r="D136" t="str">
            <v>F</v>
          </cell>
          <cell r="E136" t="str">
            <v>Ngombe - Mayani</v>
          </cell>
          <cell r="F136" t="str">
            <v>T375</v>
          </cell>
          <cell r="G136">
            <v>5</v>
          </cell>
          <cell r="H136">
            <v>4.8</v>
          </cell>
          <cell r="I136" t="str">
            <v>R</v>
          </cell>
          <cell r="J136" t="str">
            <v>DEDZA</v>
          </cell>
          <cell r="K136">
            <v>6</v>
          </cell>
          <cell r="L136" t="str">
            <v>Changed designation from M16 to M14</v>
          </cell>
        </row>
        <row r="137">
          <cell r="A137" t="str">
            <v>RS 625</v>
          </cell>
          <cell r="B137">
            <v>447</v>
          </cell>
          <cell r="C137" t="str">
            <v>C</v>
          </cell>
          <cell r="D137" t="str">
            <v>F</v>
          </cell>
          <cell r="E137" t="str">
            <v>Mayani - Livuwadzi River</v>
          </cell>
          <cell r="F137" t="str">
            <v>T375</v>
          </cell>
          <cell r="G137">
            <v>6</v>
          </cell>
          <cell r="H137">
            <v>9.9</v>
          </cell>
          <cell r="I137" t="str">
            <v>FL</v>
          </cell>
          <cell r="J137" t="str">
            <v>DEDZA</v>
          </cell>
          <cell r="K137">
            <v>6</v>
          </cell>
          <cell r="L137" t="str">
            <v>Changed designation from T374 to T375</v>
          </cell>
        </row>
        <row r="138">
          <cell r="A138" t="str">
            <v>RS 613</v>
          </cell>
          <cell r="B138">
            <v>435</v>
          </cell>
          <cell r="C138" t="str">
            <v>C</v>
          </cell>
          <cell r="D138" t="str">
            <v>F</v>
          </cell>
          <cell r="E138" t="str">
            <v>Bembeke turnoff (junction M1) - Bembeke</v>
          </cell>
          <cell r="F138" t="str">
            <v>T376</v>
          </cell>
          <cell r="G138">
            <v>1</v>
          </cell>
          <cell r="H138">
            <v>9.8000000000000007</v>
          </cell>
          <cell r="I138" t="str">
            <v>R</v>
          </cell>
          <cell r="J138" t="str">
            <v>DEDZA</v>
          </cell>
          <cell r="K138">
            <v>7</v>
          </cell>
          <cell r="L138" t="str">
            <v>Changed designation from T372 to T376</v>
          </cell>
        </row>
        <row r="139">
          <cell r="A139" t="str">
            <v>RS 615</v>
          </cell>
          <cell r="B139">
            <v>437</v>
          </cell>
          <cell r="C139" t="str">
            <v>C</v>
          </cell>
          <cell r="D139" t="str">
            <v>F</v>
          </cell>
          <cell r="E139" t="str">
            <v>Bembeke - Chinkwita</v>
          </cell>
          <cell r="F139" t="str">
            <v>T376</v>
          </cell>
          <cell r="G139">
            <v>2</v>
          </cell>
          <cell r="H139">
            <v>4.5</v>
          </cell>
          <cell r="I139" t="str">
            <v>R</v>
          </cell>
          <cell r="J139" t="str">
            <v>DEDZA</v>
          </cell>
          <cell r="K139">
            <v>7</v>
          </cell>
          <cell r="L139" t="str">
            <v>Changed designation from T372 to T376</v>
          </cell>
        </row>
        <row r="140">
          <cell r="A140" t="str">
            <v>RS 674</v>
          </cell>
          <cell r="B140">
            <v>496</v>
          </cell>
          <cell r="C140" t="str">
            <v>S</v>
          </cell>
          <cell r="D140" t="str">
            <v>F</v>
          </cell>
          <cell r="E140" t="str">
            <v>Nsandu - Chimphamba</v>
          </cell>
          <cell r="F140" t="str">
            <v>T379</v>
          </cell>
          <cell r="G140">
            <v>1</v>
          </cell>
          <cell r="H140">
            <v>3.8</v>
          </cell>
          <cell r="I140" t="str">
            <v>R</v>
          </cell>
          <cell r="J140" t="str">
            <v>MANGOCHI</v>
          </cell>
          <cell r="K140">
            <v>7</v>
          </cell>
          <cell r="L140" t="str">
            <v>Changed designation from T378 to T379</v>
          </cell>
        </row>
        <row r="141">
          <cell r="A141" t="str">
            <v>RS 795</v>
          </cell>
          <cell r="B141">
            <v>617</v>
          </cell>
          <cell r="C141" t="str">
            <v>S</v>
          </cell>
          <cell r="D141" t="str">
            <v>F</v>
          </cell>
          <cell r="E141" t="str">
            <v>Chimphamba - Malembo</v>
          </cell>
          <cell r="F141" t="str">
            <v>T379</v>
          </cell>
          <cell r="G141">
            <v>2</v>
          </cell>
          <cell r="H141">
            <v>19</v>
          </cell>
          <cell r="I141" t="str">
            <v>FL</v>
          </cell>
          <cell r="J141" t="str">
            <v>MANGOCHI</v>
          </cell>
          <cell r="K141">
            <v>7</v>
          </cell>
          <cell r="L141" t="str">
            <v>Changed designation from D231 to T379</v>
          </cell>
        </row>
        <row r="142">
          <cell r="A142" t="str">
            <v>RS 796</v>
          </cell>
          <cell r="B142">
            <v>618</v>
          </cell>
          <cell r="C142" t="str">
            <v>S</v>
          </cell>
          <cell r="D142" t="str">
            <v>F</v>
          </cell>
          <cell r="E142" t="str">
            <v>Malembo - Kuchilipa</v>
          </cell>
          <cell r="F142" t="str">
            <v>T379</v>
          </cell>
          <cell r="G142">
            <v>3</v>
          </cell>
          <cell r="H142">
            <v>2.6</v>
          </cell>
          <cell r="I142" t="str">
            <v>FL</v>
          </cell>
          <cell r="J142" t="str">
            <v>MANGOCHI</v>
          </cell>
          <cell r="K142">
            <v>7</v>
          </cell>
          <cell r="L142" t="str">
            <v>Changed designation from D231 to T379</v>
          </cell>
        </row>
        <row r="143">
          <cell r="A143" t="str">
            <v>RS 634</v>
          </cell>
          <cell r="B143">
            <v>456</v>
          </cell>
          <cell r="C143" t="str">
            <v>C</v>
          </cell>
          <cell r="D143" t="str">
            <v>F</v>
          </cell>
          <cell r="E143" t="str">
            <v>Bemvu - Thumbi River</v>
          </cell>
          <cell r="F143" t="str">
            <v>T380</v>
          </cell>
          <cell r="G143">
            <v>1</v>
          </cell>
          <cell r="H143">
            <v>8.3000000000000007</v>
          </cell>
          <cell r="I143" t="str">
            <v>R</v>
          </cell>
          <cell r="J143" t="str">
            <v>NTCHEU</v>
          </cell>
          <cell r="K143">
            <v>8</v>
          </cell>
          <cell r="L143" t="str">
            <v>Changed designation from T361 to M30</v>
          </cell>
        </row>
        <row r="144">
          <cell r="A144" t="str">
            <v>RS 633</v>
          </cell>
          <cell r="B144">
            <v>455</v>
          </cell>
          <cell r="C144" t="str">
            <v>C</v>
          </cell>
          <cell r="D144" t="str">
            <v>F</v>
          </cell>
          <cell r="E144" t="str">
            <v>Thumbi River - Matale</v>
          </cell>
          <cell r="F144" t="str">
            <v>T380</v>
          </cell>
          <cell r="G144">
            <v>2</v>
          </cell>
          <cell r="H144">
            <v>12.6</v>
          </cell>
          <cell r="I144" t="str">
            <v>R</v>
          </cell>
          <cell r="J144" t="str">
            <v>NTCHEU</v>
          </cell>
          <cell r="K144">
            <v>8</v>
          </cell>
          <cell r="L144">
            <v>0</v>
          </cell>
        </row>
        <row r="145">
          <cell r="A145" t="str">
            <v>RS 677</v>
          </cell>
          <cell r="B145">
            <v>499</v>
          </cell>
          <cell r="C145" t="str">
            <v>S</v>
          </cell>
          <cell r="D145" t="str">
            <v>F</v>
          </cell>
          <cell r="E145" t="str">
            <v>Chamba - Kungwa River</v>
          </cell>
          <cell r="F145" t="str">
            <v>T381</v>
          </cell>
          <cell r="G145">
            <v>1</v>
          </cell>
          <cell r="H145">
            <v>23.8</v>
          </cell>
          <cell r="I145" t="str">
            <v>FL</v>
          </cell>
          <cell r="J145" t="str">
            <v>MANGOCHI</v>
          </cell>
          <cell r="K145">
            <v>7</v>
          </cell>
          <cell r="L145" t="str">
            <v>Changed from urban to trunk</v>
          </cell>
        </row>
        <row r="146">
          <cell r="A146" t="str">
            <v>RS 676</v>
          </cell>
          <cell r="B146">
            <v>498</v>
          </cell>
          <cell r="C146" t="str">
            <v>S</v>
          </cell>
          <cell r="D146" t="str">
            <v>F</v>
          </cell>
          <cell r="E146" t="str">
            <v>Kungira River - Nsonde</v>
          </cell>
          <cell r="F146" t="str">
            <v>T381</v>
          </cell>
          <cell r="G146">
            <v>2</v>
          </cell>
          <cell r="H146">
            <v>19.3</v>
          </cell>
          <cell r="I146" t="str">
            <v>R</v>
          </cell>
          <cell r="J146" t="str">
            <v>MANGOCHI &amp; MACHINGA</v>
          </cell>
          <cell r="K146">
            <v>8</v>
          </cell>
          <cell r="L146">
            <v>0</v>
          </cell>
        </row>
        <row r="147">
          <cell r="A147" t="str">
            <v>RS 794</v>
          </cell>
          <cell r="B147">
            <v>616</v>
          </cell>
          <cell r="C147" t="str">
            <v>S</v>
          </cell>
          <cell r="D147" t="str">
            <v>F</v>
          </cell>
          <cell r="E147" t="str">
            <v>Nsonde - Kapire</v>
          </cell>
          <cell r="F147" t="str">
            <v>T381</v>
          </cell>
          <cell r="G147">
            <v>3</v>
          </cell>
          <cell r="H147">
            <v>14.7</v>
          </cell>
          <cell r="I147" t="str">
            <v>H</v>
          </cell>
          <cell r="J147" t="str">
            <v>MANGOCHI</v>
          </cell>
          <cell r="K147">
            <v>8</v>
          </cell>
          <cell r="L147" t="str">
            <v>Changed designation from D226 to T381</v>
          </cell>
        </row>
        <row r="148">
          <cell r="A148" t="str">
            <v>RS 673</v>
          </cell>
          <cell r="B148">
            <v>495</v>
          </cell>
          <cell r="C148" t="str">
            <v>S</v>
          </cell>
          <cell r="D148" t="str">
            <v>F</v>
          </cell>
          <cell r="E148" t="str">
            <v>Kapire - Mbela (junction S133)</v>
          </cell>
          <cell r="F148" t="str">
            <v>T381</v>
          </cell>
          <cell r="G148">
            <v>4</v>
          </cell>
          <cell r="H148">
            <v>16.5</v>
          </cell>
          <cell r="I148" t="str">
            <v>H</v>
          </cell>
          <cell r="J148" t="str">
            <v>MACHINGA</v>
          </cell>
          <cell r="K148">
            <v>8</v>
          </cell>
          <cell r="L148" t="str">
            <v>Changed designation from S133  to T381</v>
          </cell>
        </row>
        <row r="149">
          <cell r="A149" t="str">
            <v>RS 675</v>
          </cell>
          <cell r="B149">
            <v>497</v>
          </cell>
          <cell r="C149" t="str">
            <v>S</v>
          </cell>
          <cell r="D149" t="str">
            <v>F</v>
          </cell>
          <cell r="E149" t="str">
            <v xml:space="preserve"> Chantulo (junction M10) - Bwanje </v>
          </cell>
          <cell r="F149" t="str">
            <v>T382</v>
          </cell>
          <cell r="G149">
            <v>1</v>
          </cell>
          <cell r="H149">
            <v>17.899999999999999</v>
          </cell>
          <cell r="I149" t="str">
            <v>FL</v>
          </cell>
          <cell r="J149" t="str">
            <v>MANGOCHI</v>
          </cell>
          <cell r="K149">
            <v>7</v>
          </cell>
          <cell r="L149" t="str">
            <v>Changed designation from T381 toT382</v>
          </cell>
        </row>
        <row r="150">
          <cell r="A150" t="str">
            <v>RS 635</v>
          </cell>
          <cell r="B150">
            <v>457</v>
          </cell>
          <cell r="C150" t="str">
            <v>C</v>
          </cell>
          <cell r="D150" t="str">
            <v>F</v>
          </cell>
          <cell r="E150" t="str">
            <v>Namwiri - Kasinje (junction M5)</v>
          </cell>
          <cell r="F150" t="str">
            <v>T382</v>
          </cell>
          <cell r="G150">
            <v>2</v>
          </cell>
          <cell r="H150">
            <v>14.4</v>
          </cell>
          <cell r="I150" t="str">
            <v>FL</v>
          </cell>
          <cell r="J150" t="str">
            <v>NTCHEU</v>
          </cell>
          <cell r="K150">
            <v>8</v>
          </cell>
          <cell r="L150" t="str">
            <v>Changed designation from T381 toT382</v>
          </cell>
        </row>
        <row r="151">
          <cell r="A151" t="str">
            <v>RS 637</v>
          </cell>
          <cell r="B151">
            <v>459</v>
          </cell>
          <cell r="C151" t="str">
            <v>C</v>
          </cell>
          <cell r="D151" t="str">
            <v>F</v>
          </cell>
          <cell r="E151" t="str">
            <v>Khwekhwelele (junction (S127) - Nkhulo</v>
          </cell>
          <cell r="F151" t="str">
            <v>T383</v>
          </cell>
          <cell r="G151">
            <v>1</v>
          </cell>
          <cell r="H151">
            <v>12.2</v>
          </cell>
          <cell r="I151" t="str">
            <v>R</v>
          </cell>
          <cell r="J151" t="str">
            <v>NTCHEU</v>
          </cell>
          <cell r="K151">
            <v>8</v>
          </cell>
          <cell r="L151" t="str">
            <v>Changed designation from S124 to S135</v>
          </cell>
        </row>
        <row r="152">
          <cell r="A152" t="str">
            <v>RS 636</v>
          </cell>
          <cell r="B152">
            <v>458</v>
          </cell>
          <cell r="C152" t="str">
            <v>C</v>
          </cell>
          <cell r="D152" t="str">
            <v>F</v>
          </cell>
          <cell r="E152" t="str">
            <v>Nkhulo - Musso</v>
          </cell>
          <cell r="F152" t="str">
            <v>T383</v>
          </cell>
          <cell r="G152">
            <v>2</v>
          </cell>
          <cell r="H152">
            <v>6.9</v>
          </cell>
          <cell r="I152" t="str">
            <v>R</v>
          </cell>
          <cell r="J152" t="str">
            <v>NTCHEU</v>
          </cell>
          <cell r="K152">
            <v>8</v>
          </cell>
          <cell r="L152" t="str">
            <v>Changed designation from S124 to S135</v>
          </cell>
        </row>
        <row r="153">
          <cell r="A153" t="str">
            <v>RS 638</v>
          </cell>
          <cell r="B153">
            <v>460</v>
          </cell>
          <cell r="C153" t="str">
            <v>C</v>
          </cell>
          <cell r="D153" t="str">
            <v>F</v>
          </cell>
          <cell r="E153" t="str">
            <v>Musso - Kandeu (junction S134)</v>
          </cell>
          <cell r="F153" t="str">
            <v>T383</v>
          </cell>
          <cell r="G153">
            <v>3</v>
          </cell>
          <cell r="H153">
            <v>4.5</v>
          </cell>
          <cell r="I153" t="str">
            <v>R</v>
          </cell>
          <cell r="J153" t="str">
            <v>NTCHEU</v>
          </cell>
          <cell r="K153">
            <v>8</v>
          </cell>
          <cell r="L153">
            <v>0</v>
          </cell>
        </row>
        <row r="154">
          <cell r="A154" t="str">
            <v>RS 641</v>
          </cell>
          <cell r="B154">
            <v>463</v>
          </cell>
          <cell r="C154" t="str">
            <v>C</v>
          </cell>
          <cell r="D154" t="str">
            <v>F</v>
          </cell>
          <cell r="E154" t="str">
            <v>Bilila (junction M5) - Linengwe River</v>
          </cell>
          <cell r="F154" t="str">
            <v>T384</v>
          </cell>
          <cell r="G154">
            <v>1</v>
          </cell>
          <cell r="H154">
            <v>5</v>
          </cell>
          <cell r="I154" t="str">
            <v>FL</v>
          </cell>
          <cell r="J154" t="str">
            <v>NTCHEU</v>
          </cell>
          <cell r="K154">
            <v>8</v>
          </cell>
          <cell r="L154" t="str">
            <v>Changed designation from T398 to S135</v>
          </cell>
        </row>
        <row r="155">
          <cell r="A155" t="str">
            <v>RS 643</v>
          </cell>
          <cell r="B155">
            <v>465</v>
          </cell>
          <cell r="C155" t="str">
            <v>C</v>
          </cell>
          <cell r="D155" t="str">
            <v>F</v>
          </cell>
          <cell r="E155" t="str">
            <v>Linengwe River - Njereza</v>
          </cell>
          <cell r="F155" t="str">
            <v>T384</v>
          </cell>
          <cell r="G155">
            <v>2</v>
          </cell>
          <cell r="H155">
            <v>6.8</v>
          </cell>
          <cell r="I155" t="str">
            <v>FL</v>
          </cell>
          <cell r="J155" t="str">
            <v>NTCHEU</v>
          </cell>
          <cell r="K155">
            <v>8</v>
          </cell>
          <cell r="L155" t="str">
            <v>Changed designation from T398 to S135</v>
          </cell>
        </row>
        <row r="156">
          <cell r="A156" t="str">
            <v>RS 645</v>
          </cell>
          <cell r="B156">
            <v>467</v>
          </cell>
          <cell r="C156" t="str">
            <v>C</v>
          </cell>
          <cell r="D156" t="str">
            <v>F</v>
          </cell>
          <cell r="E156" t="str">
            <v>Njereza - Chauya</v>
          </cell>
          <cell r="F156" t="str">
            <v>T384</v>
          </cell>
          <cell r="G156">
            <v>3</v>
          </cell>
          <cell r="H156">
            <v>4.9000000000000004</v>
          </cell>
          <cell r="I156" t="str">
            <v>R</v>
          </cell>
          <cell r="J156" t="str">
            <v>NTCHEU</v>
          </cell>
          <cell r="K156">
            <v>8</v>
          </cell>
          <cell r="L156">
            <v>0</v>
          </cell>
        </row>
        <row r="157">
          <cell r="A157" t="str">
            <v>RS 640</v>
          </cell>
          <cell r="B157">
            <v>462</v>
          </cell>
          <cell r="C157" t="str">
            <v>C</v>
          </cell>
          <cell r="D157" t="str">
            <v>F</v>
          </cell>
          <cell r="E157" t="str">
            <v>Chauya - Chirigwalo</v>
          </cell>
          <cell r="F157" t="str">
            <v>T384</v>
          </cell>
          <cell r="G157">
            <v>4</v>
          </cell>
          <cell r="H157">
            <v>8.8000000000000007</v>
          </cell>
          <cell r="I157" t="str">
            <v>R</v>
          </cell>
          <cell r="J157" t="str">
            <v>NTCHEU</v>
          </cell>
          <cell r="K157">
            <v>8</v>
          </cell>
          <cell r="L157" t="str">
            <v>Changed designation from M15 to S128</v>
          </cell>
        </row>
        <row r="158">
          <cell r="A158" t="str">
            <v>RS 639</v>
          </cell>
          <cell r="B158">
            <v>461</v>
          </cell>
          <cell r="C158" t="str">
            <v>C</v>
          </cell>
          <cell r="D158" t="str">
            <v>F</v>
          </cell>
          <cell r="E158" t="str">
            <v>Chirigwalo - Kansapato (junction S134)</v>
          </cell>
          <cell r="F158" t="str">
            <v>T384</v>
          </cell>
          <cell r="G158">
            <v>5</v>
          </cell>
          <cell r="H158">
            <v>8.9</v>
          </cell>
          <cell r="I158" t="str">
            <v>FL</v>
          </cell>
          <cell r="J158" t="str">
            <v>NTCHEU</v>
          </cell>
          <cell r="K158">
            <v>8</v>
          </cell>
          <cell r="L158">
            <v>0</v>
          </cell>
        </row>
        <row r="159">
          <cell r="A159" t="str">
            <v>RS 680</v>
          </cell>
          <cell r="B159">
            <v>502</v>
          </cell>
          <cell r="C159" t="str">
            <v>S</v>
          </cell>
          <cell r="D159" t="str">
            <v>F</v>
          </cell>
          <cell r="E159" t="str">
            <v>Mangochi - Issa</v>
          </cell>
          <cell r="F159" t="str">
            <v>T385</v>
          </cell>
          <cell r="G159">
            <v>1</v>
          </cell>
          <cell r="H159">
            <v>13</v>
          </cell>
          <cell r="I159" t="str">
            <v>FL</v>
          </cell>
          <cell r="J159" t="str">
            <v>MANGOCHI</v>
          </cell>
          <cell r="K159">
            <v>8</v>
          </cell>
          <cell r="L159">
            <v>0</v>
          </cell>
        </row>
        <row r="160">
          <cell r="A160" t="str">
            <v>RS 678</v>
          </cell>
          <cell r="B160">
            <v>500</v>
          </cell>
          <cell r="C160" t="str">
            <v>S</v>
          </cell>
          <cell r="D160" t="str">
            <v>F</v>
          </cell>
          <cell r="E160" t="str">
            <v>Issa - Katete River</v>
          </cell>
          <cell r="F160" t="str">
            <v>T385</v>
          </cell>
          <cell r="G160">
            <v>2</v>
          </cell>
          <cell r="H160">
            <v>15.4</v>
          </cell>
          <cell r="I160" t="str">
            <v>R</v>
          </cell>
          <cell r="J160" t="str">
            <v>MANGOCHI</v>
          </cell>
          <cell r="K160">
            <v>8</v>
          </cell>
          <cell r="L160">
            <v>0</v>
          </cell>
        </row>
        <row r="161">
          <cell r="A161" t="str">
            <v>RS 679</v>
          </cell>
          <cell r="B161">
            <v>501</v>
          </cell>
          <cell r="C161" t="str">
            <v>S</v>
          </cell>
          <cell r="D161" t="str">
            <v>F</v>
          </cell>
          <cell r="E161" t="str">
            <v>Katete River - Nsonde</v>
          </cell>
          <cell r="F161" t="str">
            <v>T385</v>
          </cell>
          <cell r="G161">
            <v>3</v>
          </cell>
          <cell r="H161">
            <v>23.4</v>
          </cell>
          <cell r="I161" t="str">
            <v>R</v>
          </cell>
          <cell r="J161" t="str">
            <v>MACHINGA</v>
          </cell>
          <cell r="K161">
            <v>8</v>
          </cell>
          <cell r="L161" t="str">
            <v>Changed designation from S142 to S139</v>
          </cell>
        </row>
        <row r="162">
          <cell r="A162" t="str">
            <v>RS 681</v>
          </cell>
          <cell r="B162">
            <v>503</v>
          </cell>
          <cell r="C162" t="str">
            <v>S</v>
          </cell>
          <cell r="D162" t="str">
            <v>F</v>
          </cell>
          <cell r="E162" t="str">
            <v>Nsonde - Nankulukuti</v>
          </cell>
          <cell r="F162" t="str">
            <v>T385</v>
          </cell>
          <cell r="G162">
            <v>4</v>
          </cell>
          <cell r="H162">
            <v>8.5</v>
          </cell>
          <cell r="I162" t="str">
            <v>R</v>
          </cell>
          <cell r="J162" t="str">
            <v>MANGOCHI</v>
          </cell>
          <cell r="K162">
            <v>8</v>
          </cell>
          <cell r="L162">
            <v>0</v>
          </cell>
        </row>
        <row r="163">
          <cell r="A163" t="str">
            <v>RS 646</v>
          </cell>
          <cell r="B163">
            <v>468</v>
          </cell>
          <cell r="C163" t="str">
            <v>C</v>
          </cell>
          <cell r="D163" t="str">
            <v>F</v>
          </cell>
          <cell r="E163" t="str">
            <v>Nankulukuti - Nampoya</v>
          </cell>
          <cell r="F163" t="str">
            <v>T385</v>
          </cell>
          <cell r="G163">
            <v>5</v>
          </cell>
          <cell r="H163">
            <v>8.1999999999999993</v>
          </cell>
          <cell r="I163" t="str">
            <v>FL</v>
          </cell>
          <cell r="J163" t="str">
            <v>NTCHEU</v>
          </cell>
          <cell r="K163">
            <v>8</v>
          </cell>
          <cell r="L163">
            <v>0</v>
          </cell>
        </row>
        <row r="164">
          <cell r="A164" t="str">
            <v>RS 647</v>
          </cell>
          <cell r="B164">
            <v>469</v>
          </cell>
          <cell r="C164" t="str">
            <v>C</v>
          </cell>
          <cell r="D164" t="str">
            <v>F</v>
          </cell>
          <cell r="E164" t="str">
            <v>Nampoya - Linengwe River</v>
          </cell>
          <cell r="F164" t="str">
            <v>T385</v>
          </cell>
          <cell r="G164">
            <v>6</v>
          </cell>
          <cell r="H164">
            <v>9</v>
          </cell>
          <cell r="I164" t="str">
            <v>FL</v>
          </cell>
          <cell r="J164" t="str">
            <v>NTCHEU</v>
          </cell>
          <cell r="K164">
            <v>8</v>
          </cell>
          <cell r="L164">
            <v>0</v>
          </cell>
        </row>
        <row r="165">
          <cell r="A165" t="str">
            <v>RS 684</v>
          </cell>
          <cell r="B165">
            <v>506</v>
          </cell>
          <cell r="C165" t="str">
            <v>S</v>
          </cell>
          <cell r="D165" t="str">
            <v>F</v>
          </cell>
          <cell r="E165" t="str">
            <v>Idulusi (junction M3) - Itunji</v>
          </cell>
          <cell r="F165" t="str">
            <v>T386</v>
          </cell>
          <cell r="G165">
            <v>1</v>
          </cell>
          <cell r="H165">
            <v>16</v>
          </cell>
          <cell r="I165" t="str">
            <v>R</v>
          </cell>
          <cell r="J165" t="str">
            <v>MANGOCHI</v>
          </cell>
          <cell r="K165">
            <v>7</v>
          </cell>
          <cell r="L165" t="str">
            <v>Changed from feeder to trunk as bitumen road</v>
          </cell>
        </row>
        <row r="166">
          <cell r="A166" t="str">
            <v>RS 682</v>
          </cell>
          <cell r="B166">
            <v>504</v>
          </cell>
          <cell r="C166" t="str">
            <v>S</v>
          </cell>
          <cell r="D166" t="str">
            <v>F</v>
          </cell>
          <cell r="E166" t="str">
            <v>Itunji - Mpita</v>
          </cell>
          <cell r="F166" t="str">
            <v>T386</v>
          </cell>
          <cell r="G166">
            <v>2</v>
          </cell>
          <cell r="H166">
            <v>13.9</v>
          </cell>
          <cell r="I166" t="str">
            <v>R</v>
          </cell>
          <cell r="J166" t="str">
            <v>MANGOCHI</v>
          </cell>
          <cell r="K166">
            <v>7</v>
          </cell>
          <cell r="L166" t="str">
            <v>Changed designation from S116 to T334. Changed to trunk</v>
          </cell>
        </row>
        <row r="167">
          <cell r="A167" t="str">
            <v>RS 683</v>
          </cell>
          <cell r="B167">
            <v>505</v>
          </cell>
          <cell r="C167" t="str">
            <v>S</v>
          </cell>
          <cell r="D167" t="str">
            <v>F</v>
          </cell>
          <cell r="E167" t="str">
            <v>Mpita - Kwisimba</v>
          </cell>
          <cell r="F167" t="str">
            <v>T386</v>
          </cell>
          <cell r="G167">
            <v>3</v>
          </cell>
          <cell r="H167">
            <v>8.8000000000000007</v>
          </cell>
          <cell r="I167" t="str">
            <v>R</v>
          </cell>
          <cell r="J167" t="str">
            <v>MANGOCHI</v>
          </cell>
          <cell r="K167">
            <v>7</v>
          </cell>
          <cell r="L167">
            <v>0</v>
          </cell>
        </row>
        <row r="168">
          <cell r="A168" t="str">
            <v>RS 797</v>
          </cell>
          <cell r="B168">
            <v>619</v>
          </cell>
          <cell r="C168" t="str">
            <v>S</v>
          </cell>
          <cell r="D168" t="str">
            <v>F</v>
          </cell>
          <cell r="E168" t="str">
            <v>Namwera - Chithumba</v>
          </cell>
          <cell r="F168" t="str">
            <v>T387</v>
          </cell>
          <cell r="G168">
            <v>1</v>
          </cell>
          <cell r="H168">
            <v>9.3000000000000007</v>
          </cell>
          <cell r="I168" t="str">
            <v>FL</v>
          </cell>
          <cell r="J168" t="str">
            <v>MANGOCHI</v>
          </cell>
          <cell r="K168">
            <v>7</v>
          </cell>
          <cell r="L168" t="str">
            <v>Changed designation from D232 to T387</v>
          </cell>
        </row>
        <row r="169">
          <cell r="A169" t="str">
            <v>RS 798</v>
          </cell>
          <cell r="B169">
            <v>620</v>
          </cell>
          <cell r="C169" t="str">
            <v>S</v>
          </cell>
          <cell r="D169" t="str">
            <v>F</v>
          </cell>
          <cell r="E169" t="str">
            <v>Chithumba - ID/Y</v>
          </cell>
          <cell r="F169" t="str">
            <v>T387</v>
          </cell>
          <cell r="G169">
            <v>2</v>
          </cell>
          <cell r="H169">
            <v>21.4</v>
          </cell>
          <cell r="I169" t="str">
            <v>FL</v>
          </cell>
          <cell r="J169" t="str">
            <v>MANGOCHI</v>
          </cell>
          <cell r="K169">
            <v>7</v>
          </cell>
          <cell r="L169" t="str">
            <v>Changed designation from D232 to T387</v>
          </cell>
        </row>
        <row r="170">
          <cell r="A170" t="str">
            <v>RS 688</v>
          </cell>
          <cell r="B170">
            <v>510</v>
          </cell>
          <cell r="C170" t="str">
            <v>S</v>
          </cell>
          <cell r="D170" t="str">
            <v>F</v>
          </cell>
          <cell r="E170" t="str">
            <v>Mbalula - Lingamadzi River</v>
          </cell>
          <cell r="F170" t="str">
            <v>T388</v>
          </cell>
          <cell r="G170">
            <v>1</v>
          </cell>
          <cell r="H170">
            <v>11.7</v>
          </cell>
          <cell r="I170" t="str">
            <v>R</v>
          </cell>
          <cell r="J170" t="str">
            <v>MANGOCHI</v>
          </cell>
          <cell r="K170">
            <v>8</v>
          </cell>
          <cell r="L170">
            <v>0</v>
          </cell>
        </row>
        <row r="171">
          <cell r="A171" t="str">
            <v>RS 689</v>
          </cell>
          <cell r="B171">
            <v>511</v>
          </cell>
          <cell r="C171" t="str">
            <v>S</v>
          </cell>
          <cell r="D171" t="str">
            <v>F</v>
          </cell>
          <cell r="E171" t="str">
            <v>Lingamadzi River - Malombe</v>
          </cell>
          <cell r="F171" t="str">
            <v>T388</v>
          </cell>
          <cell r="G171">
            <v>2</v>
          </cell>
          <cell r="H171">
            <v>16.399999999999999</v>
          </cell>
          <cell r="I171" t="str">
            <v>FL</v>
          </cell>
          <cell r="J171" t="str">
            <v>MANGOCHI</v>
          </cell>
          <cell r="K171">
            <v>8</v>
          </cell>
          <cell r="L171">
            <v>0</v>
          </cell>
        </row>
        <row r="172">
          <cell r="A172" t="str">
            <v>RS 687</v>
          </cell>
          <cell r="B172">
            <v>509</v>
          </cell>
          <cell r="C172" t="str">
            <v>S</v>
          </cell>
          <cell r="D172" t="str">
            <v>F</v>
          </cell>
          <cell r="E172" t="str">
            <v>Malombe - Masanje River</v>
          </cell>
          <cell r="F172" t="str">
            <v>T388</v>
          </cell>
          <cell r="G172">
            <v>3</v>
          </cell>
          <cell r="H172">
            <v>25.4</v>
          </cell>
          <cell r="I172" t="str">
            <v>R</v>
          </cell>
          <cell r="J172" t="str">
            <v>MANGOCHI</v>
          </cell>
          <cell r="K172">
            <v>8</v>
          </cell>
          <cell r="L172">
            <v>0</v>
          </cell>
        </row>
        <row r="173">
          <cell r="A173" t="str">
            <v>RS 686</v>
          </cell>
          <cell r="B173">
            <v>508</v>
          </cell>
          <cell r="C173" t="str">
            <v>S</v>
          </cell>
          <cell r="D173" t="str">
            <v>F</v>
          </cell>
          <cell r="E173" t="str">
            <v>Masanje River - Namandanje River</v>
          </cell>
          <cell r="F173" t="str">
            <v>T388</v>
          </cell>
          <cell r="G173">
            <v>4</v>
          </cell>
          <cell r="H173">
            <v>12.1</v>
          </cell>
          <cell r="I173" t="str">
            <v>R</v>
          </cell>
          <cell r="J173" t="str">
            <v>MANGOCHI &amp; MACHINGA</v>
          </cell>
          <cell r="K173">
            <v>8</v>
          </cell>
          <cell r="L173">
            <v>0</v>
          </cell>
        </row>
        <row r="174">
          <cell r="A174" t="str">
            <v>RS 694</v>
          </cell>
          <cell r="B174">
            <v>516</v>
          </cell>
          <cell r="C174" t="str">
            <v>S</v>
          </cell>
          <cell r="D174" t="str">
            <v>F</v>
          </cell>
          <cell r="E174" t="str">
            <v>Masuku (junction S131) - Nakapa</v>
          </cell>
          <cell r="F174" t="str">
            <v>T389</v>
          </cell>
          <cell r="G174">
            <v>1</v>
          </cell>
          <cell r="H174">
            <v>7.9</v>
          </cell>
          <cell r="I174" t="str">
            <v>R</v>
          </cell>
          <cell r="J174" t="str">
            <v>MANGOCHI</v>
          </cell>
          <cell r="K174">
            <v>8</v>
          </cell>
          <cell r="L174">
            <v>0</v>
          </cell>
        </row>
        <row r="175">
          <cell r="A175" t="str">
            <v>RS 690</v>
          </cell>
          <cell r="B175">
            <v>512</v>
          </cell>
          <cell r="C175" t="str">
            <v>S</v>
          </cell>
          <cell r="D175" t="str">
            <v>F</v>
          </cell>
          <cell r="E175" t="str">
            <v>Nakapa - Lisimba Estate</v>
          </cell>
          <cell r="F175" t="str">
            <v>T389</v>
          </cell>
          <cell r="G175">
            <v>2</v>
          </cell>
          <cell r="H175">
            <v>4.4000000000000004</v>
          </cell>
          <cell r="I175" t="str">
            <v>R</v>
          </cell>
          <cell r="J175" t="str">
            <v>MANGOCHI</v>
          </cell>
          <cell r="K175">
            <v>8</v>
          </cell>
          <cell r="L175">
            <v>0</v>
          </cell>
        </row>
        <row r="176">
          <cell r="A176" t="str">
            <v>RS 692</v>
          </cell>
          <cell r="B176">
            <v>514</v>
          </cell>
          <cell r="C176" t="str">
            <v>S</v>
          </cell>
          <cell r="D176" t="str">
            <v>F</v>
          </cell>
          <cell r="E176" t="str">
            <v>Lisimba Estate - Nyenyezi River</v>
          </cell>
          <cell r="F176" t="str">
            <v>T389</v>
          </cell>
          <cell r="G176">
            <v>3</v>
          </cell>
          <cell r="H176">
            <v>8.9</v>
          </cell>
          <cell r="I176" t="str">
            <v>R</v>
          </cell>
          <cell r="J176" t="str">
            <v>MANGOCHI</v>
          </cell>
          <cell r="K176">
            <v>8</v>
          </cell>
          <cell r="L176" t="str">
            <v>Name changed from Kwacha Rd - Marhattma</v>
          </cell>
        </row>
        <row r="177">
          <cell r="A177" t="str">
            <v>RS 693</v>
          </cell>
          <cell r="B177">
            <v>515</v>
          </cell>
          <cell r="C177" t="str">
            <v>S</v>
          </cell>
          <cell r="D177" t="str">
            <v>F</v>
          </cell>
          <cell r="E177" t="str">
            <v>Nyenyezi River - Nkwepere ADMARC</v>
          </cell>
          <cell r="F177" t="str">
            <v>T389</v>
          </cell>
          <cell r="G177">
            <v>4</v>
          </cell>
          <cell r="H177">
            <v>5.0999999999999996</v>
          </cell>
          <cell r="I177" t="str">
            <v>R</v>
          </cell>
          <cell r="J177" t="str">
            <v>MANGOCHI</v>
          </cell>
          <cell r="K177">
            <v>8</v>
          </cell>
          <cell r="L177" t="str">
            <v>Name modified by City Council</v>
          </cell>
        </row>
        <row r="178">
          <cell r="A178" t="str">
            <v>RS 691</v>
          </cell>
          <cell r="B178">
            <v>513</v>
          </cell>
          <cell r="C178" t="str">
            <v>S</v>
          </cell>
          <cell r="D178" t="str">
            <v>F</v>
          </cell>
          <cell r="E178" t="str">
            <v>Nkwepele ADMARC - Nantwe</v>
          </cell>
          <cell r="F178" t="str">
            <v>T389</v>
          </cell>
          <cell r="G178">
            <v>5</v>
          </cell>
          <cell r="H178">
            <v>19.100000000000001</v>
          </cell>
          <cell r="I178" t="str">
            <v>R</v>
          </cell>
          <cell r="J178" t="str">
            <v>MANGOCHI</v>
          </cell>
          <cell r="K178">
            <v>8</v>
          </cell>
          <cell r="L178" t="str">
            <v>Name modified</v>
          </cell>
        </row>
        <row r="179">
          <cell r="A179" t="str">
            <v>RS 695</v>
          </cell>
          <cell r="B179">
            <v>517</v>
          </cell>
          <cell r="C179" t="str">
            <v>S</v>
          </cell>
          <cell r="D179" t="str">
            <v>F</v>
          </cell>
          <cell r="E179" t="str">
            <v>Ntaja - Nanyumbu</v>
          </cell>
          <cell r="F179" t="str">
            <v>T390</v>
          </cell>
          <cell r="G179">
            <v>5</v>
          </cell>
          <cell r="H179">
            <v>5.8</v>
          </cell>
          <cell r="I179" t="str">
            <v>R</v>
          </cell>
          <cell r="J179" t="str">
            <v>MACHINGA</v>
          </cell>
          <cell r="K179">
            <v>8</v>
          </cell>
          <cell r="L179" t="str">
            <v>Changed designation from S129 to S139</v>
          </cell>
        </row>
        <row r="180">
          <cell r="A180" t="str">
            <v>RS 701</v>
          </cell>
          <cell r="B180">
            <v>523</v>
          </cell>
          <cell r="C180" t="str">
            <v>S</v>
          </cell>
          <cell r="D180" t="str">
            <v>F</v>
          </cell>
          <cell r="E180" t="str">
            <v>Machina - Nkhokwe</v>
          </cell>
          <cell r="F180" t="str">
            <v>T391</v>
          </cell>
          <cell r="G180">
            <v>1</v>
          </cell>
          <cell r="H180">
            <v>16.399999999999999</v>
          </cell>
          <cell r="I180" t="str">
            <v>FL</v>
          </cell>
          <cell r="J180" t="str">
            <v>MACHINGA</v>
          </cell>
          <cell r="K180">
            <v>8</v>
          </cell>
          <cell r="L180" t="str">
            <v>Changed designation from T392 to T391</v>
          </cell>
        </row>
        <row r="181">
          <cell r="A181" t="str">
            <v>RS 702</v>
          </cell>
          <cell r="B181">
            <v>524</v>
          </cell>
          <cell r="C181" t="str">
            <v>S</v>
          </cell>
          <cell r="D181" t="str">
            <v>F</v>
          </cell>
          <cell r="E181" t="str">
            <v>Nkhokwe - Mpakaka</v>
          </cell>
          <cell r="F181" t="str">
            <v>T391</v>
          </cell>
          <cell r="G181">
            <v>2</v>
          </cell>
          <cell r="H181">
            <v>6.8</v>
          </cell>
          <cell r="I181" t="str">
            <v>FL</v>
          </cell>
          <cell r="J181" t="str">
            <v>MACHINGA</v>
          </cell>
          <cell r="K181">
            <v>8</v>
          </cell>
          <cell r="L181" t="str">
            <v>Changed designation from T392 to T391</v>
          </cell>
        </row>
        <row r="182">
          <cell r="A182" t="str">
            <v>RS 700</v>
          </cell>
          <cell r="B182">
            <v>522</v>
          </cell>
          <cell r="C182" t="str">
            <v>S</v>
          </cell>
          <cell r="D182" t="str">
            <v>F</v>
          </cell>
          <cell r="E182" t="str">
            <v>Nantwe - Maundani</v>
          </cell>
          <cell r="F182" t="str">
            <v>T392</v>
          </cell>
          <cell r="G182">
            <v>1</v>
          </cell>
          <cell r="H182">
            <v>3.9</v>
          </cell>
          <cell r="I182" t="str">
            <v>R</v>
          </cell>
          <cell r="J182" t="str">
            <v>MANGOCHI</v>
          </cell>
          <cell r="K182">
            <v>8</v>
          </cell>
          <cell r="L182" t="str">
            <v>Changed designation from S142 to S139</v>
          </cell>
        </row>
        <row r="183">
          <cell r="A183" t="str">
            <v>RS 696</v>
          </cell>
          <cell r="B183">
            <v>518</v>
          </cell>
          <cell r="C183" t="str">
            <v>S</v>
          </cell>
          <cell r="D183" t="str">
            <v>F</v>
          </cell>
          <cell r="E183" t="str">
            <v>Maundani - Machina</v>
          </cell>
          <cell r="F183" t="str">
            <v>T392</v>
          </cell>
          <cell r="G183">
            <v>2</v>
          </cell>
          <cell r="H183">
            <v>17</v>
          </cell>
          <cell r="I183" t="str">
            <v>H</v>
          </cell>
          <cell r="J183" t="str">
            <v>MANGOCHI</v>
          </cell>
          <cell r="K183">
            <v>8</v>
          </cell>
          <cell r="L183">
            <v>0</v>
          </cell>
        </row>
        <row r="184">
          <cell r="A184" t="str">
            <v>RS 699</v>
          </cell>
          <cell r="B184">
            <v>521</v>
          </cell>
          <cell r="C184" t="str">
            <v>S</v>
          </cell>
          <cell r="D184" t="str">
            <v>F</v>
          </cell>
          <cell r="E184" t="str">
            <v>Chikwewo - Beyadi</v>
          </cell>
          <cell r="F184" t="str">
            <v>T392</v>
          </cell>
          <cell r="G184">
            <v>3</v>
          </cell>
          <cell r="H184">
            <v>10.6</v>
          </cell>
          <cell r="I184" t="str">
            <v>FL</v>
          </cell>
          <cell r="J184" t="str">
            <v>MACHINGA</v>
          </cell>
          <cell r="K184">
            <v>8</v>
          </cell>
          <cell r="L184">
            <v>0</v>
          </cell>
        </row>
        <row r="185">
          <cell r="A185" t="str">
            <v>RS 697</v>
          </cell>
          <cell r="B185">
            <v>519</v>
          </cell>
          <cell r="C185" t="str">
            <v>S</v>
          </cell>
          <cell r="D185" t="str">
            <v>F</v>
          </cell>
          <cell r="E185" t="str">
            <v>Beyadi - Nanyumbu</v>
          </cell>
          <cell r="F185" t="str">
            <v>T392</v>
          </cell>
          <cell r="G185">
            <v>4</v>
          </cell>
          <cell r="H185">
            <v>13.7</v>
          </cell>
          <cell r="I185" t="str">
            <v>FL</v>
          </cell>
          <cell r="J185" t="str">
            <v>MANGOCHI</v>
          </cell>
          <cell r="K185">
            <v>8</v>
          </cell>
          <cell r="L185">
            <v>0</v>
          </cell>
        </row>
        <row r="186">
          <cell r="A186" t="str">
            <v>RS 705</v>
          </cell>
          <cell r="B186">
            <v>527</v>
          </cell>
          <cell r="C186" t="str">
            <v>S</v>
          </cell>
          <cell r="D186" t="str">
            <v>F</v>
          </cell>
          <cell r="E186" t="str">
            <v>Nsanama - Namanja Village</v>
          </cell>
          <cell r="F186" t="str">
            <v>T393</v>
          </cell>
          <cell r="G186">
            <v>1</v>
          </cell>
          <cell r="H186">
            <v>18.7</v>
          </cell>
          <cell r="I186" t="str">
            <v>FL</v>
          </cell>
          <cell r="J186" t="str">
            <v>MACHINGA</v>
          </cell>
          <cell r="K186">
            <v>8</v>
          </cell>
          <cell r="L186">
            <v>0</v>
          </cell>
        </row>
        <row r="187">
          <cell r="A187" t="str">
            <v>RS 703</v>
          </cell>
          <cell r="B187">
            <v>525</v>
          </cell>
          <cell r="C187" t="str">
            <v>S</v>
          </cell>
          <cell r="D187" t="str">
            <v>F</v>
          </cell>
          <cell r="E187" t="str">
            <v>Namanja Village - Namanja Station</v>
          </cell>
          <cell r="F187" t="str">
            <v>T393</v>
          </cell>
          <cell r="G187">
            <v>2</v>
          </cell>
          <cell r="H187">
            <v>4.2</v>
          </cell>
          <cell r="I187" t="str">
            <v>FL</v>
          </cell>
          <cell r="J187" t="str">
            <v>MACHINGA</v>
          </cell>
          <cell r="K187">
            <v>8</v>
          </cell>
          <cell r="L187">
            <v>0</v>
          </cell>
        </row>
        <row r="188">
          <cell r="A188" t="str">
            <v>RS 704</v>
          </cell>
          <cell r="B188">
            <v>526</v>
          </cell>
          <cell r="C188" t="str">
            <v>S</v>
          </cell>
          <cell r="D188" t="str">
            <v>F</v>
          </cell>
          <cell r="E188" t="str">
            <v>Namanja Station - Nayuchi (Mozambique border)</v>
          </cell>
          <cell r="F188" t="str">
            <v>T393</v>
          </cell>
          <cell r="G188">
            <v>3</v>
          </cell>
          <cell r="H188">
            <v>22.1</v>
          </cell>
          <cell r="I188" t="str">
            <v>FL</v>
          </cell>
          <cell r="J188" t="str">
            <v>MACHINGA</v>
          </cell>
          <cell r="K188">
            <v>8</v>
          </cell>
          <cell r="L188">
            <v>0</v>
          </cell>
        </row>
        <row r="189">
          <cell r="A189" t="str">
            <v>RS 652</v>
          </cell>
          <cell r="B189">
            <v>474</v>
          </cell>
          <cell r="C189" t="str">
            <v>C</v>
          </cell>
          <cell r="D189" t="str">
            <v>F</v>
          </cell>
          <cell r="E189" t="str">
            <v>Biliate (junction S135) - Kandoma</v>
          </cell>
          <cell r="F189" t="str">
            <v>T394</v>
          </cell>
          <cell r="G189">
            <v>1</v>
          </cell>
          <cell r="H189">
            <v>8.9</v>
          </cell>
          <cell r="I189" t="str">
            <v>R</v>
          </cell>
          <cell r="J189" t="str">
            <v>NTCHEU</v>
          </cell>
          <cell r="K189">
            <v>8</v>
          </cell>
          <cell r="L189" t="str">
            <v xml:space="preserve">Length changed </v>
          </cell>
        </row>
        <row r="190">
          <cell r="A190" t="str">
            <v>RS 649</v>
          </cell>
          <cell r="B190">
            <v>471</v>
          </cell>
          <cell r="C190" t="str">
            <v>C</v>
          </cell>
          <cell r="D190" t="str">
            <v>F</v>
          </cell>
          <cell r="E190" t="str">
            <v>Kandoma - Lipangwe</v>
          </cell>
          <cell r="F190" t="str">
            <v>T394</v>
          </cell>
          <cell r="G190">
            <v>2</v>
          </cell>
          <cell r="H190">
            <v>10.8</v>
          </cell>
          <cell r="I190" t="str">
            <v>R</v>
          </cell>
          <cell r="J190" t="str">
            <v>NTCHEU</v>
          </cell>
          <cell r="K190">
            <v>8</v>
          </cell>
          <cell r="L190" t="str">
            <v>New section part of origional RS 148</v>
          </cell>
        </row>
        <row r="191">
          <cell r="A191" t="str">
            <v>RS 655</v>
          </cell>
          <cell r="B191">
            <v>477</v>
          </cell>
          <cell r="C191" t="str">
            <v>C</v>
          </cell>
          <cell r="D191" t="str">
            <v>F</v>
          </cell>
          <cell r="E191" t="str">
            <v>Lipangwe - Matale</v>
          </cell>
          <cell r="F191" t="str">
            <v>T394</v>
          </cell>
          <cell r="G191">
            <v>3</v>
          </cell>
          <cell r="H191">
            <v>5.7</v>
          </cell>
          <cell r="I191" t="str">
            <v>R</v>
          </cell>
          <cell r="J191" t="str">
            <v>NTCHEU</v>
          </cell>
          <cell r="K191">
            <v>8</v>
          </cell>
          <cell r="L191">
            <v>0</v>
          </cell>
        </row>
        <row r="192">
          <cell r="A192" t="str">
            <v>RS 650</v>
          </cell>
          <cell r="B192">
            <v>472</v>
          </cell>
          <cell r="C192" t="str">
            <v>C</v>
          </cell>
          <cell r="D192" t="str">
            <v>F</v>
          </cell>
          <cell r="E192" t="str">
            <v>Matale - Bonongwe</v>
          </cell>
          <cell r="F192" t="str">
            <v>T394</v>
          </cell>
          <cell r="G192">
            <v>4</v>
          </cell>
          <cell r="H192">
            <v>4.8</v>
          </cell>
          <cell r="I192" t="str">
            <v>FL</v>
          </cell>
          <cell r="J192" t="str">
            <v>NTCHEU</v>
          </cell>
          <cell r="K192">
            <v>8</v>
          </cell>
          <cell r="L192">
            <v>0</v>
          </cell>
        </row>
        <row r="193">
          <cell r="A193" t="str">
            <v>RS 653</v>
          </cell>
          <cell r="B193">
            <v>475</v>
          </cell>
          <cell r="C193" t="str">
            <v>C</v>
          </cell>
          <cell r="D193" t="str">
            <v>F</v>
          </cell>
          <cell r="E193" t="str">
            <v>Bonongwe - Senzani (junction M1)</v>
          </cell>
          <cell r="F193" t="str">
            <v>T394</v>
          </cell>
          <cell r="G193">
            <v>5</v>
          </cell>
          <cell r="H193">
            <v>7.1</v>
          </cell>
          <cell r="I193" t="str">
            <v>R</v>
          </cell>
          <cell r="J193" t="str">
            <v>NTCHEU</v>
          </cell>
          <cell r="K193">
            <v>8</v>
          </cell>
          <cell r="L193">
            <v>0</v>
          </cell>
        </row>
        <row r="194">
          <cell r="A194" t="str">
            <v>RS 648</v>
          </cell>
          <cell r="B194">
            <v>470</v>
          </cell>
          <cell r="C194" t="str">
            <v>C</v>
          </cell>
          <cell r="D194" t="str">
            <v>F</v>
          </cell>
          <cell r="E194" t="str">
            <v>Doviko (junction S135) - Matande</v>
          </cell>
          <cell r="F194" t="str">
            <v>T395</v>
          </cell>
          <cell r="G194">
            <v>1</v>
          </cell>
          <cell r="H194">
            <v>10.8</v>
          </cell>
          <cell r="I194" t="str">
            <v>R</v>
          </cell>
          <cell r="J194" t="str">
            <v>NTCHEU</v>
          </cell>
          <cell r="K194">
            <v>8</v>
          </cell>
          <cell r="L194" t="str">
            <v>Changed designation from T394 to T395</v>
          </cell>
        </row>
        <row r="195">
          <cell r="A195" t="str">
            <v>RS 657</v>
          </cell>
          <cell r="B195">
            <v>479</v>
          </cell>
          <cell r="C195" t="str">
            <v>C</v>
          </cell>
          <cell r="D195" t="str">
            <v>F</v>
          </cell>
          <cell r="E195" t="str">
            <v>Matande - Jumbe</v>
          </cell>
          <cell r="F195" t="str">
            <v>T395</v>
          </cell>
          <cell r="G195">
            <v>2</v>
          </cell>
          <cell r="H195">
            <v>4.5999999999999996</v>
          </cell>
          <cell r="I195" t="str">
            <v>R</v>
          </cell>
          <cell r="J195" t="str">
            <v>NTCHEU</v>
          </cell>
          <cell r="K195">
            <v>8</v>
          </cell>
          <cell r="L195" t="str">
            <v>Changed designation from T394 to T395</v>
          </cell>
        </row>
        <row r="196">
          <cell r="A196" t="str">
            <v>RS 654</v>
          </cell>
          <cell r="B196">
            <v>476</v>
          </cell>
          <cell r="C196" t="str">
            <v>C</v>
          </cell>
          <cell r="D196" t="str">
            <v>F</v>
          </cell>
          <cell r="E196" t="str">
            <v>Jumbe - Bayani</v>
          </cell>
          <cell r="F196" t="str">
            <v>T395</v>
          </cell>
          <cell r="G196">
            <v>3</v>
          </cell>
          <cell r="H196">
            <v>10</v>
          </cell>
          <cell r="I196" t="str">
            <v>R</v>
          </cell>
          <cell r="J196" t="str">
            <v>NTCHEU</v>
          </cell>
          <cell r="K196">
            <v>8</v>
          </cell>
          <cell r="L196" t="str">
            <v>Changed designation from T394 to T395</v>
          </cell>
        </row>
        <row r="197">
          <cell r="A197" t="str">
            <v>RS 651</v>
          </cell>
          <cell r="B197">
            <v>473</v>
          </cell>
          <cell r="C197" t="str">
            <v>C</v>
          </cell>
          <cell r="D197" t="str">
            <v>F</v>
          </cell>
          <cell r="E197" t="str">
            <v>Bayani - Zingilizi</v>
          </cell>
          <cell r="F197" t="str">
            <v>T395</v>
          </cell>
          <cell r="G197">
            <v>4</v>
          </cell>
          <cell r="H197">
            <v>8.1</v>
          </cell>
          <cell r="I197" t="str">
            <v>R</v>
          </cell>
          <cell r="J197" t="str">
            <v>NTCHEU</v>
          </cell>
          <cell r="K197">
            <v>8</v>
          </cell>
          <cell r="L197" t="str">
            <v>Changed designation from T394 to T395</v>
          </cell>
        </row>
        <row r="198">
          <cell r="A198" t="str">
            <v>RS 656</v>
          </cell>
          <cell r="B198">
            <v>478</v>
          </cell>
          <cell r="C198" t="str">
            <v>C</v>
          </cell>
          <cell r="D198" t="str">
            <v>F</v>
          </cell>
          <cell r="E198" t="str">
            <v>Zingilizi - Chilenga (junction S135)</v>
          </cell>
          <cell r="F198" t="str">
            <v>T395</v>
          </cell>
          <cell r="G198">
            <v>5</v>
          </cell>
          <cell r="H198">
            <v>8.6</v>
          </cell>
          <cell r="I198" t="str">
            <v>R</v>
          </cell>
          <cell r="J198" t="str">
            <v>NTCHEU</v>
          </cell>
          <cell r="K198">
            <v>8</v>
          </cell>
          <cell r="L198" t="str">
            <v>Changed designation from T394 to T395</v>
          </cell>
        </row>
        <row r="199">
          <cell r="A199" t="str">
            <v>RS 709</v>
          </cell>
          <cell r="B199">
            <v>531</v>
          </cell>
          <cell r="C199" t="str">
            <v>S</v>
          </cell>
          <cell r="D199" t="str">
            <v>F</v>
          </cell>
          <cell r="E199" t="str">
            <v>Kweneza (junction S135) - Kambale Ag.Station</v>
          </cell>
          <cell r="F199" t="str">
            <v>T396</v>
          </cell>
          <cell r="G199">
            <v>1</v>
          </cell>
          <cell r="H199">
            <v>13.5</v>
          </cell>
          <cell r="I199" t="str">
            <v>H</v>
          </cell>
          <cell r="J199" t="str">
            <v>MWANZA</v>
          </cell>
          <cell r="K199">
            <v>8</v>
          </cell>
        </row>
        <row r="200">
          <cell r="A200" t="str">
            <v>RS 706</v>
          </cell>
          <cell r="B200">
            <v>528</v>
          </cell>
          <cell r="C200" t="str">
            <v>S</v>
          </cell>
          <cell r="D200" t="str">
            <v>F</v>
          </cell>
          <cell r="E200" t="str">
            <v>Kambale Ag. Station - Nkase River</v>
          </cell>
          <cell r="F200" t="str">
            <v>T396</v>
          </cell>
          <cell r="G200">
            <v>2</v>
          </cell>
          <cell r="H200">
            <v>23.3</v>
          </cell>
          <cell r="I200" t="str">
            <v>H</v>
          </cell>
          <cell r="J200" t="str">
            <v>MWANZA</v>
          </cell>
          <cell r="K200">
            <v>8</v>
          </cell>
        </row>
        <row r="201">
          <cell r="A201" t="str">
            <v>RS 707</v>
          </cell>
          <cell r="B201">
            <v>529</v>
          </cell>
          <cell r="C201" t="str">
            <v>S</v>
          </cell>
          <cell r="D201" t="str">
            <v>F</v>
          </cell>
          <cell r="E201" t="str">
            <v>Nkase River - Lisungwi River</v>
          </cell>
          <cell r="F201" t="str">
            <v>T396</v>
          </cell>
          <cell r="G201">
            <v>3</v>
          </cell>
          <cell r="H201">
            <v>8.3000000000000007</v>
          </cell>
          <cell r="I201" t="str">
            <v>R</v>
          </cell>
          <cell r="J201" t="str">
            <v>MWANZA</v>
          </cell>
          <cell r="K201">
            <v>8</v>
          </cell>
        </row>
        <row r="202">
          <cell r="A202" t="str">
            <v>RS 708</v>
          </cell>
          <cell r="B202">
            <v>530</v>
          </cell>
          <cell r="C202" t="str">
            <v>S</v>
          </cell>
          <cell r="D202" t="str">
            <v>F</v>
          </cell>
          <cell r="E202" t="str">
            <v>Lisungwi River - Kamwamba (junction M1)</v>
          </cell>
          <cell r="F202" t="str">
            <v>T396</v>
          </cell>
          <cell r="G202">
            <v>4</v>
          </cell>
          <cell r="H202">
            <v>13.7</v>
          </cell>
          <cell r="I202" t="str">
            <v>R</v>
          </cell>
          <cell r="J202" t="str">
            <v>MWANZA</v>
          </cell>
          <cell r="K202">
            <v>8</v>
          </cell>
        </row>
        <row r="203">
          <cell r="A203" t="str">
            <v>RS 713</v>
          </cell>
          <cell r="B203">
            <v>535</v>
          </cell>
          <cell r="C203" t="str">
            <v>S</v>
          </cell>
          <cell r="D203" t="str">
            <v>F</v>
          </cell>
          <cell r="E203" t="str">
            <v>Kambale Ag. Station - Neno</v>
          </cell>
          <cell r="F203" t="str">
            <v>T397</v>
          </cell>
          <cell r="G203">
            <v>1</v>
          </cell>
          <cell r="H203">
            <v>13</v>
          </cell>
          <cell r="I203" t="str">
            <v>R</v>
          </cell>
          <cell r="J203" t="str">
            <v>MWANZA</v>
          </cell>
          <cell r="K203">
            <v>9</v>
          </cell>
        </row>
        <row r="204">
          <cell r="A204" t="str">
            <v>RS 711</v>
          </cell>
          <cell r="B204">
            <v>533</v>
          </cell>
          <cell r="C204" t="str">
            <v>S</v>
          </cell>
          <cell r="D204" t="str">
            <v>F</v>
          </cell>
          <cell r="E204" t="str">
            <v>Neno - Nyakoko</v>
          </cell>
          <cell r="F204" t="str">
            <v>T397</v>
          </cell>
          <cell r="G204">
            <v>2</v>
          </cell>
          <cell r="H204">
            <v>11.3</v>
          </cell>
          <cell r="I204" t="str">
            <v>R</v>
          </cell>
          <cell r="J204" t="str">
            <v>MWANZA</v>
          </cell>
          <cell r="K204">
            <v>9</v>
          </cell>
        </row>
        <row r="205">
          <cell r="A205" t="str">
            <v>RS 712</v>
          </cell>
          <cell r="B205">
            <v>534</v>
          </cell>
          <cell r="C205" t="str">
            <v>S</v>
          </cell>
          <cell r="D205" t="str">
            <v>F</v>
          </cell>
          <cell r="E205" t="str">
            <v>Nyakoko - Butawo</v>
          </cell>
          <cell r="F205" t="str">
            <v>T397</v>
          </cell>
          <cell r="G205">
            <v>3</v>
          </cell>
          <cell r="H205">
            <v>6.5</v>
          </cell>
          <cell r="I205" t="str">
            <v>R</v>
          </cell>
          <cell r="J205" t="str">
            <v>MWANZA</v>
          </cell>
          <cell r="K205">
            <v>9</v>
          </cell>
        </row>
        <row r="206">
          <cell r="A206" t="str">
            <v>RS 710</v>
          </cell>
          <cell r="B206">
            <v>532</v>
          </cell>
          <cell r="C206" t="str">
            <v>S</v>
          </cell>
          <cell r="D206" t="str">
            <v>F</v>
          </cell>
          <cell r="E206" t="str">
            <v>Butawo - Zaka (junction M6)</v>
          </cell>
          <cell r="F206" t="str">
            <v>T397</v>
          </cell>
          <cell r="G206">
            <v>4</v>
          </cell>
          <cell r="H206">
            <v>20</v>
          </cell>
          <cell r="I206" t="str">
            <v>R</v>
          </cell>
          <cell r="J206" t="str">
            <v>MWANZA</v>
          </cell>
          <cell r="K206">
            <v>9</v>
          </cell>
        </row>
        <row r="207">
          <cell r="A207" t="str">
            <v>RS 714</v>
          </cell>
          <cell r="B207">
            <v>536</v>
          </cell>
          <cell r="C207" t="str">
            <v>S</v>
          </cell>
          <cell r="D207" t="str">
            <v>F</v>
          </cell>
          <cell r="E207" t="str">
            <v>Kanjiwa - Nyakoko</v>
          </cell>
          <cell r="F207" t="str">
            <v>T398</v>
          </cell>
          <cell r="G207">
            <v>1</v>
          </cell>
          <cell r="H207">
            <v>24.7</v>
          </cell>
          <cell r="I207" t="str">
            <v>H</v>
          </cell>
          <cell r="J207" t="str">
            <v>MWANZA</v>
          </cell>
          <cell r="K207">
            <v>9</v>
          </cell>
        </row>
        <row r="208">
          <cell r="A208" t="str">
            <v>RS 719</v>
          </cell>
          <cell r="B208">
            <v>541</v>
          </cell>
          <cell r="C208" t="str">
            <v>S</v>
          </cell>
          <cell r="D208" t="str">
            <v>F</v>
          </cell>
          <cell r="E208" t="str">
            <v>Chiendausiku (junction M8) - Maduwane</v>
          </cell>
          <cell r="F208" t="str">
            <v>T399</v>
          </cell>
          <cell r="G208">
            <v>1</v>
          </cell>
          <cell r="H208">
            <v>12.3</v>
          </cell>
          <cell r="I208" t="str">
            <v>H</v>
          </cell>
          <cell r="J208" t="str">
            <v>MWANZA</v>
          </cell>
          <cell r="K208">
            <v>8</v>
          </cell>
        </row>
        <row r="209">
          <cell r="A209" t="str">
            <v>RS 717</v>
          </cell>
          <cell r="B209">
            <v>539</v>
          </cell>
          <cell r="C209" t="str">
            <v>S</v>
          </cell>
          <cell r="D209" t="str">
            <v>F</v>
          </cell>
          <cell r="E209" t="str">
            <v>Maduwane - Utale</v>
          </cell>
          <cell r="F209" t="str">
            <v>T399</v>
          </cell>
          <cell r="G209">
            <v>2</v>
          </cell>
          <cell r="H209">
            <v>8.8000000000000007</v>
          </cell>
          <cell r="I209" t="str">
            <v>FL</v>
          </cell>
          <cell r="J209" t="str">
            <v>MACHINGA</v>
          </cell>
          <cell r="K209">
            <v>8</v>
          </cell>
        </row>
        <row r="210">
          <cell r="A210" t="str">
            <v>RS 718</v>
          </cell>
          <cell r="B210">
            <v>540</v>
          </cell>
          <cell r="C210" t="str">
            <v>S</v>
          </cell>
          <cell r="D210" t="str">
            <v>F</v>
          </cell>
          <cell r="E210" t="str">
            <v>Utale - Nyanyala (junction M1)</v>
          </cell>
          <cell r="F210" t="str">
            <v>T399</v>
          </cell>
          <cell r="G210">
            <v>3</v>
          </cell>
          <cell r="H210">
            <v>26.7</v>
          </cell>
          <cell r="I210" t="str">
            <v>FL</v>
          </cell>
          <cell r="J210" t="str">
            <v>MACHINGA</v>
          </cell>
          <cell r="K210">
            <v>8</v>
          </cell>
        </row>
        <row r="211">
          <cell r="A211" t="str">
            <v>RS 720</v>
          </cell>
          <cell r="B211">
            <v>542</v>
          </cell>
          <cell r="C211" t="str">
            <v>S</v>
          </cell>
          <cell r="D211" t="str">
            <v>F</v>
          </cell>
          <cell r="E211" t="str">
            <v>Ntalika (junction M8) - Phalula</v>
          </cell>
          <cell r="F211" t="str">
            <v>T400</v>
          </cell>
          <cell r="G211">
            <v>1</v>
          </cell>
          <cell r="H211">
            <v>5.0999999999999996</v>
          </cell>
          <cell r="I211" t="str">
            <v>FL</v>
          </cell>
          <cell r="J211" t="str">
            <v>MACHINGA</v>
          </cell>
          <cell r="K211">
            <v>8</v>
          </cell>
        </row>
        <row r="212">
          <cell r="A212" t="str">
            <v>RS 723</v>
          </cell>
          <cell r="B212">
            <v>545</v>
          </cell>
          <cell r="C212" t="str">
            <v>S</v>
          </cell>
          <cell r="D212" t="str">
            <v>F</v>
          </cell>
          <cell r="E212" t="str">
            <v>Phalula - Utale</v>
          </cell>
          <cell r="F212" t="str">
            <v>T400</v>
          </cell>
          <cell r="G212">
            <v>2</v>
          </cell>
          <cell r="H212">
            <v>17.100000000000001</v>
          </cell>
          <cell r="I212" t="str">
            <v>FL</v>
          </cell>
          <cell r="J212" t="str">
            <v>MACHINGA</v>
          </cell>
          <cell r="K212">
            <v>8</v>
          </cell>
        </row>
        <row r="213">
          <cell r="A213" t="str">
            <v>RS 721</v>
          </cell>
          <cell r="B213">
            <v>543</v>
          </cell>
          <cell r="C213" t="str">
            <v>S</v>
          </cell>
          <cell r="D213" t="str">
            <v>F</v>
          </cell>
          <cell r="E213" t="str">
            <v>Utale - Shire North T.C</v>
          </cell>
          <cell r="F213" t="str">
            <v>T400</v>
          </cell>
          <cell r="G213">
            <v>3</v>
          </cell>
          <cell r="H213">
            <v>17.5</v>
          </cell>
          <cell r="I213" t="str">
            <v>FL</v>
          </cell>
          <cell r="J213" t="str">
            <v>MACHINGA</v>
          </cell>
          <cell r="K213">
            <v>8</v>
          </cell>
        </row>
        <row r="214">
          <cell r="A214" t="str">
            <v>RS 722</v>
          </cell>
          <cell r="B214">
            <v>544</v>
          </cell>
          <cell r="C214" t="str">
            <v>S</v>
          </cell>
          <cell r="D214" t="str">
            <v>F</v>
          </cell>
          <cell r="E214" t="str">
            <v>Shire North TC - Kasangale (junction S139)</v>
          </cell>
          <cell r="F214" t="str">
            <v>T400</v>
          </cell>
          <cell r="G214">
            <v>4</v>
          </cell>
          <cell r="H214">
            <v>10.199999999999999</v>
          </cell>
          <cell r="I214" t="str">
            <v>R</v>
          </cell>
          <cell r="J214" t="str">
            <v>ZOMBA</v>
          </cell>
          <cell r="K214">
            <v>8</v>
          </cell>
        </row>
        <row r="215">
          <cell r="A215" t="str">
            <v>RS 724</v>
          </cell>
          <cell r="B215">
            <v>546</v>
          </cell>
          <cell r="C215" t="str">
            <v>S</v>
          </cell>
          <cell r="D215" t="str">
            <v>F</v>
          </cell>
          <cell r="E215" t="str">
            <v>Machinga (junction M3) - Chigwandembo Bridge</v>
          </cell>
          <cell r="F215" t="str">
            <v>T401</v>
          </cell>
          <cell r="G215">
            <v>1</v>
          </cell>
          <cell r="H215">
            <v>8.6999999999999993</v>
          </cell>
          <cell r="I215" t="str">
            <v>FL</v>
          </cell>
          <cell r="J215" t="str">
            <v>MACHINGA</v>
          </cell>
          <cell r="K215">
            <v>8</v>
          </cell>
        </row>
        <row r="216">
          <cell r="A216" t="str">
            <v>RS 725</v>
          </cell>
          <cell r="B216">
            <v>547</v>
          </cell>
          <cell r="C216" t="str">
            <v>S</v>
          </cell>
          <cell r="D216" t="str">
            <v>F</v>
          </cell>
          <cell r="E216" t="str">
            <v>Chikwandembo River - Chinseu</v>
          </cell>
          <cell r="F216" t="str">
            <v>T401</v>
          </cell>
          <cell r="G216">
            <v>2</v>
          </cell>
          <cell r="H216">
            <v>14</v>
          </cell>
          <cell r="I216" t="str">
            <v>R</v>
          </cell>
          <cell r="J216" t="str">
            <v>ZOMBA</v>
          </cell>
          <cell r="K216">
            <v>8</v>
          </cell>
        </row>
        <row r="217">
          <cell r="A217" t="str">
            <v>RS 726</v>
          </cell>
          <cell r="B217">
            <v>548</v>
          </cell>
          <cell r="C217" t="str">
            <v>S</v>
          </cell>
          <cell r="D217" t="str">
            <v>F</v>
          </cell>
          <cell r="E217" t="str">
            <v>Chinseu - Chikwenga (junction S139)</v>
          </cell>
          <cell r="F217" t="str">
            <v>T401</v>
          </cell>
          <cell r="G217">
            <v>3</v>
          </cell>
          <cell r="H217">
            <v>7</v>
          </cell>
          <cell r="I217" t="str">
            <v>R</v>
          </cell>
          <cell r="J217" t="str">
            <v>ZOMBA</v>
          </cell>
          <cell r="K217">
            <v>8</v>
          </cell>
        </row>
        <row r="218">
          <cell r="A218" t="str">
            <v>RS 728</v>
          </cell>
          <cell r="B218">
            <v>550</v>
          </cell>
          <cell r="C218" t="str">
            <v>S</v>
          </cell>
          <cell r="D218" t="str">
            <v>F</v>
          </cell>
          <cell r="E218" t="str">
            <v>Naminga (junction S131) - Malopa</v>
          </cell>
          <cell r="F218" t="str">
            <v>T402</v>
          </cell>
          <cell r="G218">
            <v>1</v>
          </cell>
          <cell r="H218">
            <v>5.3</v>
          </cell>
          <cell r="I218" t="str">
            <v>R</v>
          </cell>
          <cell r="J218" t="str">
            <v>MACHINGA</v>
          </cell>
          <cell r="K218">
            <v>8</v>
          </cell>
        </row>
        <row r="219">
          <cell r="A219" t="str">
            <v>RS 730</v>
          </cell>
          <cell r="B219">
            <v>552</v>
          </cell>
          <cell r="C219" t="str">
            <v>S</v>
          </cell>
          <cell r="D219" t="str">
            <v>F</v>
          </cell>
          <cell r="E219" t="str">
            <v>Malopa - Namikonya Stream</v>
          </cell>
          <cell r="F219" t="str">
            <v>T402</v>
          </cell>
          <cell r="G219">
            <v>2</v>
          </cell>
          <cell r="H219">
            <v>14.4</v>
          </cell>
          <cell r="I219" t="str">
            <v>H</v>
          </cell>
          <cell r="J219" t="str">
            <v>MACHINGA</v>
          </cell>
          <cell r="K219">
            <v>8</v>
          </cell>
        </row>
        <row r="220">
          <cell r="A220" t="str">
            <v>RS 727</v>
          </cell>
          <cell r="B220">
            <v>549</v>
          </cell>
          <cell r="C220" t="str">
            <v>S</v>
          </cell>
          <cell r="D220" t="str">
            <v>F</v>
          </cell>
          <cell r="E220" t="str">
            <v>Namikonya Stream - Chamatwa</v>
          </cell>
          <cell r="F220" t="str">
            <v>T402</v>
          </cell>
          <cell r="G220">
            <v>3</v>
          </cell>
          <cell r="H220">
            <v>7.6</v>
          </cell>
          <cell r="I220" t="str">
            <v>R</v>
          </cell>
          <cell r="J220" t="str">
            <v>MACHINGA</v>
          </cell>
          <cell r="K220">
            <v>8</v>
          </cell>
        </row>
        <row r="221">
          <cell r="A221" t="str">
            <v>RS 729</v>
          </cell>
          <cell r="B221">
            <v>551</v>
          </cell>
          <cell r="C221" t="str">
            <v>S</v>
          </cell>
          <cell r="D221" t="str">
            <v>F</v>
          </cell>
          <cell r="E221" t="str">
            <v>Chamatwa - Likwenu River (junction M3)</v>
          </cell>
          <cell r="F221" t="str">
            <v>T402</v>
          </cell>
          <cell r="G221">
            <v>4</v>
          </cell>
          <cell r="H221">
            <v>6</v>
          </cell>
          <cell r="I221" t="str">
            <v>FL</v>
          </cell>
          <cell r="J221" t="str">
            <v>MACHINGA &amp; ZOMBA</v>
          </cell>
          <cell r="K221">
            <v>8</v>
          </cell>
        </row>
        <row r="222">
          <cell r="A222" t="str">
            <v>RS 732</v>
          </cell>
          <cell r="B222">
            <v>554</v>
          </cell>
          <cell r="C222" t="str">
            <v>S</v>
          </cell>
          <cell r="D222" t="str">
            <v>F</v>
          </cell>
          <cell r="E222" t="str">
            <v>Jokala - Msondole</v>
          </cell>
          <cell r="F222" t="str">
            <v>T403</v>
          </cell>
          <cell r="G222">
            <v>2</v>
          </cell>
          <cell r="H222">
            <v>8.6999999999999993</v>
          </cell>
          <cell r="I222" t="str">
            <v>R</v>
          </cell>
          <cell r="J222" t="str">
            <v>ZOMBA</v>
          </cell>
          <cell r="K222">
            <v>8</v>
          </cell>
          <cell r="L222" t="str">
            <v>Changed designation from S156 to S151</v>
          </cell>
        </row>
        <row r="223">
          <cell r="A223" t="str">
            <v>RS 734</v>
          </cell>
          <cell r="B223">
            <v>556</v>
          </cell>
          <cell r="C223" t="str">
            <v>S</v>
          </cell>
          <cell r="D223" t="str">
            <v>F</v>
          </cell>
          <cell r="E223" t="str">
            <v>Mpyupyu T.C. (junction S143)  - Chamba</v>
          </cell>
          <cell r="F223" t="str">
            <v>T404</v>
          </cell>
          <cell r="G223">
            <v>1</v>
          </cell>
          <cell r="H223">
            <v>7.9</v>
          </cell>
          <cell r="I223" t="str">
            <v>R</v>
          </cell>
          <cell r="J223" t="str">
            <v>ZOMBA</v>
          </cell>
          <cell r="K223">
            <v>9</v>
          </cell>
        </row>
        <row r="224">
          <cell r="A224" t="str">
            <v>RS 733</v>
          </cell>
          <cell r="B224">
            <v>555</v>
          </cell>
          <cell r="C224" t="str">
            <v>S</v>
          </cell>
          <cell r="D224" t="str">
            <v>F</v>
          </cell>
          <cell r="E224" t="str">
            <v>Chamba - Jali (junction S144)</v>
          </cell>
          <cell r="F224" t="str">
            <v>T404</v>
          </cell>
          <cell r="G224">
            <v>2</v>
          </cell>
          <cell r="H224">
            <v>6.6</v>
          </cell>
          <cell r="I224" t="str">
            <v>R</v>
          </cell>
          <cell r="J224" t="str">
            <v>ZOMBA</v>
          </cell>
          <cell r="K224">
            <v>9</v>
          </cell>
        </row>
        <row r="225">
          <cell r="A225" t="str">
            <v>RS 731</v>
          </cell>
          <cell r="B225">
            <v>553</v>
          </cell>
          <cell r="C225" t="str">
            <v>S</v>
          </cell>
          <cell r="D225" t="str">
            <v>F</v>
          </cell>
          <cell r="E225" t="str">
            <v>Thodwe (junction M3) - Mayaka</v>
          </cell>
          <cell r="F225" t="str">
            <v>T405</v>
          </cell>
          <cell r="G225">
            <v>1</v>
          </cell>
          <cell r="H225">
            <v>21</v>
          </cell>
          <cell r="I225" t="str">
            <v>R</v>
          </cell>
          <cell r="J225" t="str">
            <v>ZOMBA</v>
          </cell>
          <cell r="K225">
            <v>9</v>
          </cell>
          <cell r="L225" t="str">
            <v>Changed designation from T403 to T405</v>
          </cell>
        </row>
        <row r="226">
          <cell r="A226" t="str">
            <v>RS 745</v>
          </cell>
          <cell r="B226">
            <v>567</v>
          </cell>
          <cell r="C226" t="str">
            <v>S</v>
          </cell>
          <cell r="D226" t="str">
            <v>F</v>
          </cell>
          <cell r="E226" t="str">
            <v>Mayaka - Jali (junction S144)</v>
          </cell>
          <cell r="F226" t="str">
            <v>T405</v>
          </cell>
          <cell r="G226">
            <v>2</v>
          </cell>
          <cell r="H226">
            <v>14.6</v>
          </cell>
          <cell r="I226" t="str">
            <v>FL</v>
          </cell>
          <cell r="J226" t="str">
            <v>ZOMBA</v>
          </cell>
          <cell r="K226">
            <v>9</v>
          </cell>
          <cell r="L226" t="str">
            <v>Changed designation from T408 to T405</v>
          </cell>
        </row>
        <row r="227">
          <cell r="A227" t="str">
            <v>RS 735</v>
          </cell>
          <cell r="B227">
            <v>557</v>
          </cell>
          <cell r="C227" t="str">
            <v>S</v>
          </cell>
          <cell r="D227" t="str">
            <v>F</v>
          </cell>
          <cell r="E227" t="str">
            <v>Maphanda junction S144) - Chigumukire</v>
          </cell>
          <cell r="F227" t="str">
            <v>T405</v>
          </cell>
          <cell r="G227">
            <v>3</v>
          </cell>
          <cell r="H227">
            <v>10.5</v>
          </cell>
          <cell r="I227" t="str">
            <v>R</v>
          </cell>
          <cell r="J227" t="str">
            <v>ZOMBA</v>
          </cell>
          <cell r="K227">
            <v>9</v>
          </cell>
          <cell r="L227" t="str">
            <v>Changed designation from M9 to S152</v>
          </cell>
        </row>
        <row r="228">
          <cell r="A228" t="str">
            <v>RS 736</v>
          </cell>
          <cell r="B228">
            <v>558</v>
          </cell>
          <cell r="C228" t="str">
            <v>S</v>
          </cell>
          <cell r="D228" t="str">
            <v>F</v>
          </cell>
          <cell r="E228" t="str">
            <v>Chigumukire - Joni</v>
          </cell>
          <cell r="F228" t="str">
            <v>T405</v>
          </cell>
          <cell r="G228">
            <v>4</v>
          </cell>
          <cell r="H228">
            <v>19.5</v>
          </cell>
          <cell r="I228" t="str">
            <v>R</v>
          </cell>
          <cell r="J228" t="str">
            <v>ZOMBA &amp; PHALOMBE</v>
          </cell>
          <cell r="K228">
            <v>9</v>
          </cell>
          <cell r="L228" t="str">
            <v>Changed designation from S151 to S152</v>
          </cell>
        </row>
        <row r="229">
          <cell r="A229" t="str">
            <v>RS 738</v>
          </cell>
          <cell r="B229">
            <v>560</v>
          </cell>
          <cell r="C229" t="str">
            <v>S</v>
          </cell>
          <cell r="D229" t="str">
            <v>F</v>
          </cell>
          <cell r="E229" t="str">
            <v>Nyungwe (junction M3) - Lirangwe</v>
          </cell>
          <cell r="F229" t="str">
            <v>T406</v>
          </cell>
          <cell r="G229">
            <v>1</v>
          </cell>
          <cell r="H229">
            <v>4.0999999999999996</v>
          </cell>
          <cell r="I229" t="str">
            <v>R</v>
          </cell>
          <cell r="J229" t="str">
            <v>CHIRADZULU</v>
          </cell>
          <cell r="K229">
            <v>9</v>
          </cell>
        </row>
        <row r="230">
          <cell r="A230" t="str">
            <v>RS 737</v>
          </cell>
          <cell r="B230">
            <v>559</v>
          </cell>
          <cell r="C230" t="str">
            <v>S</v>
          </cell>
          <cell r="D230" t="str">
            <v>F</v>
          </cell>
          <cell r="E230" t="str">
            <v>Lirangwe - Chidzolo (Mudi)</v>
          </cell>
          <cell r="F230" t="str">
            <v>T406</v>
          </cell>
          <cell r="G230">
            <v>2</v>
          </cell>
          <cell r="H230">
            <v>4.5999999999999996</v>
          </cell>
          <cell r="I230" t="str">
            <v>R</v>
          </cell>
          <cell r="J230" t="str">
            <v>CHIRADZULU</v>
          </cell>
          <cell r="K230">
            <v>9</v>
          </cell>
          <cell r="L230" t="str">
            <v>Part of origional RS 148</v>
          </cell>
        </row>
        <row r="231">
          <cell r="A231" t="str">
            <v>RS 739</v>
          </cell>
          <cell r="B231">
            <v>561</v>
          </cell>
          <cell r="C231" t="str">
            <v>S</v>
          </cell>
          <cell r="D231" t="str">
            <v>F</v>
          </cell>
          <cell r="E231" t="str">
            <v>Chidzolo (mudi) - Lunzu (junction M1)</v>
          </cell>
          <cell r="F231" t="str">
            <v>T406</v>
          </cell>
          <cell r="G231">
            <v>3</v>
          </cell>
          <cell r="H231">
            <v>11.7</v>
          </cell>
          <cell r="I231" t="str">
            <v>R</v>
          </cell>
          <cell r="J231" t="str">
            <v>BLANTYRE</v>
          </cell>
          <cell r="K231">
            <v>9</v>
          </cell>
          <cell r="L231" t="str">
            <v>Road section redefined</v>
          </cell>
        </row>
        <row r="232">
          <cell r="A232" t="str">
            <v>RS 740</v>
          </cell>
          <cell r="B232">
            <v>562</v>
          </cell>
          <cell r="C232" t="str">
            <v>S</v>
          </cell>
          <cell r="D232" t="str">
            <v>F</v>
          </cell>
          <cell r="E232" t="str">
            <v>Magomero (junction M3) - Namadzi River bridge</v>
          </cell>
          <cell r="F232" t="str">
            <v>T407</v>
          </cell>
          <cell r="G232">
            <v>1</v>
          </cell>
          <cell r="H232">
            <v>8.1999999999999993</v>
          </cell>
          <cell r="I232" t="str">
            <v>R</v>
          </cell>
          <cell r="J232" t="str">
            <v>CHIRADZULU &amp; ZOMBA</v>
          </cell>
          <cell r="K232">
            <v>9</v>
          </cell>
        </row>
        <row r="233">
          <cell r="A233" t="str">
            <v>RS 742</v>
          </cell>
          <cell r="B233">
            <v>564</v>
          </cell>
          <cell r="C233" t="str">
            <v>S</v>
          </cell>
          <cell r="D233" t="str">
            <v>F</v>
          </cell>
          <cell r="E233" t="str">
            <v>Namadzi River bridge - Mali</v>
          </cell>
          <cell r="F233" t="str">
            <v>T407</v>
          </cell>
          <cell r="G233">
            <v>2</v>
          </cell>
          <cell r="H233">
            <v>9.1</v>
          </cell>
          <cell r="I233" t="str">
            <v>R</v>
          </cell>
          <cell r="J233" t="str">
            <v>ZOMBA</v>
          </cell>
          <cell r="K233">
            <v>9</v>
          </cell>
        </row>
        <row r="234">
          <cell r="A234" t="str">
            <v>RS 741</v>
          </cell>
          <cell r="B234">
            <v>563</v>
          </cell>
          <cell r="C234" t="str">
            <v>S</v>
          </cell>
          <cell r="D234" t="str">
            <v>F</v>
          </cell>
          <cell r="E234" t="str">
            <v>Mali - Matiti</v>
          </cell>
          <cell r="F234" t="str">
            <v>T407</v>
          </cell>
          <cell r="G234">
            <v>3</v>
          </cell>
          <cell r="H234">
            <v>9.5</v>
          </cell>
          <cell r="I234" t="str">
            <v>R</v>
          </cell>
          <cell r="J234" t="str">
            <v>ZOMBA</v>
          </cell>
          <cell r="K234">
            <v>9</v>
          </cell>
        </row>
        <row r="235">
          <cell r="A235" t="str">
            <v>RS 743</v>
          </cell>
          <cell r="B235">
            <v>565</v>
          </cell>
          <cell r="C235" t="str">
            <v>S</v>
          </cell>
          <cell r="D235" t="str">
            <v>F</v>
          </cell>
          <cell r="E235" t="str">
            <v>Mayaka - Utwe River</v>
          </cell>
          <cell r="F235" t="str">
            <v>T408</v>
          </cell>
          <cell r="G235">
            <v>1</v>
          </cell>
          <cell r="H235">
            <v>9.6</v>
          </cell>
          <cell r="I235" t="str">
            <v>FL</v>
          </cell>
          <cell r="J235" t="str">
            <v>ZOMBA</v>
          </cell>
          <cell r="K235">
            <v>9</v>
          </cell>
        </row>
        <row r="236">
          <cell r="A236" t="str">
            <v>RS 746</v>
          </cell>
          <cell r="B236">
            <v>658</v>
          </cell>
          <cell r="C236" t="str">
            <v>S</v>
          </cell>
          <cell r="D236" t="str">
            <v>F</v>
          </cell>
          <cell r="E236" t="str">
            <v>Utwe River - Matiti</v>
          </cell>
          <cell r="F236" t="str">
            <v>T408</v>
          </cell>
          <cell r="G236">
            <v>2</v>
          </cell>
          <cell r="H236">
            <v>4.3</v>
          </cell>
          <cell r="I236" t="str">
            <v>FL</v>
          </cell>
          <cell r="J236" t="str">
            <v>ZOMBA</v>
          </cell>
          <cell r="K236">
            <v>9</v>
          </cell>
        </row>
        <row r="237">
          <cell r="A237" t="str">
            <v>RS 744</v>
          </cell>
          <cell r="B237">
            <v>566</v>
          </cell>
          <cell r="C237" t="str">
            <v>S</v>
          </cell>
          <cell r="D237" t="str">
            <v>F</v>
          </cell>
          <cell r="E237" t="str">
            <v>Milepa (junction S145) - Mombezi River</v>
          </cell>
          <cell r="F237" t="str">
            <v>T408</v>
          </cell>
          <cell r="G237">
            <v>3</v>
          </cell>
          <cell r="H237">
            <v>4.5</v>
          </cell>
          <cell r="I237" t="str">
            <v>FL</v>
          </cell>
          <cell r="J237" t="str">
            <v>PHALOMBE</v>
          </cell>
          <cell r="K237">
            <v>9</v>
          </cell>
        </row>
        <row r="238">
          <cell r="A238" t="str">
            <v>RS 747</v>
          </cell>
          <cell r="B238">
            <v>659</v>
          </cell>
          <cell r="C238" t="str">
            <v>S</v>
          </cell>
          <cell r="D238" t="str">
            <v>F</v>
          </cell>
          <cell r="E238" t="str">
            <v>Mombezi River - Kandulo</v>
          </cell>
          <cell r="F238" t="str">
            <v>T408</v>
          </cell>
          <cell r="G238">
            <v>4</v>
          </cell>
          <cell r="H238">
            <v>15.5</v>
          </cell>
          <cell r="I238" t="str">
            <v>R</v>
          </cell>
          <cell r="J238" t="str">
            <v>PHALOMBE</v>
          </cell>
          <cell r="K238">
            <v>9</v>
          </cell>
        </row>
        <row r="239">
          <cell r="A239" t="str">
            <v>RS 793</v>
          </cell>
          <cell r="B239">
            <v>615</v>
          </cell>
          <cell r="C239" t="str">
            <v>S</v>
          </cell>
          <cell r="D239" t="str">
            <v>F</v>
          </cell>
          <cell r="E239" t="str">
            <v>Kandulo - junction S147</v>
          </cell>
          <cell r="F239" t="str">
            <v>T408</v>
          </cell>
          <cell r="G239">
            <v>5</v>
          </cell>
          <cell r="H239">
            <v>15</v>
          </cell>
          <cell r="I239" t="str">
            <v>R</v>
          </cell>
          <cell r="J239" t="str">
            <v>MULANJE</v>
          </cell>
          <cell r="K239">
            <v>9</v>
          </cell>
          <cell r="L239" t="str">
            <v>Changed designation from T463 to T408</v>
          </cell>
        </row>
        <row r="240">
          <cell r="A240" t="str">
            <v>RS 748</v>
          </cell>
          <cell r="B240">
            <v>570</v>
          </cell>
          <cell r="C240" t="str">
            <v>S</v>
          </cell>
          <cell r="D240" t="str">
            <v>F</v>
          </cell>
          <cell r="E240" t="str">
            <v>Chileka Airport - Chilomoni</v>
          </cell>
          <cell r="F240" t="str">
            <v>T409</v>
          </cell>
          <cell r="G240">
            <v>1</v>
          </cell>
          <cell r="H240">
            <v>21.1</v>
          </cell>
          <cell r="I240" t="str">
            <v>H</v>
          </cell>
          <cell r="J240" t="str">
            <v>BLANTYRE</v>
          </cell>
          <cell r="K240">
            <v>9</v>
          </cell>
        </row>
        <row r="241">
          <cell r="A241" t="str">
            <v>RS 749</v>
          </cell>
          <cell r="B241">
            <v>571</v>
          </cell>
          <cell r="C241" t="str">
            <v>S</v>
          </cell>
          <cell r="D241" t="str">
            <v>F</v>
          </cell>
          <cell r="E241" t="str">
            <v>Chilomoni - Blantyre</v>
          </cell>
          <cell r="F241" t="str">
            <v>T409</v>
          </cell>
          <cell r="G241">
            <v>2</v>
          </cell>
          <cell r="H241">
            <v>5.7</v>
          </cell>
          <cell r="I241" t="str">
            <v>H</v>
          </cell>
          <cell r="J241" t="str">
            <v>BLANTYRE</v>
          </cell>
          <cell r="K241">
            <v>9</v>
          </cell>
        </row>
        <row r="242">
          <cell r="A242" t="str">
            <v>RS 751</v>
          </cell>
          <cell r="B242">
            <v>573</v>
          </cell>
          <cell r="C242" t="str">
            <v>S</v>
          </cell>
          <cell r="D242" t="str">
            <v>F</v>
          </cell>
          <cell r="E242" t="str">
            <v>Chinkankheni - Chatha</v>
          </cell>
          <cell r="F242" t="str">
            <v>T411</v>
          </cell>
          <cell r="G242">
            <v>1</v>
          </cell>
          <cell r="H242">
            <v>11.5</v>
          </cell>
          <cell r="I242" t="str">
            <v>R</v>
          </cell>
          <cell r="J242" t="str">
            <v>BLANTYRE</v>
          </cell>
          <cell r="K242">
            <v>9</v>
          </cell>
        </row>
        <row r="243">
          <cell r="A243" t="str">
            <v>RS 750</v>
          </cell>
          <cell r="B243">
            <v>572</v>
          </cell>
          <cell r="C243" t="str">
            <v>S</v>
          </cell>
          <cell r="D243" t="str">
            <v>F</v>
          </cell>
          <cell r="E243" t="str">
            <v>Chatha - Mzembere</v>
          </cell>
          <cell r="F243" t="str">
            <v>T411</v>
          </cell>
          <cell r="G243">
            <v>2</v>
          </cell>
          <cell r="H243">
            <v>6.9</v>
          </cell>
          <cell r="I243" t="str">
            <v>R</v>
          </cell>
          <cell r="J243" t="str">
            <v>CHIRADZULU</v>
          </cell>
          <cell r="K243">
            <v>9</v>
          </cell>
        </row>
        <row r="244">
          <cell r="A244" t="str">
            <v>RS 753</v>
          </cell>
          <cell r="B244">
            <v>575</v>
          </cell>
          <cell r="C244" t="str">
            <v>S</v>
          </cell>
          <cell r="D244" t="str">
            <v>F</v>
          </cell>
          <cell r="E244" t="str">
            <v>Mikolongwe - Namitambo</v>
          </cell>
          <cell r="F244" t="str">
            <v>T412</v>
          </cell>
          <cell r="G244">
            <v>1</v>
          </cell>
          <cell r="H244">
            <v>7.6</v>
          </cell>
          <cell r="I244" t="str">
            <v>R</v>
          </cell>
          <cell r="J244" t="str">
            <v>CHIRADZULU</v>
          </cell>
          <cell r="K244">
            <v>9</v>
          </cell>
        </row>
        <row r="245">
          <cell r="A245" t="str">
            <v>RS 752</v>
          </cell>
          <cell r="B245">
            <v>574</v>
          </cell>
          <cell r="C245" t="str">
            <v>S</v>
          </cell>
          <cell r="D245" t="str">
            <v>F</v>
          </cell>
          <cell r="E245" t="str">
            <v>Namitambo - Namulenga</v>
          </cell>
          <cell r="F245" t="str">
            <v>T412</v>
          </cell>
          <cell r="G245">
            <v>2</v>
          </cell>
          <cell r="H245">
            <v>7.8</v>
          </cell>
          <cell r="I245" t="str">
            <v>FL</v>
          </cell>
          <cell r="J245" t="str">
            <v>CHIRADZULU</v>
          </cell>
          <cell r="K245">
            <v>9</v>
          </cell>
        </row>
        <row r="246">
          <cell r="A246" t="str">
            <v>RS 756</v>
          </cell>
          <cell r="B246">
            <v>578</v>
          </cell>
          <cell r="C246" t="str">
            <v>S</v>
          </cell>
          <cell r="D246" t="str">
            <v>F</v>
          </cell>
          <cell r="E246" t="str">
            <v>Namlenga - Chilemba</v>
          </cell>
          <cell r="F246" t="str">
            <v>T412</v>
          </cell>
          <cell r="G246">
            <v>3</v>
          </cell>
          <cell r="H246">
            <v>2.5</v>
          </cell>
          <cell r="I246" t="str">
            <v>FL</v>
          </cell>
          <cell r="J246" t="str">
            <v>PHALOMBE</v>
          </cell>
          <cell r="K246">
            <v>9</v>
          </cell>
          <cell r="L246" t="str">
            <v>Changed designation from T413 to T412</v>
          </cell>
        </row>
        <row r="247">
          <cell r="A247" t="str">
            <v>RS 759</v>
          </cell>
          <cell r="B247">
            <v>581</v>
          </cell>
          <cell r="C247" t="str">
            <v>S</v>
          </cell>
          <cell r="D247" t="str">
            <v>F</v>
          </cell>
          <cell r="E247" t="str">
            <v>Bwanaisa - Mwanyenga</v>
          </cell>
          <cell r="F247" t="str">
            <v>T413</v>
          </cell>
          <cell r="G247">
            <v>1</v>
          </cell>
          <cell r="H247">
            <v>15.5</v>
          </cell>
          <cell r="I247" t="str">
            <v>FL</v>
          </cell>
          <cell r="J247" t="str">
            <v>PHALOMBE</v>
          </cell>
          <cell r="K247">
            <v>9</v>
          </cell>
        </row>
        <row r="248">
          <cell r="A248" t="str">
            <v>RS 755</v>
          </cell>
          <cell r="B248">
            <v>577</v>
          </cell>
          <cell r="C248" t="str">
            <v>S</v>
          </cell>
          <cell r="D248" t="str">
            <v>F</v>
          </cell>
          <cell r="E248" t="str">
            <v>Mwanyenga - Kandulo T.C.</v>
          </cell>
          <cell r="F248" t="str">
            <v>T413</v>
          </cell>
          <cell r="G248">
            <v>2</v>
          </cell>
          <cell r="H248">
            <v>16.399999999999999</v>
          </cell>
          <cell r="I248" t="str">
            <v>FL</v>
          </cell>
          <cell r="J248" t="str">
            <v>PHALOMBE</v>
          </cell>
          <cell r="K248">
            <v>9</v>
          </cell>
        </row>
        <row r="249">
          <cell r="A249" t="str">
            <v>RS 757</v>
          </cell>
          <cell r="B249">
            <v>579</v>
          </cell>
          <cell r="C249" t="str">
            <v>S</v>
          </cell>
          <cell r="D249" t="str">
            <v>F</v>
          </cell>
          <cell r="E249" t="str">
            <v>Kandulo T.C. - Chilemba</v>
          </cell>
          <cell r="F249" t="str">
            <v>T413</v>
          </cell>
          <cell r="G249">
            <v>3</v>
          </cell>
          <cell r="H249">
            <v>7.6</v>
          </cell>
          <cell r="I249" t="str">
            <v>FL</v>
          </cell>
          <cell r="J249" t="str">
            <v>PHALOMBE</v>
          </cell>
          <cell r="K249">
            <v>9</v>
          </cell>
        </row>
        <row r="250">
          <cell r="A250" t="str">
            <v>RS 754</v>
          </cell>
          <cell r="B250">
            <v>576</v>
          </cell>
          <cell r="C250" t="str">
            <v>S</v>
          </cell>
          <cell r="D250" t="str">
            <v>F</v>
          </cell>
          <cell r="E250" t="str">
            <v>Chilemba - Thuchila T.C.</v>
          </cell>
          <cell r="F250" t="str">
            <v>T413</v>
          </cell>
          <cell r="G250">
            <v>4</v>
          </cell>
          <cell r="H250">
            <v>3.6</v>
          </cell>
          <cell r="I250" t="str">
            <v>FL</v>
          </cell>
          <cell r="J250" t="str">
            <v>MULANJE</v>
          </cell>
          <cell r="K250">
            <v>9</v>
          </cell>
        </row>
        <row r="251">
          <cell r="A251" t="str">
            <v>RS 760</v>
          </cell>
          <cell r="B251">
            <v>582</v>
          </cell>
          <cell r="C251" t="str">
            <v>S</v>
          </cell>
          <cell r="D251" t="str">
            <v>F</v>
          </cell>
          <cell r="E251" t="str">
            <v>Nkhulambe - Phalombe</v>
          </cell>
          <cell r="F251" t="str">
            <v>T414</v>
          </cell>
          <cell r="G251">
            <v>1</v>
          </cell>
          <cell r="H251">
            <v>14.3</v>
          </cell>
          <cell r="I251" t="str">
            <v>H</v>
          </cell>
          <cell r="J251" t="str">
            <v>MULANJE</v>
          </cell>
          <cell r="K251">
            <v>9</v>
          </cell>
        </row>
        <row r="252">
          <cell r="A252" t="str">
            <v>RS 762</v>
          </cell>
          <cell r="B252">
            <v>584</v>
          </cell>
          <cell r="C252" t="str">
            <v>S</v>
          </cell>
          <cell r="D252" t="str">
            <v>F</v>
          </cell>
          <cell r="E252" t="str">
            <v>Singano - Chilinga</v>
          </cell>
          <cell r="F252" t="str">
            <v>T415</v>
          </cell>
          <cell r="G252">
            <v>1</v>
          </cell>
          <cell r="H252">
            <v>10.9</v>
          </cell>
          <cell r="I252" t="str">
            <v>FL</v>
          </cell>
          <cell r="J252" t="str">
            <v>MULANJE</v>
          </cell>
          <cell r="K252">
            <v>9</v>
          </cell>
        </row>
        <row r="253">
          <cell r="A253" t="str">
            <v>RS 764</v>
          </cell>
          <cell r="B253">
            <v>586</v>
          </cell>
          <cell r="C253" t="str">
            <v>S</v>
          </cell>
          <cell r="D253" t="str">
            <v>F</v>
          </cell>
          <cell r="E253" t="str">
            <v>Chilinga - Nkhulambe</v>
          </cell>
          <cell r="F253" t="str">
            <v>T415</v>
          </cell>
          <cell r="G253">
            <v>2</v>
          </cell>
          <cell r="H253">
            <v>8.6999999999999993</v>
          </cell>
          <cell r="I253" t="str">
            <v>H</v>
          </cell>
          <cell r="J253" t="str">
            <v>MULANJE</v>
          </cell>
          <cell r="K253">
            <v>9</v>
          </cell>
        </row>
        <row r="254">
          <cell r="A254" t="str">
            <v>RS 765</v>
          </cell>
          <cell r="B254">
            <v>587</v>
          </cell>
          <cell r="C254" t="str">
            <v>S</v>
          </cell>
          <cell r="D254" t="str">
            <v>F</v>
          </cell>
          <cell r="E254" t="str">
            <v>Nkhulambe - Sukasanje River</v>
          </cell>
          <cell r="F254" t="str">
            <v>T415</v>
          </cell>
          <cell r="G254">
            <v>3</v>
          </cell>
          <cell r="H254">
            <v>8</v>
          </cell>
          <cell r="I254" t="str">
            <v>FL</v>
          </cell>
          <cell r="J254" t="str">
            <v>MULANJE</v>
          </cell>
          <cell r="K254">
            <v>9</v>
          </cell>
        </row>
        <row r="255">
          <cell r="A255" t="str">
            <v>RS 761</v>
          </cell>
          <cell r="B255">
            <v>583</v>
          </cell>
          <cell r="C255" t="str">
            <v>S</v>
          </cell>
          <cell r="D255" t="str">
            <v>F</v>
          </cell>
          <cell r="E255" t="str">
            <v>Sukasanje River - Nanchidwa</v>
          </cell>
          <cell r="F255" t="str">
            <v>T415</v>
          </cell>
          <cell r="G255">
            <v>4</v>
          </cell>
          <cell r="H255">
            <v>15.8</v>
          </cell>
          <cell r="I255" t="str">
            <v>FL</v>
          </cell>
          <cell r="J255" t="str">
            <v>MULANJE</v>
          </cell>
          <cell r="K255">
            <v>9</v>
          </cell>
        </row>
        <row r="256">
          <cell r="A256" t="str">
            <v>RS 763</v>
          </cell>
          <cell r="B256">
            <v>585</v>
          </cell>
          <cell r="C256" t="str">
            <v>S</v>
          </cell>
          <cell r="D256" t="str">
            <v>F</v>
          </cell>
          <cell r="E256" t="str">
            <v>Nanchindwa - Muloza (Mozambique border)</v>
          </cell>
          <cell r="F256" t="str">
            <v>T415</v>
          </cell>
          <cell r="G256">
            <v>5</v>
          </cell>
          <cell r="H256">
            <v>7.3</v>
          </cell>
          <cell r="I256" t="str">
            <v>H</v>
          </cell>
          <cell r="J256" t="str">
            <v>MULANJE</v>
          </cell>
          <cell r="K256">
            <v>9</v>
          </cell>
        </row>
        <row r="257">
          <cell r="A257" t="str">
            <v>RS 368</v>
          </cell>
          <cell r="B257">
            <v>190</v>
          </cell>
          <cell r="C257" t="str">
            <v>S</v>
          </cell>
          <cell r="D257" t="str">
            <v>F</v>
          </cell>
          <cell r="E257" t="str">
            <v>Chikwawa - Chikwawa</v>
          </cell>
          <cell r="F257" t="str">
            <v>T416</v>
          </cell>
          <cell r="G257">
            <v>1</v>
          </cell>
          <cell r="H257">
            <v>3.1</v>
          </cell>
          <cell r="I257" t="str">
            <v>H</v>
          </cell>
          <cell r="J257" t="str">
            <v>CHIKWAWA</v>
          </cell>
          <cell r="K257">
            <v>9</v>
          </cell>
          <cell r="L257" t="str">
            <v>Changed designation from S136 to T416</v>
          </cell>
        </row>
        <row r="258">
          <cell r="A258" t="str">
            <v>RS 373</v>
          </cell>
          <cell r="B258">
            <v>195</v>
          </cell>
          <cell r="C258" t="str">
            <v>S</v>
          </cell>
          <cell r="D258" t="str">
            <v>F</v>
          </cell>
          <cell r="E258" t="str">
            <v>Chikwawa - Kapichira Falls</v>
          </cell>
          <cell r="F258" t="str">
            <v>T416</v>
          </cell>
          <cell r="G258">
            <v>2</v>
          </cell>
          <cell r="H258">
            <v>18.7</v>
          </cell>
          <cell r="I258" t="str">
            <v>R</v>
          </cell>
          <cell r="J258" t="str">
            <v>CHIKWAWA</v>
          </cell>
          <cell r="K258">
            <v>9</v>
          </cell>
          <cell r="L258" t="str">
            <v>Changed designation from S136 to T416</v>
          </cell>
        </row>
        <row r="259">
          <cell r="A259" t="str">
            <v>RS 767</v>
          </cell>
          <cell r="B259">
            <v>589</v>
          </cell>
          <cell r="C259" t="str">
            <v>S</v>
          </cell>
          <cell r="D259" t="str">
            <v>F</v>
          </cell>
          <cell r="E259" t="str">
            <v>Bvumbwe - Kumtendere</v>
          </cell>
          <cell r="F259" t="str">
            <v>T417</v>
          </cell>
          <cell r="G259">
            <v>1</v>
          </cell>
          <cell r="H259">
            <v>5.9</v>
          </cell>
          <cell r="I259" t="str">
            <v>R</v>
          </cell>
          <cell r="J259" t="str">
            <v>THYOLO</v>
          </cell>
          <cell r="K259">
            <v>9</v>
          </cell>
          <cell r="L259" t="str">
            <v>Changed designation from T418 to T418</v>
          </cell>
        </row>
        <row r="260">
          <cell r="A260" t="str">
            <v>RS 771</v>
          </cell>
          <cell r="B260">
            <v>593</v>
          </cell>
          <cell r="C260" t="str">
            <v>S</v>
          </cell>
          <cell r="D260" t="str">
            <v>F</v>
          </cell>
          <cell r="E260" t="str">
            <v>Kumtendere - Amali</v>
          </cell>
          <cell r="F260" t="str">
            <v>T417</v>
          </cell>
          <cell r="G260">
            <v>2</v>
          </cell>
          <cell r="H260">
            <v>4.9000000000000004</v>
          </cell>
          <cell r="I260" t="str">
            <v>FL</v>
          </cell>
          <cell r="J260" t="str">
            <v>THYOLO</v>
          </cell>
          <cell r="K260">
            <v>9</v>
          </cell>
          <cell r="L260" t="str">
            <v>Changed designation from T418 to T417</v>
          </cell>
        </row>
        <row r="261">
          <cell r="A261" t="str">
            <v>RS 769</v>
          </cell>
          <cell r="B261">
            <v>591</v>
          </cell>
          <cell r="C261" t="str">
            <v>S</v>
          </cell>
          <cell r="D261" t="str">
            <v>F</v>
          </cell>
          <cell r="E261" t="str">
            <v>Amalika - Thunga</v>
          </cell>
          <cell r="F261" t="str">
            <v>T417</v>
          </cell>
          <cell r="G261">
            <v>3</v>
          </cell>
          <cell r="H261">
            <v>3.5</v>
          </cell>
          <cell r="I261" t="str">
            <v>FL</v>
          </cell>
          <cell r="J261" t="str">
            <v>THYOLO</v>
          </cell>
          <cell r="K261">
            <v>9</v>
          </cell>
          <cell r="L261" t="str">
            <v>Changed designation from T418 to T418</v>
          </cell>
        </row>
        <row r="262">
          <cell r="A262" t="str">
            <v>RS 766</v>
          </cell>
          <cell r="B262">
            <v>588</v>
          </cell>
          <cell r="C262" t="str">
            <v>S</v>
          </cell>
          <cell r="D262" t="str">
            <v>F</v>
          </cell>
          <cell r="E262" t="str">
            <v>Thunga - Chidzunga</v>
          </cell>
          <cell r="F262" t="str">
            <v>T418</v>
          </cell>
          <cell r="G262">
            <v>1</v>
          </cell>
          <cell r="H262">
            <v>6.2</v>
          </cell>
          <cell r="I262" t="str">
            <v>FL</v>
          </cell>
          <cell r="J262" t="str">
            <v>THYOLO</v>
          </cell>
          <cell r="K262">
            <v>9</v>
          </cell>
        </row>
        <row r="263">
          <cell r="A263" t="str">
            <v>RS 770</v>
          </cell>
          <cell r="B263">
            <v>592</v>
          </cell>
          <cell r="C263" t="str">
            <v>S</v>
          </cell>
          <cell r="D263" t="str">
            <v>F</v>
          </cell>
          <cell r="E263" t="str">
            <v>Chidzunga - Changalo</v>
          </cell>
          <cell r="F263" t="str">
            <v>T418</v>
          </cell>
          <cell r="G263">
            <v>2</v>
          </cell>
          <cell r="H263">
            <v>4.4000000000000004</v>
          </cell>
          <cell r="I263" t="str">
            <v>R</v>
          </cell>
          <cell r="J263" t="str">
            <v>THYOLO</v>
          </cell>
          <cell r="K263">
            <v>9</v>
          </cell>
        </row>
        <row r="264">
          <cell r="A264" t="str">
            <v>RS 768</v>
          </cell>
          <cell r="B264">
            <v>590</v>
          </cell>
          <cell r="C264" t="str">
            <v>S</v>
          </cell>
          <cell r="D264" t="str">
            <v>F</v>
          </cell>
          <cell r="E264" t="str">
            <v>Changalo - Masenjere</v>
          </cell>
          <cell r="F264" t="str">
            <v>T418</v>
          </cell>
          <cell r="G264">
            <v>3</v>
          </cell>
          <cell r="H264">
            <v>6.7</v>
          </cell>
          <cell r="I264" t="str">
            <v>R</v>
          </cell>
          <cell r="J264" t="str">
            <v>THYOLO</v>
          </cell>
          <cell r="K264">
            <v>9</v>
          </cell>
        </row>
        <row r="265">
          <cell r="A265" t="str">
            <v>RS 424</v>
          </cell>
          <cell r="B265">
            <v>246</v>
          </cell>
          <cell r="C265" t="str">
            <v>S</v>
          </cell>
          <cell r="D265" t="str">
            <v>F</v>
          </cell>
          <cell r="E265" t="str">
            <v>Thuchira River - Chonde</v>
          </cell>
          <cell r="F265" t="str">
            <v>T419</v>
          </cell>
          <cell r="G265">
            <v>1</v>
          </cell>
          <cell r="H265">
            <v>3.1</v>
          </cell>
          <cell r="I265" t="str">
            <v>FL</v>
          </cell>
          <cell r="J265" t="str">
            <v>MULANJE</v>
          </cell>
          <cell r="K265">
            <v>9</v>
          </cell>
          <cell r="L265" t="str">
            <v>Changed designation from S149 to T419</v>
          </cell>
        </row>
        <row r="266">
          <cell r="A266" t="str">
            <v>RS 775</v>
          </cell>
          <cell r="B266">
            <v>597</v>
          </cell>
          <cell r="C266" t="str">
            <v>S</v>
          </cell>
          <cell r="D266" t="str">
            <v>F</v>
          </cell>
          <cell r="E266" t="str">
            <v>Luchenza - Kumadzi</v>
          </cell>
          <cell r="F266" t="str">
            <v>T420</v>
          </cell>
          <cell r="G266">
            <v>1</v>
          </cell>
          <cell r="H266">
            <v>18.7</v>
          </cell>
          <cell r="I266" t="str">
            <v>R</v>
          </cell>
          <cell r="J266" t="str">
            <v>THYOLO</v>
          </cell>
          <cell r="K266">
            <v>9</v>
          </cell>
        </row>
        <row r="267">
          <cell r="A267" t="str">
            <v>RS 772</v>
          </cell>
          <cell r="B267">
            <v>594</v>
          </cell>
          <cell r="C267" t="str">
            <v>S</v>
          </cell>
          <cell r="D267" t="str">
            <v>F</v>
          </cell>
          <cell r="E267" t="str">
            <v>Kumadzi - Sandama</v>
          </cell>
          <cell r="F267" t="str">
            <v>T420</v>
          </cell>
          <cell r="G267">
            <v>2</v>
          </cell>
          <cell r="H267">
            <v>17.3</v>
          </cell>
          <cell r="I267" t="str">
            <v>H</v>
          </cell>
          <cell r="J267" t="str">
            <v>THYOLO</v>
          </cell>
          <cell r="K267">
            <v>9</v>
          </cell>
        </row>
        <row r="268">
          <cell r="A268" t="str">
            <v>RS 773</v>
          </cell>
          <cell r="B268">
            <v>595</v>
          </cell>
          <cell r="C268" t="str">
            <v>S</v>
          </cell>
          <cell r="D268" t="str">
            <v>F</v>
          </cell>
          <cell r="E268" t="str">
            <v>Sandama - Mtepera</v>
          </cell>
          <cell r="F268" t="str">
            <v>T420</v>
          </cell>
          <cell r="G268">
            <v>3</v>
          </cell>
          <cell r="H268">
            <v>8.4</v>
          </cell>
          <cell r="I268" t="str">
            <v>FL</v>
          </cell>
          <cell r="J268" t="str">
            <v>THYOLO</v>
          </cell>
          <cell r="K268">
            <v>9</v>
          </cell>
        </row>
        <row r="269">
          <cell r="A269" t="str">
            <v>RS 774</v>
          </cell>
          <cell r="B269">
            <v>596</v>
          </cell>
          <cell r="C269" t="str">
            <v>S</v>
          </cell>
          <cell r="D269" t="str">
            <v>F</v>
          </cell>
          <cell r="E269" t="str">
            <v>Mtepera - Kolopwa</v>
          </cell>
          <cell r="F269" t="str">
            <v>T420</v>
          </cell>
          <cell r="G269">
            <v>4</v>
          </cell>
          <cell r="H269">
            <v>6.7</v>
          </cell>
          <cell r="I269" t="str">
            <v>H</v>
          </cell>
          <cell r="J269" t="str">
            <v>THYOLO</v>
          </cell>
          <cell r="K269">
            <v>9</v>
          </cell>
        </row>
        <row r="270">
          <cell r="A270" t="str">
            <v>RS 435</v>
          </cell>
          <cell r="B270">
            <v>257</v>
          </cell>
          <cell r="C270" t="str">
            <v>S</v>
          </cell>
          <cell r="D270" t="str">
            <v>F</v>
          </cell>
          <cell r="E270" t="str">
            <v>Kolopwa - Chinzama</v>
          </cell>
          <cell r="F270" t="str">
            <v>T420</v>
          </cell>
          <cell r="G270">
            <v>5</v>
          </cell>
          <cell r="H270">
            <v>5.8</v>
          </cell>
          <cell r="I270" t="str">
            <v>H</v>
          </cell>
          <cell r="J270" t="str">
            <v>THYOLO</v>
          </cell>
          <cell r="K270">
            <v>9</v>
          </cell>
          <cell r="L270" t="str">
            <v>Changed, S151 to T420</v>
          </cell>
        </row>
        <row r="271">
          <cell r="A271" t="str">
            <v>RS 776</v>
          </cell>
          <cell r="B271">
            <v>598</v>
          </cell>
          <cell r="C271" t="str">
            <v>S</v>
          </cell>
          <cell r="D271" t="str">
            <v>F</v>
          </cell>
          <cell r="E271" t="str">
            <v>Msikawanjala - Simbatiyawo</v>
          </cell>
          <cell r="F271" t="str">
            <v>T421</v>
          </cell>
          <cell r="G271">
            <v>1</v>
          </cell>
          <cell r="H271">
            <v>4.5999999999999996</v>
          </cell>
          <cell r="I271" t="str">
            <v>FL</v>
          </cell>
          <cell r="J271" t="str">
            <v>MULANJE</v>
          </cell>
          <cell r="K271">
            <v>9</v>
          </cell>
        </row>
        <row r="272">
          <cell r="A272" t="str">
            <v>RS 777</v>
          </cell>
          <cell r="B272">
            <v>599</v>
          </cell>
          <cell r="C272" t="str">
            <v>S</v>
          </cell>
          <cell r="D272" t="str">
            <v>F</v>
          </cell>
          <cell r="E272" t="str">
            <v>Simbatiyawo - Khombezi River</v>
          </cell>
          <cell r="F272" t="str">
            <v>T421</v>
          </cell>
          <cell r="G272">
            <v>2</v>
          </cell>
          <cell r="H272">
            <v>2.9</v>
          </cell>
          <cell r="I272" t="str">
            <v>FL</v>
          </cell>
          <cell r="J272" t="str">
            <v>MULANJE</v>
          </cell>
          <cell r="K272">
            <v>9</v>
          </cell>
        </row>
        <row r="273">
          <cell r="A273" t="str">
            <v>RS 778</v>
          </cell>
          <cell r="B273">
            <v>600</v>
          </cell>
          <cell r="C273" t="str">
            <v>S</v>
          </cell>
          <cell r="D273" t="str">
            <v>F</v>
          </cell>
          <cell r="E273" t="str">
            <v>Khombezi River - Mitombozi</v>
          </cell>
          <cell r="F273" t="str">
            <v>T421</v>
          </cell>
          <cell r="G273">
            <v>3</v>
          </cell>
          <cell r="H273">
            <v>12</v>
          </cell>
          <cell r="I273" t="str">
            <v>FL</v>
          </cell>
          <cell r="J273" t="str">
            <v>MULANJE</v>
          </cell>
          <cell r="K273">
            <v>9</v>
          </cell>
        </row>
        <row r="274">
          <cell r="A274" t="str">
            <v>RS 779</v>
          </cell>
          <cell r="B274">
            <v>601</v>
          </cell>
          <cell r="C274" t="str">
            <v>S</v>
          </cell>
          <cell r="D274" t="str">
            <v>F</v>
          </cell>
          <cell r="E274" t="str">
            <v>Malambi - Siyama</v>
          </cell>
          <cell r="F274" t="str">
            <v>T422</v>
          </cell>
          <cell r="G274">
            <v>1</v>
          </cell>
          <cell r="H274">
            <v>7.6</v>
          </cell>
          <cell r="I274" t="str">
            <v>FL</v>
          </cell>
          <cell r="J274" t="str">
            <v>MULANJE</v>
          </cell>
          <cell r="K274">
            <v>9</v>
          </cell>
        </row>
        <row r="275">
          <cell r="A275" t="str">
            <v>RS 783</v>
          </cell>
          <cell r="B275">
            <v>605</v>
          </cell>
          <cell r="C275" t="str">
            <v>S</v>
          </cell>
          <cell r="D275" t="str">
            <v>F</v>
          </cell>
          <cell r="E275" t="str">
            <v>Lengwe T.O. - Tomali</v>
          </cell>
          <cell r="F275" t="str">
            <v>T423</v>
          </cell>
          <cell r="G275">
            <v>1</v>
          </cell>
          <cell r="H275">
            <v>9.8000000000000007</v>
          </cell>
          <cell r="I275" t="str">
            <v>FL</v>
          </cell>
          <cell r="J275" t="str">
            <v>CHIKWAWA</v>
          </cell>
          <cell r="K275">
            <v>9</v>
          </cell>
        </row>
        <row r="276">
          <cell r="A276" t="str">
            <v>RS 780</v>
          </cell>
          <cell r="B276">
            <v>602</v>
          </cell>
          <cell r="C276" t="str">
            <v>S</v>
          </cell>
          <cell r="D276" t="str">
            <v>F</v>
          </cell>
          <cell r="E276" t="str">
            <v>Tomali -  Mbuzi</v>
          </cell>
          <cell r="F276" t="str">
            <v>T423</v>
          </cell>
          <cell r="G276">
            <v>2</v>
          </cell>
          <cell r="H276">
            <v>15.9</v>
          </cell>
          <cell r="I276" t="str">
            <v>R</v>
          </cell>
          <cell r="J276" t="str">
            <v>CHIKWAWA</v>
          </cell>
          <cell r="K276">
            <v>9</v>
          </cell>
          <cell r="L276" t="str">
            <v>Changed designation from T422 to T423</v>
          </cell>
        </row>
        <row r="277">
          <cell r="A277" t="str">
            <v>RS 781</v>
          </cell>
          <cell r="B277">
            <v>603</v>
          </cell>
          <cell r="C277" t="str">
            <v>S</v>
          </cell>
          <cell r="D277" t="str">
            <v>F</v>
          </cell>
          <cell r="E277" t="str">
            <v>Mbuzi - Njirang'ombe River</v>
          </cell>
          <cell r="F277" t="str">
            <v>T423</v>
          </cell>
          <cell r="G277">
            <v>3</v>
          </cell>
          <cell r="H277">
            <v>15.8</v>
          </cell>
          <cell r="I277" t="str">
            <v>FL</v>
          </cell>
          <cell r="J277" t="str">
            <v>CHIKWAWA</v>
          </cell>
          <cell r="K277">
            <v>9</v>
          </cell>
        </row>
        <row r="278">
          <cell r="A278" t="str">
            <v>RS 782</v>
          </cell>
          <cell r="B278">
            <v>604</v>
          </cell>
          <cell r="C278" t="str">
            <v>S</v>
          </cell>
          <cell r="D278" t="str">
            <v>F</v>
          </cell>
          <cell r="E278" t="str">
            <v>Njirang'ombe River - Gama</v>
          </cell>
          <cell r="F278" t="str">
            <v>T423</v>
          </cell>
          <cell r="G278">
            <v>4</v>
          </cell>
          <cell r="H278">
            <v>21.1</v>
          </cell>
          <cell r="I278" t="str">
            <v>FL</v>
          </cell>
          <cell r="J278" t="str">
            <v>CHIKWAWA</v>
          </cell>
          <cell r="K278">
            <v>10</v>
          </cell>
        </row>
        <row r="279">
          <cell r="A279" t="str">
            <v>RS 789</v>
          </cell>
          <cell r="B279">
            <v>611</v>
          </cell>
          <cell r="C279" t="str">
            <v>S</v>
          </cell>
          <cell r="D279" t="str">
            <v>F</v>
          </cell>
          <cell r="E279" t="str">
            <v>Goma - Namikalango River</v>
          </cell>
          <cell r="F279" t="str">
            <v>T424</v>
          </cell>
          <cell r="G279">
            <v>1</v>
          </cell>
          <cell r="H279">
            <v>7.9</v>
          </cell>
          <cell r="I279" t="str">
            <v>R</v>
          </cell>
          <cell r="J279" t="str">
            <v>NSANJE</v>
          </cell>
          <cell r="K279">
            <v>10</v>
          </cell>
          <cell r="L279" t="str">
            <v>Changed designation from T424 to T425</v>
          </cell>
        </row>
        <row r="280">
          <cell r="A280" t="str">
            <v>RS 785</v>
          </cell>
          <cell r="B280">
            <v>607</v>
          </cell>
          <cell r="C280" t="str">
            <v>S</v>
          </cell>
          <cell r="D280" t="str">
            <v>F</v>
          </cell>
          <cell r="E280" t="str">
            <v>Namikalango River - Ngabu</v>
          </cell>
          <cell r="F280" t="str">
            <v>T424</v>
          </cell>
          <cell r="G280">
            <v>2</v>
          </cell>
          <cell r="H280">
            <v>7.1</v>
          </cell>
          <cell r="I280" t="str">
            <v>FL</v>
          </cell>
          <cell r="J280" t="str">
            <v>CHIKWAWA</v>
          </cell>
          <cell r="K280">
            <v>10</v>
          </cell>
        </row>
        <row r="281">
          <cell r="A281" t="str">
            <v>RS 786</v>
          </cell>
          <cell r="B281">
            <v>608</v>
          </cell>
          <cell r="C281" t="str">
            <v>S</v>
          </cell>
          <cell r="D281" t="str">
            <v>F</v>
          </cell>
          <cell r="E281" t="str">
            <v>Ngabu - Ngabu roundabout</v>
          </cell>
          <cell r="F281" t="str">
            <v>T424</v>
          </cell>
          <cell r="G281">
            <v>3</v>
          </cell>
          <cell r="H281">
            <v>5.5</v>
          </cell>
          <cell r="I281" t="str">
            <v>FL</v>
          </cell>
          <cell r="J281" t="str">
            <v>CHIKWAWA</v>
          </cell>
          <cell r="K281">
            <v>10</v>
          </cell>
        </row>
        <row r="282">
          <cell r="A282" t="str">
            <v>RS 784</v>
          </cell>
          <cell r="B282">
            <v>606</v>
          </cell>
          <cell r="C282" t="str">
            <v>S</v>
          </cell>
          <cell r="D282" t="str">
            <v>F</v>
          </cell>
          <cell r="E282" t="str">
            <v>Ngabu roundabout - Saopa</v>
          </cell>
          <cell r="F282" t="str">
            <v>T424</v>
          </cell>
          <cell r="G282">
            <v>4</v>
          </cell>
          <cell r="H282">
            <v>6.9</v>
          </cell>
          <cell r="I282" t="str">
            <v>FL</v>
          </cell>
          <cell r="J282" t="str">
            <v>CHIKWAWA</v>
          </cell>
          <cell r="K282">
            <v>10</v>
          </cell>
        </row>
        <row r="283">
          <cell r="A283" t="str">
            <v>RS 787</v>
          </cell>
          <cell r="B283">
            <v>609</v>
          </cell>
          <cell r="C283" t="str">
            <v>S</v>
          </cell>
          <cell r="D283" t="str">
            <v>F</v>
          </cell>
          <cell r="E283" t="str">
            <v>Saopa - Mozambique boundary</v>
          </cell>
          <cell r="F283" t="str">
            <v>T424</v>
          </cell>
          <cell r="G283">
            <v>5</v>
          </cell>
          <cell r="H283">
            <v>9</v>
          </cell>
          <cell r="I283" t="str">
            <v>FL</v>
          </cell>
          <cell r="J283" t="str">
            <v>CHIKWAWA</v>
          </cell>
          <cell r="K283">
            <v>10</v>
          </cell>
        </row>
        <row r="284">
          <cell r="A284" t="str">
            <v>RS 788</v>
          </cell>
          <cell r="B284">
            <v>610</v>
          </cell>
          <cell r="C284" t="str">
            <v>S</v>
          </cell>
          <cell r="D284" t="str">
            <v>F</v>
          </cell>
          <cell r="E284" t="str">
            <v>Lundu - Mbewu House</v>
          </cell>
          <cell r="F284" t="str">
            <v>T425</v>
          </cell>
          <cell r="G284">
            <v>1</v>
          </cell>
          <cell r="H284">
            <v>19.600000000000001</v>
          </cell>
          <cell r="I284" t="str">
            <v>FL</v>
          </cell>
          <cell r="J284" t="str">
            <v>NSANJE</v>
          </cell>
          <cell r="K284">
            <v>10</v>
          </cell>
        </row>
        <row r="285">
          <cell r="A285" t="str">
            <v>RS 791</v>
          </cell>
          <cell r="B285">
            <v>613</v>
          </cell>
          <cell r="C285" t="str">
            <v>S</v>
          </cell>
          <cell r="D285" t="str">
            <v>F</v>
          </cell>
          <cell r="E285" t="str">
            <v>Marka - Dundu river</v>
          </cell>
          <cell r="F285" t="str">
            <v>T426</v>
          </cell>
          <cell r="G285">
            <v>1</v>
          </cell>
          <cell r="H285">
            <v>10.9</v>
          </cell>
          <cell r="I285" t="str">
            <v>R</v>
          </cell>
          <cell r="J285" t="str">
            <v>NSANJE</v>
          </cell>
          <cell r="K285">
            <v>10</v>
          </cell>
        </row>
        <row r="286">
          <cell r="A286" t="str">
            <v>RS 792</v>
          </cell>
          <cell r="B286">
            <v>614</v>
          </cell>
          <cell r="C286" t="str">
            <v>S</v>
          </cell>
          <cell r="D286" t="str">
            <v>F</v>
          </cell>
          <cell r="E286" t="str">
            <v>Dundu River - Lulwe</v>
          </cell>
          <cell r="F286" t="str">
            <v>T426</v>
          </cell>
          <cell r="G286">
            <v>2</v>
          </cell>
          <cell r="H286">
            <v>6.7</v>
          </cell>
          <cell r="I286" t="str">
            <v>FL</v>
          </cell>
          <cell r="J286" t="str">
            <v>NSANJE</v>
          </cell>
          <cell r="K286">
            <v>10</v>
          </cell>
        </row>
        <row r="287">
          <cell r="A287" t="str">
            <v>RS 667</v>
          </cell>
          <cell r="B287">
            <v>489</v>
          </cell>
          <cell r="C287" t="str">
            <v>C</v>
          </cell>
          <cell r="D287" t="str">
            <v>F</v>
          </cell>
          <cell r="E287" t="str">
            <v>Area 25  - Kasengere/Ndodani - Junction T347</v>
          </cell>
          <cell r="F287" t="str">
            <v>UD</v>
          </cell>
          <cell r="G287">
            <v>1</v>
          </cell>
          <cell r="H287">
            <v>10</v>
          </cell>
          <cell r="I287" t="str">
            <v>R</v>
          </cell>
          <cell r="J287" t="str">
            <v>LILONGWE</v>
          </cell>
          <cell r="K287">
            <v>6</v>
          </cell>
        </row>
        <row r="288">
          <cell r="A288" t="str">
            <v>RS 467</v>
          </cell>
          <cell r="B288">
            <v>289</v>
          </cell>
          <cell r="C288" t="str">
            <v>N</v>
          </cell>
          <cell r="D288" t="str">
            <v>F</v>
          </cell>
          <cell r="E288" t="str">
            <v>Davide Kameme-Titi</v>
          </cell>
          <cell r="F288" t="str">
            <v>D001</v>
          </cell>
          <cell r="G288">
            <v>1</v>
          </cell>
          <cell r="H288">
            <v>14</v>
          </cell>
          <cell r="I288" t="str">
            <v>H</v>
          </cell>
          <cell r="J288" t="str">
            <v>CHITIPA</v>
          </cell>
          <cell r="K288">
            <v>1</v>
          </cell>
        </row>
        <row r="289">
          <cell r="A289" t="str">
            <v>RS 444</v>
          </cell>
          <cell r="B289">
            <v>266</v>
          </cell>
          <cell r="C289" t="str">
            <v>N</v>
          </cell>
          <cell r="D289" t="str">
            <v>F</v>
          </cell>
          <cell r="E289" t="str">
            <v>Fikolo Mkisi - Winston Kmeme</v>
          </cell>
          <cell r="F289" t="str">
            <v>T301</v>
          </cell>
          <cell r="G289">
            <v>1</v>
          </cell>
          <cell r="H289">
            <v>24.8</v>
          </cell>
          <cell r="I289">
            <v>1</v>
          </cell>
          <cell r="J289" t="str">
            <v>CHITIPA</v>
          </cell>
          <cell r="K289">
            <v>1</v>
          </cell>
          <cell r="L289" t="str">
            <v>Changed designation from T301 to D2</v>
          </cell>
        </row>
        <row r="290">
          <cell r="A290" t="str">
            <v>RS 469</v>
          </cell>
          <cell r="B290">
            <v>291</v>
          </cell>
          <cell r="C290" t="str">
            <v>N</v>
          </cell>
          <cell r="D290" t="str">
            <v>F</v>
          </cell>
          <cell r="E290" t="str">
            <v>Karonga Village - Fikolo Mkisi</v>
          </cell>
          <cell r="F290" t="str">
            <v>D003</v>
          </cell>
          <cell r="G290">
            <v>1</v>
          </cell>
          <cell r="H290">
            <v>32</v>
          </cell>
          <cell r="I290" t="str">
            <v>H</v>
          </cell>
          <cell r="J290" t="str">
            <v>CHITIPA</v>
          </cell>
          <cell r="K290">
            <v>1</v>
          </cell>
        </row>
        <row r="291">
          <cell r="A291" t="str">
            <v>RS 470</v>
          </cell>
          <cell r="B291">
            <v>292</v>
          </cell>
          <cell r="C291" t="str">
            <v>N</v>
          </cell>
          <cell r="D291" t="str">
            <v>F</v>
          </cell>
          <cell r="E291" t="str">
            <v>Fikolo Mkisi - Nkhangwa - junctionT301</v>
          </cell>
          <cell r="F291" t="str">
            <v>D003</v>
          </cell>
          <cell r="G291">
            <v>2</v>
          </cell>
          <cell r="H291">
            <v>11</v>
          </cell>
          <cell r="I291" t="str">
            <v>R</v>
          </cell>
          <cell r="J291" t="str">
            <v>CHITIPA</v>
          </cell>
          <cell r="K291">
            <v>1</v>
          </cell>
        </row>
        <row r="292">
          <cell r="A292" t="str">
            <v>RS 471</v>
          </cell>
          <cell r="B292">
            <v>293</v>
          </cell>
          <cell r="C292" t="str">
            <v>N</v>
          </cell>
          <cell r="D292" t="str">
            <v>F</v>
          </cell>
          <cell r="E292" t="str">
            <v>Nkhangwa - junction D008</v>
          </cell>
          <cell r="F292" t="str">
            <v>D006</v>
          </cell>
          <cell r="G292">
            <v>1</v>
          </cell>
          <cell r="H292">
            <v>9.5</v>
          </cell>
          <cell r="I292" t="str">
            <v>F</v>
          </cell>
          <cell r="J292" t="str">
            <v>CHITIPA</v>
          </cell>
          <cell r="K292">
            <v>1</v>
          </cell>
        </row>
        <row r="293">
          <cell r="A293" t="str">
            <v>RS 472</v>
          </cell>
          <cell r="B293">
            <v>294</v>
          </cell>
          <cell r="C293" t="str">
            <v>N</v>
          </cell>
          <cell r="D293" t="str">
            <v>F</v>
          </cell>
          <cell r="E293" t="str">
            <v>Junction D6 &amp; D8 - Junction D3</v>
          </cell>
          <cell r="F293" t="str">
            <v>D007</v>
          </cell>
          <cell r="G293">
            <v>1</v>
          </cell>
          <cell r="H293">
            <v>8.6999999999999993</v>
          </cell>
          <cell r="I293" t="str">
            <v>R</v>
          </cell>
          <cell r="J293" t="str">
            <v>CHITIPA</v>
          </cell>
          <cell r="K293">
            <v>1</v>
          </cell>
        </row>
        <row r="294">
          <cell r="A294" t="str">
            <v>RS 473</v>
          </cell>
          <cell r="B294">
            <v>295</v>
          </cell>
          <cell r="C294" t="str">
            <v>N</v>
          </cell>
          <cell r="D294" t="str">
            <v>F</v>
          </cell>
          <cell r="E294" t="str">
            <v>Chitipa - Junction D6 &amp; D7</v>
          </cell>
          <cell r="F294" t="str">
            <v>D008</v>
          </cell>
          <cell r="G294">
            <v>1</v>
          </cell>
          <cell r="H294">
            <v>8.5</v>
          </cell>
          <cell r="I294" t="str">
            <v>F</v>
          </cell>
          <cell r="J294" t="str">
            <v>CHITIPA</v>
          </cell>
          <cell r="K294">
            <v>1</v>
          </cell>
        </row>
        <row r="295">
          <cell r="A295" t="str">
            <v>RS 474</v>
          </cell>
          <cell r="B295">
            <v>296</v>
          </cell>
          <cell r="C295" t="str">
            <v>N</v>
          </cell>
          <cell r="D295" t="str">
            <v>F</v>
          </cell>
          <cell r="E295" t="str">
            <v>junction M26 - S.E. Chinunkha</v>
          </cell>
          <cell r="F295" t="str">
            <v>D009</v>
          </cell>
          <cell r="G295">
            <v>1</v>
          </cell>
          <cell r="H295">
            <v>10.5</v>
          </cell>
          <cell r="I295" t="str">
            <v>H</v>
          </cell>
          <cell r="J295" t="str">
            <v>CHITIPA</v>
          </cell>
          <cell r="K295">
            <v>1</v>
          </cell>
        </row>
        <row r="296">
          <cell r="A296" t="str">
            <v>RS 475</v>
          </cell>
          <cell r="B296">
            <v>297</v>
          </cell>
          <cell r="C296" t="str">
            <v>N</v>
          </cell>
          <cell r="D296" t="str">
            <v>F</v>
          </cell>
          <cell r="E296" t="str">
            <v>Misuku South - Tanzania Border</v>
          </cell>
          <cell r="F296" t="str">
            <v>D010</v>
          </cell>
          <cell r="G296">
            <v>1</v>
          </cell>
          <cell r="H296">
            <v>11.1</v>
          </cell>
          <cell r="I296" t="str">
            <v>H</v>
          </cell>
          <cell r="J296" t="str">
            <v>CHITIPA</v>
          </cell>
          <cell r="K296">
            <v>1</v>
          </cell>
        </row>
        <row r="297">
          <cell r="A297" t="str">
            <v>RS 476</v>
          </cell>
          <cell r="B297">
            <v>298</v>
          </cell>
          <cell r="C297" t="str">
            <v>N</v>
          </cell>
          <cell r="D297" t="str">
            <v>F</v>
          </cell>
          <cell r="E297" t="str">
            <v>Sokora - Misuku</v>
          </cell>
          <cell r="F297" t="str">
            <v>D011</v>
          </cell>
          <cell r="G297">
            <v>1</v>
          </cell>
          <cell r="H297">
            <v>5.0999999999999996</v>
          </cell>
          <cell r="I297" t="str">
            <v>H</v>
          </cell>
          <cell r="J297" t="str">
            <v>CHITIPA</v>
          </cell>
          <cell r="K297">
            <v>1</v>
          </cell>
        </row>
        <row r="298">
          <cell r="A298" t="str">
            <v>RS 477</v>
          </cell>
          <cell r="B298">
            <v>299</v>
          </cell>
          <cell r="C298" t="str">
            <v>N</v>
          </cell>
          <cell r="D298" t="str">
            <v>F</v>
          </cell>
          <cell r="E298" t="str">
            <v>Mwakalomba - Songwe River</v>
          </cell>
          <cell r="F298" t="str">
            <v>D015</v>
          </cell>
          <cell r="G298">
            <v>1</v>
          </cell>
          <cell r="H298">
            <v>15.3</v>
          </cell>
          <cell r="I298" t="str">
            <v>H</v>
          </cell>
          <cell r="J298" t="str">
            <v>KARONGA</v>
          </cell>
          <cell r="K298">
            <v>1</v>
          </cell>
        </row>
        <row r="299">
          <cell r="A299" t="str">
            <v>RS 478</v>
          </cell>
          <cell r="B299">
            <v>300</v>
          </cell>
          <cell r="C299" t="str">
            <v>N</v>
          </cell>
          <cell r="D299" t="str">
            <v>F</v>
          </cell>
          <cell r="E299" t="str">
            <v>Kakoma - West of M1</v>
          </cell>
          <cell r="F299" t="str">
            <v>D020</v>
          </cell>
          <cell r="G299">
            <v>1</v>
          </cell>
          <cell r="H299">
            <v>11</v>
          </cell>
          <cell r="I299" t="str">
            <v>F</v>
          </cell>
          <cell r="J299" t="str">
            <v>KARONGA</v>
          </cell>
          <cell r="K299">
            <v>1</v>
          </cell>
        </row>
        <row r="300">
          <cell r="A300" t="str">
            <v>RS 479</v>
          </cell>
          <cell r="B300">
            <v>301</v>
          </cell>
          <cell r="C300" t="str">
            <v>N</v>
          </cell>
          <cell r="D300" t="str">
            <v>F</v>
          </cell>
          <cell r="E300" t="str">
            <v>Usaka loop - junction M1</v>
          </cell>
          <cell r="F300" t="str">
            <v>D021</v>
          </cell>
          <cell r="G300">
            <v>1</v>
          </cell>
          <cell r="H300">
            <v>17.5</v>
          </cell>
          <cell r="I300" t="str">
            <v>H</v>
          </cell>
          <cell r="J300" t="str">
            <v>KARONGA</v>
          </cell>
          <cell r="K300">
            <v>1</v>
          </cell>
        </row>
        <row r="301">
          <cell r="A301" t="str">
            <v>RS 480</v>
          </cell>
          <cell r="B301">
            <v>302</v>
          </cell>
          <cell r="C301" t="str">
            <v>N</v>
          </cell>
          <cell r="D301" t="str">
            <v>F</v>
          </cell>
          <cell r="E301" t="str">
            <v>Mwandwa - Mwandwa South</v>
          </cell>
          <cell r="F301" t="str">
            <v>D022</v>
          </cell>
          <cell r="G301">
            <v>1</v>
          </cell>
          <cell r="H301">
            <v>6.5</v>
          </cell>
          <cell r="I301" t="str">
            <v>F</v>
          </cell>
          <cell r="J301" t="str">
            <v>KARONGA</v>
          </cell>
          <cell r="K301">
            <v>1</v>
          </cell>
        </row>
        <row r="302">
          <cell r="A302" t="str">
            <v>RS 481</v>
          </cell>
          <cell r="B302">
            <v>303</v>
          </cell>
          <cell r="C302" t="str">
            <v>N</v>
          </cell>
          <cell r="D302" t="str">
            <v>F</v>
          </cell>
          <cell r="E302" t="str">
            <v>Mlali - Mwambelo Village</v>
          </cell>
          <cell r="F302" t="str">
            <v>D023</v>
          </cell>
          <cell r="G302">
            <v>1</v>
          </cell>
          <cell r="H302">
            <v>2.5</v>
          </cell>
          <cell r="I302" t="str">
            <v>F</v>
          </cell>
          <cell r="J302" t="str">
            <v>KARONGA</v>
          </cell>
          <cell r="K302">
            <v>2</v>
          </cell>
        </row>
        <row r="303">
          <cell r="A303" t="str">
            <v>RS 482</v>
          </cell>
          <cell r="B303">
            <v>304</v>
          </cell>
          <cell r="C303" t="str">
            <v>N</v>
          </cell>
          <cell r="D303" t="str">
            <v>F</v>
          </cell>
          <cell r="E303" t="str">
            <v>Nyungwe - Thawilo</v>
          </cell>
          <cell r="F303" t="str">
            <v>D024</v>
          </cell>
          <cell r="G303">
            <v>1</v>
          </cell>
          <cell r="H303">
            <v>6.1</v>
          </cell>
          <cell r="I303" t="str">
            <v>F</v>
          </cell>
          <cell r="J303" t="str">
            <v>KARONGA</v>
          </cell>
          <cell r="K303">
            <v>2</v>
          </cell>
        </row>
        <row r="304">
          <cell r="A304" t="str">
            <v>RS 483</v>
          </cell>
          <cell r="B304">
            <v>305</v>
          </cell>
          <cell r="C304" t="str">
            <v>N</v>
          </cell>
          <cell r="D304" t="str">
            <v>F</v>
          </cell>
          <cell r="E304" t="str">
            <v>Wovwe - Wovwe Scheme</v>
          </cell>
          <cell r="F304" t="str">
            <v>D025</v>
          </cell>
          <cell r="G304">
            <v>1</v>
          </cell>
          <cell r="H304">
            <v>2.5</v>
          </cell>
          <cell r="I304" t="str">
            <v>F</v>
          </cell>
          <cell r="J304" t="str">
            <v>KARONGA</v>
          </cell>
          <cell r="K304">
            <v>2</v>
          </cell>
        </row>
        <row r="305">
          <cell r="A305" t="str">
            <v>RS 484</v>
          </cell>
          <cell r="B305">
            <v>306</v>
          </cell>
          <cell r="C305" t="str">
            <v>N</v>
          </cell>
          <cell r="D305" t="str">
            <v>F</v>
          </cell>
          <cell r="E305" t="str">
            <v>Hara - Bundi</v>
          </cell>
          <cell r="F305" t="str">
            <v>D026</v>
          </cell>
          <cell r="G305">
            <v>1</v>
          </cell>
          <cell r="H305">
            <v>2.6</v>
          </cell>
          <cell r="I305" t="str">
            <v>F</v>
          </cell>
          <cell r="J305" t="str">
            <v>KARONGA</v>
          </cell>
          <cell r="K305">
            <v>2</v>
          </cell>
        </row>
        <row r="306">
          <cell r="A306" t="str">
            <v>RS 485</v>
          </cell>
          <cell r="B306">
            <v>307</v>
          </cell>
          <cell r="C306" t="str">
            <v>N</v>
          </cell>
          <cell r="D306" t="str">
            <v>F</v>
          </cell>
          <cell r="E306" t="str">
            <v>Lura - Mchenga</v>
          </cell>
          <cell r="F306" t="str">
            <v>D030</v>
          </cell>
          <cell r="G306">
            <v>1</v>
          </cell>
          <cell r="H306">
            <v>11.2</v>
          </cell>
          <cell r="I306" t="str">
            <v>R</v>
          </cell>
          <cell r="J306" t="str">
            <v>RUMPHI</v>
          </cell>
          <cell r="K306">
            <v>2</v>
          </cell>
        </row>
        <row r="307">
          <cell r="A307" t="str">
            <v>RS 486</v>
          </cell>
          <cell r="B307">
            <v>308</v>
          </cell>
          <cell r="C307" t="str">
            <v>N</v>
          </cell>
          <cell r="D307" t="str">
            <v>F</v>
          </cell>
          <cell r="E307" t="str">
            <v>South Lura - West T305</v>
          </cell>
          <cell r="F307" t="str">
            <v>D031</v>
          </cell>
          <cell r="G307">
            <v>1</v>
          </cell>
          <cell r="H307">
            <v>3.1</v>
          </cell>
          <cell r="I307" t="str">
            <v>R</v>
          </cell>
          <cell r="J307" t="str">
            <v>RUMPHI</v>
          </cell>
          <cell r="K307">
            <v>2</v>
          </cell>
        </row>
        <row r="308">
          <cell r="A308" t="str">
            <v>RS 487</v>
          </cell>
          <cell r="B308">
            <v>309</v>
          </cell>
          <cell r="C308" t="str">
            <v>N</v>
          </cell>
          <cell r="D308" t="str">
            <v>F</v>
          </cell>
          <cell r="E308" t="str">
            <v>Hewe - Chisimuka</v>
          </cell>
          <cell r="F308" t="str">
            <v>D032</v>
          </cell>
          <cell r="G308">
            <v>1</v>
          </cell>
          <cell r="H308">
            <v>7.1</v>
          </cell>
          <cell r="I308" t="str">
            <v>R</v>
          </cell>
          <cell r="J308" t="str">
            <v>RUMPHI</v>
          </cell>
          <cell r="K308">
            <v>2</v>
          </cell>
        </row>
        <row r="309">
          <cell r="A309" t="str">
            <v>RS 488</v>
          </cell>
          <cell r="B309">
            <v>310</v>
          </cell>
          <cell r="C309" t="str">
            <v>N</v>
          </cell>
          <cell r="D309" t="str">
            <v>F</v>
          </cell>
          <cell r="E309" t="str">
            <v>Katowo - South West Katowo</v>
          </cell>
          <cell r="F309" t="str">
            <v>D033</v>
          </cell>
          <cell r="G309">
            <v>1</v>
          </cell>
          <cell r="H309">
            <v>6.5</v>
          </cell>
          <cell r="I309" t="str">
            <v>R</v>
          </cell>
          <cell r="J309" t="str">
            <v>RUMPHI</v>
          </cell>
          <cell r="K309">
            <v>2</v>
          </cell>
        </row>
        <row r="310">
          <cell r="A310" t="str">
            <v>RS 489</v>
          </cell>
          <cell r="B310">
            <v>311</v>
          </cell>
          <cell r="C310" t="str">
            <v>N</v>
          </cell>
          <cell r="D310" t="str">
            <v>F</v>
          </cell>
          <cell r="E310" t="str">
            <v>Katowo - East Katowo</v>
          </cell>
          <cell r="F310" t="str">
            <v>D034</v>
          </cell>
          <cell r="G310">
            <v>1</v>
          </cell>
          <cell r="H310">
            <v>2.8</v>
          </cell>
          <cell r="I310" t="str">
            <v>R</v>
          </cell>
          <cell r="J310" t="str">
            <v>RUMPHI</v>
          </cell>
          <cell r="K310">
            <v>2</v>
          </cell>
        </row>
        <row r="311">
          <cell r="A311" t="str">
            <v>RS 490</v>
          </cell>
          <cell r="B311">
            <v>312</v>
          </cell>
          <cell r="C311" t="str">
            <v>N</v>
          </cell>
          <cell r="D311" t="str">
            <v>F</v>
          </cell>
          <cell r="E311" t="str">
            <v>South Katowo - West S104</v>
          </cell>
          <cell r="F311" t="str">
            <v>D035</v>
          </cell>
          <cell r="G311">
            <v>1</v>
          </cell>
          <cell r="H311">
            <v>7.2</v>
          </cell>
          <cell r="I311" t="str">
            <v>F</v>
          </cell>
          <cell r="J311" t="str">
            <v>MZIMBA</v>
          </cell>
          <cell r="K311">
            <v>3</v>
          </cell>
        </row>
        <row r="312">
          <cell r="A312" t="str">
            <v>RS 491</v>
          </cell>
          <cell r="B312">
            <v>313</v>
          </cell>
          <cell r="C312" t="str">
            <v>N</v>
          </cell>
          <cell r="D312" t="str">
            <v>F</v>
          </cell>
          <cell r="E312" t="str">
            <v>South East Bembe - Chikwawa East</v>
          </cell>
          <cell r="F312" t="str">
            <v>D036</v>
          </cell>
          <cell r="G312">
            <v>1</v>
          </cell>
          <cell r="H312">
            <v>13.4</v>
          </cell>
          <cell r="I312" t="str">
            <v>F</v>
          </cell>
          <cell r="J312" t="str">
            <v>RUMPHI</v>
          </cell>
          <cell r="K312">
            <v>3</v>
          </cell>
        </row>
        <row r="313">
          <cell r="A313" t="str">
            <v>RS 492</v>
          </cell>
          <cell r="B313">
            <v>314</v>
          </cell>
          <cell r="C313" t="str">
            <v>N</v>
          </cell>
          <cell r="D313" t="str">
            <v>F</v>
          </cell>
          <cell r="E313" t="str">
            <v>North Bolero - Junction M9</v>
          </cell>
          <cell r="F313" t="str">
            <v>D037</v>
          </cell>
          <cell r="G313">
            <v>1</v>
          </cell>
          <cell r="H313">
            <v>12.2</v>
          </cell>
          <cell r="I313" t="str">
            <v>R</v>
          </cell>
          <cell r="J313" t="str">
            <v>RUMPHI</v>
          </cell>
          <cell r="K313">
            <v>3</v>
          </cell>
        </row>
        <row r="314">
          <cell r="A314" t="str">
            <v>RS 493</v>
          </cell>
          <cell r="B314">
            <v>315</v>
          </cell>
          <cell r="C314" t="str">
            <v>N</v>
          </cell>
          <cell r="D314" t="str">
            <v>F</v>
          </cell>
          <cell r="E314" t="str">
            <v>North West Bolero - North East Bolero</v>
          </cell>
          <cell r="F314" t="str">
            <v>D038</v>
          </cell>
          <cell r="G314">
            <v>1</v>
          </cell>
          <cell r="H314">
            <v>9.8000000000000007</v>
          </cell>
          <cell r="I314" t="str">
            <v>F</v>
          </cell>
          <cell r="J314" t="str">
            <v>RUMPHI</v>
          </cell>
          <cell r="K314">
            <v>3</v>
          </cell>
        </row>
        <row r="315">
          <cell r="A315" t="str">
            <v>RS 494</v>
          </cell>
          <cell r="B315">
            <v>316</v>
          </cell>
          <cell r="C315" t="str">
            <v>N</v>
          </cell>
          <cell r="D315" t="str">
            <v>F</v>
          </cell>
          <cell r="E315" t="str">
            <v>Kawalazi - Junction M5</v>
          </cell>
          <cell r="F315" t="str">
            <v>D044</v>
          </cell>
          <cell r="G315">
            <v>1</v>
          </cell>
          <cell r="H315">
            <v>16.399999999999999</v>
          </cell>
          <cell r="I315" t="str">
            <v>F</v>
          </cell>
          <cell r="J315" t="str">
            <v>NKHATA BAY</v>
          </cell>
          <cell r="K315">
            <v>3</v>
          </cell>
        </row>
        <row r="316">
          <cell r="A316" t="str">
            <v>RS 495</v>
          </cell>
          <cell r="B316">
            <v>317</v>
          </cell>
          <cell r="C316" t="str">
            <v>N</v>
          </cell>
          <cell r="D316" t="str">
            <v>F</v>
          </cell>
          <cell r="E316" t="str">
            <v>Chintheche - Mugondi</v>
          </cell>
          <cell r="F316" t="str">
            <v>D045</v>
          </cell>
          <cell r="G316">
            <v>1</v>
          </cell>
          <cell r="H316">
            <v>5.3</v>
          </cell>
          <cell r="I316" t="str">
            <v>R</v>
          </cell>
          <cell r="J316" t="str">
            <v>NKHATA BAY</v>
          </cell>
          <cell r="K316">
            <v>4</v>
          </cell>
        </row>
        <row r="317">
          <cell r="A317" t="str">
            <v>RS 496</v>
          </cell>
          <cell r="B317">
            <v>318</v>
          </cell>
          <cell r="C317" t="str">
            <v>N</v>
          </cell>
          <cell r="D317" t="str">
            <v>F</v>
          </cell>
          <cell r="E317" t="str">
            <v>Kamwe - Vongo</v>
          </cell>
          <cell r="F317" t="str">
            <v>D050</v>
          </cell>
          <cell r="G317">
            <v>1</v>
          </cell>
          <cell r="H317">
            <v>12</v>
          </cell>
          <cell r="I317" t="str">
            <v>R</v>
          </cell>
          <cell r="J317" t="str">
            <v>RUMPHI</v>
          </cell>
          <cell r="K317">
            <v>3</v>
          </cell>
        </row>
        <row r="318">
          <cell r="A318" t="str">
            <v>RS 497</v>
          </cell>
          <cell r="B318">
            <v>319</v>
          </cell>
          <cell r="C318" t="str">
            <v>N</v>
          </cell>
          <cell r="D318" t="str">
            <v>F</v>
          </cell>
          <cell r="E318" t="str">
            <v>Chankhalamu - Chiwotcha</v>
          </cell>
          <cell r="F318" t="str">
            <v>D051</v>
          </cell>
          <cell r="G318">
            <v>1</v>
          </cell>
          <cell r="H318">
            <v>14</v>
          </cell>
          <cell r="I318" t="str">
            <v>F</v>
          </cell>
          <cell r="J318" t="str">
            <v>MZIMBA</v>
          </cell>
          <cell r="K318">
            <v>3</v>
          </cell>
        </row>
        <row r="319">
          <cell r="A319" t="str">
            <v>RS 498</v>
          </cell>
          <cell r="B319">
            <v>320</v>
          </cell>
          <cell r="C319" t="str">
            <v>N</v>
          </cell>
          <cell r="D319" t="str">
            <v>F</v>
          </cell>
          <cell r="E319" t="str">
            <v>Ngoma - Junction M9</v>
          </cell>
          <cell r="F319" t="str">
            <v>D052</v>
          </cell>
          <cell r="G319">
            <v>1</v>
          </cell>
          <cell r="H319">
            <v>9</v>
          </cell>
          <cell r="I319" t="str">
            <v>F</v>
          </cell>
          <cell r="J319" t="str">
            <v>MZIMBA</v>
          </cell>
          <cell r="K319">
            <v>3</v>
          </cell>
        </row>
        <row r="320">
          <cell r="A320" t="str">
            <v>RS 499</v>
          </cell>
          <cell r="B320">
            <v>321</v>
          </cell>
          <cell r="C320" t="str">
            <v>N</v>
          </cell>
          <cell r="D320" t="str">
            <v>F</v>
          </cell>
          <cell r="E320" t="str">
            <v>Ezweleri School - Junction S107</v>
          </cell>
          <cell r="F320" t="str">
            <v>D053</v>
          </cell>
          <cell r="G320">
            <v>1</v>
          </cell>
          <cell r="H320">
            <v>6.1</v>
          </cell>
          <cell r="I320" t="str">
            <v>F</v>
          </cell>
          <cell r="J320" t="str">
            <v>MZIMBA</v>
          </cell>
          <cell r="K320">
            <v>3</v>
          </cell>
        </row>
        <row r="321">
          <cell r="A321" t="str">
            <v>RS 500</v>
          </cell>
          <cell r="B321">
            <v>322</v>
          </cell>
          <cell r="C321" t="str">
            <v>N</v>
          </cell>
          <cell r="D321" t="str">
            <v>F</v>
          </cell>
          <cell r="E321" t="str">
            <v>Emvuyeni - North Emvuyeni</v>
          </cell>
          <cell r="F321" t="str">
            <v>D054</v>
          </cell>
          <cell r="G321">
            <v>1</v>
          </cell>
          <cell r="H321">
            <v>4.3</v>
          </cell>
          <cell r="I321" t="str">
            <v>F</v>
          </cell>
          <cell r="J321" t="str">
            <v>MZIMBA</v>
          </cell>
          <cell r="K321">
            <v>3</v>
          </cell>
        </row>
        <row r="322">
          <cell r="A322" t="str">
            <v>RS 501</v>
          </cell>
          <cell r="B322">
            <v>323</v>
          </cell>
          <cell r="C322" t="str">
            <v>N</v>
          </cell>
          <cell r="D322" t="str">
            <v>F</v>
          </cell>
          <cell r="E322" t="str">
            <v>Mzambazi - Junction S106</v>
          </cell>
          <cell r="F322" t="str">
            <v>D055</v>
          </cell>
          <cell r="G322">
            <v>1</v>
          </cell>
          <cell r="H322">
            <v>6.5</v>
          </cell>
          <cell r="I322" t="str">
            <v>F</v>
          </cell>
          <cell r="J322" t="str">
            <v>MZIMBA</v>
          </cell>
          <cell r="K322">
            <v>3</v>
          </cell>
        </row>
        <row r="323">
          <cell r="A323" t="str">
            <v>RS 502</v>
          </cell>
          <cell r="B323">
            <v>324</v>
          </cell>
          <cell r="C323" t="str">
            <v>N</v>
          </cell>
          <cell r="D323" t="str">
            <v>F</v>
          </cell>
          <cell r="E323" t="str">
            <v>Mtwalo - Junction D057</v>
          </cell>
          <cell r="F323" t="str">
            <v>D056</v>
          </cell>
          <cell r="G323">
            <v>1</v>
          </cell>
          <cell r="H323">
            <v>15</v>
          </cell>
          <cell r="I323" t="str">
            <v>F</v>
          </cell>
          <cell r="J323" t="str">
            <v>MZIMBA</v>
          </cell>
          <cell r="K323">
            <v>3</v>
          </cell>
        </row>
        <row r="324">
          <cell r="A324" t="str">
            <v>RS 503</v>
          </cell>
          <cell r="B324">
            <v>325</v>
          </cell>
          <cell r="C324" t="str">
            <v>N</v>
          </cell>
          <cell r="D324" t="str">
            <v>F</v>
          </cell>
          <cell r="E324" t="str">
            <v>Tione Bar - Njuyu School</v>
          </cell>
          <cell r="F324" t="str">
            <v>D057</v>
          </cell>
          <cell r="G324">
            <v>1</v>
          </cell>
          <cell r="H324">
            <v>10.5</v>
          </cell>
          <cell r="I324" t="str">
            <v>R</v>
          </cell>
          <cell r="J324" t="str">
            <v>MZIMBA</v>
          </cell>
          <cell r="K324">
            <v>3</v>
          </cell>
        </row>
        <row r="325">
          <cell r="A325" t="str">
            <v>RS 504</v>
          </cell>
          <cell r="B325">
            <v>326</v>
          </cell>
          <cell r="C325" t="str">
            <v>N</v>
          </cell>
          <cell r="D325" t="str">
            <v>F</v>
          </cell>
          <cell r="E325" t="str">
            <v>Chisengeze - Junction T313</v>
          </cell>
          <cell r="F325" t="str">
            <v>D058</v>
          </cell>
          <cell r="G325">
            <v>1</v>
          </cell>
          <cell r="H325">
            <v>12.6</v>
          </cell>
          <cell r="I325" t="str">
            <v>R</v>
          </cell>
          <cell r="J325" t="str">
            <v>MZIMBA</v>
          </cell>
          <cell r="K325">
            <v>3</v>
          </cell>
        </row>
        <row r="326">
          <cell r="A326" t="str">
            <v>RS 505</v>
          </cell>
          <cell r="B326">
            <v>327</v>
          </cell>
          <cell r="C326" t="str">
            <v>N</v>
          </cell>
          <cell r="D326" t="str">
            <v>F</v>
          </cell>
          <cell r="E326" t="str">
            <v>Mzalangwe - Junction T313</v>
          </cell>
          <cell r="F326" t="str">
            <v>D059</v>
          </cell>
          <cell r="G326">
            <v>1</v>
          </cell>
          <cell r="H326">
            <v>15.9</v>
          </cell>
          <cell r="I326" t="str">
            <v>F</v>
          </cell>
          <cell r="J326" t="str">
            <v>MZIMBA</v>
          </cell>
          <cell r="K326">
            <v>3</v>
          </cell>
        </row>
        <row r="327">
          <cell r="A327" t="str">
            <v>RS 506</v>
          </cell>
          <cell r="B327">
            <v>328</v>
          </cell>
          <cell r="C327" t="str">
            <v>N</v>
          </cell>
          <cell r="D327" t="str">
            <v>F</v>
          </cell>
          <cell r="E327" t="str">
            <v>Lunjika - Junction S107</v>
          </cell>
          <cell r="F327" t="str">
            <v>D060</v>
          </cell>
          <cell r="G327">
            <v>1</v>
          </cell>
          <cell r="H327">
            <v>4.8</v>
          </cell>
          <cell r="I327" t="str">
            <v>F</v>
          </cell>
          <cell r="J327" t="str">
            <v>MZIMBA</v>
          </cell>
          <cell r="K327">
            <v>3</v>
          </cell>
        </row>
        <row r="328">
          <cell r="A328" t="str">
            <v>RS 507</v>
          </cell>
          <cell r="B328">
            <v>329</v>
          </cell>
          <cell r="C328" t="str">
            <v>N</v>
          </cell>
          <cell r="D328" t="str">
            <v>F</v>
          </cell>
          <cell r="E328" t="str">
            <v>Chakazi - Ngomiya</v>
          </cell>
          <cell r="F328" t="str">
            <v>D061</v>
          </cell>
          <cell r="G328">
            <v>1</v>
          </cell>
          <cell r="H328">
            <v>10.199999999999999</v>
          </cell>
          <cell r="I328" t="str">
            <v>F</v>
          </cell>
          <cell r="J328" t="str">
            <v>MZIMBA</v>
          </cell>
          <cell r="K328">
            <v>3</v>
          </cell>
        </row>
        <row r="329">
          <cell r="A329" t="str">
            <v>RS 508</v>
          </cell>
          <cell r="B329">
            <v>330</v>
          </cell>
          <cell r="C329" t="str">
            <v>N</v>
          </cell>
          <cell r="D329" t="str">
            <v>F</v>
          </cell>
          <cell r="E329" t="str">
            <v>Mbawa - Junction M20</v>
          </cell>
          <cell r="F329" t="str">
            <v>D064</v>
          </cell>
          <cell r="G329">
            <v>1</v>
          </cell>
          <cell r="H329">
            <v>5.2</v>
          </cell>
          <cell r="I329" t="str">
            <v>F</v>
          </cell>
          <cell r="J329" t="str">
            <v>MZIMBA</v>
          </cell>
          <cell r="K329">
            <v>4</v>
          </cell>
        </row>
        <row r="330">
          <cell r="A330" t="str">
            <v>RS 509</v>
          </cell>
          <cell r="B330">
            <v>331</v>
          </cell>
          <cell r="C330" t="str">
            <v>N</v>
          </cell>
          <cell r="D330" t="str">
            <v>F</v>
          </cell>
          <cell r="E330" t="str">
            <v>Ehleni - Hoho</v>
          </cell>
          <cell r="F330" t="str">
            <v>D065</v>
          </cell>
          <cell r="G330">
            <v>1</v>
          </cell>
          <cell r="H330">
            <v>8.4</v>
          </cell>
          <cell r="I330" t="str">
            <v>F</v>
          </cell>
          <cell r="J330" t="str">
            <v>MZIMBA</v>
          </cell>
          <cell r="K330">
            <v>4</v>
          </cell>
        </row>
        <row r="331">
          <cell r="A331" t="str">
            <v>RS 510</v>
          </cell>
          <cell r="B331">
            <v>332</v>
          </cell>
          <cell r="C331" t="str">
            <v>N</v>
          </cell>
          <cell r="D331" t="str">
            <v>F</v>
          </cell>
          <cell r="E331" t="str">
            <v>Hoho - Hoho School</v>
          </cell>
          <cell r="F331" t="str">
            <v>D066</v>
          </cell>
          <cell r="G331">
            <v>1</v>
          </cell>
          <cell r="H331">
            <v>5.9</v>
          </cell>
          <cell r="I331" t="str">
            <v>F</v>
          </cell>
          <cell r="J331" t="str">
            <v>MZIMBA</v>
          </cell>
          <cell r="K331">
            <v>4</v>
          </cell>
        </row>
        <row r="332">
          <cell r="A332" t="str">
            <v>RS 511</v>
          </cell>
          <cell r="B332">
            <v>333</v>
          </cell>
          <cell r="C332" t="str">
            <v>N</v>
          </cell>
          <cell r="D332" t="str">
            <v>F</v>
          </cell>
          <cell r="E332" t="str">
            <v>Msesa School - Junction D68</v>
          </cell>
          <cell r="F332" t="str">
            <v>D067</v>
          </cell>
          <cell r="G332">
            <v>1</v>
          </cell>
          <cell r="H332">
            <v>6.1</v>
          </cell>
          <cell r="I332" t="str">
            <v>F</v>
          </cell>
          <cell r="J332" t="str">
            <v>MZIMBA</v>
          </cell>
          <cell r="K332">
            <v>4</v>
          </cell>
        </row>
        <row r="333">
          <cell r="A333" t="str">
            <v>RS 512</v>
          </cell>
          <cell r="B333">
            <v>334</v>
          </cell>
          <cell r="C333" t="str">
            <v>N</v>
          </cell>
          <cell r="D333" t="str">
            <v>F</v>
          </cell>
          <cell r="E333" t="str">
            <v>Chizani - Junction D74</v>
          </cell>
          <cell r="F333" t="str">
            <v>D068</v>
          </cell>
          <cell r="G333">
            <v>1</v>
          </cell>
          <cell r="H333">
            <v>18.8</v>
          </cell>
          <cell r="I333" t="str">
            <v>F</v>
          </cell>
          <cell r="J333" t="str">
            <v>MZIMBA</v>
          </cell>
          <cell r="K333">
            <v>4</v>
          </cell>
        </row>
        <row r="334">
          <cell r="A334" t="str">
            <v>RS 513</v>
          </cell>
          <cell r="B334">
            <v>335</v>
          </cell>
          <cell r="C334" t="str">
            <v>N</v>
          </cell>
          <cell r="D334" t="str">
            <v>F</v>
          </cell>
          <cell r="E334" t="str">
            <v>Nyoni - Kapita School</v>
          </cell>
          <cell r="F334" t="str">
            <v>D069</v>
          </cell>
          <cell r="G334">
            <v>1</v>
          </cell>
          <cell r="H334">
            <v>6.5</v>
          </cell>
          <cell r="I334" t="str">
            <v>R</v>
          </cell>
          <cell r="J334" t="str">
            <v>MZIMBA</v>
          </cell>
          <cell r="K334">
            <v>4</v>
          </cell>
        </row>
        <row r="335">
          <cell r="A335" t="str">
            <v>RS 514</v>
          </cell>
          <cell r="B335">
            <v>336</v>
          </cell>
          <cell r="C335" t="str">
            <v>N</v>
          </cell>
          <cell r="D335" t="str">
            <v>F</v>
          </cell>
          <cell r="E335" t="str">
            <v>Kanika - Luwelezi School</v>
          </cell>
          <cell r="F335" t="str">
            <v>D070</v>
          </cell>
          <cell r="G335">
            <v>1</v>
          </cell>
          <cell r="H335">
            <v>13.5</v>
          </cell>
          <cell r="I335" t="str">
            <v>F</v>
          </cell>
          <cell r="J335" t="str">
            <v>MZIMBA</v>
          </cell>
          <cell r="K335">
            <v>4</v>
          </cell>
        </row>
        <row r="336">
          <cell r="A336" t="str">
            <v>RS 515</v>
          </cell>
          <cell r="B336">
            <v>337</v>
          </cell>
          <cell r="C336" t="str">
            <v>N</v>
          </cell>
          <cell r="D336" t="str">
            <v>F</v>
          </cell>
          <cell r="E336" t="str">
            <v>Chiwandauka - Kanjuchi School</v>
          </cell>
          <cell r="F336" t="str">
            <v>D071</v>
          </cell>
          <cell r="G336">
            <v>1</v>
          </cell>
          <cell r="H336">
            <v>8.6</v>
          </cell>
          <cell r="I336" t="str">
            <v>R</v>
          </cell>
          <cell r="J336" t="str">
            <v>MZIMBA</v>
          </cell>
          <cell r="K336">
            <v>4</v>
          </cell>
        </row>
        <row r="337">
          <cell r="A337" t="str">
            <v>RS 516</v>
          </cell>
          <cell r="B337">
            <v>338</v>
          </cell>
          <cell r="C337" t="str">
            <v>N</v>
          </cell>
          <cell r="D337" t="str">
            <v>F</v>
          </cell>
          <cell r="E337" t="str">
            <v>Jenda - Jenda East</v>
          </cell>
          <cell r="F337" t="str">
            <v>D072</v>
          </cell>
          <cell r="G337">
            <v>1</v>
          </cell>
          <cell r="H337">
            <v>4.3</v>
          </cell>
          <cell r="I337" t="str">
            <v>F</v>
          </cell>
          <cell r="J337" t="str">
            <v>MZIMBA</v>
          </cell>
          <cell r="K337">
            <v>4</v>
          </cell>
        </row>
        <row r="338">
          <cell r="A338" t="str">
            <v>RS 517</v>
          </cell>
          <cell r="B338">
            <v>339</v>
          </cell>
          <cell r="C338" t="str">
            <v>N</v>
          </cell>
          <cell r="D338" t="str">
            <v>F</v>
          </cell>
          <cell r="E338" t="str">
            <v>South Luwawa - North Zawa</v>
          </cell>
          <cell r="F338" t="str">
            <v>D073</v>
          </cell>
          <cell r="G338">
            <v>1</v>
          </cell>
          <cell r="H338">
            <v>11.2</v>
          </cell>
          <cell r="I338" t="str">
            <v>R</v>
          </cell>
          <cell r="J338" t="str">
            <v>MZIMBA</v>
          </cell>
          <cell r="K338">
            <v>4</v>
          </cell>
        </row>
        <row r="339">
          <cell r="A339" t="str">
            <v>RS 518</v>
          </cell>
          <cell r="B339">
            <v>340</v>
          </cell>
          <cell r="C339" t="str">
            <v>N</v>
          </cell>
          <cell r="D339" t="str">
            <v>F</v>
          </cell>
          <cell r="E339" t="str">
            <v>Hoho - Junctio M1 South</v>
          </cell>
          <cell r="F339" t="str">
            <v>D074</v>
          </cell>
          <cell r="G339">
            <v>1</v>
          </cell>
          <cell r="H339">
            <v>8.9</v>
          </cell>
          <cell r="I339" t="str">
            <v>R</v>
          </cell>
          <cell r="J339" t="str">
            <v>MZIMBA</v>
          </cell>
          <cell r="K339">
            <v>4</v>
          </cell>
        </row>
        <row r="340">
          <cell r="A340" t="str">
            <v>RS 227</v>
          </cell>
          <cell r="B340">
            <v>49</v>
          </cell>
          <cell r="C340" t="str">
            <v>C</v>
          </cell>
          <cell r="D340" t="str">
            <v>F</v>
          </cell>
          <cell r="E340" t="str">
            <v>Chimaliro Forest Camp - Kakwale River</v>
          </cell>
          <cell r="F340" t="str">
            <v>D076</v>
          </cell>
          <cell r="G340">
            <v>1</v>
          </cell>
          <cell r="H340">
            <v>5</v>
          </cell>
          <cell r="I340" t="str">
            <v>F</v>
          </cell>
          <cell r="J340" t="str">
            <v>KASUNGU</v>
          </cell>
          <cell r="K340">
            <v>4</v>
          </cell>
          <cell r="L340" t="str">
            <v>Changed designation from S133 to D76 &amp; trunk to feeder</v>
          </cell>
        </row>
        <row r="341">
          <cell r="A341" t="str">
            <v>RS 658</v>
          </cell>
          <cell r="B341">
            <v>480</v>
          </cell>
          <cell r="C341" t="str">
            <v>C</v>
          </cell>
          <cell r="D341" t="str">
            <v>F</v>
          </cell>
          <cell r="E341" t="str">
            <v>Likuni - Chankhandwe</v>
          </cell>
          <cell r="F341" t="str">
            <v>D194</v>
          </cell>
          <cell r="G341">
            <v>1</v>
          </cell>
          <cell r="H341">
            <v>5.2</v>
          </cell>
          <cell r="I341" t="str">
            <v>F</v>
          </cell>
          <cell r="J341" t="str">
            <v>LILONGWE</v>
          </cell>
          <cell r="K341">
            <v>6</v>
          </cell>
          <cell r="L341" t="str">
            <v>Changed designation from S133 to D76 &amp; trunk to feeder</v>
          </cell>
        </row>
        <row r="342">
          <cell r="A342" t="str">
            <v>RS 660</v>
          </cell>
          <cell r="B342">
            <v>482</v>
          </cell>
          <cell r="C342" t="str">
            <v>C</v>
          </cell>
          <cell r="D342" t="str">
            <v>F</v>
          </cell>
          <cell r="E342" t="str">
            <v>Dzalanyama - Malingunde</v>
          </cell>
          <cell r="F342" t="str">
            <v>D197</v>
          </cell>
          <cell r="G342">
            <v>1</v>
          </cell>
          <cell r="H342">
            <v>32</v>
          </cell>
          <cell r="I342" t="str">
            <v>F</v>
          </cell>
          <cell r="J342" t="str">
            <v>LILONGWE</v>
          </cell>
          <cell r="K342">
            <v>6</v>
          </cell>
        </row>
        <row r="343">
          <cell r="A343" t="str">
            <v>RS 799</v>
          </cell>
          <cell r="B343">
            <v>621</v>
          </cell>
          <cell r="C343" t="str">
            <v>S</v>
          </cell>
          <cell r="D343" t="str">
            <v>F</v>
          </cell>
          <cell r="E343" t="str">
            <v>UD/Y - Itunji</v>
          </cell>
          <cell r="F343" t="str">
            <v>D256</v>
          </cell>
          <cell r="G343">
            <v>1</v>
          </cell>
          <cell r="H343">
            <v>11.9</v>
          </cell>
          <cell r="I343" t="str">
            <v>R</v>
          </cell>
          <cell r="J343" t="str">
            <v>MANGOCHI</v>
          </cell>
          <cell r="K343">
            <v>7</v>
          </cell>
        </row>
        <row r="344">
          <cell r="A344" t="str">
            <v>RS 832</v>
          </cell>
          <cell r="B344">
            <v>654</v>
          </cell>
          <cell r="C344" t="str">
            <v>S</v>
          </cell>
          <cell r="D344" t="str">
            <v>F</v>
          </cell>
          <cell r="E344" t="str">
            <v>junction S129 - junction T400</v>
          </cell>
          <cell r="F344" t="str">
            <v>D286</v>
          </cell>
          <cell r="G344">
            <v>1</v>
          </cell>
          <cell r="H344">
            <v>9</v>
          </cell>
          <cell r="I344" t="str">
            <v>FL</v>
          </cell>
          <cell r="J344" t="str">
            <v>ZOMBA</v>
          </cell>
          <cell r="K344">
            <v>8</v>
          </cell>
          <cell r="L344" t="str">
            <v>Changed designation from UD/J to D286</v>
          </cell>
        </row>
        <row r="345">
          <cell r="A345" t="str">
            <v>RS 801</v>
          </cell>
          <cell r="B345">
            <v>623</v>
          </cell>
          <cell r="C345" t="str">
            <v>S</v>
          </cell>
          <cell r="D345" t="str">
            <v>F</v>
          </cell>
          <cell r="E345" t="str">
            <v>North Jokala - Lake Chilwa</v>
          </cell>
          <cell r="F345" t="str">
            <v>D293</v>
          </cell>
          <cell r="G345">
            <v>1</v>
          </cell>
          <cell r="H345">
            <v>32</v>
          </cell>
          <cell r="I345" t="str">
            <v>F</v>
          </cell>
          <cell r="J345" t="str">
            <v>ZOMBA</v>
          </cell>
          <cell r="K345">
            <v>8</v>
          </cell>
          <cell r="L345" t="str">
            <v>Changed designation from UD/J to D286</v>
          </cell>
        </row>
        <row r="346">
          <cell r="A346" t="str">
            <v>RS 802</v>
          </cell>
          <cell r="B346">
            <v>624</v>
          </cell>
          <cell r="C346" t="str">
            <v>S</v>
          </cell>
          <cell r="D346" t="str">
            <v>F</v>
          </cell>
          <cell r="E346" t="str">
            <v>Utwe River - junction S144</v>
          </cell>
          <cell r="F346" t="str">
            <v>D302</v>
          </cell>
          <cell r="G346">
            <v>1</v>
          </cell>
          <cell r="H346">
            <v>18.600000000000001</v>
          </cell>
          <cell r="I346" t="str">
            <v>F</v>
          </cell>
          <cell r="J346" t="str">
            <v>ZOMBA</v>
          </cell>
          <cell r="K346">
            <v>9</v>
          </cell>
        </row>
        <row r="347">
          <cell r="A347" t="str">
            <v>RS 803</v>
          </cell>
          <cell r="B347">
            <v>625</v>
          </cell>
          <cell r="C347" t="str">
            <v>S</v>
          </cell>
          <cell r="D347" t="str">
            <v>F</v>
          </cell>
          <cell r="E347" t="str">
            <v>Lisungwi River - junction D314</v>
          </cell>
          <cell r="F347" t="str">
            <v>D313</v>
          </cell>
          <cell r="G347">
            <v>1</v>
          </cell>
          <cell r="H347">
            <v>12.6</v>
          </cell>
          <cell r="I347" t="str">
            <v>F</v>
          </cell>
          <cell r="J347" t="str">
            <v>MWANZA</v>
          </cell>
          <cell r="K347">
            <v>9</v>
          </cell>
        </row>
        <row r="348">
          <cell r="A348" t="str">
            <v>RS 804</v>
          </cell>
          <cell r="B348">
            <v>626</v>
          </cell>
          <cell r="C348" t="str">
            <v>S</v>
          </cell>
          <cell r="D348" t="str">
            <v>F</v>
          </cell>
          <cell r="E348" t="str">
            <v>Machimbeya - junction D313</v>
          </cell>
          <cell r="F348" t="str">
            <v>D314</v>
          </cell>
          <cell r="G348">
            <v>1</v>
          </cell>
          <cell r="H348">
            <v>9</v>
          </cell>
          <cell r="I348" t="str">
            <v>F</v>
          </cell>
          <cell r="J348" t="str">
            <v>MWANZA</v>
          </cell>
          <cell r="K348">
            <v>9</v>
          </cell>
        </row>
        <row r="349">
          <cell r="A349" t="str">
            <v>RS 805</v>
          </cell>
          <cell r="B349">
            <v>627</v>
          </cell>
          <cell r="C349" t="str">
            <v>S</v>
          </cell>
          <cell r="D349" t="str">
            <v>F</v>
          </cell>
          <cell r="E349" t="str">
            <v>junction S138 - junction S137</v>
          </cell>
          <cell r="F349" t="str">
            <v>D320</v>
          </cell>
          <cell r="G349">
            <v>1</v>
          </cell>
          <cell r="H349">
            <v>10</v>
          </cell>
          <cell r="I349" t="str">
            <v>R</v>
          </cell>
          <cell r="J349" t="str">
            <v>BLANTYRE</v>
          </cell>
          <cell r="K349">
            <v>9</v>
          </cell>
        </row>
        <row r="350">
          <cell r="A350" t="str">
            <v>RS 806</v>
          </cell>
          <cell r="B350">
            <v>628</v>
          </cell>
          <cell r="C350" t="str">
            <v>S</v>
          </cell>
          <cell r="D350" t="str">
            <v>F</v>
          </cell>
          <cell r="E350" t="str">
            <v>junction S139 - East Boundary Zomba</v>
          </cell>
          <cell r="F350" t="str">
            <v>D322</v>
          </cell>
          <cell r="G350">
            <v>1</v>
          </cell>
          <cell r="H350">
            <v>8</v>
          </cell>
          <cell r="I350" t="str">
            <v>R</v>
          </cell>
          <cell r="J350" t="str">
            <v>BLANTYRE</v>
          </cell>
          <cell r="K350">
            <v>9</v>
          </cell>
        </row>
        <row r="351">
          <cell r="A351" t="str">
            <v>RS 807</v>
          </cell>
          <cell r="B351">
            <v>629</v>
          </cell>
          <cell r="C351" t="str">
            <v>S</v>
          </cell>
          <cell r="D351" t="str">
            <v>F</v>
          </cell>
          <cell r="E351" t="str">
            <v>Chikombero (junction M1) - Machinjiri</v>
          </cell>
          <cell r="F351" t="str">
            <v>D326</v>
          </cell>
          <cell r="G351">
            <v>1</v>
          </cell>
          <cell r="H351">
            <v>5.8</v>
          </cell>
          <cell r="I351" t="str">
            <v>R</v>
          </cell>
          <cell r="J351" t="str">
            <v>BLANTYRE</v>
          </cell>
          <cell r="K351">
            <v>9</v>
          </cell>
          <cell r="L351" t="str">
            <v>Changed end &amp; length to remove bitumen section</v>
          </cell>
        </row>
        <row r="352">
          <cell r="A352" t="str">
            <v>RS 808</v>
          </cell>
          <cell r="B352">
            <v>630</v>
          </cell>
          <cell r="C352" t="str">
            <v>S</v>
          </cell>
          <cell r="D352" t="str">
            <v>F</v>
          </cell>
          <cell r="E352" t="str">
            <v>M1 junction - Near Chikwawa Boundary</v>
          </cell>
          <cell r="F352" t="str">
            <v>D328</v>
          </cell>
          <cell r="G352">
            <v>1</v>
          </cell>
          <cell r="H352">
            <v>10.5</v>
          </cell>
          <cell r="I352" t="str">
            <v>R</v>
          </cell>
          <cell r="J352" t="str">
            <v>BLANTYRE</v>
          </cell>
          <cell r="K352">
            <v>9</v>
          </cell>
          <cell r="L352" t="str">
            <v>Changed end &amp; length to remove bitumen section</v>
          </cell>
        </row>
        <row r="353">
          <cell r="A353" t="str">
            <v>RS 809</v>
          </cell>
          <cell r="B353">
            <v>631</v>
          </cell>
          <cell r="C353" t="str">
            <v>S</v>
          </cell>
          <cell r="D353" t="str">
            <v>F</v>
          </cell>
          <cell r="E353" t="str">
            <v>Chikwawa Boundary - junction S137</v>
          </cell>
          <cell r="F353" t="str">
            <v>D329</v>
          </cell>
          <cell r="G353">
            <v>1</v>
          </cell>
          <cell r="H353">
            <v>18</v>
          </cell>
          <cell r="I353" t="str">
            <v>H</v>
          </cell>
          <cell r="J353" t="str">
            <v>BLANTYRE</v>
          </cell>
          <cell r="K353">
            <v>9</v>
          </cell>
        </row>
        <row r="354">
          <cell r="A354" t="str">
            <v>RS 810</v>
          </cell>
          <cell r="B354">
            <v>632</v>
          </cell>
          <cell r="C354" t="str">
            <v>S</v>
          </cell>
          <cell r="D354" t="str">
            <v>F</v>
          </cell>
          <cell r="E354" t="str">
            <v>junction M1 - junction M2</v>
          </cell>
          <cell r="F354" t="str">
            <v>D330</v>
          </cell>
          <cell r="G354">
            <v>1</v>
          </cell>
          <cell r="H354">
            <v>7</v>
          </cell>
          <cell r="I354" t="str">
            <v>H</v>
          </cell>
          <cell r="J354" t="str">
            <v>BLANTYRE</v>
          </cell>
          <cell r="K354">
            <v>9</v>
          </cell>
        </row>
        <row r="355">
          <cell r="A355" t="str">
            <v>RS 811</v>
          </cell>
          <cell r="B355">
            <v>633</v>
          </cell>
          <cell r="C355" t="str">
            <v>S</v>
          </cell>
          <cell r="D355" t="str">
            <v>F</v>
          </cell>
          <cell r="E355" t="str">
            <v xml:space="preserve">Mbulumbudzi East - junction T407 </v>
          </cell>
          <cell r="F355" t="str">
            <v>D336</v>
          </cell>
          <cell r="G355">
            <v>1</v>
          </cell>
          <cell r="H355">
            <v>9</v>
          </cell>
          <cell r="I355" t="str">
            <v>R</v>
          </cell>
          <cell r="J355" t="str">
            <v>BLANTYRE</v>
          </cell>
          <cell r="K355">
            <v>9</v>
          </cell>
        </row>
        <row r="356">
          <cell r="A356" t="str">
            <v>RS 812</v>
          </cell>
          <cell r="B356">
            <v>634</v>
          </cell>
          <cell r="C356" t="str">
            <v>S</v>
          </cell>
          <cell r="D356" t="str">
            <v>F</v>
          </cell>
          <cell r="E356" t="str">
            <v>junction D336 - junction D341</v>
          </cell>
          <cell r="F356" t="str">
            <v>D338</v>
          </cell>
          <cell r="G356">
            <v>1</v>
          </cell>
          <cell r="H356">
            <v>12</v>
          </cell>
          <cell r="I356" t="str">
            <v>R</v>
          </cell>
          <cell r="J356" t="str">
            <v>CHIRADZULU</v>
          </cell>
          <cell r="K356">
            <v>9</v>
          </cell>
        </row>
        <row r="357">
          <cell r="A357" t="str">
            <v>RS 813</v>
          </cell>
          <cell r="B357">
            <v>635</v>
          </cell>
          <cell r="C357" t="str">
            <v>S</v>
          </cell>
          <cell r="D357" t="str">
            <v>F</v>
          </cell>
          <cell r="E357" t="str">
            <v>Chinkankheni East - Zomba Boundary</v>
          </cell>
          <cell r="F357" t="str">
            <v>D341</v>
          </cell>
          <cell r="G357">
            <v>1</v>
          </cell>
          <cell r="H357">
            <v>17.5</v>
          </cell>
          <cell r="I357" t="str">
            <v>F</v>
          </cell>
          <cell r="J357" t="str">
            <v>CHIRADZULU</v>
          </cell>
          <cell r="K357">
            <v>9</v>
          </cell>
        </row>
        <row r="358">
          <cell r="A358" t="str">
            <v>RS 814</v>
          </cell>
          <cell r="B358">
            <v>636</v>
          </cell>
          <cell r="C358" t="str">
            <v>S</v>
          </cell>
          <cell r="D358" t="str">
            <v>F</v>
          </cell>
          <cell r="E358" t="str">
            <v>junction T411 - junction T412</v>
          </cell>
          <cell r="F358" t="str">
            <v>D343</v>
          </cell>
          <cell r="G358">
            <v>1</v>
          </cell>
          <cell r="H358">
            <v>11.5</v>
          </cell>
          <cell r="I358" t="str">
            <v>K</v>
          </cell>
          <cell r="J358" t="str">
            <v>CHIRADZULU</v>
          </cell>
          <cell r="K358">
            <v>9</v>
          </cell>
        </row>
        <row r="359">
          <cell r="A359" t="str">
            <v>RS 815</v>
          </cell>
          <cell r="B359">
            <v>637</v>
          </cell>
          <cell r="C359" t="str">
            <v>S</v>
          </cell>
          <cell r="D359" t="str">
            <v>F</v>
          </cell>
          <cell r="E359" t="str">
            <v>junction M4 - South Thuchila River</v>
          </cell>
          <cell r="F359" t="str">
            <v>D345</v>
          </cell>
          <cell r="G359">
            <v>1</v>
          </cell>
          <cell r="H359">
            <v>18</v>
          </cell>
          <cell r="I359" t="str">
            <v>F</v>
          </cell>
          <cell r="J359" t="str">
            <v>MULANJE</v>
          </cell>
          <cell r="K359">
            <v>9</v>
          </cell>
        </row>
        <row r="360">
          <cell r="A360" t="str">
            <v>RS 816</v>
          </cell>
          <cell r="B360">
            <v>638</v>
          </cell>
          <cell r="C360" t="str">
            <v>S</v>
          </cell>
          <cell r="D360" t="str">
            <v>F</v>
          </cell>
          <cell r="E360" t="str">
            <v>junction S147 - Holo</v>
          </cell>
          <cell r="F360" t="str">
            <v>D364</v>
          </cell>
          <cell r="G360">
            <v>1</v>
          </cell>
          <cell r="H360">
            <v>11</v>
          </cell>
          <cell r="I360" t="str">
            <v>F</v>
          </cell>
          <cell r="J360" t="str">
            <v>MULANJE</v>
          </cell>
          <cell r="K360">
            <v>9</v>
          </cell>
        </row>
        <row r="361">
          <cell r="A361" t="str">
            <v>RS 817</v>
          </cell>
          <cell r="B361">
            <v>639</v>
          </cell>
          <cell r="C361" t="str">
            <v>S</v>
          </cell>
          <cell r="D361" t="str">
            <v>F</v>
          </cell>
          <cell r="E361" t="str">
            <v>Thuchila - junction T463</v>
          </cell>
          <cell r="F361" t="str">
            <v>D368</v>
          </cell>
          <cell r="G361">
            <v>1</v>
          </cell>
          <cell r="H361">
            <v>17</v>
          </cell>
          <cell r="I361" t="str">
            <v>F</v>
          </cell>
          <cell r="J361" t="str">
            <v>MULANJE</v>
          </cell>
          <cell r="K361">
            <v>9</v>
          </cell>
        </row>
        <row r="362">
          <cell r="A362" t="str">
            <v>RS 818</v>
          </cell>
          <cell r="B362">
            <v>640</v>
          </cell>
          <cell r="C362" t="str">
            <v>S</v>
          </cell>
          <cell r="D362" t="str">
            <v>F</v>
          </cell>
          <cell r="E362" t="str">
            <v>North Chilinga - South Singano</v>
          </cell>
          <cell r="F362" t="str">
            <v>D369</v>
          </cell>
          <cell r="G362">
            <v>1</v>
          </cell>
          <cell r="H362">
            <v>8</v>
          </cell>
          <cell r="I362" t="str">
            <v>F</v>
          </cell>
          <cell r="J362" t="str">
            <v>MULANJE</v>
          </cell>
          <cell r="K362">
            <v>9</v>
          </cell>
        </row>
        <row r="363">
          <cell r="A363" t="str">
            <v>RS 819</v>
          </cell>
          <cell r="B363">
            <v>641</v>
          </cell>
          <cell r="C363" t="str">
            <v>S</v>
          </cell>
          <cell r="D363" t="str">
            <v>F</v>
          </cell>
          <cell r="E363" t="str">
            <v>Luwanje - Mkoti</v>
          </cell>
          <cell r="F363" t="str">
            <v>D370</v>
          </cell>
          <cell r="G363">
            <v>1</v>
          </cell>
          <cell r="H363">
            <v>2.5</v>
          </cell>
          <cell r="I363" t="str">
            <v>F</v>
          </cell>
          <cell r="J363" t="str">
            <v>MULANJE</v>
          </cell>
          <cell r="K363">
            <v>9</v>
          </cell>
        </row>
        <row r="364">
          <cell r="A364" t="str">
            <v>RS 820</v>
          </cell>
          <cell r="B364">
            <v>642</v>
          </cell>
          <cell r="C364" t="str">
            <v>S</v>
          </cell>
          <cell r="D364" t="str">
            <v>F</v>
          </cell>
          <cell r="E364" t="str">
            <v>Mkoti - Msikawanjala</v>
          </cell>
          <cell r="F364" t="str">
            <v>D370</v>
          </cell>
          <cell r="G364">
            <v>2</v>
          </cell>
          <cell r="H364">
            <v>7.3</v>
          </cell>
          <cell r="I364" t="str">
            <v>F</v>
          </cell>
          <cell r="J364" t="str">
            <v>MULANJE</v>
          </cell>
          <cell r="K364">
            <v>9</v>
          </cell>
        </row>
        <row r="365">
          <cell r="A365" t="str">
            <v>RS 821</v>
          </cell>
          <cell r="B365">
            <v>643</v>
          </cell>
          <cell r="C365" t="str">
            <v>S</v>
          </cell>
          <cell r="D365" t="str">
            <v>F</v>
          </cell>
          <cell r="E365" t="str">
            <v xml:space="preserve">Nort West Mulanje - junction S149 </v>
          </cell>
          <cell r="F365" t="str">
            <v>D372</v>
          </cell>
          <cell r="G365">
            <v>1</v>
          </cell>
          <cell r="H365">
            <v>9</v>
          </cell>
          <cell r="I365" t="str">
            <v>F</v>
          </cell>
          <cell r="J365" t="str">
            <v>MULANJE</v>
          </cell>
          <cell r="K365">
            <v>9</v>
          </cell>
        </row>
        <row r="366">
          <cell r="A366" t="str">
            <v>RS 822</v>
          </cell>
          <cell r="B366">
            <v>644</v>
          </cell>
          <cell r="C366" t="str">
            <v>S</v>
          </cell>
          <cell r="D366" t="str">
            <v>F</v>
          </cell>
          <cell r="E366" t="str">
            <v>North West Mulanje - South Siyama</v>
          </cell>
          <cell r="F366" t="str">
            <v>D373</v>
          </cell>
          <cell r="G366">
            <v>1</v>
          </cell>
          <cell r="H366">
            <v>10</v>
          </cell>
          <cell r="I366" t="str">
            <v>F</v>
          </cell>
          <cell r="J366" t="str">
            <v>MULANJE</v>
          </cell>
          <cell r="K366">
            <v>9</v>
          </cell>
        </row>
        <row r="367">
          <cell r="A367" t="str">
            <v>RS 823</v>
          </cell>
          <cell r="B367">
            <v>645</v>
          </cell>
          <cell r="C367" t="str">
            <v>S</v>
          </cell>
          <cell r="D367" t="str">
            <v>F</v>
          </cell>
          <cell r="E367" t="str">
            <v>Changoima - West Mwanza Boundary</v>
          </cell>
          <cell r="F367" t="str">
            <v>D379</v>
          </cell>
          <cell r="G367">
            <v>1</v>
          </cell>
          <cell r="H367">
            <v>11</v>
          </cell>
          <cell r="I367" t="str">
            <v>F</v>
          </cell>
          <cell r="J367" t="str">
            <v>CHIKWAWA</v>
          </cell>
          <cell r="K367">
            <v>9</v>
          </cell>
        </row>
        <row r="368">
          <cell r="A368" t="str">
            <v>RS 824</v>
          </cell>
          <cell r="B368">
            <v>646</v>
          </cell>
          <cell r="C368" t="str">
            <v>S</v>
          </cell>
          <cell r="D368" t="str">
            <v>F</v>
          </cell>
          <cell r="E368" t="str">
            <v>Nkhongono - North Nkhongono</v>
          </cell>
          <cell r="F368" t="str">
            <v>D380</v>
          </cell>
          <cell r="G368">
            <v>1</v>
          </cell>
          <cell r="H368">
            <v>21</v>
          </cell>
          <cell r="I368" t="str">
            <v>F</v>
          </cell>
          <cell r="J368" t="str">
            <v>CHIKWAWA</v>
          </cell>
          <cell r="K368">
            <v>9</v>
          </cell>
        </row>
        <row r="369">
          <cell r="A369" t="str">
            <v>RS 825</v>
          </cell>
          <cell r="B369">
            <v>647</v>
          </cell>
          <cell r="C369" t="str">
            <v>S</v>
          </cell>
          <cell r="D369" t="str">
            <v>F</v>
          </cell>
          <cell r="E369" t="str">
            <v>Tomali - South East Phwazi</v>
          </cell>
          <cell r="F369" t="str">
            <v>D383</v>
          </cell>
          <cell r="G369">
            <v>1</v>
          </cell>
          <cell r="H369">
            <v>16</v>
          </cell>
          <cell r="I369" t="str">
            <v>F</v>
          </cell>
          <cell r="J369" t="str">
            <v>CHIKWAWA</v>
          </cell>
          <cell r="K369">
            <v>9</v>
          </cell>
        </row>
        <row r="370">
          <cell r="A370" t="str">
            <v>RS 826</v>
          </cell>
          <cell r="B370">
            <v>648</v>
          </cell>
          <cell r="C370" t="str">
            <v>S</v>
          </cell>
          <cell r="D370" t="str">
            <v>F</v>
          </cell>
          <cell r="E370" t="str">
            <v>North Goma - West M1</v>
          </cell>
          <cell r="F370" t="str">
            <v>D386</v>
          </cell>
          <cell r="G370">
            <v>1</v>
          </cell>
          <cell r="H370">
            <v>13</v>
          </cell>
          <cell r="I370" t="str">
            <v>F</v>
          </cell>
          <cell r="J370" t="str">
            <v>CHIKWAWA</v>
          </cell>
          <cell r="K370">
            <v>10</v>
          </cell>
        </row>
        <row r="371">
          <cell r="A371" t="str">
            <v>RS 666</v>
          </cell>
          <cell r="B371">
            <v>488</v>
          </cell>
          <cell r="C371" t="str">
            <v>C</v>
          </cell>
          <cell r="D371" t="str">
            <v>F</v>
          </cell>
          <cell r="E371" t="str">
            <v>Mbala - Diamphwe River</v>
          </cell>
          <cell r="F371" t="str">
            <v>UD</v>
          </cell>
          <cell r="G371">
            <v>3</v>
          </cell>
          <cell r="H371">
            <v>7.7</v>
          </cell>
          <cell r="I371" t="str">
            <v>FL</v>
          </cell>
          <cell r="J371" t="str">
            <v>DEDZA</v>
          </cell>
          <cell r="K371">
            <v>6</v>
          </cell>
        </row>
        <row r="372">
          <cell r="A372" t="str">
            <v>RS 833</v>
          </cell>
          <cell r="B372">
            <v>655</v>
          </cell>
          <cell r="C372" t="str">
            <v>S</v>
          </cell>
          <cell r="D372" t="str">
            <v>F</v>
          </cell>
          <cell r="E372" t="str">
            <v>Lunzu - North East Zomba Boundary</v>
          </cell>
          <cell r="F372" t="str">
            <v>UD</v>
          </cell>
          <cell r="G372">
            <v>6</v>
          </cell>
          <cell r="H372">
            <v>11</v>
          </cell>
          <cell r="I372" t="str">
            <v>R</v>
          </cell>
          <cell r="J372" t="str">
            <v>BLANTYRE</v>
          </cell>
          <cell r="K372">
            <v>9</v>
          </cell>
        </row>
        <row r="373">
          <cell r="A373" t="str">
            <v>RS 827</v>
          </cell>
          <cell r="B373">
            <v>649</v>
          </cell>
          <cell r="C373" t="str">
            <v>S</v>
          </cell>
          <cell r="D373" t="str">
            <v>F</v>
          </cell>
          <cell r="E373" t="str">
            <v>Mayaka - Mulanje Boundary</v>
          </cell>
          <cell r="F373" t="str">
            <v>UD/C</v>
          </cell>
          <cell r="G373">
            <v>1</v>
          </cell>
          <cell r="H373">
            <v>12</v>
          </cell>
          <cell r="I373" t="str">
            <v>FL</v>
          </cell>
          <cell r="J373" t="str">
            <v>ZOMBA</v>
          </cell>
          <cell r="K373">
            <v>9</v>
          </cell>
        </row>
        <row r="374">
          <cell r="A374" t="str">
            <v>RS 828</v>
          </cell>
          <cell r="B374">
            <v>650</v>
          </cell>
          <cell r="C374" t="str">
            <v>S</v>
          </cell>
          <cell r="D374" t="str">
            <v>F</v>
          </cell>
          <cell r="E374" t="str">
            <v>South West Singano - junction S144</v>
          </cell>
          <cell r="F374" t="str">
            <v>UD/D</v>
          </cell>
          <cell r="G374">
            <v>2</v>
          </cell>
          <cell r="H374">
            <v>12</v>
          </cell>
          <cell r="I374" t="str">
            <v>H</v>
          </cell>
          <cell r="J374" t="str">
            <v>PHALOMBE</v>
          </cell>
          <cell r="K374">
            <v>9</v>
          </cell>
        </row>
        <row r="375">
          <cell r="A375" t="str">
            <v>RS 829</v>
          </cell>
          <cell r="B375">
            <v>651</v>
          </cell>
          <cell r="C375" t="str">
            <v>S</v>
          </cell>
          <cell r="D375" t="str">
            <v>F</v>
          </cell>
          <cell r="E375" t="str">
            <v>South  Ngona - East S136</v>
          </cell>
          <cell r="F375" t="str">
            <v>UD/F</v>
          </cell>
          <cell r="G375">
            <v>3</v>
          </cell>
          <cell r="H375">
            <v>9</v>
          </cell>
          <cell r="I375" t="str">
            <v>H</v>
          </cell>
          <cell r="J375" t="str">
            <v>CHIKWAWA</v>
          </cell>
          <cell r="K375">
            <v>9</v>
          </cell>
        </row>
        <row r="376">
          <cell r="A376" t="str">
            <v>RS 830</v>
          </cell>
          <cell r="B376">
            <v>652</v>
          </cell>
          <cell r="C376" t="str">
            <v>S</v>
          </cell>
          <cell r="D376" t="str">
            <v>F</v>
          </cell>
          <cell r="E376" t="str">
            <v>North Gogomwa - junction T411</v>
          </cell>
          <cell r="F376" t="str">
            <v>UD/I</v>
          </cell>
          <cell r="G376">
            <v>4</v>
          </cell>
          <cell r="H376">
            <v>9</v>
          </cell>
          <cell r="I376" t="str">
            <v>H</v>
          </cell>
          <cell r="J376" t="str">
            <v>CHIRADZULU</v>
          </cell>
          <cell r="K376">
            <v>9</v>
          </cell>
        </row>
        <row r="377">
          <cell r="A377" t="str">
            <v>RS 831</v>
          </cell>
          <cell r="B377">
            <v>653</v>
          </cell>
          <cell r="C377" t="str">
            <v>S</v>
          </cell>
          <cell r="D377" t="str">
            <v>F</v>
          </cell>
          <cell r="E377" t="str">
            <v>Chirimba - mid junction between Chizolo and Limbe</v>
          </cell>
          <cell r="F377" t="str">
            <v>UD/I</v>
          </cell>
          <cell r="G377">
            <v>5</v>
          </cell>
          <cell r="H377">
            <v>7</v>
          </cell>
          <cell r="I377" t="str">
            <v>H</v>
          </cell>
          <cell r="J377" t="str">
            <v>BLANTYRE</v>
          </cell>
          <cell r="K377">
            <v>9</v>
          </cell>
        </row>
        <row r="378">
          <cell r="A378" t="str">
            <v>RS 521</v>
          </cell>
          <cell r="B378">
            <v>343</v>
          </cell>
          <cell r="C378" t="str">
            <v>N</v>
          </cell>
          <cell r="D378" t="str">
            <v>F</v>
          </cell>
          <cell r="E378" t="str">
            <v>Mdima - Mhlafuta</v>
          </cell>
          <cell r="F378" t="str">
            <v>UDX</v>
          </cell>
          <cell r="G378">
            <v>7</v>
          </cell>
          <cell r="H378">
            <v>4.4000000000000004</v>
          </cell>
          <cell r="I378" t="str">
            <v>FL</v>
          </cell>
          <cell r="J378" t="str">
            <v>MZIMBA</v>
          </cell>
          <cell r="K378">
            <v>4</v>
          </cell>
        </row>
        <row r="379">
          <cell r="A379" t="str">
            <v>RS 522</v>
          </cell>
          <cell r="B379">
            <v>344</v>
          </cell>
          <cell r="C379" t="str">
            <v>N</v>
          </cell>
          <cell r="D379" t="str">
            <v>F</v>
          </cell>
          <cell r="E379" t="str">
            <v>Malema - Kazguli village</v>
          </cell>
          <cell r="F379" t="str">
            <v>UDX</v>
          </cell>
          <cell r="G379">
            <v>8</v>
          </cell>
          <cell r="H379">
            <v>20.100000000000001</v>
          </cell>
          <cell r="I379" t="str">
            <v>R</v>
          </cell>
          <cell r="J379" t="str">
            <v>MZIMBA</v>
          </cell>
          <cell r="K379">
            <v>4</v>
          </cell>
        </row>
        <row r="380">
          <cell r="A380" t="str">
            <v>RS 523</v>
          </cell>
          <cell r="B380">
            <v>345</v>
          </cell>
          <cell r="C380" t="str">
            <v>N</v>
          </cell>
          <cell r="D380" t="str">
            <v>F</v>
          </cell>
          <cell r="E380" t="str">
            <v>Kasichi - Edingeni</v>
          </cell>
          <cell r="F380" t="str">
            <v>UDY</v>
          </cell>
          <cell r="G380">
            <v>11</v>
          </cell>
          <cell r="H380">
            <v>19.3</v>
          </cell>
          <cell r="I380" t="str">
            <v>FL</v>
          </cell>
          <cell r="J380" t="str">
            <v>MZIMBA</v>
          </cell>
          <cell r="K380">
            <v>4</v>
          </cell>
        </row>
        <row r="381">
          <cell r="A381" t="str">
            <v>RS 834</v>
          </cell>
          <cell r="B381">
            <v>656</v>
          </cell>
          <cell r="C381" t="str">
            <v>S</v>
          </cell>
          <cell r="D381" t="str">
            <v>F</v>
          </cell>
          <cell r="E381" t="str">
            <v>Mtengo Wambalame - Lunzu</v>
          </cell>
          <cell r="F381" t="str">
            <v>IB2</v>
          </cell>
          <cell r="G381">
            <v>1</v>
          </cell>
          <cell r="H381">
            <v>12</v>
          </cell>
          <cell r="I381" t="str">
            <v>R</v>
          </cell>
          <cell r="J381" t="str">
            <v>BLANTYRE</v>
          </cell>
          <cell r="K381">
            <v>9</v>
          </cell>
        </row>
        <row r="382">
          <cell r="A382" t="str">
            <v>RS 520</v>
          </cell>
          <cell r="B382">
            <v>342</v>
          </cell>
          <cell r="C382" t="str">
            <v>N</v>
          </cell>
          <cell r="D382" t="str">
            <v>F</v>
          </cell>
          <cell r="E382" t="str">
            <v>Katoto Admarc - Sibande - junction M1</v>
          </cell>
          <cell r="F382" t="str">
            <v>PR11</v>
          </cell>
          <cell r="G382">
            <v>1</v>
          </cell>
          <cell r="H382">
            <v>25.1</v>
          </cell>
          <cell r="I382" t="str">
            <v>R</v>
          </cell>
          <cell r="J382" t="str">
            <v>MZIMBA</v>
          </cell>
          <cell r="K382">
            <v>3</v>
          </cell>
        </row>
        <row r="383">
          <cell r="A383" t="str">
            <v>RS 671</v>
          </cell>
          <cell r="B383">
            <v>493</v>
          </cell>
          <cell r="C383" t="str">
            <v>C</v>
          </cell>
          <cell r="D383" t="str">
            <v>F</v>
          </cell>
          <cell r="E383" t="str">
            <v>North Ngodzi River - Lake Malawi</v>
          </cell>
          <cell r="F383" t="str">
            <v>PR58</v>
          </cell>
          <cell r="G383">
            <v>1</v>
          </cell>
          <cell r="H383">
            <v>8</v>
          </cell>
          <cell r="I383" t="str">
            <v>F</v>
          </cell>
          <cell r="J383" t="str">
            <v>SALIMA</v>
          </cell>
          <cell r="K383">
            <v>7</v>
          </cell>
        </row>
        <row r="384">
          <cell r="A384" t="str">
            <v>RS 672</v>
          </cell>
          <cell r="B384">
            <v>494</v>
          </cell>
          <cell r="C384" t="str">
            <v>C</v>
          </cell>
          <cell r="D384" t="str">
            <v>F</v>
          </cell>
          <cell r="E384" t="str">
            <v>junction T357 - West Chelani</v>
          </cell>
          <cell r="F384" t="str">
            <v>PR92</v>
          </cell>
          <cell r="G384">
            <v>1</v>
          </cell>
          <cell r="H384">
            <v>11.5</v>
          </cell>
          <cell r="I384" t="str">
            <v>F</v>
          </cell>
          <cell r="J384" t="str">
            <v>SALMA</v>
          </cell>
          <cell r="K384">
            <v>7</v>
          </cell>
        </row>
        <row r="385">
          <cell r="A385" t="str">
            <v>RS 672</v>
          </cell>
          <cell r="B385">
            <v>494</v>
          </cell>
          <cell r="C385" t="str">
            <v>C</v>
          </cell>
          <cell r="D385" t="str">
            <v>F</v>
          </cell>
          <cell r="E385" t="str">
            <v>junction T357 - West Chelani</v>
          </cell>
          <cell r="F385" t="str">
            <v>PR92</v>
          </cell>
          <cell r="G385">
            <v>1</v>
          </cell>
          <cell r="H385">
            <v>11.5</v>
          </cell>
          <cell r="I385" t="str">
            <v>F</v>
          </cell>
          <cell r="J385" t="str">
            <v>SALMA</v>
          </cell>
          <cell r="K385">
            <v>7</v>
          </cell>
        </row>
        <row r="386">
          <cell r="A386" t="str">
            <v>Count</v>
          </cell>
          <cell r="B386">
            <v>382</v>
          </cell>
          <cell r="C386">
            <v>0</v>
          </cell>
          <cell r="D386">
            <v>0</v>
          </cell>
          <cell r="E386">
            <v>0</v>
          </cell>
          <cell r="F386" t="str">
            <v>Total length</v>
          </cell>
          <cell r="G386">
            <v>0</v>
          </cell>
          <cell r="H386">
            <v>4489.2000000000016</v>
          </cell>
          <cell r="I386">
            <v>0</v>
          </cell>
          <cell r="J386" t="str">
            <v>km</v>
          </cell>
        </row>
      </sheetData>
      <sheetData sheetId="1" refreshError="1">
        <row r="1">
          <cell r="A1" t="str">
            <v>Table A5 - Feeder Road Sections</v>
          </cell>
        </row>
        <row r="2">
          <cell r="A2" t="str">
            <v>Road Section No.</v>
          </cell>
          <cell r="B2" t="str">
            <v>MOWS Project No.</v>
          </cell>
          <cell r="C2" t="str">
            <v>Region</v>
          </cell>
          <cell r="D2" t="str">
            <v>Road class</v>
          </cell>
          <cell r="E2" t="str">
            <v>Road section</v>
          </cell>
          <cell r="F2" t="str">
            <v>Designation</v>
          </cell>
          <cell r="G2" t="str">
            <v>Sequence</v>
          </cell>
          <cell r="H2" t="str">
            <v>Length (km)</v>
          </cell>
          <cell r="I2" t="str">
            <v>Trrrain</v>
          </cell>
          <cell r="J2" t="str">
            <v>District</v>
          </cell>
          <cell r="K2" t="str">
            <v>Map sheet No.</v>
          </cell>
          <cell r="L2" t="str">
            <v>Comments</v>
          </cell>
        </row>
        <row r="3">
          <cell r="A3" t="str">
            <v>RS 317</v>
          </cell>
          <cell r="B3">
            <v>139</v>
          </cell>
          <cell r="C3" t="str">
            <v>S</v>
          </cell>
          <cell r="D3" t="str">
            <v>T</v>
          </cell>
          <cell r="E3" t="str">
            <v>Bangula - Tengani</v>
          </cell>
          <cell r="F3" t="str">
            <v>M01</v>
          </cell>
          <cell r="G3">
            <v>53</v>
          </cell>
          <cell r="H3">
            <v>21.6</v>
          </cell>
          <cell r="I3" t="str">
            <v>F</v>
          </cell>
          <cell r="J3" t="str">
            <v>NSANJE</v>
          </cell>
          <cell r="K3">
            <v>10</v>
          </cell>
          <cell r="L3" t="str">
            <v>Part of RS1</v>
          </cell>
        </row>
        <row r="4">
          <cell r="A4" t="str">
            <v>RS 318</v>
          </cell>
          <cell r="B4">
            <v>140</v>
          </cell>
          <cell r="C4" t="str">
            <v>S</v>
          </cell>
          <cell r="D4" t="str">
            <v>T</v>
          </cell>
          <cell r="E4" t="str">
            <v>Tengani - Chigumukire</v>
          </cell>
          <cell r="F4" t="str">
            <v>M01</v>
          </cell>
          <cell r="G4">
            <v>54</v>
          </cell>
          <cell r="H4">
            <v>11.2</v>
          </cell>
          <cell r="I4" t="str">
            <v>F</v>
          </cell>
          <cell r="J4" t="str">
            <v>NSANJE</v>
          </cell>
          <cell r="K4">
            <v>10</v>
          </cell>
          <cell r="L4" t="str">
            <v>Part of RS1</v>
          </cell>
        </row>
        <row r="5">
          <cell r="A5" t="str">
            <v>RS 320</v>
          </cell>
          <cell r="B5">
            <v>142</v>
          </cell>
          <cell r="C5" t="str">
            <v>S</v>
          </cell>
          <cell r="D5" t="str">
            <v>T</v>
          </cell>
          <cell r="E5" t="str">
            <v>Chigumukire - Lundu</v>
          </cell>
          <cell r="F5" t="str">
            <v>M01</v>
          </cell>
          <cell r="G5">
            <v>55</v>
          </cell>
          <cell r="H5">
            <v>14</v>
          </cell>
          <cell r="I5" t="str">
            <v>F</v>
          </cell>
          <cell r="J5" t="str">
            <v>NSANJE</v>
          </cell>
          <cell r="K5">
            <v>10</v>
          </cell>
        </row>
        <row r="6">
          <cell r="A6" t="str">
            <v>RS 314</v>
          </cell>
          <cell r="B6">
            <v>136</v>
          </cell>
          <cell r="C6" t="str">
            <v>S</v>
          </cell>
          <cell r="D6" t="str">
            <v>T</v>
          </cell>
          <cell r="E6" t="str">
            <v>Lundu - Nsanje Marka</v>
          </cell>
          <cell r="F6" t="str">
            <v>M01</v>
          </cell>
          <cell r="G6">
            <v>56</v>
          </cell>
          <cell r="H6">
            <v>28</v>
          </cell>
          <cell r="I6" t="str">
            <v>F</v>
          </cell>
          <cell r="J6" t="str">
            <v>NSANJE</v>
          </cell>
          <cell r="K6">
            <v>10</v>
          </cell>
        </row>
        <row r="7">
          <cell r="A7" t="str">
            <v>RS 327</v>
          </cell>
          <cell r="B7">
            <v>149</v>
          </cell>
          <cell r="C7" t="str">
            <v>S</v>
          </cell>
          <cell r="D7" t="str">
            <v>T</v>
          </cell>
          <cell r="E7" t="str">
            <v>Mbalula - Chowe</v>
          </cell>
          <cell r="F7" t="str">
            <v>M03</v>
          </cell>
          <cell r="G7">
            <v>16</v>
          </cell>
          <cell r="H7">
            <v>7.2</v>
          </cell>
          <cell r="I7" t="str">
            <v>H</v>
          </cell>
          <cell r="J7" t="str">
            <v>MANGOCHI</v>
          </cell>
          <cell r="K7">
            <v>8</v>
          </cell>
        </row>
        <row r="8">
          <cell r="A8" t="str">
            <v>RS 325</v>
          </cell>
          <cell r="B8">
            <v>147</v>
          </cell>
          <cell r="C8" t="str">
            <v>S</v>
          </cell>
          <cell r="D8" t="str">
            <v>T</v>
          </cell>
          <cell r="E8" t="str">
            <v>Matola - Idulusi</v>
          </cell>
          <cell r="F8" t="str">
            <v>M03</v>
          </cell>
          <cell r="G8">
            <v>18</v>
          </cell>
          <cell r="H8">
            <v>4.2</v>
          </cell>
          <cell r="I8" t="str">
            <v>H</v>
          </cell>
          <cell r="J8" t="str">
            <v>MANGOCHI</v>
          </cell>
          <cell r="K8">
            <v>8</v>
          </cell>
        </row>
        <row r="9">
          <cell r="A9" t="str">
            <v>RS 328</v>
          </cell>
          <cell r="B9">
            <v>150</v>
          </cell>
          <cell r="C9" t="str">
            <v>S</v>
          </cell>
          <cell r="D9" t="str">
            <v>T</v>
          </cell>
          <cell r="E9" t="str">
            <v>Idulusi - Namwera</v>
          </cell>
          <cell r="F9" t="str">
            <v>M03</v>
          </cell>
          <cell r="G9">
            <v>19</v>
          </cell>
          <cell r="H9">
            <v>12.7</v>
          </cell>
          <cell r="I9" t="str">
            <v>R</v>
          </cell>
          <cell r="J9" t="str">
            <v>MANGOCHI</v>
          </cell>
          <cell r="K9">
            <v>7</v>
          </cell>
        </row>
        <row r="10">
          <cell r="A10" t="str">
            <v>RS 323</v>
          </cell>
          <cell r="B10">
            <v>145</v>
          </cell>
          <cell r="C10" t="str">
            <v>S</v>
          </cell>
          <cell r="D10" t="str">
            <v>T</v>
          </cell>
          <cell r="E10" t="str">
            <v>Namwera - Chiponde</v>
          </cell>
          <cell r="F10" t="str">
            <v>M03</v>
          </cell>
          <cell r="G10">
            <v>20</v>
          </cell>
          <cell r="H10">
            <v>12.9</v>
          </cell>
          <cell r="I10" t="str">
            <v>R</v>
          </cell>
          <cell r="J10" t="str">
            <v>MANGOCHI</v>
          </cell>
          <cell r="K10">
            <v>7</v>
          </cell>
        </row>
        <row r="11">
          <cell r="A11" t="str">
            <v>RS 329</v>
          </cell>
          <cell r="B11">
            <v>151</v>
          </cell>
          <cell r="C11" t="str">
            <v>S</v>
          </cell>
          <cell r="D11" t="str">
            <v>T</v>
          </cell>
          <cell r="E11" t="str">
            <v>Mikolongwe - Losa</v>
          </cell>
          <cell r="F11" t="str">
            <v>M04</v>
          </cell>
          <cell r="G11">
            <v>3</v>
          </cell>
          <cell r="H11">
            <v>13.1</v>
          </cell>
          <cell r="I11" t="str">
            <v>R</v>
          </cell>
          <cell r="J11" t="str">
            <v>CHIRADZULU</v>
          </cell>
          <cell r="K11">
            <v>9</v>
          </cell>
        </row>
        <row r="12">
          <cell r="A12" t="str">
            <v>RS 758</v>
          </cell>
          <cell r="B12">
            <v>580</v>
          </cell>
          <cell r="C12" t="str">
            <v>S</v>
          </cell>
          <cell r="D12" t="str">
            <v>T</v>
          </cell>
          <cell r="E12" t="str">
            <v>Losa - Thuchila River Bridge</v>
          </cell>
          <cell r="F12" t="str">
            <v>M04</v>
          </cell>
          <cell r="G12">
            <v>4</v>
          </cell>
          <cell r="H12">
            <v>8.6999999999999993</v>
          </cell>
          <cell r="I12" t="str">
            <v>F</v>
          </cell>
          <cell r="J12" t="str">
            <v>MULANJE</v>
          </cell>
          <cell r="K12">
            <v>9</v>
          </cell>
          <cell r="L12" t="str">
            <v>Changed designation from T413  to M04</v>
          </cell>
        </row>
        <row r="13">
          <cell r="A13" t="str">
            <v>RS 838</v>
          </cell>
          <cell r="B13" t="str">
            <v>n.a.</v>
          </cell>
          <cell r="C13" t="str">
            <v>S</v>
          </cell>
          <cell r="D13" t="str">
            <v>T</v>
          </cell>
          <cell r="E13" t="str">
            <v>Thuchila River Bridge - Luwanje T.C.</v>
          </cell>
          <cell r="F13" t="str">
            <v>M04</v>
          </cell>
          <cell r="G13">
            <v>5</v>
          </cell>
          <cell r="H13">
            <v>6.9</v>
          </cell>
          <cell r="I13" t="str">
            <v>R</v>
          </cell>
          <cell r="J13" t="str">
            <v>MULANJE</v>
          </cell>
          <cell r="K13">
            <v>9</v>
          </cell>
          <cell r="L13" t="str">
            <v xml:space="preserve">New section part of RS 330 </v>
          </cell>
        </row>
        <row r="14">
          <cell r="A14" t="str">
            <v>RS 215</v>
          </cell>
          <cell r="B14">
            <v>37</v>
          </cell>
          <cell r="C14" t="str">
            <v>C</v>
          </cell>
          <cell r="D14" t="str">
            <v>T</v>
          </cell>
          <cell r="E14" t="str">
            <v>Zowonela - Mbobo</v>
          </cell>
          <cell r="F14" t="str">
            <v>M07</v>
          </cell>
          <cell r="G14">
            <v>1</v>
          </cell>
          <cell r="H14">
            <v>12.2</v>
          </cell>
          <cell r="I14" t="str">
            <v>L</v>
          </cell>
          <cell r="J14" t="str">
            <v>NTCHISI</v>
          </cell>
          <cell r="K14">
            <v>5</v>
          </cell>
        </row>
        <row r="15">
          <cell r="A15" t="str">
            <v>RS 209</v>
          </cell>
          <cell r="B15">
            <v>31</v>
          </cell>
          <cell r="C15" t="str">
            <v>C</v>
          </cell>
          <cell r="D15" t="str">
            <v>T</v>
          </cell>
          <cell r="E15" t="str">
            <v>Mpala T.C. - Zowonela</v>
          </cell>
          <cell r="F15" t="str">
            <v>M07</v>
          </cell>
          <cell r="G15">
            <v>2</v>
          </cell>
          <cell r="H15">
            <v>9.8000000000000007</v>
          </cell>
          <cell r="I15" t="str">
            <v>R</v>
          </cell>
          <cell r="J15" t="str">
            <v>NTCHISI</v>
          </cell>
          <cell r="K15">
            <v>5</v>
          </cell>
        </row>
        <row r="16">
          <cell r="A16" t="str">
            <v>RS 214</v>
          </cell>
          <cell r="B16">
            <v>36</v>
          </cell>
          <cell r="C16" t="str">
            <v>C</v>
          </cell>
          <cell r="D16" t="str">
            <v>T</v>
          </cell>
          <cell r="E16" t="str">
            <v>Mpala T.C. - Ntchisi</v>
          </cell>
          <cell r="F16" t="str">
            <v>M07</v>
          </cell>
          <cell r="G16">
            <v>3</v>
          </cell>
          <cell r="H16">
            <v>12.9</v>
          </cell>
          <cell r="I16" t="str">
            <v>R</v>
          </cell>
          <cell r="J16" t="str">
            <v>NTCHISI</v>
          </cell>
          <cell r="K16">
            <v>5</v>
          </cell>
        </row>
        <row r="17">
          <cell r="A17" t="str">
            <v>RS 208</v>
          </cell>
          <cell r="B17">
            <v>30</v>
          </cell>
          <cell r="C17" t="str">
            <v>C</v>
          </cell>
          <cell r="D17" t="str">
            <v>T</v>
          </cell>
          <cell r="E17" t="str">
            <v>Nchisi - Km17.45</v>
          </cell>
          <cell r="F17" t="str">
            <v>M07</v>
          </cell>
          <cell r="G17">
            <v>4</v>
          </cell>
          <cell r="H17">
            <v>1.6</v>
          </cell>
          <cell r="I17" t="str">
            <v>R</v>
          </cell>
          <cell r="J17" t="str">
            <v>NTCHISI</v>
          </cell>
          <cell r="K17">
            <v>5</v>
          </cell>
        </row>
        <row r="18">
          <cell r="A18" t="str">
            <v>RS 211</v>
          </cell>
          <cell r="B18">
            <v>33</v>
          </cell>
          <cell r="C18" t="str">
            <v>C</v>
          </cell>
          <cell r="D18" t="str">
            <v>T</v>
          </cell>
          <cell r="E18" t="str">
            <v>Km17.45 - Mbonekela</v>
          </cell>
          <cell r="F18" t="str">
            <v>M07</v>
          </cell>
          <cell r="G18">
            <v>5</v>
          </cell>
          <cell r="H18">
            <v>17.399999999999999</v>
          </cell>
          <cell r="I18" t="str">
            <v>R</v>
          </cell>
          <cell r="J18" t="str">
            <v>NTCHISI</v>
          </cell>
          <cell r="K18">
            <v>5</v>
          </cell>
        </row>
        <row r="19">
          <cell r="A19" t="str">
            <v>RS 212</v>
          </cell>
          <cell r="B19">
            <v>34</v>
          </cell>
          <cell r="C19" t="str">
            <v>C</v>
          </cell>
          <cell r="D19" t="str">
            <v>T</v>
          </cell>
          <cell r="E19" t="str">
            <v>Mwangala - Dzaleka</v>
          </cell>
          <cell r="F19" t="str">
            <v>M07</v>
          </cell>
          <cell r="G19">
            <v>6</v>
          </cell>
          <cell r="H19">
            <v>25.4</v>
          </cell>
          <cell r="I19" t="str">
            <v>R</v>
          </cell>
          <cell r="J19" t="str">
            <v>DOWA</v>
          </cell>
          <cell r="K19" t="str">
            <v>5,6</v>
          </cell>
        </row>
        <row r="20">
          <cell r="A20" t="str">
            <v>RS 210</v>
          </cell>
          <cell r="B20">
            <v>32</v>
          </cell>
          <cell r="C20" t="str">
            <v>C</v>
          </cell>
          <cell r="D20" t="str">
            <v>T</v>
          </cell>
          <cell r="E20" t="str">
            <v>Dzaleka - Zidunge</v>
          </cell>
          <cell r="F20" t="str">
            <v>M07</v>
          </cell>
          <cell r="G20">
            <v>7</v>
          </cell>
          <cell r="H20">
            <v>5.2</v>
          </cell>
          <cell r="I20" t="str">
            <v>R</v>
          </cell>
          <cell r="J20" t="str">
            <v>DOWA</v>
          </cell>
          <cell r="K20">
            <v>5</v>
          </cell>
        </row>
        <row r="21">
          <cell r="A21" t="str">
            <v>RS 213</v>
          </cell>
          <cell r="B21">
            <v>35</v>
          </cell>
          <cell r="C21" t="str">
            <v>C</v>
          </cell>
          <cell r="D21" t="str">
            <v>T</v>
          </cell>
          <cell r="E21" t="str">
            <v>Zidunge - Othambwe</v>
          </cell>
          <cell r="F21" t="str">
            <v>M07</v>
          </cell>
          <cell r="G21">
            <v>8</v>
          </cell>
          <cell r="H21">
            <v>7.9</v>
          </cell>
          <cell r="I21" t="str">
            <v>F</v>
          </cell>
          <cell r="J21" t="str">
            <v>DOWA</v>
          </cell>
          <cell r="K21">
            <v>6</v>
          </cell>
        </row>
        <row r="22">
          <cell r="A22" t="str">
            <v>RS 847</v>
          </cell>
          <cell r="B22" t="str">
            <v>n.a.</v>
          </cell>
          <cell r="C22" t="str">
            <v>N</v>
          </cell>
          <cell r="D22" t="str">
            <v>T</v>
          </cell>
          <cell r="E22" t="str">
            <v>Mkoma (Tanzania border) - Chitipa</v>
          </cell>
          <cell r="F22" t="str">
            <v>M09</v>
          </cell>
          <cell r="G22">
            <v>1</v>
          </cell>
          <cell r="H22">
            <v>44.5</v>
          </cell>
          <cell r="I22" t="str">
            <v>R</v>
          </cell>
          <cell r="J22" t="str">
            <v>CHITIPA</v>
          </cell>
          <cell r="K22">
            <v>1</v>
          </cell>
          <cell r="L22" t="str">
            <v>New section part of origional RS 179</v>
          </cell>
        </row>
        <row r="23">
          <cell r="A23" t="str">
            <v>RS 848</v>
          </cell>
          <cell r="B23" t="str">
            <v>n.a.</v>
          </cell>
          <cell r="C23" t="str">
            <v>N</v>
          </cell>
          <cell r="D23" t="str">
            <v>T</v>
          </cell>
          <cell r="E23" t="str">
            <v>Chitipa - Chelinda T/off</v>
          </cell>
          <cell r="F23" t="str">
            <v>M09</v>
          </cell>
          <cell r="G23">
            <v>2</v>
          </cell>
          <cell r="H23">
            <v>166.8</v>
          </cell>
          <cell r="I23" t="str">
            <v>R</v>
          </cell>
          <cell r="J23" t="str">
            <v>CHITIPA</v>
          </cell>
          <cell r="K23">
            <v>1</v>
          </cell>
          <cell r="L23" t="str">
            <v>New section part of origional RS 179</v>
          </cell>
        </row>
        <row r="24">
          <cell r="A24" t="str">
            <v>RS 181</v>
          </cell>
          <cell r="B24">
            <v>3</v>
          </cell>
          <cell r="C24" t="str">
            <v>N</v>
          </cell>
          <cell r="D24" t="str">
            <v>T</v>
          </cell>
          <cell r="E24" t="str">
            <v>Chelinda T/off - Chitanga</v>
          </cell>
          <cell r="F24" t="str">
            <v>M09</v>
          </cell>
          <cell r="G24">
            <v>3</v>
          </cell>
          <cell r="H24">
            <v>62.8</v>
          </cell>
          <cell r="I24" t="str">
            <v>R</v>
          </cell>
          <cell r="J24" t="str">
            <v>RUMPHI</v>
          </cell>
          <cell r="K24" t="str">
            <v>2,3</v>
          </cell>
          <cell r="L24" t="str">
            <v>End point altered from Mphangara Stream to Chatanga</v>
          </cell>
        </row>
        <row r="25">
          <cell r="A25" t="str">
            <v>RS 182</v>
          </cell>
          <cell r="B25">
            <v>4</v>
          </cell>
          <cell r="C25" t="str">
            <v>N</v>
          </cell>
          <cell r="D25" t="str">
            <v>T</v>
          </cell>
          <cell r="E25" t="str">
            <v>Mphangara Stream-Bow-Emcisweni-Kamchocho-Chitapa</v>
          </cell>
          <cell r="F25" t="str">
            <v>M09</v>
          </cell>
          <cell r="G25">
            <v>4</v>
          </cell>
          <cell r="H25">
            <v>95</v>
          </cell>
          <cell r="I25" t="str">
            <v>R</v>
          </cell>
          <cell r="J25" t="str">
            <v>MZIMBA</v>
          </cell>
          <cell r="K25" t="str">
            <v>3,4</v>
          </cell>
        </row>
        <row r="26">
          <cell r="A26" t="str">
            <v>RS 180</v>
          </cell>
          <cell r="B26">
            <v>2</v>
          </cell>
          <cell r="C26" t="str">
            <v>N</v>
          </cell>
          <cell r="D26" t="str">
            <v>T</v>
          </cell>
          <cell r="E26" t="str">
            <v>Chitapa - Majighasawa</v>
          </cell>
          <cell r="F26" t="str">
            <v>M09</v>
          </cell>
          <cell r="G26">
            <v>5</v>
          </cell>
          <cell r="H26">
            <v>31.8</v>
          </cell>
          <cell r="I26" t="str">
            <v>R</v>
          </cell>
          <cell r="J26" t="str">
            <v>MZIMBA</v>
          </cell>
          <cell r="K26" t="str">
            <v>3,4</v>
          </cell>
        </row>
        <row r="27">
          <cell r="A27" t="str">
            <v>RS 849</v>
          </cell>
          <cell r="B27" t="str">
            <v>n.a.</v>
          </cell>
          <cell r="C27" t="str">
            <v>N</v>
          </cell>
          <cell r="D27" t="str">
            <v>T</v>
          </cell>
          <cell r="E27" t="str">
            <v>Chitanga - Mphangara Stream</v>
          </cell>
          <cell r="F27" t="str">
            <v>M09</v>
          </cell>
          <cell r="G27">
            <v>6</v>
          </cell>
          <cell r="H27">
            <v>21.2</v>
          </cell>
          <cell r="I27">
            <v>3</v>
          </cell>
          <cell r="J27" t="str">
            <v>MZIMBA</v>
          </cell>
          <cell r="K27">
            <v>3</v>
          </cell>
          <cell r="L27" t="str">
            <v>New section part of origional RS 181</v>
          </cell>
        </row>
        <row r="28">
          <cell r="A28" t="str">
            <v>RS 183</v>
          </cell>
          <cell r="B28">
            <v>5</v>
          </cell>
          <cell r="C28" t="str">
            <v>N</v>
          </cell>
          <cell r="D28" t="str">
            <v>T</v>
          </cell>
          <cell r="E28" t="str">
            <v>Chiweta - Malongowe River</v>
          </cell>
          <cell r="F28" t="str">
            <v>M11</v>
          </cell>
          <cell r="G28">
            <v>1</v>
          </cell>
          <cell r="H28">
            <v>33.200000000000003</v>
          </cell>
          <cell r="I28" t="str">
            <v>R</v>
          </cell>
          <cell r="J28" t="str">
            <v>RUMPHI</v>
          </cell>
          <cell r="K28" t="str">
            <v>2,3</v>
          </cell>
        </row>
        <row r="29">
          <cell r="A29" t="str">
            <v>RS 184</v>
          </cell>
          <cell r="B29">
            <v>6</v>
          </cell>
          <cell r="C29" t="str">
            <v>N</v>
          </cell>
          <cell r="D29" t="str">
            <v>T</v>
          </cell>
          <cell r="E29" t="str">
            <v>Malongowe River - Usisya - Timbiri</v>
          </cell>
          <cell r="F29" t="str">
            <v>M11</v>
          </cell>
          <cell r="G29">
            <v>2</v>
          </cell>
          <cell r="H29">
            <v>63</v>
          </cell>
          <cell r="I29" t="str">
            <v>R</v>
          </cell>
          <cell r="J29" t="str">
            <v>MZIMBA</v>
          </cell>
          <cell r="K29">
            <v>3</v>
          </cell>
        </row>
        <row r="30">
          <cell r="A30" t="str">
            <v>RS 220</v>
          </cell>
          <cell r="B30">
            <v>42</v>
          </cell>
          <cell r="C30" t="str">
            <v>C</v>
          </cell>
          <cell r="D30" t="str">
            <v>T</v>
          </cell>
          <cell r="E30" t="str">
            <v>Dzaleka - Dowa</v>
          </cell>
          <cell r="F30" t="str">
            <v>M16</v>
          </cell>
          <cell r="G30">
            <v>1</v>
          </cell>
          <cell r="H30">
            <v>7.4</v>
          </cell>
          <cell r="I30" t="str">
            <v>R</v>
          </cell>
          <cell r="J30" t="str">
            <v>DOWA</v>
          </cell>
          <cell r="K30">
            <v>6</v>
          </cell>
        </row>
        <row r="31">
          <cell r="A31" t="str">
            <v>RS 219</v>
          </cell>
          <cell r="B31">
            <v>41</v>
          </cell>
          <cell r="C31" t="str">
            <v>C</v>
          </cell>
          <cell r="D31" t="str">
            <v>T</v>
          </cell>
          <cell r="E31" t="str">
            <v>Dowa - Chezi</v>
          </cell>
          <cell r="F31" t="str">
            <v>M16</v>
          </cell>
          <cell r="G31">
            <v>2</v>
          </cell>
          <cell r="H31">
            <v>16.600000000000001</v>
          </cell>
          <cell r="I31" t="str">
            <v>H</v>
          </cell>
          <cell r="J31" t="str">
            <v>DOWA</v>
          </cell>
          <cell r="K31">
            <v>6</v>
          </cell>
        </row>
        <row r="32">
          <cell r="A32" t="str">
            <v>RS 049</v>
          </cell>
          <cell r="B32">
            <v>49</v>
          </cell>
          <cell r="C32" t="str">
            <v>C</v>
          </cell>
          <cell r="D32" t="str">
            <v>T</v>
          </cell>
          <cell r="E32" t="str">
            <v>Nkhota-kota - Malenga</v>
          </cell>
          <cell r="F32" t="str">
            <v>M18</v>
          </cell>
          <cell r="G32">
            <v>1</v>
          </cell>
          <cell r="H32">
            <v>5.6</v>
          </cell>
          <cell r="I32" t="str">
            <v>F</v>
          </cell>
          <cell r="J32" t="str">
            <v>NKHOTA KOTA</v>
          </cell>
          <cell r="K32">
            <v>5</v>
          </cell>
          <cell r="L32" t="str">
            <v>Changed designation from M5 to M18</v>
          </cell>
        </row>
        <row r="33">
          <cell r="A33" t="str">
            <v>RS 224</v>
          </cell>
          <cell r="B33">
            <v>46</v>
          </cell>
          <cell r="C33" t="str">
            <v>C</v>
          </cell>
          <cell r="D33" t="str">
            <v>T</v>
          </cell>
          <cell r="E33" t="str">
            <v>Malenga - Nkhotakota Game Reserve</v>
          </cell>
          <cell r="F33" t="str">
            <v>M18</v>
          </cell>
          <cell r="G33">
            <v>2</v>
          </cell>
          <cell r="H33">
            <v>16.100000000000001</v>
          </cell>
          <cell r="I33" t="str">
            <v>F</v>
          </cell>
          <cell r="J33" t="str">
            <v>NKHOTA KOTA</v>
          </cell>
          <cell r="K33">
            <v>5</v>
          </cell>
        </row>
        <row r="34">
          <cell r="A34" t="str">
            <v>RS 222</v>
          </cell>
          <cell r="B34">
            <v>44</v>
          </cell>
          <cell r="C34" t="str">
            <v>C</v>
          </cell>
          <cell r="D34" t="str">
            <v>T</v>
          </cell>
          <cell r="E34" t="str">
            <v>Nkhotakota Game Reserve - Mbobo</v>
          </cell>
          <cell r="F34" t="str">
            <v>M18</v>
          </cell>
          <cell r="G34">
            <v>3</v>
          </cell>
          <cell r="H34">
            <v>32.6</v>
          </cell>
          <cell r="I34" t="str">
            <v>R</v>
          </cell>
          <cell r="J34" t="str">
            <v>NKHOTA KOTA &amp; NTCHISI</v>
          </cell>
          <cell r="K34">
            <v>5</v>
          </cell>
        </row>
        <row r="35">
          <cell r="A35" t="str">
            <v>RS 223</v>
          </cell>
          <cell r="B35">
            <v>45</v>
          </cell>
          <cell r="C35" t="str">
            <v>C</v>
          </cell>
          <cell r="D35" t="str">
            <v>T</v>
          </cell>
          <cell r="E35" t="str">
            <v>Mbobo - Malomo T.C.</v>
          </cell>
          <cell r="F35" t="str">
            <v>M18</v>
          </cell>
          <cell r="G35">
            <v>4</v>
          </cell>
          <cell r="H35">
            <v>18.100000000000001</v>
          </cell>
          <cell r="I35" t="str">
            <v>R</v>
          </cell>
          <cell r="J35" t="str">
            <v>NTCHISI</v>
          </cell>
          <cell r="K35">
            <v>5</v>
          </cell>
        </row>
        <row r="36">
          <cell r="A36" t="str">
            <v>RS 837</v>
          </cell>
          <cell r="B36" t="str">
            <v>n.a.</v>
          </cell>
          <cell r="C36" t="str">
            <v>C</v>
          </cell>
          <cell r="D36" t="str">
            <v>T</v>
          </cell>
          <cell r="E36" t="str">
            <v>Malomo T.C. - Chima</v>
          </cell>
          <cell r="F36" t="str">
            <v>M18</v>
          </cell>
          <cell r="G36">
            <v>5</v>
          </cell>
          <cell r="H36">
            <v>14.4</v>
          </cell>
          <cell r="I36" t="str">
            <v>R</v>
          </cell>
          <cell r="J36" t="str">
            <v>LILONGWE</v>
          </cell>
          <cell r="K36">
            <v>6</v>
          </cell>
          <cell r="L36" t="str">
            <v>New section part of RS 225</v>
          </cell>
        </row>
        <row r="37">
          <cell r="A37" t="str">
            <v>RS 259</v>
          </cell>
          <cell r="B37">
            <v>81</v>
          </cell>
          <cell r="C37" t="str">
            <v>C</v>
          </cell>
          <cell r="D37" t="str">
            <v>T</v>
          </cell>
          <cell r="E37" t="str">
            <v>Chima - Chilowamatambe</v>
          </cell>
          <cell r="F37" t="str">
            <v>M18</v>
          </cell>
          <cell r="G37">
            <v>6</v>
          </cell>
          <cell r="H37">
            <v>14.9</v>
          </cell>
          <cell r="I37" t="str">
            <v>F</v>
          </cell>
          <cell r="J37" t="str">
            <v>KASUNGU</v>
          </cell>
          <cell r="K37">
            <v>5</v>
          </cell>
          <cell r="L37" t="str">
            <v>Changed designation from S120 to M18. Now by-passed.</v>
          </cell>
        </row>
        <row r="38">
          <cell r="A38" t="str">
            <v>RS 261</v>
          </cell>
          <cell r="B38">
            <v>83</v>
          </cell>
          <cell r="C38" t="str">
            <v>C</v>
          </cell>
          <cell r="D38" t="str">
            <v>T</v>
          </cell>
          <cell r="E38" t="str">
            <v>Chilowamatambe - Chiwengo</v>
          </cell>
          <cell r="F38" t="str">
            <v>M18</v>
          </cell>
          <cell r="G38">
            <v>7</v>
          </cell>
          <cell r="H38">
            <v>15.9</v>
          </cell>
          <cell r="I38" t="str">
            <v>F</v>
          </cell>
          <cell r="J38" t="str">
            <v>KASUNGU</v>
          </cell>
          <cell r="K38">
            <v>5</v>
          </cell>
          <cell r="L38" t="str">
            <v>Changed designation from S120 to M18. Now by-passed.</v>
          </cell>
        </row>
        <row r="39">
          <cell r="A39" t="str">
            <v>RS 185</v>
          </cell>
          <cell r="B39">
            <v>7</v>
          </cell>
          <cell r="C39" t="str">
            <v>N</v>
          </cell>
          <cell r="D39" t="str">
            <v>T</v>
          </cell>
          <cell r="E39" t="str">
            <v>Luwawa (junction M1) - Mqocha - Jenda (junction S112)</v>
          </cell>
          <cell r="F39" t="str">
            <v>M20</v>
          </cell>
          <cell r="G39">
            <v>1</v>
          </cell>
          <cell r="H39">
            <v>78.5</v>
          </cell>
          <cell r="I39" t="str">
            <v>F</v>
          </cell>
          <cell r="J39" t="str">
            <v>MZIMBA</v>
          </cell>
          <cell r="K39">
            <v>4</v>
          </cell>
          <cell r="L39" t="str">
            <v>Contains road designated T322 (on 1:250,000 series map)</v>
          </cell>
        </row>
        <row r="40">
          <cell r="A40" t="str">
            <v>RS 186</v>
          </cell>
          <cell r="B40">
            <v>8</v>
          </cell>
          <cell r="C40" t="str">
            <v>N</v>
          </cell>
          <cell r="D40" t="str">
            <v>T</v>
          </cell>
          <cell r="E40" t="str">
            <v>Mzimba - Mtangatanga</v>
          </cell>
          <cell r="F40" t="str">
            <v>M22</v>
          </cell>
          <cell r="G40">
            <v>1</v>
          </cell>
          <cell r="H40">
            <v>24</v>
          </cell>
          <cell r="I40" t="str">
            <v>R</v>
          </cell>
          <cell r="J40" t="str">
            <v>MZIMBA</v>
          </cell>
          <cell r="K40">
            <v>4</v>
          </cell>
        </row>
        <row r="41">
          <cell r="A41" t="str">
            <v>RS 187</v>
          </cell>
          <cell r="B41">
            <v>9</v>
          </cell>
          <cell r="C41" t="str">
            <v>N</v>
          </cell>
          <cell r="D41" t="str">
            <v>T</v>
          </cell>
          <cell r="E41" t="str">
            <v>Rumphi - Bolero - Chitanga</v>
          </cell>
          <cell r="F41" t="str">
            <v>M24</v>
          </cell>
          <cell r="G41">
            <v>3</v>
          </cell>
          <cell r="H41">
            <v>37.799999999999997</v>
          </cell>
          <cell r="I41" t="str">
            <v>F</v>
          </cell>
          <cell r="J41" t="str">
            <v>RUMPHI</v>
          </cell>
          <cell r="K41">
            <v>3</v>
          </cell>
          <cell r="L41" t="str">
            <v>Section start changed to Rumphi</v>
          </cell>
        </row>
        <row r="42">
          <cell r="A42" t="str">
            <v>RS 189</v>
          </cell>
          <cell r="B42">
            <v>11</v>
          </cell>
          <cell r="C42" t="str">
            <v>N</v>
          </cell>
          <cell r="D42" t="str">
            <v>T</v>
          </cell>
          <cell r="E42" t="str">
            <v>Chitipa-Lufira River</v>
          </cell>
          <cell r="F42" t="str">
            <v>M26</v>
          </cell>
          <cell r="G42">
            <v>1</v>
          </cell>
          <cell r="H42">
            <v>43</v>
          </cell>
          <cell r="I42" t="str">
            <v>F</v>
          </cell>
          <cell r="J42" t="str">
            <v>CHITIPA</v>
          </cell>
          <cell r="K42">
            <v>1</v>
          </cell>
        </row>
        <row r="43">
          <cell r="A43" t="str">
            <v>RS 188</v>
          </cell>
          <cell r="B43">
            <v>10</v>
          </cell>
          <cell r="C43" t="str">
            <v>N</v>
          </cell>
          <cell r="D43" t="str">
            <v>T</v>
          </cell>
          <cell r="E43" t="str">
            <v>Lufira river-Karonga</v>
          </cell>
          <cell r="F43" t="str">
            <v>M26</v>
          </cell>
          <cell r="G43">
            <v>2</v>
          </cell>
          <cell r="H43">
            <v>43</v>
          </cell>
          <cell r="I43" t="str">
            <v>F&amp;H</v>
          </cell>
          <cell r="J43" t="str">
            <v>CHITIPA &amp; KARONGA</v>
          </cell>
          <cell r="K43" t="str">
            <v>1,2</v>
          </cell>
        </row>
        <row r="44">
          <cell r="A44" t="str">
            <v>RS 190</v>
          </cell>
          <cell r="B44">
            <v>12</v>
          </cell>
          <cell r="C44" t="str">
            <v>N</v>
          </cell>
          <cell r="D44" t="str">
            <v>T</v>
          </cell>
          <cell r="E44" t="str">
            <v>Chisenga - Chisenga customs</v>
          </cell>
          <cell r="F44" t="str">
            <v>S085</v>
          </cell>
          <cell r="G44">
            <v>1</v>
          </cell>
          <cell r="H44">
            <v>12.6</v>
          </cell>
          <cell r="I44" t="str">
            <v>F</v>
          </cell>
          <cell r="J44" t="str">
            <v>CHITIPA</v>
          </cell>
          <cell r="K44">
            <v>2</v>
          </cell>
        </row>
        <row r="45">
          <cell r="A45" t="str">
            <v>RS 192</v>
          </cell>
          <cell r="B45">
            <v>14</v>
          </cell>
          <cell r="C45" t="str">
            <v>N</v>
          </cell>
          <cell r="D45" t="str">
            <v>T</v>
          </cell>
          <cell r="E45" t="str">
            <v>Chendo - Mwakaromba</v>
          </cell>
          <cell r="F45" t="str">
            <v>S100</v>
          </cell>
          <cell r="G45">
            <v>2</v>
          </cell>
          <cell r="H45">
            <v>178.5</v>
          </cell>
          <cell r="I45" t="str">
            <v>F&amp;H</v>
          </cell>
          <cell r="J45" t="str">
            <v>CHITIPA &amp; KARONGA</v>
          </cell>
          <cell r="K45">
            <v>1</v>
          </cell>
        </row>
        <row r="46">
          <cell r="A46" t="str">
            <v>RS 193</v>
          </cell>
          <cell r="B46">
            <v>15</v>
          </cell>
          <cell r="C46" t="str">
            <v>N</v>
          </cell>
          <cell r="D46" t="str">
            <v>T</v>
          </cell>
          <cell r="E46" t="str">
            <v>Kapirinkhonde - Uledi</v>
          </cell>
          <cell r="F46" t="str">
            <v>S101</v>
          </cell>
          <cell r="G46">
            <v>1</v>
          </cell>
          <cell r="H46">
            <v>33.200000000000003</v>
          </cell>
          <cell r="I46" t="str">
            <v>R</v>
          </cell>
          <cell r="J46" t="str">
            <v>CHITIPA &amp; KARONGA</v>
          </cell>
          <cell r="K46">
            <v>2</v>
          </cell>
        </row>
        <row r="47">
          <cell r="A47" t="str">
            <v>RS 191</v>
          </cell>
          <cell r="B47">
            <v>13</v>
          </cell>
          <cell r="C47" t="str">
            <v>N</v>
          </cell>
          <cell r="D47" t="str">
            <v>T</v>
          </cell>
          <cell r="E47" t="str">
            <v>Uledi - Mpata</v>
          </cell>
          <cell r="F47" t="str">
            <v>S101</v>
          </cell>
          <cell r="G47">
            <v>2</v>
          </cell>
          <cell r="H47">
            <v>28</v>
          </cell>
          <cell r="I47" t="str">
            <v>H</v>
          </cell>
          <cell r="J47" t="str">
            <v>KARONGA</v>
          </cell>
          <cell r="K47">
            <v>2</v>
          </cell>
          <cell r="L47" t="str">
            <v>Changed designation from S100 to S101</v>
          </cell>
        </row>
        <row r="48">
          <cell r="A48" t="str">
            <v>RS 195</v>
          </cell>
          <cell r="B48">
            <v>17</v>
          </cell>
          <cell r="C48" t="str">
            <v>N</v>
          </cell>
          <cell r="D48" t="str">
            <v>T</v>
          </cell>
          <cell r="E48" t="str">
            <v>Gamba T/off - Hananiya - Livingstonia (junction M1)</v>
          </cell>
          <cell r="F48" t="str">
            <v>S103</v>
          </cell>
          <cell r="G48">
            <v>1</v>
          </cell>
          <cell r="H48">
            <v>58.1</v>
          </cell>
          <cell r="I48" t="str">
            <v>H</v>
          </cell>
          <cell r="J48" t="str">
            <v>RUMPHI</v>
          </cell>
          <cell r="K48">
            <v>2</v>
          </cell>
        </row>
        <row r="49">
          <cell r="A49" t="str">
            <v>RS 196</v>
          </cell>
          <cell r="B49">
            <v>18</v>
          </cell>
          <cell r="C49" t="str">
            <v>N</v>
          </cell>
          <cell r="D49" t="str">
            <v>T</v>
          </cell>
          <cell r="E49" t="str">
            <v>Hewe - Makonyola</v>
          </cell>
          <cell r="F49" t="str">
            <v>S104</v>
          </cell>
          <cell r="G49">
            <v>1</v>
          </cell>
          <cell r="H49">
            <v>12.8</v>
          </cell>
          <cell r="I49" t="str">
            <v>R</v>
          </cell>
          <cell r="J49" t="str">
            <v>RUMPHI</v>
          </cell>
          <cell r="K49" t="str">
            <v>2,3</v>
          </cell>
        </row>
        <row r="50">
          <cell r="A50" t="str">
            <v>RS 197</v>
          </cell>
          <cell r="B50">
            <v>19</v>
          </cell>
          <cell r="C50" t="str">
            <v>N</v>
          </cell>
          <cell r="D50" t="str">
            <v>T</v>
          </cell>
          <cell r="E50" t="str">
            <v>Chanyama - Mbalachanda - Munyanja - Kazuni</v>
          </cell>
          <cell r="F50" t="str">
            <v>S105</v>
          </cell>
          <cell r="G50">
            <v>1</v>
          </cell>
          <cell r="H50">
            <v>75</v>
          </cell>
          <cell r="I50" t="str">
            <v>F</v>
          </cell>
          <cell r="J50" t="str">
            <v>MZIMBA</v>
          </cell>
          <cell r="K50">
            <v>3</v>
          </cell>
        </row>
        <row r="51">
          <cell r="A51" t="str">
            <v>RS 198</v>
          </cell>
          <cell r="B51">
            <v>20</v>
          </cell>
          <cell r="C51" t="str">
            <v>N</v>
          </cell>
          <cell r="D51" t="str">
            <v>T</v>
          </cell>
          <cell r="E51" t="str">
            <v>Agripa Jere - Euthini - Mtantha</v>
          </cell>
          <cell r="F51" t="str">
            <v>S106</v>
          </cell>
          <cell r="G51">
            <v>1</v>
          </cell>
          <cell r="H51">
            <v>33.1</v>
          </cell>
          <cell r="I51" t="str">
            <v>F</v>
          </cell>
          <cell r="J51" t="str">
            <v>MZIMBA</v>
          </cell>
          <cell r="K51">
            <v>3</v>
          </cell>
        </row>
        <row r="52">
          <cell r="A52" t="str">
            <v>RS 199</v>
          </cell>
          <cell r="B52">
            <v>21</v>
          </cell>
          <cell r="C52" t="str">
            <v>N</v>
          </cell>
          <cell r="D52" t="str">
            <v>T</v>
          </cell>
          <cell r="E52" t="str">
            <v>Ekwendeni - Kafukule - Eswazini - junction M22</v>
          </cell>
          <cell r="F52" t="str">
            <v>S107</v>
          </cell>
          <cell r="G52">
            <v>1</v>
          </cell>
          <cell r="H52">
            <v>82</v>
          </cell>
          <cell r="I52" t="str">
            <v>F</v>
          </cell>
          <cell r="J52" t="str">
            <v>MZIMBA</v>
          </cell>
          <cell r="K52" t="str">
            <v>3,4</v>
          </cell>
        </row>
        <row r="53">
          <cell r="A53" t="str">
            <v>RS 200</v>
          </cell>
          <cell r="B53">
            <v>22</v>
          </cell>
          <cell r="C53" t="str">
            <v>N</v>
          </cell>
          <cell r="D53" t="str">
            <v>T</v>
          </cell>
          <cell r="E53" t="str">
            <v>Usisya - Bula - Choma Hill</v>
          </cell>
          <cell r="F53" t="str">
            <v>S108</v>
          </cell>
          <cell r="G53">
            <v>1</v>
          </cell>
          <cell r="H53">
            <v>22</v>
          </cell>
          <cell r="I53" t="str">
            <v>H</v>
          </cell>
          <cell r="J53" t="str">
            <v>MZIMBA</v>
          </cell>
          <cell r="K53">
            <v>3</v>
          </cell>
        </row>
        <row r="54">
          <cell r="A54" t="str">
            <v>RS 201</v>
          </cell>
          <cell r="B54">
            <v>23</v>
          </cell>
          <cell r="C54" t="str">
            <v>N</v>
          </cell>
          <cell r="D54" t="str">
            <v>T</v>
          </cell>
          <cell r="E54" t="str">
            <v>Choma Hill - Mzuzu</v>
          </cell>
          <cell r="F54" t="str">
            <v>S108</v>
          </cell>
          <cell r="G54">
            <v>2</v>
          </cell>
          <cell r="H54">
            <v>16.5</v>
          </cell>
          <cell r="I54" t="str">
            <v>F</v>
          </cell>
          <cell r="J54" t="str">
            <v>MZIMBA</v>
          </cell>
          <cell r="K54">
            <v>3</v>
          </cell>
        </row>
        <row r="55">
          <cell r="A55" t="str">
            <v>RS 202</v>
          </cell>
          <cell r="B55">
            <v>24</v>
          </cell>
          <cell r="C55" t="str">
            <v>N</v>
          </cell>
          <cell r="D55" t="str">
            <v>T</v>
          </cell>
          <cell r="E55" t="str">
            <v>Mwazisi River - Chikwawa</v>
          </cell>
          <cell r="F55" t="str">
            <v>S109</v>
          </cell>
          <cell r="G55">
            <v>1</v>
          </cell>
          <cell r="H55">
            <v>13.2</v>
          </cell>
          <cell r="I55" t="str">
            <v>F</v>
          </cell>
          <cell r="J55" t="str">
            <v>RUMPI</v>
          </cell>
          <cell r="K55">
            <v>3</v>
          </cell>
        </row>
        <row r="56">
          <cell r="A56" t="str">
            <v>RS 203</v>
          </cell>
          <cell r="B56">
            <v>25</v>
          </cell>
          <cell r="C56" t="str">
            <v>N</v>
          </cell>
          <cell r="D56" t="str">
            <v>T</v>
          </cell>
          <cell r="E56" t="str">
            <v>Chintheche - Mazamba Hill</v>
          </cell>
          <cell r="F56" t="str">
            <v>S110</v>
          </cell>
          <cell r="G56">
            <v>1</v>
          </cell>
          <cell r="H56">
            <v>41</v>
          </cell>
          <cell r="I56" t="str">
            <v>H</v>
          </cell>
          <cell r="J56" t="str">
            <v>NKHATA BAY</v>
          </cell>
          <cell r="K56">
            <v>3</v>
          </cell>
        </row>
        <row r="57">
          <cell r="A57" t="str">
            <v>RS 204</v>
          </cell>
          <cell r="B57">
            <v>26</v>
          </cell>
          <cell r="C57" t="str">
            <v>N</v>
          </cell>
          <cell r="D57" t="str">
            <v>T</v>
          </cell>
          <cell r="E57" t="str">
            <v>Engalaweni - Kandodo Chisi</v>
          </cell>
          <cell r="F57" t="str">
            <v>S111</v>
          </cell>
          <cell r="G57">
            <v>1</v>
          </cell>
          <cell r="H57">
            <v>25.9</v>
          </cell>
          <cell r="I57" t="str">
            <v>R</v>
          </cell>
          <cell r="J57" t="str">
            <v>MZIMBA</v>
          </cell>
          <cell r="K57">
            <v>4</v>
          </cell>
        </row>
        <row r="58">
          <cell r="A58" t="str">
            <v>RS 205</v>
          </cell>
          <cell r="B58">
            <v>27</v>
          </cell>
          <cell r="C58" t="str">
            <v>N</v>
          </cell>
          <cell r="D58" t="str">
            <v>T</v>
          </cell>
          <cell r="E58" t="str">
            <v>Chaiso - Kamteteka</v>
          </cell>
          <cell r="F58" t="str">
            <v>S112</v>
          </cell>
          <cell r="G58">
            <v>1</v>
          </cell>
          <cell r="H58">
            <v>7.1</v>
          </cell>
          <cell r="I58" t="str">
            <v>F</v>
          </cell>
          <cell r="J58" t="str">
            <v>MZIMBA</v>
          </cell>
          <cell r="K58">
            <v>4</v>
          </cell>
        </row>
        <row r="59">
          <cell r="A59" t="str">
            <v>RS 206</v>
          </cell>
          <cell r="B59">
            <v>28</v>
          </cell>
          <cell r="C59" t="str">
            <v>N</v>
          </cell>
          <cell r="D59" t="str">
            <v>T</v>
          </cell>
          <cell r="E59" t="str">
            <v>Kamteteka - Edingeni - Embangweni - Jenda</v>
          </cell>
          <cell r="F59" t="str">
            <v>S112</v>
          </cell>
          <cell r="G59">
            <v>2</v>
          </cell>
          <cell r="H59">
            <v>84</v>
          </cell>
          <cell r="I59" t="str">
            <v>F</v>
          </cell>
          <cell r="J59" t="str">
            <v>MZIMBA</v>
          </cell>
          <cell r="K59">
            <v>4</v>
          </cell>
        </row>
        <row r="60">
          <cell r="A60" t="str">
            <v>RS 207</v>
          </cell>
          <cell r="B60">
            <v>29</v>
          </cell>
          <cell r="C60" t="str">
            <v>N</v>
          </cell>
          <cell r="D60" t="str">
            <v>T</v>
          </cell>
          <cell r="E60" t="str">
            <v>Rumphi River - Luwelezi - Kakwale River</v>
          </cell>
          <cell r="F60" t="str">
            <v>S113</v>
          </cell>
          <cell r="G60">
            <v>1</v>
          </cell>
          <cell r="H60">
            <v>44.9</v>
          </cell>
          <cell r="I60" t="str">
            <v>H</v>
          </cell>
          <cell r="J60" t="str">
            <v>NKHATA BAY</v>
          </cell>
          <cell r="K60">
            <v>4</v>
          </cell>
        </row>
        <row r="61">
          <cell r="A61" t="str">
            <v>RS 226</v>
          </cell>
          <cell r="B61">
            <v>48</v>
          </cell>
          <cell r="C61" t="str">
            <v>C</v>
          </cell>
          <cell r="D61" t="str">
            <v>T</v>
          </cell>
          <cell r="E61" t="str">
            <v>Kachinda - Chimaliro Police</v>
          </cell>
          <cell r="F61" t="str">
            <v>S113</v>
          </cell>
          <cell r="G61">
            <v>2</v>
          </cell>
          <cell r="H61">
            <v>13</v>
          </cell>
          <cell r="I61" t="str">
            <v>F</v>
          </cell>
          <cell r="J61" t="str">
            <v>KASUNGU</v>
          </cell>
          <cell r="K61">
            <v>4</v>
          </cell>
        </row>
        <row r="62">
          <cell r="A62" t="str">
            <v>RS 229</v>
          </cell>
          <cell r="B62">
            <v>51</v>
          </cell>
          <cell r="C62" t="str">
            <v>C</v>
          </cell>
          <cell r="D62" t="str">
            <v>T</v>
          </cell>
          <cell r="E62" t="str">
            <v>Kasungu - Lifupa (Kasungu National Park)</v>
          </cell>
          <cell r="F62" t="str">
            <v>S114</v>
          </cell>
          <cell r="G62">
            <v>1</v>
          </cell>
          <cell r="H62">
            <v>47</v>
          </cell>
          <cell r="I62" t="str">
            <v>F</v>
          </cell>
          <cell r="J62" t="str">
            <v>KASUNGU</v>
          </cell>
          <cell r="K62">
            <v>5</v>
          </cell>
        </row>
        <row r="63">
          <cell r="A63" t="str">
            <v>RS 218</v>
          </cell>
          <cell r="B63">
            <v>40</v>
          </cell>
          <cell r="C63" t="str">
            <v>C</v>
          </cell>
          <cell r="D63" t="str">
            <v>T</v>
          </cell>
          <cell r="E63" t="str">
            <v>Zidunge - Senga</v>
          </cell>
          <cell r="F63" t="str">
            <v>S115</v>
          </cell>
          <cell r="G63">
            <v>1</v>
          </cell>
          <cell r="H63">
            <v>8.3000000000000007</v>
          </cell>
          <cell r="I63" t="str">
            <v>F</v>
          </cell>
          <cell r="J63" t="str">
            <v>DOWA</v>
          </cell>
          <cell r="K63">
            <v>6</v>
          </cell>
          <cell r="L63" t="str">
            <v>Changed designation from M16 to S115</v>
          </cell>
        </row>
        <row r="64">
          <cell r="A64" t="str">
            <v>RS 233</v>
          </cell>
          <cell r="B64">
            <v>55</v>
          </cell>
          <cell r="C64" t="str">
            <v>C</v>
          </cell>
          <cell r="D64" t="str">
            <v>T</v>
          </cell>
          <cell r="E64" t="str">
            <v>Senga - Dangaliro</v>
          </cell>
          <cell r="F64" t="str">
            <v>S115</v>
          </cell>
          <cell r="G64">
            <v>2</v>
          </cell>
          <cell r="H64">
            <v>10.7</v>
          </cell>
          <cell r="I64" t="str">
            <v>F</v>
          </cell>
          <cell r="J64" t="str">
            <v>DOWA</v>
          </cell>
          <cell r="K64">
            <v>6</v>
          </cell>
        </row>
        <row r="65">
          <cell r="A65" t="str">
            <v>RS 232</v>
          </cell>
          <cell r="B65">
            <v>54</v>
          </cell>
          <cell r="C65" t="str">
            <v>C</v>
          </cell>
          <cell r="D65" t="str">
            <v>T</v>
          </cell>
          <cell r="E65" t="str">
            <v>Dangaliro - Mkulumimba</v>
          </cell>
          <cell r="F65" t="str">
            <v>S115</v>
          </cell>
          <cell r="G65">
            <v>3</v>
          </cell>
          <cell r="H65">
            <v>15.4</v>
          </cell>
          <cell r="I65" t="str">
            <v>F</v>
          </cell>
          <cell r="J65" t="str">
            <v>DOWA</v>
          </cell>
          <cell r="K65">
            <v>6</v>
          </cell>
        </row>
        <row r="66">
          <cell r="A66" t="str">
            <v>RS 231</v>
          </cell>
          <cell r="B66">
            <v>53</v>
          </cell>
          <cell r="C66" t="str">
            <v>C</v>
          </cell>
          <cell r="D66" t="str">
            <v>T</v>
          </cell>
          <cell r="E66" t="str">
            <v>Mkulumimba - Bua River Bridge</v>
          </cell>
          <cell r="F66" t="str">
            <v>S115</v>
          </cell>
          <cell r="G66">
            <v>4</v>
          </cell>
          <cell r="H66">
            <v>13</v>
          </cell>
          <cell r="I66" t="str">
            <v>F</v>
          </cell>
          <cell r="J66" t="str">
            <v>DOWA &amp; LILONGWE</v>
          </cell>
          <cell r="K66">
            <v>6</v>
          </cell>
        </row>
        <row r="67">
          <cell r="A67" t="str">
            <v>RS 238</v>
          </cell>
          <cell r="B67">
            <v>60</v>
          </cell>
          <cell r="C67" t="str">
            <v>C</v>
          </cell>
          <cell r="D67" t="str">
            <v>T</v>
          </cell>
          <cell r="E67" t="str">
            <v>Mpala T.C. - Ganondo</v>
          </cell>
          <cell r="F67" t="str">
            <v>S116</v>
          </cell>
          <cell r="G67">
            <v>1</v>
          </cell>
          <cell r="H67">
            <v>3.8</v>
          </cell>
          <cell r="I67" t="str">
            <v>F</v>
          </cell>
          <cell r="J67" t="str">
            <v>NTCHISI</v>
          </cell>
          <cell r="K67">
            <v>5</v>
          </cell>
        </row>
        <row r="68">
          <cell r="A68" t="str">
            <v>RS 241</v>
          </cell>
          <cell r="B68">
            <v>63</v>
          </cell>
          <cell r="C68" t="str">
            <v>C</v>
          </cell>
          <cell r="D68" t="str">
            <v>T</v>
          </cell>
          <cell r="E68" t="str">
            <v>Gonondo - Kamsonga</v>
          </cell>
          <cell r="F68" t="str">
            <v>S116</v>
          </cell>
          <cell r="G68">
            <v>2</v>
          </cell>
          <cell r="H68">
            <v>12.3</v>
          </cell>
          <cell r="I68" t="str">
            <v>R</v>
          </cell>
          <cell r="J68" t="str">
            <v>NTCHISI</v>
          </cell>
          <cell r="K68">
            <v>5</v>
          </cell>
        </row>
        <row r="69">
          <cell r="A69" t="str">
            <v>RS 243</v>
          </cell>
          <cell r="B69">
            <v>65</v>
          </cell>
          <cell r="C69" t="str">
            <v>C</v>
          </cell>
          <cell r="D69" t="str">
            <v>T</v>
          </cell>
          <cell r="E69" t="str">
            <v>Kamsonga - Muchala</v>
          </cell>
          <cell r="F69" t="str">
            <v>S116</v>
          </cell>
          <cell r="G69">
            <v>3</v>
          </cell>
          <cell r="H69">
            <v>12.3</v>
          </cell>
          <cell r="I69" t="str">
            <v>R</v>
          </cell>
          <cell r="J69" t="str">
            <v>NTCHISI</v>
          </cell>
          <cell r="K69">
            <v>5</v>
          </cell>
        </row>
        <row r="70">
          <cell r="A70" t="str">
            <v>RS 236</v>
          </cell>
          <cell r="B70">
            <v>58</v>
          </cell>
          <cell r="C70" t="str">
            <v>C</v>
          </cell>
          <cell r="D70" t="str">
            <v>T</v>
          </cell>
          <cell r="E70" t="str">
            <v>Muchala - Chisoso</v>
          </cell>
          <cell r="F70" t="str">
            <v>S116</v>
          </cell>
          <cell r="G70">
            <v>4</v>
          </cell>
          <cell r="H70">
            <v>5.5</v>
          </cell>
          <cell r="I70" t="str">
            <v>F</v>
          </cell>
          <cell r="J70" t="str">
            <v>NTCHISI</v>
          </cell>
          <cell r="K70">
            <v>5</v>
          </cell>
        </row>
        <row r="71">
          <cell r="A71" t="str">
            <v>RS 242</v>
          </cell>
          <cell r="B71">
            <v>64</v>
          </cell>
          <cell r="C71" t="str">
            <v>C</v>
          </cell>
          <cell r="D71" t="str">
            <v>T</v>
          </cell>
          <cell r="E71" t="str">
            <v>Chisoso - Madisi</v>
          </cell>
          <cell r="F71" t="str">
            <v>S116</v>
          </cell>
          <cell r="G71">
            <v>5</v>
          </cell>
          <cell r="H71">
            <v>16.100000000000001</v>
          </cell>
          <cell r="I71" t="str">
            <v>F</v>
          </cell>
          <cell r="J71" t="str">
            <v>DOWA</v>
          </cell>
          <cell r="K71">
            <v>5</v>
          </cell>
        </row>
        <row r="72">
          <cell r="A72" t="str">
            <v>RS 234</v>
          </cell>
          <cell r="B72">
            <v>56</v>
          </cell>
          <cell r="C72" t="str">
            <v>C</v>
          </cell>
          <cell r="D72" t="str">
            <v>T</v>
          </cell>
          <cell r="E72" t="str">
            <v>Madisi - Bua River Bridge</v>
          </cell>
          <cell r="F72" t="str">
            <v>S116</v>
          </cell>
          <cell r="G72">
            <v>6</v>
          </cell>
          <cell r="H72">
            <v>14.1</v>
          </cell>
          <cell r="I72" t="str">
            <v>F</v>
          </cell>
          <cell r="J72" t="str">
            <v>DOWA</v>
          </cell>
          <cell r="K72">
            <v>5</v>
          </cell>
        </row>
        <row r="73">
          <cell r="A73" t="str">
            <v>RS 239</v>
          </cell>
          <cell r="B73">
            <v>61</v>
          </cell>
          <cell r="C73" t="str">
            <v>C</v>
          </cell>
          <cell r="D73" t="str">
            <v>T</v>
          </cell>
          <cell r="E73" t="str">
            <v>Matutu - Kamuzu School</v>
          </cell>
          <cell r="F73" t="str">
            <v>S116</v>
          </cell>
          <cell r="G73">
            <v>9</v>
          </cell>
          <cell r="H73">
            <v>21.6</v>
          </cell>
          <cell r="I73" t="str">
            <v>F</v>
          </cell>
          <cell r="J73" t="str">
            <v>MCHINJI</v>
          </cell>
          <cell r="K73">
            <v>6</v>
          </cell>
          <cell r="L73" t="str">
            <v>Changed designation from S120 to T349</v>
          </cell>
        </row>
        <row r="74">
          <cell r="A74" t="str">
            <v>RS 246</v>
          </cell>
          <cell r="B74">
            <v>68</v>
          </cell>
          <cell r="C74" t="str">
            <v>C</v>
          </cell>
          <cell r="D74" t="str">
            <v>T</v>
          </cell>
          <cell r="E74" t="str">
            <v xml:space="preserve"> Mbabzi - Chilobwe - Santhe</v>
          </cell>
          <cell r="F74" t="str">
            <v>S117</v>
          </cell>
          <cell r="G74">
            <v>3</v>
          </cell>
          <cell r="H74">
            <v>93</v>
          </cell>
          <cell r="I74" t="str">
            <v>F</v>
          </cell>
          <cell r="J74" t="str">
            <v>LL &amp; MC &amp; KU</v>
          </cell>
          <cell r="K74" t="str">
            <v>6,5</v>
          </cell>
        </row>
        <row r="75">
          <cell r="A75" t="str">
            <v>RS 247</v>
          </cell>
          <cell r="B75">
            <v>69</v>
          </cell>
          <cell r="C75" t="str">
            <v>C</v>
          </cell>
          <cell r="D75" t="str">
            <v>T</v>
          </cell>
          <cell r="E75" t="str">
            <v>Changuluwa - Kachenje School</v>
          </cell>
          <cell r="F75" t="str">
            <v>S118</v>
          </cell>
          <cell r="G75">
            <v>1</v>
          </cell>
          <cell r="H75">
            <v>21</v>
          </cell>
          <cell r="I75" t="str">
            <v>F</v>
          </cell>
          <cell r="J75" t="str">
            <v>KASUNGU</v>
          </cell>
          <cell r="K75">
            <v>5</v>
          </cell>
        </row>
        <row r="76">
          <cell r="A76" t="str">
            <v>RS 250</v>
          </cell>
          <cell r="B76">
            <v>72</v>
          </cell>
          <cell r="C76" t="str">
            <v>C</v>
          </cell>
          <cell r="D76" t="str">
            <v>T</v>
          </cell>
          <cell r="E76" t="str">
            <v>Kamutu Village - Mavumbi River</v>
          </cell>
          <cell r="F76" t="str">
            <v>S118</v>
          </cell>
          <cell r="G76">
            <v>2</v>
          </cell>
          <cell r="H76">
            <v>5</v>
          </cell>
          <cell r="I76" t="str">
            <v>F</v>
          </cell>
          <cell r="J76" t="str">
            <v>KASUNGU</v>
          </cell>
          <cell r="K76">
            <v>5</v>
          </cell>
        </row>
        <row r="77">
          <cell r="A77" t="str">
            <v>RS 249</v>
          </cell>
          <cell r="B77">
            <v>71</v>
          </cell>
          <cell r="C77" t="str">
            <v>C</v>
          </cell>
          <cell r="D77" t="str">
            <v>T</v>
          </cell>
          <cell r="E77" t="str">
            <v>Mavumbi River - G.F. Estate 54</v>
          </cell>
          <cell r="F77" t="str">
            <v>S118</v>
          </cell>
          <cell r="G77">
            <v>3</v>
          </cell>
          <cell r="H77">
            <v>11</v>
          </cell>
          <cell r="I77" t="str">
            <v>F</v>
          </cell>
          <cell r="J77" t="str">
            <v>KASUNGU</v>
          </cell>
          <cell r="K77">
            <v>5</v>
          </cell>
        </row>
        <row r="78">
          <cell r="A78" t="str">
            <v>RS 248</v>
          </cell>
          <cell r="B78">
            <v>70</v>
          </cell>
          <cell r="C78" t="str">
            <v>C</v>
          </cell>
          <cell r="D78" t="str">
            <v>T</v>
          </cell>
          <cell r="E78" t="str">
            <v>Plaka Estate - G.F. Estate 54</v>
          </cell>
          <cell r="F78" t="str">
            <v>S118</v>
          </cell>
          <cell r="G78">
            <v>4</v>
          </cell>
          <cell r="H78">
            <v>26.4</v>
          </cell>
          <cell r="I78" t="str">
            <v>F</v>
          </cell>
          <cell r="J78" t="str">
            <v>MCHINJI</v>
          </cell>
          <cell r="K78">
            <v>5</v>
          </cell>
        </row>
        <row r="79">
          <cell r="A79" t="str">
            <v>RS 253</v>
          </cell>
          <cell r="B79">
            <v>75</v>
          </cell>
          <cell r="C79" t="str">
            <v>C</v>
          </cell>
          <cell r="D79" t="str">
            <v>T</v>
          </cell>
          <cell r="E79" t="str">
            <v>Mkanda - Chawala T.C.</v>
          </cell>
          <cell r="F79" t="str">
            <v>S118</v>
          </cell>
          <cell r="G79">
            <v>5</v>
          </cell>
          <cell r="H79">
            <v>9.3000000000000007</v>
          </cell>
          <cell r="I79" t="str">
            <v>F</v>
          </cell>
          <cell r="J79" t="str">
            <v>MCHINJI</v>
          </cell>
          <cell r="K79" t="str">
            <v>5,6</v>
          </cell>
        </row>
        <row r="80">
          <cell r="A80" t="str">
            <v>RS 251</v>
          </cell>
          <cell r="B80">
            <v>73</v>
          </cell>
          <cell r="C80" t="str">
            <v>C</v>
          </cell>
          <cell r="D80" t="str">
            <v>T</v>
          </cell>
          <cell r="E80" t="str">
            <v>Chawala T.C. - Mchinji School</v>
          </cell>
          <cell r="F80" t="str">
            <v>S118</v>
          </cell>
          <cell r="G80">
            <v>6</v>
          </cell>
          <cell r="H80">
            <v>15.5</v>
          </cell>
          <cell r="I80" t="str">
            <v>F</v>
          </cell>
          <cell r="J80" t="str">
            <v>MCHINJI</v>
          </cell>
          <cell r="K80">
            <v>6</v>
          </cell>
        </row>
        <row r="81">
          <cell r="A81" t="str">
            <v>RS 252</v>
          </cell>
          <cell r="B81">
            <v>74</v>
          </cell>
          <cell r="C81" t="str">
            <v>C</v>
          </cell>
          <cell r="D81" t="str">
            <v>T</v>
          </cell>
          <cell r="E81" t="str">
            <v>Mchinji School - Kamuzu School</v>
          </cell>
          <cell r="F81" t="str">
            <v>S118</v>
          </cell>
          <cell r="G81">
            <v>7</v>
          </cell>
          <cell r="H81">
            <v>10.8</v>
          </cell>
          <cell r="I81" t="str">
            <v>F</v>
          </cell>
          <cell r="J81" t="str">
            <v>MCHINJI</v>
          </cell>
          <cell r="K81">
            <v>6</v>
          </cell>
          <cell r="L81" t="str">
            <v>Changed designation from M2 to M4</v>
          </cell>
        </row>
        <row r="82">
          <cell r="A82" t="str">
            <v>RS 257</v>
          </cell>
          <cell r="B82">
            <v>79</v>
          </cell>
          <cell r="C82" t="str">
            <v>C</v>
          </cell>
          <cell r="D82" t="str">
            <v>T</v>
          </cell>
          <cell r="E82" t="str">
            <v>Mchepa - Kaniche</v>
          </cell>
          <cell r="F82" t="str">
            <v>S119</v>
          </cell>
          <cell r="G82">
            <v>1</v>
          </cell>
          <cell r="H82">
            <v>3.4</v>
          </cell>
          <cell r="I82" t="str">
            <v>R</v>
          </cell>
          <cell r="J82" t="str">
            <v>SALIMA</v>
          </cell>
          <cell r="K82">
            <v>7</v>
          </cell>
        </row>
        <row r="83">
          <cell r="A83" t="str">
            <v>RS 256</v>
          </cell>
          <cell r="B83">
            <v>78</v>
          </cell>
          <cell r="C83" t="str">
            <v>C</v>
          </cell>
          <cell r="D83" t="str">
            <v>T</v>
          </cell>
          <cell r="E83" t="str">
            <v>Kaniche - Kanongola</v>
          </cell>
          <cell r="F83" t="str">
            <v>S119</v>
          </cell>
          <cell r="G83">
            <v>2</v>
          </cell>
          <cell r="H83">
            <v>9.4</v>
          </cell>
          <cell r="I83" t="str">
            <v>R</v>
          </cell>
          <cell r="J83" t="str">
            <v>SALIMA</v>
          </cell>
          <cell r="K83">
            <v>6</v>
          </cell>
        </row>
        <row r="84">
          <cell r="A84" t="str">
            <v>RS 255</v>
          </cell>
          <cell r="B84">
            <v>77</v>
          </cell>
          <cell r="C84" t="str">
            <v>C</v>
          </cell>
          <cell r="D84" t="str">
            <v>T</v>
          </cell>
          <cell r="E84" t="str">
            <v>Kanongola - Mafika</v>
          </cell>
          <cell r="F84" t="str">
            <v>S119</v>
          </cell>
          <cell r="G84">
            <v>3</v>
          </cell>
          <cell r="H84">
            <v>18.899999999999999</v>
          </cell>
          <cell r="I84" t="str">
            <v>R</v>
          </cell>
          <cell r="J84" t="str">
            <v>DOWA</v>
          </cell>
          <cell r="K84">
            <v>6</v>
          </cell>
        </row>
        <row r="85">
          <cell r="A85" t="str">
            <v>RS 254</v>
          </cell>
          <cell r="B85">
            <v>76</v>
          </cell>
          <cell r="C85" t="str">
            <v>C</v>
          </cell>
          <cell r="D85" t="str">
            <v>T</v>
          </cell>
          <cell r="E85" t="str">
            <v>Mafika - Lipanda</v>
          </cell>
          <cell r="F85" t="str">
            <v>S119</v>
          </cell>
          <cell r="G85">
            <v>4</v>
          </cell>
          <cell r="H85">
            <v>16.899999999999999</v>
          </cell>
          <cell r="I85" t="str">
            <v>R</v>
          </cell>
          <cell r="J85" t="str">
            <v>DOWA</v>
          </cell>
          <cell r="K85">
            <v>6</v>
          </cell>
        </row>
        <row r="86">
          <cell r="A86" t="str">
            <v>RS 272</v>
          </cell>
          <cell r="B86">
            <v>94</v>
          </cell>
          <cell r="C86" t="str">
            <v>C</v>
          </cell>
          <cell r="D86" t="str">
            <v>T</v>
          </cell>
          <cell r="E86" t="str">
            <v>Kachinchezo - Kachiwele</v>
          </cell>
          <cell r="F86" t="str">
            <v>S121</v>
          </cell>
          <cell r="G86">
            <v>1</v>
          </cell>
          <cell r="H86">
            <v>7.6</v>
          </cell>
          <cell r="I86" t="str">
            <v>F</v>
          </cell>
          <cell r="J86" t="str">
            <v>LILONGWE</v>
          </cell>
          <cell r="K86">
            <v>6</v>
          </cell>
        </row>
        <row r="87">
          <cell r="A87" t="str">
            <v>RS 267</v>
          </cell>
          <cell r="B87">
            <v>89</v>
          </cell>
          <cell r="C87" t="str">
            <v>C</v>
          </cell>
          <cell r="D87" t="str">
            <v>T</v>
          </cell>
          <cell r="E87" t="str">
            <v>Kachiwele - Lilongwe river</v>
          </cell>
          <cell r="F87" t="str">
            <v>S121</v>
          </cell>
          <cell r="G87">
            <v>2</v>
          </cell>
          <cell r="H87">
            <v>6.7</v>
          </cell>
          <cell r="I87" t="str">
            <v>H</v>
          </cell>
          <cell r="J87" t="str">
            <v>LILONGWE</v>
          </cell>
          <cell r="K87">
            <v>6</v>
          </cell>
        </row>
        <row r="88">
          <cell r="A88" t="str">
            <v>RS 268</v>
          </cell>
          <cell r="B88">
            <v>90</v>
          </cell>
          <cell r="C88" t="str">
            <v>C</v>
          </cell>
          <cell r="D88" t="str">
            <v>T</v>
          </cell>
          <cell r="E88" t="str">
            <v>Lilongwe River - Milungu</v>
          </cell>
          <cell r="F88" t="str">
            <v>S121</v>
          </cell>
          <cell r="G88">
            <v>3</v>
          </cell>
          <cell r="H88">
            <v>15.5</v>
          </cell>
          <cell r="I88" t="str">
            <v>R</v>
          </cell>
          <cell r="J88" t="str">
            <v>LILONGWE</v>
          </cell>
          <cell r="K88">
            <v>6</v>
          </cell>
          <cell r="L88" t="str">
            <v>Changed designation from D276 to T357</v>
          </cell>
        </row>
        <row r="89">
          <cell r="A89" t="str">
            <v>RS 270</v>
          </cell>
          <cell r="B89">
            <v>92</v>
          </cell>
          <cell r="C89" t="str">
            <v>C</v>
          </cell>
          <cell r="D89" t="str">
            <v>T</v>
          </cell>
          <cell r="E89" t="str">
            <v>Milungu - Chimbalanga</v>
          </cell>
          <cell r="F89" t="str">
            <v>S121</v>
          </cell>
          <cell r="G89">
            <v>4</v>
          </cell>
          <cell r="H89">
            <v>7.3</v>
          </cell>
          <cell r="I89" t="str">
            <v>H</v>
          </cell>
          <cell r="J89" t="str">
            <v>LILONGWE</v>
          </cell>
          <cell r="K89">
            <v>6</v>
          </cell>
          <cell r="L89" t="str">
            <v>Changed designation from T358 to T357</v>
          </cell>
        </row>
        <row r="90">
          <cell r="A90" t="str">
            <v>RS 264</v>
          </cell>
          <cell r="B90">
            <v>86</v>
          </cell>
          <cell r="C90" t="str">
            <v>C</v>
          </cell>
          <cell r="D90" t="str">
            <v>T</v>
          </cell>
          <cell r="E90" t="str">
            <v>Chimbalanga - Mphunzi</v>
          </cell>
          <cell r="F90" t="str">
            <v>S121</v>
          </cell>
          <cell r="G90">
            <v>5</v>
          </cell>
          <cell r="H90">
            <v>4.2</v>
          </cell>
          <cell r="I90" t="str">
            <v>R</v>
          </cell>
          <cell r="J90" t="str">
            <v>LILONGWE</v>
          </cell>
          <cell r="K90">
            <v>6</v>
          </cell>
        </row>
        <row r="91">
          <cell r="A91" t="str">
            <v>RS 262</v>
          </cell>
          <cell r="B91">
            <v>84</v>
          </cell>
          <cell r="C91" t="str">
            <v>C</v>
          </cell>
          <cell r="D91" t="str">
            <v>T</v>
          </cell>
          <cell r="E91" t="str">
            <v>Mphunzi - Mpeya T.C.</v>
          </cell>
          <cell r="F91" t="str">
            <v>S121</v>
          </cell>
          <cell r="G91">
            <v>6</v>
          </cell>
          <cell r="H91">
            <v>5.9</v>
          </cell>
          <cell r="I91" t="str">
            <v>F</v>
          </cell>
          <cell r="J91" t="str">
            <v>LILONGWE</v>
          </cell>
          <cell r="K91">
            <v>6</v>
          </cell>
        </row>
        <row r="92">
          <cell r="A92" t="str">
            <v>RS 269</v>
          </cell>
          <cell r="B92">
            <v>91</v>
          </cell>
          <cell r="C92" t="str">
            <v>C</v>
          </cell>
          <cell r="D92" t="str">
            <v>T</v>
          </cell>
          <cell r="E92" t="str">
            <v>Mpeya T.C. - Chamadenga</v>
          </cell>
          <cell r="F92" t="str">
            <v>S121</v>
          </cell>
          <cell r="G92">
            <v>7</v>
          </cell>
          <cell r="H92">
            <v>6.4</v>
          </cell>
          <cell r="I92" t="str">
            <v>F</v>
          </cell>
          <cell r="J92" t="str">
            <v>LILONGWE</v>
          </cell>
          <cell r="K92">
            <v>6</v>
          </cell>
        </row>
        <row r="93">
          <cell r="A93" t="str">
            <v>RS 273</v>
          </cell>
          <cell r="B93">
            <v>95</v>
          </cell>
          <cell r="C93" t="str">
            <v>C</v>
          </cell>
          <cell r="D93" t="str">
            <v>T</v>
          </cell>
          <cell r="E93" t="str">
            <v>Chamadenga - Kamphata</v>
          </cell>
          <cell r="F93" t="str">
            <v>S121</v>
          </cell>
          <cell r="G93">
            <v>8</v>
          </cell>
          <cell r="H93">
            <v>9.1</v>
          </cell>
          <cell r="I93" t="str">
            <v>F</v>
          </cell>
          <cell r="J93" t="str">
            <v>LILONGWE</v>
          </cell>
          <cell r="K93">
            <v>6</v>
          </cell>
        </row>
        <row r="94">
          <cell r="A94" t="str">
            <v>RS 278</v>
          </cell>
          <cell r="B94">
            <v>100</v>
          </cell>
          <cell r="C94" t="str">
            <v>C</v>
          </cell>
          <cell r="D94" t="str">
            <v>T</v>
          </cell>
          <cell r="E94" t="str">
            <v>Kaunda Road - Lingadzi River</v>
          </cell>
          <cell r="F94" t="str">
            <v>S123</v>
          </cell>
          <cell r="G94">
            <v>1</v>
          </cell>
          <cell r="H94">
            <v>6</v>
          </cell>
          <cell r="I94" t="str">
            <v>F</v>
          </cell>
          <cell r="J94" t="str">
            <v>LILONGWE</v>
          </cell>
          <cell r="K94">
            <v>6</v>
          </cell>
          <cell r="L94" t="str">
            <v>Section start changed to exclude Chendawaka Road (RS 154)</v>
          </cell>
        </row>
        <row r="95">
          <cell r="A95" t="str">
            <v>RS 277</v>
          </cell>
          <cell r="B95">
            <v>99</v>
          </cell>
          <cell r="C95" t="str">
            <v>C</v>
          </cell>
          <cell r="D95" t="str">
            <v>T</v>
          </cell>
          <cell r="E95" t="str">
            <v>Lingadzi River - Chitedze</v>
          </cell>
          <cell r="F95" t="str">
            <v>S123</v>
          </cell>
          <cell r="G95">
            <v>2</v>
          </cell>
          <cell r="H95">
            <v>15.2</v>
          </cell>
          <cell r="I95" t="str">
            <v>F</v>
          </cell>
          <cell r="J95" t="str">
            <v>LILONGWE</v>
          </cell>
          <cell r="K95">
            <v>6</v>
          </cell>
        </row>
        <row r="96">
          <cell r="A96" t="str">
            <v>RS 282</v>
          </cell>
          <cell r="B96">
            <v>104</v>
          </cell>
          <cell r="C96" t="str">
            <v>C</v>
          </cell>
          <cell r="D96" t="str">
            <v>T</v>
          </cell>
          <cell r="E96" t="str">
            <v>Likuni - Kakoma</v>
          </cell>
          <cell r="F96" t="str">
            <v>S124</v>
          </cell>
          <cell r="G96">
            <v>3</v>
          </cell>
          <cell r="H96">
            <v>10.3</v>
          </cell>
          <cell r="I96" t="str">
            <v>F</v>
          </cell>
          <cell r="J96" t="str">
            <v>LILONGWE</v>
          </cell>
          <cell r="K96">
            <v>6</v>
          </cell>
        </row>
        <row r="97">
          <cell r="A97" t="str">
            <v>RS 292</v>
          </cell>
          <cell r="B97">
            <v>114</v>
          </cell>
          <cell r="C97" t="str">
            <v>C</v>
          </cell>
          <cell r="D97" t="str">
            <v>T</v>
          </cell>
          <cell r="E97" t="str">
            <v>Kakoma - Malingunde</v>
          </cell>
          <cell r="F97" t="str">
            <v>S124</v>
          </cell>
          <cell r="G97">
            <v>4</v>
          </cell>
          <cell r="H97">
            <v>7</v>
          </cell>
          <cell r="I97" t="str">
            <v>F</v>
          </cell>
          <cell r="J97" t="str">
            <v>LILONGWE</v>
          </cell>
          <cell r="K97">
            <v>6</v>
          </cell>
          <cell r="L97" t="str">
            <v>Changed junction road designation from M5</v>
          </cell>
        </row>
        <row r="98">
          <cell r="A98" t="str">
            <v>RS 564</v>
          </cell>
          <cell r="B98">
            <v>386</v>
          </cell>
          <cell r="C98" t="str">
            <v>C</v>
          </cell>
          <cell r="D98" t="str">
            <v>T</v>
          </cell>
          <cell r="E98" t="str">
            <v>Malingunde - Kabyzala Village</v>
          </cell>
          <cell r="F98" t="str">
            <v>S124</v>
          </cell>
          <cell r="G98">
            <v>5</v>
          </cell>
          <cell r="H98">
            <v>3.3</v>
          </cell>
          <cell r="I98" t="str">
            <v>F</v>
          </cell>
          <cell r="J98" t="str">
            <v>LILONGWE</v>
          </cell>
          <cell r="K98">
            <v>6</v>
          </cell>
          <cell r="L98" t="str">
            <v>Changed designation from T345 to S124</v>
          </cell>
        </row>
        <row r="99">
          <cell r="A99" t="str">
            <v>RS 271</v>
          </cell>
          <cell r="B99">
            <v>93</v>
          </cell>
          <cell r="C99" t="str">
            <v>C</v>
          </cell>
          <cell r="D99" t="str">
            <v>T</v>
          </cell>
          <cell r="E99" t="str">
            <v>Kabyzala Village - Nsengere</v>
          </cell>
          <cell r="F99" t="str">
            <v>S124</v>
          </cell>
          <cell r="G99">
            <v>6</v>
          </cell>
          <cell r="H99">
            <v>14.6</v>
          </cell>
          <cell r="I99" t="str">
            <v>F</v>
          </cell>
          <cell r="J99" t="str">
            <v>LILONGWE</v>
          </cell>
          <cell r="K99">
            <v>6</v>
          </cell>
        </row>
        <row r="100">
          <cell r="A100" t="str">
            <v>RS 279</v>
          </cell>
          <cell r="B100">
            <v>101</v>
          </cell>
          <cell r="C100" t="str">
            <v>C</v>
          </cell>
          <cell r="D100" t="str">
            <v>T</v>
          </cell>
          <cell r="E100" t="str">
            <v>Mitundu - Sitima</v>
          </cell>
          <cell r="F100" t="str">
            <v>S124</v>
          </cell>
          <cell r="G100">
            <v>7</v>
          </cell>
          <cell r="H100">
            <v>3.6</v>
          </cell>
          <cell r="I100" t="str">
            <v>F</v>
          </cell>
          <cell r="J100" t="str">
            <v>LILONGWE</v>
          </cell>
          <cell r="K100">
            <v>6</v>
          </cell>
        </row>
        <row r="101">
          <cell r="A101" t="str">
            <v>RS 661</v>
          </cell>
          <cell r="B101">
            <v>483</v>
          </cell>
          <cell r="C101" t="str">
            <v>C</v>
          </cell>
          <cell r="D101" t="str">
            <v>T</v>
          </cell>
          <cell r="E101" t="str">
            <v>Sitima - Kambalanje</v>
          </cell>
          <cell r="F101" t="str">
            <v>S124</v>
          </cell>
          <cell r="G101">
            <v>8</v>
          </cell>
          <cell r="H101">
            <v>1.9</v>
          </cell>
          <cell r="I101" t="str">
            <v>F</v>
          </cell>
          <cell r="J101" t="str">
            <v>LILONGWE</v>
          </cell>
          <cell r="K101">
            <v>6</v>
          </cell>
          <cell r="L101" t="str">
            <v>Changed designation from D198 to S124</v>
          </cell>
        </row>
        <row r="102">
          <cell r="A102" t="str">
            <v>RS 284</v>
          </cell>
          <cell r="B102">
            <v>106</v>
          </cell>
          <cell r="C102" t="str">
            <v>C</v>
          </cell>
          <cell r="D102" t="str">
            <v>T</v>
          </cell>
          <cell r="E102" t="str">
            <v>Kambalanje - Chisendera</v>
          </cell>
          <cell r="F102" t="str">
            <v>S124</v>
          </cell>
          <cell r="G102">
            <v>9</v>
          </cell>
          <cell r="H102">
            <v>7.5</v>
          </cell>
          <cell r="I102" t="str">
            <v>F</v>
          </cell>
          <cell r="J102" t="str">
            <v>LILONGWE</v>
          </cell>
          <cell r="K102">
            <v>6</v>
          </cell>
        </row>
        <row r="103">
          <cell r="A103" t="str">
            <v>RS 286</v>
          </cell>
          <cell r="B103">
            <v>108</v>
          </cell>
          <cell r="C103" t="str">
            <v>C</v>
          </cell>
          <cell r="D103" t="str">
            <v>T</v>
          </cell>
          <cell r="E103" t="str">
            <v>Chisendera - Mlozesi</v>
          </cell>
          <cell r="F103" t="str">
            <v>S124</v>
          </cell>
          <cell r="G103">
            <v>10</v>
          </cell>
          <cell r="H103">
            <v>4.9000000000000004</v>
          </cell>
          <cell r="I103" t="str">
            <v>F</v>
          </cell>
          <cell r="J103" t="str">
            <v>LILONGWE</v>
          </cell>
          <cell r="K103">
            <v>6</v>
          </cell>
        </row>
        <row r="104">
          <cell r="A104" t="str">
            <v>RS 288</v>
          </cell>
          <cell r="B104">
            <v>110</v>
          </cell>
          <cell r="C104" t="str">
            <v>C</v>
          </cell>
          <cell r="D104" t="str">
            <v>T</v>
          </cell>
          <cell r="E104" t="str">
            <v>Mlozesi - Diamphwe River</v>
          </cell>
          <cell r="F104" t="str">
            <v>S124</v>
          </cell>
          <cell r="G104">
            <v>11</v>
          </cell>
          <cell r="H104">
            <v>4.5</v>
          </cell>
          <cell r="I104" t="str">
            <v>F</v>
          </cell>
          <cell r="J104" t="str">
            <v>LILONGWE</v>
          </cell>
          <cell r="K104">
            <v>6</v>
          </cell>
        </row>
        <row r="105">
          <cell r="A105" t="str">
            <v>RS 290</v>
          </cell>
          <cell r="B105">
            <v>112</v>
          </cell>
          <cell r="C105" t="str">
            <v>C</v>
          </cell>
          <cell r="D105" t="str">
            <v>T</v>
          </cell>
          <cell r="E105" t="str">
            <v>Diamphwe River - Chidewere</v>
          </cell>
          <cell r="F105" t="str">
            <v>S124</v>
          </cell>
          <cell r="G105">
            <v>12</v>
          </cell>
          <cell r="H105">
            <v>9.4</v>
          </cell>
          <cell r="I105" t="str">
            <v>F</v>
          </cell>
          <cell r="J105" t="str">
            <v>DEDZA</v>
          </cell>
          <cell r="K105">
            <v>6</v>
          </cell>
        </row>
        <row r="106">
          <cell r="A106" t="str">
            <v>RS 281</v>
          </cell>
          <cell r="B106">
            <v>103</v>
          </cell>
          <cell r="C106" t="str">
            <v>C</v>
          </cell>
          <cell r="D106" t="str">
            <v>T</v>
          </cell>
          <cell r="E106" t="str">
            <v>Chidewere - Lobi</v>
          </cell>
          <cell r="F106" t="str">
            <v>S124</v>
          </cell>
          <cell r="G106">
            <v>13</v>
          </cell>
          <cell r="H106">
            <v>13</v>
          </cell>
          <cell r="I106" t="str">
            <v>F</v>
          </cell>
          <cell r="J106" t="str">
            <v>DEDZA</v>
          </cell>
          <cell r="K106">
            <v>6</v>
          </cell>
          <cell r="L106" t="str">
            <v>Changed designation from D209 to T366</v>
          </cell>
        </row>
        <row r="107">
          <cell r="A107" t="str">
            <v>RS 283</v>
          </cell>
          <cell r="B107">
            <v>105</v>
          </cell>
          <cell r="C107" t="str">
            <v>C</v>
          </cell>
          <cell r="D107" t="str">
            <v>T</v>
          </cell>
          <cell r="E107" t="str">
            <v>Lobi - Maonde</v>
          </cell>
          <cell r="F107" t="str">
            <v>S124</v>
          </cell>
          <cell r="G107">
            <v>14</v>
          </cell>
          <cell r="H107">
            <v>5.9</v>
          </cell>
          <cell r="I107" t="str">
            <v>F</v>
          </cell>
          <cell r="J107" t="str">
            <v>DEDZA</v>
          </cell>
          <cell r="K107">
            <v>6</v>
          </cell>
        </row>
        <row r="108">
          <cell r="A108" t="str">
            <v>RS 280</v>
          </cell>
          <cell r="B108">
            <v>102</v>
          </cell>
          <cell r="C108" t="str">
            <v>C</v>
          </cell>
          <cell r="D108" t="str">
            <v>T</v>
          </cell>
          <cell r="E108" t="str">
            <v>Maonde - Kaliyodzi</v>
          </cell>
          <cell r="F108" t="str">
            <v>S124</v>
          </cell>
          <cell r="G108">
            <v>15</v>
          </cell>
          <cell r="H108">
            <v>1.8</v>
          </cell>
          <cell r="I108" t="str">
            <v>F</v>
          </cell>
          <cell r="J108" t="str">
            <v>DEDZA</v>
          </cell>
          <cell r="K108">
            <v>6</v>
          </cell>
          <cell r="L108" t="str">
            <v>Changed designation from UD to T367.</v>
          </cell>
        </row>
        <row r="109">
          <cell r="A109" t="str">
            <v>RS 291</v>
          </cell>
          <cell r="B109">
            <v>113</v>
          </cell>
          <cell r="C109" t="str">
            <v>C</v>
          </cell>
          <cell r="D109" t="str">
            <v>T</v>
          </cell>
          <cell r="E109" t="str">
            <v>Kaliyodzi - Jumbe</v>
          </cell>
          <cell r="F109" t="str">
            <v>S124</v>
          </cell>
          <cell r="G109">
            <v>16</v>
          </cell>
          <cell r="H109">
            <v>7.8</v>
          </cell>
          <cell r="I109" t="str">
            <v>F</v>
          </cell>
          <cell r="J109" t="str">
            <v>DEDZA</v>
          </cell>
          <cell r="K109">
            <v>6</v>
          </cell>
        </row>
        <row r="110">
          <cell r="A110" t="str">
            <v>RS 285</v>
          </cell>
          <cell r="B110">
            <v>107</v>
          </cell>
          <cell r="C110" t="str">
            <v>C</v>
          </cell>
          <cell r="D110" t="str">
            <v>T</v>
          </cell>
          <cell r="E110" t="str">
            <v>Jumbe - Mchaneka</v>
          </cell>
          <cell r="F110" t="str">
            <v>S124</v>
          </cell>
          <cell r="G110">
            <v>17</v>
          </cell>
          <cell r="H110">
            <v>4.8</v>
          </cell>
          <cell r="I110" t="str">
            <v>F</v>
          </cell>
          <cell r="J110" t="str">
            <v>DEDZA</v>
          </cell>
          <cell r="K110">
            <v>6</v>
          </cell>
        </row>
        <row r="111">
          <cell r="A111" t="str">
            <v>RS 293</v>
          </cell>
          <cell r="B111">
            <v>115</v>
          </cell>
          <cell r="C111" t="str">
            <v>C</v>
          </cell>
          <cell r="D111" t="str">
            <v>T</v>
          </cell>
          <cell r="E111" t="str">
            <v>Bunda - Nsendere</v>
          </cell>
          <cell r="F111" t="str">
            <v>S125</v>
          </cell>
          <cell r="G111">
            <v>3</v>
          </cell>
          <cell r="H111">
            <v>4.5999999999999996</v>
          </cell>
          <cell r="I111" t="str">
            <v>F</v>
          </cell>
          <cell r="J111" t="str">
            <v>LILONGWE</v>
          </cell>
          <cell r="K111">
            <v>6</v>
          </cell>
        </row>
        <row r="112">
          <cell r="A112" t="str">
            <v>RS 296</v>
          </cell>
          <cell r="B112">
            <v>118</v>
          </cell>
          <cell r="C112" t="str">
            <v>C</v>
          </cell>
          <cell r="D112" t="str">
            <v>T</v>
          </cell>
          <cell r="E112" t="str">
            <v>Nsendere - Mitundu</v>
          </cell>
          <cell r="F112" t="str">
            <v>S125</v>
          </cell>
          <cell r="G112">
            <v>4</v>
          </cell>
          <cell r="H112">
            <v>2.7</v>
          </cell>
          <cell r="I112" t="str">
            <v>F</v>
          </cell>
          <cell r="J112" t="str">
            <v>LILONGWE</v>
          </cell>
          <cell r="K112">
            <v>6</v>
          </cell>
        </row>
        <row r="113">
          <cell r="A113" t="str">
            <v>RS 300</v>
          </cell>
          <cell r="B113">
            <v>122</v>
          </cell>
          <cell r="C113" t="str">
            <v>C</v>
          </cell>
          <cell r="D113" t="str">
            <v>T</v>
          </cell>
          <cell r="E113" t="str">
            <v>junction M1 - Thete</v>
          </cell>
          <cell r="F113" t="str">
            <v>S126</v>
          </cell>
          <cell r="G113">
            <v>1</v>
          </cell>
          <cell r="H113">
            <v>18</v>
          </cell>
          <cell r="I113" t="str">
            <v>F</v>
          </cell>
          <cell r="J113" t="str">
            <v>DEDZA</v>
          </cell>
          <cell r="K113">
            <v>6</v>
          </cell>
          <cell r="L113" t="str">
            <v>Changed designation from D370 to T370</v>
          </cell>
        </row>
        <row r="114">
          <cell r="A114" t="str">
            <v>RS 301</v>
          </cell>
          <cell r="B114">
            <v>123</v>
          </cell>
          <cell r="C114" t="str">
            <v>C</v>
          </cell>
          <cell r="D114" t="str">
            <v>T</v>
          </cell>
          <cell r="E114" t="str">
            <v>Thete - Lobi</v>
          </cell>
          <cell r="F114" t="str">
            <v>S126</v>
          </cell>
          <cell r="G114">
            <v>2</v>
          </cell>
          <cell r="H114">
            <v>9.1</v>
          </cell>
          <cell r="I114" t="str">
            <v>F</v>
          </cell>
          <cell r="J114" t="str">
            <v>DEDZA</v>
          </cell>
          <cell r="K114">
            <v>6</v>
          </cell>
          <cell r="L114" t="str">
            <v>Changed designation from D370 to T370</v>
          </cell>
        </row>
        <row r="115">
          <cell r="A115" t="str">
            <v>RS 306</v>
          </cell>
          <cell r="B115">
            <v>128</v>
          </cell>
          <cell r="C115" t="str">
            <v>C</v>
          </cell>
          <cell r="D115" t="str">
            <v>T</v>
          </cell>
          <cell r="E115" t="str">
            <v>Masasa (junction M1) - Chapita</v>
          </cell>
          <cell r="F115" t="str">
            <v>S127</v>
          </cell>
          <cell r="G115">
            <v>1</v>
          </cell>
          <cell r="H115">
            <v>2.2000000000000002</v>
          </cell>
          <cell r="I115" t="str">
            <v>F</v>
          </cell>
          <cell r="J115" t="str">
            <v>DEDZA</v>
          </cell>
          <cell r="K115">
            <v>7</v>
          </cell>
        </row>
        <row r="116">
          <cell r="A116" t="str">
            <v>RS 302</v>
          </cell>
          <cell r="B116">
            <v>124</v>
          </cell>
          <cell r="C116" t="str">
            <v>C</v>
          </cell>
          <cell r="D116" t="str">
            <v>T</v>
          </cell>
          <cell r="E116" t="str">
            <v>Chapita - Khwekhwelele</v>
          </cell>
          <cell r="F116" t="str">
            <v>S127</v>
          </cell>
          <cell r="G116">
            <v>2</v>
          </cell>
          <cell r="H116">
            <v>16.5</v>
          </cell>
          <cell r="I116" t="str">
            <v>R</v>
          </cell>
          <cell r="J116" t="str">
            <v>DEDZA</v>
          </cell>
          <cell r="K116">
            <v>7</v>
          </cell>
        </row>
        <row r="117">
          <cell r="A117" t="str">
            <v>RS 303</v>
          </cell>
          <cell r="B117">
            <v>125</v>
          </cell>
          <cell r="C117" t="str">
            <v>C</v>
          </cell>
          <cell r="D117" t="str">
            <v>T</v>
          </cell>
          <cell r="E117" t="str">
            <v>Chitambe River - Mganja</v>
          </cell>
          <cell r="F117" t="str">
            <v>S127</v>
          </cell>
          <cell r="G117">
            <v>3</v>
          </cell>
          <cell r="H117">
            <v>3.7</v>
          </cell>
          <cell r="I117" t="str">
            <v>R</v>
          </cell>
          <cell r="J117" t="str">
            <v>DEDZA</v>
          </cell>
          <cell r="K117">
            <v>7</v>
          </cell>
        </row>
        <row r="118">
          <cell r="A118" t="str">
            <v>RS 305</v>
          </cell>
          <cell r="B118">
            <v>127</v>
          </cell>
          <cell r="C118" t="str">
            <v>C</v>
          </cell>
          <cell r="D118" t="str">
            <v>T</v>
          </cell>
          <cell r="E118" t="str">
            <v>Golomoti - Liwenga</v>
          </cell>
          <cell r="F118" t="str">
            <v>S127</v>
          </cell>
          <cell r="G118">
            <v>5</v>
          </cell>
          <cell r="H118">
            <v>5.6</v>
          </cell>
          <cell r="I118" t="str">
            <v>R</v>
          </cell>
          <cell r="J118" t="str">
            <v>DEDZA</v>
          </cell>
          <cell r="K118">
            <v>7</v>
          </cell>
        </row>
        <row r="119">
          <cell r="A119" t="str">
            <v>RS 304</v>
          </cell>
          <cell r="B119">
            <v>126</v>
          </cell>
          <cell r="C119" t="str">
            <v>C</v>
          </cell>
          <cell r="D119" t="str">
            <v>T</v>
          </cell>
          <cell r="E119" t="str">
            <v>Liwenga - Kapiri (junction M10)</v>
          </cell>
          <cell r="F119" t="str">
            <v>S127</v>
          </cell>
          <cell r="G119">
            <v>6</v>
          </cell>
          <cell r="H119">
            <v>12</v>
          </cell>
          <cell r="I119" t="str">
            <v>F</v>
          </cell>
          <cell r="J119" t="str">
            <v>DEDZA</v>
          </cell>
          <cell r="K119">
            <v>7</v>
          </cell>
        </row>
        <row r="120">
          <cell r="A120" t="str">
            <v>RS 342</v>
          </cell>
          <cell r="B120">
            <v>164</v>
          </cell>
          <cell r="C120" t="str">
            <v>S</v>
          </cell>
          <cell r="D120" t="str">
            <v>T</v>
          </cell>
          <cell r="E120" t="str">
            <v>Maganga - Kwilasya</v>
          </cell>
          <cell r="F120" t="str">
            <v>S129</v>
          </cell>
          <cell r="G120">
            <v>1</v>
          </cell>
          <cell r="H120">
            <v>13.8</v>
          </cell>
          <cell r="I120" t="str">
            <v>F</v>
          </cell>
          <cell r="J120" t="str">
            <v>MANGOCHI</v>
          </cell>
          <cell r="K120">
            <v>7</v>
          </cell>
          <cell r="L120" t="str">
            <v>Changed designation from S121 to T373</v>
          </cell>
        </row>
        <row r="121">
          <cell r="A121" t="str">
            <v>RS 344</v>
          </cell>
          <cell r="B121">
            <v>166</v>
          </cell>
          <cell r="C121" t="str">
            <v>S</v>
          </cell>
          <cell r="D121" t="str">
            <v>T</v>
          </cell>
          <cell r="E121" t="str">
            <v>Kwilasya - Makanjira</v>
          </cell>
          <cell r="F121" t="str">
            <v>S129</v>
          </cell>
          <cell r="G121">
            <v>2</v>
          </cell>
          <cell r="H121">
            <v>15.8</v>
          </cell>
          <cell r="I121" t="str">
            <v>F</v>
          </cell>
          <cell r="J121" t="str">
            <v>MANGOCHI</v>
          </cell>
          <cell r="K121">
            <v>7</v>
          </cell>
          <cell r="L121" t="str">
            <v>Changed designation from S121 to T373</v>
          </cell>
        </row>
        <row r="122">
          <cell r="A122" t="str">
            <v>RS 340</v>
          </cell>
          <cell r="B122">
            <v>162</v>
          </cell>
          <cell r="C122" t="str">
            <v>S</v>
          </cell>
          <cell r="D122" t="str">
            <v>T</v>
          </cell>
          <cell r="E122" t="str">
            <v>Makanjira - Chilawe</v>
          </cell>
          <cell r="F122" t="str">
            <v>S129</v>
          </cell>
          <cell r="G122">
            <v>3</v>
          </cell>
          <cell r="H122">
            <v>13.6</v>
          </cell>
          <cell r="I122" t="str">
            <v>F</v>
          </cell>
          <cell r="J122" t="str">
            <v>MANGOCHI</v>
          </cell>
          <cell r="K122">
            <v>7</v>
          </cell>
        </row>
        <row r="123">
          <cell r="A123" t="str">
            <v>RS 338</v>
          </cell>
          <cell r="B123">
            <v>160</v>
          </cell>
          <cell r="C123" t="str">
            <v>S</v>
          </cell>
          <cell r="D123" t="str">
            <v>T</v>
          </cell>
          <cell r="E123" t="str">
            <v>Chilawe - Binali</v>
          </cell>
          <cell r="F123" t="str">
            <v>S129</v>
          </cell>
          <cell r="G123">
            <v>4</v>
          </cell>
          <cell r="H123">
            <v>11.8</v>
          </cell>
          <cell r="I123" t="str">
            <v>F</v>
          </cell>
          <cell r="J123" t="str">
            <v>MANGOCHI</v>
          </cell>
          <cell r="K123">
            <v>7</v>
          </cell>
        </row>
        <row r="124">
          <cell r="A124" t="str">
            <v>RS 341</v>
          </cell>
          <cell r="B124">
            <v>163</v>
          </cell>
          <cell r="C124" t="str">
            <v>S</v>
          </cell>
          <cell r="D124" t="str">
            <v>T</v>
          </cell>
          <cell r="E124" t="str">
            <v>Binali - Mdala</v>
          </cell>
          <cell r="F124" t="str">
            <v>S129</v>
          </cell>
          <cell r="G124">
            <v>5</v>
          </cell>
          <cell r="H124">
            <v>7.9</v>
          </cell>
          <cell r="I124" t="str">
            <v>F</v>
          </cell>
          <cell r="J124" t="str">
            <v>MANGOCHI</v>
          </cell>
          <cell r="K124">
            <v>7</v>
          </cell>
        </row>
        <row r="125">
          <cell r="A125" t="str">
            <v>RS 335</v>
          </cell>
          <cell r="B125">
            <v>157</v>
          </cell>
          <cell r="C125" t="str">
            <v>S</v>
          </cell>
          <cell r="D125" t="str">
            <v>T</v>
          </cell>
          <cell r="E125" t="str">
            <v>Mdala - Unga River</v>
          </cell>
          <cell r="F125" t="str">
            <v>S129</v>
          </cell>
          <cell r="G125">
            <v>6</v>
          </cell>
          <cell r="H125">
            <v>5.4</v>
          </cell>
          <cell r="I125" t="str">
            <v>F</v>
          </cell>
          <cell r="J125" t="str">
            <v>MANGOCHI</v>
          </cell>
          <cell r="K125">
            <v>7</v>
          </cell>
          <cell r="L125" t="str">
            <v>Changed designation from D226 to T374</v>
          </cell>
        </row>
        <row r="126">
          <cell r="A126" t="str">
            <v>RS 346</v>
          </cell>
          <cell r="B126">
            <v>168</v>
          </cell>
          <cell r="C126" t="str">
            <v>S</v>
          </cell>
          <cell r="D126" t="str">
            <v>T</v>
          </cell>
          <cell r="E126" t="str">
            <v>Unga River - Lilembe River</v>
          </cell>
          <cell r="F126" t="str">
            <v>S129</v>
          </cell>
          <cell r="G126">
            <v>7</v>
          </cell>
          <cell r="H126">
            <v>8.1</v>
          </cell>
          <cell r="I126" t="str">
            <v>F</v>
          </cell>
          <cell r="J126" t="str">
            <v>MANGOCHI</v>
          </cell>
          <cell r="K126">
            <v>7</v>
          </cell>
        </row>
        <row r="127">
          <cell r="A127" t="str">
            <v>RS 334</v>
          </cell>
          <cell r="B127">
            <v>156</v>
          </cell>
          <cell r="C127" t="str">
            <v>S</v>
          </cell>
          <cell r="D127" t="str">
            <v>T</v>
          </cell>
          <cell r="E127" t="str">
            <v>Lilembe River - Lungwena River</v>
          </cell>
          <cell r="F127" t="str">
            <v>S129</v>
          </cell>
          <cell r="G127">
            <v>8</v>
          </cell>
          <cell r="H127">
            <v>23.5</v>
          </cell>
          <cell r="I127" t="str">
            <v>F</v>
          </cell>
          <cell r="J127" t="str">
            <v>MANGOCHI</v>
          </cell>
          <cell r="K127">
            <v>7</v>
          </cell>
        </row>
        <row r="128">
          <cell r="A128" t="str">
            <v>RS 345</v>
          </cell>
          <cell r="B128">
            <v>167</v>
          </cell>
          <cell r="C128" t="str">
            <v>S</v>
          </cell>
          <cell r="D128" t="str">
            <v>T</v>
          </cell>
          <cell r="E128" t="str">
            <v>Lungwena River - Malindi</v>
          </cell>
          <cell r="F128" t="str">
            <v>S129</v>
          </cell>
          <cell r="G128">
            <v>9</v>
          </cell>
          <cell r="H128">
            <v>14.3</v>
          </cell>
          <cell r="I128" t="str">
            <v>F</v>
          </cell>
          <cell r="J128" t="str">
            <v>MANGOCHI</v>
          </cell>
          <cell r="K128">
            <v>7</v>
          </cell>
        </row>
        <row r="129">
          <cell r="A129" t="str">
            <v>RS 336</v>
          </cell>
          <cell r="B129">
            <v>158</v>
          </cell>
          <cell r="C129" t="str">
            <v>S</v>
          </cell>
          <cell r="D129" t="str">
            <v>T</v>
          </cell>
          <cell r="E129" t="str">
            <v>Malindi - Chingo (junction M3)</v>
          </cell>
          <cell r="F129" t="str">
            <v>S129</v>
          </cell>
          <cell r="G129">
            <v>10</v>
          </cell>
          <cell r="H129">
            <v>12</v>
          </cell>
          <cell r="I129" t="str">
            <v>F</v>
          </cell>
          <cell r="J129" t="str">
            <v>MANGOCHI</v>
          </cell>
          <cell r="K129">
            <v>7</v>
          </cell>
        </row>
        <row r="130">
          <cell r="A130" t="str">
            <v>RS 350</v>
          </cell>
          <cell r="B130">
            <v>172</v>
          </cell>
          <cell r="C130" t="str">
            <v>S</v>
          </cell>
          <cell r="D130" t="str">
            <v>T</v>
          </cell>
          <cell r="E130" t="str">
            <v>Chiponde (junction M3) - Mandimba</v>
          </cell>
          <cell r="F130" t="str">
            <v>S131</v>
          </cell>
          <cell r="G130">
            <v>1</v>
          </cell>
          <cell r="H130">
            <v>1</v>
          </cell>
          <cell r="I130" t="str">
            <v>R</v>
          </cell>
          <cell r="J130" t="str">
            <v>MANGOCHI</v>
          </cell>
          <cell r="K130">
            <v>7</v>
          </cell>
        </row>
        <row r="131">
          <cell r="A131" t="str">
            <v>RS 353</v>
          </cell>
          <cell r="B131">
            <v>175</v>
          </cell>
          <cell r="C131" t="str">
            <v>S</v>
          </cell>
          <cell r="D131" t="str">
            <v>T</v>
          </cell>
          <cell r="E131" t="str">
            <v>Mandimba - Masuku</v>
          </cell>
          <cell r="F131" t="str">
            <v>S131</v>
          </cell>
          <cell r="G131">
            <v>2</v>
          </cell>
          <cell r="H131">
            <v>10.9</v>
          </cell>
          <cell r="I131" t="str">
            <v>F</v>
          </cell>
          <cell r="J131" t="str">
            <v>MANGOCHI</v>
          </cell>
          <cell r="K131">
            <v>8</v>
          </cell>
          <cell r="L131" t="str">
            <v xml:space="preserve">New section part of RS 78 </v>
          </cell>
        </row>
        <row r="132">
          <cell r="A132" t="str">
            <v>RS 356</v>
          </cell>
          <cell r="B132">
            <v>178</v>
          </cell>
          <cell r="C132" t="str">
            <v>S</v>
          </cell>
          <cell r="D132" t="str">
            <v>T</v>
          </cell>
          <cell r="E132" t="str">
            <v>Masuku - Nkumba</v>
          </cell>
          <cell r="F132" t="str">
            <v>S131</v>
          </cell>
          <cell r="G132">
            <v>3</v>
          </cell>
          <cell r="H132">
            <v>17.600000000000001</v>
          </cell>
          <cell r="I132" t="str">
            <v>R</v>
          </cell>
          <cell r="J132" t="str">
            <v>MACHINGA</v>
          </cell>
          <cell r="K132">
            <v>8</v>
          </cell>
        </row>
        <row r="133">
          <cell r="A133" t="str">
            <v>RS 349</v>
          </cell>
          <cell r="B133">
            <v>171</v>
          </cell>
          <cell r="C133" t="str">
            <v>S</v>
          </cell>
          <cell r="D133" t="str">
            <v>T</v>
          </cell>
          <cell r="E133" t="str">
            <v>Nkumba - Nselema</v>
          </cell>
          <cell r="F133" t="str">
            <v>S131</v>
          </cell>
          <cell r="G133">
            <v>4</v>
          </cell>
          <cell r="H133">
            <v>17.600000000000001</v>
          </cell>
          <cell r="I133" t="str">
            <v>R</v>
          </cell>
          <cell r="J133" t="str">
            <v>MACHINGA</v>
          </cell>
          <cell r="K133">
            <v>8</v>
          </cell>
        </row>
        <row r="134">
          <cell r="A134" t="str">
            <v>RS 355</v>
          </cell>
          <cell r="B134">
            <v>177</v>
          </cell>
          <cell r="C134" t="str">
            <v>S</v>
          </cell>
          <cell r="D134" t="str">
            <v>T</v>
          </cell>
          <cell r="E134" t="str">
            <v>Matope - Ntaja</v>
          </cell>
          <cell r="F134" t="str">
            <v>S131</v>
          </cell>
          <cell r="G134">
            <v>5</v>
          </cell>
          <cell r="H134">
            <v>7.5</v>
          </cell>
          <cell r="I134" t="str">
            <v>R</v>
          </cell>
          <cell r="J134" t="str">
            <v>MACHINGA</v>
          </cell>
          <cell r="K134">
            <v>8</v>
          </cell>
        </row>
        <row r="135">
          <cell r="A135" t="str">
            <v>RS 845</v>
          </cell>
          <cell r="B135" t="str">
            <v>n.a.</v>
          </cell>
          <cell r="C135" t="str">
            <v>S</v>
          </cell>
          <cell r="D135" t="str">
            <v>T</v>
          </cell>
          <cell r="E135" t="str">
            <v>Ntaja - Singwa</v>
          </cell>
          <cell r="F135" t="str">
            <v>S131</v>
          </cell>
          <cell r="G135">
            <v>6</v>
          </cell>
          <cell r="H135">
            <v>11.2</v>
          </cell>
          <cell r="I135" t="str">
            <v>R</v>
          </cell>
          <cell r="J135" t="str">
            <v>MACHINGA</v>
          </cell>
          <cell r="K135">
            <v>8</v>
          </cell>
          <cell r="L135" t="str">
            <v>New section added to cover origional RS 352</v>
          </cell>
        </row>
        <row r="136">
          <cell r="A136" t="str">
            <v>RS 347</v>
          </cell>
          <cell r="B136">
            <v>169</v>
          </cell>
          <cell r="C136" t="str">
            <v>S</v>
          </cell>
          <cell r="D136" t="str">
            <v>T</v>
          </cell>
          <cell r="E136" t="str">
            <v>Singwa - Nsanama</v>
          </cell>
          <cell r="F136" t="str">
            <v>S131</v>
          </cell>
          <cell r="G136">
            <v>7</v>
          </cell>
          <cell r="H136">
            <v>13.2</v>
          </cell>
          <cell r="I136" t="str">
            <v>R</v>
          </cell>
          <cell r="J136" t="str">
            <v>MACHINGA</v>
          </cell>
          <cell r="K136">
            <v>8</v>
          </cell>
          <cell r="L136" t="str">
            <v>Changed designation from M16 to M14</v>
          </cell>
        </row>
        <row r="137">
          <cell r="A137" t="str">
            <v>RS 351</v>
          </cell>
          <cell r="B137">
            <v>173</v>
          </cell>
          <cell r="C137" t="str">
            <v>S</v>
          </cell>
          <cell r="D137" t="str">
            <v>T</v>
          </cell>
          <cell r="E137" t="str">
            <v>Nsanama - Naminga</v>
          </cell>
          <cell r="F137" t="str">
            <v>S131</v>
          </cell>
          <cell r="G137">
            <v>8</v>
          </cell>
          <cell r="H137">
            <v>8.6999999999999993</v>
          </cell>
          <cell r="I137" t="str">
            <v>R</v>
          </cell>
          <cell r="J137" t="str">
            <v>MACHINGA</v>
          </cell>
          <cell r="K137">
            <v>8</v>
          </cell>
          <cell r="L137" t="str">
            <v xml:space="preserve">Changed designation from M16 to M14 </v>
          </cell>
        </row>
        <row r="138">
          <cell r="A138" t="str">
            <v>RS 685</v>
          </cell>
          <cell r="B138">
            <v>507</v>
          </cell>
          <cell r="C138" t="str">
            <v>S</v>
          </cell>
          <cell r="D138" t="str">
            <v>T</v>
          </cell>
          <cell r="E138" t="str">
            <v>Singwa (junction S131) - Mbonechera</v>
          </cell>
          <cell r="F138" t="str">
            <v>S132</v>
          </cell>
          <cell r="G138">
            <v>1</v>
          </cell>
          <cell r="H138">
            <v>6.6</v>
          </cell>
          <cell r="I138" t="str">
            <v>R</v>
          </cell>
          <cell r="J138" t="str">
            <v>MACHINGA</v>
          </cell>
          <cell r="K138">
            <v>8</v>
          </cell>
          <cell r="L138" t="str">
            <v>Changed designation from T388 to S132</v>
          </cell>
        </row>
        <row r="139">
          <cell r="A139" t="str">
            <v>RS 358</v>
          </cell>
          <cell r="B139">
            <v>180</v>
          </cell>
          <cell r="C139" t="str">
            <v>S</v>
          </cell>
          <cell r="D139" t="str">
            <v>T</v>
          </cell>
          <cell r="E139" t="str">
            <v>Mbonechera - Mweso</v>
          </cell>
          <cell r="F139" t="str">
            <v>S132</v>
          </cell>
          <cell r="G139">
            <v>2</v>
          </cell>
          <cell r="H139">
            <v>11</v>
          </cell>
          <cell r="I139" t="str">
            <v>R</v>
          </cell>
          <cell r="J139" t="str">
            <v>MACHINGA</v>
          </cell>
          <cell r="K139">
            <v>8</v>
          </cell>
          <cell r="L139" t="str">
            <v>Changed designation from M5 to M14</v>
          </cell>
        </row>
        <row r="140">
          <cell r="A140" t="str">
            <v>RS 357</v>
          </cell>
          <cell r="B140">
            <v>179</v>
          </cell>
          <cell r="C140" t="str">
            <v>S</v>
          </cell>
          <cell r="D140" t="str">
            <v>T</v>
          </cell>
          <cell r="E140" t="str">
            <v>Mweso - Namandanje River</v>
          </cell>
          <cell r="F140" t="str">
            <v>S132</v>
          </cell>
          <cell r="G140">
            <v>3</v>
          </cell>
          <cell r="H140">
            <v>3</v>
          </cell>
          <cell r="I140" t="str">
            <v>R</v>
          </cell>
          <cell r="J140" t="str">
            <v>MACHINGA</v>
          </cell>
          <cell r="K140">
            <v>8</v>
          </cell>
          <cell r="L140" t="str">
            <v xml:space="preserve">Changed designation from S120 to M18 </v>
          </cell>
        </row>
        <row r="141">
          <cell r="A141" t="str">
            <v>RS 359</v>
          </cell>
          <cell r="B141">
            <v>181</v>
          </cell>
          <cell r="C141" t="str">
            <v>S</v>
          </cell>
          <cell r="D141" t="str">
            <v>T</v>
          </cell>
          <cell r="E141" t="str">
            <v>Balaka - Mbela</v>
          </cell>
          <cell r="F141" t="str">
            <v>S133</v>
          </cell>
          <cell r="G141">
            <v>1</v>
          </cell>
          <cell r="H141">
            <v>14.5</v>
          </cell>
          <cell r="I141" t="str">
            <v>R</v>
          </cell>
          <cell r="J141" t="str">
            <v>MACHINGA</v>
          </cell>
          <cell r="K141">
            <v>8</v>
          </cell>
          <cell r="L141" t="str">
            <v>Changed designation from D231 to T379</v>
          </cell>
        </row>
        <row r="142">
          <cell r="A142" t="str">
            <v>RS 361</v>
          </cell>
          <cell r="B142">
            <v>183</v>
          </cell>
          <cell r="C142" t="str">
            <v>S</v>
          </cell>
          <cell r="D142" t="str">
            <v>T</v>
          </cell>
          <cell r="E142" t="str">
            <v>Mbela - Mzimundilinde</v>
          </cell>
          <cell r="F142" t="str">
            <v>S133</v>
          </cell>
          <cell r="G142">
            <v>2</v>
          </cell>
          <cell r="H142">
            <v>7.9</v>
          </cell>
          <cell r="I142" t="str">
            <v>F</v>
          </cell>
          <cell r="J142" t="str">
            <v>MACHINGA</v>
          </cell>
          <cell r="K142">
            <v>8</v>
          </cell>
          <cell r="L142" t="str">
            <v>Changed designation from D231 to T379</v>
          </cell>
        </row>
        <row r="143">
          <cell r="A143" t="str">
            <v>RS 360</v>
          </cell>
          <cell r="B143">
            <v>182</v>
          </cell>
          <cell r="C143" t="str">
            <v>S</v>
          </cell>
          <cell r="D143" t="str">
            <v>T</v>
          </cell>
          <cell r="E143" t="str">
            <v>Mzimundilinde - Hoba</v>
          </cell>
          <cell r="F143" t="str">
            <v>S133</v>
          </cell>
          <cell r="G143">
            <v>3</v>
          </cell>
          <cell r="H143">
            <v>6</v>
          </cell>
          <cell r="I143" t="str">
            <v>F</v>
          </cell>
          <cell r="J143" t="str">
            <v>MACHINGA</v>
          </cell>
          <cell r="K143">
            <v>8</v>
          </cell>
          <cell r="L143" t="str">
            <v>Changed designation from T361 to M30</v>
          </cell>
        </row>
        <row r="144">
          <cell r="A144" t="str">
            <v>RS 310</v>
          </cell>
          <cell r="B144">
            <v>132</v>
          </cell>
          <cell r="C144" t="str">
            <v>C</v>
          </cell>
          <cell r="D144" t="str">
            <v>T</v>
          </cell>
          <cell r="E144" t="str">
            <v>Kasinje (junction M5) - Mtambalika</v>
          </cell>
          <cell r="F144" t="str">
            <v>S134</v>
          </cell>
          <cell r="G144">
            <v>1</v>
          </cell>
          <cell r="H144">
            <v>5.0999999999999996</v>
          </cell>
          <cell r="I144" t="str">
            <v>H</v>
          </cell>
          <cell r="J144" t="str">
            <v>NTCHEU</v>
          </cell>
          <cell r="K144">
            <v>8</v>
          </cell>
        </row>
        <row r="145">
          <cell r="A145" t="str">
            <v>RS 311</v>
          </cell>
          <cell r="B145">
            <v>133</v>
          </cell>
          <cell r="C145" t="str">
            <v>C</v>
          </cell>
          <cell r="D145" t="str">
            <v>T</v>
          </cell>
          <cell r="E145" t="str">
            <v>Mtambalika - Kandeu</v>
          </cell>
          <cell r="F145" t="str">
            <v>S134</v>
          </cell>
          <cell r="G145">
            <v>2</v>
          </cell>
          <cell r="H145">
            <v>8.4</v>
          </cell>
          <cell r="I145" t="str">
            <v>H</v>
          </cell>
          <cell r="J145" t="str">
            <v>NTCHEU</v>
          </cell>
          <cell r="K145">
            <v>8</v>
          </cell>
          <cell r="L145" t="str">
            <v>Changed from urban to trunk</v>
          </cell>
        </row>
        <row r="146">
          <cell r="A146" t="str">
            <v>RS 308</v>
          </cell>
          <cell r="B146">
            <v>130</v>
          </cell>
          <cell r="C146" t="str">
            <v>C</v>
          </cell>
          <cell r="D146" t="str">
            <v>T</v>
          </cell>
          <cell r="E146" t="str">
            <v>Kandeu - Sitolo</v>
          </cell>
          <cell r="F146" t="str">
            <v>S134</v>
          </cell>
          <cell r="G146">
            <v>3</v>
          </cell>
          <cell r="H146">
            <v>4.8</v>
          </cell>
          <cell r="I146" t="str">
            <v>M</v>
          </cell>
          <cell r="J146" t="str">
            <v>NTCHEU</v>
          </cell>
          <cell r="K146">
            <v>8</v>
          </cell>
        </row>
        <row r="147">
          <cell r="A147" t="str">
            <v>RS 309</v>
          </cell>
          <cell r="B147">
            <v>131</v>
          </cell>
          <cell r="C147" t="str">
            <v>C</v>
          </cell>
          <cell r="D147" t="str">
            <v>T</v>
          </cell>
          <cell r="E147" t="str">
            <v>Sitolo - Kabekele</v>
          </cell>
          <cell r="F147" t="str">
            <v>S134</v>
          </cell>
          <cell r="G147">
            <v>4</v>
          </cell>
          <cell r="H147">
            <v>4.7</v>
          </cell>
          <cell r="I147" t="str">
            <v>H</v>
          </cell>
          <cell r="J147" t="str">
            <v>NTCHEU</v>
          </cell>
          <cell r="K147">
            <v>8</v>
          </cell>
          <cell r="L147" t="str">
            <v>Changed designation from D226 to T381</v>
          </cell>
        </row>
        <row r="148">
          <cell r="A148" t="str">
            <v>RS 312</v>
          </cell>
          <cell r="B148">
            <v>134</v>
          </cell>
          <cell r="C148" t="str">
            <v>C</v>
          </cell>
          <cell r="D148" t="str">
            <v>T</v>
          </cell>
          <cell r="E148" t="str">
            <v>Kabekele - Kansapato (junction T384)</v>
          </cell>
          <cell r="F148" t="str">
            <v>S134</v>
          </cell>
          <cell r="G148">
            <v>6</v>
          </cell>
          <cell r="H148">
            <v>7.8</v>
          </cell>
          <cell r="I148" t="str">
            <v>R</v>
          </cell>
          <cell r="J148" t="str">
            <v>NTCHEU</v>
          </cell>
          <cell r="K148">
            <v>8</v>
          </cell>
          <cell r="L148" t="str">
            <v>Part currently bitumen</v>
          </cell>
        </row>
        <row r="149">
          <cell r="A149" t="str">
            <v>RS 644</v>
          </cell>
          <cell r="B149">
            <v>466</v>
          </cell>
          <cell r="C149" t="str">
            <v>C</v>
          </cell>
          <cell r="D149" t="str">
            <v>T</v>
          </cell>
          <cell r="E149" t="str">
            <v>Kazembe - Ntcheu (junction M1)</v>
          </cell>
          <cell r="F149" t="str">
            <v>S134</v>
          </cell>
          <cell r="G149">
            <v>8</v>
          </cell>
          <cell r="H149">
            <v>9</v>
          </cell>
          <cell r="I149" t="str">
            <v>FL</v>
          </cell>
          <cell r="J149" t="str">
            <v>NTCHEU</v>
          </cell>
          <cell r="K149">
            <v>8</v>
          </cell>
          <cell r="L149" t="str">
            <v>Changed designation from T384 to S134</v>
          </cell>
        </row>
        <row r="150">
          <cell r="A150" t="str">
            <v>RS 295</v>
          </cell>
          <cell r="B150">
            <v>117</v>
          </cell>
          <cell r="C150" t="str">
            <v>C</v>
          </cell>
          <cell r="D150" t="str">
            <v>T</v>
          </cell>
          <cell r="E150" t="str">
            <v>Biriwiri (junction M1) - Kalonga</v>
          </cell>
          <cell r="F150" t="str">
            <v>S135</v>
          </cell>
          <cell r="G150">
            <v>1</v>
          </cell>
          <cell r="H150">
            <v>13.7</v>
          </cell>
          <cell r="I150" t="str">
            <v>R</v>
          </cell>
          <cell r="J150" t="str">
            <v>NTCHEU</v>
          </cell>
          <cell r="K150">
            <v>8</v>
          </cell>
          <cell r="L150" t="str">
            <v>Changed designation from S124 to S135</v>
          </cell>
        </row>
        <row r="151">
          <cell r="A151" t="str">
            <v>RS 299</v>
          </cell>
          <cell r="B151">
            <v>121</v>
          </cell>
          <cell r="C151" t="str">
            <v>C</v>
          </cell>
          <cell r="D151" t="str">
            <v>T</v>
          </cell>
          <cell r="E151" t="str">
            <v>Kalonga - Biliate</v>
          </cell>
          <cell r="F151" t="str">
            <v>S135</v>
          </cell>
          <cell r="G151">
            <v>2</v>
          </cell>
          <cell r="H151">
            <v>20.9</v>
          </cell>
          <cell r="I151" t="str">
            <v>R</v>
          </cell>
          <cell r="J151" t="str">
            <v>NTCHEU</v>
          </cell>
          <cell r="K151">
            <v>8</v>
          </cell>
          <cell r="L151" t="str">
            <v>Changed designation from S124 to S135</v>
          </cell>
        </row>
        <row r="152">
          <cell r="A152" t="str">
            <v>RS 297</v>
          </cell>
          <cell r="B152">
            <v>119</v>
          </cell>
          <cell r="C152" t="str">
            <v>C</v>
          </cell>
          <cell r="D152" t="str">
            <v>T</v>
          </cell>
          <cell r="E152" t="str">
            <v>Biliate - Doviko</v>
          </cell>
          <cell r="F152" t="str">
            <v>S135</v>
          </cell>
          <cell r="G152">
            <v>3</v>
          </cell>
          <cell r="H152">
            <v>11.2</v>
          </cell>
          <cell r="I152" t="str">
            <v>FL</v>
          </cell>
          <cell r="J152" t="str">
            <v>NTCHEU</v>
          </cell>
          <cell r="K152">
            <v>8</v>
          </cell>
          <cell r="L152" t="str">
            <v>Changed designation from S124 to S135</v>
          </cell>
        </row>
        <row r="153">
          <cell r="A153" t="str">
            <v>RS 313</v>
          </cell>
          <cell r="B153">
            <v>135</v>
          </cell>
          <cell r="C153" t="str">
            <v>C</v>
          </cell>
          <cell r="D153" t="str">
            <v>T</v>
          </cell>
          <cell r="E153" t="str">
            <v>Doviko - Chilengo</v>
          </cell>
          <cell r="F153" t="str">
            <v>S135</v>
          </cell>
          <cell r="G153">
            <v>4</v>
          </cell>
          <cell r="H153">
            <v>20.5</v>
          </cell>
          <cell r="I153" t="str">
            <v>H</v>
          </cell>
          <cell r="J153" t="str">
            <v>NTCHEU</v>
          </cell>
          <cell r="K153">
            <v>8</v>
          </cell>
        </row>
        <row r="154">
          <cell r="A154" t="str">
            <v>RS 716</v>
          </cell>
          <cell r="B154">
            <v>538</v>
          </cell>
          <cell r="C154" t="str">
            <v>S</v>
          </cell>
          <cell r="D154" t="str">
            <v>T</v>
          </cell>
          <cell r="E154" t="str">
            <v>Chilengo - Kweneza</v>
          </cell>
          <cell r="F154" t="str">
            <v>S135</v>
          </cell>
          <cell r="G154">
            <v>6</v>
          </cell>
          <cell r="H154">
            <v>10.7</v>
          </cell>
          <cell r="I154" t="str">
            <v>R</v>
          </cell>
          <cell r="J154" t="str">
            <v>MWANZA</v>
          </cell>
          <cell r="K154">
            <v>8</v>
          </cell>
          <cell r="L154" t="str">
            <v>Changed designation from T398 to S135</v>
          </cell>
        </row>
        <row r="155">
          <cell r="A155" t="str">
            <v>RS 715</v>
          </cell>
          <cell r="B155">
            <v>537</v>
          </cell>
          <cell r="C155" t="str">
            <v>S</v>
          </cell>
          <cell r="D155" t="str">
            <v>T</v>
          </cell>
          <cell r="E155" t="str">
            <v>Kweneza - Kanjiwa</v>
          </cell>
          <cell r="F155" t="str">
            <v>S135</v>
          </cell>
          <cell r="G155">
            <v>7</v>
          </cell>
          <cell r="H155">
            <v>8.4</v>
          </cell>
          <cell r="I155" t="str">
            <v>H</v>
          </cell>
          <cell r="J155" t="str">
            <v>MWANZA</v>
          </cell>
          <cell r="K155">
            <v>8</v>
          </cell>
          <cell r="L155" t="str">
            <v>Changed designation from T398 to S135</v>
          </cell>
        </row>
        <row r="156">
          <cell r="A156" t="str">
            <v>RS 365</v>
          </cell>
          <cell r="B156">
            <v>187</v>
          </cell>
          <cell r="C156" t="str">
            <v>S</v>
          </cell>
          <cell r="D156" t="str">
            <v>T</v>
          </cell>
          <cell r="E156" t="str">
            <v>Kanjiwa - Chipondeni</v>
          </cell>
          <cell r="F156" t="str">
            <v>S135</v>
          </cell>
          <cell r="G156">
            <v>8</v>
          </cell>
          <cell r="H156">
            <v>22.2</v>
          </cell>
          <cell r="I156" t="str">
            <v>H</v>
          </cell>
          <cell r="J156" t="str">
            <v>MWANZA</v>
          </cell>
          <cell r="K156">
            <v>9</v>
          </cell>
        </row>
        <row r="157">
          <cell r="A157" t="str">
            <v>RS 362</v>
          </cell>
          <cell r="B157">
            <v>184</v>
          </cell>
          <cell r="C157" t="str">
            <v>S</v>
          </cell>
          <cell r="D157" t="str">
            <v>T</v>
          </cell>
          <cell r="E157" t="str">
            <v>Chipondeni - Kunenekude</v>
          </cell>
          <cell r="F157" t="str">
            <v>S135</v>
          </cell>
          <cell r="G157">
            <v>9</v>
          </cell>
          <cell r="H157">
            <v>5.5</v>
          </cell>
          <cell r="I157" t="str">
            <v>H</v>
          </cell>
          <cell r="J157" t="str">
            <v>MWANZA</v>
          </cell>
          <cell r="K157">
            <v>9</v>
          </cell>
          <cell r="L157" t="str">
            <v>Changed designation from M15 to S128</v>
          </cell>
        </row>
        <row r="158">
          <cell r="A158" t="str">
            <v>RS 363</v>
          </cell>
          <cell r="B158">
            <v>185</v>
          </cell>
          <cell r="C158" t="str">
            <v>S</v>
          </cell>
          <cell r="D158" t="str">
            <v>T</v>
          </cell>
          <cell r="E158" t="str">
            <v>Kunenekude - Mwanza Admarc</v>
          </cell>
          <cell r="F158" t="str">
            <v>S135</v>
          </cell>
          <cell r="G158">
            <v>10</v>
          </cell>
          <cell r="H158">
            <v>12</v>
          </cell>
          <cell r="I158" t="str">
            <v>H</v>
          </cell>
          <cell r="J158" t="str">
            <v>MWANZA</v>
          </cell>
          <cell r="K158">
            <v>9</v>
          </cell>
        </row>
        <row r="159">
          <cell r="A159" t="str">
            <v>RS 364</v>
          </cell>
          <cell r="B159">
            <v>186</v>
          </cell>
          <cell r="C159" t="str">
            <v>S</v>
          </cell>
          <cell r="D159" t="str">
            <v>T</v>
          </cell>
          <cell r="E159" t="str">
            <v>Mwanza Admarc - Liwonde Village (junction M6)</v>
          </cell>
          <cell r="F159" t="str">
            <v>S135</v>
          </cell>
          <cell r="G159">
            <v>11</v>
          </cell>
          <cell r="H159">
            <v>3.8</v>
          </cell>
          <cell r="I159" t="str">
            <v>R</v>
          </cell>
          <cell r="J159" t="str">
            <v>MWANZA</v>
          </cell>
          <cell r="K159">
            <v>9</v>
          </cell>
        </row>
        <row r="160">
          <cell r="A160" t="str">
            <v>RS 367</v>
          </cell>
          <cell r="B160">
            <v>189</v>
          </cell>
          <cell r="C160" t="str">
            <v>S</v>
          </cell>
          <cell r="D160" t="str">
            <v>T</v>
          </cell>
          <cell r="E160" t="str">
            <v>Mwanza (junction M6) - Chimulango</v>
          </cell>
          <cell r="F160" t="str">
            <v>S136</v>
          </cell>
          <cell r="G160">
            <v>1</v>
          </cell>
          <cell r="H160">
            <v>10.7</v>
          </cell>
          <cell r="I160" t="str">
            <v>R</v>
          </cell>
          <cell r="J160" t="str">
            <v>MWANZA</v>
          </cell>
          <cell r="K160">
            <v>9</v>
          </cell>
        </row>
        <row r="161">
          <cell r="A161" t="str">
            <v>RS 374</v>
          </cell>
          <cell r="B161">
            <v>196</v>
          </cell>
          <cell r="C161" t="str">
            <v>S</v>
          </cell>
          <cell r="D161" t="str">
            <v>T</v>
          </cell>
          <cell r="E161" t="str">
            <v>Chimulango - Chikoleka</v>
          </cell>
          <cell r="F161" t="str">
            <v>S136</v>
          </cell>
          <cell r="G161">
            <v>2</v>
          </cell>
          <cell r="H161">
            <v>5.9</v>
          </cell>
          <cell r="I161" t="str">
            <v>R</v>
          </cell>
          <cell r="J161" t="str">
            <v>MWANZA</v>
          </cell>
          <cell r="K161">
            <v>9</v>
          </cell>
          <cell r="L161" t="str">
            <v>Changed designation from S142 to S139</v>
          </cell>
        </row>
        <row r="162">
          <cell r="A162" t="str">
            <v>RS 372</v>
          </cell>
          <cell r="B162">
            <v>194</v>
          </cell>
          <cell r="C162" t="str">
            <v>S</v>
          </cell>
          <cell r="D162" t="str">
            <v>T</v>
          </cell>
          <cell r="E162" t="str">
            <v>Chikoleka - Thambani</v>
          </cell>
          <cell r="F162" t="str">
            <v>S136</v>
          </cell>
          <cell r="G162">
            <v>3</v>
          </cell>
          <cell r="H162">
            <v>6.6</v>
          </cell>
          <cell r="I162" t="str">
            <v>H</v>
          </cell>
          <cell r="J162" t="str">
            <v>MWANZA</v>
          </cell>
          <cell r="K162">
            <v>9</v>
          </cell>
        </row>
        <row r="163">
          <cell r="A163" t="str">
            <v>RS 370</v>
          </cell>
          <cell r="B163">
            <v>192</v>
          </cell>
          <cell r="C163" t="str">
            <v>S</v>
          </cell>
          <cell r="D163" t="str">
            <v>T</v>
          </cell>
          <cell r="E163" t="str">
            <v>Thambani - Ngoma River</v>
          </cell>
          <cell r="F163" t="str">
            <v>S136</v>
          </cell>
          <cell r="G163">
            <v>4</v>
          </cell>
          <cell r="H163">
            <v>7.5</v>
          </cell>
          <cell r="I163" t="str">
            <v>R</v>
          </cell>
          <cell r="J163" t="str">
            <v>MWANZA</v>
          </cell>
          <cell r="K163">
            <v>9</v>
          </cell>
        </row>
        <row r="164">
          <cell r="A164" t="str">
            <v>RS 371</v>
          </cell>
          <cell r="B164">
            <v>193</v>
          </cell>
          <cell r="C164" t="str">
            <v>S</v>
          </cell>
          <cell r="D164" t="str">
            <v>T</v>
          </cell>
          <cell r="E164" t="str">
            <v>Ngoma River - Changoima</v>
          </cell>
          <cell r="F164" t="str">
            <v>S136</v>
          </cell>
          <cell r="G164">
            <v>5</v>
          </cell>
          <cell r="H164">
            <v>10.9</v>
          </cell>
          <cell r="I164" t="str">
            <v>FL</v>
          </cell>
          <cell r="J164" t="str">
            <v>CHIKWAWA</v>
          </cell>
          <cell r="K164">
            <v>9</v>
          </cell>
        </row>
        <row r="165">
          <cell r="A165" t="str">
            <v>RS 376</v>
          </cell>
          <cell r="B165">
            <v>198</v>
          </cell>
          <cell r="C165" t="str">
            <v>S</v>
          </cell>
          <cell r="D165" t="str">
            <v>T</v>
          </cell>
          <cell r="E165" t="str">
            <v>Changoima - Balalika</v>
          </cell>
          <cell r="F165" t="str">
            <v>S136</v>
          </cell>
          <cell r="G165">
            <v>6</v>
          </cell>
          <cell r="H165">
            <v>9.1</v>
          </cell>
          <cell r="I165" t="str">
            <v>R</v>
          </cell>
          <cell r="J165" t="str">
            <v>CHIKWAWA</v>
          </cell>
          <cell r="K165">
            <v>9</v>
          </cell>
          <cell r="L165" t="str">
            <v>Changed from feeder to trunk as bitumen road</v>
          </cell>
        </row>
        <row r="166">
          <cell r="A166" t="str">
            <v>RS 369</v>
          </cell>
          <cell r="B166">
            <v>191</v>
          </cell>
          <cell r="C166" t="str">
            <v>S</v>
          </cell>
          <cell r="D166" t="str">
            <v>T</v>
          </cell>
          <cell r="E166" t="str">
            <v>Balalika - Mwanza River</v>
          </cell>
          <cell r="F166" t="str">
            <v>S136</v>
          </cell>
          <cell r="G166">
            <v>7</v>
          </cell>
          <cell r="H166">
            <v>10.4</v>
          </cell>
          <cell r="I166" t="str">
            <v>R</v>
          </cell>
          <cell r="J166" t="str">
            <v>CHIKWAWA</v>
          </cell>
          <cell r="K166">
            <v>9</v>
          </cell>
          <cell r="L166" t="str">
            <v>Changed designation from S116 to T334. Changed to trunk</v>
          </cell>
        </row>
        <row r="167">
          <cell r="A167" t="str">
            <v>RS 377</v>
          </cell>
          <cell r="B167">
            <v>199</v>
          </cell>
          <cell r="C167" t="str">
            <v>S</v>
          </cell>
          <cell r="D167" t="str">
            <v>T</v>
          </cell>
          <cell r="E167" t="str">
            <v>Mwanza River - Nkhongono</v>
          </cell>
          <cell r="F167" t="str">
            <v>S136</v>
          </cell>
          <cell r="G167">
            <v>8</v>
          </cell>
          <cell r="H167">
            <v>16.399999999999999</v>
          </cell>
          <cell r="I167" t="str">
            <v>F</v>
          </cell>
          <cell r="J167" t="str">
            <v>CHIKWAWA</v>
          </cell>
          <cell r="K167">
            <v>9</v>
          </cell>
        </row>
        <row r="168">
          <cell r="A168" t="str">
            <v>RS 366</v>
          </cell>
          <cell r="B168">
            <v>188</v>
          </cell>
          <cell r="C168" t="str">
            <v>S</v>
          </cell>
          <cell r="D168" t="str">
            <v>T</v>
          </cell>
          <cell r="E168" t="str">
            <v>Nkhongono - Fombe</v>
          </cell>
          <cell r="F168" t="str">
            <v>S136</v>
          </cell>
          <cell r="G168">
            <v>9</v>
          </cell>
          <cell r="H168">
            <v>10.8</v>
          </cell>
          <cell r="I168" t="str">
            <v>R</v>
          </cell>
          <cell r="J168" t="str">
            <v>CHIKWAWA</v>
          </cell>
          <cell r="K168">
            <v>9</v>
          </cell>
          <cell r="L168" t="str">
            <v>Changed designation from D232 to T387</v>
          </cell>
        </row>
        <row r="169">
          <cell r="A169" t="str">
            <v>RS 378</v>
          </cell>
          <cell r="B169">
            <v>200</v>
          </cell>
          <cell r="C169" t="str">
            <v>S</v>
          </cell>
          <cell r="D169" t="str">
            <v>T</v>
          </cell>
          <cell r="E169" t="str">
            <v>Fombe - Chikwawa (junction T416)</v>
          </cell>
          <cell r="F169" t="str">
            <v>S136</v>
          </cell>
          <cell r="G169">
            <v>10</v>
          </cell>
          <cell r="H169">
            <v>8</v>
          </cell>
          <cell r="I169" t="str">
            <v>P</v>
          </cell>
          <cell r="J169" t="str">
            <v>CHIKWAWA</v>
          </cell>
          <cell r="K169">
            <v>9</v>
          </cell>
          <cell r="L169" t="str">
            <v>Changed designation from D232 to T387</v>
          </cell>
        </row>
        <row r="170">
          <cell r="A170" t="str">
            <v>RS 379</v>
          </cell>
          <cell r="B170">
            <v>201</v>
          </cell>
          <cell r="C170" t="str">
            <v>S</v>
          </cell>
          <cell r="D170" t="str">
            <v>T</v>
          </cell>
          <cell r="E170" t="str">
            <v>Moffati (junction M6) - Feremu</v>
          </cell>
          <cell r="F170" t="str">
            <v>S137</v>
          </cell>
          <cell r="G170">
            <v>1</v>
          </cell>
          <cell r="H170">
            <v>10.1</v>
          </cell>
          <cell r="I170" t="str">
            <v>R</v>
          </cell>
          <cell r="J170" t="str">
            <v>MWANZA</v>
          </cell>
          <cell r="K170">
            <v>9</v>
          </cell>
        </row>
        <row r="171">
          <cell r="A171" t="str">
            <v>RS 380</v>
          </cell>
          <cell r="B171">
            <v>202</v>
          </cell>
          <cell r="C171" t="str">
            <v>S</v>
          </cell>
          <cell r="D171" t="str">
            <v>T</v>
          </cell>
          <cell r="E171" t="str">
            <v>Feremu - Mpatamanga Gorge</v>
          </cell>
          <cell r="F171" t="str">
            <v>S137</v>
          </cell>
          <cell r="G171">
            <v>2</v>
          </cell>
          <cell r="H171">
            <v>14.7</v>
          </cell>
          <cell r="I171" t="str">
            <v>R</v>
          </cell>
          <cell r="J171" t="str">
            <v>MWANZA</v>
          </cell>
          <cell r="K171">
            <v>9</v>
          </cell>
        </row>
        <row r="172">
          <cell r="A172" t="str">
            <v>RS 381</v>
          </cell>
          <cell r="B172">
            <v>203</v>
          </cell>
          <cell r="C172" t="str">
            <v>S</v>
          </cell>
          <cell r="D172" t="str">
            <v>T</v>
          </cell>
          <cell r="E172" t="str">
            <v>Mpatamanga Gorge - Kaliati</v>
          </cell>
          <cell r="F172" t="str">
            <v>S137</v>
          </cell>
          <cell r="G172">
            <v>3</v>
          </cell>
          <cell r="H172">
            <v>14.3</v>
          </cell>
          <cell r="I172" t="str">
            <v>R</v>
          </cell>
          <cell r="J172" t="str">
            <v>BLANTYRE</v>
          </cell>
          <cell r="K172">
            <v>9</v>
          </cell>
        </row>
        <row r="173">
          <cell r="A173" t="str">
            <v>RS 383</v>
          </cell>
          <cell r="B173">
            <v>205</v>
          </cell>
          <cell r="C173" t="str">
            <v>S</v>
          </cell>
          <cell r="D173" t="str">
            <v>T</v>
          </cell>
          <cell r="E173" t="str">
            <v>Kaliati - Kunthembwe</v>
          </cell>
          <cell r="F173" t="str">
            <v>S137</v>
          </cell>
          <cell r="G173">
            <v>4</v>
          </cell>
          <cell r="H173">
            <v>8.6999999999999993</v>
          </cell>
          <cell r="I173" t="str">
            <v>R</v>
          </cell>
          <cell r="J173" t="str">
            <v>BLANTYRE</v>
          </cell>
          <cell r="K173">
            <v>9</v>
          </cell>
        </row>
        <row r="174">
          <cell r="A174" t="str">
            <v>RS 384</v>
          </cell>
          <cell r="B174">
            <v>206</v>
          </cell>
          <cell r="C174" t="str">
            <v>S</v>
          </cell>
          <cell r="D174" t="str">
            <v>T</v>
          </cell>
          <cell r="E174" t="str">
            <v>Kunthembwe - Chileka Airport</v>
          </cell>
          <cell r="F174" t="str">
            <v>S137</v>
          </cell>
          <cell r="G174">
            <v>5</v>
          </cell>
          <cell r="H174">
            <v>13.2</v>
          </cell>
          <cell r="I174" t="str">
            <v>F</v>
          </cell>
          <cell r="J174" t="str">
            <v>BLANTYRE</v>
          </cell>
          <cell r="K174">
            <v>9</v>
          </cell>
        </row>
        <row r="175">
          <cell r="A175" t="str">
            <v>RS 387</v>
          </cell>
          <cell r="B175">
            <v>209</v>
          </cell>
          <cell r="C175" t="str">
            <v>S</v>
          </cell>
          <cell r="D175" t="str">
            <v>T</v>
          </cell>
          <cell r="E175" t="str">
            <v>Sanama (junction S137) - Mtengowambalame</v>
          </cell>
          <cell r="F175" t="str">
            <v>S138</v>
          </cell>
          <cell r="G175">
            <v>1</v>
          </cell>
          <cell r="H175">
            <v>5.5</v>
          </cell>
          <cell r="I175" t="str">
            <v>R</v>
          </cell>
          <cell r="J175" t="str">
            <v>BLANTYRE</v>
          </cell>
          <cell r="K175">
            <v>9</v>
          </cell>
          <cell r="L175">
            <v>0</v>
          </cell>
        </row>
        <row r="176">
          <cell r="A176" t="str">
            <v>RS 385</v>
          </cell>
          <cell r="B176">
            <v>207</v>
          </cell>
          <cell r="C176" t="str">
            <v>S</v>
          </cell>
          <cell r="D176" t="str">
            <v>T</v>
          </cell>
          <cell r="E176" t="str">
            <v>Mtengowambalame - Nkula</v>
          </cell>
          <cell r="F176" t="str">
            <v>S138</v>
          </cell>
          <cell r="G176">
            <v>2</v>
          </cell>
          <cell r="H176">
            <v>16.399999999999999</v>
          </cell>
          <cell r="I176" t="str">
            <v>R</v>
          </cell>
          <cell r="J176" t="str">
            <v>BLANTYRE</v>
          </cell>
          <cell r="K176">
            <v>9</v>
          </cell>
          <cell r="L176" t="str">
            <v>Name changed from Kwacha Rd - Marhattma</v>
          </cell>
        </row>
        <row r="177">
          <cell r="A177" t="str">
            <v>RS 386</v>
          </cell>
          <cell r="B177">
            <v>208</v>
          </cell>
          <cell r="C177" t="str">
            <v>S</v>
          </cell>
          <cell r="D177" t="str">
            <v>T</v>
          </cell>
          <cell r="E177" t="str">
            <v>Nkula - Tedzani</v>
          </cell>
          <cell r="F177" t="str">
            <v>S138</v>
          </cell>
          <cell r="G177">
            <v>3</v>
          </cell>
          <cell r="H177">
            <v>10.199999999999999</v>
          </cell>
          <cell r="I177" t="str">
            <v>R</v>
          </cell>
          <cell r="J177" t="str">
            <v>BLANTYRE</v>
          </cell>
          <cell r="K177">
            <v>9</v>
          </cell>
          <cell r="L177" t="str">
            <v>Name modified by City Council</v>
          </cell>
        </row>
        <row r="178">
          <cell r="A178" t="str">
            <v>RS 388</v>
          </cell>
          <cell r="B178">
            <v>210</v>
          </cell>
          <cell r="C178" t="str">
            <v>S</v>
          </cell>
          <cell r="D178" t="str">
            <v>T</v>
          </cell>
          <cell r="E178" t="str">
            <v>Lirangwe (junction M1) - Namatumu railway crossing</v>
          </cell>
          <cell r="F178" t="str">
            <v>S139</v>
          </cell>
          <cell r="G178">
            <v>1</v>
          </cell>
          <cell r="H178">
            <v>13.1</v>
          </cell>
          <cell r="I178" t="str">
            <v>R</v>
          </cell>
          <cell r="J178" t="str">
            <v>BLANTYRE</v>
          </cell>
          <cell r="K178">
            <v>9</v>
          </cell>
          <cell r="L178" t="str">
            <v>Name modified</v>
          </cell>
        </row>
        <row r="179">
          <cell r="A179" t="str">
            <v>RS 337</v>
          </cell>
          <cell r="B179">
            <v>159</v>
          </cell>
          <cell r="C179" t="str">
            <v>S</v>
          </cell>
          <cell r="D179" t="str">
            <v>T</v>
          </cell>
          <cell r="E179" t="str">
            <v>Kasangale - Koloti River</v>
          </cell>
          <cell r="F179" t="str">
            <v>S139</v>
          </cell>
          <cell r="G179">
            <v>2</v>
          </cell>
          <cell r="H179">
            <v>19.8</v>
          </cell>
          <cell r="I179" t="str">
            <v>R</v>
          </cell>
          <cell r="J179" t="str">
            <v>ZOMBA</v>
          </cell>
          <cell r="K179">
            <v>9</v>
          </cell>
          <cell r="L179" t="str">
            <v>Changed designation from S129 to S139</v>
          </cell>
        </row>
        <row r="180">
          <cell r="A180" t="str">
            <v>RS 343</v>
          </cell>
          <cell r="B180">
            <v>165</v>
          </cell>
          <cell r="C180" t="str">
            <v>S</v>
          </cell>
          <cell r="D180" t="str">
            <v>T</v>
          </cell>
          <cell r="E180" t="str">
            <v>Koloti River - Chikwenga</v>
          </cell>
          <cell r="F180" t="str">
            <v>S139</v>
          </cell>
          <cell r="G180">
            <v>3</v>
          </cell>
          <cell r="H180">
            <v>5.0999999999999996</v>
          </cell>
          <cell r="I180" t="str">
            <v>R</v>
          </cell>
          <cell r="J180" t="str">
            <v>ZOMBA</v>
          </cell>
          <cell r="K180">
            <v>9</v>
          </cell>
          <cell r="L180" t="str">
            <v>name changed from HHI - David Whitehead Via Ndirande Market</v>
          </cell>
        </row>
        <row r="181">
          <cell r="A181" t="str">
            <v>RS 339</v>
          </cell>
          <cell r="B181">
            <v>161</v>
          </cell>
          <cell r="C181" t="str">
            <v>S</v>
          </cell>
          <cell r="D181" t="str">
            <v>T</v>
          </cell>
          <cell r="E181" t="str">
            <v>Changalume - Kaunde</v>
          </cell>
          <cell r="F181" t="str">
            <v>S139</v>
          </cell>
          <cell r="G181">
            <v>4</v>
          </cell>
          <cell r="H181">
            <v>3.4</v>
          </cell>
          <cell r="I181" t="str">
            <v>R</v>
          </cell>
          <cell r="J181" t="str">
            <v>ZOMBA</v>
          </cell>
          <cell r="K181">
            <v>9</v>
          </cell>
          <cell r="L181" t="str">
            <v>Changed designation from S129 to S139</v>
          </cell>
        </row>
        <row r="182">
          <cell r="A182" t="str">
            <v>RS 389</v>
          </cell>
          <cell r="B182">
            <v>211</v>
          </cell>
          <cell r="C182" t="str">
            <v>S</v>
          </cell>
          <cell r="D182" t="str">
            <v>T</v>
          </cell>
          <cell r="E182" t="str">
            <v>Likangala River - Kuntiya</v>
          </cell>
          <cell r="F182" t="str">
            <v>S139</v>
          </cell>
          <cell r="G182">
            <v>5</v>
          </cell>
          <cell r="H182">
            <v>5.8</v>
          </cell>
          <cell r="I182" t="str">
            <v>R</v>
          </cell>
          <cell r="J182" t="str">
            <v>ZOMBA</v>
          </cell>
          <cell r="K182">
            <v>9</v>
          </cell>
          <cell r="L182" t="str">
            <v>Changed designation from S142 to S139</v>
          </cell>
        </row>
        <row r="183">
          <cell r="A183" t="str">
            <v>RS 390</v>
          </cell>
          <cell r="B183">
            <v>212</v>
          </cell>
          <cell r="C183" t="str">
            <v>S</v>
          </cell>
          <cell r="D183" t="str">
            <v>T</v>
          </cell>
          <cell r="E183" t="str">
            <v>Likangala River - Nkoloma</v>
          </cell>
          <cell r="F183" t="str">
            <v>S142</v>
          </cell>
          <cell r="G183">
            <v>1</v>
          </cell>
          <cell r="H183">
            <v>8.1999999999999993</v>
          </cell>
          <cell r="I183" t="str">
            <v>R</v>
          </cell>
          <cell r="J183" t="str">
            <v>ZOMBA</v>
          </cell>
          <cell r="K183">
            <v>9</v>
          </cell>
        </row>
        <row r="184">
          <cell r="A184" t="str">
            <v>RS 394</v>
          </cell>
          <cell r="B184">
            <v>216</v>
          </cell>
          <cell r="C184" t="str">
            <v>S</v>
          </cell>
          <cell r="D184" t="str">
            <v>T</v>
          </cell>
          <cell r="E184" t="str">
            <v>Ndege (Air Wing) - Mpyupyu T.C.</v>
          </cell>
          <cell r="F184" t="str">
            <v>S143</v>
          </cell>
          <cell r="G184">
            <v>2</v>
          </cell>
          <cell r="H184">
            <v>14.1</v>
          </cell>
          <cell r="I184" t="str">
            <v>F</v>
          </cell>
          <cell r="J184" t="str">
            <v>ZOMBA</v>
          </cell>
          <cell r="K184">
            <v>9</v>
          </cell>
        </row>
        <row r="185">
          <cell r="A185" t="str">
            <v>RS 392</v>
          </cell>
          <cell r="B185">
            <v>214</v>
          </cell>
          <cell r="C185" t="str">
            <v>S</v>
          </cell>
          <cell r="D185" t="str">
            <v>T</v>
          </cell>
          <cell r="E185" t="str">
            <v>Mpyupyu T.C. - Kachulu Habour</v>
          </cell>
          <cell r="F185" t="str">
            <v>S143</v>
          </cell>
          <cell r="G185">
            <v>3</v>
          </cell>
          <cell r="H185">
            <v>9.4</v>
          </cell>
          <cell r="I185" t="str">
            <v>F</v>
          </cell>
          <cell r="J185" t="str">
            <v>ZOMBA</v>
          </cell>
          <cell r="K185">
            <v>9</v>
          </cell>
        </row>
        <row r="186">
          <cell r="A186" t="str">
            <v>RS 398</v>
          </cell>
          <cell r="B186">
            <v>220</v>
          </cell>
          <cell r="C186" t="str">
            <v>S</v>
          </cell>
          <cell r="D186" t="str">
            <v>T</v>
          </cell>
          <cell r="E186" t="str">
            <v>Ndege (junction S143) - Jali</v>
          </cell>
          <cell r="F186" t="str">
            <v>S144</v>
          </cell>
          <cell r="G186">
            <v>1</v>
          </cell>
          <cell r="H186">
            <v>16.899999999999999</v>
          </cell>
          <cell r="I186" t="str">
            <v>F</v>
          </cell>
          <cell r="J186" t="str">
            <v>ZOMBA</v>
          </cell>
          <cell r="K186">
            <v>9</v>
          </cell>
        </row>
        <row r="187">
          <cell r="A187" t="str">
            <v>RS 397</v>
          </cell>
          <cell r="B187">
            <v>219</v>
          </cell>
          <cell r="C187" t="str">
            <v>S</v>
          </cell>
          <cell r="D187" t="str">
            <v>T</v>
          </cell>
          <cell r="E187" t="str">
            <v>Jali - Namadzi River (Mlamwa)</v>
          </cell>
          <cell r="F187" t="str">
            <v>S144</v>
          </cell>
          <cell r="G187">
            <v>2</v>
          </cell>
          <cell r="H187">
            <v>15.8</v>
          </cell>
          <cell r="I187" t="str">
            <v>F</v>
          </cell>
          <cell r="J187" t="str">
            <v>ZOMBA</v>
          </cell>
          <cell r="K187">
            <v>9</v>
          </cell>
        </row>
        <row r="188">
          <cell r="A188" t="str">
            <v>RS 395</v>
          </cell>
          <cell r="B188">
            <v>217</v>
          </cell>
          <cell r="C188" t="str">
            <v>S</v>
          </cell>
          <cell r="D188" t="str">
            <v>T</v>
          </cell>
          <cell r="E188" t="str">
            <v>Namadzi River (Mlamwa) - Mumbuwa</v>
          </cell>
          <cell r="F188" t="str">
            <v>S144</v>
          </cell>
          <cell r="G188">
            <v>3</v>
          </cell>
          <cell r="H188">
            <v>8.8000000000000007</v>
          </cell>
          <cell r="I188" t="str">
            <v>F</v>
          </cell>
          <cell r="J188" t="str">
            <v>ZOMBA</v>
          </cell>
          <cell r="K188">
            <v>9</v>
          </cell>
        </row>
        <row r="189">
          <cell r="A189" t="str">
            <v>RS 396</v>
          </cell>
          <cell r="B189">
            <v>218</v>
          </cell>
          <cell r="C189" t="str">
            <v>S</v>
          </cell>
          <cell r="D189" t="str">
            <v>T</v>
          </cell>
          <cell r="E189" t="str">
            <v>Mumbuwa - Phalombe (junction S147)</v>
          </cell>
          <cell r="F189" t="str">
            <v>S144</v>
          </cell>
          <cell r="G189">
            <v>4</v>
          </cell>
          <cell r="H189">
            <v>23.6</v>
          </cell>
          <cell r="I189" t="str">
            <v>F</v>
          </cell>
          <cell r="J189" t="str">
            <v>PHALOMBE</v>
          </cell>
          <cell r="K189">
            <v>9</v>
          </cell>
          <cell r="L189" t="str">
            <v xml:space="preserve">Length changed </v>
          </cell>
        </row>
        <row r="190">
          <cell r="A190" t="str">
            <v>RS 401</v>
          </cell>
          <cell r="B190">
            <v>223</v>
          </cell>
          <cell r="C190" t="str">
            <v>S</v>
          </cell>
          <cell r="D190" t="str">
            <v>T</v>
          </cell>
          <cell r="E190" t="str">
            <v>Mikochi - Malangalanga River</v>
          </cell>
          <cell r="F190" t="str">
            <v>S145</v>
          </cell>
          <cell r="G190">
            <v>1</v>
          </cell>
          <cell r="H190">
            <v>4.4000000000000004</v>
          </cell>
          <cell r="I190" t="str">
            <v>R</v>
          </cell>
          <cell r="J190" t="str">
            <v>CHIRADZULU</v>
          </cell>
          <cell r="K190">
            <v>9</v>
          </cell>
          <cell r="L190" t="str">
            <v>New section part of origional RS 148</v>
          </cell>
        </row>
        <row r="191">
          <cell r="A191" t="str">
            <v>RS 405</v>
          </cell>
          <cell r="B191">
            <v>227</v>
          </cell>
          <cell r="C191" t="str">
            <v>S</v>
          </cell>
          <cell r="D191" t="str">
            <v>T</v>
          </cell>
          <cell r="E191" t="str">
            <v>Malangalanga River - Milepa</v>
          </cell>
          <cell r="F191" t="str">
            <v>S145</v>
          </cell>
          <cell r="G191">
            <v>2</v>
          </cell>
          <cell r="H191">
            <v>11.5</v>
          </cell>
          <cell r="I191" t="str">
            <v>F</v>
          </cell>
          <cell r="J191" t="str">
            <v>CHIRADZULU</v>
          </cell>
          <cell r="K191">
            <v>9</v>
          </cell>
        </row>
        <row r="192">
          <cell r="A192" t="str">
            <v>RS 402</v>
          </cell>
          <cell r="B192">
            <v>224</v>
          </cell>
          <cell r="C192" t="str">
            <v>S</v>
          </cell>
          <cell r="D192" t="str">
            <v>T</v>
          </cell>
          <cell r="E192" t="str">
            <v>Milepa - Sangawa</v>
          </cell>
          <cell r="F192" t="str">
            <v>S145</v>
          </cell>
          <cell r="G192">
            <v>3</v>
          </cell>
          <cell r="H192">
            <v>3</v>
          </cell>
          <cell r="I192" t="str">
            <v>F</v>
          </cell>
          <cell r="J192" t="str">
            <v>CHIRADZULU</v>
          </cell>
          <cell r="K192">
            <v>9</v>
          </cell>
        </row>
        <row r="193">
          <cell r="A193" t="str">
            <v>RS 404</v>
          </cell>
          <cell r="B193">
            <v>226</v>
          </cell>
          <cell r="C193" t="str">
            <v>S</v>
          </cell>
          <cell r="D193" t="str">
            <v>T</v>
          </cell>
          <cell r="E193" t="str">
            <v>Sangawa - Phalombe River</v>
          </cell>
          <cell r="F193" t="str">
            <v>S145</v>
          </cell>
          <cell r="G193">
            <v>4</v>
          </cell>
          <cell r="H193">
            <v>18.899999999999999</v>
          </cell>
          <cell r="I193" t="str">
            <v>F</v>
          </cell>
          <cell r="J193" t="str">
            <v>PHALOMBE</v>
          </cell>
          <cell r="K193">
            <v>9</v>
          </cell>
        </row>
        <row r="194">
          <cell r="A194" t="str">
            <v>RS 403</v>
          </cell>
          <cell r="B194">
            <v>225</v>
          </cell>
          <cell r="C194" t="str">
            <v>S</v>
          </cell>
          <cell r="D194" t="str">
            <v>T</v>
          </cell>
          <cell r="E194" t="str">
            <v>Phalombe River - Namangani</v>
          </cell>
          <cell r="F194" t="str">
            <v>S145</v>
          </cell>
          <cell r="G194">
            <v>5</v>
          </cell>
          <cell r="H194">
            <v>10.3</v>
          </cell>
          <cell r="I194" t="str">
            <v>R</v>
          </cell>
          <cell r="J194" t="str">
            <v>PHALOMBE</v>
          </cell>
          <cell r="K194">
            <v>9</v>
          </cell>
          <cell r="L194" t="str">
            <v>Changed designation from T394 to T395</v>
          </cell>
        </row>
        <row r="195">
          <cell r="A195" t="str">
            <v>RS 400</v>
          </cell>
          <cell r="B195">
            <v>222</v>
          </cell>
          <cell r="C195" t="str">
            <v>S</v>
          </cell>
          <cell r="D195" t="str">
            <v>T</v>
          </cell>
          <cell r="E195" t="str">
            <v>Namangani - Holo</v>
          </cell>
          <cell r="F195" t="str">
            <v>S145</v>
          </cell>
          <cell r="G195">
            <v>6</v>
          </cell>
          <cell r="H195">
            <v>7.3</v>
          </cell>
          <cell r="I195" t="str">
            <v>F</v>
          </cell>
          <cell r="J195" t="str">
            <v>PHALOMBE</v>
          </cell>
          <cell r="K195">
            <v>9</v>
          </cell>
          <cell r="L195" t="str">
            <v>Changed designation from T394 to T395</v>
          </cell>
        </row>
        <row r="196">
          <cell r="A196" t="str">
            <v>RS 399</v>
          </cell>
          <cell r="B196">
            <v>221</v>
          </cell>
          <cell r="C196" t="str">
            <v>S</v>
          </cell>
          <cell r="D196" t="str">
            <v>T</v>
          </cell>
          <cell r="E196" t="str">
            <v>Holo - Kalinde (junction S147)</v>
          </cell>
          <cell r="F196" t="str">
            <v>S145</v>
          </cell>
          <cell r="G196">
            <v>7</v>
          </cell>
          <cell r="H196">
            <v>10.4</v>
          </cell>
          <cell r="I196" t="str">
            <v>F</v>
          </cell>
          <cell r="J196" t="str">
            <v>PHALOMBE</v>
          </cell>
          <cell r="K196">
            <v>9</v>
          </cell>
          <cell r="L196" t="str">
            <v>Changed from T372 to Urban, to Trunk &amp; to Kepiri</v>
          </cell>
        </row>
        <row r="197">
          <cell r="A197" t="str">
            <v>RS 409</v>
          </cell>
          <cell r="B197">
            <v>231</v>
          </cell>
          <cell r="C197" t="str">
            <v>S</v>
          </cell>
          <cell r="D197" t="str">
            <v>T</v>
          </cell>
          <cell r="E197" t="str">
            <v>Mbulumbuzi (junction M3) - Mikochi</v>
          </cell>
          <cell r="F197" t="str">
            <v>S146</v>
          </cell>
          <cell r="G197">
            <v>1</v>
          </cell>
          <cell r="H197">
            <v>8.5</v>
          </cell>
          <cell r="I197" t="str">
            <v>R</v>
          </cell>
          <cell r="J197" t="str">
            <v>CHIRADZULU</v>
          </cell>
          <cell r="K197">
            <v>9</v>
          </cell>
          <cell r="L197" t="str">
            <v>Changed designation from T394 to T395</v>
          </cell>
        </row>
        <row r="198">
          <cell r="A198" t="str">
            <v>RS 408</v>
          </cell>
          <cell r="B198">
            <v>230</v>
          </cell>
          <cell r="C198" t="str">
            <v>S</v>
          </cell>
          <cell r="D198" t="str">
            <v>T</v>
          </cell>
          <cell r="E198" t="str">
            <v>Mikochi - Chiradzulu</v>
          </cell>
          <cell r="F198" t="str">
            <v>S146</v>
          </cell>
          <cell r="G198">
            <v>2</v>
          </cell>
          <cell r="H198">
            <v>2.5</v>
          </cell>
          <cell r="I198" t="str">
            <v>R</v>
          </cell>
          <cell r="J198" t="str">
            <v>CHIRADZULU</v>
          </cell>
          <cell r="K198">
            <v>9</v>
          </cell>
          <cell r="L198" t="str">
            <v>Changed designation from T394 to T395</v>
          </cell>
        </row>
        <row r="199">
          <cell r="A199" t="str">
            <v>RS 418</v>
          </cell>
          <cell r="B199">
            <v>240</v>
          </cell>
          <cell r="C199" t="str">
            <v>S</v>
          </cell>
          <cell r="D199" t="str">
            <v>T</v>
          </cell>
          <cell r="E199" t="str">
            <v>Mandawala - Nambazo</v>
          </cell>
          <cell r="F199" t="str">
            <v>S147</v>
          </cell>
          <cell r="G199">
            <v>1</v>
          </cell>
          <cell r="H199">
            <v>4.0999999999999996</v>
          </cell>
          <cell r="I199" t="str">
            <v>F</v>
          </cell>
          <cell r="J199" t="str">
            <v>MULANJE</v>
          </cell>
          <cell r="K199">
            <v>9</v>
          </cell>
        </row>
        <row r="200">
          <cell r="A200" t="str">
            <v>RS 416</v>
          </cell>
          <cell r="B200">
            <v>238</v>
          </cell>
          <cell r="C200" t="str">
            <v>S</v>
          </cell>
          <cell r="D200" t="str">
            <v>T</v>
          </cell>
          <cell r="E200" t="str">
            <v>Nambazo - Nambera</v>
          </cell>
          <cell r="F200" t="str">
            <v>S147</v>
          </cell>
          <cell r="G200">
            <v>2</v>
          </cell>
          <cell r="H200">
            <v>10.9</v>
          </cell>
          <cell r="I200" t="str">
            <v>F</v>
          </cell>
          <cell r="J200" t="str">
            <v>PHALOMBE</v>
          </cell>
          <cell r="K200">
            <v>9</v>
          </cell>
        </row>
        <row r="201">
          <cell r="A201" t="str">
            <v>RS 414</v>
          </cell>
          <cell r="B201">
            <v>236</v>
          </cell>
          <cell r="C201" t="str">
            <v>S</v>
          </cell>
          <cell r="D201" t="str">
            <v>T</v>
          </cell>
          <cell r="E201" t="str">
            <v>Nambera - Kalinde</v>
          </cell>
          <cell r="F201" t="str">
            <v>S147</v>
          </cell>
          <cell r="G201">
            <v>3</v>
          </cell>
          <cell r="H201">
            <v>6.2</v>
          </cell>
          <cell r="I201" t="str">
            <v>F</v>
          </cell>
          <cell r="J201" t="str">
            <v>PHALOMBE</v>
          </cell>
          <cell r="K201">
            <v>9</v>
          </cell>
        </row>
        <row r="202">
          <cell r="A202" t="str">
            <v>RS 412</v>
          </cell>
          <cell r="B202">
            <v>234</v>
          </cell>
          <cell r="C202" t="str">
            <v>S</v>
          </cell>
          <cell r="D202" t="str">
            <v>T</v>
          </cell>
          <cell r="E202" t="str">
            <v>Kalinde - Singano</v>
          </cell>
          <cell r="F202" t="str">
            <v>S147</v>
          </cell>
          <cell r="G202">
            <v>4</v>
          </cell>
          <cell r="H202">
            <v>5</v>
          </cell>
          <cell r="I202" t="str">
            <v>F</v>
          </cell>
          <cell r="J202" t="str">
            <v>PHALOMBE</v>
          </cell>
          <cell r="K202">
            <v>9</v>
          </cell>
        </row>
        <row r="203">
          <cell r="A203" t="str">
            <v>RS 419</v>
          </cell>
          <cell r="B203">
            <v>241</v>
          </cell>
          <cell r="C203" t="str">
            <v>S</v>
          </cell>
          <cell r="D203" t="str">
            <v>T</v>
          </cell>
          <cell r="E203" t="str">
            <v>Singano - Phalombe</v>
          </cell>
          <cell r="F203" t="str">
            <v>S147</v>
          </cell>
          <cell r="G203">
            <v>5</v>
          </cell>
          <cell r="H203">
            <v>17.100000000000001</v>
          </cell>
          <cell r="I203" t="str">
            <v>R</v>
          </cell>
          <cell r="J203" t="str">
            <v>PHALOMBE</v>
          </cell>
          <cell r="K203">
            <v>9</v>
          </cell>
        </row>
        <row r="204">
          <cell r="A204" t="str">
            <v>RS 413</v>
          </cell>
          <cell r="B204">
            <v>235</v>
          </cell>
          <cell r="C204" t="str">
            <v>S</v>
          </cell>
          <cell r="D204" t="str">
            <v>T</v>
          </cell>
          <cell r="E204" t="str">
            <v>Bwanaisa - Thuchila River</v>
          </cell>
          <cell r="F204" t="str">
            <v>S147</v>
          </cell>
          <cell r="G204">
            <v>6</v>
          </cell>
          <cell r="H204">
            <v>10.7</v>
          </cell>
          <cell r="I204" t="str">
            <v>F</v>
          </cell>
          <cell r="J204" t="str">
            <v>PHALOMBE</v>
          </cell>
          <cell r="K204">
            <v>9</v>
          </cell>
        </row>
        <row r="205">
          <cell r="A205" t="str">
            <v>RS 415</v>
          </cell>
          <cell r="B205">
            <v>237</v>
          </cell>
          <cell r="C205" t="str">
            <v>S</v>
          </cell>
          <cell r="D205" t="str">
            <v>T</v>
          </cell>
          <cell r="E205" t="str">
            <v>Thuchila River - Liwamba Village</v>
          </cell>
          <cell r="F205" t="str">
            <v>S147</v>
          </cell>
          <cell r="G205">
            <v>7</v>
          </cell>
          <cell r="H205">
            <v>13.3</v>
          </cell>
          <cell r="I205" t="str">
            <v>F</v>
          </cell>
          <cell r="J205" t="str">
            <v>MULANJE</v>
          </cell>
          <cell r="K205">
            <v>9</v>
          </cell>
        </row>
        <row r="206">
          <cell r="A206" t="str">
            <v>RS 411</v>
          </cell>
          <cell r="B206">
            <v>233</v>
          </cell>
          <cell r="C206" t="str">
            <v>S</v>
          </cell>
          <cell r="D206" t="str">
            <v>T</v>
          </cell>
          <cell r="E206" t="str">
            <v>Liwamba Village - Fundisi Cross (junction M4)</v>
          </cell>
          <cell r="F206" t="str">
            <v>S147</v>
          </cell>
          <cell r="G206">
            <v>8</v>
          </cell>
          <cell r="H206">
            <v>11.3</v>
          </cell>
          <cell r="I206" t="str">
            <v>F</v>
          </cell>
          <cell r="J206" t="str">
            <v>PHALOMBE</v>
          </cell>
          <cell r="K206">
            <v>9</v>
          </cell>
        </row>
        <row r="207">
          <cell r="A207" t="str">
            <v>RS 420</v>
          </cell>
          <cell r="B207">
            <v>242</v>
          </cell>
          <cell r="C207" t="str">
            <v>S</v>
          </cell>
          <cell r="D207" t="str">
            <v>T</v>
          </cell>
          <cell r="E207" t="str">
            <v>Liwamba Village - Chitakale</v>
          </cell>
          <cell r="F207" t="str">
            <v>S148</v>
          </cell>
          <cell r="G207">
            <v>1</v>
          </cell>
          <cell r="H207">
            <v>12</v>
          </cell>
          <cell r="I207" t="str">
            <v>H</v>
          </cell>
          <cell r="J207" t="str">
            <v>MULANJE</v>
          </cell>
          <cell r="K207">
            <v>9</v>
          </cell>
        </row>
        <row r="208">
          <cell r="A208" t="str">
            <v>RS 425</v>
          </cell>
          <cell r="B208">
            <v>247</v>
          </cell>
          <cell r="C208" t="str">
            <v>S</v>
          </cell>
          <cell r="D208" t="str">
            <v>T</v>
          </cell>
          <cell r="E208" t="str">
            <v>Chonde (junction M2) - Msikawanjala</v>
          </cell>
          <cell r="F208" t="str">
            <v>S149</v>
          </cell>
          <cell r="G208">
            <v>1</v>
          </cell>
          <cell r="H208">
            <v>9.1999999999999993</v>
          </cell>
          <cell r="I208" t="str">
            <v>R</v>
          </cell>
          <cell r="J208" t="str">
            <v>MULANJE</v>
          </cell>
          <cell r="K208">
            <v>9</v>
          </cell>
        </row>
        <row r="209">
          <cell r="A209" t="str">
            <v>RS 422</v>
          </cell>
          <cell r="B209">
            <v>244</v>
          </cell>
          <cell r="C209" t="str">
            <v>S</v>
          </cell>
          <cell r="D209" t="str">
            <v>T</v>
          </cell>
          <cell r="E209" t="str">
            <v>Msikawanjala - Mitombozi</v>
          </cell>
          <cell r="F209" t="str">
            <v>S149</v>
          </cell>
          <cell r="G209">
            <v>2</v>
          </cell>
          <cell r="H209">
            <v>11.4</v>
          </cell>
          <cell r="I209" t="str">
            <v>F</v>
          </cell>
          <cell r="J209" t="str">
            <v>MULANJE</v>
          </cell>
          <cell r="K209">
            <v>9</v>
          </cell>
        </row>
        <row r="210">
          <cell r="A210" t="str">
            <v>RS 421</v>
          </cell>
          <cell r="B210">
            <v>243</v>
          </cell>
          <cell r="C210" t="str">
            <v>S</v>
          </cell>
          <cell r="D210" t="str">
            <v>T</v>
          </cell>
          <cell r="E210" t="str">
            <v>Mitombozi - Thanguzi River</v>
          </cell>
          <cell r="F210" t="str">
            <v>S149</v>
          </cell>
          <cell r="G210">
            <v>3</v>
          </cell>
          <cell r="H210">
            <v>1</v>
          </cell>
          <cell r="I210" t="str">
            <v>R</v>
          </cell>
          <cell r="J210" t="str">
            <v>MULANJE</v>
          </cell>
          <cell r="K210">
            <v>9</v>
          </cell>
        </row>
        <row r="211">
          <cell r="A211" t="str">
            <v>RS 426</v>
          </cell>
          <cell r="B211">
            <v>248</v>
          </cell>
          <cell r="C211" t="str">
            <v>S</v>
          </cell>
          <cell r="D211" t="str">
            <v>T</v>
          </cell>
          <cell r="E211" t="str">
            <v>Thanguzi River - Matambi</v>
          </cell>
          <cell r="F211" t="str">
            <v>S149</v>
          </cell>
          <cell r="G211">
            <v>4</v>
          </cell>
          <cell r="H211">
            <v>12.6</v>
          </cell>
          <cell r="I211" t="str">
            <v>F</v>
          </cell>
          <cell r="J211" t="str">
            <v>MULANJE</v>
          </cell>
          <cell r="K211">
            <v>9</v>
          </cell>
        </row>
        <row r="212">
          <cell r="A212" t="str">
            <v>RS 423</v>
          </cell>
          <cell r="B212">
            <v>245</v>
          </cell>
          <cell r="C212" t="str">
            <v>S</v>
          </cell>
          <cell r="D212" t="str">
            <v>T</v>
          </cell>
          <cell r="E212" t="str">
            <v>Matambi - Mimosa (junction M2)</v>
          </cell>
          <cell r="F212" t="str">
            <v>S149</v>
          </cell>
          <cell r="G212">
            <v>5</v>
          </cell>
          <cell r="H212">
            <v>9.8000000000000007</v>
          </cell>
          <cell r="I212" t="str">
            <v>R</v>
          </cell>
          <cell r="J212" t="str">
            <v>MULANJE</v>
          </cell>
          <cell r="K212">
            <v>9</v>
          </cell>
        </row>
        <row r="213">
          <cell r="A213" t="str">
            <v>RS 430</v>
          </cell>
          <cell r="B213">
            <v>252</v>
          </cell>
          <cell r="C213" t="str">
            <v>S</v>
          </cell>
          <cell r="D213" t="str">
            <v>T</v>
          </cell>
          <cell r="E213" t="str">
            <v>Luchenza (junction M2) - Namilonje</v>
          </cell>
          <cell r="F213" t="str">
            <v>S150</v>
          </cell>
          <cell r="G213">
            <v>1</v>
          </cell>
          <cell r="H213">
            <v>9</v>
          </cell>
          <cell r="I213" t="str">
            <v>R</v>
          </cell>
          <cell r="J213" t="str">
            <v>THYOLO</v>
          </cell>
          <cell r="K213">
            <v>9</v>
          </cell>
        </row>
        <row r="214">
          <cell r="A214" t="str">
            <v>RS 428</v>
          </cell>
          <cell r="B214">
            <v>250</v>
          </cell>
          <cell r="C214" t="str">
            <v>S</v>
          </cell>
          <cell r="D214" t="str">
            <v>T</v>
          </cell>
          <cell r="E214" t="str">
            <v>Namilonje - Goliati</v>
          </cell>
          <cell r="F214" t="str">
            <v>S150</v>
          </cell>
          <cell r="G214">
            <v>2</v>
          </cell>
          <cell r="H214">
            <v>8.1</v>
          </cell>
          <cell r="I214" t="str">
            <v>R</v>
          </cell>
          <cell r="J214" t="str">
            <v>THYOLO</v>
          </cell>
          <cell r="K214">
            <v>9</v>
          </cell>
        </row>
        <row r="215">
          <cell r="A215" t="str">
            <v>RS 427</v>
          </cell>
          <cell r="B215">
            <v>249</v>
          </cell>
          <cell r="C215" t="str">
            <v>S</v>
          </cell>
          <cell r="D215" t="str">
            <v>T</v>
          </cell>
          <cell r="E215" t="str">
            <v>Goliati - Nansadi</v>
          </cell>
          <cell r="F215" t="str">
            <v>S150</v>
          </cell>
          <cell r="G215">
            <v>3</v>
          </cell>
          <cell r="H215">
            <v>6.5</v>
          </cell>
          <cell r="I215" t="str">
            <v>R</v>
          </cell>
          <cell r="J215" t="str">
            <v>THYOLO</v>
          </cell>
          <cell r="K215">
            <v>9</v>
          </cell>
        </row>
        <row r="216">
          <cell r="A216" t="str">
            <v>RS 429</v>
          </cell>
          <cell r="B216">
            <v>251</v>
          </cell>
          <cell r="C216" t="str">
            <v>S</v>
          </cell>
          <cell r="D216" t="str">
            <v>T</v>
          </cell>
          <cell r="E216" t="str">
            <v>Nansadi - Mikolongwe (junction M4)</v>
          </cell>
          <cell r="F216" t="str">
            <v>S150</v>
          </cell>
          <cell r="G216">
            <v>4</v>
          </cell>
          <cell r="H216">
            <v>5.7</v>
          </cell>
          <cell r="I216" t="str">
            <v>R</v>
          </cell>
          <cell r="J216" t="str">
            <v>THYOLO</v>
          </cell>
          <cell r="K216">
            <v>9</v>
          </cell>
        </row>
        <row r="217">
          <cell r="A217" t="str">
            <v>RS 433</v>
          </cell>
          <cell r="B217">
            <v>255</v>
          </cell>
          <cell r="C217" t="str">
            <v>S</v>
          </cell>
          <cell r="D217" t="str">
            <v>T</v>
          </cell>
          <cell r="E217" t="str">
            <v>Thyolo (junction M2) - Nawadzi River Bridge</v>
          </cell>
          <cell r="F217" t="str">
            <v>S151</v>
          </cell>
          <cell r="G217">
            <v>1</v>
          </cell>
          <cell r="H217">
            <v>5.0999999999999996</v>
          </cell>
          <cell r="I217" t="str">
            <v>R</v>
          </cell>
          <cell r="J217" t="str">
            <v>THYOLO</v>
          </cell>
          <cell r="K217">
            <v>9</v>
          </cell>
        </row>
        <row r="218">
          <cell r="A218" t="str">
            <v>RS 431</v>
          </cell>
          <cell r="B218">
            <v>253</v>
          </cell>
          <cell r="C218" t="str">
            <v>S</v>
          </cell>
          <cell r="D218" t="str">
            <v>T</v>
          </cell>
          <cell r="E218" t="str">
            <v>Nawadzi River Bridge - Makwasa</v>
          </cell>
          <cell r="F218" t="str">
            <v>S151</v>
          </cell>
          <cell r="G218">
            <v>2</v>
          </cell>
          <cell r="H218">
            <v>16.5</v>
          </cell>
          <cell r="I218" t="str">
            <v>H</v>
          </cell>
          <cell r="J218" t="str">
            <v>THYOLO</v>
          </cell>
          <cell r="K218">
            <v>9</v>
          </cell>
        </row>
        <row r="219">
          <cell r="A219" t="str">
            <v>RS 434</v>
          </cell>
          <cell r="B219">
            <v>256</v>
          </cell>
          <cell r="C219" t="str">
            <v>S</v>
          </cell>
          <cell r="D219" t="str">
            <v>T</v>
          </cell>
          <cell r="E219" t="str">
            <v>Makwasa - Chinzama</v>
          </cell>
          <cell r="F219" t="str">
            <v>S151</v>
          </cell>
          <cell r="G219">
            <v>3</v>
          </cell>
          <cell r="H219">
            <v>18</v>
          </cell>
          <cell r="I219" t="str">
            <v>H</v>
          </cell>
          <cell r="J219" t="str">
            <v>THYOLO</v>
          </cell>
          <cell r="K219">
            <v>9</v>
          </cell>
        </row>
        <row r="220">
          <cell r="A220" t="str">
            <v>RS 432</v>
          </cell>
          <cell r="B220">
            <v>254</v>
          </cell>
          <cell r="C220" t="str">
            <v>S</v>
          </cell>
          <cell r="D220" t="str">
            <v>T</v>
          </cell>
          <cell r="E220" t="str">
            <v>Chinzama - Thekerani</v>
          </cell>
          <cell r="F220" t="str">
            <v>S151</v>
          </cell>
          <cell r="G220">
            <v>4</v>
          </cell>
          <cell r="H220">
            <v>14.8</v>
          </cell>
          <cell r="I220" t="str">
            <v>H</v>
          </cell>
          <cell r="J220" t="str">
            <v>THYOLO</v>
          </cell>
          <cell r="K220">
            <v>10</v>
          </cell>
        </row>
        <row r="221">
          <cell r="A221" t="str">
            <v>RS 437</v>
          </cell>
          <cell r="B221">
            <v>259</v>
          </cell>
          <cell r="C221" t="str">
            <v>S</v>
          </cell>
          <cell r="D221" t="str">
            <v>T</v>
          </cell>
          <cell r="E221" t="str">
            <v>Thekerani - Chiphwanya</v>
          </cell>
          <cell r="F221" t="str">
            <v>S151</v>
          </cell>
          <cell r="G221">
            <v>5</v>
          </cell>
          <cell r="H221">
            <v>8.6999999999999993</v>
          </cell>
          <cell r="I221" t="str">
            <v>H</v>
          </cell>
          <cell r="J221" t="str">
            <v>THYOLO</v>
          </cell>
          <cell r="K221">
            <v>10</v>
          </cell>
        </row>
        <row r="222">
          <cell r="A222" t="str">
            <v>RS 442</v>
          </cell>
          <cell r="B222">
            <v>264</v>
          </cell>
          <cell r="C222" t="str">
            <v>S</v>
          </cell>
          <cell r="D222" t="str">
            <v>T</v>
          </cell>
          <cell r="E222" t="str">
            <v>Chiphwanya - Mlambala River</v>
          </cell>
          <cell r="F222" t="str">
            <v>S151</v>
          </cell>
          <cell r="G222">
            <v>6</v>
          </cell>
          <cell r="H222">
            <v>9.3000000000000007</v>
          </cell>
          <cell r="I222" t="str">
            <v>R</v>
          </cell>
          <cell r="J222" t="str">
            <v>NSANJE</v>
          </cell>
          <cell r="K222">
            <v>10</v>
          </cell>
          <cell r="L222" t="str">
            <v>Changed designation from S156 to S151</v>
          </cell>
        </row>
        <row r="223">
          <cell r="A223" t="str">
            <v>RS 440</v>
          </cell>
          <cell r="B223">
            <v>262</v>
          </cell>
          <cell r="C223" t="str">
            <v>S</v>
          </cell>
          <cell r="D223" t="str">
            <v>T</v>
          </cell>
          <cell r="E223" t="str">
            <v>Thabwa (junction M1) - Mapelera River</v>
          </cell>
          <cell r="F223" t="str">
            <v>S152</v>
          </cell>
          <cell r="G223">
            <v>1</v>
          </cell>
          <cell r="H223">
            <v>10</v>
          </cell>
          <cell r="I223" t="str">
            <v>R</v>
          </cell>
          <cell r="J223" t="str">
            <v>CHIKWAWA</v>
          </cell>
          <cell r="K223">
            <v>9</v>
          </cell>
        </row>
        <row r="224">
          <cell r="A224" t="str">
            <v>RS 441</v>
          </cell>
          <cell r="B224">
            <v>263</v>
          </cell>
          <cell r="C224" t="str">
            <v>S</v>
          </cell>
          <cell r="D224" t="str">
            <v>T</v>
          </cell>
          <cell r="E224" t="str">
            <v>Maperela River - Livunzi River</v>
          </cell>
          <cell r="F224" t="str">
            <v>S152</v>
          </cell>
          <cell r="G224">
            <v>2</v>
          </cell>
          <cell r="H224">
            <v>16.2</v>
          </cell>
          <cell r="I224" t="str">
            <v>R</v>
          </cell>
          <cell r="J224" t="str">
            <v>CHIKWAWA</v>
          </cell>
          <cell r="K224">
            <v>9</v>
          </cell>
        </row>
        <row r="225">
          <cell r="A225" t="str">
            <v>RS 438</v>
          </cell>
          <cell r="B225">
            <v>260</v>
          </cell>
          <cell r="C225" t="str">
            <v>S</v>
          </cell>
          <cell r="D225" t="str">
            <v>T</v>
          </cell>
          <cell r="E225" t="str">
            <v>Livunzu River - Milole River</v>
          </cell>
          <cell r="F225" t="str">
            <v>S152</v>
          </cell>
          <cell r="G225">
            <v>3</v>
          </cell>
          <cell r="H225">
            <v>19.100000000000001</v>
          </cell>
          <cell r="I225" t="str">
            <v>H</v>
          </cell>
          <cell r="J225" t="str">
            <v>CHIKWAWA</v>
          </cell>
          <cell r="K225">
            <v>9</v>
          </cell>
          <cell r="L225" t="str">
            <v>Changed designation from T403 to T405</v>
          </cell>
        </row>
        <row r="226">
          <cell r="A226" t="str">
            <v>RS 439</v>
          </cell>
          <cell r="B226">
            <v>261</v>
          </cell>
          <cell r="C226" t="str">
            <v>S</v>
          </cell>
          <cell r="D226" t="str">
            <v>T</v>
          </cell>
          <cell r="E226" t="str">
            <v>Milole River - Mlambala</v>
          </cell>
          <cell r="F226" t="str">
            <v>S152</v>
          </cell>
          <cell r="G226">
            <v>4</v>
          </cell>
          <cell r="H226">
            <v>14.5</v>
          </cell>
          <cell r="I226" t="str">
            <v>R</v>
          </cell>
          <cell r="J226" t="str">
            <v>CHIKWAWA</v>
          </cell>
          <cell r="K226">
            <v>10</v>
          </cell>
          <cell r="L226" t="str">
            <v>Changed designation from T408 to T405</v>
          </cell>
        </row>
        <row r="227">
          <cell r="A227" t="str">
            <v>RS 332</v>
          </cell>
          <cell r="B227">
            <v>154</v>
          </cell>
          <cell r="C227" t="str">
            <v>S</v>
          </cell>
          <cell r="D227" t="str">
            <v>T</v>
          </cell>
          <cell r="E227" t="str">
            <v>Mwona - Makhanga</v>
          </cell>
          <cell r="F227" t="str">
            <v>S152</v>
          </cell>
          <cell r="G227">
            <v>5</v>
          </cell>
          <cell r="H227">
            <v>12</v>
          </cell>
          <cell r="I227" t="str">
            <v>F</v>
          </cell>
          <cell r="J227" t="str">
            <v>NSANJE</v>
          </cell>
          <cell r="K227">
            <v>10</v>
          </cell>
          <cell r="L227" t="str">
            <v>Changed designation from M9 to S152</v>
          </cell>
        </row>
        <row r="228">
          <cell r="A228" t="str">
            <v>RS 436</v>
          </cell>
          <cell r="B228">
            <v>258</v>
          </cell>
          <cell r="C228" t="str">
            <v>S</v>
          </cell>
          <cell r="D228" t="str">
            <v>T</v>
          </cell>
          <cell r="E228" t="str">
            <v>Makhanga - Bangula (junction M1)</v>
          </cell>
          <cell r="F228" t="str">
            <v>S152</v>
          </cell>
          <cell r="G228">
            <v>6</v>
          </cell>
          <cell r="H228">
            <v>9</v>
          </cell>
          <cell r="I228" t="str">
            <v>H</v>
          </cell>
          <cell r="J228" t="str">
            <v>NSANJE</v>
          </cell>
          <cell r="K228">
            <v>10</v>
          </cell>
          <cell r="L228" t="str">
            <v>Changed designation from S151 to S152</v>
          </cell>
        </row>
        <row r="229">
          <cell r="A229" t="str">
            <v>RS 417</v>
          </cell>
          <cell r="B229">
            <v>239</v>
          </cell>
          <cell r="C229" t="str">
            <v>S</v>
          </cell>
          <cell r="D229" t="str">
            <v>T</v>
          </cell>
          <cell r="E229" t="str">
            <v>Kuchawe - Zomba City Boundary (down road)</v>
          </cell>
          <cell r="F229" t="str">
            <v>UD</v>
          </cell>
          <cell r="G229">
            <v>6</v>
          </cell>
          <cell r="H229">
            <v>5.9</v>
          </cell>
          <cell r="I229" t="str">
            <v>H</v>
          </cell>
          <cell r="J229" t="str">
            <v xml:space="preserve">ZOMBA </v>
          </cell>
          <cell r="K229" t="str">
            <v>C</v>
          </cell>
        </row>
        <row r="230">
          <cell r="A230" t="str">
            <v>RS 850</v>
          </cell>
          <cell r="B230" t="str">
            <v>n.a</v>
          </cell>
          <cell r="C230" t="str">
            <v>N</v>
          </cell>
          <cell r="D230" t="str">
            <v>Urban</v>
          </cell>
          <cell r="E230" t="str">
            <v>Viphya Drive (Mazuzu Hotel to end)</v>
          </cell>
          <cell r="F230" t="str">
            <v>Urban</v>
          </cell>
          <cell r="G230" t="str">
            <v>U</v>
          </cell>
          <cell r="H230">
            <v>1.5</v>
          </cell>
          <cell r="I230">
            <v>0</v>
          </cell>
          <cell r="J230" t="str">
            <v>MUZUZU</v>
          </cell>
          <cell r="K230" t="str">
            <v>C</v>
          </cell>
          <cell r="L230" t="str">
            <v>Part of origional RS 148</v>
          </cell>
        </row>
        <row r="231">
          <cell r="A231" t="str">
            <v>RS 150</v>
          </cell>
          <cell r="B231">
            <v>150</v>
          </cell>
          <cell r="C231" t="str">
            <v>N</v>
          </cell>
          <cell r="D231" t="str">
            <v>U</v>
          </cell>
          <cell r="E231" t="str">
            <v>Viphya Drive - via Prison - Kamuzu Drive</v>
          </cell>
          <cell r="F231" t="str">
            <v>Urban</v>
          </cell>
          <cell r="G231">
            <v>27</v>
          </cell>
          <cell r="H231">
            <v>2</v>
          </cell>
          <cell r="I231" t="str">
            <v>F</v>
          </cell>
          <cell r="J231" t="str">
            <v>MZUZU CITY</v>
          </cell>
          <cell r="K231" t="str">
            <v>C</v>
          </cell>
          <cell r="L231" t="str">
            <v>Road section redefined</v>
          </cell>
        </row>
        <row r="232">
          <cell r="A232" t="str">
            <v>RS 842</v>
          </cell>
          <cell r="B232">
            <v>170</v>
          </cell>
          <cell r="C232" t="str">
            <v>S</v>
          </cell>
          <cell r="D232" t="str">
            <v>U</v>
          </cell>
          <cell r="E232" t="str">
            <v>Zomba - Chikanda (end bitumen to end road)</v>
          </cell>
          <cell r="F232" t="str">
            <v>Urban</v>
          </cell>
          <cell r="G232">
            <v>18</v>
          </cell>
          <cell r="H232">
            <v>2.6</v>
          </cell>
          <cell r="I232" t="str">
            <v>R</v>
          </cell>
          <cell r="J232" t="str">
            <v>ZOMBA CITY</v>
          </cell>
          <cell r="K232" t="str">
            <v>C</v>
          </cell>
          <cell r="L232" t="str">
            <v>Road section redefined</v>
          </cell>
        </row>
        <row r="233">
          <cell r="A233" t="str">
            <v>RS 844</v>
          </cell>
          <cell r="B233">
            <v>172</v>
          </cell>
          <cell r="C233" t="str">
            <v>S</v>
          </cell>
          <cell r="D233" t="str">
            <v>U</v>
          </cell>
          <cell r="E233" t="str">
            <v>Chancellor College Road (end bitumen to end road)</v>
          </cell>
          <cell r="F233" t="str">
            <v>Urban</v>
          </cell>
          <cell r="G233">
            <v>20</v>
          </cell>
          <cell r="H233">
            <v>2.2000000000000002</v>
          </cell>
          <cell r="I233" t="str">
            <v>R</v>
          </cell>
          <cell r="J233" t="str">
            <v>ZOMBA CITY</v>
          </cell>
          <cell r="K233" t="str">
            <v>C</v>
          </cell>
        </row>
        <row r="234">
          <cell r="A234" t="str">
            <v>RS 844</v>
          </cell>
          <cell r="B234">
            <v>172</v>
          </cell>
          <cell r="C234" t="str">
            <v>S</v>
          </cell>
          <cell r="D234" t="str">
            <v>U</v>
          </cell>
          <cell r="E234" t="str">
            <v>Chancellor College Road (end bitumen to end road)</v>
          </cell>
          <cell r="F234" t="str">
            <v>Urban</v>
          </cell>
          <cell r="G234">
            <v>20</v>
          </cell>
          <cell r="H234">
            <v>2.2000000000000002</v>
          </cell>
          <cell r="I234" t="str">
            <v>R</v>
          </cell>
          <cell r="J234" t="str">
            <v>ZOMBA CITY</v>
          </cell>
          <cell r="K234" t="str">
            <v>C</v>
          </cell>
        </row>
        <row r="235">
          <cell r="A235" t="str">
            <v>Count</v>
          </cell>
          <cell r="B235">
            <v>224</v>
          </cell>
          <cell r="C235">
            <v>0</v>
          </cell>
          <cell r="D235">
            <v>0</v>
          </cell>
          <cell r="E235" t="str">
            <v>Total length</v>
          </cell>
          <cell r="F235">
            <v>3752.4000000000005</v>
          </cell>
          <cell r="G235">
            <v>0</v>
          </cell>
          <cell r="H235">
            <v>0</v>
          </cell>
          <cell r="I235">
            <v>0</v>
          </cell>
          <cell r="J235" t="str">
            <v>km</v>
          </cell>
          <cell r="K235">
            <v>9</v>
          </cell>
        </row>
        <row r="236">
          <cell r="A236" t="str">
            <v>RS 746</v>
          </cell>
          <cell r="B236">
            <v>658</v>
          </cell>
          <cell r="C236" t="str">
            <v>S</v>
          </cell>
          <cell r="D236" t="str">
            <v>F</v>
          </cell>
          <cell r="E236" t="str">
            <v>Utwe River - Matiti</v>
          </cell>
          <cell r="F236" t="str">
            <v>T408</v>
          </cell>
          <cell r="G236">
            <v>2</v>
          </cell>
          <cell r="H236">
            <v>4.3</v>
          </cell>
          <cell r="I236" t="str">
            <v>FL</v>
          </cell>
          <cell r="J236" t="str">
            <v>ZOMBA</v>
          </cell>
          <cell r="K236">
            <v>9</v>
          </cell>
        </row>
        <row r="237">
          <cell r="A237" t="str">
            <v>RS 744</v>
          </cell>
          <cell r="B237">
            <v>566</v>
          </cell>
          <cell r="C237" t="str">
            <v>S</v>
          </cell>
          <cell r="D237" t="str">
            <v>F</v>
          </cell>
          <cell r="E237" t="str">
            <v>Milepa (junction S145) - Mombezi River</v>
          </cell>
          <cell r="F237" t="str">
            <v>T408</v>
          </cell>
          <cell r="G237">
            <v>3</v>
          </cell>
          <cell r="H237">
            <v>4.5</v>
          </cell>
          <cell r="I237" t="str">
            <v>FL</v>
          </cell>
          <cell r="J237" t="str">
            <v>PHALOMBE</v>
          </cell>
          <cell r="K237">
            <v>9</v>
          </cell>
        </row>
      </sheetData>
      <sheetData sheetId="2" refreshError="1">
        <row r="1">
          <cell r="A1" t="str">
            <v xml:space="preserve">Table A2 - Road Sections (as given in Terms of Reference) Not Used In The Study </v>
          </cell>
        </row>
        <row r="2">
          <cell r="A2" t="str">
            <v>Road Section No.</v>
          </cell>
          <cell r="B2" t="str">
            <v>MOWS Project No.</v>
          </cell>
          <cell r="C2" t="str">
            <v>Region</v>
          </cell>
          <cell r="D2" t="str">
            <v>Road class</v>
          </cell>
          <cell r="E2" t="str">
            <v>Road section</v>
          </cell>
          <cell r="F2" t="str">
            <v>Road designation</v>
          </cell>
          <cell r="G2" t="str">
            <v>Sequence</v>
          </cell>
          <cell r="H2" t="str">
            <v>Length (km)</v>
          </cell>
          <cell r="I2" t="str">
            <v>Map sheet No.</v>
          </cell>
          <cell r="J2" t="str">
            <v>Trrrain</v>
          </cell>
          <cell r="K2" t="str">
            <v>Reason for change &amp; district</v>
          </cell>
          <cell r="L2" t="str">
            <v>Comments</v>
          </cell>
        </row>
        <row r="3">
          <cell r="A3" t="str">
            <v>RS 001</v>
          </cell>
          <cell r="B3" t="str">
            <v>1</v>
          </cell>
          <cell r="C3" t="str">
            <v>N</v>
          </cell>
          <cell r="D3" t="str">
            <v>T</v>
          </cell>
          <cell r="E3" t="str">
            <v>Songwe - Chitimba River</v>
          </cell>
          <cell r="F3" t="str">
            <v>M01</v>
          </cell>
          <cell r="G3">
            <v>99</v>
          </cell>
          <cell r="H3">
            <v>120</v>
          </cell>
          <cell r="I3">
            <v>1</v>
          </cell>
          <cell r="J3" t="str">
            <v>F</v>
          </cell>
          <cell r="K3" t="str">
            <v>Split into RS 839 &amp; 840.</v>
          </cell>
          <cell r="L3" t="str">
            <v>Section not used in Study</v>
          </cell>
        </row>
        <row r="4">
          <cell r="A4" t="str">
            <v>RS 839</v>
          </cell>
          <cell r="B4" t="str">
            <v>n.a</v>
          </cell>
          <cell r="C4" t="str">
            <v>N</v>
          </cell>
          <cell r="D4" t="str">
            <v>T</v>
          </cell>
          <cell r="E4" t="str">
            <v>Songwe - Karonga</v>
          </cell>
          <cell r="F4" t="str">
            <v>M01</v>
          </cell>
          <cell r="G4">
            <v>1</v>
          </cell>
          <cell r="H4">
            <v>43</v>
          </cell>
          <cell r="I4">
            <v>1</v>
          </cell>
          <cell r="J4" t="str">
            <v>F</v>
          </cell>
          <cell r="K4" t="str">
            <v>KARONGA</v>
          </cell>
          <cell r="L4" t="str">
            <v>New section, part of RS1</v>
          </cell>
        </row>
        <row r="5">
          <cell r="A5" t="str">
            <v>RS 840</v>
          </cell>
          <cell r="B5" t="str">
            <v>n.a</v>
          </cell>
          <cell r="C5" t="str">
            <v>N</v>
          </cell>
          <cell r="D5" t="str">
            <v>T</v>
          </cell>
          <cell r="E5" t="str">
            <v>Karonga - Chitimba River</v>
          </cell>
          <cell r="F5" t="str">
            <v>M01</v>
          </cell>
          <cell r="G5">
            <v>2</v>
          </cell>
          <cell r="H5">
            <v>77</v>
          </cell>
          <cell r="I5">
            <v>1</v>
          </cell>
          <cell r="J5" t="str">
            <v>F</v>
          </cell>
          <cell r="K5" t="str">
            <v>KARONGA</v>
          </cell>
          <cell r="L5" t="str">
            <v>New section, part of RS1</v>
          </cell>
        </row>
        <row r="6">
          <cell r="A6" t="str">
            <v>RS 006</v>
          </cell>
          <cell r="B6" t="str">
            <v>6</v>
          </cell>
          <cell r="C6" t="str">
            <v>N</v>
          </cell>
          <cell r="D6" t="str">
            <v>T</v>
          </cell>
          <cell r="E6" t="str">
            <v>Mzuzu -Nkhata Bay Border</v>
          </cell>
          <cell r="F6" t="str">
            <v>M05</v>
          </cell>
          <cell r="G6">
            <v>99</v>
          </cell>
          <cell r="H6">
            <v>8</v>
          </cell>
          <cell r="I6" t="str">
            <v>-</v>
          </cell>
          <cell r="J6" t="str">
            <v>-</v>
          </cell>
          <cell r="K6" t="str">
            <v>Contained within RS 005</v>
          </cell>
          <cell r="L6" t="str">
            <v>Section not used in Study</v>
          </cell>
        </row>
        <row r="7">
          <cell r="A7" t="str">
            <v>RS 005</v>
          </cell>
          <cell r="B7" t="str">
            <v>5</v>
          </cell>
          <cell r="C7" t="str">
            <v>N</v>
          </cell>
          <cell r="D7" t="str">
            <v>T</v>
          </cell>
          <cell r="E7" t="str">
            <v>Mzuzu - Nkhata Bay</v>
          </cell>
          <cell r="F7" t="str">
            <v>M05</v>
          </cell>
          <cell r="G7">
            <v>1</v>
          </cell>
          <cell r="H7">
            <v>45</v>
          </cell>
          <cell r="I7">
            <v>3</v>
          </cell>
          <cell r="J7" t="str">
            <v>F</v>
          </cell>
          <cell r="K7" t="str">
            <v>MZIMBA &amp; NKHATA BAY</v>
          </cell>
        </row>
        <row r="8">
          <cell r="A8" t="str">
            <v>RS 039</v>
          </cell>
          <cell r="B8">
            <v>39</v>
          </cell>
          <cell r="C8" t="str">
            <v>C</v>
          </cell>
          <cell r="D8" t="str">
            <v>T</v>
          </cell>
          <cell r="E8" t="str">
            <v>Dedza - Lilongwe</v>
          </cell>
          <cell r="F8" t="str">
            <v>M01</v>
          </cell>
          <cell r="G8">
            <v>99</v>
          </cell>
          <cell r="H8">
            <v>84</v>
          </cell>
          <cell r="I8" t="str">
            <v>-</v>
          </cell>
          <cell r="J8" t="str">
            <v>-</v>
          </cell>
          <cell r="K8" t="str">
            <v>Contains RS 20,28,12,37,25,10,38,23,33</v>
          </cell>
          <cell r="L8" t="str">
            <v>Section not used in Study</v>
          </cell>
        </row>
        <row r="9">
          <cell r="A9" t="str">
            <v>RS 020</v>
          </cell>
          <cell r="B9">
            <v>20</v>
          </cell>
          <cell r="C9" t="str">
            <v>C</v>
          </cell>
          <cell r="D9" t="str">
            <v>T</v>
          </cell>
          <cell r="E9" t="str">
            <v>Lumbadzi River Bridge -  Chitsame</v>
          </cell>
          <cell r="F9" t="str">
            <v>M01</v>
          </cell>
          <cell r="G9">
            <v>15</v>
          </cell>
          <cell r="H9">
            <v>33</v>
          </cell>
          <cell r="I9">
            <v>6</v>
          </cell>
          <cell r="J9" t="str">
            <v>F</v>
          </cell>
          <cell r="K9" t="str">
            <v>LILONGWE</v>
          </cell>
        </row>
        <row r="10">
          <cell r="A10" t="str">
            <v>RS 028</v>
          </cell>
          <cell r="B10">
            <v>28</v>
          </cell>
          <cell r="C10" t="str">
            <v>C</v>
          </cell>
          <cell r="D10" t="str">
            <v>T</v>
          </cell>
          <cell r="E10" t="str">
            <v>Chitsime - Kamchere</v>
          </cell>
          <cell r="F10" t="str">
            <v>M01</v>
          </cell>
          <cell r="G10">
            <v>16</v>
          </cell>
          <cell r="H10">
            <v>8.8000000000000007</v>
          </cell>
          <cell r="I10">
            <v>6</v>
          </cell>
          <cell r="J10" t="str">
            <v>F</v>
          </cell>
          <cell r="K10" t="str">
            <v>LILONGWE</v>
          </cell>
        </row>
        <row r="11">
          <cell r="A11" t="str">
            <v>RS 012</v>
          </cell>
          <cell r="B11">
            <v>12</v>
          </cell>
          <cell r="C11" t="str">
            <v>C</v>
          </cell>
          <cell r="D11" t="str">
            <v>T</v>
          </cell>
          <cell r="E11" t="str">
            <v>Kamchere - Kalumba T/Off</v>
          </cell>
          <cell r="F11" t="str">
            <v>M01</v>
          </cell>
          <cell r="G11">
            <v>17</v>
          </cell>
          <cell r="H11">
            <v>13.4</v>
          </cell>
          <cell r="I11">
            <v>6</v>
          </cell>
          <cell r="J11" t="str">
            <v>F</v>
          </cell>
          <cell r="K11" t="str">
            <v>LILONGWE</v>
          </cell>
        </row>
        <row r="12">
          <cell r="A12" t="str">
            <v>RS 037</v>
          </cell>
          <cell r="B12">
            <v>37</v>
          </cell>
          <cell r="C12" t="str">
            <v>C</v>
          </cell>
          <cell r="D12" t="str">
            <v>T</v>
          </cell>
          <cell r="E12" t="str">
            <v>Kalumba T/Off - Diamphwe River Bridge</v>
          </cell>
          <cell r="F12" t="str">
            <v>M01</v>
          </cell>
          <cell r="G12">
            <v>18</v>
          </cell>
          <cell r="H12">
            <v>18.7</v>
          </cell>
          <cell r="I12">
            <v>6</v>
          </cell>
          <cell r="J12" t="str">
            <v>F</v>
          </cell>
          <cell r="K12" t="str">
            <v>LILONGWE</v>
          </cell>
        </row>
        <row r="13">
          <cell r="A13" t="str">
            <v>RS 025</v>
          </cell>
          <cell r="B13">
            <v>25</v>
          </cell>
          <cell r="C13" t="str">
            <v>C</v>
          </cell>
          <cell r="D13" t="str">
            <v>T</v>
          </cell>
          <cell r="E13" t="str">
            <v>Diamphwe River - Junction S126</v>
          </cell>
          <cell r="F13" t="str">
            <v>M01</v>
          </cell>
          <cell r="G13">
            <v>19</v>
          </cell>
          <cell r="H13">
            <v>5.4</v>
          </cell>
          <cell r="I13">
            <v>6</v>
          </cell>
          <cell r="J13" t="str">
            <v>R</v>
          </cell>
          <cell r="K13" t="str">
            <v>DEDZA</v>
          </cell>
        </row>
        <row r="14">
          <cell r="A14" t="str">
            <v>RS 010</v>
          </cell>
          <cell r="B14">
            <v>10</v>
          </cell>
          <cell r="C14" t="str">
            <v>C</v>
          </cell>
          <cell r="D14" t="str">
            <v>T</v>
          </cell>
          <cell r="E14" t="str">
            <v>Junction S126 - Linthipe</v>
          </cell>
          <cell r="F14" t="str">
            <v>M01</v>
          </cell>
          <cell r="G14">
            <v>20</v>
          </cell>
          <cell r="H14">
            <v>8.1</v>
          </cell>
          <cell r="I14">
            <v>6</v>
          </cell>
          <cell r="J14" t="str">
            <v>R</v>
          </cell>
          <cell r="K14" t="str">
            <v>DEDZA</v>
          </cell>
        </row>
        <row r="15">
          <cell r="A15" t="str">
            <v>RS 038</v>
          </cell>
          <cell r="B15">
            <v>38</v>
          </cell>
          <cell r="C15" t="str">
            <v>C</v>
          </cell>
          <cell r="D15" t="str">
            <v>T</v>
          </cell>
          <cell r="E15" t="str">
            <v>Linthipe - Chimbiya</v>
          </cell>
          <cell r="F15" t="str">
            <v>M01</v>
          </cell>
          <cell r="G15">
            <v>21</v>
          </cell>
          <cell r="H15">
            <v>6.3</v>
          </cell>
          <cell r="I15">
            <v>6</v>
          </cell>
          <cell r="J15" t="str">
            <v>R</v>
          </cell>
          <cell r="K15" t="str">
            <v>LILONGWE</v>
          </cell>
        </row>
        <row r="16">
          <cell r="A16" t="str">
            <v>RS 023</v>
          </cell>
          <cell r="B16">
            <v>23</v>
          </cell>
          <cell r="C16" t="str">
            <v>C</v>
          </cell>
          <cell r="D16" t="str">
            <v>T</v>
          </cell>
          <cell r="E16" t="str">
            <v>Chimbiya - Zuze</v>
          </cell>
          <cell r="F16" t="str">
            <v>M01</v>
          </cell>
          <cell r="G16">
            <v>22</v>
          </cell>
          <cell r="H16">
            <v>31.8</v>
          </cell>
          <cell r="I16">
            <v>6</v>
          </cell>
          <cell r="J16" t="str">
            <v>H</v>
          </cell>
          <cell r="K16" t="str">
            <v>DEDZA</v>
          </cell>
        </row>
        <row r="17">
          <cell r="A17" t="str">
            <v>RS 033</v>
          </cell>
          <cell r="B17">
            <v>33</v>
          </cell>
          <cell r="C17" t="str">
            <v>C</v>
          </cell>
          <cell r="D17" t="str">
            <v>T</v>
          </cell>
          <cell r="E17" t="str">
            <v>Dauya - Kapesi</v>
          </cell>
          <cell r="F17" t="str">
            <v>M01</v>
          </cell>
          <cell r="G17">
            <v>23</v>
          </cell>
          <cell r="H17">
            <v>12.5</v>
          </cell>
          <cell r="I17">
            <v>7</v>
          </cell>
          <cell r="J17" t="str">
            <v>F</v>
          </cell>
          <cell r="K17" t="str">
            <v>DEDZA</v>
          </cell>
        </row>
        <row r="18">
          <cell r="A18" t="str">
            <v>RS 040</v>
          </cell>
          <cell r="B18">
            <v>40</v>
          </cell>
          <cell r="C18" t="str">
            <v>C</v>
          </cell>
          <cell r="D18" t="str">
            <v>T</v>
          </cell>
          <cell r="E18" t="str">
            <v>Salima - Benga - Nkhotakota - Dwangwa</v>
          </cell>
          <cell r="F18" t="str">
            <v>M05</v>
          </cell>
          <cell r="G18">
            <v>99</v>
          </cell>
          <cell r="H18">
            <v>169</v>
          </cell>
          <cell r="I18" t="str">
            <v>-</v>
          </cell>
          <cell r="J18" t="str">
            <v>-</v>
          </cell>
          <cell r="K18" t="str">
            <v>Contains RS 43,66,50,54,53,61,42,58</v>
          </cell>
          <cell r="L18" t="str">
            <v>Section not used in Study</v>
          </cell>
        </row>
        <row r="19">
          <cell r="A19" t="str">
            <v>RS 043</v>
          </cell>
          <cell r="B19">
            <v>43</v>
          </cell>
          <cell r="C19" t="str">
            <v>C</v>
          </cell>
          <cell r="D19" t="str">
            <v>T</v>
          </cell>
          <cell r="E19" t="str">
            <v>Musenjere River- Bua River</v>
          </cell>
          <cell r="F19" t="str">
            <v>M05</v>
          </cell>
          <cell r="G19">
            <v>7</v>
          </cell>
          <cell r="H19">
            <v>14.7</v>
          </cell>
          <cell r="I19">
            <v>5</v>
          </cell>
          <cell r="J19" t="str">
            <v>R</v>
          </cell>
          <cell r="K19" t="str">
            <v>NKHOTA KOTA</v>
          </cell>
        </row>
        <row r="20">
          <cell r="A20" t="str">
            <v>RS 066</v>
          </cell>
          <cell r="B20">
            <v>66</v>
          </cell>
          <cell r="C20" t="str">
            <v>C</v>
          </cell>
          <cell r="D20" t="str">
            <v>T</v>
          </cell>
          <cell r="E20" t="str">
            <v>Bua River - Nkhota-kota</v>
          </cell>
          <cell r="F20" t="str">
            <v>M05</v>
          </cell>
          <cell r="G20">
            <v>8</v>
          </cell>
          <cell r="H20">
            <v>14.8</v>
          </cell>
          <cell r="I20">
            <v>5</v>
          </cell>
          <cell r="J20" t="str">
            <v>F</v>
          </cell>
          <cell r="K20" t="str">
            <v>NKHOTA KOTA</v>
          </cell>
        </row>
        <row r="21">
          <cell r="A21" t="str">
            <v>RS 050</v>
          </cell>
          <cell r="B21">
            <v>50</v>
          </cell>
          <cell r="C21" t="str">
            <v>C</v>
          </cell>
          <cell r="D21" t="str">
            <v>T</v>
          </cell>
          <cell r="E21" t="str">
            <v>Km 11.6-Km 18.3 (Nkhota-kota - Chia)</v>
          </cell>
          <cell r="F21" t="str">
            <v>M05</v>
          </cell>
          <cell r="G21">
            <v>10</v>
          </cell>
          <cell r="H21">
            <v>6.7</v>
          </cell>
          <cell r="I21">
            <v>5</v>
          </cell>
          <cell r="J21" t="str">
            <v>F</v>
          </cell>
          <cell r="K21" t="str">
            <v>NKHOTA KOTA</v>
          </cell>
        </row>
        <row r="22">
          <cell r="A22" t="str">
            <v>RS 054</v>
          </cell>
          <cell r="B22">
            <v>54</v>
          </cell>
          <cell r="C22" t="str">
            <v>C</v>
          </cell>
          <cell r="D22" t="str">
            <v>T</v>
          </cell>
          <cell r="E22" t="str">
            <v>Km 18.3-Chia River</v>
          </cell>
          <cell r="F22" t="str">
            <v>M05</v>
          </cell>
          <cell r="G22">
            <v>11</v>
          </cell>
          <cell r="H22">
            <v>5.4</v>
          </cell>
          <cell r="I22">
            <v>5</v>
          </cell>
          <cell r="J22" t="str">
            <v>F</v>
          </cell>
          <cell r="K22" t="str">
            <v>NKHOTA KOTA</v>
          </cell>
        </row>
        <row r="23">
          <cell r="A23" t="str">
            <v>RS 053</v>
          </cell>
          <cell r="B23">
            <v>53</v>
          </cell>
          <cell r="C23" t="str">
            <v>C</v>
          </cell>
          <cell r="D23" t="str">
            <v>T</v>
          </cell>
          <cell r="E23" t="str">
            <v>Chia River-Benga</v>
          </cell>
          <cell r="F23" t="str">
            <v>M05</v>
          </cell>
          <cell r="G23">
            <v>12</v>
          </cell>
          <cell r="H23">
            <v>29.4</v>
          </cell>
          <cell r="I23">
            <v>5</v>
          </cell>
          <cell r="J23" t="str">
            <v>F</v>
          </cell>
          <cell r="K23" t="str">
            <v>NKHOTA KOTA</v>
          </cell>
        </row>
        <row r="24">
          <cell r="A24" t="str">
            <v>RS 061</v>
          </cell>
          <cell r="B24">
            <v>61</v>
          </cell>
          <cell r="C24" t="str">
            <v>C</v>
          </cell>
          <cell r="D24" t="str">
            <v>T</v>
          </cell>
          <cell r="E24" t="str">
            <v>Benga-Kachisoka</v>
          </cell>
          <cell r="F24" t="str">
            <v>M05</v>
          </cell>
          <cell r="G24">
            <v>13</v>
          </cell>
          <cell r="H24">
            <v>2.7</v>
          </cell>
          <cell r="I24">
            <v>5</v>
          </cell>
          <cell r="J24" t="str">
            <v>F</v>
          </cell>
          <cell r="K24" t="str">
            <v>NKHOTA KOTA</v>
          </cell>
        </row>
        <row r="25">
          <cell r="A25" t="str">
            <v>RS 042</v>
          </cell>
          <cell r="B25">
            <v>42</v>
          </cell>
          <cell r="C25" t="str">
            <v>C</v>
          </cell>
          <cell r="D25" t="str">
            <v>T</v>
          </cell>
          <cell r="E25" t="str">
            <v>Chirua River Bridge - Thavite River Bridge</v>
          </cell>
          <cell r="F25" t="str">
            <v>M05</v>
          </cell>
          <cell r="G25">
            <v>14</v>
          </cell>
          <cell r="H25">
            <v>6</v>
          </cell>
          <cell r="I25">
            <v>5</v>
          </cell>
          <cell r="J25" t="str">
            <v>F</v>
          </cell>
          <cell r="K25" t="str">
            <v>SALIMA</v>
          </cell>
        </row>
        <row r="26">
          <cell r="A26" t="str">
            <v>RS 058</v>
          </cell>
          <cell r="B26">
            <v>58</v>
          </cell>
          <cell r="C26" t="str">
            <v>C</v>
          </cell>
          <cell r="D26" t="str">
            <v>T</v>
          </cell>
          <cell r="E26" t="str">
            <v>Thavite River Bridge - Kamphatenga</v>
          </cell>
          <cell r="F26" t="str">
            <v>M05</v>
          </cell>
          <cell r="G26">
            <v>15</v>
          </cell>
          <cell r="H26">
            <v>32.5</v>
          </cell>
          <cell r="I26">
            <v>7</v>
          </cell>
          <cell r="J26" t="str">
            <v>F</v>
          </cell>
          <cell r="K26" t="str">
            <v>SALIMA</v>
          </cell>
        </row>
        <row r="27">
          <cell r="A27" t="str">
            <v>RS 057</v>
          </cell>
          <cell r="B27">
            <v>57</v>
          </cell>
          <cell r="C27" t="str">
            <v>C</v>
          </cell>
          <cell r="D27" t="str">
            <v>T</v>
          </cell>
          <cell r="E27" t="str">
            <v>Malenga-Km 11.6</v>
          </cell>
          <cell r="F27" t="str">
            <v>M05</v>
          </cell>
          <cell r="G27">
            <v>99</v>
          </cell>
          <cell r="H27">
            <v>11.6</v>
          </cell>
          <cell r="I27" t="str">
            <v>-</v>
          </cell>
          <cell r="J27" t="str">
            <v>-</v>
          </cell>
          <cell r="K27" t="str">
            <v xml:space="preserve">Link does not exist </v>
          </cell>
          <cell r="L27" t="str">
            <v>Section not used in Study</v>
          </cell>
        </row>
        <row r="28">
          <cell r="A28" t="str">
            <v>RS 073</v>
          </cell>
          <cell r="B28">
            <v>73</v>
          </cell>
          <cell r="C28" t="str">
            <v>C</v>
          </cell>
          <cell r="D28" t="str">
            <v>T</v>
          </cell>
          <cell r="E28" t="str">
            <v>Kapiri - Bwanje River</v>
          </cell>
          <cell r="F28" t="str">
            <v>M10</v>
          </cell>
          <cell r="G28">
            <v>99</v>
          </cell>
          <cell r="H28">
            <v>9</v>
          </cell>
          <cell r="I28">
            <v>7</v>
          </cell>
          <cell r="J28" t="str">
            <v>F</v>
          </cell>
          <cell r="K28" t="str">
            <v>Contained within RS 72</v>
          </cell>
          <cell r="L28" t="str">
            <v>Section not used in Study</v>
          </cell>
        </row>
        <row r="29">
          <cell r="A29" t="str">
            <v>RS 072</v>
          </cell>
          <cell r="B29">
            <v>72</v>
          </cell>
          <cell r="C29" t="str">
            <v>C</v>
          </cell>
          <cell r="D29" t="str">
            <v>T</v>
          </cell>
          <cell r="E29" t="str">
            <v>Malambalala - Bwanje River</v>
          </cell>
          <cell r="F29" t="str">
            <v>M10</v>
          </cell>
          <cell r="G29">
            <v>3</v>
          </cell>
          <cell r="H29">
            <v>9</v>
          </cell>
          <cell r="I29">
            <v>7</v>
          </cell>
          <cell r="J29" t="str">
            <v>F</v>
          </cell>
          <cell r="K29" t="str">
            <v>DEDZA &amp; MANGOCHI</v>
          </cell>
        </row>
        <row r="30">
          <cell r="A30" t="str">
            <v>RS 078</v>
          </cell>
          <cell r="B30">
            <v>78</v>
          </cell>
          <cell r="C30" t="str">
            <v>C</v>
          </cell>
          <cell r="D30" t="str">
            <v>T</v>
          </cell>
          <cell r="E30" t="str">
            <v>Lilongwe-Mchinji</v>
          </cell>
          <cell r="F30" t="str">
            <v>M12</v>
          </cell>
          <cell r="G30">
            <v>99</v>
          </cell>
          <cell r="H30">
            <v>120</v>
          </cell>
          <cell r="I30">
            <v>6</v>
          </cell>
          <cell r="J30" t="str">
            <v>R</v>
          </cell>
          <cell r="K30" t="str">
            <v>Contains RS 80,79,77,76,75,836,74</v>
          </cell>
          <cell r="L30" t="str">
            <v>Section not used in Study</v>
          </cell>
        </row>
        <row r="31">
          <cell r="A31" t="str">
            <v>RS 080</v>
          </cell>
          <cell r="B31">
            <v>80</v>
          </cell>
          <cell r="C31" t="str">
            <v>C</v>
          </cell>
          <cell r="D31" t="str">
            <v>T</v>
          </cell>
          <cell r="E31" t="str">
            <v>International Border - Mchinji</v>
          </cell>
          <cell r="F31" t="str">
            <v>M12</v>
          </cell>
          <cell r="G31">
            <v>1</v>
          </cell>
          <cell r="H31">
            <v>11.5</v>
          </cell>
          <cell r="I31">
            <v>6</v>
          </cell>
          <cell r="J31" t="str">
            <v>F</v>
          </cell>
          <cell r="K31" t="str">
            <v>MCHINJI</v>
          </cell>
        </row>
        <row r="32">
          <cell r="A32" t="str">
            <v>RS 079</v>
          </cell>
          <cell r="B32">
            <v>79</v>
          </cell>
          <cell r="C32" t="str">
            <v>C</v>
          </cell>
          <cell r="D32" t="str">
            <v>T</v>
          </cell>
          <cell r="E32" t="str">
            <v>Mchinji - Kamwendo</v>
          </cell>
          <cell r="F32" t="str">
            <v>M12</v>
          </cell>
          <cell r="G32">
            <v>2</v>
          </cell>
          <cell r="H32">
            <v>19.100000000000001</v>
          </cell>
          <cell r="I32">
            <v>6</v>
          </cell>
          <cell r="J32" t="str">
            <v>F</v>
          </cell>
          <cell r="K32" t="str">
            <v>MCHINJI</v>
          </cell>
        </row>
        <row r="33">
          <cell r="A33" t="str">
            <v>RS 077</v>
          </cell>
          <cell r="B33">
            <v>77</v>
          </cell>
          <cell r="C33" t="str">
            <v>C</v>
          </cell>
          <cell r="D33" t="str">
            <v>T</v>
          </cell>
          <cell r="E33" t="str">
            <v>Kamwendo - Bua River</v>
          </cell>
          <cell r="F33" t="str">
            <v>M12</v>
          </cell>
          <cell r="G33">
            <v>3</v>
          </cell>
          <cell r="H33">
            <v>14.7</v>
          </cell>
          <cell r="I33">
            <v>6</v>
          </cell>
          <cell r="J33" t="str">
            <v>F</v>
          </cell>
          <cell r="K33" t="str">
            <v>MCHINJI</v>
          </cell>
        </row>
        <row r="34">
          <cell r="A34" t="str">
            <v>RS 076</v>
          </cell>
          <cell r="B34">
            <v>76</v>
          </cell>
          <cell r="C34" t="str">
            <v>C</v>
          </cell>
          <cell r="D34" t="str">
            <v>T</v>
          </cell>
          <cell r="E34" t="str">
            <v>Bua River - Namitete River Bridge</v>
          </cell>
          <cell r="F34" t="str">
            <v>M12</v>
          </cell>
          <cell r="G34">
            <v>4</v>
          </cell>
          <cell r="H34">
            <v>27.9</v>
          </cell>
          <cell r="I34">
            <v>6</v>
          </cell>
          <cell r="J34" t="str">
            <v>F</v>
          </cell>
          <cell r="K34" t="str">
            <v>MCHINJI</v>
          </cell>
        </row>
        <row r="35">
          <cell r="A35" t="str">
            <v>RS 075</v>
          </cell>
          <cell r="B35">
            <v>75</v>
          </cell>
          <cell r="C35" t="str">
            <v>C</v>
          </cell>
          <cell r="D35" t="str">
            <v>T</v>
          </cell>
          <cell r="E35" t="str">
            <v>Namitete River Bridge - Chileka</v>
          </cell>
          <cell r="F35" t="str">
            <v>M12</v>
          </cell>
          <cell r="G35">
            <v>5</v>
          </cell>
          <cell r="H35">
            <v>4.0999999999999996</v>
          </cell>
          <cell r="I35">
            <v>6</v>
          </cell>
          <cell r="J35" t="str">
            <v>R</v>
          </cell>
          <cell r="K35" t="str">
            <v>LILONGWE</v>
          </cell>
        </row>
        <row r="36">
          <cell r="A36" t="str">
            <v>RS 836</v>
          </cell>
          <cell r="B36" t="str">
            <v>n.a.</v>
          </cell>
          <cell r="C36" t="str">
            <v>C</v>
          </cell>
          <cell r="D36" t="str">
            <v>T</v>
          </cell>
          <cell r="E36" t="str">
            <v>Chileka - Chankhandwe</v>
          </cell>
          <cell r="F36" t="str">
            <v>M12</v>
          </cell>
          <cell r="G36">
            <v>6</v>
          </cell>
          <cell r="H36">
            <v>31.4</v>
          </cell>
          <cell r="I36">
            <v>6</v>
          </cell>
          <cell r="J36" t="str">
            <v>R</v>
          </cell>
          <cell r="K36" t="str">
            <v>LILONGWE</v>
          </cell>
          <cell r="L36" t="str">
            <v xml:space="preserve">New section part of RS 78 </v>
          </cell>
        </row>
        <row r="37">
          <cell r="A37" t="str">
            <v>RS 074</v>
          </cell>
          <cell r="B37">
            <v>74</v>
          </cell>
          <cell r="C37" t="str">
            <v>C</v>
          </cell>
          <cell r="D37" t="str">
            <v>T</v>
          </cell>
          <cell r="E37" t="str">
            <v>Chankhandwe - Njewa</v>
          </cell>
          <cell r="F37" t="str">
            <v>M12</v>
          </cell>
          <cell r="G37">
            <v>7</v>
          </cell>
          <cell r="H37">
            <v>11.3</v>
          </cell>
          <cell r="I37">
            <v>6</v>
          </cell>
          <cell r="J37" t="str">
            <v>R</v>
          </cell>
          <cell r="K37" t="str">
            <v>LILONGWE</v>
          </cell>
        </row>
        <row r="38">
          <cell r="A38" t="str">
            <v>RS 083</v>
          </cell>
          <cell r="B38">
            <v>83</v>
          </cell>
          <cell r="C38" t="str">
            <v>C</v>
          </cell>
          <cell r="D38" t="str">
            <v>T</v>
          </cell>
          <cell r="E38" t="str">
            <v>Chembe Railroad - Kaphatenga</v>
          </cell>
          <cell r="F38" t="str">
            <v>M14</v>
          </cell>
          <cell r="G38">
            <v>99</v>
          </cell>
          <cell r="H38">
            <v>8.6999999999999993</v>
          </cell>
          <cell r="I38">
            <v>6</v>
          </cell>
          <cell r="J38" t="str">
            <v>F</v>
          </cell>
          <cell r="K38" t="str">
            <v>Contains RS 60 &amp; 45</v>
          </cell>
          <cell r="L38" t="str">
            <v>Section not used in Study</v>
          </cell>
        </row>
        <row r="39">
          <cell r="A39" t="str">
            <v>RS 060</v>
          </cell>
          <cell r="B39">
            <v>60</v>
          </cell>
          <cell r="C39" t="str">
            <v>C</v>
          </cell>
          <cell r="D39" t="str">
            <v>T</v>
          </cell>
          <cell r="E39" t="str">
            <v>Chembe Railroad Bridge - Makande</v>
          </cell>
          <cell r="F39" t="str">
            <v>M14</v>
          </cell>
          <cell r="G39" t="str">
            <v>T</v>
          </cell>
          <cell r="H39">
            <v>6.8</v>
          </cell>
          <cell r="I39">
            <v>7</v>
          </cell>
          <cell r="J39" t="str">
            <v>F</v>
          </cell>
          <cell r="K39" t="str">
            <v>SALIMA</v>
          </cell>
          <cell r="L39" t="str">
            <v>Changed designation from M5 to M14</v>
          </cell>
        </row>
        <row r="40">
          <cell r="A40" t="str">
            <v>RS 045</v>
          </cell>
          <cell r="B40">
            <v>45</v>
          </cell>
          <cell r="C40" t="str">
            <v>C</v>
          </cell>
          <cell r="D40" t="str">
            <v>T</v>
          </cell>
          <cell r="E40" t="str">
            <v>Makande - Kaphatenga</v>
          </cell>
          <cell r="F40" t="str">
            <v>M14</v>
          </cell>
          <cell r="G40">
            <v>8</v>
          </cell>
          <cell r="H40">
            <v>4.5999999999999996</v>
          </cell>
          <cell r="I40">
            <v>6</v>
          </cell>
          <cell r="J40" t="str">
            <v>F</v>
          </cell>
          <cell r="K40" t="str">
            <v>SALIMA</v>
          </cell>
          <cell r="L40" t="str">
            <v>Changed designation from M5 to M14</v>
          </cell>
        </row>
        <row r="41">
          <cell r="A41" t="str">
            <v>RS 085</v>
          </cell>
          <cell r="B41">
            <v>85</v>
          </cell>
          <cell r="C41" t="str">
            <v>C</v>
          </cell>
          <cell r="D41" t="str">
            <v>T</v>
          </cell>
          <cell r="E41" t="str">
            <v>Salima - Senga Bay</v>
          </cell>
          <cell r="F41" t="str">
            <v>S122</v>
          </cell>
          <cell r="G41">
            <v>99</v>
          </cell>
          <cell r="H41">
            <v>22</v>
          </cell>
          <cell r="I41">
            <v>7</v>
          </cell>
          <cell r="J41" t="str">
            <v>F</v>
          </cell>
          <cell r="K41" t="str">
            <v>Contains RS276 &amp; 275</v>
          </cell>
          <cell r="L41" t="str">
            <v>Section not used in Study</v>
          </cell>
        </row>
        <row r="42">
          <cell r="A42" t="str">
            <v>RS 276</v>
          </cell>
          <cell r="B42">
            <v>98</v>
          </cell>
          <cell r="C42" t="str">
            <v>C</v>
          </cell>
          <cell r="D42" t="str">
            <v>T</v>
          </cell>
          <cell r="E42" t="str">
            <v>Salima railway crossing - Mikute</v>
          </cell>
          <cell r="F42" t="str">
            <v>S122</v>
          </cell>
          <cell r="G42">
            <v>2</v>
          </cell>
          <cell r="H42">
            <v>14.4</v>
          </cell>
          <cell r="I42">
            <v>7</v>
          </cell>
          <cell r="J42" t="str">
            <v>F</v>
          </cell>
          <cell r="K42" t="str">
            <v>SALIMA</v>
          </cell>
        </row>
        <row r="43">
          <cell r="A43" t="str">
            <v>RS 275</v>
          </cell>
          <cell r="B43">
            <v>97</v>
          </cell>
          <cell r="C43" t="str">
            <v>C</v>
          </cell>
          <cell r="D43" t="str">
            <v>T</v>
          </cell>
          <cell r="E43" t="str">
            <v>Mikute - Grand Beach</v>
          </cell>
          <cell r="F43" t="str">
            <v>S122</v>
          </cell>
          <cell r="G43">
            <v>3</v>
          </cell>
          <cell r="H43">
            <v>5.6</v>
          </cell>
          <cell r="I43">
            <v>7</v>
          </cell>
          <cell r="J43" t="str">
            <v>F</v>
          </cell>
          <cell r="K43" t="str">
            <v>SALIMA</v>
          </cell>
        </row>
        <row r="44">
          <cell r="A44" t="str">
            <v>RS 086</v>
          </cell>
          <cell r="B44">
            <v>86</v>
          </cell>
          <cell r="C44" t="str">
            <v>C</v>
          </cell>
          <cell r="D44" t="str">
            <v>T</v>
          </cell>
          <cell r="E44">
            <v>0</v>
          </cell>
          <cell r="F44" t="str">
            <v>S122</v>
          </cell>
          <cell r="G44">
            <v>0</v>
          </cell>
          <cell r="H44" t="str">
            <v>NO ROAD SECTION with this MOWS Project No.</v>
          </cell>
          <cell r="I44">
            <v>0</v>
          </cell>
          <cell r="J44">
            <v>0</v>
          </cell>
          <cell r="K44">
            <v>0</v>
          </cell>
          <cell r="L44" t="str">
            <v>Deleted from road sections in Study</v>
          </cell>
        </row>
        <row r="45">
          <cell r="A45" t="str">
            <v>RS 087</v>
          </cell>
          <cell r="B45">
            <v>87</v>
          </cell>
          <cell r="C45" t="str">
            <v>C</v>
          </cell>
          <cell r="D45" t="str">
            <v>T</v>
          </cell>
          <cell r="E45">
            <v>0</v>
          </cell>
          <cell r="F45" t="str">
            <v>S122</v>
          </cell>
          <cell r="G45">
            <v>0</v>
          </cell>
          <cell r="H45" t="str">
            <v>NO ROAD SECTION with this MOWS Project No.</v>
          </cell>
          <cell r="I45">
            <v>0</v>
          </cell>
          <cell r="J45">
            <v>0</v>
          </cell>
          <cell r="K45">
            <v>0</v>
          </cell>
          <cell r="L45" t="str">
            <v>Deleted from road sections in Study</v>
          </cell>
        </row>
        <row r="46">
          <cell r="A46" t="str">
            <v>RS 088</v>
          </cell>
          <cell r="B46">
            <v>88</v>
          </cell>
          <cell r="C46" t="str">
            <v>C</v>
          </cell>
          <cell r="D46" t="str">
            <v>T</v>
          </cell>
          <cell r="E46">
            <v>0</v>
          </cell>
          <cell r="F46" t="str">
            <v>S122</v>
          </cell>
          <cell r="G46">
            <v>0</v>
          </cell>
          <cell r="H46" t="str">
            <v>NO ROAD SECTION with this MOWS Project No.</v>
          </cell>
          <cell r="I46">
            <v>0</v>
          </cell>
          <cell r="J46">
            <v>0</v>
          </cell>
          <cell r="K46">
            <v>0</v>
          </cell>
          <cell r="L46" t="str">
            <v>Deleted from road sections in Study</v>
          </cell>
        </row>
        <row r="47">
          <cell r="A47" t="str">
            <v>RS 089</v>
          </cell>
          <cell r="B47">
            <v>89</v>
          </cell>
          <cell r="C47" t="str">
            <v>C</v>
          </cell>
          <cell r="D47" t="str">
            <v>T</v>
          </cell>
          <cell r="E47" t="str">
            <v xml:space="preserve"> Balaka - Salima</v>
          </cell>
          <cell r="F47" t="str">
            <v>M05</v>
          </cell>
          <cell r="G47">
            <v>99</v>
          </cell>
          <cell r="H47">
            <v>158</v>
          </cell>
          <cell r="I47" t="str">
            <v>-</v>
          </cell>
          <cell r="J47" t="str">
            <v>-</v>
          </cell>
          <cell r="K47" t="str">
            <v>Contains RS 51,67,64,59,63,55,41,46,65,56</v>
          </cell>
          <cell r="L47" t="str">
            <v>Section not used in Study</v>
          </cell>
        </row>
        <row r="48">
          <cell r="A48" t="str">
            <v>RS 051</v>
          </cell>
          <cell r="B48">
            <v>51</v>
          </cell>
          <cell r="C48" t="str">
            <v>C</v>
          </cell>
          <cell r="D48" t="str">
            <v>T</v>
          </cell>
          <cell r="E48" t="str">
            <v>Junction S122 - Linthipe River</v>
          </cell>
          <cell r="F48" t="str">
            <v>M05</v>
          </cell>
          <cell r="G48">
            <v>17</v>
          </cell>
          <cell r="H48">
            <v>1.9</v>
          </cell>
          <cell r="I48">
            <v>7</v>
          </cell>
          <cell r="J48" t="str">
            <v>F</v>
          </cell>
          <cell r="K48" t="str">
            <v>SALIMA</v>
          </cell>
        </row>
        <row r="49">
          <cell r="A49" t="str">
            <v>RS 067</v>
          </cell>
          <cell r="B49">
            <v>67</v>
          </cell>
          <cell r="C49" t="str">
            <v>C</v>
          </cell>
          <cell r="D49" t="str">
            <v>T</v>
          </cell>
          <cell r="E49" t="str">
            <v>Linthipe River - Luwadzi River Bridge</v>
          </cell>
          <cell r="F49" t="str">
            <v>M05</v>
          </cell>
          <cell r="G49">
            <v>18</v>
          </cell>
          <cell r="H49">
            <v>20.8</v>
          </cell>
          <cell r="I49">
            <v>7</v>
          </cell>
          <cell r="J49" t="str">
            <v>F</v>
          </cell>
          <cell r="K49" t="str">
            <v>SALIMA</v>
          </cell>
        </row>
        <row r="50">
          <cell r="A50" t="str">
            <v>RS 064</v>
          </cell>
          <cell r="B50">
            <v>64</v>
          </cell>
          <cell r="C50" t="str">
            <v>C</v>
          </cell>
          <cell r="D50" t="str">
            <v>T</v>
          </cell>
          <cell r="E50" t="str">
            <v>Luwadzi River Bridge - Ngodzi River Bridge</v>
          </cell>
          <cell r="F50" t="str">
            <v>M05</v>
          </cell>
          <cell r="G50">
            <v>19</v>
          </cell>
          <cell r="H50">
            <v>15.8</v>
          </cell>
          <cell r="I50">
            <v>7</v>
          </cell>
          <cell r="J50" t="str">
            <v>F</v>
          </cell>
          <cell r="K50" t="str">
            <v>SALIMA</v>
          </cell>
        </row>
        <row r="51">
          <cell r="A51" t="str">
            <v>RS 059</v>
          </cell>
          <cell r="B51">
            <v>59</v>
          </cell>
          <cell r="C51" t="str">
            <v>C</v>
          </cell>
          <cell r="D51" t="str">
            <v>T</v>
          </cell>
          <cell r="E51" t="str">
            <v>Ngodzi River Bridge - Mtakataka</v>
          </cell>
          <cell r="F51" t="str">
            <v>M05</v>
          </cell>
          <cell r="G51">
            <v>20</v>
          </cell>
          <cell r="H51">
            <v>14.3</v>
          </cell>
          <cell r="I51">
            <v>7</v>
          </cell>
          <cell r="J51" t="str">
            <v>F</v>
          </cell>
          <cell r="K51" t="str">
            <v>SALIMA</v>
          </cell>
        </row>
        <row r="52">
          <cell r="A52" t="str">
            <v>RS 063</v>
          </cell>
          <cell r="B52">
            <v>63</v>
          </cell>
          <cell r="C52" t="str">
            <v>C</v>
          </cell>
          <cell r="D52" t="str">
            <v>T</v>
          </cell>
          <cell r="E52" t="str">
            <v>Mtakataka - Golomoti</v>
          </cell>
          <cell r="F52" t="str">
            <v>M05</v>
          </cell>
          <cell r="G52">
            <v>21</v>
          </cell>
          <cell r="H52">
            <v>25.5</v>
          </cell>
          <cell r="I52">
            <v>7</v>
          </cell>
          <cell r="J52" t="str">
            <v>F</v>
          </cell>
          <cell r="K52" t="str">
            <v>DEDZA</v>
          </cell>
        </row>
        <row r="53">
          <cell r="A53" t="str">
            <v>RS 055</v>
          </cell>
          <cell r="B53">
            <v>55</v>
          </cell>
          <cell r="C53" t="str">
            <v>C</v>
          </cell>
          <cell r="D53" t="str">
            <v>T</v>
          </cell>
          <cell r="E53" t="str">
            <v>Golomoti - Kasinje</v>
          </cell>
          <cell r="F53" t="str">
            <v>M05</v>
          </cell>
          <cell r="G53">
            <v>22</v>
          </cell>
          <cell r="H53">
            <v>14.4</v>
          </cell>
          <cell r="I53">
            <v>8</v>
          </cell>
          <cell r="J53" t="str">
            <v>F</v>
          </cell>
          <cell r="K53" t="str">
            <v>NTCHEU</v>
          </cell>
        </row>
        <row r="54">
          <cell r="A54" t="str">
            <v>RS 041</v>
          </cell>
          <cell r="B54">
            <v>41</v>
          </cell>
          <cell r="C54" t="str">
            <v>C</v>
          </cell>
          <cell r="D54" t="str">
            <v>T</v>
          </cell>
          <cell r="E54" t="str">
            <v>Kasinje - Sharpevale</v>
          </cell>
          <cell r="F54" t="str">
            <v>M05</v>
          </cell>
          <cell r="G54">
            <v>23</v>
          </cell>
          <cell r="H54">
            <v>10.5</v>
          </cell>
          <cell r="I54">
            <v>8</v>
          </cell>
          <cell r="J54" t="str">
            <v>F</v>
          </cell>
          <cell r="K54" t="str">
            <v>NTCHEU</v>
          </cell>
        </row>
        <row r="55">
          <cell r="A55" t="str">
            <v>RS 046</v>
          </cell>
          <cell r="B55">
            <v>46</v>
          </cell>
          <cell r="C55" t="str">
            <v>C</v>
          </cell>
          <cell r="D55" t="str">
            <v>T</v>
          </cell>
          <cell r="E55" t="str">
            <v>Sharpevale - Bilila</v>
          </cell>
          <cell r="F55" t="str">
            <v>M05</v>
          </cell>
          <cell r="G55">
            <v>24</v>
          </cell>
          <cell r="H55">
            <v>28.3</v>
          </cell>
          <cell r="I55">
            <v>8</v>
          </cell>
          <cell r="J55" t="str">
            <v>R</v>
          </cell>
          <cell r="K55" t="str">
            <v>NTCHEU</v>
          </cell>
        </row>
        <row r="56">
          <cell r="A56" t="str">
            <v>RS 065</v>
          </cell>
          <cell r="B56">
            <v>65</v>
          </cell>
          <cell r="C56" t="str">
            <v>C</v>
          </cell>
          <cell r="D56" t="str">
            <v>T</v>
          </cell>
          <cell r="E56" t="str">
            <v>Bilila - Linengwe River</v>
          </cell>
          <cell r="F56" t="str">
            <v>M05</v>
          </cell>
          <cell r="G56">
            <v>25</v>
          </cell>
          <cell r="H56">
            <v>5.2</v>
          </cell>
          <cell r="I56">
            <v>8</v>
          </cell>
          <cell r="J56" t="str">
            <v>F</v>
          </cell>
          <cell r="K56" t="str">
            <v>NTCHEU</v>
          </cell>
        </row>
        <row r="57">
          <cell r="A57" t="str">
            <v>RS 056</v>
          </cell>
          <cell r="B57">
            <v>56</v>
          </cell>
          <cell r="C57" t="str">
            <v>C</v>
          </cell>
          <cell r="D57" t="str">
            <v>T</v>
          </cell>
          <cell r="E57" t="str">
            <v>Linengwe River - Balaka Market (junction M1)</v>
          </cell>
          <cell r="F57" t="str">
            <v>M05</v>
          </cell>
          <cell r="G57">
            <v>26</v>
          </cell>
          <cell r="H57">
            <v>7.4</v>
          </cell>
          <cell r="I57">
            <v>8</v>
          </cell>
          <cell r="J57" t="str">
            <v>F</v>
          </cell>
          <cell r="K57" t="str">
            <v>NTCHEU</v>
          </cell>
        </row>
        <row r="58">
          <cell r="A58" t="str">
            <v>RS 116</v>
          </cell>
          <cell r="B58">
            <v>116</v>
          </cell>
          <cell r="C58" t="str">
            <v>S</v>
          </cell>
          <cell r="D58" t="str">
            <v>T</v>
          </cell>
          <cell r="E58" t="str">
            <v>Blantyre - Limbe</v>
          </cell>
          <cell r="F58" t="str">
            <v>M02</v>
          </cell>
          <cell r="G58">
            <v>99</v>
          </cell>
          <cell r="H58">
            <v>7.9</v>
          </cell>
          <cell r="I58">
            <v>9</v>
          </cell>
          <cell r="J58" t="str">
            <v>R</v>
          </cell>
          <cell r="K58" t="str">
            <v>Same as RS 174</v>
          </cell>
          <cell r="L58" t="str">
            <v>Section not used in Study</v>
          </cell>
        </row>
        <row r="59">
          <cell r="A59" t="str">
            <v>RS 174</v>
          </cell>
          <cell r="B59">
            <v>174</v>
          </cell>
          <cell r="C59" t="str">
            <v>S</v>
          </cell>
          <cell r="D59" t="str">
            <v>U</v>
          </cell>
          <cell r="E59" t="str">
            <v>Chipembere Highway (M2, Blantyre - Limbe)</v>
          </cell>
          <cell r="F59" t="str">
            <v>Urban</v>
          </cell>
          <cell r="G59">
            <v>16</v>
          </cell>
          <cell r="H59">
            <v>9</v>
          </cell>
          <cell r="I59" t="str">
            <v>C</v>
          </cell>
          <cell r="J59" t="str">
            <v>R</v>
          </cell>
          <cell r="K59" t="str">
            <v>IN BLANTYRE CITY</v>
          </cell>
        </row>
        <row r="60">
          <cell r="A60" t="str">
            <v>RS 122</v>
          </cell>
          <cell r="B60">
            <v>122</v>
          </cell>
          <cell r="C60" t="str">
            <v>S</v>
          </cell>
          <cell r="D60" t="str">
            <v>T</v>
          </cell>
          <cell r="E60" t="str">
            <v>Nkoloma - Zomba Township Boundary</v>
          </cell>
          <cell r="F60" t="str">
            <v>M03</v>
          </cell>
          <cell r="G60">
            <v>99</v>
          </cell>
          <cell r="H60">
            <v>6.4</v>
          </cell>
          <cell r="I60">
            <v>9</v>
          </cell>
          <cell r="J60" t="str">
            <v>R</v>
          </cell>
          <cell r="K60" t="str">
            <v>Contained within RS 126</v>
          </cell>
          <cell r="L60" t="str">
            <v>Section not used in Study</v>
          </cell>
        </row>
        <row r="61">
          <cell r="A61" t="str">
            <v>RS 126</v>
          </cell>
          <cell r="B61">
            <v>126</v>
          </cell>
          <cell r="C61" t="str">
            <v>S</v>
          </cell>
          <cell r="D61" t="str">
            <v>T</v>
          </cell>
          <cell r="E61" t="str">
            <v>Namadzi River-Zomba South Township Boundary</v>
          </cell>
          <cell r="F61" t="str">
            <v>M03</v>
          </cell>
          <cell r="G61">
            <v>3</v>
          </cell>
          <cell r="H61">
            <v>13.3</v>
          </cell>
          <cell r="I61">
            <v>9</v>
          </cell>
          <cell r="J61" t="str">
            <v>R</v>
          </cell>
          <cell r="K61" t="str">
            <v>ZOMBA</v>
          </cell>
        </row>
        <row r="62">
          <cell r="A62" t="str">
            <v>RS 148</v>
          </cell>
          <cell r="B62">
            <v>148</v>
          </cell>
          <cell r="C62" t="str">
            <v>N</v>
          </cell>
          <cell r="D62" t="str">
            <v>U</v>
          </cell>
          <cell r="E62" t="str">
            <v>Mzuzu Hotel Road</v>
          </cell>
          <cell r="F62" t="str">
            <v>Urban</v>
          </cell>
          <cell r="G62" t="str">
            <v>U</v>
          </cell>
          <cell r="H62">
            <v>2</v>
          </cell>
          <cell r="I62" t="str">
            <v>C</v>
          </cell>
          <cell r="J62" t="str">
            <v>R</v>
          </cell>
          <cell r="K62" t="str">
            <v xml:space="preserve">Split into RS 849 &amp; 850 (bitumen &amp; earth sections) </v>
          </cell>
          <cell r="L62" t="str">
            <v>Section not used in Study</v>
          </cell>
        </row>
        <row r="63">
          <cell r="A63" t="str">
            <v>RS 849</v>
          </cell>
          <cell r="B63" t="str">
            <v>n.a.</v>
          </cell>
          <cell r="C63" t="str">
            <v>N</v>
          </cell>
          <cell r="D63" t="str">
            <v>U</v>
          </cell>
          <cell r="E63" t="str">
            <v>Viphya Drive (Kamuzu Avenue to Mazuzu Hotel)</v>
          </cell>
          <cell r="F63" t="str">
            <v>Urban</v>
          </cell>
          <cell r="G63" t="str">
            <v>U</v>
          </cell>
          <cell r="H63">
            <v>0.5</v>
          </cell>
          <cell r="I63">
            <v>0</v>
          </cell>
          <cell r="J63">
            <v>0</v>
          </cell>
          <cell r="K63" t="str">
            <v>MZUZU CITY</v>
          </cell>
        </row>
        <row r="64">
          <cell r="A64" t="str">
            <v>RS 850</v>
          </cell>
          <cell r="B64" t="str">
            <v>n.a.</v>
          </cell>
          <cell r="C64" t="str">
            <v>N</v>
          </cell>
          <cell r="D64" t="str">
            <v>U</v>
          </cell>
          <cell r="E64" t="str">
            <v>Viphya Drive (Mazuzu Hotel to end)</v>
          </cell>
          <cell r="F64" t="str">
            <v>Urban</v>
          </cell>
          <cell r="G64" t="str">
            <v>U</v>
          </cell>
          <cell r="H64">
            <v>1.5</v>
          </cell>
          <cell r="I64">
            <v>0</v>
          </cell>
          <cell r="J64">
            <v>0</v>
          </cell>
          <cell r="K64" t="str">
            <v>MZUZU CITY</v>
          </cell>
        </row>
        <row r="65">
          <cell r="A65" t="str">
            <v>RS 166</v>
          </cell>
          <cell r="B65">
            <v>166</v>
          </cell>
          <cell r="C65" t="str">
            <v>S</v>
          </cell>
          <cell r="D65" t="str">
            <v>U</v>
          </cell>
          <cell r="E65" t="str">
            <v>Zingwagwa Road (Chikwawa Road - Kapeni Road)</v>
          </cell>
          <cell r="F65" t="str">
            <v>Urban</v>
          </cell>
          <cell r="G65">
            <v>12</v>
          </cell>
          <cell r="H65">
            <v>7.7</v>
          </cell>
          <cell r="I65" t="str">
            <v>C</v>
          </cell>
          <cell r="J65" t="str">
            <v>R</v>
          </cell>
          <cell r="K65" t="str">
            <v>Name &amp; length modified by City Council</v>
          </cell>
          <cell r="L65" t="str">
            <v>See next line for change</v>
          </cell>
        </row>
        <row r="66">
          <cell r="A66" t="str">
            <v>RS 166</v>
          </cell>
          <cell r="B66">
            <v>166</v>
          </cell>
          <cell r="C66" t="str">
            <v>S</v>
          </cell>
          <cell r="D66" t="str">
            <v>U</v>
          </cell>
          <cell r="E66" t="str">
            <v>Kudya - Zingwagwa - Somba</v>
          </cell>
          <cell r="F66" t="str">
            <v>Urban</v>
          </cell>
          <cell r="G66">
            <v>12</v>
          </cell>
          <cell r="H66">
            <v>7.7</v>
          </cell>
          <cell r="I66" t="str">
            <v>C</v>
          </cell>
          <cell r="J66" t="str">
            <v>R</v>
          </cell>
          <cell r="K66" t="str">
            <v>IN BLANTYRE CITY</v>
          </cell>
          <cell r="L66" t="str">
            <v>New section details</v>
          </cell>
        </row>
        <row r="67">
          <cell r="A67" t="str">
            <v>RS 170</v>
          </cell>
          <cell r="B67">
            <v>170</v>
          </cell>
          <cell r="C67" t="str">
            <v>S</v>
          </cell>
          <cell r="D67" t="str">
            <v>U</v>
          </cell>
          <cell r="E67" t="str">
            <v>Zomba - Chikanda</v>
          </cell>
          <cell r="F67" t="str">
            <v>Urban</v>
          </cell>
          <cell r="G67">
            <v>99</v>
          </cell>
          <cell r="H67">
            <v>2</v>
          </cell>
          <cell r="I67" t="str">
            <v>C</v>
          </cell>
          <cell r="J67" t="str">
            <v>R</v>
          </cell>
          <cell r="K67" t="str">
            <v>Split into RS 841 &amp; 842 (bitumen &amp; earth sections)</v>
          </cell>
          <cell r="L67" t="str">
            <v>Section not used in Study</v>
          </cell>
        </row>
        <row r="68">
          <cell r="A68" t="str">
            <v>RS 841</v>
          </cell>
          <cell r="B68">
            <v>170</v>
          </cell>
          <cell r="C68" t="str">
            <v>S</v>
          </cell>
          <cell r="D68" t="str">
            <v>U</v>
          </cell>
          <cell r="E68" t="str">
            <v>Zomba - Chikanda (M1 to end bitumen)</v>
          </cell>
          <cell r="F68" t="str">
            <v>Urban</v>
          </cell>
          <cell r="G68">
            <v>18</v>
          </cell>
          <cell r="H68">
            <v>0.9</v>
          </cell>
          <cell r="I68" t="str">
            <v>C</v>
          </cell>
          <cell r="J68" t="str">
            <v>R</v>
          </cell>
          <cell r="K68" t="str">
            <v>ZOMBA CITY</v>
          </cell>
        </row>
        <row r="69">
          <cell r="A69" t="str">
            <v>RS 842</v>
          </cell>
          <cell r="B69">
            <v>170</v>
          </cell>
          <cell r="C69" t="str">
            <v>S</v>
          </cell>
          <cell r="D69" t="str">
            <v>U</v>
          </cell>
          <cell r="E69" t="str">
            <v>Zomba - Chikanda (end bitumen to end road)</v>
          </cell>
          <cell r="F69" t="str">
            <v>Urban</v>
          </cell>
          <cell r="G69">
            <v>18</v>
          </cell>
          <cell r="H69">
            <v>2.6</v>
          </cell>
          <cell r="I69" t="str">
            <v>C</v>
          </cell>
          <cell r="J69" t="str">
            <v>R</v>
          </cell>
          <cell r="K69" t="str">
            <v>ZOMBA CITY</v>
          </cell>
        </row>
        <row r="70">
          <cell r="A70" t="str">
            <v>RS 172</v>
          </cell>
          <cell r="B70">
            <v>172</v>
          </cell>
          <cell r="C70" t="str">
            <v>S</v>
          </cell>
          <cell r="D70" t="str">
            <v>U</v>
          </cell>
          <cell r="E70" t="str">
            <v>Chancellor College Road</v>
          </cell>
          <cell r="F70" t="str">
            <v>Urban</v>
          </cell>
          <cell r="G70">
            <v>99</v>
          </cell>
          <cell r="H70">
            <v>4.8</v>
          </cell>
          <cell r="I70" t="str">
            <v>C</v>
          </cell>
          <cell r="J70" t="str">
            <v>R</v>
          </cell>
          <cell r="K70" t="str">
            <v>Split into RS 843 &amp; 844 (bitumen &amp; earth sections)</v>
          </cell>
          <cell r="L70" t="str">
            <v>Section not used in Study</v>
          </cell>
        </row>
        <row r="71">
          <cell r="A71" t="str">
            <v>RS 843</v>
          </cell>
          <cell r="B71">
            <v>172</v>
          </cell>
          <cell r="C71" t="str">
            <v>S</v>
          </cell>
          <cell r="D71" t="str">
            <v>U</v>
          </cell>
          <cell r="E71" t="str">
            <v>Chancellor College Road (M1 to College - end bitumen)</v>
          </cell>
          <cell r="F71" t="str">
            <v>Urban</v>
          </cell>
          <cell r="G71">
            <v>20</v>
          </cell>
          <cell r="H71">
            <v>2.6</v>
          </cell>
          <cell r="I71" t="str">
            <v>C</v>
          </cell>
          <cell r="J71" t="str">
            <v>R</v>
          </cell>
          <cell r="K71" t="str">
            <v>ZOMBA CITY</v>
          </cell>
        </row>
        <row r="72">
          <cell r="A72" t="str">
            <v>RS 844</v>
          </cell>
          <cell r="B72">
            <v>172</v>
          </cell>
          <cell r="C72" t="str">
            <v>S</v>
          </cell>
          <cell r="D72" t="str">
            <v>U</v>
          </cell>
          <cell r="E72" t="str">
            <v>Chancellor College Road (end bitumen to end road)</v>
          </cell>
          <cell r="F72" t="str">
            <v>Urban</v>
          </cell>
          <cell r="G72">
            <v>20</v>
          </cell>
          <cell r="H72">
            <v>2.2000000000000002</v>
          </cell>
          <cell r="I72" t="str">
            <v>C</v>
          </cell>
          <cell r="J72" t="str">
            <v>R</v>
          </cell>
          <cell r="K72" t="str">
            <v>ZOMBA CITY</v>
          </cell>
        </row>
        <row r="73">
          <cell r="A73" t="str">
            <v>RS 175</v>
          </cell>
          <cell r="B73">
            <v>175</v>
          </cell>
          <cell r="C73" t="str">
            <v>S</v>
          </cell>
          <cell r="D73" t="str">
            <v>T</v>
          </cell>
          <cell r="E73" t="str">
            <v>Chileka Via Chirimba</v>
          </cell>
          <cell r="F73" t="str">
            <v>S137</v>
          </cell>
          <cell r="G73">
            <v>99</v>
          </cell>
          <cell r="H73">
            <v>18.7</v>
          </cell>
          <cell r="I73">
            <v>9</v>
          </cell>
          <cell r="J73" t="str">
            <v>F</v>
          </cell>
          <cell r="K73" t="str">
            <v>Contains RS 382 &amp; 838</v>
          </cell>
          <cell r="L73" t="str">
            <v>Section not used in Study</v>
          </cell>
        </row>
        <row r="74">
          <cell r="A74" t="str">
            <v>RS 382</v>
          </cell>
          <cell r="B74">
            <v>204</v>
          </cell>
          <cell r="C74" t="str">
            <v>S</v>
          </cell>
          <cell r="D74" t="str">
            <v>T</v>
          </cell>
          <cell r="E74" t="str">
            <v>Chileka Airport - Chirimba (junction M1)</v>
          </cell>
          <cell r="F74" t="str">
            <v>S137</v>
          </cell>
          <cell r="G74">
            <v>6</v>
          </cell>
          <cell r="H74">
            <v>8.3000000000000007</v>
          </cell>
          <cell r="I74">
            <v>9</v>
          </cell>
          <cell r="J74" t="str">
            <v>H</v>
          </cell>
          <cell r="K74" t="str">
            <v>BLANTYRE</v>
          </cell>
        </row>
        <row r="75">
          <cell r="A75" t="str">
            <v>RS 838</v>
          </cell>
          <cell r="B75" t="str">
            <v>n.a.</v>
          </cell>
          <cell r="C75" t="str">
            <v>S</v>
          </cell>
          <cell r="D75" t="str">
            <v>U</v>
          </cell>
          <cell r="E75" t="str">
            <v>Clock Tower - junction M1 (via road S137)</v>
          </cell>
          <cell r="F75" t="str">
            <v>Urban</v>
          </cell>
          <cell r="G75">
            <v>17</v>
          </cell>
          <cell r="H75">
            <v>10.4</v>
          </cell>
          <cell r="I75">
            <v>9</v>
          </cell>
          <cell r="J75" t="str">
            <v>R</v>
          </cell>
          <cell r="K75" t="str">
            <v>BLANTYRE CITY</v>
          </cell>
          <cell r="L75" t="str">
            <v>New section part original RS 175</v>
          </cell>
        </row>
        <row r="76">
          <cell r="A76" t="str">
            <v>RS 177</v>
          </cell>
          <cell r="B76">
            <v>177</v>
          </cell>
          <cell r="C76" t="str">
            <v>S</v>
          </cell>
          <cell r="D76" t="str">
            <v>U</v>
          </cell>
          <cell r="E76" t="str">
            <v>Air Wing Road</v>
          </cell>
          <cell r="F76" t="str">
            <v>Urban</v>
          </cell>
          <cell r="G76">
            <v>99</v>
          </cell>
          <cell r="H76">
            <v>8.6999999999999993</v>
          </cell>
          <cell r="I76" t="str">
            <v>C</v>
          </cell>
          <cell r="J76" t="str">
            <v>R</v>
          </cell>
          <cell r="K76" t="str">
            <v>Same as RS 393</v>
          </cell>
          <cell r="L76" t="str">
            <v>Section not used in Study</v>
          </cell>
        </row>
        <row r="77">
          <cell r="A77" t="str">
            <v>RS 393</v>
          </cell>
          <cell r="B77">
            <v>215</v>
          </cell>
          <cell r="C77" t="str">
            <v>S</v>
          </cell>
          <cell r="D77" t="str">
            <v>T</v>
          </cell>
          <cell r="E77" t="str">
            <v>M3 junction - Ndege (Air Wing)</v>
          </cell>
          <cell r="F77" t="str">
            <v>S143</v>
          </cell>
          <cell r="G77">
            <v>1</v>
          </cell>
          <cell r="H77">
            <v>3.9</v>
          </cell>
          <cell r="I77">
            <v>9</v>
          </cell>
          <cell r="J77" t="str">
            <v>F</v>
          </cell>
          <cell r="K77" t="str">
            <v>ZOMBA</v>
          </cell>
        </row>
        <row r="78">
          <cell r="A78" t="str">
            <v>RS 178</v>
          </cell>
          <cell r="B78">
            <v>178</v>
          </cell>
          <cell r="C78" t="str">
            <v>S</v>
          </cell>
          <cell r="D78" t="str">
            <v>U</v>
          </cell>
          <cell r="E78" t="str">
            <v>Balaka Loop</v>
          </cell>
          <cell r="F78" t="str">
            <v>Urban</v>
          </cell>
          <cell r="G78">
            <v>99</v>
          </cell>
          <cell r="H78">
            <v>1.5</v>
          </cell>
          <cell r="I78">
            <v>8</v>
          </cell>
          <cell r="J78" t="str">
            <v>-</v>
          </cell>
          <cell r="K78" t="str">
            <v>Same as RS 139</v>
          </cell>
          <cell r="L78" t="str">
            <v>Section not used in Study</v>
          </cell>
        </row>
        <row r="79">
          <cell r="A79" t="str">
            <v>RS 139</v>
          </cell>
          <cell r="B79">
            <v>139</v>
          </cell>
          <cell r="C79" t="str">
            <v>S</v>
          </cell>
          <cell r="D79" t="str">
            <v>T</v>
          </cell>
          <cell r="E79" t="str">
            <v xml:space="preserve">Balaka Loop </v>
          </cell>
          <cell r="F79" t="str">
            <v>Urban</v>
          </cell>
          <cell r="G79">
            <v>31</v>
          </cell>
          <cell r="H79">
            <v>1.5</v>
          </cell>
          <cell r="I79">
            <v>8</v>
          </cell>
          <cell r="J79" t="str">
            <v>F</v>
          </cell>
          <cell r="K79" t="str">
            <v>BALAKA TOWN</v>
          </cell>
        </row>
        <row r="80">
          <cell r="A80" t="str">
            <v>RS 179</v>
          </cell>
          <cell r="B80">
            <v>1</v>
          </cell>
          <cell r="C80" t="str">
            <v>N</v>
          </cell>
          <cell r="D80" t="str">
            <v>T</v>
          </cell>
          <cell r="E80" t="str">
            <v>Mkoma - Chelinda T/off</v>
          </cell>
          <cell r="F80" t="str">
            <v>M09</v>
          </cell>
          <cell r="G80" t="str">
            <v>T</v>
          </cell>
          <cell r="H80">
            <v>211.3</v>
          </cell>
          <cell r="I80">
            <v>2</v>
          </cell>
          <cell r="J80" t="str">
            <v>H</v>
          </cell>
          <cell r="K80" t="str">
            <v>Split into RS 847 &amp; 848 for link separation</v>
          </cell>
          <cell r="L80" t="str">
            <v>Section not used in Study</v>
          </cell>
        </row>
        <row r="81">
          <cell r="A81" t="str">
            <v>RS 847</v>
          </cell>
          <cell r="B81" t="str">
            <v>n.a.</v>
          </cell>
          <cell r="C81" t="str">
            <v>N</v>
          </cell>
          <cell r="D81" t="str">
            <v>T</v>
          </cell>
          <cell r="E81" t="str">
            <v>Mkoma (Tanzania border) - Chitipa</v>
          </cell>
          <cell r="F81" t="str">
            <v>M09</v>
          </cell>
          <cell r="G81">
            <v>1</v>
          </cell>
          <cell r="H81">
            <v>44.5</v>
          </cell>
          <cell r="I81">
            <v>1</v>
          </cell>
          <cell r="J81" t="str">
            <v>R</v>
          </cell>
          <cell r="K81" t="str">
            <v>CHITIPA</v>
          </cell>
          <cell r="L81" t="str">
            <v>New section part of original RS 179</v>
          </cell>
        </row>
        <row r="82">
          <cell r="A82" t="str">
            <v>RS 848</v>
          </cell>
          <cell r="B82" t="str">
            <v>n.a.</v>
          </cell>
          <cell r="C82" t="str">
            <v>N</v>
          </cell>
          <cell r="D82" t="str">
            <v>T</v>
          </cell>
          <cell r="E82" t="str">
            <v>Chitipa - Chelinda T/off</v>
          </cell>
          <cell r="F82" t="str">
            <v>M09</v>
          </cell>
          <cell r="G82">
            <v>2</v>
          </cell>
          <cell r="H82">
            <v>166.8</v>
          </cell>
          <cell r="I82">
            <v>1</v>
          </cell>
          <cell r="J82" t="str">
            <v>R</v>
          </cell>
          <cell r="K82" t="str">
            <v>CHITIPA</v>
          </cell>
          <cell r="L82" t="str">
            <v>New section part of original RS 179</v>
          </cell>
        </row>
        <row r="83">
          <cell r="A83" t="str">
            <v>RS 217</v>
          </cell>
          <cell r="B83">
            <v>39</v>
          </cell>
          <cell r="C83" t="str">
            <v>C</v>
          </cell>
          <cell r="D83" t="str">
            <v>T</v>
          </cell>
          <cell r="E83" t="str">
            <v>Railroad Bridge - Kanyenyeva</v>
          </cell>
          <cell r="F83" t="str">
            <v>M14</v>
          </cell>
          <cell r="G83" t="str">
            <v>T</v>
          </cell>
          <cell r="H83">
            <v>12</v>
          </cell>
          <cell r="I83">
            <v>6</v>
          </cell>
          <cell r="J83" t="str">
            <v>R</v>
          </cell>
          <cell r="K83" t="str">
            <v>Contained within RS 216</v>
          </cell>
          <cell r="L83" t="str">
            <v>Section not used in Study</v>
          </cell>
        </row>
        <row r="84">
          <cell r="A84" t="str">
            <v>RS 216</v>
          </cell>
          <cell r="B84">
            <v>38</v>
          </cell>
          <cell r="C84" t="str">
            <v>C</v>
          </cell>
          <cell r="D84" t="str">
            <v>T</v>
          </cell>
          <cell r="E84" t="str">
            <v>Kachinchezo - Kanyenyeva</v>
          </cell>
          <cell r="F84" t="str">
            <v>M14</v>
          </cell>
          <cell r="G84">
            <v>4</v>
          </cell>
          <cell r="H84">
            <v>10.8</v>
          </cell>
          <cell r="I84">
            <v>6</v>
          </cell>
          <cell r="J84" t="str">
            <v>R</v>
          </cell>
          <cell r="K84" t="str">
            <v>DOWA</v>
          </cell>
          <cell r="L84" t="str">
            <v>Changed designation from M16 to M14</v>
          </cell>
        </row>
        <row r="85">
          <cell r="A85" t="str">
            <v>RS 225</v>
          </cell>
          <cell r="B85">
            <v>47</v>
          </cell>
          <cell r="C85" t="str">
            <v>C</v>
          </cell>
          <cell r="D85" t="str">
            <v>T</v>
          </cell>
          <cell r="E85" t="str">
            <v>Msulira - Nkhotakota</v>
          </cell>
          <cell r="F85" t="str">
            <v>M18</v>
          </cell>
          <cell r="G85">
            <v>99</v>
          </cell>
          <cell r="H85">
            <v>80</v>
          </cell>
          <cell r="I85" t="str">
            <v>-</v>
          </cell>
          <cell r="J85" t="str">
            <v>-</v>
          </cell>
          <cell r="K85" t="str">
            <v>Contains RS 49,224,222,223,837,259</v>
          </cell>
          <cell r="L85" t="str">
            <v>Section not used in Study</v>
          </cell>
        </row>
        <row r="86">
          <cell r="A86" t="str">
            <v>RS 049</v>
          </cell>
          <cell r="B86">
            <v>49</v>
          </cell>
          <cell r="C86" t="str">
            <v>C</v>
          </cell>
          <cell r="D86" t="str">
            <v>T</v>
          </cell>
          <cell r="E86" t="str">
            <v>Nkhota-kota - Malenga</v>
          </cell>
          <cell r="F86" t="str">
            <v>M18</v>
          </cell>
          <cell r="G86">
            <v>1</v>
          </cell>
          <cell r="H86">
            <v>5.6</v>
          </cell>
          <cell r="I86">
            <v>5</v>
          </cell>
          <cell r="J86" t="str">
            <v>F</v>
          </cell>
          <cell r="K86" t="str">
            <v>NKHOTA KOTA</v>
          </cell>
          <cell r="L86" t="str">
            <v>Changed designation from M5 to M18</v>
          </cell>
        </row>
        <row r="87">
          <cell r="A87" t="str">
            <v>RS 224</v>
          </cell>
          <cell r="B87">
            <v>46</v>
          </cell>
          <cell r="C87" t="str">
            <v>C</v>
          </cell>
          <cell r="D87" t="str">
            <v>T</v>
          </cell>
          <cell r="E87" t="str">
            <v>Malenga - Nkhotakota Game Reserve</v>
          </cell>
          <cell r="F87" t="str">
            <v>M18</v>
          </cell>
          <cell r="G87">
            <v>2</v>
          </cell>
          <cell r="H87">
            <v>16.100000000000001</v>
          </cell>
          <cell r="I87">
            <v>5</v>
          </cell>
          <cell r="J87" t="str">
            <v>F</v>
          </cell>
          <cell r="K87" t="str">
            <v>NKHOTA KOTA</v>
          </cell>
        </row>
        <row r="88">
          <cell r="A88" t="str">
            <v>RS 222</v>
          </cell>
          <cell r="B88">
            <v>44</v>
          </cell>
          <cell r="C88" t="str">
            <v>C</v>
          </cell>
          <cell r="D88" t="str">
            <v>T</v>
          </cell>
          <cell r="E88" t="str">
            <v>Nkhotakota Game Reserve - Mbobo</v>
          </cell>
          <cell r="F88" t="str">
            <v>M18</v>
          </cell>
          <cell r="G88">
            <v>3</v>
          </cell>
          <cell r="H88">
            <v>32.6</v>
          </cell>
          <cell r="I88">
            <v>5</v>
          </cell>
          <cell r="J88" t="str">
            <v>R</v>
          </cell>
          <cell r="K88" t="str">
            <v>NKHOTA KOTA &amp; NTCHISI</v>
          </cell>
        </row>
        <row r="89">
          <cell r="A89" t="str">
            <v>RS 223</v>
          </cell>
          <cell r="B89">
            <v>45</v>
          </cell>
          <cell r="C89" t="str">
            <v>C</v>
          </cell>
          <cell r="D89" t="str">
            <v>T</v>
          </cell>
          <cell r="E89" t="str">
            <v>Mbobo - Malomo T.C.</v>
          </cell>
          <cell r="F89" t="str">
            <v>M18</v>
          </cell>
          <cell r="G89">
            <v>4</v>
          </cell>
          <cell r="H89">
            <v>18.100000000000001</v>
          </cell>
          <cell r="I89">
            <v>5</v>
          </cell>
          <cell r="J89" t="str">
            <v>R</v>
          </cell>
          <cell r="K89" t="str">
            <v>NTCHISI</v>
          </cell>
        </row>
        <row r="90">
          <cell r="A90" t="str">
            <v>RS 837</v>
          </cell>
          <cell r="B90" t="str">
            <v>n.a.</v>
          </cell>
          <cell r="C90" t="str">
            <v>C</v>
          </cell>
          <cell r="D90" t="str">
            <v>T</v>
          </cell>
          <cell r="E90" t="str">
            <v>Malomo T.C. - Chima</v>
          </cell>
          <cell r="F90" t="str">
            <v>M18</v>
          </cell>
          <cell r="G90">
            <v>5</v>
          </cell>
          <cell r="H90">
            <v>14.4</v>
          </cell>
          <cell r="I90">
            <v>6</v>
          </cell>
          <cell r="J90" t="str">
            <v>R</v>
          </cell>
          <cell r="K90" t="str">
            <v>LILONGWE</v>
          </cell>
          <cell r="L90" t="str">
            <v>New section part of RS 225</v>
          </cell>
        </row>
        <row r="91">
          <cell r="A91" t="str">
            <v>RS 259</v>
          </cell>
          <cell r="B91">
            <v>81</v>
          </cell>
          <cell r="C91" t="str">
            <v>C</v>
          </cell>
          <cell r="D91" t="str">
            <v>T</v>
          </cell>
          <cell r="E91" t="str">
            <v>Chima - Chilowamatambe</v>
          </cell>
          <cell r="F91" t="str">
            <v>M18</v>
          </cell>
          <cell r="G91">
            <v>6</v>
          </cell>
          <cell r="H91">
            <v>14.9</v>
          </cell>
          <cell r="I91">
            <v>5</v>
          </cell>
          <cell r="J91" t="str">
            <v>F</v>
          </cell>
          <cell r="K91" t="str">
            <v>KASUNGU</v>
          </cell>
          <cell r="L91" t="str">
            <v>Changed designation from S120 to M18. Now by-passed.</v>
          </cell>
        </row>
        <row r="92">
          <cell r="A92" t="str">
            <v>RS 228</v>
          </cell>
          <cell r="B92">
            <v>50</v>
          </cell>
          <cell r="C92" t="str">
            <v>C</v>
          </cell>
          <cell r="D92" t="str">
            <v>T</v>
          </cell>
          <cell r="E92" t="str">
            <v>Msokera - Lisitu River</v>
          </cell>
          <cell r="F92" t="str">
            <v>S114</v>
          </cell>
          <cell r="G92">
            <v>99</v>
          </cell>
          <cell r="H92">
            <v>32.5</v>
          </cell>
          <cell r="I92">
            <v>5</v>
          </cell>
          <cell r="J92" t="str">
            <v>F</v>
          </cell>
          <cell r="K92" t="str">
            <v>Contained within RS 229</v>
          </cell>
          <cell r="L92" t="str">
            <v>Section not used in Study</v>
          </cell>
        </row>
        <row r="93">
          <cell r="A93" t="str">
            <v>RS 229</v>
          </cell>
          <cell r="B93">
            <v>51</v>
          </cell>
          <cell r="C93" t="str">
            <v>C</v>
          </cell>
          <cell r="D93" t="str">
            <v>T</v>
          </cell>
          <cell r="E93" t="str">
            <v>Kasungu - Lifupa (Kasungu National Park)</v>
          </cell>
          <cell r="F93" t="str">
            <v>S114</v>
          </cell>
          <cell r="G93">
            <v>1</v>
          </cell>
          <cell r="H93">
            <v>47</v>
          </cell>
          <cell r="I93">
            <v>5</v>
          </cell>
          <cell r="J93" t="str">
            <v>F</v>
          </cell>
          <cell r="K93" t="str">
            <v>KASUNGU</v>
          </cell>
        </row>
        <row r="94">
          <cell r="A94" t="str">
            <v>RS 230</v>
          </cell>
          <cell r="B94">
            <v>52</v>
          </cell>
          <cell r="C94" t="str">
            <v>C</v>
          </cell>
          <cell r="D94" t="str">
            <v>T</v>
          </cell>
          <cell r="E94" t="str">
            <v>Dangaliro - Nambuma River</v>
          </cell>
          <cell r="F94" t="str">
            <v>S115</v>
          </cell>
          <cell r="G94">
            <v>99</v>
          </cell>
          <cell r="H94">
            <v>9.8000000000000007</v>
          </cell>
          <cell r="I94">
            <v>6</v>
          </cell>
          <cell r="J94" t="str">
            <v>F</v>
          </cell>
          <cell r="K94" t="str">
            <v>Contained in RS 232 &amp; 231</v>
          </cell>
          <cell r="L94" t="str">
            <v>Section not used in Study</v>
          </cell>
        </row>
        <row r="95">
          <cell r="A95" t="str">
            <v>RS 232</v>
          </cell>
          <cell r="B95">
            <v>54</v>
          </cell>
          <cell r="C95" t="str">
            <v>C</v>
          </cell>
          <cell r="D95" t="str">
            <v>T</v>
          </cell>
          <cell r="E95" t="str">
            <v>Dangaliro - Mkulumimba</v>
          </cell>
          <cell r="F95" t="str">
            <v>S115</v>
          </cell>
          <cell r="G95">
            <v>3</v>
          </cell>
          <cell r="H95">
            <v>15.4</v>
          </cell>
          <cell r="I95">
            <v>6</v>
          </cell>
          <cell r="J95" t="str">
            <v>F</v>
          </cell>
          <cell r="K95" t="str">
            <v>DOWA</v>
          </cell>
        </row>
        <row r="96">
          <cell r="A96" t="str">
            <v>RS 231</v>
          </cell>
          <cell r="B96">
            <v>53</v>
          </cell>
          <cell r="C96" t="str">
            <v>C</v>
          </cell>
          <cell r="D96" t="str">
            <v>T</v>
          </cell>
          <cell r="E96" t="str">
            <v>Mkulumimba - Bua River Bridge</v>
          </cell>
          <cell r="F96" t="str">
            <v>S115</v>
          </cell>
          <cell r="G96">
            <v>4</v>
          </cell>
          <cell r="H96">
            <v>13</v>
          </cell>
          <cell r="I96">
            <v>6</v>
          </cell>
          <cell r="J96" t="str">
            <v>F</v>
          </cell>
          <cell r="K96" t="str">
            <v>DOWA &amp; LILONGWE</v>
          </cell>
        </row>
        <row r="97">
          <cell r="A97" t="str">
            <v>RS 263</v>
          </cell>
          <cell r="B97">
            <v>85</v>
          </cell>
          <cell r="C97" t="str">
            <v>C</v>
          </cell>
          <cell r="D97" t="str">
            <v>T</v>
          </cell>
          <cell r="E97" t="str">
            <v>Kamphata - Nkhoma</v>
          </cell>
          <cell r="F97" t="str">
            <v>S121</v>
          </cell>
          <cell r="G97">
            <v>99</v>
          </cell>
          <cell r="H97">
            <v>16</v>
          </cell>
          <cell r="I97">
            <v>6</v>
          </cell>
          <cell r="J97" t="str">
            <v>F</v>
          </cell>
          <cell r="K97" t="str">
            <v>Contains RS 273 &amp; 265 (Part of T373)</v>
          </cell>
          <cell r="L97" t="str">
            <v>Section not used in Study</v>
          </cell>
        </row>
        <row r="98">
          <cell r="A98" t="str">
            <v>RS 273</v>
          </cell>
          <cell r="B98">
            <v>95</v>
          </cell>
          <cell r="C98" t="str">
            <v>C</v>
          </cell>
          <cell r="D98" t="str">
            <v>T</v>
          </cell>
          <cell r="E98" t="str">
            <v>Chamadenga - Kamphata</v>
          </cell>
          <cell r="F98" t="str">
            <v>S121</v>
          </cell>
          <cell r="G98">
            <v>8</v>
          </cell>
          <cell r="H98">
            <v>9.1</v>
          </cell>
          <cell r="I98">
            <v>6</v>
          </cell>
          <cell r="J98" t="str">
            <v>F</v>
          </cell>
          <cell r="K98" t="str">
            <v>LILONGWE</v>
          </cell>
        </row>
        <row r="99">
          <cell r="A99" t="str">
            <v>RS 265</v>
          </cell>
          <cell r="B99">
            <v>87</v>
          </cell>
          <cell r="C99" t="str">
            <v>C</v>
          </cell>
          <cell r="D99" t="str">
            <v>F</v>
          </cell>
          <cell r="E99" t="str">
            <v>Chamadenga - Katete River</v>
          </cell>
          <cell r="F99" t="str">
            <v>T373</v>
          </cell>
          <cell r="G99">
            <v>1</v>
          </cell>
          <cell r="H99">
            <v>6.3</v>
          </cell>
          <cell r="I99">
            <v>6</v>
          </cell>
          <cell r="J99" t="str">
            <v>F</v>
          </cell>
          <cell r="K99" t="str">
            <v>LILONGWE</v>
          </cell>
          <cell r="L99" t="str">
            <v>Changed designation from S121 to T373</v>
          </cell>
        </row>
        <row r="100">
          <cell r="A100" t="str">
            <v>RS 244</v>
          </cell>
          <cell r="B100">
            <v>66</v>
          </cell>
          <cell r="C100" t="str">
            <v>C</v>
          </cell>
          <cell r="D100" t="str">
            <v>T</v>
          </cell>
          <cell r="E100" t="str">
            <v>Santhe T.C. - Bua River</v>
          </cell>
          <cell r="F100" t="str">
            <v>S117</v>
          </cell>
          <cell r="G100">
            <v>2</v>
          </cell>
          <cell r="H100">
            <v>6.5</v>
          </cell>
          <cell r="I100" t="str">
            <v>F</v>
          </cell>
          <cell r="J100" t="str">
            <v>KASUNGU</v>
          </cell>
          <cell r="K100" t="str">
            <v>Contained within  RS 246</v>
          </cell>
          <cell r="L100" t="str">
            <v>Section not used in Study</v>
          </cell>
        </row>
        <row r="101">
          <cell r="A101" t="str">
            <v>RS 246</v>
          </cell>
          <cell r="B101">
            <v>68</v>
          </cell>
          <cell r="C101" t="str">
            <v>C</v>
          </cell>
          <cell r="D101" t="str">
            <v>T</v>
          </cell>
          <cell r="E101" t="str">
            <v>Bua River - Chilobwe - Mbabzi</v>
          </cell>
          <cell r="F101" t="str">
            <v>S117</v>
          </cell>
          <cell r="G101">
            <v>3</v>
          </cell>
          <cell r="H101">
            <v>93</v>
          </cell>
          <cell r="I101" t="str">
            <v>F</v>
          </cell>
          <cell r="J101" t="str">
            <v>LL &amp; MC &amp; KU</v>
          </cell>
          <cell r="K101" t="str">
            <v>LILONGWE/MCHINJI/KASUNGU</v>
          </cell>
        </row>
        <row r="102">
          <cell r="A102" t="str">
            <v>RS 287</v>
          </cell>
          <cell r="B102">
            <v>109</v>
          </cell>
          <cell r="C102" t="str">
            <v>C</v>
          </cell>
          <cell r="D102" t="str">
            <v>T</v>
          </cell>
          <cell r="E102" t="str">
            <v>Sitima - Diamphwe River</v>
          </cell>
          <cell r="F102" t="str">
            <v>S124</v>
          </cell>
          <cell r="G102">
            <v>99</v>
          </cell>
          <cell r="H102">
            <v>6.1</v>
          </cell>
          <cell r="I102">
            <v>6</v>
          </cell>
          <cell r="J102" t="str">
            <v>F</v>
          </cell>
          <cell r="K102" t="str">
            <v>Contains RS 661,284,286,288</v>
          </cell>
          <cell r="L102" t="str">
            <v>Section not used in Study</v>
          </cell>
        </row>
        <row r="103">
          <cell r="A103" t="str">
            <v>RS 661</v>
          </cell>
          <cell r="B103">
            <v>483</v>
          </cell>
          <cell r="C103" t="str">
            <v>C</v>
          </cell>
          <cell r="D103" t="str">
            <v>T</v>
          </cell>
          <cell r="E103" t="str">
            <v>Sitima - Kambalanje</v>
          </cell>
          <cell r="F103" t="str">
            <v>S124</v>
          </cell>
          <cell r="G103">
            <v>8</v>
          </cell>
          <cell r="H103">
            <v>1.9</v>
          </cell>
          <cell r="I103">
            <v>6</v>
          </cell>
          <cell r="J103" t="str">
            <v>F</v>
          </cell>
          <cell r="K103" t="str">
            <v>LILONGWE</v>
          </cell>
          <cell r="L103" t="str">
            <v>Changed designation from D198 to S124</v>
          </cell>
        </row>
        <row r="104">
          <cell r="A104" t="str">
            <v>RS 284</v>
          </cell>
          <cell r="B104">
            <v>106</v>
          </cell>
          <cell r="C104" t="str">
            <v>C</v>
          </cell>
          <cell r="D104" t="str">
            <v>T</v>
          </cell>
          <cell r="E104" t="str">
            <v>Kambalanje - Chisendera</v>
          </cell>
          <cell r="F104" t="str">
            <v>S124</v>
          </cell>
          <cell r="G104">
            <v>9</v>
          </cell>
          <cell r="H104">
            <v>7.5</v>
          </cell>
          <cell r="I104">
            <v>6</v>
          </cell>
          <cell r="J104" t="str">
            <v>F</v>
          </cell>
          <cell r="K104" t="str">
            <v>LILONGWE</v>
          </cell>
        </row>
        <row r="105">
          <cell r="A105" t="str">
            <v>RS 286</v>
          </cell>
          <cell r="B105">
            <v>108</v>
          </cell>
          <cell r="C105" t="str">
            <v>C</v>
          </cell>
          <cell r="D105" t="str">
            <v>T</v>
          </cell>
          <cell r="E105" t="str">
            <v>Chisendera - Mlozesi</v>
          </cell>
          <cell r="F105" t="str">
            <v>S124</v>
          </cell>
          <cell r="G105">
            <v>10</v>
          </cell>
          <cell r="H105">
            <v>4.9000000000000004</v>
          </cell>
          <cell r="I105">
            <v>6</v>
          </cell>
          <cell r="J105" t="str">
            <v>F</v>
          </cell>
          <cell r="K105" t="str">
            <v>LILONGWE</v>
          </cell>
        </row>
        <row r="106">
          <cell r="A106" t="str">
            <v>RS 288</v>
          </cell>
          <cell r="B106">
            <v>110</v>
          </cell>
          <cell r="C106" t="str">
            <v>C</v>
          </cell>
          <cell r="D106" t="str">
            <v>T</v>
          </cell>
          <cell r="E106" t="str">
            <v>Mlozesi - Diamphwe River</v>
          </cell>
          <cell r="F106" t="str">
            <v>S124</v>
          </cell>
          <cell r="G106">
            <v>11</v>
          </cell>
          <cell r="H106">
            <v>4.5</v>
          </cell>
          <cell r="I106">
            <v>6</v>
          </cell>
          <cell r="J106" t="str">
            <v>F</v>
          </cell>
          <cell r="K106" t="str">
            <v>LILONGWE</v>
          </cell>
        </row>
        <row r="107">
          <cell r="A107" t="str">
            <v>RS 316</v>
          </cell>
          <cell r="B107">
            <v>138</v>
          </cell>
          <cell r="C107" t="str">
            <v>S</v>
          </cell>
          <cell r="D107" t="str">
            <v>T</v>
          </cell>
          <cell r="E107" t="str">
            <v>Ngabu - Lalanje River</v>
          </cell>
          <cell r="F107" t="str">
            <v>M01</v>
          </cell>
          <cell r="G107">
            <v>99</v>
          </cell>
          <cell r="H107">
            <v>17.399999999999999</v>
          </cell>
          <cell r="I107">
            <v>3</v>
          </cell>
          <cell r="J107" t="str">
            <v>F</v>
          </cell>
          <cell r="K107" t="str">
            <v>Same as RS 097</v>
          </cell>
          <cell r="L107" t="str">
            <v>Section not used in Study</v>
          </cell>
        </row>
        <row r="108">
          <cell r="A108" t="str">
            <v>RS 097</v>
          </cell>
          <cell r="B108">
            <v>97</v>
          </cell>
          <cell r="C108" t="str">
            <v>S</v>
          </cell>
          <cell r="D108" t="str">
            <v>T</v>
          </cell>
          <cell r="E108" t="str">
            <v>Ngabu - Lalanje River</v>
          </cell>
          <cell r="F108" t="str">
            <v>M01</v>
          </cell>
          <cell r="G108">
            <v>50</v>
          </cell>
          <cell r="H108">
            <v>17.399999999999999</v>
          </cell>
          <cell r="I108">
            <v>10</v>
          </cell>
          <cell r="J108" t="str">
            <v>F</v>
          </cell>
          <cell r="K108" t="str">
            <v>CHIKWAWA</v>
          </cell>
        </row>
        <row r="109">
          <cell r="A109" t="str">
            <v>RS 319</v>
          </cell>
          <cell r="B109">
            <v>141</v>
          </cell>
          <cell r="C109" t="str">
            <v>S</v>
          </cell>
          <cell r="D109" t="str">
            <v>T</v>
          </cell>
          <cell r="E109" t="str">
            <v>Bango - Mirale Police Post</v>
          </cell>
          <cell r="F109" t="str">
            <v>M01</v>
          </cell>
          <cell r="G109">
            <v>99</v>
          </cell>
          <cell r="H109">
            <v>11.4</v>
          </cell>
          <cell r="I109">
            <v>9</v>
          </cell>
          <cell r="J109" t="str">
            <v>R</v>
          </cell>
          <cell r="K109" t="str">
            <v>Same as RS 104</v>
          </cell>
          <cell r="L109" t="str">
            <v>Section not used in Study</v>
          </cell>
        </row>
        <row r="110">
          <cell r="A110" t="str">
            <v>RS 104</v>
          </cell>
          <cell r="B110">
            <v>104</v>
          </cell>
          <cell r="C110" t="str">
            <v>S</v>
          </cell>
          <cell r="D110" t="str">
            <v>T</v>
          </cell>
          <cell r="E110" t="str">
            <v>Bango - Mirale Police Post</v>
          </cell>
          <cell r="F110" t="str">
            <v>M01</v>
          </cell>
          <cell r="G110">
            <v>42</v>
          </cell>
          <cell r="H110">
            <v>11.4</v>
          </cell>
          <cell r="I110">
            <v>9</v>
          </cell>
          <cell r="J110" t="str">
            <v>R</v>
          </cell>
          <cell r="K110" t="str">
            <v>BLANTYRE</v>
          </cell>
        </row>
        <row r="111">
          <cell r="A111" t="str">
            <v>RS 330</v>
          </cell>
          <cell r="B111">
            <v>152</v>
          </cell>
          <cell r="C111" t="str">
            <v>S</v>
          </cell>
          <cell r="D111" t="str">
            <v>T</v>
          </cell>
          <cell r="E111" t="str">
            <v>Losa - Luwanje</v>
          </cell>
          <cell r="F111" t="str">
            <v>M04</v>
          </cell>
          <cell r="G111">
            <v>99</v>
          </cell>
          <cell r="H111">
            <v>15.6</v>
          </cell>
          <cell r="I111">
            <v>9</v>
          </cell>
          <cell r="J111" t="str">
            <v>R</v>
          </cell>
          <cell r="K111" t="str">
            <v>Contains RS 758 &amp; 838</v>
          </cell>
          <cell r="L111" t="str">
            <v>Section not used in Study</v>
          </cell>
        </row>
        <row r="112">
          <cell r="A112" t="str">
            <v>RS 758</v>
          </cell>
          <cell r="B112">
            <v>580</v>
          </cell>
          <cell r="C112" t="str">
            <v>S</v>
          </cell>
          <cell r="D112" t="str">
            <v>T</v>
          </cell>
          <cell r="E112" t="str">
            <v>Losa - Thuchila River Bridge</v>
          </cell>
          <cell r="F112" t="str">
            <v>M04</v>
          </cell>
          <cell r="G112">
            <v>4</v>
          </cell>
          <cell r="H112">
            <v>8.6999999999999993</v>
          </cell>
          <cell r="I112">
            <v>9</v>
          </cell>
          <cell r="J112" t="str">
            <v>F</v>
          </cell>
          <cell r="K112" t="str">
            <v>MULANJE</v>
          </cell>
          <cell r="L112" t="str">
            <v>Changed designation from T413  to M04</v>
          </cell>
        </row>
        <row r="113">
          <cell r="A113" t="str">
            <v>RS 838</v>
          </cell>
          <cell r="B113" t="str">
            <v>n.a.</v>
          </cell>
          <cell r="C113" t="str">
            <v>S</v>
          </cell>
          <cell r="D113" t="str">
            <v>T</v>
          </cell>
          <cell r="E113" t="str">
            <v>Thuchila River Bridge - Luwanje T.C.</v>
          </cell>
          <cell r="F113" t="str">
            <v>M04</v>
          </cell>
          <cell r="G113">
            <v>5</v>
          </cell>
          <cell r="H113">
            <v>6.9</v>
          </cell>
          <cell r="I113">
            <v>9</v>
          </cell>
          <cell r="J113" t="str">
            <v>R</v>
          </cell>
          <cell r="K113" t="str">
            <v>MULANJE</v>
          </cell>
          <cell r="L113" t="str">
            <v xml:space="preserve">New section part of RS 330 </v>
          </cell>
        </row>
        <row r="114">
          <cell r="A114" t="str">
            <v>RS 352</v>
          </cell>
          <cell r="B114">
            <v>174</v>
          </cell>
          <cell r="C114" t="str">
            <v>S</v>
          </cell>
          <cell r="D114" t="str">
            <v>T</v>
          </cell>
          <cell r="E114" t="str">
            <v>Matope - Singwa</v>
          </cell>
          <cell r="F114" t="str">
            <v>S131</v>
          </cell>
          <cell r="G114">
            <v>99</v>
          </cell>
          <cell r="H114">
            <v>18.7</v>
          </cell>
          <cell r="I114">
            <v>8</v>
          </cell>
          <cell r="J114" t="str">
            <v>R</v>
          </cell>
          <cell r="K114" t="str">
            <v>Contains RS 355 &amp; 845</v>
          </cell>
          <cell r="L114" t="str">
            <v>Section not used in Study</v>
          </cell>
        </row>
        <row r="115">
          <cell r="A115" t="str">
            <v>RS 355</v>
          </cell>
          <cell r="B115">
            <v>177</v>
          </cell>
          <cell r="C115" t="str">
            <v>S</v>
          </cell>
          <cell r="D115" t="str">
            <v>T</v>
          </cell>
          <cell r="E115" t="str">
            <v>Matope - Ntaja</v>
          </cell>
          <cell r="F115" t="str">
            <v>S131</v>
          </cell>
          <cell r="G115">
            <v>5</v>
          </cell>
          <cell r="H115">
            <v>7.5</v>
          </cell>
          <cell r="I115">
            <v>8</v>
          </cell>
          <cell r="J115" t="str">
            <v>R</v>
          </cell>
          <cell r="K115" t="str">
            <v>MACHINGA</v>
          </cell>
        </row>
        <row r="116">
          <cell r="A116" t="str">
            <v>RS 845</v>
          </cell>
          <cell r="B116" t="str">
            <v>n.a.</v>
          </cell>
          <cell r="C116" t="str">
            <v>S</v>
          </cell>
          <cell r="D116" t="str">
            <v>T</v>
          </cell>
          <cell r="E116" t="str">
            <v>Ntaja - Singwa</v>
          </cell>
          <cell r="F116" t="str">
            <v>S131</v>
          </cell>
          <cell r="G116">
            <v>6</v>
          </cell>
          <cell r="H116">
            <v>11.2</v>
          </cell>
          <cell r="I116">
            <v>8</v>
          </cell>
          <cell r="J116" t="str">
            <v>R</v>
          </cell>
          <cell r="K116" t="str">
            <v>MACHINGA</v>
          </cell>
          <cell r="L116" t="str">
            <v>New section added to cover original RS 352</v>
          </cell>
        </row>
        <row r="117">
          <cell r="A117" t="str">
            <v>RS 375</v>
          </cell>
          <cell r="B117">
            <v>197</v>
          </cell>
          <cell r="C117" t="str">
            <v>S</v>
          </cell>
          <cell r="D117" t="str">
            <v>T</v>
          </cell>
          <cell r="E117" t="str">
            <v>Mwanza River - Phwadzi River</v>
          </cell>
          <cell r="F117" t="str">
            <v>S136</v>
          </cell>
          <cell r="G117">
            <v>99</v>
          </cell>
          <cell r="H117">
            <v>12.1</v>
          </cell>
          <cell r="I117">
            <v>9</v>
          </cell>
          <cell r="J117" t="str">
            <v>R</v>
          </cell>
          <cell r="K117" t="str">
            <v>Contained within RS377</v>
          </cell>
          <cell r="L117" t="str">
            <v>Section not used in Study</v>
          </cell>
        </row>
        <row r="118">
          <cell r="A118" t="str">
            <v>RS 377</v>
          </cell>
          <cell r="B118">
            <v>199</v>
          </cell>
          <cell r="C118" t="str">
            <v>S</v>
          </cell>
          <cell r="D118" t="str">
            <v>T</v>
          </cell>
          <cell r="E118" t="str">
            <v>Mwanza River - Nkhongono</v>
          </cell>
          <cell r="F118" t="str">
            <v>S136</v>
          </cell>
          <cell r="G118">
            <v>8</v>
          </cell>
          <cell r="H118">
            <v>16.399999999999999</v>
          </cell>
          <cell r="I118">
            <v>9</v>
          </cell>
          <cell r="J118" t="str">
            <v>F</v>
          </cell>
          <cell r="K118" t="str">
            <v>CHIKWAWA</v>
          </cell>
        </row>
        <row r="119">
          <cell r="A119" t="str">
            <v>RS 410</v>
          </cell>
          <cell r="B119">
            <v>232</v>
          </cell>
          <cell r="C119" t="str">
            <v>S</v>
          </cell>
          <cell r="D119" t="str">
            <v>T</v>
          </cell>
          <cell r="E119" t="str">
            <v>Zomba - Kuchawe</v>
          </cell>
          <cell r="F119" t="str">
            <v>UD</v>
          </cell>
          <cell r="G119">
            <v>99</v>
          </cell>
          <cell r="H119">
            <v>8.9</v>
          </cell>
          <cell r="I119">
            <v>9</v>
          </cell>
          <cell r="J119" t="str">
            <v>H</v>
          </cell>
          <cell r="K119" t="str">
            <v>Contains RS 176 &amp; 417.</v>
          </cell>
          <cell r="L119" t="str">
            <v>Section not used in Study</v>
          </cell>
        </row>
        <row r="120">
          <cell r="A120" t="str">
            <v>RS 176</v>
          </cell>
          <cell r="B120">
            <v>176</v>
          </cell>
          <cell r="C120" t="str">
            <v>S</v>
          </cell>
          <cell r="D120" t="str">
            <v>U</v>
          </cell>
          <cell r="E120" t="str">
            <v>Kuchawe Road (up road)</v>
          </cell>
          <cell r="F120" t="str">
            <v>Urban</v>
          </cell>
          <cell r="G120">
            <v>22</v>
          </cell>
          <cell r="H120">
            <v>15</v>
          </cell>
          <cell r="I120" t="str">
            <v>C</v>
          </cell>
          <cell r="J120" t="str">
            <v>H</v>
          </cell>
          <cell r="K120" t="str">
            <v>ZOMBA CITY &amp; ZOMBA</v>
          </cell>
        </row>
        <row r="121">
          <cell r="A121" t="str">
            <v>RS 417</v>
          </cell>
          <cell r="B121">
            <v>239</v>
          </cell>
          <cell r="C121" t="str">
            <v>S</v>
          </cell>
          <cell r="D121" t="str">
            <v>T</v>
          </cell>
          <cell r="E121" t="str">
            <v>Kuchawe - Zomba City Boundary (down road)</v>
          </cell>
          <cell r="F121" t="str">
            <v>UD</v>
          </cell>
          <cell r="G121">
            <v>6</v>
          </cell>
          <cell r="H121">
            <v>5.9</v>
          </cell>
          <cell r="I121" t="str">
            <v>C</v>
          </cell>
          <cell r="J121" t="str">
            <v>H</v>
          </cell>
          <cell r="K121" t="str">
            <v xml:space="preserve">ZOMBA </v>
          </cell>
        </row>
        <row r="122">
          <cell r="A122" t="str">
            <v>RS 465</v>
          </cell>
          <cell r="B122">
            <v>287</v>
          </cell>
          <cell r="C122" t="str">
            <v>N</v>
          </cell>
          <cell r="D122" t="str">
            <v>F</v>
          </cell>
          <cell r="E122" t="str">
            <v>Mabulabo - Kasungu Border</v>
          </cell>
          <cell r="F122" t="str">
            <v>T327</v>
          </cell>
          <cell r="G122">
            <v>99</v>
          </cell>
          <cell r="H122">
            <v>3.9</v>
          </cell>
          <cell r="I122">
            <v>4</v>
          </cell>
          <cell r="J122" t="str">
            <v>R</v>
          </cell>
          <cell r="K122" t="str">
            <v xml:space="preserve">Contained within RS 529. </v>
          </cell>
          <cell r="L122" t="str">
            <v>Section not used in Study</v>
          </cell>
        </row>
        <row r="123">
          <cell r="A123" t="str">
            <v>RS 529</v>
          </cell>
          <cell r="B123">
            <v>351</v>
          </cell>
          <cell r="C123" t="str">
            <v>C</v>
          </cell>
          <cell r="D123" t="str">
            <v>F</v>
          </cell>
          <cell r="E123" t="str">
            <v>Kalula - Mabulabo</v>
          </cell>
          <cell r="F123" t="str">
            <v>T327</v>
          </cell>
          <cell r="G123">
            <v>1</v>
          </cell>
          <cell r="H123">
            <v>12.5</v>
          </cell>
          <cell r="I123">
            <v>4</v>
          </cell>
          <cell r="J123" t="str">
            <v>R</v>
          </cell>
          <cell r="K123" t="str">
            <v>KASUNGU/MZIMBA</v>
          </cell>
        </row>
        <row r="124">
          <cell r="A124" t="str">
            <v>RS 468</v>
          </cell>
          <cell r="B124">
            <v>290</v>
          </cell>
          <cell r="C124" t="str">
            <v>N</v>
          </cell>
          <cell r="D124" t="str">
            <v>F</v>
          </cell>
          <cell r="E124" t="str">
            <v>Davide Kameme-Adamu</v>
          </cell>
          <cell r="F124" t="str">
            <v>D002</v>
          </cell>
          <cell r="G124">
            <v>99</v>
          </cell>
          <cell r="H124">
            <v>10</v>
          </cell>
          <cell r="I124" t="str">
            <v>F</v>
          </cell>
          <cell r="J124" t="str">
            <v>CHITIPA</v>
          </cell>
          <cell r="K124" t="str">
            <v>Contiained within RS 444</v>
          </cell>
          <cell r="L124" t="str">
            <v>Section not used in Study</v>
          </cell>
        </row>
        <row r="125">
          <cell r="A125" t="str">
            <v>RS 444</v>
          </cell>
          <cell r="B125">
            <v>266</v>
          </cell>
          <cell r="C125" t="str">
            <v>N</v>
          </cell>
          <cell r="D125" t="str">
            <v>F</v>
          </cell>
          <cell r="E125" t="str">
            <v>Fikolo Mkisi - Winston Kmeme</v>
          </cell>
          <cell r="F125" t="str">
            <v>D002</v>
          </cell>
          <cell r="G125">
            <v>1</v>
          </cell>
          <cell r="H125">
            <v>24.8</v>
          </cell>
          <cell r="I125">
            <v>1</v>
          </cell>
          <cell r="J125" t="str">
            <v>CHITIPA</v>
          </cell>
          <cell r="K125" t="str">
            <v>CHITIPA</v>
          </cell>
          <cell r="L125" t="str">
            <v>Changed designation from T301 to D2</v>
          </cell>
        </row>
        <row r="126">
          <cell r="A126" t="str">
            <v>RS 519</v>
          </cell>
          <cell r="B126">
            <v>341</v>
          </cell>
          <cell r="C126" t="str">
            <v>N</v>
          </cell>
          <cell r="D126" t="str">
            <v>T</v>
          </cell>
          <cell r="E126" t="str">
            <v>Enukweni - Embombeni</v>
          </cell>
          <cell r="F126" t="str">
            <v>M01</v>
          </cell>
          <cell r="G126">
            <v>99</v>
          </cell>
          <cell r="H126">
            <v>14.9</v>
          </cell>
          <cell r="I126">
            <v>3</v>
          </cell>
          <cell r="J126" t="str">
            <v>F&amp;H</v>
          </cell>
          <cell r="K126" t="str">
            <v>Contained in RS 3</v>
          </cell>
          <cell r="L126" t="str">
            <v>Section not used in Study</v>
          </cell>
        </row>
        <row r="127">
          <cell r="A127" t="str">
            <v>RS 003</v>
          </cell>
          <cell r="B127" t="str">
            <v>3</v>
          </cell>
          <cell r="C127" t="str">
            <v>N</v>
          </cell>
          <cell r="D127" t="str">
            <v>T</v>
          </cell>
          <cell r="E127" t="str">
            <v>Luzi River - Mzuzu - Champhoyo - Mtangatanga</v>
          </cell>
          <cell r="F127" t="str">
            <v>M01</v>
          </cell>
          <cell r="G127">
            <v>3</v>
          </cell>
          <cell r="H127">
            <v>107.5</v>
          </cell>
          <cell r="I127" t="str">
            <v>F</v>
          </cell>
          <cell r="J127" t="str">
            <v>RUMPHI &amp; MZIMBA</v>
          </cell>
          <cell r="K127" t="str">
            <v>RUMPHI &amp; MZIMBA</v>
          </cell>
        </row>
        <row r="128">
          <cell r="A128" t="str">
            <v>RS 543</v>
          </cell>
          <cell r="B128">
            <v>365</v>
          </cell>
          <cell r="C128" t="str">
            <v>C</v>
          </cell>
          <cell r="D128" t="str">
            <v>F</v>
          </cell>
          <cell r="E128" t="str">
            <v>Ngombe - junction D82</v>
          </cell>
          <cell r="F128" t="str">
            <v>T340</v>
          </cell>
          <cell r="G128">
            <v>99</v>
          </cell>
          <cell r="H128">
            <v>23</v>
          </cell>
          <cell r="I128">
            <v>5</v>
          </cell>
          <cell r="J128" t="str">
            <v>F</v>
          </cell>
          <cell r="K128" t="str">
            <v>Link does not exist</v>
          </cell>
          <cell r="L128" t="str">
            <v>Not used in Study</v>
          </cell>
        </row>
        <row r="129">
          <cell r="A129" t="str">
            <v>RS 670</v>
          </cell>
          <cell r="B129">
            <v>492</v>
          </cell>
          <cell r="C129" t="str">
            <v>C</v>
          </cell>
          <cell r="D129" t="str">
            <v>F</v>
          </cell>
          <cell r="E129" t="str">
            <v>Nakura - junction S124</v>
          </cell>
          <cell r="F129" t="str">
            <v>T364</v>
          </cell>
          <cell r="G129">
            <v>99</v>
          </cell>
          <cell r="H129">
            <v>10</v>
          </cell>
          <cell r="I129">
            <v>6</v>
          </cell>
          <cell r="J129" t="str">
            <v>FL</v>
          </cell>
          <cell r="K129" t="str">
            <v xml:space="preserve">Contains RS 669, 597 &amp; 566 </v>
          </cell>
          <cell r="L129" t="str">
            <v>Section not used in Study</v>
          </cell>
        </row>
        <row r="130">
          <cell r="A130" t="str">
            <v>RS 669</v>
          </cell>
          <cell r="B130">
            <v>491</v>
          </cell>
          <cell r="C130" t="str">
            <v>C</v>
          </cell>
          <cell r="D130" t="str">
            <v>F</v>
          </cell>
          <cell r="E130" t="str">
            <v>Nakula - Kakoma</v>
          </cell>
          <cell r="F130" t="str">
            <v>T364</v>
          </cell>
          <cell r="G130">
            <v>3</v>
          </cell>
          <cell r="H130">
            <v>8.4</v>
          </cell>
          <cell r="I130" t="str">
            <v>FL</v>
          </cell>
          <cell r="J130" t="str">
            <v>LILONGWE</v>
          </cell>
          <cell r="K130" t="str">
            <v>LILONGWE</v>
          </cell>
          <cell r="L130" t="str">
            <v>Changed designation from UDX to T364</v>
          </cell>
        </row>
        <row r="131">
          <cell r="A131" t="str">
            <v>RS 597</v>
          </cell>
          <cell r="B131">
            <v>419</v>
          </cell>
          <cell r="C131" t="str">
            <v>C</v>
          </cell>
          <cell r="D131" t="str">
            <v>F</v>
          </cell>
          <cell r="E131" t="str">
            <v>Kakoma - Njoka</v>
          </cell>
          <cell r="F131" t="str">
            <v>T364</v>
          </cell>
          <cell r="G131">
            <v>4</v>
          </cell>
          <cell r="H131">
            <v>11.9</v>
          </cell>
          <cell r="I131" t="str">
            <v>FL</v>
          </cell>
          <cell r="J131" t="str">
            <v>LILONGWE</v>
          </cell>
          <cell r="K131" t="str">
            <v>LILONGWE</v>
          </cell>
        </row>
        <row r="132">
          <cell r="A132" t="str">
            <v>RS 566</v>
          </cell>
          <cell r="B132">
            <v>388</v>
          </cell>
          <cell r="C132" t="str">
            <v>C</v>
          </cell>
          <cell r="D132" t="str">
            <v>F</v>
          </cell>
          <cell r="E132" t="str">
            <v>Njoka - Malingunde (junction S124)</v>
          </cell>
          <cell r="F132" t="str">
            <v>T345</v>
          </cell>
          <cell r="G132">
            <v>4</v>
          </cell>
          <cell r="H132">
            <v>9.6999999999999993</v>
          </cell>
          <cell r="I132" t="str">
            <v>F</v>
          </cell>
          <cell r="J132" t="str">
            <v>LILONGWE</v>
          </cell>
          <cell r="K132" t="str">
            <v>LILONGWE</v>
          </cell>
        </row>
        <row r="133">
          <cell r="A133" t="str">
            <v>RS 671</v>
          </cell>
          <cell r="B133">
            <v>493</v>
          </cell>
          <cell r="C133" t="str">
            <v>C</v>
          </cell>
          <cell r="D133" t="str">
            <v>F</v>
          </cell>
          <cell r="E133" t="str">
            <v>North Ngodzi River - Lake Malawi</v>
          </cell>
          <cell r="F133" t="str">
            <v>PR58</v>
          </cell>
          <cell r="G133">
            <v>1</v>
          </cell>
          <cell r="H133">
            <v>8</v>
          </cell>
          <cell r="I133">
            <v>7</v>
          </cell>
          <cell r="J133" t="str">
            <v>F</v>
          </cell>
          <cell r="K133" t="str">
            <v>SALIMA</v>
          </cell>
          <cell r="L133" t="str">
            <v>Can not locate.  Section not used in Sudy</v>
          </cell>
        </row>
        <row r="134">
          <cell r="A134" t="str">
            <v>RS 672</v>
          </cell>
          <cell r="B134">
            <v>494</v>
          </cell>
          <cell r="C134" t="str">
            <v>C</v>
          </cell>
          <cell r="D134" t="str">
            <v>F</v>
          </cell>
          <cell r="E134" t="str">
            <v>junction T357 - West Chelani</v>
          </cell>
          <cell r="F134" t="str">
            <v>PR92</v>
          </cell>
          <cell r="G134">
            <v>1</v>
          </cell>
          <cell r="H134">
            <v>11.5</v>
          </cell>
          <cell r="I134">
            <v>7</v>
          </cell>
          <cell r="J134" t="str">
            <v>F</v>
          </cell>
          <cell r="K134" t="str">
            <v>SALMA</v>
          </cell>
          <cell r="L134" t="str">
            <v>Can not locate.  Section not used in Sudy</v>
          </cell>
        </row>
        <row r="135">
          <cell r="A135" t="str">
            <v>RS 698</v>
          </cell>
          <cell r="B135">
            <v>520</v>
          </cell>
          <cell r="C135" t="str">
            <v>S</v>
          </cell>
          <cell r="D135" t="str">
            <v>F</v>
          </cell>
          <cell r="E135" t="str">
            <v>Maundani- Machina</v>
          </cell>
          <cell r="F135" t="str">
            <v>T392</v>
          </cell>
          <cell r="G135">
            <v>99</v>
          </cell>
          <cell r="H135">
            <v>12</v>
          </cell>
          <cell r="I135" t="str">
            <v>H</v>
          </cell>
          <cell r="J135" t="str">
            <v>Same as RS 696</v>
          </cell>
          <cell r="K135" t="str">
            <v>Same as RS 696</v>
          </cell>
          <cell r="L135" t="str">
            <v>Section not used in Study</v>
          </cell>
        </row>
        <row r="136">
          <cell r="A136" t="str">
            <v>RS 696</v>
          </cell>
          <cell r="B136">
            <v>518</v>
          </cell>
          <cell r="C136" t="str">
            <v>S</v>
          </cell>
          <cell r="D136" t="str">
            <v>F</v>
          </cell>
          <cell r="E136" t="str">
            <v>Maundani - Machina</v>
          </cell>
          <cell r="F136" t="str">
            <v>T392</v>
          </cell>
          <cell r="G136">
            <v>2</v>
          </cell>
          <cell r="H136">
            <v>17</v>
          </cell>
          <cell r="I136" t="str">
            <v>H</v>
          </cell>
          <cell r="J136" t="str">
            <v>MANGOCHI</v>
          </cell>
          <cell r="K136" t="str">
            <v>MANGOCHI</v>
          </cell>
        </row>
        <row r="137">
          <cell r="A137" t="str">
            <v>RS 790</v>
          </cell>
          <cell r="B137">
            <v>612</v>
          </cell>
          <cell r="C137" t="str">
            <v>S</v>
          </cell>
          <cell r="D137" t="str">
            <v>F</v>
          </cell>
          <cell r="E137" t="str">
            <v>Namikalango River - Ngabu</v>
          </cell>
          <cell r="F137" t="str">
            <v>T424</v>
          </cell>
          <cell r="G137">
            <v>99</v>
          </cell>
          <cell r="H137">
            <v>10</v>
          </cell>
          <cell r="I137">
            <v>10</v>
          </cell>
          <cell r="J137" t="str">
            <v>H</v>
          </cell>
          <cell r="K137" t="str">
            <v>Same as RS 785</v>
          </cell>
          <cell r="L137" t="str">
            <v>Section not used in Study</v>
          </cell>
        </row>
        <row r="138">
          <cell r="A138" t="str">
            <v>RS 785</v>
          </cell>
          <cell r="B138">
            <v>607</v>
          </cell>
          <cell r="C138" t="str">
            <v>S</v>
          </cell>
          <cell r="D138" t="str">
            <v>F</v>
          </cell>
          <cell r="E138" t="str">
            <v>Namikalango River - Ngabu</v>
          </cell>
          <cell r="F138" t="str">
            <v>T424</v>
          </cell>
          <cell r="G138">
            <v>2</v>
          </cell>
          <cell r="H138">
            <v>7.1</v>
          </cell>
          <cell r="I138">
            <v>10</v>
          </cell>
          <cell r="J138" t="str">
            <v>FL</v>
          </cell>
          <cell r="K138" t="str">
            <v>CHIKWAWA</v>
          </cell>
        </row>
        <row r="139">
          <cell r="A139" t="str">
            <v>RS 800</v>
          </cell>
          <cell r="B139">
            <v>622</v>
          </cell>
          <cell r="C139" t="str">
            <v>S</v>
          </cell>
          <cell r="D139" t="str">
            <v>F</v>
          </cell>
          <cell r="E139" t="str">
            <v>Mwanza Admarc - West Chipondeni</v>
          </cell>
          <cell r="F139" t="str">
            <v>S135</v>
          </cell>
          <cell r="G139">
            <v>99</v>
          </cell>
          <cell r="H139">
            <v>21</v>
          </cell>
          <cell r="I139">
            <v>9</v>
          </cell>
          <cell r="J139" t="str">
            <v>F</v>
          </cell>
          <cell r="K139" t="str">
            <v>Contians RS 362, 363 &amp; 364</v>
          </cell>
          <cell r="L139" t="str">
            <v>Changed designation frim D287 to S135. Not used in Study</v>
          </cell>
        </row>
        <row r="140">
          <cell r="A140" t="str">
            <v>RS 362</v>
          </cell>
          <cell r="B140">
            <v>184</v>
          </cell>
          <cell r="C140" t="str">
            <v>S</v>
          </cell>
          <cell r="D140" t="str">
            <v>T</v>
          </cell>
          <cell r="E140" t="str">
            <v>Chipondeni - Kunenekude</v>
          </cell>
          <cell r="F140" t="str">
            <v>S135</v>
          </cell>
          <cell r="G140">
            <v>9</v>
          </cell>
          <cell r="H140">
            <v>5.5</v>
          </cell>
          <cell r="I140" t="str">
            <v>H</v>
          </cell>
          <cell r="J140" t="str">
            <v>MWANZA</v>
          </cell>
          <cell r="K140" t="str">
            <v>MWANZA</v>
          </cell>
        </row>
        <row r="141">
          <cell r="A141" t="str">
            <v>RS 363</v>
          </cell>
          <cell r="B141">
            <v>185</v>
          </cell>
          <cell r="C141" t="str">
            <v>S</v>
          </cell>
          <cell r="D141" t="str">
            <v>T</v>
          </cell>
          <cell r="E141" t="str">
            <v>Kunenekude - Mwanza Admarc</v>
          </cell>
          <cell r="F141" t="str">
            <v>S135</v>
          </cell>
          <cell r="G141">
            <v>10</v>
          </cell>
          <cell r="H141">
            <v>12</v>
          </cell>
          <cell r="I141" t="str">
            <v>H</v>
          </cell>
          <cell r="J141" t="str">
            <v>MWANZA</v>
          </cell>
          <cell r="K141" t="str">
            <v>MWANZA</v>
          </cell>
        </row>
        <row r="142">
          <cell r="A142" t="str">
            <v>RS 364</v>
          </cell>
          <cell r="B142">
            <v>186</v>
          </cell>
          <cell r="C142" t="str">
            <v>S</v>
          </cell>
          <cell r="D142" t="str">
            <v>T</v>
          </cell>
          <cell r="E142" t="str">
            <v>Mwanza Admarc - Liwonde Village (junction M6)</v>
          </cell>
          <cell r="F142" t="str">
            <v>S135</v>
          </cell>
          <cell r="G142">
            <v>11</v>
          </cell>
          <cell r="H142">
            <v>3.8</v>
          </cell>
          <cell r="I142">
            <v>0</v>
          </cell>
          <cell r="J142">
            <v>0</v>
          </cell>
          <cell r="K142" t="str">
            <v>MWANZA</v>
          </cell>
        </row>
      </sheetData>
      <sheetData sheetId="3" refreshError="1">
        <row r="1">
          <cell r="A1">
            <v>0</v>
          </cell>
          <cell r="B1">
            <v>0</v>
          </cell>
          <cell r="C1">
            <v>0</v>
          </cell>
          <cell r="D1">
            <v>0</v>
          </cell>
          <cell r="E1">
            <v>0</v>
          </cell>
          <cell r="F1">
            <v>0</v>
          </cell>
          <cell r="G1">
            <v>0</v>
          </cell>
          <cell r="H1">
            <v>0</v>
          </cell>
          <cell r="I1">
            <v>0</v>
          </cell>
          <cell r="J1">
            <v>0</v>
          </cell>
          <cell r="K1">
            <v>0</v>
          </cell>
          <cell r="L1">
            <v>0</v>
          </cell>
          <cell r="W1" t="str">
            <v>Origional</v>
          </cell>
          <cell r="X1">
            <v>0</v>
          </cell>
          <cell r="Y1">
            <v>0</v>
          </cell>
          <cell r="Z1">
            <v>0</v>
          </cell>
          <cell r="AA1">
            <v>0</v>
          </cell>
          <cell r="AB1">
            <v>0</v>
          </cell>
          <cell r="AC1">
            <v>0</v>
          </cell>
          <cell r="AD1">
            <v>0</v>
          </cell>
          <cell r="AE1" t="str">
            <v>Treatment 1</v>
          </cell>
          <cell r="AF1">
            <v>0</v>
          </cell>
          <cell r="AG1">
            <v>0</v>
          </cell>
          <cell r="AH1">
            <v>0</v>
          </cell>
          <cell r="AI1" t="str">
            <v>Treatment 2</v>
          </cell>
          <cell r="AJ1">
            <v>0</v>
          </cell>
          <cell r="AK1">
            <v>0</v>
          </cell>
          <cell r="AL1">
            <v>0</v>
          </cell>
          <cell r="AM1">
            <v>0</v>
          </cell>
          <cell r="AN1">
            <v>0</v>
          </cell>
          <cell r="BO1" t="str">
            <v>HDM III INPUT DATA</v>
          </cell>
          <cell r="BP1">
            <v>0</v>
          </cell>
          <cell r="BQ1">
            <v>0</v>
          </cell>
          <cell r="BR1" t="str">
            <v>x</v>
          </cell>
          <cell r="BS1">
            <v>0</v>
          </cell>
          <cell r="BT1" t="str">
            <v>x</v>
          </cell>
          <cell r="BU1">
            <v>0</v>
          </cell>
          <cell r="BV1">
            <v>0</v>
          </cell>
          <cell r="BW1">
            <v>1</v>
          </cell>
          <cell r="BX1">
            <v>2</v>
          </cell>
          <cell r="BY1">
            <v>3</v>
          </cell>
          <cell r="BZ1">
            <v>4</v>
          </cell>
          <cell r="CA1">
            <v>5</v>
          </cell>
          <cell r="CB1">
            <v>6</v>
          </cell>
          <cell r="CC1">
            <v>7</v>
          </cell>
          <cell r="CD1" t="str">
            <v>x</v>
          </cell>
          <cell r="CE1" t="str">
            <v>x</v>
          </cell>
          <cell r="CF1" t="str">
            <v>x</v>
          </cell>
          <cell r="CG1">
            <v>8</v>
          </cell>
          <cell r="CH1">
            <v>9</v>
          </cell>
          <cell r="CI1">
            <v>0</v>
          </cell>
          <cell r="CJ1">
            <v>10</v>
          </cell>
          <cell r="CK1" t="str">
            <v xml:space="preserve">IRI change </v>
          </cell>
          <cell r="CL1">
            <v>0</v>
          </cell>
          <cell r="CM1">
            <v>0</v>
          </cell>
          <cell r="CN1">
            <v>0</v>
          </cell>
          <cell r="CO1">
            <v>0</v>
          </cell>
          <cell r="CP1">
            <v>0</v>
          </cell>
          <cell r="CQ1" t="str">
            <v>x</v>
          </cell>
          <cell r="CR1">
            <v>11</v>
          </cell>
          <cell r="CS1">
            <v>0</v>
          </cell>
          <cell r="CT1">
            <v>12</v>
          </cell>
          <cell r="CU1">
            <v>13</v>
          </cell>
          <cell r="CV1">
            <v>14</v>
          </cell>
          <cell r="CW1">
            <v>15</v>
          </cell>
          <cell r="CX1">
            <v>16</v>
          </cell>
          <cell r="CY1" t="str">
            <v>x</v>
          </cell>
          <cell r="CZ1" t="str">
            <v>x</v>
          </cell>
          <cell r="DA1" t="str">
            <v>x</v>
          </cell>
          <cell r="DB1">
            <v>0</v>
          </cell>
          <cell r="DC1">
            <v>17</v>
          </cell>
          <cell r="DD1">
            <v>18</v>
          </cell>
          <cell r="DE1">
            <v>19</v>
          </cell>
          <cell r="DF1">
            <v>20</v>
          </cell>
          <cell r="DG1">
            <v>21</v>
          </cell>
          <cell r="DH1">
            <v>22</v>
          </cell>
          <cell r="DI1">
            <v>23</v>
          </cell>
        </row>
        <row r="2">
          <cell r="A2" t="str">
            <v>Road Section No.</v>
          </cell>
          <cell r="B2" t="str">
            <v>MOWS Project No.</v>
          </cell>
          <cell r="C2" t="str">
            <v>Region</v>
          </cell>
          <cell r="D2" t="str">
            <v>Road class</v>
          </cell>
          <cell r="E2" t="str">
            <v>Road section</v>
          </cell>
          <cell r="F2" t="str">
            <v>Designation</v>
          </cell>
          <cell r="G2" t="str">
            <v>Sequence</v>
          </cell>
          <cell r="H2" t="str">
            <v>Length (km)</v>
          </cell>
          <cell r="I2" t="str">
            <v>Terrain</v>
          </cell>
          <cell r="J2" t="str">
            <v>District</v>
          </cell>
          <cell r="K2" t="str">
            <v>Map sheet No.</v>
          </cell>
          <cell r="L2" t="str">
            <v>Comments</v>
          </cell>
          <cell r="W2" t="str">
            <v>Year constructed</v>
          </cell>
          <cell r="X2" t="str">
            <v>Surface type</v>
          </cell>
          <cell r="Y2" t="str">
            <v>Base thickness</v>
          </cell>
          <cell r="Z2" t="str">
            <v>Base type</v>
          </cell>
          <cell r="AA2" t="str">
            <v>Sub base thick</v>
          </cell>
          <cell r="AB2" t="str">
            <v>Sub base type</v>
          </cell>
          <cell r="AC2" t="str">
            <v>Sub grade CBR</v>
          </cell>
          <cell r="AD2" t="str">
            <v>Basis of data</v>
          </cell>
          <cell r="AE2" t="str">
            <v>Year treated</v>
          </cell>
          <cell r="AF2" t="str">
            <v>Treatment type</v>
          </cell>
          <cell r="AG2" t="str">
            <v>Surface type</v>
          </cell>
          <cell r="AH2" t="str">
            <v>Surface thickness</v>
          </cell>
          <cell r="AI2" t="str">
            <v>Year treated</v>
          </cell>
          <cell r="AJ2" t="str">
            <v>Treatment type</v>
          </cell>
          <cell r="AK2" t="str">
            <v>Surface type</v>
          </cell>
          <cell r="AL2" t="str">
            <v>Surface thickness</v>
          </cell>
          <cell r="AM2" t="str">
            <v>HDM surface code</v>
          </cell>
          <cell r="AN2" t="str">
            <v>Comments</v>
          </cell>
          <cell r="BO2" t="str">
            <v>Road Section No.</v>
          </cell>
          <cell r="BP2" t="str">
            <v>Length (km)</v>
          </cell>
          <cell r="BQ2" t="str">
            <v>Bitumen width (m)</v>
          </cell>
          <cell r="BR2" t="str">
            <v>Terrain</v>
          </cell>
          <cell r="BS2" t="str">
            <v>Surface type (field)</v>
          </cell>
          <cell r="BT2" t="str">
            <v>Gravel (% length)</v>
          </cell>
          <cell r="BU2" t="str">
            <v>Current surf. type</v>
          </cell>
          <cell r="BV2" t="str">
            <v>Prev. surface type</v>
          </cell>
          <cell r="BW2" t="str">
            <v>HDM surface code</v>
          </cell>
          <cell r="BX2" t="str">
            <v>Current surf. thick</v>
          </cell>
          <cell r="BY2" t="str">
            <v>Prev. surface thick</v>
          </cell>
          <cell r="BZ2" t="str">
            <v>Base mat'l code</v>
          </cell>
          <cell r="CA2" t="str">
            <v>Subgrade CBR</v>
          </cell>
          <cell r="CB2" t="str">
            <v>Structural No.</v>
          </cell>
          <cell r="CC2" t="str">
            <v>Roughness (IRI)</v>
          </cell>
          <cell r="CD2" t="str">
            <v xml:space="preserve">All cracks (%area) </v>
          </cell>
          <cell r="CE2" t="str">
            <v>Wide c'ks (%area)</v>
          </cell>
          <cell r="CF2" t="str">
            <v>Wide crack &gt;15%</v>
          </cell>
          <cell r="CG2" t="str">
            <v>All crack (end 98)</v>
          </cell>
          <cell r="CH2" t="str">
            <v>Wide c'ks (end 98)</v>
          </cell>
          <cell r="CI2" t="str">
            <v>Pothole /km</v>
          </cell>
          <cell r="CJ2" t="str">
            <v>Pothole (%area)</v>
          </cell>
          <cell r="CK2" t="str">
            <v>Delta minASPm</v>
          </cell>
          <cell r="CL2" t="str">
            <v>Delta CRXm</v>
          </cell>
          <cell r="CM2" t="str">
            <v>Delta IRIm</v>
          </cell>
          <cell r="CN2" t="str">
            <v>Min Delta IRIm</v>
          </cell>
          <cell r="CO2" t="str">
            <v>Patch /km</v>
          </cell>
          <cell r="CP2" t="str">
            <v>Patch (%area)</v>
          </cell>
          <cell r="CQ2" t="str">
            <v>IRI after patch</v>
          </cell>
          <cell r="CR2" t="str">
            <v xml:space="preserve">Ravelling (%area) </v>
          </cell>
          <cell r="CS2" t="str">
            <v>Ruts rating</v>
          </cell>
          <cell r="CT2" t="str">
            <v>Mean rut (mm)</v>
          </cell>
          <cell r="CU2" t="str">
            <v>S.D. rut (mm)</v>
          </cell>
          <cell r="CV2" t="str">
            <v>Surface age (yrs)</v>
          </cell>
          <cell r="CW2" t="str">
            <v xml:space="preserve">Const. Age (yrs) </v>
          </cell>
          <cell r="CX2" t="str">
            <v>Previous wide c'ks</v>
          </cell>
          <cell r="CY2" t="str">
            <v>Edge break rating</v>
          </cell>
          <cell r="CZ2" t="str">
            <v>Shoulder rating</v>
          </cell>
          <cell r="DA2" t="str">
            <v>Side drain rating</v>
          </cell>
          <cell r="DB2" t="str">
            <v>ADT total</v>
          </cell>
          <cell r="DC2" t="str">
            <v>ADT car</v>
          </cell>
          <cell r="DD2" t="str">
            <v>ADT pickup</v>
          </cell>
          <cell r="DE2" t="str">
            <v>ADT bus</v>
          </cell>
          <cell r="DF2" t="str">
            <v>ADT light truck</v>
          </cell>
          <cell r="DG2" t="str">
            <v>ADT med. Truck</v>
          </cell>
          <cell r="DH2" t="str">
            <v>ADT heavy truck</v>
          </cell>
          <cell r="DI2" t="str">
            <v>ADT artic truck</v>
          </cell>
        </row>
        <row r="3">
          <cell r="A3" t="str">
            <v>RS 839</v>
          </cell>
          <cell r="B3" t="str">
            <v>n.a</v>
          </cell>
          <cell r="C3" t="str">
            <v>N</v>
          </cell>
          <cell r="D3" t="str">
            <v>T</v>
          </cell>
          <cell r="E3" t="str">
            <v>Songwe - Karonga</v>
          </cell>
          <cell r="F3" t="str">
            <v>M01</v>
          </cell>
          <cell r="G3">
            <v>1</v>
          </cell>
          <cell r="H3">
            <v>43</v>
          </cell>
          <cell r="I3" t="str">
            <v>F</v>
          </cell>
          <cell r="J3" t="str">
            <v>KARONGA</v>
          </cell>
          <cell r="K3">
            <v>1</v>
          </cell>
          <cell r="L3" t="str">
            <v>Part of RS1</v>
          </cell>
          <cell r="W3">
            <v>92</v>
          </cell>
          <cell r="X3" t="str">
            <v>DS</v>
          </cell>
          <cell r="Y3">
            <v>150</v>
          </cell>
          <cell r="Z3" t="str">
            <v>SB</v>
          </cell>
          <cell r="AA3">
            <v>100</v>
          </cell>
          <cell r="AB3" t="str">
            <v>GR</v>
          </cell>
          <cell r="AC3">
            <v>12</v>
          </cell>
          <cell r="AD3" t="str">
            <v>VR</v>
          </cell>
          <cell r="AE3">
            <v>0</v>
          </cell>
          <cell r="AF3">
            <v>0</v>
          </cell>
          <cell r="AG3">
            <v>0</v>
          </cell>
          <cell r="AH3">
            <v>0</v>
          </cell>
          <cell r="AI3">
            <v>0</v>
          </cell>
          <cell r="AJ3">
            <v>0</v>
          </cell>
          <cell r="AK3">
            <v>0</v>
          </cell>
          <cell r="AL3">
            <v>0</v>
          </cell>
          <cell r="AM3">
            <v>1</v>
          </cell>
          <cell r="AN3" t="str">
            <v>never resealed</v>
          </cell>
          <cell r="BO3" t="str">
            <v>RS 839</v>
          </cell>
          <cell r="BP3">
            <v>43</v>
          </cell>
          <cell r="BQ3">
            <v>6.7</v>
          </cell>
          <cell r="BR3" t="str">
            <v>F</v>
          </cell>
          <cell r="BS3" t="str">
            <v>C</v>
          </cell>
          <cell r="BT3">
            <v>11</v>
          </cell>
          <cell r="BU3" t="str">
            <v>DS</v>
          </cell>
          <cell r="BV3" t="str">
            <v/>
          </cell>
          <cell r="BW3">
            <v>1</v>
          </cell>
          <cell r="BX3">
            <v>15</v>
          </cell>
          <cell r="BY3" t="str">
            <v xml:space="preserve"> </v>
          </cell>
          <cell r="BZ3">
            <v>1</v>
          </cell>
          <cell r="CA3">
            <v>12</v>
          </cell>
          <cell r="CB3">
            <v>1.177</v>
          </cell>
          <cell r="CC3">
            <v>3.85</v>
          </cell>
          <cell r="CD3">
            <v>12.5</v>
          </cell>
          <cell r="CE3">
            <v>2</v>
          </cell>
          <cell r="CF3">
            <v>0</v>
          </cell>
          <cell r="CG3">
            <v>12.5</v>
          </cell>
          <cell r="CH3">
            <v>2</v>
          </cell>
          <cell r="CI3">
            <v>0</v>
          </cell>
          <cell r="CJ3">
            <v>0</v>
          </cell>
          <cell r="CK3">
            <v>0</v>
          </cell>
          <cell r="CL3">
            <v>0</v>
          </cell>
          <cell r="CM3">
            <v>0</v>
          </cell>
          <cell r="CN3">
            <v>0</v>
          </cell>
          <cell r="CO3">
            <v>0</v>
          </cell>
          <cell r="CP3">
            <v>0</v>
          </cell>
          <cell r="CQ3">
            <v>3.85</v>
          </cell>
          <cell r="CR3">
            <v>0</v>
          </cell>
          <cell r="CS3">
            <v>1</v>
          </cell>
          <cell r="CT3">
            <v>0</v>
          </cell>
          <cell r="CU3">
            <v>0</v>
          </cell>
          <cell r="CV3">
            <v>6</v>
          </cell>
          <cell r="CW3">
            <v>6</v>
          </cell>
          <cell r="CX3" t="str">
            <v xml:space="preserve"> </v>
          </cell>
          <cell r="CY3">
            <v>1</v>
          </cell>
          <cell r="CZ3">
            <v>1</v>
          </cell>
          <cell r="DA3">
            <v>1</v>
          </cell>
          <cell r="DB3">
            <v>220</v>
          </cell>
          <cell r="DC3">
            <v>104</v>
          </cell>
          <cell r="DD3">
            <v>58</v>
          </cell>
          <cell r="DE3">
            <v>17</v>
          </cell>
          <cell r="DF3">
            <v>26</v>
          </cell>
          <cell r="DG3">
            <v>5</v>
          </cell>
          <cell r="DH3">
            <v>3</v>
          </cell>
          <cell r="DI3">
            <v>11</v>
          </cell>
        </row>
        <row r="4">
          <cell r="A4" t="str">
            <v>RS 840</v>
          </cell>
          <cell r="B4" t="str">
            <v>n.a</v>
          </cell>
          <cell r="C4" t="str">
            <v>N</v>
          </cell>
          <cell r="D4" t="str">
            <v>T</v>
          </cell>
          <cell r="E4" t="str">
            <v>Karonga - Chitimba River</v>
          </cell>
          <cell r="F4" t="str">
            <v>M01</v>
          </cell>
          <cell r="G4">
            <v>2</v>
          </cell>
          <cell r="H4">
            <v>77</v>
          </cell>
          <cell r="I4" t="str">
            <v>F</v>
          </cell>
          <cell r="J4" t="str">
            <v>KARONGA</v>
          </cell>
          <cell r="K4">
            <v>1</v>
          </cell>
          <cell r="L4" t="str">
            <v>Part of RS1</v>
          </cell>
          <cell r="W4">
            <v>79</v>
          </cell>
          <cell r="X4" t="str">
            <v>DS</v>
          </cell>
          <cell r="Y4">
            <v>150</v>
          </cell>
          <cell r="Z4" t="str">
            <v>SB</v>
          </cell>
          <cell r="AA4">
            <v>100</v>
          </cell>
          <cell r="AB4" t="str">
            <v>GR</v>
          </cell>
          <cell r="AC4">
            <v>12</v>
          </cell>
          <cell r="AD4" t="str">
            <v>VR</v>
          </cell>
          <cell r="AE4">
            <v>0</v>
          </cell>
          <cell r="AF4">
            <v>0</v>
          </cell>
          <cell r="AG4">
            <v>0</v>
          </cell>
          <cell r="AH4">
            <v>0</v>
          </cell>
          <cell r="AI4">
            <v>0</v>
          </cell>
          <cell r="AJ4">
            <v>0</v>
          </cell>
          <cell r="AK4">
            <v>0</v>
          </cell>
          <cell r="AL4">
            <v>0</v>
          </cell>
          <cell r="AM4">
            <v>1</v>
          </cell>
          <cell r="AN4" t="str">
            <v>never resealed</v>
          </cell>
          <cell r="BO4" t="str">
            <v>RS 840</v>
          </cell>
          <cell r="BP4">
            <v>77</v>
          </cell>
          <cell r="BQ4">
            <v>6.7</v>
          </cell>
          <cell r="BR4" t="str">
            <v>F</v>
          </cell>
          <cell r="BS4" t="str">
            <v>C</v>
          </cell>
          <cell r="BT4">
            <v>11</v>
          </cell>
          <cell r="BU4" t="str">
            <v>DS</v>
          </cell>
          <cell r="BV4" t="str">
            <v/>
          </cell>
          <cell r="BW4">
            <v>1</v>
          </cell>
          <cell r="BX4">
            <v>15</v>
          </cell>
          <cell r="BY4" t="str">
            <v xml:space="preserve"> </v>
          </cell>
          <cell r="BZ4">
            <v>1</v>
          </cell>
          <cell r="CA4">
            <v>12</v>
          </cell>
          <cell r="CB4">
            <v>1.177</v>
          </cell>
          <cell r="CC4">
            <v>5.36</v>
          </cell>
          <cell r="CD4">
            <v>40</v>
          </cell>
          <cell r="CE4">
            <v>30</v>
          </cell>
          <cell r="CF4">
            <v>15</v>
          </cell>
          <cell r="CG4">
            <v>25</v>
          </cell>
          <cell r="CH4">
            <v>15</v>
          </cell>
          <cell r="CI4">
            <v>100</v>
          </cell>
          <cell r="CJ4">
            <v>0.29850746268656719</v>
          </cell>
          <cell r="CK4">
            <v>10</v>
          </cell>
          <cell r="CL4">
            <v>15</v>
          </cell>
          <cell r="CM4">
            <v>0.31197474167623418</v>
          </cell>
          <cell r="CN4">
            <v>0.31197474167623418</v>
          </cell>
          <cell r="CO4">
            <v>0</v>
          </cell>
          <cell r="CP4">
            <v>0</v>
          </cell>
          <cell r="CQ4">
            <v>5.6719747416762347</v>
          </cell>
          <cell r="CR4">
            <v>0</v>
          </cell>
          <cell r="CS4">
            <v>1.1000000000000001</v>
          </cell>
          <cell r="CT4">
            <v>0.50000000000000044</v>
          </cell>
          <cell r="CU4">
            <v>0.20000000000000018</v>
          </cell>
          <cell r="CV4">
            <v>19</v>
          </cell>
          <cell r="CW4">
            <v>19</v>
          </cell>
          <cell r="CX4" t="str">
            <v xml:space="preserve"> </v>
          </cell>
          <cell r="CY4">
            <v>2.5</v>
          </cell>
          <cell r="CZ4">
            <v>1.8</v>
          </cell>
          <cell r="DA4">
            <v>1.3</v>
          </cell>
          <cell r="DB4">
            <v>220</v>
          </cell>
          <cell r="DC4">
            <v>104</v>
          </cell>
          <cell r="DD4">
            <v>58</v>
          </cell>
          <cell r="DE4">
            <v>17</v>
          </cell>
          <cell r="DF4">
            <v>26</v>
          </cell>
          <cell r="DG4">
            <v>5</v>
          </cell>
          <cell r="DH4">
            <v>3</v>
          </cell>
          <cell r="DI4">
            <v>11</v>
          </cell>
        </row>
        <row r="5">
          <cell r="A5" t="str">
            <v>RS 002</v>
          </cell>
          <cell r="B5" t="str">
            <v>2</v>
          </cell>
          <cell r="C5" t="str">
            <v>N</v>
          </cell>
          <cell r="D5" t="str">
            <v>T</v>
          </cell>
          <cell r="E5" t="str">
            <v>Chitimba River - Luzi River</v>
          </cell>
          <cell r="F5" t="str">
            <v>M01</v>
          </cell>
          <cell r="G5">
            <v>2</v>
          </cell>
          <cell r="H5">
            <v>52</v>
          </cell>
          <cell r="I5" t="str">
            <v>R</v>
          </cell>
          <cell r="J5" t="str">
            <v>MZIMBA</v>
          </cell>
          <cell r="K5">
            <v>2</v>
          </cell>
          <cell r="L5">
            <v>0</v>
          </cell>
          <cell r="W5">
            <v>75</v>
          </cell>
          <cell r="X5" t="str">
            <v>ST</v>
          </cell>
          <cell r="Y5">
            <v>150</v>
          </cell>
          <cell r="Z5" t="str">
            <v>GR</v>
          </cell>
          <cell r="AA5">
            <v>100</v>
          </cell>
          <cell r="AB5" t="str">
            <v>GR</v>
          </cell>
          <cell r="AC5">
            <v>12</v>
          </cell>
          <cell r="AD5" t="str">
            <v>VR</v>
          </cell>
          <cell r="AE5">
            <v>98</v>
          </cell>
          <cell r="AF5" t="str">
            <v>SR</v>
          </cell>
          <cell r="AG5" t="str">
            <v>ST</v>
          </cell>
          <cell r="AH5">
            <v>10</v>
          </cell>
          <cell r="AI5">
            <v>0</v>
          </cell>
          <cell r="AJ5">
            <v>0</v>
          </cell>
          <cell r="AK5">
            <v>0</v>
          </cell>
          <cell r="AL5">
            <v>0</v>
          </cell>
          <cell r="AM5">
            <v>4</v>
          </cell>
          <cell r="AN5" t="str">
            <v>To be resealed 1998</v>
          </cell>
          <cell r="BO5" t="str">
            <v>RS 002</v>
          </cell>
          <cell r="BP5">
            <v>52</v>
          </cell>
          <cell r="BQ5">
            <v>6</v>
          </cell>
          <cell r="BR5" t="str">
            <v>R</v>
          </cell>
          <cell r="BS5" t="str">
            <v>C</v>
          </cell>
          <cell r="BT5">
            <v>7</v>
          </cell>
          <cell r="BU5" t="str">
            <v>ST</v>
          </cell>
          <cell r="BV5" t="str">
            <v>ST</v>
          </cell>
          <cell r="BW5">
            <v>4</v>
          </cell>
          <cell r="BX5">
            <v>10</v>
          </cell>
          <cell r="BY5">
            <v>10</v>
          </cell>
          <cell r="BZ5">
            <v>1</v>
          </cell>
          <cell r="CA5">
            <v>12</v>
          </cell>
          <cell r="CB5">
            <v>1.085</v>
          </cell>
          <cell r="CC5">
            <v>4.6900000000000004</v>
          </cell>
          <cell r="CD5" t="str">
            <v>To be re-sealed 1998</v>
          </cell>
          <cell r="CE5">
            <v>0</v>
          </cell>
          <cell r="CF5">
            <v>0</v>
          </cell>
          <cell r="CG5">
            <v>0</v>
          </cell>
          <cell r="CH5">
            <v>0</v>
          </cell>
          <cell r="CI5">
            <v>0</v>
          </cell>
          <cell r="CJ5">
            <v>0</v>
          </cell>
          <cell r="CK5">
            <v>0</v>
          </cell>
          <cell r="CL5">
            <v>0</v>
          </cell>
          <cell r="CM5">
            <v>0</v>
          </cell>
          <cell r="CN5">
            <v>0</v>
          </cell>
          <cell r="CO5">
            <v>0</v>
          </cell>
          <cell r="CP5">
            <v>0</v>
          </cell>
          <cell r="CQ5">
            <v>0</v>
          </cell>
          <cell r="CR5">
            <v>0</v>
          </cell>
          <cell r="CS5">
            <v>1.3</v>
          </cell>
          <cell r="CT5">
            <v>0</v>
          </cell>
          <cell r="CU5">
            <v>0</v>
          </cell>
          <cell r="CV5">
            <v>0</v>
          </cell>
          <cell r="CW5">
            <v>0</v>
          </cell>
          <cell r="CX5" t="str">
            <v xml:space="preserve"> </v>
          </cell>
          <cell r="CY5">
            <v>2.5</v>
          </cell>
          <cell r="CZ5">
            <v>1.5</v>
          </cell>
          <cell r="DA5">
            <v>1.6</v>
          </cell>
          <cell r="DB5">
            <v>300</v>
          </cell>
          <cell r="DC5">
            <v>141</v>
          </cell>
          <cell r="DD5">
            <v>78</v>
          </cell>
          <cell r="DE5">
            <v>23</v>
          </cell>
          <cell r="DF5">
            <v>35</v>
          </cell>
          <cell r="DG5">
            <v>6</v>
          </cell>
          <cell r="DH5">
            <v>3</v>
          </cell>
          <cell r="DI5">
            <v>15</v>
          </cell>
        </row>
        <row r="6">
          <cell r="A6" t="str">
            <v>RS 003</v>
          </cell>
          <cell r="B6" t="str">
            <v>3</v>
          </cell>
          <cell r="C6" t="str">
            <v>N</v>
          </cell>
          <cell r="D6" t="str">
            <v>T</v>
          </cell>
          <cell r="E6" t="str">
            <v>Luzi River - Mzuzu  - Mtangatanga</v>
          </cell>
          <cell r="F6" t="str">
            <v>M01</v>
          </cell>
          <cell r="G6">
            <v>3</v>
          </cell>
          <cell r="H6">
            <v>107.5</v>
          </cell>
          <cell r="I6" t="str">
            <v>F</v>
          </cell>
          <cell r="J6" t="str">
            <v>RUMPHI &amp; MZIMBA</v>
          </cell>
          <cell r="K6">
            <v>3</v>
          </cell>
          <cell r="L6">
            <v>0</v>
          </cell>
          <cell r="W6">
            <v>86</v>
          </cell>
          <cell r="X6" t="str">
            <v>DS</v>
          </cell>
          <cell r="Y6">
            <v>150</v>
          </cell>
          <cell r="Z6" t="str">
            <v>SB</v>
          </cell>
          <cell r="AA6">
            <v>100</v>
          </cell>
          <cell r="AB6" t="str">
            <v>GR</v>
          </cell>
          <cell r="AC6">
            <v>13</v>
          </cell>
          <cell r="AD6" t="str">
            <v>VR</v>
          </cell>
          <cell r="AE6">
            <v>98</v>
          </cell>
          <cell r="AF6" t="str">
            <v>SR</v>
          </cell>
          <cell r="AG6" t="str">
            <v>ST</v>
          </cell>
          <cell r="AH6">
            <v>10</v>
          </cell>
          <cell r="AI6">
            <v>0</v>
          </cell>
          <cell r="AJ6">
            <v>0</v>
          </cell>
          <cell r="AK6">
            <v>0</v>
          </cell>
          <cell r="AL6">
            <v>0</v>
          </cell>
          <cell r="AM6">
            <v>4</v>
          </cell>
          <cell r="AN6" t="str">
            <v>To be resealed 1998</v>
          </cell>
          <cell r="BO6" t="str">
            <v>RS 003</v>
          </cell>
          <cell r="BP6">
            <v>107.5</v>
          </cell>
          <cell r="BQ6">
            <v>6.7</v>
          </cell>
          <cell r="BR6" t="str">
            <v>F</v>
          </cell>
          <cell r="BS6" t="str">
            <v>C</v>
          </cell>
          <cell r="BT6">
            <v>0</v>
          </cell>
          <cell r="BU6" t="str">
            <v>ST</v>
          </cell>
          <cell r="BV6" t="str">
            <v>DS</v>
          </cell>
          <cell r="BW6">
            <v>4</v>
          </cell>
          <cell r="BX6">
            <v>10</v>
          </cell>
          <cell r="BY6">
            <v>15</v>
          </cell>
          <cell r="BZ6">
            <v>1</v>
          </cell>
          <cell r="CA6">
            <v>13</v>
          </cell>
          <cell r="CB6">
            <v>1.3540000000000001</v>
          </cell>
          <cell r="CC6">
            <v>4.1399999999999997</v>
          </cell>
          <cell r="CD6" t="str">
            <v>To be re-sealed 1998</v>
          </cell>
          <cell r="CE6">
            <v>0</v>
          </cell>
          <cell r="CF6">
            <v>0</v>
          </cell>
          <cell r="CG6">
            <v>0</v>
          </cell>
          <cell r="CH6">
            <v>0</v>
          </cell>
          <cell r="CI6">
            <v>0</v>
          </cell>
          <cell r="CJ6">
            <v>0</v>
          </cell>
          <cell r="CK6">
            <v>0</v>
          </cell>
          <cell r="CL6">
            <v>0</v>
          </cell>
          <cell r="CM6">
            <v>0</v>
          </cell>
          <cell r="CN6">
            <v>0</v>
          </cell>
          <cell r="CO6">
            <v>0</v>
          </cell>
          <cell r="CP6">
            <v>0</v>
          </cell>
          <cell r="CQ6">
            <v>0</v>
          </cell>
          <cell r="CR6">
            <v>0</v>
          </cell>
          <cell r="CS6">
            <v>1.3</v>
          </cell>
          <cell r="CT6">
            <v>0</v>
          </cell>
          <cell r="CU6">
            <v>0</v>
          </cell>
          <cell r="CV6">
            <v>0</v>
          </cell>
          <cell r="CW6">
            <v>0</v>
          </cell>
          <cell r="CX6">
            <v>0</v>
          </cell>
          <cell r="CY6">
            <v>2</v>
          </cell>
          <cell r="CZ6">
            <v>1.8</v>
          </cell>
          <cell r="DA6">
            <v>1</v>
          </cell>
          <cell r="DB6">
            <v>450</v>
          </cell>
          <cell r="DC6">
            <v>212</v>
          </cell>
          <cell r="DD6">
            <v>117</v>
          </cell>
          <cell r="DE6">
            <v>34</v>
          </cell>
          <cell r="DF6">
            <v>52</v>
          </cell>
          <cell r="DG6">
            <v>9</v>
          </cell>
          <cell r="DH6">
            <v>5</v>
          </cell>
          <cell r="DI6">
            <v>23</v>
          </cell>
        </row>
        <row r="7">
          <cell r="A7" t="str">
            <v>RS 004</v>
          </cell>
          <cell r="B7" t="str">
            <v>4</v>
          </cell>
          <cell r="C7" t="str">
            <v>N</v>
          </cell>
          <cell r="D7" t="str">
            <v>T</v>
          </cell>
          <cell r="E7" t="str">
            <v>Mtangatanga - Jenda</v>
          </cell>
          <cell r="F7" t="str">
            <v>M01</v>
          </cell>
          <cell r="G7">
            <v>4</v>
          </cell>
          <cell r="H7">
            <v>62.1</v>
          </cell>
          <cell r="I7" t="str">
            <v>R</v>
          </cell>
          <cell r="J7" t="str">
            <v>MZIMBA</v>
          </cell>
          <cell r="K7">
            <v>4</v>
          </cell>
          <cell r="L7">
            <v>0</v>
          </cell>
          <cell r="W7">
            <v>86</v>
          </cell>
          <cell r="X7" t="str">
            <v>DS</v>
          </cell>
          <cell r="Y7">
            <v>150</v>
          </cell>
          <cell r="Z7" t="str">
            <v>SB</v>
          </cell>
          <cell r="AA7">
            <v>100</v>
          </cell>
          <cell r="AB7" t="str">
            <v>GR</v>
          </cell>
          <cell r="AC7">
            <v>13</v>
          </cell>
          <cell r="AD7" t="str">
            <v>VR</v>
          </cell>
          <cell r="AE7">
            <v>0</v>
          </cell>
          <cell r="AF7">
            <v>0</v>
          </cell>
          <cell r="AG7">
            <v>0</v>
          </cell>
          <cell r="AH7">
            <v>0</v>
          </cell>
          <cell r="AI7">
            <v>0</v>
          </cell>
          <cell r="AJ7">
            <v>0</v>
          </cell>
          <cell r="AK7">
            <v>0</v>
          </cell>
          <cell r="AL7">
            <v>0</v>
          </cell>
          <cell r="AM7">
            <v>1</v>
          </cell>
          <cell r="AN7" t="str">
            <v>never resealed</v>
          </cell>
          <cell r="BO7" t="str">
            <v>RS 004</v>
          </cell>
          <cell r="BP7">
            <v>62.1</v>
          </cell>
          <cell r="BQ7">
            <v>6</v>
          </cell>
          <cell r="BR7" t="str">
            <v>R</v>
          </cell>
          <cell r="BS7" t="str">
            <v>C</v>
          </cell>
          <cell r="BT7">
            <v>0</v>
          </cell>
          <cell r="BU7" t="str">
            <v>DS</v>
          </cell>
          <cell r="BV7" t="str">
            <v/>
          </cell>
          <cell r="BW7">
            <v>1</v>
          </cell>
          <cell r="BX7">
            <v>15</v>
          </cell>
          <cell r="BY7" t="str">
            <v xml:space="preserve"> </v>
          </cell>
          <cell r="BZ7">
            <v>1</v>
          </cell>
          <cell r="CA7">
            <v>13</v>
          </cell>
          <cell r="CB7">
            <v>1.177</v>
          </cell>
          <cell r="CC7">
            <v>4.3</v>
          </cell>
          <cell r="CD7">
            <v>29</v>
          </cell>
          <cell r="CE7">
            <v>23</v>
          </cell>
          <cell r="CF7">
            <v>8</v>
          </cell>
          <cell r="CG7">
            <v>21</v>
          </cell>
          <cell r="CH7">
            <v>15</v>
          </cell>
          <cell r="CI7">
            <v>1.1000000000000001</v>
          </cell>
          <cell r="CJ7">
            <v>3.666666666666667E-3</v>
          </cell>
          <cell r="CK7">
            <v>8.0036666666666658</v>
          </cell>
          <cell r="CL7">
            <v>8</v>
          </cell>
          <cell r="CM7">
            <v>0.13434461538461537</v>
          </cell>
          <cell r="CN7">
            <v>0.13434461538461537</v>
          </cell>
          <cell r="CO7">
            <v>0</v>
          </cell>
          <cell r="CP7">
            <v>0</v>
          </cell>
          <cell r="CQ7">
            <v>4.4343446153846156</v>
          </cell>
          <cell r="CR7">
            <v>0</v>
          </cell>
          <cell r="CS7">
            <v>1.2</v>
          </cell>
          <cell r="CT7">
            <v>0.99999999999999978</v>
          </cell>
          <cell r="CU7">
            <v>0.39999999999999991</v>
          </cell>
          <cell r="CV7">
            <v>12</v>
          </cell>
          <cell r="CW7">
            <v>12</v>
          </cell>
          <cell r="CX7" t="str">
            <v xml:space="preserve"> </v>
          </cell>
          <cell r="CY7">
            <v>1.3</v>
          </cell>
          <cell r="CZ7">
            <v>1.5</v>
          </cell>
          <cell r="DA7">
            <v>1</v>
          </cell>
          <cell r="DB7">
            <v>300</v>
          </cell>
          <cell r="DC7">
            <v>141</v>
          </cell>
          <cell r="DD7">
            <v>78</v>
          </cell>
          <cell r="DE7">
            <v>23</v>
          </cell>
          <cell r="DF7">
            <v>35</v>
          </cell>
          <cell r="DG7">
            <v>6</v>
          </cell>
          <cell r="DH7">
            <v>3</v>
          </cell>
          <cell r="DI7">
            <v>15</v>
          </cell>
        </row>
        <row r="8">
          <cell r="A8" t="str">
            <v>RS 031</v>
          </cell>
          <cell r="B8">
            <v>31</v>
          </cell>
          <cell r="C8" t="str">
            <v>C</v>
          </cell>
          <cell r="D8" t="str">
            <v>T</v>
          </cell>
          <cell r="E8" t="str">
            <v>Jenda - Chimaliro Forest Camp</v>
          </cell>
          <cell r="F8" t="str">
            <v>M01</v>
          </cell>
          <cell r="G8">
            <v>5</v>
          </cell>
          <cell r="H8">
            <v>11.6</v>
          </cell>
          <cell r="I8" t="str">
            <v>F</v>
          </cell>
          <cell r="J8" t="str">
            <v>KASUNGU</v>
          </cell>
          <cell r="K8">
            <v>4</v>
          </cell>
          <cell r="L8">
            <v>0</v>
          </cell>
          <cell r="W8">
            <v>83</v>
          </cell>
          <cell r="X8" t="str">
            <v>DS</v>
          </cell>
          <cell r="Y8">
            <v>150</v>
          </cell>
          <cell r="Z8" t="str">
            <v>SB</v>
          </cell>
          <cell r="AA8">
            <v>100</v>
          </cell>
          <cell r="AB8" t="str">
            <v>GR</v>
          </cell>
          <cell r="AC8">
            <v>9</v>
          </cell>
          <cell r="AD8" t="str">
            <v>VR</v>
          </cell>
          <cell r="AE8">
            <v>0</v>
          </cell>
          <cell r="AF8">
            <v>0</v>
          </cell>
          <cell r="AG8">
            <v>0</v>
          </cell>
          <cell r="AH8">
            <v>0</v>
          </cell>
          <cell r="AI8">
            <v>0</v>
          </cell>
          <cell r="AJ8">
            <v>0</v>
          </cell>
          <cell r="AK8">
            <v>0</v>
          </cell>
          <cell r="AL8">
            <v>0</v>
          </cell>
          <cell r="AM8">
            <v>1</v>
          </cell>
          <cell r="AN8" t="str">
            <v>never resealed</v>
          </cell>
          <cell r="BO8" t="str">
            <v>RS 031</v>
          </cell>
          <cell r="BP8">
            <v>11.6</v>
          </cell>
          <cell r="BQ8">
            <v>6</v>
          </cell>
          <cell r="BR8" t="str">
            <v>F</v>
          </cell>
          <cell r="BS8" t="str">
            <v>C</v>
          </cell>
          <cell r="BT8">
            <v>0</v>
          </cell>
          <cell r="BU8" t="str">
            <v>DS</v>
          </cell>
          <cell r="BV8" t="str">
            <v/>
          </cell>
          <cell r="BW8">
            <v>1</v>
          </cell>
          <cell r="BX8">
            <v>15</v>
          </cell>
          <cell r="BY8" t="str">
            <v xml:space="preserve"> </v>
          </cell>
          <cell r="BZ8">
            <v>1</v>
          </cell>
          <cell r="CA8">
            <v>9</v>
          </cell>
          <cell r="CB8">
            <v>1.177</v>
          </cell>
          <cell r="CC8">
            <v>3.23</v>
          </cell>
          <cell r="CD8">
            <v>20</v>
          </cell>
          <cell r="CE8">
            <v>15</v>
          </cell>
          <cell r="CF8">
            <v>0</v>
          </cell>
          <cell r="CG8">
            <v>20</v>
          </cell>
          <cell r="CH8">
            <v>15</v>
          </cell>
          <cell r="CI8">
            <v>1.5</v>
          </cell>
          <cell r="CJ8">
            <v>5.000000000000001E-3</v>
          </cell>
          <cell r="CK8">
            <v>5.000000000000001E-3</v>
          </cell>
          <cell r="CL8">
            <v>0</v>
          </cell>
          <cell r="CM8">
            <v>1.9384615384615391E-3</v>
          </cell>
          <cell r="CN8">
            <v>1.9384615384615391E-3</v>
          </cell>
          <cell r="CO8">
            <v>0</v>
          </cell>
          <cell r="CP8">
            <v>0</v>
          </cell>
          <cell r="CQ8">
            <v>3.2319384615384616</v>
          </cell>
          <cell r="CR8">
            <v>0</v>
          </cell>
          <cell r="CS8">
            <v>1.1000000000000001</v>
          </cell>
          <cell r="CT8">
            <v>0.50000000000000044</v>
          </cell>
          <cell r="CU8">
            <v>0.20000000000000018</v>
          </cell>
          <cell r="CV8">
            <v>15</v>
          </cell>
          <cell r="CW8">
            <v>15</v>
          </cell>
          <cell r="CX8" t="str">
            <v xml:space="preserve"> </v>
          </cell>
          <cell r="CY8">
            <v>1.2</v>
          </cell>
          <cell r="CZ8">
            <v>1.5</v>
          </cell>
          <cell r="DA8">
            <v>1</v>
          </cell>
          <cell r="DB8">
            <v>600</v>
          </cell>
          <cell r="DC8">
            <v>282</v>
          </cell>
          <cell r="DD8">
            <v>156</v>
          </cell>
          <cell r="DE8">
            <v>45</v>
          </cell>
          <cell r="DF8">
            <v>69</v>
          </cell>
          <cell r="DG8">
            <v>12</v>
          </cell>
          <cell r="DH8">
            <v>6</v>
          </cell>
          <cell r="DI8">
            <v>30</v>
          </cell>
        </row>
        <row r="9">
          <cell r="A9" t="str">
            <v>RS 022</v>
          </cell>
          <cell r="B9">
            <v>22</v>
          </cell>
          <cell r="C9" t="str">
            <v>C</v>
          </cell>
          <cell r="D9" t="str">
            <v>T</v>
          </cell>
          <cell r="E9" t="str">
            <v>Chimaliro Forest Camp - Chatoloma</v>
          </cell>
          <cell r="F9" t="str">
            <v>M01</v>
          </cell>
          <cell r="G9">
            <v>7</v>
          </cell>
          <cell r="H9">
            <v>26.6</v>
          </cell>
          <cell r="I9" t="str">
            <v>R</v>
          </cell>
          <cell r="J9" t="str">
            <v>KASUNGU</v>
          </cell>
          <cell r="K9">
            <v>4</v>
          </cell>
          <cell r="L9">
            <v>0</v>
          </cell>
          <cell r="W9">
            <v>83</v>
          </cell>
          <cell r="X9" t="str">
            <v>DS</v>
          </cell>
          <cell r="Y9">
            <v>150</v>
          </cell>
          <cell r="Z9" t="str">
            <v>GR</v>
          </cell>
          <cell r="AA9">
            <v>100</v>
          </cell>
          <cell r="AB9" t="str">
            <v>GR</v>
          </cell>
          <cell r="AC9">
            <v>14</v>
          </cell>
          <cell r="AD9" t="str">
            <v>VR</v>
          </cell>
          <cell r="AE9">
            <v>0</v>
          </cell>
          <cell r="AF9">
            <v>0</v>
          </cell>
          <cell r="AG9">
            <v>0</v>
          </cell>
          <cell r="AH9">
            <v>0</v>
          </cell>
          <cell r="AI9">
            <v>0</v>
          </cell>
          <cell r="AJ9">
            <v>0</v>
          </cell>
          <cell r="AK9">
            <v>0</v>
          </cell>
          <cell r="AL9">
            <v>0</v>
          </cell>
          <cell r="AM9">
            <v>1</v>
          </cell>
          <cell r="AN9" t="str">
            <v>never resealed</v>
          </cell>
          <cell r="BO9" t="str">
            <v>RS 022</v>
          </cell>
          <cell r="BP9">
            <v>26.6</v>
          </cell>
          <cell r="BQ9">
            <v>6</v>
          </cell>
          <cell r="BR9" t="str">
            <v>R</v>
          </cell>
          <cell r="BS9" t="str">
            <v>C</v>
          </cell>
          <cell r="BT9">
            <v>0</v>
          </cell>
          <cell r="BU9" t="str">
            <v>DS</v>
          </cell>
          <cell r="BV9" t="str">
            <v/>
          </cell>
          <cell r="BW9">
            <v>1</v>
          </cell>
          <cell r="BX9">
            <v>15</v>
          </cell>
          <cell r="BY9" t="str">
            <v xml:space="preserve"> </v>
          </cell>
          <cell r="BZ9">
            <v>1</v>
          </cell>
          <cell r="CA9">
            <v>14</v>
          </cell>
          <cell r="CB9">
            <v>1.077</v>
          </cell>
          <cell r="CC9">
            <v>3.6480386194450714</v>
          </cell>
          <cell r="CD9">
            <v>12</v>
          </cell>
          <cell r="CE9">
            <v>10</v>
          </cell>
          <cell r="CF9">
            <v>0</v>
          </cell>
          <cell r="CG9">
            <v>12</v>
          </cell>
          <cell r="CH9">
            <v>10</v>
          </cell>
          <cell r="CI9">
            <v>1.2</v>
          </cell>
          <cell r="CJ9">
            <v>4.0000000000000001E-3</v>
          </cell>
          <cell r="CK9">
            <v>4.0000000000000001E-3</v>
          </cell>
          <cell r="CL9">
            <v>0</v>
          </cell>
          <cell r="CM9">
            <v>1.5507692307692308E-3</v>
          </cell>
          <cell r="CN9">
            <v>1.5507692307692308E-3</v>
          </cell>
          <cell r="CO9">
            <v>0</v>
          </cell>
          <cell r="CP9">
            <v>0</v>
          </cell>
          <cell r="CQ9">
            <v>3.6495893886758406</v>
          </cell>
          <cell r="CR9">
            <v>0</v>
          </cell>
          <cell r="CS9">
            <v>1.1000000000000001</v>
          </cell>
          <cell r="CT9">
            <v>0.50000000000000044</v>
          </cell>
          <cell r="CU9">
            <v>0.20000000000000018</v>
          </cell>
          <cell r="CV9">
            <v>15</v>
          </cell>
          <cell r="CW9">
            <v>15</v>
          </cell>
          <cell r="CX9" t="str">
            <v xml:space="preserve"> </v>
          </cell>
          <cell r="CY9">
            <v>1.1000000000000001</v>
          </cell>
          <cell r="CZ9">
            <v>1.5</v>
          </cell>
          <cell r="DA9">
            <v>1</v>
          </cell>
          <cell r="DB9">
            <v>600</v>
          </cell>
          <cell r="DC9">
            <v>282</v>
          </cell>
          <cell r="DD9">
            <v>156</v>
          </cell>
          <cell r="DE9">
            <v>45</v>
          </cell>
          <cell r="DF9">
            <v>69</v>
          </cell>
          <cell r="DG9">
            <v>12</v>
          </cell>
          <cell r="DH9">
            <v>6</v>
          </cell>
          <cell r="DI9">
            <v>30</v>
          </cell>
        </row>
        <row r="10">
          <cell r="A10" t="str">
            <v>RS 035</v>
          </cell>
          <cell r="B10">
            <v>35</v>
          </cell>
          <cell r="C10" t="str">
            <v>C</v>
          </cell>
          <cell r="D10" t="str">
            <v>T</v>
          </cell>
          <cell r="E10" t="str">
            <v>Chatoloma - Mphomwa</v>
          </cell>
          <cell r="F10" t="str">
            <v>M01</v>
          </cell>
          <cell r="G10">
            <v>8</v>
          </cell>
          <cell r="H10">
            <v>23</v>
          </cell>
          <cell r="I10" t="str">
            <v>F</v>
          </cell>
          <cell r="J10" t="str">
            <v>KASUNGU</v>
          </cell>
          <cell r="K10">
            <v>5</v>
          </cell>
          <cell r="L10">
            <v>0</v>
          </cell>
          <cell r="W10">
            <v>83</v>
          </cell>
          <cell r="X10" t="str">
            <v>DS</v>
          </cell>
          <cell r="Y10">
            <v>150</v>
          </cell>
          <cell r="Z10" t="str">
            <v>GR</v>
          </cell>
          <cell r="AA10">
            <v>100</v>
          </cell>
          <cell r="AB10" t="str">
            <v>GR</v>
          </cell>
          <cell r="AC10">
            <v>14</v>
          </cell>
          <cell r="AD10" t="str">
            <v>VR</v>
          </cell>
          <cell r="AE10">
            <v>0</v>
          </cell>
          <cell r="AF10">
            <v>0</v>
          </cell>
          <cell r="AG10">
            <v>0</v>
          </cell>
          <cell r="AH10">
            <v>0</v>
          </cell>
          <cell r="AI10">
            <v>0</v>
          </cell>
          <cell r="AJ10">
            <v>0</v>
          </cell>
          <cell r="AK10">
            <v>0</v>
          </cell>
          <cell r="AL10">
            <v>0</v>
          </cell>
          <cell r="AM10">
            <v>1</v>
          </cell>
          <cell r="AN10" t="str">
            <v>never resealed</v>
          </cell>
          <cell r="BO10" t="str">
            <v>RS 035</v>
          </cell>
          <cell r="BP10">
            <v>23</v>
          </cell>
          <cell r="BQ10">
            <v>6</v>
          </cell>
          <cell r="BR10" t="str">
            <v>F</v>
          </cell>
          <cell r="BS10" t="str">
            <v>C</v>
          </cell>
          <cell r="BT10">
            <v>0</v>
          </cell>
          <cell r="BU10" t="str">
            <v>DS</v>
          </cell>
          <cell r="BV10" t="str">
            <v/>
          </cell>
          <cell r="BW10">
            <v>1</v>
          </cell>
          <cell r="BX10">
            <v>15</v>
          </cell>
          <cell r="BY10" t="str">
            <v xml:space="preserve"> </v>
          </cell>
          <cell r="BZ10">
            <v>1</v>
          </cell>
          <cell r="CA10">
            <v>14</v>
          </cell>
          <cell r="CB10">
            <v>1.077</v>
          </cell>
          <cell r="CC10">
            <v>3.305719648093842</v>
          </cell>
          <cell r="CD10">
            <v>45</v>
          </cell>
          <cell r="CE10">
            <v>32</v>
          </cell>
          <cell r="CF10">
            <v>17</v>
          </cell>
          <cell r="CG10">
            <v>28</v>
          </cell>
          <cell r="CH10">
            <v>15</v>
          </cell>
          <cell r="CI10">
            <v>0.9</v>
          </cell>
          <cell r="CJ10">
            <v>3.0000000000000005E-3</v>
          </cell>
          <cell r="CK10">
            <v>10</v>
          </cell>
          <cell r="CL10">
            <v>17</v>
          </cell>
          <cell r="CM10">
            <v>0.21359461538461538</v>
          </cell>
          <cell r="CN10">
            <v>0.21359461538461538</v>
          </cell>
          <cell r="CO10">
            <v>0</v>
          </cell>
          <cell r="CP10">
            <v>0</v>
          </cell>
          <cell r="CQ10">
            <v>3.5193142634784573</v>
          </cell>
          <cell r="CR10">
            <v>0</v>
          </cell>
          <cell r="CS10">
            <v>1.2</v>
          </cell>
          <cell r="CT10">
            <v>0.99999999999999978</v>
          </cell>
          <cell r="CU10">
            <v>0.39999999999999991</v>
          </cell>
          <cell r="CV10">
            <v>15</v>
          </cell>
          <cell r="CW10">
            <v>15</v>
          </cell>
          <cell r="CX10" t="str">
            <v xml:space="preserve"> </v>
          </cell>
          <cell r="CY10">
            <v>1.5</v>
          </cell>
          <cell r="CZ10">
            <v>1.5</v>
          </cell>
          <cell r="DA10">
            <v>1</v>
          </cell>
          <cell r="DB10">
            <v>600</v>
          </cell>
          <cell r="DC10">
            <v>282</v>
          </cell>
          <cell r="DD10">
            <v>156</v>
          </cell>
          <cell r="DE10">
            <v>45</v>
          </cell>
          <cell r="DF10">
            <v>69</v>
          </cell>
          <cell r="DG10">
            <v>12</v>
          </cell>
          <cell r="DH10">
            <v>6</v>
          </cell>
          <cell r="DI10">
            <v>30</v>
          </cell>
        </row>
        <row r="11">
          <cell r="A11" t="str">
            <v>RS 026</v>
          </cell>
          <cell r="B11">
            <v>26</v>
          </cell>
          <cell r="C11" t="str">
            <v>C</v>
          </cell>
          <cell r="D11" t="str">
            <v>T</v>
          </cell>
          <cell r="E11" t="str">
            <v>Kasungu Boma - Bua River</v>
          </cell>
          <cell r="F11" t="str">
            <v>M01</v>
          </cell>
          <cell r="G11">
            <v>9</v>
          </cell>
          <cell r="H11">
            <v>31.6</v>
          </cell>
          <cell r="I11" t="str">
            <v>F</v>
          </cell>
          <cell r="J11" t="str">
            <v>KASUNGU</v>
          </cell>
          <cell r="K11">
            <v>5</v>
          </cell>
          <cell r="L11">
            <v>0</v>
          </cell>
          <cell r="W11">
            <v>80</v>
          </cell>
          <cell r="X11" t="str">
            <v>DS</v>
          </cell>
          <cell r="Y11">
            <v>150</v>
          </cell>
          <cell r="Z11" t="str">
            <v>GR</v>
          </cell>
          <cell r="AA11">
            <v>100</v>
          </cell>
          <cell r="AB11" t="str">
            <v>GR</v>
          </cell>
          <cell r="AC11">
            <v>14</v>
          </cell>
          <cell r="AD11" t="str">
            <v>VR</v>
          </cell>
          <cell r="AE11">
            <v>0</v>
          </cell>
          <cell r="AF11">
            <v>0</v>
          </cell>
          <cell r="AG11">
            <v>0</v>
          </cell>
          <cell r="AH11">
            <v>0</v>
          </cell>
          <cell r="AI11">
            <v>0</v>
          </cell>
          <cell r="AJ11">
            <v>0</v>
          </cell>
          <cell r="AK11">
            <v>0</v>
          </cell>
          <cell r="AL11">
            <v>0</v>
          </cell>
          <cell r="AM11">
            <v>1</v>
          </cell>
          <cell r="AN11" t="str">
            <v>never resealed</v>
          </cell>
          <cell r="BO11" t="str">
            <v>RS 026</v>
          </cell>
          <cell r="BP11">
            <v>31.6</v>
          </cell>
          <cell r="BQ11">
            <v>6</v>
          </cell>
          <cell r="BR11" t="str">
            <v>F</v>
          </cell>
          <cell r="BS11" t="str">
            <v>C</v>
          </cell>
          <cell r="BT11">
            <v>0</v>
          </cell>
          <cell r="BU11" t="str">
            <v>DS</v>
          </cell>
          <cell r="BV11" t="str">
            <v/>
          </cell>
          <cell r="BW11">
            <v>1</v>
          </cell>
          <cell r="BX11">
            <v>15</v>
          </cell>
          <cell r="BY11" t="str">
            <v xml:space="preserve"> </v>
          </cell>
          <cell r="BZ11">
            <v>1</v>
          </cell>
          <cell r="CA11">
            <v>14</v>
          </cell>
          <cell r="CB11">
            <v>1.077</v>
          </cell>
          <cell r="CC11">
            <v>4.4826839518657096</v>
          </cell>
          <cell r="CD11">
            <v>57</v>
          </cell>
          <cell r="CE11">
            <v>26</v>
          </cell>
          <cell r="CF11">
            <v>11</v>
          </cell>
          <cell r="CG11">
            <v>46</v>
          </cell>
          <cell r="CH11">
            <v>15</v>
          </cell>
          <cell r="CI11">
            <v>7.9</v>
          </cell>
          <cell r="CJ11">
            <v>2.6333333333333337E-2</v>
          </cell>
          <cell r="CK11">
            <v>10</v>
          </cell>
          <cell r="CL11">
            <v>11</v>
          </cell>
          <cell r="CM11">
            <v>0.18271512820512822</v>
          </cell>
          <cell r="CN11">
            <v>0.18271512820512822</v>
          </cell>
          <cell r="CO11">
            <v>0</v>
          </cell>
          <cell r="CP11">
            <v>0</v>
          </cell>
          <cell r="CQ11">
            <v>4.6653990800708378</v>
          </cell>
          <cell r="CR11">
            <v>0</v>
          </cell>
          <cell r="CS11">
            <v>2.5</v>
          </cell>
          <cell r="CT11">
            <v>10</v>
          </cell>
          <cell r="CU11">
            <v>4</v>
          </cell>
          <cell r="CV11">
            <v>18</v>
          </cell>
          <cell r="CW11">
            <v>18</v>
          </cell>
          <cell r="CX11" t="str">
            <v xml:space="preserve"> </v>
          </cell>
          <cell r="CY11">
            <v>2.1</v>
          </cell>
          <cell r="CZ11">
            <v>1.5</v>
          </cell>
          <cell r="DA11">
            <v>1</v>
          </cell>
          <cell r="DB11">
            <v>600</v>
          </cell>
          <cell r="DC11">
            <v>282</v>
          </cell>
          <cell r="DD11">
            <v>156</v>
          </cell>
          <cell r="DE11">
            <v>45</v>
          </cell>
          <cell r="DF11">
            <v>69</v>
          </cell>
          <cell r="DG11">
            <v>12</v>
          </cell>
          <cell r="DH11">
            <v>6</v>
          </cell>
          <cell r="DI11">
            <v>30</v>
          </cell>
        </row>
        <row r="12">
          <cell r="A12" t="str">
            <v>RS 011</v>
          </cell>
          <cell r="B12">
            <v>11</v>
          </cell>
          <cell r="C12" t="str">
            <v>C</v>
          </cell>
          <cell r="D12" t="str">
            <v>T</v>
          </cell>
          <cell r="E12" t="str">
            <v>Bua river - Madisi</v>
          </cell>
          <cell r="F12" t="str">
            <v>M01</v>
          </cell>
          <cell r="G12">
            <v>10</v>
          </cell>
          <cell r="H12">
            <v>17.100000000000001</v>
          </cell>
          <cell r="I12" t="str">
            <v>F</v>
          </cell>
          <cell r="J12" t="str">
            <v>DOWA</v>
          </cell>
          <cell r="K12">
            <v>5</v>
          </cell>
          <cell r="L12">
            <v>0</v>
          </cell>
          <cell r="W12">
            <v>80</v>
          </cell>
          <cell r="X12" t="str">
            <v>DS</v>
          </cell>
          <cell r="Y12">
            <v>150</v>
          </cell>
          <cell r="Z12" t="str">
            <v>GR</v>
          </cell>
          <cell r="AA12">
            <v>100</v>
          </cell>
          <cell r="AB12" t="str">
            <v>GR</v>
          </cell>
          <cell r="AC12">
            <v>14</v>
          </cell>
          <cell r="AD12" t="str">
            <v>VR</v>
          </cell>
          <cell r="AE12">
            <v>87</v>
          </cell>
          <cell r="AF12" t="str">
            <v>RC</v>
          </cell>
          <cell r="AG12" t="str">
            <v>ST</v>
          </cell>
          <cell r="AH12">
            <v>15</v>
          </cell>
          <cell r="AI12">
            <v>0</v>
          </cell>
          <cell r="AJ12">
            <v>0</v>
          </cell>
          <cell r="AK12">
            <v>0</v>
          </cell>
          <cell r="AL12">
            <v>0</v>
          </cell>
          <cell r="AM12">
            <v>1</v>
          </cell>
          <cell r="AN12" t="str">
            <v>5km reseal</v>
          </cell>
          <cell r="BO12" t="str">
            <v>RS 011</v>
          </cell>
          <cell r="BP12">
            <v>17.100000000000001</v>
          </cell>
          <cell r="BQ12">
            <v>6.7</v>
          </cell>
          <cell r="BR12" t="str">
            <v>F</v>
          </cell>
          <cell r="BS12" t="str">
            <v>C</v>
          </cell>
          <cell r="BT12">
            <v>0</v>
          </cell>
          <cell r="BU12" t="str">
            <v>ST</v>
          </cell>
          <cell r="BV12" t="str">
            <v/>
          </cell>
          <cell r="BW12">
            <v>1</v>
          </cell>
          <cell r="BX12">
            <v>10</v>
          </cell>
          <cell r="BY12" t="str">
            <v xml:space="preserve"> </v>
          </cell>
          <cell r="BZ12">
            <v>1</v>
          </cell>
          <cell r="CA12">
            <v>14</v>
          </cell>
          <cell r="CB12">
            <v>1.254</v>
          </cell>
          <cell r="CC12">
            <v>4.8099999999999996</v>
          </cell>
          <cell r="CD12">
            <v>64</v>
          </cell>
          <cell r="CE12">
            <v>41</v>
          </cell>
          <cell r="CF12">
            <v>26</v>
          </cell>
          <cell r="CG12">
            <v>38</v>
          </cell>
          <cell r="CH12">
            <v>15</v>
          </cell>
          <cell r="CI12">
            <v>13.6</v>
          </cell>
          <cell r="CJ12">
            <v>4.0597014925373133E-2</v>
          </cell>
          <cell r="CK12">
            <v>10</v>
          </cell>
          <cell r="CL12">
            <v>26</v>
          </cell>
          <cell r="CM12">
            <v>0.2873331802525832</v>
          </cell>
          <cell r="CN12">
            <v>0.2873331802525832</v>
          </cell>
          <cell r="CO12">
            <v>0</v>
          </cell>
          <cell r="CP12">
            <v>0</v>
          </cell>
          <cell r="CQ12">
            <v>5.0973331802525825</v>
          </cell>
          <cell r="CR12">
            <v>0</v>
          </cell>
          <cell r="CS12">
            <v>2.5</v>
          </cell>
          <cell r="CT12">
            <v>10</v>
          </cell>
          <cell r="CU12">
            <v>4</v>
          </cell>
          <cell r="CV12">
            <v>11</v>
          </cell>
          <cell r="CW12">
            <v>11</v>
          </cell>
          <cell r="CX12" t="str">
            <v xml:space="preserve"> </v>
          </cell>
          <cell r="CY12">
            <v>2</v>
          </cell>
          <cell r="CZ12">
            <v>2</v>
          </cell>
          <cell r="DA12">
            <v>1</v>
          </cell>
          <cell r="DB12">
            <v>600</v>
          </cell>
          <cell r="DC12">
            <v>282</v>
          </cell>
          <cell r="DD12">
            <v>156</v>
          </cell>
          <cell r="DE12">
            <v>45</v>
          </cell>
          <cell r="DF12">
            <v>69</v>
          </cell>
          <cell r="DG12">
            <v>12</v>
          </cell>
          <cell r="DH12">
            <v>6</v>
          </cell>
          <cell r="DI12">
            <v>30</v>
          </cell>
        </row>
        <row r="13">
          <cell r="A13" t="str">
            <v>RS 014</v>
          </cell>
          <cell r="B13">
            <v>14</v>
          </cell>
          <cell r="C13" t="str">
            <v>C</v>
          </cell>
          <cell r="D13" t="str">
            <v>T</v>
          </cell>
          <cell r="E13" t="str">
            <v>Madisi - Mponela</v>
          </cell>
          <cell r="F13" t="str">
            <v>M01</v>
          </cell>
          <cell r="G13">
            <v>11</v>
          </cell>
          <cell r="H13">
            <v>21</v>
          </cell>
          <cell r="I13" t="str">
            <v>F</v>
          </cell>
          <cell r="J13" t="str">
            <v>DOWA</v>
          </cell>
          <cell r="K13">
            <v>5</v>
          </cell>
          <cell r="L13">
            <v>0</v>
          </cell>
          <cell r="W13">
            <v>80</v>
          </cell>
          <cell r="X13" t="str">
            <v>DS</v>
          </cell>
          <cell r="Y13">
            <v>150</v>
          </cell>
          <cell r="Z13" t="str">
            <v>GR</v>
          </cell>
          <cell r="AA13">
            <v>100</v>
          </cell>
          <cell r="AB13" t="str">
            <v>GR</v>
          </cell>
          <cell r="AC13">
            <v>14</v>
          </cell>
          <cell r="AD13" t="str">
            <v>VR</v>
          </cell>
          <cell r="AE13">
            <v>87</v>
          </cell>
          <cell r="AF13" t="str">
            <v>RC</v>
          </cell>
          <cell r="AG13" t="str">
            <v>ST</v>
          </cell>
          <cell r="AH13">
            <v>15</v>
          </cell>
          <cell r="AI13">
            <v>0</v>
          </cell>
          <cell r="AJ13">
            <v>0</v>
          </cell>
          <cell r="AK13">
            <v>0</v>
          </cell>
          <cell r="AL13">
            <v>0</v>
          </cell>
          <cell r="AM13">
            <v>1</v>
          </cell>
          <cell r="AN13" t="str">
            <v>5km reseal</v>
          </cell>
          <cell r="BO13" t="str">
            <v>RS 014</v>
          </cell>
          <cell r="BP13">
            <v>21</v>
          </cell>
          <cell r="BQ13">
            <v>6.7</v>
          </cell>
          <cell r="BR13" t="str">
            <v>F</v>
          </cell>
          <cell r="BS13" t="str">
            <v>C</v>
          </cell>
          <cell r="BT13">
            <v>0</v>
          </cell>
          <cell r="BU13" t="str">
            <v>ST</v>
          </cell>
          <cell r="BV13" t="str">
            <v/>
          </cell>
          <cell r="BW13">
            <v>1</v>
          </cell>
          <cell r="BX13">
            <v>10</v>
          </cell>
          <cell r="BY13" t="str">
            <v xml:space="preserve"> </v>
          </cell>
          <cell r="BZ13">
            <v>1</v>
          </cell>
          <cell r="CA13">
            <v>14</v>
          </cell>
          <cell r="CB13">
            <v>1.254</v>
          </cell>
          <cell r="CC13">
            <v>6.474208051186352</v>
          </cell>
          <cell r="CD13">
            <v>32.5</v>
          </cell>
          <cell r="CE13">
            <v>13</v>
          </cell>
          <cell r="CF13">
            <v>0</v>
          </cell>
          <cell r="CG13">
            <v>32.5</v>
          </cell>
          <cell r="CH13">
            <v>13</v>
          </cell>
          <cell r="CI13">
            <v>5.9</v>
          </cell>
          <cell r="CJ13">
            <v>1.7611940298507465E-2</v>
          </cell>
          <cell r="CK13">
            <v>1.7611940298507465E-2</v>
          </cell>
          <cell r="CL13">
            <v>0</v>
          </cell>
          <cell r="CM13">
            <v>6.8280137772675099E-3</v>
          </cell>
          <cell r="CN13">
            <v>6.8280137772675099E-3</v>
          </cell>
          <cell r="CO13">
            <v>0</v>
          </cell>
          <cell r="CP13">
            <v>0</v>
          </cell>
          <cell r="CQ13">
            <v>6.4810360649636198</v>
          </cell>
          <cell r="CR13">
            <v>0</v>
          </cell>
          <cell r="CS13">
            <v>1.5</v>
          </cell>
          <cell r="CT13">
            <v>2.5</v>
          </cell>
          <cell r="CU13">
            <v>1</v>
          </cell>
          <cell r="CV13">
            <v>11</v>
          </cell>
          <cell r="CW13">
            <v>11</v>
          </cell>
          <cell r="CX13" t="str">
            <v xml:space="preserve"> </v>
          </cell>
          <cell r="CY13">
            <v>2</v>
          </cell>
          <cell r="CZ13">
            <v>1.8</v>
          </cell>
          <cell r="DA13">
            <v>1</v>
          </cell>
          <cell r="DB13">
            <v>600</v>
          </cell>
          <cell r="DC13">
            <v>282</v>
          </cell>
          <cell r="DD13">
            <v>156</v>
          </cell>
          <cell r="DE13">
            <v>45</v>
          </cell>
          <cell r="DF13">
            <v>69</v>
          </cell>
          <cell r="DG13">
            <v>12</v>
          </cell>
          <cell r="DH13">
            <v>6</v>
          </cell>
          <cell r="DI13">
            <v>30</v>
          </cell>
        </row>
        <row r="14">
          <cell r="A14" t="str">
            <v>RS 017</v>
          </cell>
          <cell r="B14">
            <v>17</v>
          </cell>
          <cell r="C14" t="str">
            <v>C</v>
          </cell>
          <cell r="D14" t="str">
            <v>T</v>
          </cell>
          <cell r="E14" t="str">
            <v>Mponela - Senga</v>
          </cell>
          <cell r="F14" t="str">
            <v>M01</v>
          </cell>
          <cell r="G14">
            <v>12</v>
          </cell>
          <cell r="H14">
            <v>17.2</v>
          </cell>
          <cell r="I14" t="str">
            <v>R</v>
          </cell>
          <cell r="J14" t="str">
            <v>DOWA</v>
          </cell>
          <cell r="K14" t="str">
            <v>5,6</v>
          </cell>
          <cell r="L14">
            <v>0</v>
          </cell>
          <cell r="W14">
            <v>80</v>
          </cell>
          <cell r="X14" t="str">
            <v>DS</v>
          </cell>
          <cell r="Y14">
            <v>100</v>
          </cell>
          <cell r="Z14" t="str">
            <v>GR</v>
          </cell>
          <cell r="AA14">
            <v>150</v>
          </cell>
          <cell r="AB14" t="str">
            <v>GR</v>
          </cell>
          <cell r="AC14">
            <v>14</v>
          </cell>
          <cell r="AD14" t="str">
            <v>VR</v>
          </cell>
          <cell r="AE14">
            <v>0</v>
          </cell>
          <cell r="AF14">
            <v>0</v>
          </cell>
          <cell r="AG14">
            <v>0</v>
          </cell>
          <cell r="AH14">
            <v>0</v>
          </cell>
          <cell r="AI14">
            <v>0</v>
          </cell>
          <cell r="AJ14">
            <v>0</v>
          </cell>
          <cell r="AK14">
            <v>0</v>
          </cell>
          <cell r="AL14">
            <v>0</v>
          </cell>
          <cell r="AM14">
            <v>1</v>
          </cell>
          <cell r="AN14" t="str">
            <v>never resealed</v>
          </cell>
          <cell r="BO14" t="str">
            <v>RS 017</v>
          </cell>
          <cell r="BP14">
            <v>17.2</v>
          </cell>
          <cell r="BQ14">
            <v>6</v>
          </cell>
          <cell r="BR14" t="str">
            <v>R</v>
          </cell>
          <cell r="BS14" t="str">
            <v>C</v>
          </cell>
          <cell r="BT14">
            <v>0</v>
          </cell>
          <cell r="BU14" t="str">
            <v>DS</v>
          </cell>
          <cell r="BV14" t="str">
            <v/>
          </cell>
          <cell r="BW14">
            <v>1</v>
          </cell>
          <cell r="BX14">
            <v>15</v>
          </cell>
          <cell r="BY14" t="str">
            <v xml:space="preserve"> </v>
          </cell>
          <cell r="BZ14">
            <v>1</v>
          </cell>
          <cell r="CA14">
            <v>14</v>
          </cell>
          <cell r="CB14">
            <v>1.5270000000000001</v>
          </cell>
          <cell r="CC14">
            <v>3.8169610948191601</v>
          </cell>
          <cell r="CD14">
            <v>43</v>
          </cell>
          <cell r="CE14">
            <v>30</v>
          </cell>
          <cell r="CF14">
            <v>15</v>
          </cell>
          <cell r="CG14">
            <v>28</v>
          </cell>
          <cell r="CH14">
            <v>15</v>
          </cell>
          <cell r="CI14">
            <v>10.4</v>
          </cell>
          <cell r="CJ14">
            <v>3.4666666666666665E-2</v>
          </cell>
          <cell r="CK14">
            <v>10</v>
          </cell>
          <cell r="CL14">
            <v>15</v>
          </cell>
          <cell r="CM14">
            <v>0.21232410256410256</v>
          </cell>
          <cell r="CN14">
            <v>0.21232410256410256</v>
          </cell>
          <cell r="CO14">
            <v>0</v>
          </cell>
          <cell r="CP14">
            <v>0</v>
          </cell>
          <cell r="CQ14">
            <v>4.0292851973832624</v>
          </cell>
          <cell r="CR14">
            <v>0</v>
          </cell>
          <cell r="CS14">
            <v>1.5</v>
          </cell>
          <cell r="CT14">
            <v>2.5</v>
          </cell>
          <cell r="CU14">
            <v>1</v>
          </cell>
          <cell r="CV14">
            <v>18</v>
          </cell>
          <cell r="CW14">
            <v>18</v>
          </cell>
          <cell r="CX14" t="str">
            <v xml:space="preserve"> </v>
          </cell>
          <cell r="CY14">
            <v>2.5</v>
          </cell>
          <cell r="CZ14">
            <v>2</v>
          </cell>
          <cell r="DA14">
            <v>1</v>
          </cell>
          <cell r="DB14">
            <v>400</v>
          </cell>
          <cell r="DC14">
            <v>188</v>
          </cell>
          <cell r="DD14">
            <v>104</v>
          </cell>
          <cell r="DE14">
            <v>30</v>
          </cell>
          <cell r="DF14">
            <v>46</v>
          </cell>
          <cell r="DG14">
            <v>8</v>
          </cell>
          <cell r="DH14">
            <v>4</v>
          </cell>
          <cell r="DI14">
            <v>20</v>
          </cell>
        </row>
        <row r="15">
          <cell r="A15" t="str">
            <v>RS 013</v>
          </cell>
          <cell r="B15">
            <v>13</v>
          </cell>
          <cell r="C15" t="str">
            <v>C</v>
          </cell>
          <cell r="D15" t="str">
            <v>T</v>
          </cell>
          <cell r="E15" t="str">
            <v>Senga - Othambwe</v>
          </cell>
          <cell r="F15" t="str">
            <v>M01</v>
          </cell>
          <cell r="G15">
            <v>13</v>
          </cell>
          <cell r="H15">
            <v>9.5</v>
          </cell>
          <cell r="I15" t="str">
            <v>F</v>
          </cell>
          <cell r="J15" t="str">
            <v>LILONGWE</v>
          </cell>
          <cell r="K15">
            <v>6</v>
          </cell>
          <cell r="L15">
            <v>0</v>
          </cell>
          <cell r="W15">
            <v>80</v>
          </cell>
          <cell r="X15" t="str">
            <v>DS</v>
          </cell>
          <cell r="Y15">
            <v>150</v>
          </cell>
          <cell r="Z15" t="str">
            <v>GR</v>
          </cell>
          <cell r="AA15">
            <v>100</v>
          </cell>
          <cell r="AB15" t="str">
            <v>GR</v>
          </cell>
          <cell r="AC15">
            <v>14</v>
          </cell>
          <cell r="AD15" t="str">
            <v>VR</v>
          </cell>
          <cell r="AE15">
            <v>87</v>
          </cell>
          <cell r="AF15" t="str">
            <v>RC</v>
          </cell>
          <cell r="AG15" t="str">
            <v>ST</v>
          </cell>
          <cell r="AH15">
            <v>15</v>
          </cell>
          <cell r="AI15">
            <v>0</v>
          </cell>
          <cell r="AJ15">
            <v>0</v>
          </cell>
          <cell r="AK15">
            <v>0</v>
          </cell>
          <cell r="AL15">
            <v>0</v>
          </cell>
          <cell r="AM15">
            <v>1</v>
          </cell>
          <cell r="AN15">
            <v>0</v>
          </cell>
          <cell r="BO15" t="str">
            <v>RS 013</v>
          </cell>
          <cell r="BP15">
            <v>9.5</v>
          </cell>
          <cell r="BQ15">
            <v>6</v>
          </cell>
          <cell r="BR15" t="str">
            <v>F</v>
          </cell>
          <cell r="BS15" t="str">
            <v>C</v>
          </cell>
          <cell r="BT15">
            <v>0</v>
          </cell>
          <cell r="BU15" t="str">
            <v>ST</v>
          </cell>
          <cell r="BV15" t="str">
            <v/>
          </cell>
          <cell r="BW15">
            <v>1</v>
          </cell>
          <cell r="BX15">
            <v>10</v>
          </cell>
          <cell r="BY15" t="str">
            <v xml:space="preserve"> </v>
          </cell>
          <cell r="BZ15">
            <v>1</v>
          </cell>
          <cell r="CA15">
            <v>14</v>
          </cell>
          <cell r="CB15">
            <v>1.254</v>
          </cell>
          <cell r="CC15">
            <v>4.34</v>
          </cell>
          <cell r="CD15">
            <v>75</v>
          </cell>
          <cell r="CE15">
            <v>45</v>
          </cell>
          <cell r="CF15">
            <v>30</v>
          </cell>
          <cell r="CG15">
            <v>45</v>
          </cell>
          <cell r="CH15">
            <v>15</v>
          </cell>
          <cell r="CI15">
            <v>6.2</v>
          </cell>
          <cell r="CJ15">
            <v>2.066666666666667E-2</v>
          </cell>
          <cell r="CK15">
            <v>10</v>
          </cell>
          <cell r="CL15">
            <v>30</v>
          </cell>
          <cell r="CM15">
            <v>0.30626717948717946</v>
          </cell>
          <cell r="CN15">
            <v>0.30626717948717946</v>
          </cell>
          <cell r="CO15">
            <v>0</v>
          </cell>
          <cell r="CP15">
            <v>0</v>
          </cell>
          <cell r="CQ15">
            <v>4.6462671794871797</v>
          </cell>
          <cell r="CR15">
            <v>0</v>
          </cell>
          <cell r="CS15">
            <v>1</v>
          </cell>
          <cell r="CT15">
            <v>0</v>
          </cell>
          <cell r="CU15">
            <v>0</v>
          </cell>
          <cell r="CV15">
            <v>11</v>
          </cell>
          <cell r="CW15">
            <v>11</v>
          </cell>
          <cell r="CX15" t="str">
            <v xml:space="preserve"> </v>
          </cell>
          <cell r="CY15">
            <v>2</v>
          </cell>
          <cell r="CZ15">
            <v>1.8</v>
          </cell>
          <cell r="DA15">
            <v>1</v>
          </cell>
          <cell r="DB15">
            <v>400</v>
          </cell>
          <cell r="DC15">
            <v>188</v>
          </cell>
          <cell r="DD15">
            <v>104</v>
          </cell>
          <cell r="DE15">
            <v>30</v>
          </cell>
          <cell r="DF15">
            <v>46</v>
          </cell>
          <cell r="DG15">
            <v>8</v>
          </cell>
          <cell r="DH15">
            <v>4</v>
          </cell>
          <cell r="DI15">
            <v>20</v>
          </cell>
        </row>
        <row r="16">
          <cell r="A16" t="str">
            <v>RS 024</v>
          </cell>
          <cell r="B16">
            <v>24</v>
          </cell>
          <cell r="C16" t="str">
            <v>C</v>
          </cell>
          <cell r="D16" t="str">
            <v>T</v>
          </cell>
          <cell r="E16" t="str">
            <v>Othambwe - Lumbadzi River Bridge</v>
          </cell>
          <cell r="F16" t="str">
            <v>M01</v>
          </cell>
          <cell r="G16">
            <v>14</v>
          </cell>
          <cell r="H16">
            <v>5.7</v>
          </cell>
          <cell r="I16" t="str">
            <v>F</v>
          </cell>
          <cell r="J16" t="str">
            <v>LILONGWE</v>
          </cell>
          <cell r="K16">
            <v>6</v>
          </cell>
          <cell r="L16">
            <v>0</v>
          </cell>
          <cell r="W16">
            <v>80</v>
          </cell>
          <cell r="X16" t="str">
            <v>DS</v>
          </cell>
          <cell r="Y16">
            <v>150</v>
          </cell>
          <cell r="Z16" t="str">
            <v>GR</v>
          </cell>
          <cell r="AA16">
            <v>100</v>
          </cell>
          <cell r="AB16" t="str">
            <v>GR</v>
          </cell>
          <cell r="AC16">
            <v>14</v>
          </cell>
          <cell r="AD16" t="str">
            <v>VR</v>
          </cell>
          <cell r="AE16">
            <v>87</v>
          </cell>
          <cell r="AF16" t="str">
            <v>RC</v>
          </cell>
          <cell r="AG16" t="str">
            <v>ST</v>
          </cell>
          <cell r="AH16">
            <v>15</v>
          </cell>
          <cell r="AI16">
            <v>0</v>
          </cell>
          <cell r="AJ16">
            <v>0</v>
          </cell>
          <cell r="AK16">
            <v>0</v>
          </cell>
          <cell r="AL16">
            <v>0</v>
          </cell>
          <cell r="AM16">
            <v>1</v>
          </cell>
          <cell r="AN16">
            <v>0</v>
          </cell>
          <cell r="BO16" t="str">
            <v>RS 024</v>
          </cell>
          <cell r="BP16">
            <v>5.7</v>
          </cell>
          <cell r="BQ16">
            <v>6</v>
          </cell>
          <cell r="BR16" t="str">
            <v>F</v>
          </cell>
          <cell r="BS16" t="str">
            <v>C</v>
          </cell>
          <cell r="BT16">
            <v>0</v>
          </cell>
          <cell r="BU16" t="str">
            <v>ST</v>
          </cell>
          <cell r="BV16" t="str">
            <v/>
          </cell>
          <cell r="BW16">
            <v>1</v>
          </cell>
          <cell r="BX16">
            <v>10</v>
          </cell>
          <cell r="BY16" t="str">
            <v xml:space="preserve"> </v>
          </cell>
          <cell r="BZ16">
            <v>1</v>
          </cell>
          <cell r="CA16">
            <v>14</v>
          </cell>
          <cell r="CB16">
            <v>1.254</v>
          </cell>
          <cell r="CC16">
            <v>4</v>
          </cell>
          <cell r="CD16">
            <v>75</v>
          </cell>
          <cell r="CE16">
            <v>45</v>
          </cell>
          <cell r="CF16">
            <v>30</v>
          </cell>
          <cell r="CG16">
            <v>45</v>
          </cell>
          <cell r="CH16">
            <v>15</v>
          </cell>
          <cell r="CI16">
            <v>6.2</v>
          </cell>
          <cell r="CJ16">
            <v>2.066666666666667E-2</v>
          </cell>
          <cell r="CK16">
            <v>10</v>
          </cell>
          <cell r="CL16">
            <v>30</v>
          </cell>
          <cell r="CM16">
            <v>0.30626717948717946</v>
          </cell>
          <cell r="CN16">
            <v>0.30626717948717946</v>
          </cell>
          <cell r="CO16">
            <v>0</v>
          </cell>
          <cell r="CP16">
            <v>0</v>
          </cell>
          <cell r="CQ16">
            <v>4.3062671794871799</v>
          </cell>
          <cell r="CR16">
            <v>0</v>
          </cell>
          <cell r="CS16">
            <v>1</v>
          </cell>
          <cell r="CT16">
            <v>0</v>
          </cell>
          <cell r="CU16">
            <v>0</v>
          </cell>
          <cell r="CV16">
            <v>11</v>
          </cell>
          <cell r="CW16">
            <v>11</v>
          </cell>
          <cell r="CX16" t="str">
            <v xml:space="preserve"> </v>
          </cell>
          <cell r="CY16">
            <v>2</v>
          </cell>
          <cell r="CZ16">
            <v>1.8</v>
          </cell>
          <cell r="DA16">
            <v>1</v>
          </cell>
          <cell r="DB16">
            <v>500</v>
          </cell>
          <cell r="DC16">
            <v>235</v>
          </cell>
          <cell r="DD16">
            <v>130</v>
          </cell>
          <cell r="DE16">
            <v>38</v>
          </cell>
          <cell r="DF16">
            <v>58</v>
          </cell>
          <cell r="DG16">
            <v>10</v>
          </cell>
          <cell r="DH16">
            <v>5</v>
          </cell>
          <cell r="DI16">
            <v>25</v>
          </cell>
        </row>
        <row r="17">
          <cell r="A17" t="str">
            <v>RS 020</v>
          </cell>
          <cell r="B17">
            <v>20</v>
          </cell>
          <cell r="C17" t="str">
            <v>C</v>
          </cell>
          <cell r="D17" t="str">
            <v>T</v>
          </cell>
          <cell r="E17" t="str">
            <v>Lumbadzi River Bridge -  Chitsame</v>
          </cell>
          <cell r="F17" t="str">
            <v>M01</v>
          </cell>
          <cell r="G17">
            <v>15</v>
          </cell>
          <cell r="H17">
            <v>33</v>
          </cell>
          <cell r="I17" t="str">
            <v>F</v>
          </cell>
          <cell r="J17" t="str">
            <v>LILONGWE</v>
          </cell>
          <cell r="K17">
            <v>6</v>
          </cell>
          <cell r="L17">
            <v>0</v>
          </cell>
          <cell r="W17">
            <v>71</v>
          </cell>
          <cell r="X17" t="str">
            <v>DS</v>
          </cell>
          <cell r="Y17">
            <v>150</v>
          </cell>
          <cell r="Z17" t="str">
            <v>GR</v>
          </cell>
          <cell r="AA17">
            <v>100</v>
          </cell>
          <cell r="AB17" t="str">
            <v>CG</v>
          </cell>
          <cell r="AC17">
            <v>14</v>
          </cell>
          <cell r="AD17" t="str">
            <v>VR</v>
          </cell>
          <cell r="AE17">
            <v>87</v>
          </cell>
          <cell r="AF17" t="str">
            <v>AO</v>
          </cell>
          <cell r="AG17" t="str">
            <v>AC</v>
          </cell>
          <cell r="AH17">
            <v>40</v>
          </cell>
          <cell r="AI17">
            <v>0</v>
          </cell>
          <cell r="AJ17">
            <v>0</v>
          </cell>
          <cell r="AK17">
            <v>0</v>
          </cell>
          <cell r="AL17">
            <v>0</v>
          </cell>
          <cell r="AM17">
            <v>6</v>
          </cell>
          <cell r="AN17">
            <v>0</v>
          </cell>
          <cell r="BO17" t="str">
            <v>RS 020</v>
          </cell>
          <cell r="BP17">
            <v>33</v>
          </cell>
          <cell r="BQ17">
            <v>6.7</v>
          </cell>
          <cell r="BR17" t="str">
            <v>F</v>
          </cell>
          <cell r="BS17" t="str">
            <v>C</v>
          </cell>
          <cell r="BT17">
            <v>0</v>
          </cell>
          <cell r="BU17" t="str">
            <v>AC</v>
          </cell>
          <cell r="BV17" t="str">
            <v>DS</v>
          </cell>
          <cell r="BW17">
            <v>6</v>
          </cell>
          <cell r="BX17">
            <v>40</v>
          </cell>
          <cell r="BY17">
            <v>15</v>
          </cell>
          <cell r="BZ17">
            <v>1</v>
          </cell>
          <cell r="CA17">
            <v>14</v>
          </cell>
          <cell r="CB17">
            <v>1.629</v>
          </cell>
          <cell r="CC17">
            <v>2.0467220474540122</v>
          </cell>
          <cell r="CD17">
            <v>28</v>
          </cell>
          <cell r="CE17">
            <v>6</v>
          </cell>
          <cell r="CF17">
            <v>0</v>
          </cell>
          <cell r="CG17">
            <v>28</v>
          </cell>
          <cell r="CH17">
            <v>6</v>
          </cell>
          <cell r="CI17">
            <v>1</v>
          </cell>
          <cell r="CJ17">
            <v>2.9850746268656717E-3</v>
          </cell>
          <cell r="CK17">
            <v>2.9850746268656717E-3</v>
          </cell>
          <cell r="CL17">
            <v>0</v>
          </cell>
          <cell r="CM17">
            <v>1.1572904707233065E-3</v>
          </cell>
          <cell r="CN17">
            <v>1.1572904707233065E-3</v>
          </cell>
          <cell r="CO17">
            <v>0</v>
          </cell>
          <cell r="CP17">
            <v>0</v>
          </cell>
          <cell r="CQ17">
            <v>2.0478793379247353</v>
          </cell>
          <cell r="CR17">
            <v>0</v>
          </cell>
          <cell r="CS17">
            <v>1</v>
          </cell>
          <cell r="CT17">
            <v>0</v>
          </cell>
          <cell r="CU17">
            <v>0</v>
          </cell>
          <cell r="CV17">
            <v>11</v>
          </cell>
          <cell r="CW17">
            <v>27</v>
          </cell>
          <cell r="CX17">
            <v>54</v>
          </cell>
          <cell r="CY17">
            <v>1.5</v>
          </cell>
          <cell r="CZ17">
            <v>2</v>
          </cell>
          <cell r="DA17">
            <v>1.2</v>
          </cell>
          <cell r="DB17">
            <v>575</v>
          </cell>
          <cell r="DC17">
            <v>271</v>
          </cell>
          <cell r="DD17">
            <v>150</v>
          </cell>
          <cell r="DE17">
            <v>44</v>
          </cell>
          <cell r="DF17">
            <v>67</v>
          </cell>
          <cell r="DG17">
            <v>12</v>
          </cell>
          <cell r="DH17">
            <v>6</v>
          </cell>
          <cell r="DI17">
            <v>29</v>
          </cell>
        </row>
        <row r="18">
          <cell r="A18" t="str">
            <v>RS 028</v>
          </cell>
          <cell r="B18">
            <v>28</v>
          </cell>
          <cell r="C18" t="str">
            <v>C</v>
          </cell>
          <cell r="D18" t="str">
            <v>T</v>
          </cell>
          <cell r="E18" t="str">
            <v>Chitsime - Kamchere</v>
          </cell>
          <cell r="F18" t="str">
            <v>M01</v>
          </cell>
          <cell r="G18">
            <v>16</v>
          </cell>
          <cell r="H18">
            <v>8.8000000000000007</v>
          </cell>
          <cell r="I18" t="str">
            <v>F</v>
          </cell>
          <cell r="J18" t="str">
            <v>LILONGWE</v>
          </cell>
          <cell r="K18">
            <v>6</v>
          </cell>
          <cell r="L18">
            <v>0</v>
          </cell>
          <cell r="W18">
            <v>71</v>
          </cell>
          <cell r="X18" t="str">
            <v>AC</v>
          </cell>
          <cell r="Y18">
            <v>125</v>
          </cell>
          <cell r="Z18" t="str">
            <v>SB</v>
          </cell>
          <cell r="AA18">
            <v>100</v>
          </cell>
          <cell r="AB18" t="str">
            <v>GR</v>
          </cell>
          <cell r="AC18">
            <v>4</v>
          </cell>
          <cell r="AD18" t="str">
            <v>VR</v>
          </cell>
          <cell r="AE18">
            <v>87</v>
          </cell>
          <cell r="AF18" t="str">
            <v>AO</v>
          </cell>
          <cell r="AG18" t="str">
            <v>AC</v>
          </cell>
          <cell r="AH18">
            <v>40</v>
          </cell>
          <cell r="AI18">
            <v>0</v>
          </cell>
          <cell r="AJ18">
            <v>0</v>
          </cell>
          <cell r="AK18">
            <v>0</v>
          </cell>
          <cell r="AL18">
            <v>0</v>
          </cell>
          <cell r="AM18">
            <v>6</v>
          </cell>
          <cell r="AN18">
            <v>0</v>
          </cell>
          <cell r="BO18" t="str">
            <v>RS 028</v>
          </cell>
          <cell r="BP18">
            <v>8.8000000000000007</v>
          </cell>
          <cell r="BQ18">
            <v>6.7</v>
          </cell>
          <cell r="BR18" t="str">
            <v>F</v>
          </cell>
          <cell r="BS18" t="str">
            <v>C</v>
          </cell>
          <cell r="BT18">
            <v>0</v>
          </cell>
          <cell r="BU18" t="str">
            <v>AC</v>
          </cell>
          <cell r="BV18" t="str">
            <v>AC</v>
          </cell>
          <cell r="BW18">
            <v>6</v>
          </cell>
          <cell r="BX18">
            <v>40</v>
          </cell>
          <cell r="BY18">
            <v>40</v>
          </cell>
          <cell r="BZ18">
            <v>1</v>
          </cell>
          <cell r="CA18">
            <v>4</v>
          </cell>
          <cell r="CB18">
            <v>2.1040000000000001</v>
          </cell>
          <cell r="CC18">
            <v>2.8208711632453571</v>
          </cell>
          <cell r="CD18">
            <v>80</v>
          </cell>
          <cell r="CE18">
            <v>40</v>
          </cell>
          <cell r="CF18">
            <v>25</v>
          </cell>
          <cell r="CG18">
            <v>55</v>
          </cell>
          <cell r="CH18">
            <v>15</v>
          </cell>
          <cell r="CI18">
            <v>1.6</v>
          </cell>
          <cell r="CJ18">
            <v>4.7761194029850755E-3</v>
          </cell>
          <cell r="CK18">
            <v>10</v>
          </cell>
          <cell r="CL18">
            <v>25</v>
          </cell>
          <cell r="CM18">
            <v>0.26718851894374285</v>
          </cell>
          <cell r="CN18">
            <v>0.26718851894374285</v>
          </cell>
          <cell r="CO18">
            <v>0</v>
          </cell>
          <cell r="CP18">
            <v>0</v>
          </cell>
          <cell r="CQ18">
            <v>3.0880596821891002</v>
          </cell>
          <cell r="CR18">
            <v>0</v>
          </cell>
          <cell r="CS18">
            <v>1</v>
          </cell>
          <cell r="CT18">
            <v>0</v>
          </cell>
          <cell r="CU18">
            <v>0</v>
          </cell>
          <cell r="CV18">
            <v>11</v>
          </cell>
          <cell r="CW18">
            <v>27</v>
          </cell>
          <cell r="CX18">
            <v>54</v>
          </cell>
          <cell r="CY18">
            <v>1.5</v>
          </cell>
          <cell r="CZ18">
            <v>2</v>
          </cell>
          <cell r="DA18">
            <v>2</v>
          </cell>
          <cell r="DB18">
            <v>1000</v>
          </cell>
          <cell r="DC18">
            <v>470</v>
          </cell>
          <cell r="DD18">
            <v>260</v>
          </cell>
          <cell r="DE18">
            <v>75</v>
          </cell>
          <cell r="DF18">
            <v>115</v>
          </cell>
          <cell r="DG18">
            <v>20</v>
          </cell>
          <cell r="DH18">
            <v>10</v>
          </cell>
          <cell r="DI18">
            <v>50</v>
          </cell>
        </row>
        <row r="19">
          <cell r="A19" t="str">
            <v>RS 012</v>
          </cell>
          <cell r="B19">
            <v>12</v>
          </cell>
          <cell r="C19" t="str">
            <v>C</v>
          </cell>
          <cell r="D19" t="str">
            <v>T</v>
          </cell>
          <cell r="E19" t="str">
            <v>Kamchere - Kalumba T/Off</v>
          </cell>
          <cell r="F19" t="str">
            <v>M01</v>
          </cell>
          <cell r="G19">
            <v>17</v>
          </cell>
          <cell r="H19">
            <v>13.4</v>
          </cell>
          <cell r="I19" t="str">
            <v>F</v>
          </cell>
          <cell r="J19" t="str">
            <v>LILONGWE</v>
          </cell>
          <cell r="K19">
            <v>6</v>
          </cell>
          <cell r="L19">
            <v>0</v>
          </cell>
          <cell r="W19">
            <v>71</v>
          </cell>
          <cell r="X19" t="str">
            <v>DS</v>
          </cell>
          <cell r="Y19">
            <v>125</v>
          </cell>
          <cell r="Z19" t="str">
            <v>SB</v>
          </cell>
          <cell r="AA19">
            <v>100</v>
          </cell>
          <cell r="AB19" t="str">
            <v>GR</v>
          </cell>
          <cell r="AC19">
            <v>4</v>
          </cell>
          <cell r="AD19" t="str">
            <v>VR</v>
          </cell>
          <cell r="AE19">
            <v>81</v>
          </cell>
          <cell r="AF19" t="str">
            <v>AO</v>
          </cell>
          <cell r="AG19" t="str">
            <v>AC</v>
          </cell>
          <cell r="AH19">
            <v>40</v>
          </cell>
          <cell r="AI19">
            <v>87</v>
          </cell>
          <cell r="AJ19" t="str">
            <v>AO</v>
          </cell>
          <cell r="AK19" t="str">
            <v>AC</v>
          </cell>
          <cell r="AL19">
            <v>40</v>
          </cell>
          <cell r="AM19">
            <v>6</v>
          </cell>
          <cell r="AN19" t="str">
            <v>spot AO</v>
          </cell>
          <cell r="BO19" t="str">
            <v>RS 012</v>
          </cell>
          <cell r="BP19">
            <v>13.4</v>
          </cell>
          <cell r="BQ19">
            <v>6.7</v>
          </cell>
          <cell r="BR19" t="str">
            <v>F</v>
          </cell>
          <cell r="BS19" t="str">
            <v>C</v>
          </cell>
          <cell r="BT19">
            <v>0</v>
          </cell>
          <cell r="BU19" t="str">
            <v>AC</v>
          </cell>
          <cell r="BV19" t="str">
            <v>AO</v>
          </cell>
          <cell r="BW19">
            <v>6</v>
          </cell>
          <cell r="BX19">
            <v>40</v>
          </cell>
          <cell r="BY19">
            <v>40</v>
          </cell>
          <cell r="BZ19">
            <v>1</v>
          </cell>
          <cell r="CA19">
            <v>4</v>
          </cell>
          <cell r="CB19">
            <v>1.7290000000000001</v>
          </cell>
          <cell r="CC19">
            <v>2.7216531769305963</v>
          </cell>
          <cell r="CD19">
            <v>70</v>
          </cell>
          <cell r="CE19">
            <v>35</v>
          </cell>
          <cell r="CF19">
            <v>20</v>
          </cell>
          <cell r="CG19">
            <v>50</v>
          </cell>
          <cell r="CH19">
            <v>15</v>
          </cell>
          <cell r="CI19">
            <v>2</v>
          </cell>
          <cell r="CJ19">
            <v>5.9701492537313433E-3</v>
          </cell>
          <cell r="CK19">
            <v>10</v>
          </cell>
          <cell r="CL19">
            <v>20</v>
          </cell>
          <cell r="CM19">
            <v>0.23456257175660158</v>
          </cell>
          <cell r="CN19">
            <v>0.23456257175660158</v>
          </cell>
          <cell r="CO19">
            <v>0</v>
          </cell>
          <cell r="CP19">
            <v>0</v>
          </cell>
          <cell r="CQ19">
            <v>2.9562157486871978</v>
          </cell>
          <cell r="CR19">
            <v>0</v>
          </cell>
          <cell r="CS19">
            <v>1</v>
          </cell>
          <cell r="CT19">
            <v>0</v>
          </cell>
          <cell r="CU19">
            <v>0</v>
          </cell>
          <cell r="CV19">
            <v>11</v>
          </cell>
          <cell r="CW19">
            <v>27</v>
          </cell>
          <cell r="CX19">
            <v>54</v>
          </cell>
          <cell r="CY19">
            <v>1.5</v>
          </cell>
          <cell r="CZ19">
            <v>1.8</v>
          </cell>
          <cell r="DA19">
            <v>1.8</v>
          </cell>
          <cell r="DB19">
            <v>600</v>
          </cell>
          <cell r="DC19">
            <v>282</v>
          </cell>
          <cell r="DD19">
            <v>156</v>
          </cell>
          <cell r="DE19">
            <v>45</v>
          </cell>
          <cell r="DF19">
            <v>69</v>
          </cell>
          <cell r="DG19">
            <v>12</v>
          </cell>
          <cell r="DH19">
            <v>6</v>
          </cell>
          <cell r="DI19">
            <v>30</v>
          </cell>
        </row>
        <row r="20">
          <cell r="A20" t="str">
            <v>RS 037</v>
          </cell>
          <cell r="B20">
            <v>37</v>
          </cell>
          <cell r="C20" t="str">
            <v>C</v>
          </cell>
          <cell r="D20" t="str">
            <v>T</v>
          </cell>
          <cell r="E20" t="str">
            <v>Kalumba T/Off - Diamphwe River Bridge</v>
          </cell>
          <cell r="F20" t="str">
            <v>M01</v>
          </cell>
          <cell r="G20">
            <v>18</v>
          </cell>
          <cell r="H20">
            <v>18.7</v>
          </cell>
          <cell r="I20" t="str">
            <v>F</v>
          </cell>
          <cell r="J20" t="str">
            <v>LILONGWE</v>
          </cell>
          <cell r="K20">
            <v>6</v>
          </cell>
          <cell r="L20">
            <v>0</v>
          </cell>
          <cell r="W20">
            <v>71</v>
          </cell>
          <cell r="X20" t="str">
            <v>AC</v>
          </cell>
          <cell r="Y20">
            <v>125</v>
          </cell>
          <cell r="Z20" t="str">
            <v>SB</v>
          </cell>
          <cell r="AA20">
            <v>100</v>
          </cell>
          <cell r="AB20" t="str">
            <v>GR</v>
          </cell>
          <cell r="AC20">
            <v>4</v>
          </cell>
          <cell r="AD20" t="str">
            <v>VR</v>
          </cell>
          <cell r="AE20">
            <v>0</v>
          </cell>
          <cell r="AF20">
            <v>0</v>
          </cell>
          <cell r="AG20">
            <v>0</v>
          </cell>
          <cell r="AH20">
            <v>0</v>
          </cell>
          <cell r="AI20">
            <v>0</v>
          </cell>
          <cell r="AJ20">
            <v>0</v>
          </cell>
          <cell r="AK20">
            <v>0</v>
          </cell>
          <cell r="AL20">
            <v>0</v>
          </cell>
          <cell r="AM20">
            <v>2</v>
          </cell>
          <cell r="AN20" t="str">
            <v>spot AO</v>
          </cell>
          <cell r="BO20" t="str">
            <v>RS 037</v>
          </cell>
          <cell r="BP20">
            <v>18.7</v>
          </cell>
          <cell r="BQ20">
            <v>6.7</v>
          </cell>
          <cell r="BR20" t="str">
            <v>F</v>
          </cell>
          <cell r="BS20" t="str">
            <v>C</v>
          </cell>
          <cell r="BT20">
            <v>0</v>
          </cell>
          <cell r="BU20" t="str">
            <v>AC</v>
          </cell>
          <cell r="BV20" t="str">
            <v/>
          </cell>
          <cell r="BW20">
            <v>2</v>
          </cell>
          <cell r="BX20">
            <v>40</v>
          </cell>
          <cell r="BY20" t="str">
            <v xml:space="preserve"> </v>
          </cell>
          <cell r="BZ20">
            <v>1</v>
          </cell>
          <cell r="CA20">
            <v>4</v>
          </cell>
          <cell r="CB20">
            <v>1.552</v>
          </cell>
          <cell r="CC20">
            <v>3.3922299120234607</v>
          </cell>
          <cell r="CD20">
            <v>80</v>
          </cell>
          <cell r="CE20">
            <v>45</v>
          </cell>
          <cell r="CF20">
            <v>30</v>
          </cell>
          <cell r="CG20">
            <v>50</v>
          </cell>
          <cell r="CH20">
            <v>15</v>
          </cell>
          <cell r="CI20">
            <v>5</v>
          </cell>
          <cell r="CJ20">
            <v>1.4925373134328358E-2</v>
          </cell>
          <cell r="CK20">
            <v>10</v>
          </cell>
          <cell r="CL20">
            <v>30</v>
          </cell>
          <cell r="CM20">
            <v>0.30409873708381169</v>
          </cell>
          <cell r="CN20">
            <v>0.30409873708381169</v>
          </cell>
          <cell r="CO20">
            <v>0</v>
          </cell>
          <cell r="CP20">
            <v>0</v>
          </cell>
          <cell r="CQ20">
            <v>3.6963286491072722</v>
          </cell>
          <cell r="CR20">
            <v>0</v>
          </cell>
          <cell r="CS20">
            <v>1</v>
          </cell>
          <cell r="CT20">
            <v>0</v>
          </cell>
          <cell r="CU20">
            <v>0</v>
          </cell>
          <cell r="CV20">
            <v>27</v>
          </cell>
          <cell r="CW20">
            <v>27</v>
          </cell>
          <cell r="CX20" t="str">
            <v xml:space="preserve"> </v>
          </cell>
          <cell r="CY20">
            <v>2</v>
          </cell>
          <cell r="CZ20">
            <v>1.5</v>
          </cell>
          <cell r="DA20">
            <v>1.5</v>
          </cell>
          <cell r="DB20">
            <v>600</v>
          </cell>
          <cell r="DC20">
            <v>282</v>
          </cell>
          <cell r="DD20">
            <v>156</v>
          </cell>
          <cell r="DE20">
            <v>45</v>
          </cell>
          <cell r="DF20">
            <v>69</v>
          </cell>
          <cell r="DG20">
            <v>12</v>
          </cell>
          <cell r="DH20">
            <v>6</v>
          </cell>
          <cell r="DI20">
            <v>30</v>
          </cell>
        </row>
        <row r="21">
          <cell r="A21" t="str">
            <v>RS 025</v>
          </cell>
          <cell r="B21">
            <v>25</v>
          </cell>
          <cell r="C21" t="str">
            <v>C</v>
          </cell>
          <cell r="D21" t="str">
            <v>T</v>
          </cell>
          <cell r="E21" t="str">
            <v>Diamphwe River - Junction S126</v>
          </cell>
          <cell r="F21" t="str">
            <v>M01</v>
          </cell>
          <cell r="G21">
            <v>19</v>
          </cell>
          <cell r="H21">
            <v>5.4</v>
          </cell>
          <cell r="I21" t="str">
            <v>R</v>
          </cell>
          <cell r="J21" t="str">
            <v>DEDZA</v>
          </cell>
          <cell r="K21">
            <v>6</v>
          </cell>
          <cell r="L21">
            <v>0</v>
          </cell>
          <cell r="W21">
            <v>71</v>
          </cell>
          <cell r="X21" t="str">
            <v>DS</v>
          </cell>
          <cell r="Y21">
            <v>150</v>
          </cell>
          <cell r="Z21" t="str">
            <v>GR</v>
          </cell>
          <cell r="AA21">
            <v>100</v>
          </cell>
          <cell r="AB21" t="str">
            <v>GR</v>
          </cell>
          <cell r="AC21">
            <v>14</v>
          </cell>
          <cell r="AD21" t="str">
            <v>VR</v>
          </cell>
          <cell r="AE21">
            <v>0</v>
          </cell>
          <cell r="AF21">
            <v>0</v>
          </cell>
          <cell r="AG21">
            <v>0</v>
          </cell>
          <cell r="AH21">
            <v>0</v>
          </cell>
          <cell r="AI21">
            <v>0</v>
          </cell>
          <cell r="AJ21">
            <v>0</v>
          </cell>
          <cell r="AK21">
            <v>0</v>
          </cell>
          <cell r="AL21">
            <v>0</v>
          </cell>
          <cell r="AM21">
            <v>1</v>
          </cell>
          <cell r="AN21" t="str">
            <v>spot AO</v>
          </cell>
          <cell r="BO21" t="str">
            <v>RS 025</v>
          </cell>
          <cell r="BP21">
            <v>5.4</v>
          </cell>
          <cell r="BQ21">
            <v>6.7</v>
          </cell>
          <cell r="BR21" t="str">
            <v>R</v>
          </cell>
          <cell r="BS21" t="str">
            <v>C</v>
          </cell>
          <cell r="BT21">
            <v>0</v>
          </cell>
          <cell r="BU21" t="str">
            <v>DS</v>
          </cell>
          <cell r="BV21" t="str">
            <v/>
          </cell>
          <cell r="BW21">
            <v>1</v>
          </cell>
          <cell r="BX21">
            <v>15</v>
          </cell>
          <cell r="BY21" t="str">
            <v xml:space="preserve"> </v>
          </cell>
          <cell r="BZ21">
            <v>1</v>
          </cell>
          <cell r="CA21">
            <v>14</v>
          </cell>
          <cell r="CB21">
            <v>1.077</v>
          </cell>
          <cell r="CC21">
            <v>4.9865603128054747</v>
          </cell>
          <cell r="CD21">
            <v>80</v>
          </cell>
          <cell r="CE21">
            <v>50</v>
          </cell>
          <cell r="CF21">
            <v>35</v>
          </cell>
          <cell r="CG21">
            <v>45</v>
          </cell>
          <cell r="CH21">
            <v>15</v>
          </cell>
          <cell r="CI21">
            <v>117</v>
          </cell>
          <cell r="CJ21">
            <v>0.34925373134328364</v>
          </cell>
          <cell r="CK21">
            <v>10</v>
          </cell>
          <cell r="CL21">
            <v>35</v>
          </cell>
          <cell r="CM21">
            <v>0.4634489092996556</v>
          </cell>
          <cell r="CN21">
            <v>0.4634489092996556</v>
          </cell>
          <cell r="CO21">
            <v>0</v>
          </cell>
          <cell r="CP21">
            <v>0</v>
          </cell>
          <cell r="CQ21">
            <v>5.4500092221051304</v>
          </cell>
          <cell r="CR21">
            <v>80</v>
          </cell>
          <cell r="CS21">
            <v>1</v>
          </cell>
          <cell r="CT21">
            <v>0</v>
          </cell>
          <cell r="CU21">
            <v>0</v>
          </cell>
          <cell r="CV21">
            <v>27</v>
          </cell>
          <cell r="CW21">
            <v>27</v>
          </cell>
          <cell r="CX21" t="str">
            <v xml:space="preserve"> </v>
          </cell>
          <cell r="CY21">
            <v>2</v>
          </cell>
          <cell r="CZ21">
            <v>1.5</v>
          </cell>
          <cell r="DA21">
            <v>1.5</v>
          </cell>
          <cell r="DB21">
            <v>600</v>
          </cell>
          <cell r="DC21">
            <v>282</v>
          </cell>
          <cell r="DD21">
            <v>156</v>
          </cell>
          <cell r="DE21">
            <v>45</v>
          </cell>
          <cell r="DF21">
            <v>69</v>
          </cell>
          <cell r="DG21">
            <v>12</v>
          </cell>
          <cell r="DH21">
            <v>6</v>
          </cell>
          <cell r="DI21">
            <v>30</v>
          </cell>
        </row>
        <row r="22">
          <cell r="A22" t="str">
            <v>RS 010</v>
          </cell>
          <cell r="B22">
            <v>10</v>
          </cell>
          <cell r="C22" t="str">
            <v>C</v>
          </cell>
          <cell r="D22" t="str">
            <v>T</v>
          </cell>
          <cell r="E22" t="str">
            <v>Junction S126 - Linthipe</v>
          </cell>
          <cell r="F22" t="str">
            <v>M01</v>
          </cell>
          <cell r="G22">
            <v>20</v>
          </cell>
          <cell r="H22">
            <v>8.1</v>
          </cell>
          <cell r="I22" t="str">
            <v>R</v>
          </cell>
          <cell r="J22" t="str">
            <v>DEDZA</v>
          </cell>
          <cell r="K22">
            <v>6</v>
          </cell>
          <cell r="L22">
            <v>0</v>
          </cell>
          <cell r="W22">
            <v>71</v>
          </cell>
          <cell r="X22" t="str">
            <v>DS</v>
          </cell>
          <cell r="Y22">
            <v>125</v>
          </cell>
          <cell r="Z22" t="str">
            <v>SB</v>
          </cell>
          <cell r="AA22">
            <v>100</v>
          </cell>
          <cell r="AB22" t="str">
            <v>GR</v>
          </cell>
          <cell r="AC22">
            <v>4</v>
          </cell>
          <cell r="AD22" t="str">
            <v>VR</v>
          </cell>
          <cell r="AE22">
            <v>0</v>
          </cell>
          <cell r="AF22">
            <v>0</v>
          </cell>
          <cell r="AG22">
            <v>0</v>
          </cell>
          <cell r="AH22">
            <v>0</v>
          </cell>
          <cell r="AI22">
            <v>0</v>
          </cell>
          <cell r="AJ22">
            <v>0</v>
          </cell>
          <cell r="AK22">
            <v>0</v>
          </cell>
          <cell r="AL22">
            <v>0</v>
          </cell>
          <cell r="AM22">
            <v>1</v>
          </cell>
          <cell r="AN22" t="str">
            <v>never resealed</v>
          </cell>
          <cell r="BO22" t="str">
            <v>RS 010</v>
          </cell>
          <cell r="BP22">
            <v>8.1</v>
          </cell>
          <cell r="BQ22">
            <v>6.7</v>
          </cell>
          <cell r="BR22" t="str">
            <v>R</v>
          </cell>
          <cell r="BS22" t="str">
            <v>C</v>
          </cell>
          <cell r="BT22">
            <v>0</v>
          </cell>
          <cell r="BU22" t="str">
            <v>DS</v>
          </cell>
          <cell r="BV22" t="str">
            <v/>
          </cell>
          <cell r="BW22">
            <v>1</v>
          </cell>
          <cell r="BX22">
            <v>15</v>
          </cell>
          <cell r="BY22" t="str">
            <v xml:space="preserve"> </v>
          </cell>
          <cell r="BZ22">
            <v>1</v>
          </cell>
          <cell r="CA22">
            <v>4</v>
          </cell>
          <cell r="CB22">
            <v>1.177</v>
          </cell>
          <cell r="CC22">
            <v>3.09</v>
          </cell>
          <cell r="CD22">
            <v>10</v>
          </cell>
          <cell r="CE22">
            <v>7</v>
          </cell>
          <cell r="CF22">
            <v>0</v>
          </cell>
          <cell r="CG22">
            <v>10</v>
          </cell>
          <cell r="CH22">
            <v>7</v>
          </cell>
          <cell r="CI22">
            <v>0.5</v>
          </cell>
          <cell r="CJ22">
            <v>1.4925373134328358E-3</v>
          </cell>
          <cell r="CK22">
            <v>1.4925373134328358E-3</v>
          </cell>
          <cell r="CL22">
            <v>0</v>
          </cell>
          <cell r="CM22">
            <v>5.7864523536165326E-4</v>
          </cell>
          <cell r="CN22">
            <v>5.7864523536165326E-4</v>
          </cell>
          <cell r="CO22">
            <v>0</v>
          </cell>
          <cell r="CP22">
            <v>0</v>
          </cell>
          <cell r="CQ22">
            <v>3.0905786452353614</v>
          </cell>
          <cell r="CR22">
            <v>20</v>
          </cell>
          <cell r="CS22">
            <v>1</v>
          </cell>
          <cell r="CT22">
            <v>0</v>
          </cell>
          <cell r="CU22">
            <v>0</v>
          </cell>
          <cell r="CV22">
            <v>27</v>
          </cell>
          <cell r="CW22">
            <v>27</v>
          </cell>
          <cell r="CX22" t="str">
            <v xml:space="preserve"> </v>
          </cell>
          <cell r="CY22">
            <v>2</v>
          </cell>
          <cell r="CZ22">
            <v>1.5</v>
          </cell>
          <cell r="DA22">
            <v>1.5</v>
          </cell>
          <cell r="DB22">
            <v>600</v>
          </cell>
          <cell r="DC22">
            <v>282</v>
          </cell>
          <cell r="DD22">
            <v>156</v>
          </cell>
          <cell r="DE22">
            <v>45</v>
          </cell>
          <cell r="DF22">
            <v>69</v>
          </cell>
          <cell r="DG22">
            <v>12</v>
          </cell>
          <cell r="DH22">
            <v>6</v>
          </cell>
          <cell r="DI22">
            <v>30</v>
          </cell>
        </row>
        <row r="23">
          <cell r="A23" t="str">
            <v>RS 038</v>
          </cell>
          <cell r="B23">
            <v>38</v>
          </cell>
          <cell r="C23" t="str">
            <v>C</v>
          </cell>
          <cell r="D23" t="str">
            <v>T</v>
          </cell>
          <cell r="E23" t="str">
            <v>Linthipe - Chimbiya</v>
          </cell>
          <cell r="F23" t="str">
            <v>M01</v>
          </cell>
          <cell r="G23">
            <v>21</v>
          </cell>
          <cell r="H23">
            <v>6.3</v>
          </cell>
          <cell r="I23" t="str">
            <v>R</v>
          </cell>
          <cell r="J23" t="str">
            <v>LILONGWE</v>
          </cell>
          <cell r="K23">
            <v>6</v>
          </cell>
          <cell r="L23">
            <v>0</v>
          </cell>
          <cell r="W23">
            <v>71</v>
          </cell>
          <cell r="X23" t="str">
            <v>AC</v>
          </cell>
          <cell r="Y23">
            <v>125</v>
          </cell>
          <cell r="Z23" t="str">
            <v>SB</v>
          </cell>
          <cell r="AA23">
            <v>100</v>
          </cell>
          <cell r="AB23" t="str">
            <v>GR</v>
          </cell>
          <cell r="AC23">
            <v>4</v>
          </cell>
          <cell r="AD23" t="str">
            <v>VR</v>
          </cell>
          <cell r="AE23">
            <v>86</v>
          </cell>
          <cell r="AF23" t="str">
            <v>AO</v>
          </cell>
          <cell r="AG23" t="str">
            <v>AC</v>
          </cell>
          <cell r="AH23">
            <v>40</v>
          </cell>
          <cell r="AI23">
            <v>0</v>
          </cell>
          <cell r="AJ23">
            <v>0</v>
          </cell>
          <cell r="AK23">
            <v>0</v>
          </cell>
          <cell r="AL23">
            <v>0</v>
          </cell>
          <cell r="AM23">
            <v>6</v>
          </cell>
          <cell r="AN23">
            <v>0</v>
          </cell>
          <cell r="BO23" t="str">
            <v>RS 038</v>
          </cell>
          <cell r="BP23">
            <v>6.3</v>
          </cell>
          <cell r="BQ23">
            <v>6</v>
          </cell>
          <cell r="BR23" t="str">
            <v>R</v>
          </cell>
          <cell r="BS23" t="str">
            <v>C</v>
          </cell>
          <cell r="BT23">
            <v>0</v>
          </cell>
          <cell r="BU23" t="str">
            <v>AC</v>
          </cell>
          <cell r="BV23" t="str">
            <v>AC</v>
          </cell>
          <cell r="BW23">
            <v>6</v>
          </cell>
          <cell r="BX23">
            <v>40</v>
          </cell>
          <cell r="BY23">
            <v>40</v>
          </cell>
          <cell r="BZ23">
            <v>1</v>
          </cell>
          <cell r="CA23">
            <v>4</v>
          </cell>
          <cell r="CB23">
            <v>2.1040000000000001</v>
          </cell>
          <cell r="CC23">
            <v>3.53</v>
          </cell>
          <cell r="CD23">
            <v>50</v>
          </cell>
          <cell r="CE23">
            <v>20</v>
          </cell>
          <cell r="CF23">
            <v>5</v>
          </cell>
          <cell r="CG23">
            <v>45</v>
          </cell>
          <cell r="CH23">
            <v>15</v>
          </cell>
          <cell r="CI23">
            <v>0.7</v>
          </cell>
          <cell r="CJ23">
            <v>2.3333333333333331E-3</v>
          </cell>
          <cell r="CK23">
            <v>5.0023333333333335</v>
          </cell>
          <cell r="CL23">
            <v>5</v>
          </cell>
          <cell r="CM23">
            <v>8.3981538461538455E-2</v>
          </cell>
          <cell r="CN23">
            <v>8.3981538461538455E-2</v>
          </cell>
          <cell r="CO23">
            <v>0</v>
          </cell>
          <cell r="CP23">
            <v>0</v>
          </cell>
          <cell r="CQ23">
            <v>3.6139815384615384</v>
          </cell>
          <cell r="CR23">
            <v>10</v>
          </cell>
          <cell r="CS23">
            <v>1</v>
          </cell>
          <cell r="CT23">
            <v>0</v>
          </cell>
          <cell r="CU23">
            <v>0</v>
          </cell>
          <cell r="CV23">
            <v>12</v>
          </cell>
          <cell r="CW23">
            <v>27</v>
          </cell>
          <cell r="CX23">
            <v>54</v>
          </cell>
          <cell r="CY23">
            <v>1.5</v>
          </cell>
          <cell r="CZ23">
            <v>1.5</v>
          </cell>
          <cell r="DA23">
            <v>1.5</v>
          </cell>
          <cell r="DB23">
            <v>600</v>
          </cell>
          <cell r="DC23">
            <v>282</v>
          </cell>
          <cell r="DD23">
            <v>156</v>
          </cell>
          <cell r="DE23">
            <v>45</v>
          </cell>
          <cell r="DF23">
            <v>69</v>
          </cell>
          <cell r="DG23">
            <v>12</v>
          </cell>
          <cell r="DH23">
            <v>6</v>
          </cell>
          <cell r="DI23">
            <v>30</v>
          </cell>
        </row>
        <row r="24">
          <cell r="A24" t="str">
            <v>RS 023</v>
          </cell>
          <cell r="B24">
            <v>23</v>
          </cell>
          <cell r="C24" t="str">
            <v>C</v>
          </cell>
          <cell r="D24" t="str">
            <v>T</v>
          </cell>
          <cell r="E24" t="str">
            <v>Chimbiya - Zuze</v>
          </cell>
          <cell r="F24" t="str">
            <v>M01</v>
          </cell>
          <cell r="G24">
            <v>22</v>
          </cell>
          <cell r="H24">
            <v>31.8</v>
          </cell>
          <cell r="I24" t="str">
            <v>H</v>
          </cell>
          <cell r="J24" t="str">
            <v>DEDZA</v>
          </cell>
          <cell r="K24">
            <v>6</v>
          </cell>
          <cell r="L24">
            <v>0</v>
          </cell>
          <cell r="W24">
            <v>71</v>
          </cell>
          <cell r="X24" t="str">
            <v>AC</v>
          </cell>
          <cell r="Y24">
            <v>125</v>
          </cell>
          <cell r="Z24" t="str">
            <v>SB</v>
          </cell>
          <cell r="AA24">
            <v>150</v>
          </cell>
          <cell r="AB24" t="str">
            <v>GR</v>
          </cell>
          <cell r="AC24">
            <v>4</v>
          </cell>
          <cell r="AD24" t="str">
            <v>VR</v>
          </cell>
          <cell r="AE24">
            <v>81</v>
          </cell>
          <cell r="AF24" t="str">
            <v>SS</v>
          </cell>
          <cell r="AG24" t="str">
            <v>SS</v>
          </cell>
          <cell r="AH24">
            <v>5</v>
          </cell>
          <cell r="AI24">
            <v>86</v>
          </cell>
          <cell r="AJ24" t="str">
            <v>AO</v>
          </cell>
          <cell r="AK24" t="str">
            <v>AC</v>
          </cell>
          <cell r="AL24">
            <v>40</v>
          </cell>
          <cell r="AM24">
            <v>6</v>
          </cell>
          <cell r="AN24">
            <v>0</v>
          </cell>
          <cell r="BO24" t="str">
            <v>RS 023</v>
          </cell>
          <cell r="BP24">
            <v>31.8</v>
          </cell>
          <cell r="BQ24">
            <v>6</v>
          </cell>
          <cell r="BR24" t="str">
            <v>H</v>
          </cell>
          <cell r="BS24" t="str">
            <v>S</v>
          </cell>
          <cell r="BT24">
            <v>0</v>
          </cell>
          <cell r="BU24" t="str">
            <v>AC</v>
          </cell>
          <cell r="BV24" t="str">
            <v>AO</v>
          </cell>
          <cell r="BW24">
            <v>6</v>
          </cell>
          <cell r="BX24">
            <v>40</v>
          </cell>
          <cell r="BY24">
            <v>40</v>
          </cell>
          <cell r="BZ24">
            <v>1</v>
          </cell>
          <cell r="CA24">
            <v>4</v>
          </cell>
          <cell r="CB24">
            <v>2.6040000000000001</v>
          </cell>
          <cell r="CC24">
            <v>2.5019690693008183</v>
          </cell>
          <cell r="CD24">
            <v>10</v>
          </cell>
          <cell r="CE24">
            <v>7</v>
          </cell>
          <cell r="CF24">
            <v>0</v>
          </cell>
          <cell r="CG24">
            <v>10</v>
          </cell>
          <cell r="CH24">
            <v>7</v>
          </cell>
          <cell r="CI24">
            <v>0.3</v>
          </cell>
          <cell r="CJ24">
            <v>1E-3</v>
          </cell>
          <cell r="CK24">
            <v>1E-3</v>
          </cell>
          <cell r="CL24">
            <v>0</v>
          </cell>
          <cell r="CM24">
            <v>3.876923076923077E-4</v>
          </cell>
          <cell r="CN24">
            <v>3.876923076923077E-4</v>
          </cell>
          <cell r="CO24">
            <v>0</v>
          </cell>
          <cell r="CP24">
            <v>0</v>
          </cell>
          <cell r="CQ24">
            <v>2.5023567616085107</v>
          </cell>
          <cell r="CR24">
            <v>5</v>
          </cell>
          <cell r="CS24">
            <v>1</v>
          </cell>
          <cell r="CT24">
            <v>0</v>
          </cell>
          <cell r="CU24">
            <v>0</v>
          </cell>
          <cell r="CV24">
            <v>12</v>
          </cell>
          <cell r="CW24">
            <v>27</v>
          </cell>
          <cell r="CX24">
            <v>54</v>
          </cell>
          <cell r="CY24">
            <v>2</v>
          </cell>
          <cell r="CZ24">
            <v>2</v>
          </cell>
          <cell r="DA24">
            <v>2</v>
          </cell>
          <cell r="DB24">
            <v>600</v>
          </cell>
          <cell r="DC24">
            <v>282</v>
          </cell>
          <cell r="DD24">
            <v>156</v>
          </cell>
          <cell r="DE24">
            <v>45</v>
          </cell>
          <cell r="DF24">
            <v>69</v>
          </cell>
          <cell r="DG24">
            <v>12</v>
          </cell>
          <cell r="DH24">
            <v>6</v>
          </cell>
          <cell r="DI24">
            <v>30</v>
          </cell>
        </row>
        <row r="25">
          <cell r="A25" t="str">
            <v>RS 033</v>
          </cell>
          <cell r="B25">
            <v>33</v>
          </cell>
          <cell r="C25" t="str">
            <v>C</v>
          </cell>
          <cell r="D25" t="str">
            <v>T</v>
          </cell>
          <cell r="E25" t="str">
            <v>Dauya - Kapesi</v>
          </cell>
          <cell r="F25" t="str">
            <v>M01</v>
          </cell>
          <cell r="G25">
            <v>23</v>
          </cell>
          <cell r="H25">
            <v>12.5</v>
          </cell>
          <cell r="I25" t="str">
            <v>F</v>
          </cell>
          <cell r="J25" t="str">
            <v>DEDZA</v>
          </cell>
          <cell r="K25">
            <v>7</v>
          </cell>
          <cell r="L25">
            <v>0</v>
          </cell>
          <cell r="W25">
            <v>71</v>
          </cell>
          <cell r="X25" t="str">
            <v>AC</v>
          </cell>
          <cell r="Y25">
            <v>125</v>
          </cell>
          <cell r="Z25" t="str">
            <v>SB</v>
          </cell>
          <cell r="AA25">
            <v>100</v>
          </cell>
          <cell r="AB25" t="str">
            <v>GR</v>
          </cell>
          <cell r="AC25">
            <v>4</v>
          </cell>
          <cell r="AD25" t="str">
            <v>VR</v>
          </cell>
          <cell r="AE25">
            <v>81</v>
          </cell>
          <cell r="AF25" t="str">
            <v>AO</v>
          </cell>
          <cell r="AG25" t="str">
            <v>AC</v>
          </cell>
          <cell r="AH25">
            <v>40</v>
          </cell>
          <cell r="AI25">
            <v>87</v>
          </cell>
          <cell r="AJ25" t="str">
            <v>AO</v>
          </cell>
          <cell r="AK25" t="str">
            <v>AC</v>
          </cell>
          <cell r="AL25">
            <v>40</v>
          </cell>
          <cell r="AM25">
            <v>6</v>
          </cell>
          <cell r="AN25">
            <v>0</v>
          </cell>
          <cell r="BO25" t="str">
            <v>RS 033</v>
          </cell>
          <cell r="BP25">
            <v>12.5</v>
          </cell>
          <cell r="BQ25">
            <v>6</v>
          </cell>
          <cell r="BR25" t="str">
            <v>F</v>
          </cell>
          <cell r="BS25" t="str">
            <v>C</v>
          </cell>
          <cell r="BT25">
            <v>0</v>
          </cell>
          <cell r="BU25" t="str">
            <v>AC</v>
          </cell>
          <cell r="BV25" t="str">
            <v>AO</v>
          </cell>
          <cell r="BW25">
            <v>6</v>
          </cell>
          <cell r="BX25">
            <v>40</v>
          </cell>
          <cell r="BY25">
            <v>40</v>
          </cell>
          <cell r="BZ25">
            <v>1</v>
          </cell>
          <cell r="CA25">
            <v>4</v>
          </cell>
          <cell r="CB25">
            <v>2.1040000000000001</v>
          </cell>
          <cell r="CC25">
            <v>2.7620246334310852</v>
          </cell>
          <cell r="CD25">
            <v>20</v>
          </cell>
          <cell r="CE25">
            <v>8</v>
          </cell>
          <cell r="CF25">
            <v>0</v>
          </cell>
          <cell r="CG25">
            <v>20</v>
          </cell>
          <cell r="CH25">
            <v>8</v>
          </cell>
          <cell r="CI25">
            <v>0.1</v>
          </cell>
          <cell r="CJ25">
            <v>3.3333333333333343E-4</v>
          </cell>
          <cell r="CK25">
            <v>3.3333333333333343E-4</v>
          </cell>
          <cell r="CL25">
            <v>0</v>
          </cell>
          <cell r="CM25">
            <v>1.2923076923076926E-4</v>
          </cell>
          <cell r="CN25">
            <v>1.2923076923076926E-4</v>
          </cell>
          <cell r="CO25">
            <v>0</v>
          </cell>
          <cell r="CP25">
            <v>0</v>
          </cell>
          <cell r="CQ25">
            <v>2.7621538642003158</v>
          </cell>
          <cell r="CR25">
            <v>0</v>
          </cell>
          <cell r="CS25">
            <v>1</v>
          </cell>
          <cell r="CT25">
            <v>0</v>
          </cell>
          <cell r="CU25">
            <v>0</v>
          </cell>
          <cell r="CV25">
            <v>11</v>
          </cell>
          <cell r="CW25">
            <v>27</v>
          </cell>
          <cell r="CX25">
            <v>54</v>
          </cell>
          <cell r="CY25">
            <v>3</v>
          </cell>
          <cell r="CZ25">
            <v>2</v>
          </cell>
          <cell r="DA25">
            <v>1.5</v>
          </cell>
          <cell r="DB25">
            <v>600</v>
          </cell>
          <cell r="DC25">
            <v>282</v>
          </cell>
          <cell r="DD25">
            <v>156</v>
          </cell>
          <cell r="DE25">
            <v>45</v>
          </cell>
          <cell r="DF25">
            <v>69</v>
          </cell>
          <cell r="DG25">
            <v>12</v>
          </cell>
          <cell r="DH25">
            <v>6</v>
          </cell>
          <cell r="DI25">
            <v>30</v>
          </cell>
        </row>
        <row r="26">
          <cell r="A26" t="str">
            <v>RS 034</v>
          </cell>
          <cell r="B26">
            <v>34</v>
          </cell>
          <cell r="C26" t="str">
            <v>C</v>
          </cell>
          <cell r="D26" t="str">
            <v>T</v>
          </cell>
          <cell r="E26" t="str">
            <v>Nkutu - Bembeke</v>
          </cell>
          <cell r="F26" t="str">
            <v>M01</v>
          </cell>
          <cell r="G26">
            <v>24</v>
          </cell>
          <cell r="H26">
            <v>9</v>
          </cell>
          <cell r="I26" t="str">
            <v>H</v>
          </cell>
          <cell r="J26" t="str">
            <v>DEDZA</v>
          </cell>
          <cell r="K26">
            <v>7</v>
          </cell>
          <cell r="L26">
            <v>0</v>
          </cell>
          <cell r="W26">
            <v>71</v>
          </cell>
          <cell r="X26" t="str">
            <v>AC</v>
          </cell>
          <cell r="Y26">
            <v>125</v>
          </cell>
          <cell r="Z26" t="str">
            <v>SB</v>
          </cell>
          <cell r="AA26">
            <v>150</v>
          </cell>
          <cell r="AB26" t="str">
            <v>GR</v>
          </cell>
          <cell r="AC26">
            <v>10</v>
          </cell>
          <cell r="AD26" t="str">
            <v>VR</v>
          </cell>
          <cell r="AE26">
            <v>0</v>
          </cell>
          <cell r="AF26">
            <v>0</v>
          </cell>
          <cell r="AG26">
            <v>0</v>
          </cell>
          <cell r="AH26">
            <v>0</v>
          </cell>
          <cell r="AI26">
            <v>0</v>
          </cell>
          <cell r="AJ26">
            <v>0</v>
          </cell>
          <cell r="AK26">
            <v>0</v>
          </cell>
          <cell r="AL26">
            <v>0</v>
          </cell>
          <cell r="AM26">
            <v>2</v>
          </cell>
          <cell r="AN26" t="str">
            <v>never resealed</v>
          </cell>
          <cell r="BO26" t="str">
            <v>RS 034</v>
          </cell>
          <cell r="BP26">
            <v>9</v>
          </cell>
          <cell r="BQ26">
            <v>6</v>
          </cell>
          <cell r="BR26" t="str">
            <v>H</v>
          </cell>
          <cell r="BS26" t="str">
            <v>C</v>
          </cell>
          <cell r="BT26">
            <v>0</v>
          </cell>
          <cell r="BU26" t="str">
            <v>AC</v>
          </cell>
          <cell r="BV26" t="str">
            <v/>
          </cell>
          <cell r="BW26">
            <v>2</v>
          </cell>
          <cell r="BX26">
            <v>40</v>
          </cell>
          <cell r="BY26" t="str">
            <v xml:space="preserve"> </v>
          </cell>
          <cell r="BZ26">
            <v>1</v>
          </cell>
          <cell r="CA26">
            <v>10</v>
          </cell>
          <cell r="CB26">
            <v>2.052</v>
          </cell>
          <cell r="CC26">
            <v>2.8482416422287393</v>
          </cell>
          <cell r="CD26">
            <v>40</v>
          </cell>
          <cell r="CE26">
            <v>18</v>
          </cell>
          <cell r="CF26">
            <v>3</v>
          </cell>
          <cell r="CG26">
            <v>37</v>
          </cell>
          <cell r="CH26">
            <v>15</v>
          </cell>
          <cell r="CI26">
            <v>2.2999999999999998</v>
          </cell>
          <cell r="CJ26">
            <v>7.6666666666666654E-3</v>
          </cell>
          <cell r="CK26">
            <v>3.0076666666666667</v>
          </cell>
          <cell r="CL26">
            <v>3</v>
          </cell>
          <cell r="CM26">
            <v>5.2818461538461543E-2</v>
          </cell>
          <cell r="CN26">
            <v>5.2818461538461543E-2</v>
          </cell>
          <cell r="CO26">
            <v>0</v>
          </cell>
          <cell r="CP26">
            <v>0</v>
          </cell>
          <cell r="CQ26">
            <v>2.9010601037672008</v>
          </cell>
          <cell r="CR26">
            <v>0</v>
          </cell>
          <cell r="CS26">
            <v>1</v>
          </cell>
          <cell r="CT26">
            <v>0</v>
          </cell>
          <cell r="CU26">
            <v>0</v>
          </cell>
          <cell r="CV26">
            <v>27</v>
          </cell>
          <cell r="CW26">
            <v>27</v>
          </cell>
          <cell r="CX26" t="str">
            <v xml:space="preserve"> </v>
          </cell>
          <cell r="CY26">
            <v>2</v>
          </cell>
          <cell r="CZ26">
            <v>2</v>
          </cell>
          <cell r="DA26">
            <v>1.5</v>
          </cell>
          <cell r="DB26">
            <v>400</v>
          </cell>
          <cell r="DC26">
            <v>188</v>
          </cell>
          <cell r="DD26">
            <v>104</v>
          </cell>
          <cell r="DE26">
            <v>30</v>
          </cell>
          <cell r="DF26">
            <v>46</v>
          </cell>
          <cell r="DG26">
            <v>8</v>
          </cell>
          <cell r="DH26">
            <v>4</v>
          </cell>
          <cell r="DI26">
            <v>20</v>
          </cell>
        </row>
        <row r="27">
          <cell r="A27" t="str">
            <v>RS 030</v>
          </cell>
          <cell r="B27">
            <v>30</v>
          </cell>
          <cell r="C27" t="str">
            <v>C</v>
          </cell>
          <cell r="D27" t="str">
            <v>T</v>
          </cell>
          <cell r="E27" t="str">
            <v>Nkutu - Masasa</v>
          </cell>
          <cell r="F27" t="str">
            <v>M01</v>
          </cell>
          <cell r="G27">
            <v>25</v>
          </cell>
          <cell r="H27">
            <v>2.8</v>
          </cell>
          <cell r="I27" t="str">
            <v>H</v>
          </cell>
          <cell r="J27" t="str">
            <v>DEDZA</v>
          </cell>
          <cell r="K27">
            <v>7</v>
          </cell>
          <cell r="L27">
            <v>0</v>
          </cell>
          <cell r="W27">
            <v>71</v>
          </cell>
          <cell r="X27" t="str">
            <v>AC</v>
          </cell>
          <cell r="Y27">
            <v>125</v>
          </cell>
          <cell r="Z27" t="str">
            <v>SB</v>
          </cell>
          <cell r="AA27">
            <v>150</v>
          </cell>
          <cell r="AB27" t="str">
            <v>GR</v>
          </cell>
          <cell r="AC27">
            <v>10</v>
          </cell>
          <cell r="AD27" t="str">
            <v>VR</v>
          </cell>
          <cell r="AE27">
            <v>0</v>
          </cell>
          <cell r="AF27">
            <v>0</v>
          </cell>
          <cell r="AG27">
            <v>0</v>
          </cell>
          <cell r="AH27">
            <v>0</v>
          </cell>
          <cell r="AI27">
            <v>0</v>
          </cell>
          <cell r="AJ27">
            <v>0</v>
          </cell>
          <cell r="AK27">
            <v>0</v>
          </cell>
          <cell r="AL27">
            <v>0</v>
          </cell>
          <cell r="AM27">
            <v>2</v>
          </cell>
          <cell r="AN27" t="str">
            <v>never resealed</v>
          </cell>
          <cell r="BO27" t="str">
            <v>RS 030</v>
          </cell>
          <cell r="BP27">
            <v>2.8</v>
          </cell>
          <cell r="BQ27">
            <v>6</v>
          </cell>
          <cell r="BR27" t="str">
            <v>H</v>
          </cell>
          <cell r="BS27" t="str">
            <v>C</v>
          </cell>
          <cell r="BT27">
            <v>0</v>
          </cell>
          <cell r="BU27" t="str">
            <v>AC</v>
          </cell>
          <cell r="BV27" t="str">
            <v/>
          </cell>
          <cell r="BW27">
            <v>2</v>
          </cell>
          <cell r="BX27">
            <v>40</v>
          </cell>
          <cell r="BY27" t="str">
            <v xml:space="preserve"> </v>
          </cell>
          <cell r="BZ27">
            <v>1</v>
          </cell>
          <cell r="CA27">
            <v>10</v>
          </cell>
          <cell r="CB27">
            <v>2.052</v>
          </cell>
          <cell r="CC27">
            <v>3.8643706744868038</v>
          </cell>
          <cell r="CD27">
            <v>80</v>
          </cell>
          <cell r="CE27">
            <v>56</v>
          </cell>
          <cell r="CF27">
            <v>41</v>
          </cell>
          <cell r="CG27">
            <v>39</v>
          </cell>
          <cell r="CH27">
            <v>15</v>
          </cell>
          <cell r="CI27">
            <v>3.1</v>
          </cell>
          <cell r="CJ27">
            <v>1.0333333333333335E-2</v>
          </cell>
          <cell r="CK27">
            <v>10</v>
          </cell>
          <cell r="CL27">
            <v>41</v>
          </cell>
          <cell r="CM27">
            <v>0.37513358974358968</v>
          </cell>
          <cell r="CN27">
            <v>0.37513358974358968</v>
          </cell>
          <cell r="CO27">
            <v>0</v>
          </cell>
          <cell r="CP27">
            <v>0</v>
          </cell>
          <cell r="CQ27">
            <v>4.2395042642303933</v>
          </cell>
          <cell r="CR27">
            <v>0</v>
          </cell>
          <cell r="CS27">
            <v>1</v>
          </cell>
          <cell r="CT27">
            <v>0</v>
          </cell>
          <cell r="CU27">
            <v>0</v>
          </cell>
          <cell r="CV27">
            <v>27</v>
          </cell>
          <cell r="CW27">
            <v>27</v>
          </cell>
          <cell r="CX27" t="str">
            <v xml:space="preserve"> </v>
          </cell>
          <cell r="CY27">
            <v>2</v>
          </cell>
          <cell r="CZ27">
            <v>2</v>
          </cell>
          <cell r="DA27">
            <v>1.5</v>
          </cell>
          <cell r="DB27">
            <v>400</v>
          </cell>
          <cell r="DC27">
            <v>188</v>
          </cell>
          <cell r="DD27">
            <v>104</v>
          </cell>
          <cell r="DE27">
            <v>30</v>
          </cell>
          <cell r="DF27">
            <v>46</v>
          </cell>
          <cell r="DG27">
            <v>8</v>
          </cell>
          <cell r="DH27">
            <v>4</v>
          </cell>
          <cell r="DI27">
            <v>20</v>
          </cell>
        </row>
        <row r="28">
          <cell r="A28" t="str">
            <v>RS 015</v>
          </cell>
          <cell r="B28">
            <v>15</v>
          </cell>
          <cell r="C28" t="str">
            <v>C</v>
          </cell>
          <cell r="D28" t="str">
            <v>T</v>
          </cell>
          <cell r="E28" t="str">
            <v>Masasa - Kalitsilo</v>
          </cell>
          <cell r="F28" t="str">
            <v>M01</v>
          </cell>
          <cell r="G28">
            <v>26</v>
          </cell>
          <cell r="H28">
            <v>20.9</v>
          </cell>
          <cell r="I28" t="str">
            <v>R</v>
          </cell>
          <cell r="J28" t="str">
            <v>NTCHEU</v>
          </cell>
          <cell r="K28">
            <v>8</v>
          </cell>
          <cell r="L28">
            <v>0</v>
          </cell>
          <cell r="W28">
            <v>71</v>
          </cell>
          <cell r="X28" t="str">
            <v>DS</v>
          </cell>
          <cell r="Y28">
            <v>150</v>
          </cell>
          <cell r="Z28" t="str">
            <v>SB</v>
          </cell>
          <cell r="AA28">
            <v>125</v>
          </cell>
          <cell r="AB28" t="str">
            <v>GR</v>
          </cell>
          <cell r="AC28">
            <v>10</v>
          </cell>
          <cell r="AD28" t="str">
            <v>VR</v>
          </cell>
          <cell r="AE28">
            <v>0</v>
          </cell>
          <cell r="AF28">
            <v>0</v>
          </cell>
          <cell r="AG28">
            <v>0</v>
          </cell>
          <cell r="AH28">
            <v>0</v>
          </cell>
          <cell r="AI28">
            <v>0</v>
          </cell>
          <cell r="AJ28">
            <v>0</v>
          </cell>
          <cell r="AK28">
            <v>0</v>
          </cell>
          <cell r="AL28">
            <v>0</v>
          </cell>
          <cell r="AM28">
            <v>1</v>
          </cell>
          <cell r="AN28" t="str">
            <v>never resealed</v>
          </cell>
          <cell r="BO28" t="str">
            <v>RS 015</v>
          </cell>
          <cell r="BP28">
            <v>20.9</v>
          </cell>
          <cell r="BQ28">
            <v>6</v>
          </cell>
          <cell r="BR28" t="str">
            <v>R</v>
          </cell>
          <cell r="BS28" t="str">
            <v>C</v>
          </cell>
          <cell r="BT28">
            <v>0</v>
          </cell>
          <cell r="BU28" t="str">
            <v>DS</v>
          </cell>
          <cell r="BV28" t="str">
            <v/>
          </cell>
          <cell r="BW28">
            <v>1</v>
          </cell>
          <cell r="BX28">
            <v>15</v>
          </cell>
          <cell r="BY28" t="str">
            <v xml:space="preserve"> </v>
          </cell>
          <cell r="BZ28">
            <v>1</v>
          </cell>
          <cell r="CA28">
            <v>10</v>
          </cell>
          <cell r="CB28">
            <v>1.427</v>
          </cell>
          <cell r="CC28">
            <v>3.3221936863895123</v>
          </cell>
          <cell r="CD28">
            <v>95</v>
          </cell>
          <cell r="CE28">
            <v>86</v>
          </cell>
          <cell r="CF28">
            <v>71</v>
          </cell>
          <cell r="CG28">
            <v>24</v>
          </cell>
          <cell r="CH28">
            <v>15</v>
          </cell>
          <cell r="CI28">
            <v>18.7</v>
          </cell>
          <cell r="CJ28">
            <v>6.2333333333333338E-2</v>
          </cell>
          <cell r="CK28">
            <v>10</v>
          </cell>
          <cell r="CL28">
            <v>71</v>
          </cell>
          <cell r="CM28">
            <v>0.59323512820512814</v>
          </cell>
          <cell r="CN28">
            <v>0.59323512820512814</v>
          </cell>
          <cell r="CO28">
            <v>0</v>
          </cell>
          <cell r="CP28">
            <v>0</v>
          </cell>
          <cell r="CQ28">
            <v>3.9154288145946405</v>
          </cell>
          <cell r="CR28">
            <v>5</v>
          </cell>
          <cell r="CS28">
            <v>1</v>
          </cell>
          <cell r="CT28">
            <v>0</v>
          </cell>
          <cell r="CU28">
            <v>0</v>
          </cell>
          <cell r="CV28">
            <v>27</v>
          </cell>
          <cell r="CW28">
            <v>27</v>
          </cell>
          <cell r="CX28" t="str">
            <v xml:space="preserve"> </v>
          </cell>
          <cell r="CY28">
            <v>2</v>
          </cell>
          <cell r="CZ28">
            <v>2</v>
          </cell>
          <cell r="DA28">
            <v>1.3</v>
          </cell>
          <cell r="DB28">
            <v>400</v>
          </cell>
          <cell r="DC28">
            <v>188</v>
          </cell>
          <cell r="DD28">
            <v>104</v>
          </cell>
          <cell r="DE28">
            <v>30</v>
          </cell>
          <cell r="DF28">
            <v>46</v>
          </cell>
          <cell r="DG28">
            <v>8</v>
          </cell>
          <cell r="DH28">
            <v>4</v>
          </cell>
          <cell r="DI28">
            <v>20</v>
          </cell>
        </row>
        <row r="29">
          <cell r="A29" t="str">
            <v>RS 027</v>
          </cell>
          <cell r="B29">
            <v>27</v>
          </cell>
          <cell r="C29" t="str">
            <v>C</v>
          </cell>
          <cell r="D29" t="str">
            <v>T</v>
          </cell>
          <cell r="E29" t="str">
            <v>Kalitsilo - Mlangeni</v>
          </cell>
          <cell r="F29" t="str">
            <v>M01</v>
          </cell>
          <cell r="G29">
            <v>27</v>
          </cell>
          <cell r="H29">
            <v>14.7</v>
          </cell>
          <cell r="I29" t="str">
            <v>R</v>
          </cell>
          <cell r="J29" t="str">
            <v>DEDZA</v>
          </cell>
          <cell r="K29">
            <v>8</v>
          </cell>
          <cell r="L29">
            <v>0</v>
          </cell>
          <cell r="W29">
            <v>71</v>
          </cell>
          <cell r="X29" t="str">
            <v>AC</v>
          </cell>
          <cell r="Y29">
            <v>125</v>
          </cell>
          <cell r="Z29" t="str">
            <v>SB</v>
          </cell>
          <cell r="AA29">
            <v>150</v>
          </cell>
          <cell r="AB29" t="str">
            <v>GR</v>
          </cell>
          <cell r="AC29">
            <v>10</v>
          </cell>
          <cell r="AD29" t="str">
            <v>VR</v>
          </cell>
          <cell r="AE29">
            <v>0</v>
          </cell>
          <cell r="AF29">
            <v>0</v>
          </cell>
          <cell r="AG29">
            <v>0</v>
          </cell>
          <cell r="AH29">
            <v>0</v>
          </cell>
          <cell r="AI29">
            <v>0</v>
          </cell>
          <cell r="AJ29">
            <v>0</v>
          </cell>
          <cell r="AK29">
            <v>0</v>
          </cell>
          <cell r="AL29">
            <v>0</v>
          </cell>
          <cell r="AM29">
            <v>2</v>
          </cell>
          <cell r="AN29" t="str">
            <v>never resealed</v>
          </cell>
          <cell r="BO29" t="str">
            <v>RS 027</v>
          </cell>
          <cell r="BP29">
            <v>14.7</v>
          </cell>
          <cell r="BQ29">
            <v>6</v>
          </cell>
          <cell r="BR29" t="str">
            <v>R</v>
          </cell>
          <cell r="BS29" t="str">
            <v>C</v>
          </cell>
          <cell r="BT29">
            <v>0</v>
          </cell>
          <cell r="BU29" t="str">
            <v>AC</v>
          </cell>
          <cell r="BV29" t="str">
            <v/>
          </cell>
          <cell r="BW29">
            <v>2</v>
          </cell>
          <cell r="BX29">
            <v>40</v>
          </cell>
          <cell r="BY29" t="str">
            <v xml:space="preserve"> </v>
          </cell>
          <cell r="BZ29">
            <v>1</v>
          </cell>
          <cell r="CA29">
            <v>10</v>
          </cell>
          <cell r="CB29">
            <v>2.052</v>
          </cell>
          <cell r="CC29">
            <v>3.1289903053303436</v>
          </cell>
          <cell r="CD29">
            <v>50</v>
          </cell>
          <cell r="CE29">
            <v>15</v>
          </cell>
          <cell r="CF29">
            <v>0</v>
          </cell>
          <cell r="CG29">
            <v>50</v>
          </cell>
          <cell r="CH29">
            <v>15</v>
          </cell>
          <cell r="CI29">
            <v>17.5</v>
          </cell>
          <cell r="CJ29">
            <v>5.8333333333333341E-2</v>
          </cell>
          <cell r="CK29">
            <v>5.8333333333333341E-2</v>
          </cell>
          <cell r="CL29">
            <v>0</v>
          </cell>
          <cell r="CM29">
            <v>2.2615384615384617E-2</v>
          </cell>
          <cell r="CN29">
            <v>2.2615384615384617E-2</v>
          </cell>
          <cell r="CO29">
            <v>0</v>
          </cell>
          <cell r="CP29">
            <v>0</v>
          </cell>
          <cell r="CQ29">
            <v>3.1516056899457281</v>
          </cell>
          <cell r="CR29">
            <v>0</v>
          </cell>
          <cell r="CS29">
            <v>1</v>
          </cell>
          <cell r="CT29">
            <v>0</v>
          </cell>
          <cell r="CU29">
            <v>0</v>
          </cell>
          <cell r="CV29">
            <v>27</v>
          </cell>
          <cell r="CW29">
            <v>27</v>
          </cell>
          <cell r="CX29" t="str">
            <v xml:space="preserve"> </v>
          </cell>
          <cell r="CY29">
            <v>1.8</v>
          </cell>
          <cell r="CZ29">
            <v>1.5</v>
          </cell>
          <cell r="DA29">
            <v>1.5</v>
          </cell>
          <cell r="DB29">
            <v>400</v>
          </cell>
          <cell r="DC29">
            <v>188</v>
          </cell>
          <cell r="DD29">
            <v>104</v>
          </cell>
          <cell r="DE29">
            <v>30</v>
          </cell>
          <cell r="DF29">
            <v>46</v>
          </cell>
          <cell r="DG29">
            <v>8</v>
          </cell>
          <cell r="DH29">
            <v>4</v>
          </cell>
          <cell r="DI29">
            <v>20</v>
          </cell>
        </row>
        <row r="30">
          <cell r="A30" t="str">
            <v>RS 032</v>
          </cell>
          <cell r="B30">
            <v>32</v>
          </cell>
          <cell r="C30" t="str">
            <v>C</v>
          </cell>
          <cell r="D30" t="str">
            <v>T</v>
          </cell>
          <cell r="E30" t="str">
            <v>Mlangeni - Biriwiri</v>
          </cell>
          <cell r="F30" t="str">
            <v>M01</v>
          </cell>
          <cell r="G30">
            <v>28</v>
          </cell>
          <cell r="H30">
            <v>13.1</v>
          </cell>
          <cell r="I30" t="str">
            <v>R</v>
          </cell>
          <cell r="J30" t="str">
            <v>NTCHEU</v>
          </cell>
          <cell r="K30">
            <v>8</v>
          </cell>
          <cell r="L30">
            <v>0</v>
          </cell>
          <cell r="W30">
            <v>71</v>
          </cell>
          <cell r="X30" t="str">
            <v>AC</v>
          </cell>
          <cell r="Y30">
            <v>125</v>
          </cell>
          <cell r="Z30" t="str">
            <v>SB</v>
          </cell>
          <cell r="AA30">
            <v>150</v>
          </cell>
          <cell r="AB30" t="str">
            <v>GR</v>
          </cell>
          <cell r="AC30">
            <v>10</v>
          </cell>
          <cell r="AD30" t="str">
            <v>VR</v>
          </cell>
          <cell r="AE30">
            <v>0</v>
          </cell>
          <cell r="AF30">
            <v>0</v>
          </cell>
          <cell r="AG30">
            <v>0</v>
          </cell>
          <cell r="AH30">
            <v>0</v>
          </cell>
          <cell r="AI30">
            <v>0</v>
          </cell>
          <cell r="AJ30">
            <v>0</v>
          </cell>
          <cell r="AK30">
            <v>0</v>
          </cell>
          <cell r="AL30">
            <v>0</v>
          </cell>
          <cell r="AM30">
            <v>2</v>
          </cell>
          <cell r="AN30" t="str">
            <v>never resealed</v>
          </cell>
          <cell r="BO30" t="str">
            <v>RS 032</v>
          </cell>
          <cell r="BP30">
            <v>13.1</v>
          </cell>
          <cell r="BQ30">
            <v>6</v>
          </cell>
          <cell r="BR30" t="str">
            <v>R</v>
          </cell>
          <cell r="BS30" t="str">
            <v>C</v>
          </cell>
          <cell r="BT30">
            <v>0</v>
          </cell>
          <cell r="BU30" t="str">
            <v>AC</v>
          </cell>
          <cell r="BV30" t="str">
            <v/>
          </cell>
          <cell r="BW30">
            <v>2</v>
          </cell>
          <cell r="BX30">
            <v>40</v>
          </cell>
          <cell r="BY30" t="str">
            <v xml:space="preserve"> </v>
          </cell>
          <cell r="BZ30">
            <v>1</v>
          </cell>
          <cell r="CA30">
            <v>10</v>
          </cell>
          <cell r="CB30">
            <v>2.052</v>
          </cell>
          <cell r="CC30">
            <v>2.21</v>
          </cell>
          <cell r="CD30">
            <v>50</v>
          </cell>
          <cell r="CE30">
            <v>30</v>
          </cell>
          <cell r="CF30">
            <v>15</v>
          </cell>
          <cell r="CG30">
            <v>35</v>
          </cell>
          <cell r="CH30">
            <v>15</v>
          </cell>
          <cell r="CI30">
            <v>0</v>
          </cell>
          <cell r="CJ30">
            <v>0</v>
          </cell>
          <cell r="CK30">
            <v>10</v>
          </cell>
          <cell r="CL30">
            <v>15</v>
          </cell>
          <cell r="CM30">
            <v>0.19923076923076921</v>
          </cell>
          <cell r="CN30">
            <v>0.19923076923076921</v>
          </cell>
          <cell r="CO30">
            <v>0</v>
          </cell>
          <cell r="CP30">
            <v>0</v>
          </cell>
          <cell r="CQ30">
            <v>2.4092307692307693</v>
          </cell>
          <cell r="CR30">
            <v>0</v>
          </cell>
          <cell r="CS30">
            <v>1</v>
          </cell>
          <cell r="CT30">
            <v>0</v>
          </cell>
          <cell r="CU30">
            <v>0</v>
          </cell>
          <cell r="CV30">
            <v>27</v>
          </cell>
          <cell r="CW30">
            <v>27</v>
          </cell>
          <cell r="CX30" t="str">
            <v xml:space="preserve"> </v>
          </cell>
          <cell r="CY30">
            <v>1.5</v>
          </cell>
          <cell r="CZ30">
            <v>1.5</v>
          </cell>
          <cell r="DA30">
            <v>1.5</v>
          </cell>
          <cell r="DB30">
            <v>400</v>
          </cell>
          <cell r="DC30">
            <v>188</v>
          </cell>
          <cell r="DD30">
            <v>104</v>
          </cell>
          <cell r="DE30">
            <v>30</v>
          </cell>
          <cell r="DF30">
            <v>46</v>
          </cell>
          <cell r="DG30">
            <v>8</v>
          </cell>
          <cell r="DH30">
            <v>4</v>
          </cell>
          <cell r="DI30">
            <v>20</v>
          </cell>
        </row>
        <row r="31">
          <cell r="A31" t="str">
            <v>RS 021</v>
          </cell>
          <cell r="B31">
            <v>21</v>
          </cell>
          <cell r="C31" t="str">
            <v>C</v>
          </cell>
          <cell r="D31" t="str">
            <v>T</v>
          </cell>
          <cell r="E31" t="str">
            <v>Biriwiri - Ntcheu</v>
          </cell>
          <cell r="F31" t="str">
            <v>M01</v>
          </cell>
          <cell r="G31">
            <v>29</v>
          </cell>
          <cell r="H31">
            <v>6.7</v>
          </cell>
          <cell r="I31" t="str">
            <v>F</v>
          </cell>
          <cell r="J31" t="str">
            <v>NTCHEU</v>
          </cell>
          <cell r="K31">
            <v>8</v>
          </cell>
          <cell r="L31">
            <v>0</v>
          </cell>
          <cell r="W31">
            <v>71</v>
          </cell>
          <cell r="X31" t="str">
            <v>DS</v>
          </cell>
          <cell r="Y31">
            <v>125</v>
          </cell>
          <cell r="Z31" t="str">
            <v>SB</v>
          </cell>
          <cell r="AA31">
            <v>150</v>
          </cell>
          <cell r="AB31" t="str">
            <v>GR</v>
          </cell>
          <cell r="AC31">
            <v>10</v>
          </cell>
          <cell r="AD31" t="str">
            <v>VR</v>
          </cell>
          <cell r="AE31">
            <v>0</v>
          </cell>
          <cell r="AF31">
            <v>0</v>
          </cell>
          <cell r="AG31">
            <v>0</v>
          </cell>
          <cell r="AH31">
            <v>0</v>
          </cell>
          <cell r="AI31">
            <v>0</v>
          </cell>
          <cell r="AJ31">
            <v>0</v>
          </cell>
          <cell r="AK31">
            <v>0</v>
          </cell>
          <cell r="AL31">
            <v>0</v>
          </cell>
          <cell r="AM31">
            <v>1</v>
          </cell>
          <cell r="AN31" t="str">
            <v>never resealed</v>
          </cell>
          <cell r="BO31" t="str">
            <v>RS 021</v>
          </cell>
          <cell r="BP31">
            <v>6.7</v>
          </cell>
          <cell r="BQ31">
            <v>6</v>
          </cell>
          <cell r="BR31" t="str">
            <v>F</v>
          </cell>
          <cell r="BS31" t="str">
            <v>C</v>
          </cell>
          <cell r="BT31">
            <v>0</v>
          </cell>
          <cell r="BU31" t="str">
            <v>DS</v>
          </cell>
          <cell r="BV31" t="str">
            <v/>
          </cell>
          <cell r="BW31">
            <v>1</v>
          </cell>
          <cell r="BX31">
            <v>15</v>
          </cell>
          <cell r="BY31" t="str">
            <v xml:space="preserve"> </v>
          </cell>
          <cell r="BZ31">
            <v>1</v>
          </cell>
          <cell r="CA31">
            <v>10</v>
          </cell>
          <cell r="CB31">
            <v>1.677</v>
          </cell>
          <cell r="CC31">
            <v>2.4494146627565985</v>
          </cell>
          <cell r="CD31">
            <v>40</v>
          </cell>
          <cell r="CE31">
            <v>5</v>
          </cell>
          <cell r="CF31">
            <v>0</v>
          </cell>
          <cell r="CG31">
            <v>40</v>
          </cell>
          <cell r="CH31">
            <v>5</v>
          </cell>
          <cell r="CI31">
            <v>0.4</v>
          </cell>
          <cell r="CJ31">
            <v>1.3333333333333337E-3</v>
          </cell>
          <cell r="CK31">
            <v>1.3333333333333337E-3</v>
          </cell>
          <cell r="CL31">
            <v>0</v>
          </cell>
          <cell r="CM31">
            <v>5.1692307692307704E-4</v>
          </cell>
          <cell r="CN31">
            <v>5.1692307692307704E-4</v>
          </cell>
          <cell r="CO31">
            <v>0</v>
          </cell>
          <cell r="CP31">
            <v>0</v>
          </cell>
          <cell r="CQ31">
            <v>2.4499315858335216</v>
          </cell>
          <cell r="CR31">
            <v>0</v>
          </cell>
          <cell r="CS31">
            <v>1</v>
          </cell>
          <cell r="CT31">
            <v>0</v>
          </cell>
          <cell r="CU31">
            <v>0</v>
          </cell>
          <cell r="CV31">
            <v>27</v>
          </cell>
          <cell r="CW31">
            <v>27</v>
          </cell>
          <cell r="CX31" t="str">
            <v xml:space="preserve"> </v>
          </cell>
          <cell r="CY31">
            <v>2</v>
          </cell>
          <cell r="CZ31">
            <v>1.5</v>
          </cell>
          <cell r="DA31">
            <v>1.5</v>
          </cell>
          <cell r="DB31">
            <v>400</v>
          </cell>
          <cell r="DC31">
            <v>188</v>
          </cell>
          <cell r="DD31">
            <v>104</v>
          </cell>
          <cell r="DE31">
            <v>30</v>
          </cell>
          <cell r="DF31">
            <v>46</v>
          </cell>
          <cell r="DG31">
            <v>8</v>
          </cell>
          <cell r="DH31">
            <v>4</v>
          </cell>
          <cell r="DI31">
            <v>20</v>
          </cell>
        </row>
        <row r="32">
          <cell r="A32" t="str">
            <v>RS 019</v>
          </cell>
          <cell r="B32">
            <v>19</v>
          </cell>
          <cell r="C32" t="str">
            <v>C</v>
          </cell>
          <cell r="D32" t="str">
            <v>T</v>
          </cell>
          <cell r="E32" t="str">
            <v>Ntcheu - Bemvu</v>
          </cell>
          <cell r="F32" t="str">
            <v>M01</v>
          </cell>
          <cell r="G32">
            <v>30</v>
          </cell>
          <cell r="H32">
            <v>11.8</v>
          </cell>
          <cell r="I32" t="str">
            <v>F</v>
          </cell>
          <cell r="J32" t="str">
            <v>NTCHEU</v>
          </cell>
          <cell r="K32">
            <v>8</v>
          </cell>
          <cell r="L32">
            <v>0</v>
          </cell>
          <cell r="W32">
            <v>71</v>
          </cell>
          <cell r="X32" t="str">
            <v>DS</v>
          </cell>
          <cell r="Y32">
            <v>125</v>
          </cell>
          <cell r="Z32" t="str">
            <v>SB</v>
          </cell>
          <cell r="AA32">
            <v>150</v>
          </cell>
          <cell r="AB32" t="str">
            <v>CG</v>
          </cell>
          <cell r="AC32">
            <v>10</v>
          </cell>
          <cell r="AD32" t="str">
            <v>VR</v>
          </cell>
          <cell r="AE32">
            <v>89</v>
          </cell>
          <cell r="AF32" t="str">
            <v>AO</v>
          </cell>
          <cell r="AG32" t="str">
            <v>AC</v>
          </cell>
          <cell r="AH32">
            <v>50</v>
          </cell>
          <cell r="AI32">
            <v>0</v>
          </cell>
          <cell r="AJ32">
            <v>0</v>
          </cell>
          <cell r="AK32">
            <v>0</v>
          </cell>
          <cell r="AL32">
            <v>0</v>
          </cell>
          <cell r="AM32">
            <v>7</v>
          </cell>
          <cell r="AN32">
            <v>0</v>
          </cell>
          <cell r="BO32" t="str">
            <v>RS 019</v>
          </cell>
          <cell r="BP32">
            <v>11.8</v>
          </cell>
          <cell r="BQ32">
            <v>6</v>
          </cell>
          <cell r="BR32" t="str">
            <v>F</v>
          </cell>
          <cell r="BS32" t="str">
            <v>C</v>
          </cell>
          <cell r="BT32">
            <v>0</v>
          </cell>
          <cell r="BU32" t="str">
            <v>AC</v>
          </cell>
          <cell r="BV32" t="str">
            <v>DS</v>
          </cell>
          <cell r="BW32">
            <v>7</v>
          </cell>
          <cell r="BX32">
            <v>40</v>
          </cell>
          <cell r="BY32">
            <v>15</v>
          </cell>
          <cell r="BZ32">
            <v>1</v>
          </cell>
          <cell r="CA32">
            <v>10</v>
          </cell>
          <cell r="CB32">
            <v>2.2290000000000001</v>
          </cell>
          <cell r="CC32">
            <v>2.2000000000000002</v>
          </cell>
          <cell r="CD32">
            <v>70</v>
          </cell>
          <cell r="CE32">
            <v>4</v>
          </cell>
          <cell r="CF32">
            <v>0</v>
          </cell>
          <cell r="CG32">
            <v>70</v>
          </cell>
          <cell r="CH32">
            <v>4</v>
          </cell>
          <cell r="CI32">
            <v>0.5</v>
          </cell>
          <cell r="CJ32">
            <v>1.6666666666666668E-3</v>
          </cell>
          <cell r="CK32">
            <v>1.6666666666666668E-3</v>
          </cell>
          <cell r="CL32">
            <v>0</v>
          </cell>
          <cell r="CM32">
            <v>6.4615384615384621E-4</v>
          </cell>
          <cell r="CN32">
            <v>6.4615384615384621E-4</v>
          </cell>
          <cell r="CO32">
            <v>0</v>
          </cell>
          <cell r="CP32">
            <v>0</v>
          </cell>
          <cell r="CQ32">
            <v>2.2006461538461539</v>
          </cell>
          <cell r="CR32">
            <v>0</v>
          </cell>
          <cell r="CS32">
            <v>1</v>
          </cell>
          <cell r="CT32">
            <v>0</v>
          </cell>
          <cell r="CU32">
            <v>0</v>
          </cell>
          <cell r="CV32">
            <v>9</v>
          </cell>
          <cell r="CW32">
            <v>27</v>
          </cell>
          <cell r="CX32">
            <v>54</v>
          </cell>
          <cell r="CY32">
            <v>1.5</v>
          </cell>
          <cell r="CZ32">
            <v>1.3</v>
          </cell>
          <cell r="DA32">
            <v>1.3</v>
          </cell>
          <cell r="DB32">
            <v>440</v>
          </cell>
          <cell r="DC32">
            <v>207</v>
          </cell>
          <cell r="DD32">
            <v>115</v>
          </cell>
          <cell r="DE32">
            <v>33</v>
          </cell>
          <cell r="DF32">
            <v>51</v>
          </cell>
          <cell r="DG32">
            <v>9</v>
          </cell>
          <cell r="DH32">
            <v>5</v>
          </cell>
          <cell r="DI32">
            <v>22</v>
          </cell>
        </row>
        <row r="33">
          <cell r="A33" t="str">
            <v>RS 029</v>
          </cell>
          <cell r="B33">
            <v>29</v>
          </cell>
          <cell r="C33" t="str">
            <v>C</v>
          </cell>
          <cell r="D33" t="str">
            <v>T</v>
          </cell>
          <cell r="E33" t="str">
            <v>Bemvu - Njereza</v>
          </cell>
          <cell r="F33" t="str">
            <v>M01</v>
          </cell>
          <cell r="G33">
            <v>31</v>
          </cell>
          <cell r="H33">
            <v>8.8000000000000007</v>
          </cell>
          <cell r="I33" t="str">
            <v>R</v>
          </cell>
          <cell r="J33" t="str">
            <v>NTCHEU</v>
          </cell>
          <cell r="K33">
            <v>8</v>
          </cell>
          <cell r="L33">
            <v>0</v>
          </cell>
          <cell r="W33">
            <v>71</v>
          </cell>
          <cell r="X33" t="str">
            <v>AC</v>
          </cell>
          <cell r="Y33">
            <v>125</v>
          </cell>
          <cell r="Z33" t="str">
            <v>SB</v>
          </cell>
          <cell r="AA33">
            <v>150</v>
          </cell>
          <cell r="AB33" t="str">
            <v>GR</v>
          </cell>
          <cell r="AC33">
            <v>10</v>
          </cell>
          <cell r="AD33" t="str">
            <v>VR</v>
          </cell>
          <cell r="AE33">
            <v>89</v>
          </cell>
          <cell r="AF33" t="str">
            <v>AO</v>
          </cell>
          <cell r="AG33" t="str">
            <v>AC</v>
          </cell>
          <cell r="AH33">
            <v>50</v>
          </cell>
          <cell r="AI33">
            <v>0</v>
          </cell>
          <cell r="AJ33">
            <v>0</v>
          </cell>
          <cell r="AK33">
            <v>0</v>
          </cell>
          <cell r="AL33">
            <v>0</v>
          </cell>
          <cell r="AM33">
            <v>6</v>
          </cell>
          <cell r="AN33">
            <v>0</v>
          </cell>
          <cell r="BO33" t="str">
            <v>RS 029</v>
          </cell>
          <cell r="BP33">
            <v>8.8000000000000007</v>
          </cell>
          <cell r="BQ33">
            <v>6</v>
          </cell>
          <cell r="BR33" t="str">
            <v>R</v>
          </cell>
          <cell r="BS33" t="str">
            <v>C</v>
          </cell>
          <cell r="BT33">
            <v>0</v>
          </cell>
          <cell r="BU33" t="str">
            <v>AC</v>
          </cell>
          <cell r="BV33" t="str">
            <v>AC</v>
          </cell>
          <cell r="BW33">
            <v>6</v>
          </cell>
          <cell r="BX33">
            <v>40</v>
          </cell>
          <cell r="BY33">
            <v>40</v>
          </cell>
          <cell r="BZ33">
            <v>1</v>
          </cell>
          <cell r="CA33">
            <v>10</v>
          </cell>
          <cell r="CB33">
            <v>2.6040000000000001</v>
          </cell>
          <cell r="CC33">
            <v>2.3115847507331377</v>
          </cell>
          <cell r="CD33">
            <v>1</v>
          </cell>
          <cell r="CE33">
            <v>0</v>
          </cell>
          <cell r="CF33">
            <v>0</v>
          </cell>
          <cell r="CG33">
            <v>1</v>
          </cell>
          <cell r="CH33">
            <v>0</v>
          </cell>
          <cell r="CI33">
            <v>0</v>
          </cell>
          <cell r="CJ33">
            <v>0</v>
          </cell>
          <cell r="CK33">
            <v>0</v>
          </cell>
          <cell r="CL33">
            <v>0</v>
          </cell>
          <cell r="CM33">
            <v>0</v>
          </cell>
          <cell r="CN33">
            <v>0</v>
          </cell>
          <cell r="CO33">
            <v>0</v>
          </cell>
          <cell r="CP33">
            <v>0</v>
          </cell>
          <cell r="CQ33">
            <v>2.3115847507331377</v>
          </cell>
          <cell r="CR33">
            <v>0</v>
          </cell>
          <cell r="CS33">
            <v>1</v>
          </cell>
          <cell r="CT33">
            <v>0</v>
          </cell>
          <cell r="CU33">
            <v>0</v>
          </cell>
          <cell r="CV33">
            <v>9</v>
          </cell>
          <cell r="CW33">
            <v>27</v>
          </cell>
          <cell r="CX33">
            <v>54</v>
          </cell>
          <cell r="CY33">
            <v>1.1000000000000001</v>
          </cell>
          <cell r="CZ33">
            <v>1.2</v>
          </cell>
          <cell r="DA33">
            <v>1.1000000000000001</v>
          </cell>
          <cell r="DB33">
            <v>440</v>
          </cell>
          <cell r="DC33">
            <v>207</v>
          </cell>
          <cell r="DD33">
            <v>115</v>
          </cell>
          <cell r="DE33">
            <v>33</v>
          </cell>
          <cell r="DF33">
            <v>51</v>
          </cell>
          <cell r="DG33">
            <v>9</v>
          </cell>
          <cell r="DH33">
            <v>5</v>
          </cell>
          <cell r="DI33">
            <v>22</v>
          </cell>
        </row>
        <row r="34">
          <cell r="A34" t="str">
            <v>RS 016</v>
          </cell>
          <cell r="B34">
            <v>16</v>
          </cell>
          <cell r="C34" t="str">
            <v>C</v>
          </cell>
          <cell r="D34" t="str">
            <v>T</v>
          </cell>
          <cell r="E34" t="str">
            <v>Njereza - Balaka Market</v>
          </cell>
          <cell r="F34" t="str">
            <v>M01</v>
          </cell>
          <cell r="G34">
            <v>32</v>
          </cell>
          <cell r="H34">
            <v>12</v>
          </cell>
          <cell r="I34" t="str">
            <v>R</v>
          </cell>
          <cell r="J34" t="str">
            <v>NTCHEU</v>
          </cell>
          <cell r="K34">
            <v>8</v>
          </cell>
          <cell r="L34">
            <v>0</v>
          </cell>
          <cell r="W34">
            <v>71</v>
          </cell>
          <cell r="X34" t="str">
            <v>DS</v>
          </cell>
          <cell r="Y34">
            <v>150</v>
          </cell>
          <cell r="Z34" t="str">
            <v>SB</v>
          </cell>
          <cell r="AA34">
            <v>125</v>
          </cell>
          <cell r="AB34" t="str">
            <v>GR</v>
          </cell>
          <cell r="AC34">
            <v>10</v>
          </cell>
          <cell r="AD34" t="str">
            <v>VR</v>
          </cell>
          <cell r="AE34">
            <v>89</v>
          </cell>
          <cell r="AF34" t="str">
            <v>AO</v>
          </cell>
          <cell r="AG34" t="str">
            <v>AC</v>
          </cell>
          <cell r="AH34">
            <v>50</v>
          </cell>
          <cell r="AI34">
            <v>0</v>
          </cell>
          <cell r="AJ34">
            <v>0</v>
          </cell>
          <cell r="AK34">
            <v>0</v>
          </cell>
          <cell r="AL34">
            <v>0</v>
          </cell>
          <cell r="AM34">
            <v>7</v>
          </cell>
          <cell r="AN34">
            <v>0</v>
          </cell>
          <cell r="BO34" t="str">
            <v>RS 016</v>
          </cell>
          <cell r="BP34">
            <v>12</v>
          </cell>
          <cell r="BQ34">
            <v>6</v>
          </cell>
          <cell r="BR34" t="str">
            <v>R</v>
          </cell>
          <cell r="BS34" t="str">
            <v>S</v>
          </cell>
          <cell r="BT34">
            <v>0</v>
          </cell>
          <cell r="BU34" t="str">
            <v>AC</v>
          </cell>
          <cell r="BV34" t="str">
            <v>DS</v>
          </cell>
          <cell r="BW34">
            <v>7</v>
          </cell>
          <cell r="BX34">
            <v>40</v>
          </cell>
          <cell r="BY34">
            <v>15</v>
          </cell>
          <cell r="BZ34">
            <v>1</v>
          </cell>
          <cell r="CA34">
            <v>10</v>
          </cell>
          <cell r="CB34">
            <v>1.9790000000000001</v>
          </cell>
          <cell r="CC34">
            <v>1.8983616102372702</v>
          </cell>
          <cell r="CD34">
            <v>0</v>
          </cell>
          <cell r="CE34">
            <v>0</v>
          </cell>
          <cell r="CF34">
            <v>0</v>
          </cell>
          <cell r="CG34">
            <v>0</v>
          </cell>
          <cell r="CH34">
            <v>0</v>
          </cell>
          <cell r="CI34">
            <v>0</v>
          </cell>
          <cell r="CJ34">
            <v>0</v>
          </cell>
          <cell r="CK34">
            <v>0</v>
          </cell>
          <cell r="CL34">
            <v>0</v>
          </cell>
          <cell r="CM34">
            <v>0</v>
          </cell>
          <cell r="CN34">
            <v>0</v>
          </cell>
          <cell r="CO34">
            <v>0</v>
          </cell>
          <cell r="CP34">
            <v>0</v>
          </cell>
          <cell r="CQ34">
            <v>1.8983616102372702</v>
          </cell>
          <cell r="CR34">
            <v>0</v>
          </cell>
          <cell r="CS34">
            <v>1</v>
          </cell>
          <cell r="CT34">
            <v>0</v>
          </cell>
          <cell r="CU34">
            <v>0</v>
          </cell>
          <cell r="CV34">
            <v>9</v>
          </cell>
          <cell r="CW34">
            <v>27</v>
          </cell>
          <cell r="CX34">
            <v>54</v>
          </cell>
          <cell r="CY34">
            <v>1.1000000000000001</v>
          </cell>
          <cell r="CZ34">
            <v>1.2</v>
          </cell>
          <cell r="DA34">
            <v>1.1000000000000001</v>
          </cell>
          <cell r="DB34">
            <v>400</v>
          </cell>
          <cell r="DC34">
            <v>188</v>
          </cell>
          <cell r="DD34">
            <v>104</v>
          </cell>
          <cell r="DE34">
            <v>30</v>
          </cell>
          <cell r="DF34">
            <v>46</v>
          </cell>
          <cell r="DG34">
            <v>8</v>
          </cell>
          <cell r="DH34">
            <v>4</v>
          </cell>
          <cell r="DI34">
            <v>20</v>
          </cell>
        </row>
        <row r="35">
          <cell r="A35" t="str">
            <v>RS 036</v>
          </cell>
          <cell r="B35">
            <v>36</v>
          </cell>
          <cell r="C35" t="str">
            <v>C</v>
          </cell>
          <cell r="D35" t="str">
            <v>T</v>
          </cell>
          <cell r="E35" t="str">
            <v>Balaka Market - Chingeni</v>
          </cell>
          <cell r="F35" t="str">
            <v>M01</v>
          </cell>
          <cell r="G35">
            <v>33</v>
          </cell>
          <cell r="H35">
            <v>4.7</v>
          </cell>
          <cell r="I35" t="str">
            <v>F</v>
          </cell>
          <cell r="J35" t="str">
            <v>MACHINGA</v>
          </cell>
          <cell r="K35">
            <v>8</v>
          </cell>
          <cell r="L35">
            <v>0</v>
          </cell>
          <cell r="W35">
            <v>71</v>
          </cell>
          <cell r="X35" t="str">
            <v>AC</v>
          </cell>
          <cell r="Y35">
            <v>125</v>
          </cell>
          <cell r="Z35" t="str">
            <v>SB</v>
          </cell>
          <cell r="AA35">
            <v>150</v>
          </cell>
          <cell r="AB35" t="str">
            <v>GR</v>
          </cell>
          <cell r="AC35">
            <v>10</v>
          </cell>
          <cell r="AD35" t="str">
            <v>VR</v>
          </cell>
          <cell r="AE35">
            <v>89</v>
          </cell>
          <cell r="AF35" t="str">
            <v>AO</v>
          </cell>
          <cell r="AG35" t="str">
            <v>AC</v>
          </cell>
          <cell r="AH35">
            <v>50</v>
          </cell>
          <cell r="AI35">
            <v>0</v>
          </cell>
          <cell r="AJ35">
            <v>0</v>
          </cell>
          <cell r="AK35">
            <v>0</v>
          </cell>
          <cell r="AL35">
            <v>0</v>
          </cell>
          <cell r="AM35">
            <v>6</v>
          </cell>
          <cell r="AN35">
            <v>0</v>
          </cell>
          <cell r="BO35" t="str">
            <v>RS 036</v>
          </cell>
          <cell r="BP35">
            <v>4.7</v>
          </cell>
          <cell r="BQ35">
            <v>6</v>
          </cell>
          <cell r="BR35" t="str">
            <v>F</v>
          </cell>
          <cell r="BS35" t="str">
            <v>C</v>
          </cell>
          <cell r="BT35">
            <v>0</v>
          </cell>
          <cell r="BU35" t="str">
            <v>AC</v>
          </cell>
          <cell r="BV35" t="str">
            <v>AC</v>
          </cell>
          <cell r="BW35">
            <v>6</v>
          </cell>
          <cell r="BX35">
            <v>40</v>
          </cell>
          <cell r="BY35">
            <v>40</v>
          </cell>
          <cell r="BZ35">
            <v>1</v>
          </cell>
          <cell r="CA35">
            <v>10</v>
          </cell>
          <cell r="CB35">
            <v>2.6040000000000001</v>
          </cell>
          <cell r="CC35">
            <v>3.05</v>
          </cell>
          <cell r="CD35">
            <v>60</v>
          </cell>
          <cell r="CE35">
            <v>25</v>
          </cell>
          <cell r="CF35">
            <v>10</v>
          </cell>
          <cell r="CG35">
            <v>50</v>
          </cell>
          <cell r="CH35">
            <v>15</v>
          </cell>
          <cell r="CI35">
            <v>0.3</v>
          </cell>
          <cell r="CJ35">
            <v>1E-3</v>
          </cell>
          <cell r="CK35">
            <v>10</v>
          </cell>
          <cell r="CL35">
            <v>10</v>
          </cell>
          <cell r="CM35">
            <v>0.16653153846153848</v>
          </cell>
          <cell r="CN35">
            <v>0.16653153846153848</v>
          </cell>
          <cell r="CO35">
            <v>0</v>
          </cell>
          <cell r="CP35">
            <v>0</v>
          </cell>
          <cell r="CQ35">
            <v>3.2165315384615383</v>
          </cell>
          <cell r="CR35">
            <v>10</v>
          </cell>
          <cell r="CS35">
            <v>1</v>
          </cell>
          <cell r="CT35">
            <v>0</v>
          </cell>
          <cell r="CU35">
            <v>0</v>
          </cell>
          <cell r="CV35">
            <v>9</v>
          </cell>
          <cell r="CW35">
            <v>27</v>
          </cell>
          <cell r="CX35">
            <v>54</v>
          </cell>
          <cell r="CY35">
            <v>2</v>
          </cell>
          <cell r="CZ35">
            <v>1.5</v>
          </cell>
          <cell r="DA35">
            <v>1.3</v>
          </cell>
          <cell r="DB35">
            <v>500</v>
          </cell>
          <cell r="DC35">
            <v>235</v>
          </cell>
          <cell r="DD35">
            <v>130</v>
          </cell>
          <cell r="DE35">
            <v>38</v>
          </cell>
          <cell r="DF35">
            <v>58</v>
          </cell>
          <cell r="DG35">
            <v>10</v>
          </cell>
          <cell r="DH35">
            <v>5</v>
          </cell>
          <cell r="DI35">
            <v>25</v>
          </cell>
        </row>
        <row r="36">
          <cell r="A36" t="str">
            <v>RS 018</v>
          </cell>
          <cell r="B36">
            <v>18</v>
          </cell>
          <cell r="C36" t="str">
            <v>C</v>
          </cell>
          <cell r="D36" t="str">
            <v>T</v>
          </cell>
          <cell r="E36" t="str">
            <v>Chingeni - Senzani</v>
          </cell>
          <cell r="F36" t="str">
            <v>M01</v>
          </cell>
          <cell r="G36">
            <v>34</v>
          </cell>
          <cell r="H36">
            <v>14.8</v>
          </cell>
          <cell r="I36" t="str">
            <v>R</v>
          </cell>
          <cell r="J36" t="str">
            <v>NTCHEU</v>
          </cell>
          <cell r="K36">
            <v>8</v>
          </cell>
          <cell r="L36">
            <v>0</v>
          </cell>
          <cell r="W36">
            <v>89</v>
          </cell>
          <cell r="X36" t="str">
            <v>DS</v>
          </cell>
          <cell r="Y36">
            <v>200</v>
          </cell>
          <cell r="Z36" t="str">
            <v>SB</v>
          </cell>
          <cell r="AA36">
            <v>200</v>
          </cell>
          <cell r="AB36" t="str">
            <v>GR</v>
          </cell>
          <cell r="AC36">
            <v>16</v>
          </cell>
          <cell r="AD36" t="str">
            <v>VR</v>
          </cell>
          <cell r="AE36">
            <v>0</v>
          </cell>
          <cell r="AF36">
            <v>0</v>
          </cell>
          <cell r="AG36">
            <v>0</v>
          </cell>
          <cell r="AH36">
            <v>0</v>
          </cell>
          <cell r="AI36">
            <v>0</v>
          </cell>
          <cell r="AJ36">
            <v>0</v>
          </cell>
          <cell r="AK36">
            <v>0</v>
          </cell>
          <cell r="AL36">
            <v>0</v>
          </cell>
          <cell r="AM36">
            <v>1</v>
          </cell>
          <cell r="AN36" t="str">
            <v>never resealed</v>
          </cell>
          <cell r="BO36" t="str">
            <v>RS 018</v>
          </cell>
          <cell r="BP36">
            <v>14.8</v>
          </cell>
          <cell r="BQ36">
            <v>6</v>
          </cell>
          <cell r="BR36" t="str">
            <v>R</v>
          </cell>
          <cell r="BS36" t="str">
            <v>C</v>
          </cell>
          <cell r="BT36">
            <v>0</v>
          </cell>
          <cell r="BU36" t="str">
            <v>DS</v>
          </cell>
          <cell r="BV36" t="str">
            <v/>
          </cell>
          <cell r="BW36">
            <v>1</v>
          </cell>
          <cell r="BX36">
            <v>15</v>
          </cell>
          <cell r="BY36" t="str">
            <v xml:space="preserve"> </v>
          </cell>
          <cell r="BZ36">
            <v>1</v>
          </cell>
          <cell r="CA36">
            <v>16</v>
          </cell>
          <cell r="CB36">
            <v>2.177</v>
          </cell>
          <cell r="CC36">
            <v>2.9262475073313787</v>
          </cell>
          <cell r="CD36">
            <v>0</v>
          </cell>
          <cell r="CE36">
            <v>0</v>
          </cell>
          <cell r="CF36">
            <v>0</v>
          </cell>
          <cell r="CG36">
            <v>0</v>
          </cell>
          <cell r="CH36">
            <v>0</v>
          </cell>
          <cell r="CI36">
            <v>0.9</v>
          </cell>
          <cell r="CJ36">
            <v>3.0000000000000005E-3</v>
          </cell>
          <cell r="CK36">
            <v>3.0000000000000005E-3</v>
          </cell>
          <cell r="CL36">
            <v>0</v>
          </cell>
          <cell r="CM36">
            <v>1.1630769230769234E-3</v>
          </cell>
          <cell r="CN36">
            <v>1.1630769230769234E-3</v>
          </cell>
          <cell r="CO36">
            <v>0</v>
          </cell>
          <cell r="CP36">
            <v>0</v>
          </cell>
          <cell r="CQ36">
            <v>2.9274105842544556</v>
          </cell>
          <cell r="CR36">
            <v>0</v>
          </cell>
          <cell r="CS36">
            <v>1</v>
          </cell>
          <cell r="CT36">
            <v>0</v>
          </cell>
          <cell r="CU36">
            <v>0</v>
          </cell>
          <cell r="CV36">
            <v>9</v>
          </cell>
          <cell r="CW36">
            <v>9</v>
          </cell>
          <cell r="CX36" t="str">
            <v xml:space="preserve"> </v>
          </cell>
          <cell r="CY36">
            <v>1.5</v>
          </cell>
          <cell r="CZ36">
            <v>1.3</v>
          </cell>
          <cell r="DA36">
            <v>1.1000000000000001</v>
          </cell>
          <cell r="DB36">
            <v>400</v>
          </cell>
          <cell r="DC36">
            <v>188</v>
          </cell>
          <cell r="DD36">
            <v>104</v>
          </cell>
          <cell r="DE36">
            <v>30</v>
          </cell>
          <cell r="DF36">
            <v>46</v>
          </cell>
          <cell r="DG36">
            <v>8</v>
          </cell>
          <cell r="DH36">
            <v>4</v>
          </cell>
          <cell r="DI36">
            <v>20</v>
          </cell>
        </row>
        <row r="37">
          <cell r="A37" t="str">
            <v>RS 105</v>
          </cell>
          <cell r="B37">
            <v>105</v>
          </cell>
          <cell r="C37" t="str">
            <v>S</v>
          </cell>
          <cell r="D37" t="str">
            <v>T</v>
          </cell>
          <cell r="E37" t="str">
            <v>Senzani - Lipaluwa River</v>
          </cell>
          <cell r="F37" t="str">
            <v>M01</v>
          </cell>
          <cell r="G37">
            <v>35</v>
          </cell>
          <cell r="H37">
            <v>26.8</v>
          </cell>
          <cell r="I37" t="str">
            <v>F</v>
          </cell>
          <cell r="J37" t="str">
            <v>NTCHEU</v>
          </cell>
          <cell r="K37">
            <v>8</v>
          </cell>
          <cell r="L37">
            <v>0</v>
          </cell>
          <cell r="W37">
            <v>89</v>
          </cell>
          <cell r="X37" t="str">
            <v>DS</v>
          </cell>
          <cell r="Y37">
            <v>200</v>
          </cell>
          <cell r="Z37" t="str">
            <v>SB</v>
          </cell>
          <cell r="AA37">
            <v>150</v>
          </cell>
          <cell r="AB37" t="str">
            <v>GR</v>
          </cell>
          <cell r="AC37">
            <v>5</v>
          </cell>
          <cell r="AD37" t="str">
            <v>VR</v>
          </cell>
          <cell r="AE37">
            <v>0</v>
          </cell>
          <cell r="AF37">
            <v>0</v>
          </cell>
          <cell r="AG37">
            <v>0</v>
          </cell>
          <cell r="AH37">
            <v>0</v>
          </cell>
          <cell r="AI37">
            <v>0</v>
          </cell>
          <cell r="AJ37">
            <v>0</v>
          </cell>
          <cell r="AK37">
            <v>0</v>
          </cell>
          <cell r="AL37">
            <v>0</v>
          </cell>
          <cell r="AM37">
            <v>1</v>
          </cell>
          <cell r="AN37" t="str">
            <v>never resealed</v>
          </cell>
          <cell r="BO37" t="str">
            <v>RS 105</v>
          </cell>
          <cell r="BP37">
            <v>26.8</v>
          </cell>
          <cell r="BQ37">
            <v>6</v>
          </cell>
          <cell r="BR37" t="str">
            <v>F</v>
          </cell>
          <cell r="BS37" t="str">
            <v>C</v>
          </cell>
          <cell r="BT37">
            <v>0</v>
          </cell>
          <cell r="BU37" t="str">
            <v>DS</v>
          </cell>
          <cell r="BV37" t="str">
            <v/>
          </cell>
          <cell r="BW37">
            <v>1</v>
          </cell>
          <cell r="BX37">
            <v>15</v>
          </cell>
          <cell r="BY37" t="str">
            <v xml:space="preserve"> </v>
          </cell>
          <cell r="BZ37">
            <v>1</v>
          </cell>
          <cell r="CA37">
            <v>5</v>
          </cell>
          <cell r="CB37">
            <v>1.677</v>
          </cell>
          <cell r="CC37">
            <v>3.31</v>
          </cell>
          <cell r="CD37">
            <v>2.5</v>
          </cell>
          <cell r="CE37">
            <v>0</v>
          </cell>
          <cell r="CF37">
            <v>0</v>
          </cell>
          <cell r="CG37">
            <v>2.5</v>
          </cell>
          <cell r="CH37">
            <v>0</v>
          </cell>
          <cell r="CI37">
            <v>1.1000000000000001</v>
          </cell>
          <cell r="CJ37">
            <v>3.666666666666667E-3</v>
          </cell>
          <cell r="CK37">
            <v>3.666666666666667E-3</v>
          </cell>
          <cell r="CL37">
            <v>0</v>
          </cell>
          <cell r="CM37">
            <v>1.4215384615384617E-3</v>
          </cell>
          <cell r="CN37">
            <v>1.4215384615384617E-3</v>
          </cell>
          <cell r="CO37">
            <v>0</v>
          </cell>
          <cell r="CP37">
            <v>0</v>
          </cell>
          <cell r="CQ37">
            <v>3.3114215384615386</v>
          </cell>
          <cell r="CR37">
            <v>0</v>
          </cell>
          <cell r="CS37">
            <v>1</v>
          </cell>
          <cell r="CT37">
            <v>0</v>
          </cell>
          <cell r="CU37">
            <v>0</v>
          </cell>
          <cell r="CV37">
            <v>9</v>
          </cell>
          <cell r="CW37">
            <v>9</v>
          </cell>
          <cell r="CX37" t="str">
            <v xml:space="preserve"> </v>
          </cell>
          <cell r="CY37">
            <v>1.1000000000000001</v>
          </cell>
          <cell r="CZ37">
            <v>1.2</v>
          </cell>
          <cell r="DA37">
            <v>1.1000000000000001</v>
          </cell>
          <cell r="DB37">
            <v>400</v>
          </cell>
          <cell r="DC37">
            <v>188</v>
          </cell>
          <cell r="DD37">
            <v>104</v>
          </cell>
          <cell r="DE37">
            <v>30</v>
          </cell>
          <cell r="DF37">
            <v>46</v>
          </cell>
          <cell r="DG37">
            <v>8</v>
          </cell>
          <cell r="DH37">
            <v>4</v>
          </cell>
          <cell r="DI37">
            <v>20</v>
          </cell>
        </row>
        <row r="38">
          <cell r="A38" t="str">
            <v>RS 094</v>
          </cell>
          <cell r="B38">
            <v>94</v>
          </cell>
          <cell r="C38" t="str">
            <v>S</v>
          </cell>
          <cell r="D38" t="str">
            <v>T</v>
          </cell>
          <cell r="E38" t="str">
            <v>Matope - Chigaru</v>
          </cell>
          <cell r="F38" t="str">
            <v>M01</v>
          </cell>
          <cell r="G38">
            <v>36</v>
          </cell>
          <cell r="H38">
            <v>4.9000000000000004</v>
          </cell>
          <cell r="I38" t="str">
            <v>R</v>
          </cell>
          <cell r="J38" t="str">
            <v>BLANTYRE</v>
          </cell>
          <cell r="K38">
            <v>9</v>
          </cell>
          <cell r="L38">
            <v>0</v>
          </cell>
          <cell r="W38">
            <v>89</v>
          </cell>
          <cell r="X38" t="str">
            <v>DS</v>
          </cell>
          <cell r="Y38">
            <v>200</v>
          </cell>
          <cell r="Z38" t="str">
            <v>SB</v>
          </cell>
          <cell r="AA38">
            <v>150</v>
          </cell>
          <cell r="AB38" t="str">
            <v>GR</v>
          </cell>
          <cell r="AC38">
            <v>5</v>
          </cell>
          <cell r="AD38" t="str">
            <v>VR</v>
          </cell>
          <cell r="AE38">
            <v>0</v>
          </cell>
          <cell r="AF38">
            <v>0</v>
          </cell>
          <cell r="AG38">
            <v>0</v>
          </cell>
          <cell r="AH38">
            <v>0</v>
          </cell>
          <cell r="AI38">
            <v>0</v>
          </cell>
          <cell r="AJ38">
            <v>0</v>
          </cell>
          <cell r="AK38">
            <v>0</v>
          </cell>
          <cell r="AL38">
            <v>0</v>
          </cell>
          <cell r="AM38">
            <v>1</v>
          </cell>
          <cell r="AN38" t="str">
            <v>never resealed</v>
          </cell>
          <cell r="BO38" t="str">
            <v>RS 094</v>
          </cell>
          <cell r="BP38">
            <v>4.9000000000000004</v>
          </cell>
          <cell r="BQ38">
            <v>6</v>
          </cell>
          <cell r="BR38" t="str">
            <v>R</v>
          </cell>
          <cell r="BS38" t="str">
            <v>C</v>
          </cell>
          <cell r="BT38">
            <v>0</v>
          </cell>
          <cell r="BU38" t="str">
            <v>DS</v>
          </cell>
          <cell r="BV38" t="str">
            <v/>
          </cell>
          <cell r="BW38">
            <v>1</v>
          </cell>
          <cell r="BX38">
            <v>15</v>
          </cell>
          <cell r="BY38" t="str">
            <v xml:space="preserve"> </v>
          </cell>
          <cell r="BZ38">
            <v>1</v>
          </cell>
          <cell r="CA38">
            <v>5</v>
          </cell>
          <cell r="CB38">
            <v>1.677</v>
          </cell>
          <cell r="CC38">
            <v>2.868769501466276</v>
          </cell>
          <cell r="CD38">
            <v>0</v>
          </cell>
          <cell r="CE38">
            <v>0</v>
          </cell>
          <cell r="CF38">
            <v>0</v>
          </cell>
          <cell r="CG38">
            <v>0</v>
          </cell>
          <cell r="CH38">
            <v>0</v>
          </cell>
          <cell r="CI38">
            <v>0.21</v>
          </cell>
          <cell r="CJ38">
            <v>7.000000000000001E-4</v>
          </cell>
          <cell r="CK38">
            <v>7.000000000000001E-4</v>
          </cell>
          <cell r="CL38">
            <v>0</v>
          </cell>
          <cell r="CM38">
            <v>2.7138461538461539E-4</v>
          </cell>
          <cell r="CN38">
            <v>2.7138461538461539E-4</v>
          </cell>
          <cell r="CO38">
            <v>0</v>
          </cell>
          <cell r="CP38">
            <v>0</v>
          </cell>
          <cell r="CQ38">
            <v>2.8690408860816605</v>
          </cell>
          <cell r="CR38">
            <v>0</v>
          </cell>
          <cell r="CS38">
            <v>1</v>
          </cell>
          <cell r="CT38">
            <v>0</v>
          </cell>
          <cell r="CU38">
            <v>0</v>
          </cell>
          <cell r="CV38">
            <v>9</v>
          </cell>
          <cell r="CW38">
            <v>9</v>
          </cell>
          <cell r="CX38" t="str">
            <v xml:space="preserve"> </v>
          </cell>
          <cell r="CY38">
            <v>1.1000000000000001</v>
          </cell>
          <cell r="CZ38">
            <v>1.2</v>
          </cell>
          <cell r="DA38">
            <v>1</v>
          </cell>
          <cell r="DB38">
            <v>400</v>
          </cell>
          <cell r="DC38">
            <v>188</v>
          </cell>
          <cell r="DD38">
            <v>104</v>
          </cell>
          <cell r="DE38">
            <v>30</v>
          </cell>
          <cell r="DF38">
            <v>46</v>
          </cell>
          <cell r="DG38">
            <v>8</v>
          </cell>
          <cell r="DH38">
            <v>4</v>
          </cell>
          <cell r="DI38">
            <v>20</v>
          </cell>
        </row>
        <row r="39">
          <cell r="A39" t="str">
            <v>RS 090</v>
          </cell>
          <cell r="B39">
            <v>90</v>
          </cell>
          <cell r="C39" t="str">
            <v>S</v>
          </cell>
          <cell r="D39" t="str">
            <v>T</v>
          </cell>
          <cell r="E39" t="str">
            <v>Chigaru - Ndeka</v>
          </cell>
          <cell r="F39" t="str">
            <v>M01</v>
          </cell>
          <cell r="G39">
            <v>37</v>
          </cell>
          <cell r="H39">
            <v>12</v>
          </cell>
          <cell r="I39" t="str">
            <v>R</v>
          </cell>
          <cell r="J39" t="str">
            <v>BLANTYRE</v>
          </cell>
          <cell r="K39">
            <v>9</v>
          </cell>
          <cell r="L39">
            <v>0</v>
          </cell>
          <cell r="W39">
            <v>87</v>
          </cell>
          <cell r="X39" t="str">
            <v>DS</v>
          </cell>
          <cell r="Y39">
            <v>200</v>
          </cell>
          <cell r="Z39" t="str">
            <v>GR</v>
          </cell>
          <cell r="AA39">
            <v>200</v>
          </cell>
          <cell r="AB39" t="str">
            <v>GR</v>
          </cell>
          <cell r="AC39">
            <v>16</v>
          </cell>
          <cell r="AD39" t="str">
            <v>VR</v>
          </cell>
          <cell r="AE39">
            <v>0</v>
          </cell>
          <cell r="AF39">
            <v>0</v>
          </cell>
          <cell r="AG39">
            <v>0</v>
          </cell>
          <cell r="AH39">
            <v>0</v>
          </cell>
          <cell r="AI39">
            <v>0</v>
          </cell>
          <cell r="AJ39">
            <v>0</v>
          </cell>
          <cell r="AK39">
            <v>0</v>
          </cell>
          <cell r="AL39">
            <v>0</v>
          </cell>
          <cell r="AM39">
            <v>1</v>
          </cell>
          <cell r="AN39" t="str">
            <v>never resealed</v>
          </cell>
          <cell r="BO39" t="str">
            <v>RS 090</v>
          </cell>
          <cell r="BP39">
            <v>12</v>
          </cell>
          <cell r="BQ39">
            <v>6.7</v>
          </cell>
          <cell r="BR39" t="str">
            <v>R</v>
          </cell>
          <cell r="BS39" t="str">
            <v>C</v>
          </cell>
          <cell r="BT39">
            <v>0</v>
          </cell>
          <cell r="BU39" t="str">
            <v>DS</v>
          </cell>
          <cell r="BV39" t="str">
            <v/>
          </cell>
          <cell r="BW39">
            <v>1</v>
          </cell>
          <cell r="BX39">
            <v>15</v>
          </cell>
          <cell r="BY39" t="str">
            <v xml:space="preserve"> </v>
          </cell>
          <cell r="BZ39">
            <v>1</v>
          </cell>
          <cell r="CA39">
            <v>16</v>
          </cell>
          <cell r="CB39">
            <v>1.9770000000000001</v>
          </cell>
          <cell r="CC39">
            <v>3.1605583577712615</v>
          </cell>
          <cell r="CD39">
            <v>40</v>
          </cell>
          <cell r="CE39">
            <v>12</v>
          </cell>
          <cell r="CF39">
            <v>0</v>
          </cell>
          <cell r="CG39">
            <v>40</v>
          </cell>
          <cell r="CH39">
            <v>12</v>
          </cell>
          <cell r="CI39">
            <v>0.67</v>
          </cell>
          <cell r="CJ39">
            <v>2E-3</v>
          </cell>
          <cell r="CK39">
            <v>2E-3</v>
          </cell>
          <cell r="CL39">
            <v>0</v>
          </cell>
          <cell r="CM39">
            <v>7.7538461538461539E-4</v>
          </cell>
          <cell r="CN39">
            <v>7.7538461538461539E-4</v>
          </cell>
          <cell r="CO39">
            <v>0</v>
          </cell>
          <cell r="CP39">
            <v>0</v>
          </cell>
          <cell r="CQ39">
            <v>3.1613337423866459</v>
          </cell>
          <cell r="CR39">
            <v>10</v>
          </cell>
          <cell r="CS39">
            <v>1</v>
          </cell>
          <cell r="CT39">
            <v>0</v>
          </cell>
          <cell r="CU39">
            <v>0</v>
          </cell>
          <cell r="CV39">
            <v>11</v>
          </cell>
          <cell r="CW39">
            <v>11</v>
          </cell>
          <cell r="CX39" t="str">
            <v xml:space="preserve"> </v>
          </cell>
          <cell r="CY39">
            <v>2</v>
          </cell>
          <cell r="CZ39">
            <v>2</v>
          </cell>
          <cell r="DA39">
            <v>1</v>
          </cell>
          <cell r="DB39">
            <v>400</v>
          </cell>
          <cell r="DC39">
            <v>188</v>
          </cell>
          <cell r="DD39">
            <v>104</v>
          </cell>
          <cell r="DE39">
            <v>30</v>
          </cell>
          <cell r="DF39">
            <v>46</v>
          </cell>
          <cell r="DG39">
            <v>8</v>
          </cell>
          <cell r="DH39">
            <v>4</v>
          </cell>
          <cell r="DI39">
            <v>20</v>
          </cell>
        </row>
        <row r="40">
          <cell r="A40" t="str">
            <v>RS 098</v>
          </cell>
          <cell r="B40">
            <v>98</v>
          </cell>
          <cell r="C40" t="str">
            <v>S</v>
          </cell>
          <cell r="D40" t="str">
            <v>T</v>
          </cell>
          <cell r="E40" t="str">
            <v>Ndeka - Lirangwe</v>
          </cell>
          <cell r="F40" t="str">
            <v>M01</v>
          </cell>
          <cell r="G40">
            <v>38</v>
          </cell>
          <cell r="H40">
            <v>10.9</v>
          </cell>
          <cell r="I40" t="str">
            <v>R</v>
          </cell>
          <cell r="J40" t="str">
            <v>BLANTYRE</v>
          </cell>
          <cell r="K40">
            <v>9</v>
          </cell>
          <cell r="L40">
            <v>0</v>
          </cell>
          <cell r="W40">
            <v>89</v>
          </cell>
          <cell r="X40" t="str">
            <v>DS</v>
          </cell>
          <cell r="Y40">
            <v>200</v>
          </cell>
          <cell r="Z40" t="str">
            <v>SB</v>
          </cell>
          <cell r="AA40">
            <v>150</v>
          </cell>
          <cell r="AB40" t="str">
            <v>GR</v>
          </cell>
          <cell r="AC40">
            <v>5</v>
          </cell>
          <cell r="AD40" t="str">
            <v>VR</v>
          </cell>
          <cell r="AE40">
            <v>0</v>
          </cell>
          <cell r="AF40">
            <v>0</v>
          </cell>
          <cell r="AG40">
            <v>0</v>
          </cell>
          <cell r="AH40">
            <v>0</v>
          </cell>
          <cell r="AI40">
            <v>0</v>
          </cell>
          <cell r="AJ40">
            <v>0</v>
          </cell>
          <cell r="AK40">
            <v>0</v>
          </cell>
          <cell r="AL40">
            <v>0</v>
          </cell>
          <cell r="AM40">
            <v>1</v>
          </cell>
          <cell r="AN40" t="str">
            <v>never resealed</v>
          </cell>
          <cell r="BO40" t="str">
            <v>RS 098</v>
          </cell>
          <cell r="BP40">
            <v>10.9</v>
          </cell>
          <cell r="BQ40">
            <v>6.7</v>
          </cell>
          <cell r="BR40" t="str">
            <v>R</v>
          </cell>
          <cell r="BS40" t="str">
            <v>C</v>
          </cell>
          <cell r="BT40">
            <v>0</v>
          </cell>
          <cell r="BU40" t="str">
            <v>DS</v>
          </cell>
          <cell r="BV40" t="str">
            <v/>
          </cell>
          <cell r="BW40">
            <v>1</v>
          </cell>
          <cell r="BX40">
            <v>15</v>
          </cell>
          <cell r="BY40" t="str">
            <v xml:space="preserve"> </v>
          </cell>
          <cell r="BZ40">
            <v>1</v>
          </cell>
          <cell r="CA40">
            <v>5</v>
          </cell>
          <cell r="CB40">
            <v>1.677</v>
          </cell>
          <cell r="CC40">
            <v>3.1</v>
          </cell>
          <cell r="CD40">
            <v>20</v>
          </cell>
          <cell r="CE40">
            <v>0</v>
          </cell>
          <cell r="CF40">
            <v>0</v>
          </cell>
          <cell r="CG40">
            <v>20</v>
          </cell>
          <cell r="CH40">
            <v>0</v>
          </cell>
          <cell r="CI40">
            <v>0.2</v>
          </cell>
          <cell r="CJ40">
            <v>5.9701492537313444E-4</v>
          </cell>
          <cell r="CK40">
            <v>5.9701492537313444E-4</v>
          </cell>
          <cell r="CL40">
            <v>0</v>
          </cell>
          <cell r="CM40">
            <v>2.3145809414466134E-4</v>
          </cell>
          <cell r="CN40">
            <v>2.3145809414466134E-4</v>
          </cell>
          <cell r="CO40">
            <v>0</v>
          </cell>
          <cell r="CP40">
            <v>0</v>
          </cell>
          <cell r="CQ40">
            <v>3.1002314580941448</v>
          </cell>
          <cell r="CR40">
            <v>15</v>
          </cell>
          <cell r="CS40">
            <v>1</v>
          </cell>
          <cell r="CT40">
            <v>0</v>
          </cell>
          <cell r="CU40">
            <v>0</v>
          </cell>
          <cell r="CV40">
            <v>9</v>
          </cell>
          <cell r="CW40">
            <v>9</v>
          </cell>
          <cell r="CX40" t="str">
            <v xml:space="preserve"> </v>
          </cell>
          <cell r="CY40">
            <v>2</v>
          </cell>
          <cell r="CZ40">
            <v>2</v>
          </cell>
          <cell r="DA40">
            <v>1.3</v>
          </cell>
          <cell r="DB40">
            <v>600</v>
          </cell>
          <cell r="DC40">
            <v>282</v>
          </cell>
          <cell r="DD40">
            <v>156</v>
          </cell>
          <cell r="DE40">
            <v>45</v>
          </cell>
          <cell r="DF40">
            <v>69</v>
          </cell>
          <cell r="DG40">
            <v>12</v>
          </cell>
          <cell r="DH40">
            <v>6</v>
          </cell>
          <cell r="DI40">
            <v>30</v>
          </cell>
        </row>
        <row r="41">
          <cell r="A41" t="str">
            <v>RS 096</v>
          </cell>
          <cell r="B41">
            <v>96</v>
          </cell>
          <cell r="C41" t="str">
            <v>S</v>
          </cell>
          <cell r="D41" t="str">
            <v>T</v>
          </cell>
          <cell r="E41" t="str">
            <v>Lirangwe - Chirimba</v>
          </cell>
          <cell r="F41" t="str">
            <v>M01</v>
          </cell>
          <cell r="G41">
            <v>39</v>
          </cell>
          <cell r="H41">
            <v>22.5</v>
          </cell>
          <cell r="I41" t="str">
            <v>R</v>
          </cell>
          <cell r="J41" t="str">
            <v>BLANTYRE</v>
          </cell>
          <cell r="K41">
            <v>9</v>
          </cell>
          <cell r="L41">
            <v>0</v>
          </cell>
          <cell r="W41">
            <v>89</v>
          </cell>
          <cell r="X41" t="str">
            <v>DS</v>
          </cell>
          <cell r="Y41">
            <v>200</v>
          </cell>
          <cell r="Z41" t="str">
            <v>SB</v>
          </cell>
          <cell r="AA41">
            <v>150</v>
          </cell>
          <cell r="AB41" t="str">
            <v>GR</v>
          </cell>
          <cell r="AC41">
            <v>5</v>
          </cell>
          <cell r="AD41" t="str">
            <v>VR</v>
          </cell>
          <cell r="AE41">
            <v>0</v>
          </cell>
          <cell r="AF41">
            <v>0</v>
          </cell>
          <cell r="AG41">
            <v>0</v>
          </cell>
          <cell r="AH41">
            <v>0</v>
          </cell>
          <cell r="AI41">
            <v>0</v>
          </cell>
          <cell r="AJ41">
            <v>0</v>
          </cell>
          <cell r="AK41">
            <v>0</v>
          </cell>
          <cell r="AL41">
            <v>0</v>
          </cell>
          <cell r="AM41">
            <v>1</v>
          </cell>
          <cell r="AN41" t="str">
            <v>never resealed</v>
          </cell>
          <cell r="BO41" t="str">
            <v>RS 096</v>
          </cell>
          <cell r="BP41">
            <v>22.5</v>
          </cell>
          <cell r="BQ41">
            <v>6.7</v>
          </cell>
          <cell r="BR41" t="str">
            <v>R</v>
          </cell>
          <cell r="BS41" t="str">
            <v>C</v>
          </cell>
          <cell r="BT41">
            <v>0</v>
          </cell>
          <cell r="BU41" t="str">
            <v>DS</v>
          </cell>
          <cell r="BV41" t="str">
            <v/>
          </cell>
          <cell r="BW41">
            <v>1</v>
          </cell>
          <cell r="BX41">
            <v>15</v>
          </cell>
          <cell r="BY41" t="str">
            <v xml:space="preserve"> </v>
          </cell>
          <cell r="BZ41">
            <v>1</v>
          </cell>
          <cell r="CA41">
            <v>5</v>
          </cell>
          <cell r="CB41">
            <v>1.677</v>
          </cell>
          <cell r="CC41">
            <v>3.0335055718475079</v>
          </cell>
          <cell r="CD41">
            <v>60</v>
          </cell>
          <cell r="CE41">
            <v>12</v>
          </cell>
          <cell r="CF41">
            <v>0</v>
          </cell>
          <cell r="CG41">
            <v>60</v>
          </cell>
          <cell r="CH41">
            <v>12</v>
          </cell>
          <cell r="CI41">
            <v>2</v>
          </cell>
          <cell r="CJ41">
            <v>5.9701492537313433E-3</v>
          </cell>
          <cell r="CK41">
            <v>5.9701492537313433E-3</v>
          </cell>
          <cell r="CL41">
            <v>0</v>
          </cell>
          <cell r="CM41">
            <v>2.3145809414466131E-3</v>
          </cell>
          <cell r="CN41">
            <v>2.3145809414466131E-3</v>
          </cell>
          <cell r="CO41">
            <v>0</v>
          </cell>
          <cell r="CP41">
            <v>0</v>
          </cell>
          <cell r="CQ41">
            <v>3.0358201527889546</v>
          </cell>
          <cell r="CR41">
            <v>5</v>
          </cell>
          <cell r="CS41">
            <v>1</v>
          </cell>
          <cell r="CT41">
            <v>0</v>
          </cell>
          <cell r="CU41">
            <v>0</v>
          </cell>
          <cell r="CV41">
            <v>9</v>
          </cell>
          <cell r="CW41">
            <v>9</v>
          </cell>
          <cell r="CX41" t="str">
            <v xml:space="preserve"> </v>
          </cell>
          <cell r="CY41">
            <v>1.5</v>
          </cell>
          <cell r="CZ41">
            <v>2</v>
          </cell>
          <cell r="DA41">
            <v>2</v>
          </cell>
          <cell r="DB41">
            <v>600</v>
          </cell>
          <cell r="DC41">
            <v>282</v>
          </cell>
          <cell r="DD41">
            <v>156</v>
          </cell>
          <cell r="DE41">
            <v>45</v>
          </cell>
          <cell r="DF41">
            <v>69</v>
          </cell>
          <cell r="DG41">
            <v>12</v>
          </cell>
          <cell r="DH41">
            <v>6</v>
          </cell>
          <cell r="DI41">
            <v>30</v>
          </cell>
        </row>
        <row r="42">
          <cell r="A42" t="str">
            <v>RS 095</v>
          </cell>
          <cell r="B42">
            <v>95</v>
          </cell>
          <cell r="C42" t="str">
            <v>S</v>
          </cell>
          <cell r="D42" t="str">
            <v>T</v>
          </cell>
          <cell r="E42" t="str">
            <v>Chirimba - Blantyre</v>
          </cell>
          <cell r="F42" t="str">
            <v>M01</v>
          </cell>
          <cell r="G42">
            <v>40</v>
          </cell>
          <cell r="H42">
            <v>10.4</v>
          </cell>
          <cell r="I42" t="str">
            <v>R</v>
          </cell>
          <cell r="J42" t="str">
            <v>BLANTYRE</v>
          </cell>
          <cell r="K42">
            <v>9</v>
          </cell>
          <cell r="L42">
            <v>0</v>
          </cell>
          <cell r="W42">
            <v>89</v>
          </cell>
          <cell r="X42" t="str">
            <v>DS</v>
          </cell>
          <cell r="Y42">
            <v>200</v>
          </cell>
          <cell r="Z42" t="str">
            <v>SB</v>
          </cell>
          <cell r="AA42">
            <v>150</v>
          </cell>
          <cell r="AB42" t="str">
            <v>GR</v>
          </cell>
          <cell r="AC42">
            <v>5</v>
          </cell>
          <cell r="AD42" t="str">
            <v>VR</v>
          </cell>
          <cell r="AE42">
            <v>0</v>
          </cell>
          <cell r="AF42">
            <v>0</v>
          </cell>
          <cell r="AG42">
            <v>0</v>
          </cell>
          <cell r="AH42">
            <v>0</v>
          </cell>
          <cell r="AI42">
            <v>0</v>
          </cell>
          <cell r="AJ42">
            <v>0</v>
          </cell>
          <cell r="AK42">
            <v>0</v>
          </cell>
          <cell r="AL42">
            <v>0</v>
          </cell>
          <cell r="AM42">
            <v>1</v>
          </cell>
          <cell r="AN42" t="str">
            <v>never resealed</v>
          </cell>
          <cell r="BO42" t="str">
            <v>RS 095</v>
          </cell>
          <cell r="BP42">
            <v>10.4</v>
          </cell>
          <cell r="BQ42">
            <v>6.7</v>
          </cell>
          <cell r="BR42" t="str">
            <v>R</v>
          </cell>
          <cell r="BS42" t="str">
            <v>C</v>
          </cell>
          <cell r="BT42">
            <v>0</v>
          </cell>
          <cell r="BU42" t="str">
            <v>DS</v>
          </cell>
          <cell r="BV42" t="str">
            <v/>
          </cell>
          <cell r="BW42">
            <v>1</v>
          </cell>
          <cell r="BX42">
            <v>15</v>
          </cell>
          <cell r="BY42" t="str">
            <v xml:space="preserve"> </v>
          </cell>
          <cell r="BZ42">
            <v>1</v>
          </cell>
          <cell r="CA42">
            <v>5</v>
          </cell>
          <cell r="CB42">
            <v>1.677</v>
          </cell>
          <cell r="CC42">
            <v>4.1772032258064513</v>
          </cell>
          <cell r="CD42">
            <v>75</v>
          </cell>
          <cell r="CE42">
            <v>38</v>
          </cell>
          <cell r="CF42">
            <v>23</v>
          </cell>
          <cell r="CG42">
            <v>52</v>
          </cell>
          <cell r="CH42">
            <v>15</v>
          </cell>
          <cell r="CI42">
            <v>2.5</v>
          </cell>
          <cell r="CJ42">
            <v>7.462686567164179E-3</v>
          </cell>
          <cell r="CK42">
            <v>10</v>
          </cell>
          <cell r="CL42">
            <v>23</v>
          </cell>
          <cell r="CM42">
            <v>0.25497244546498277</v>
          </cell>
          <cell r="CN42">
            <v>0.25497244546498277</v>
          </cell>
          <cell r="CO42">
            <v>0</v>
          </cell>
          <cell r="CP42">
            <v>0</v>
          </cell>
          <cell r="CQ42">
            <v>4.432175671271434</v>
          </cell>
          <cell r="CR42">
            <v>5</v>
          </cell>
          <cell r="CS42">
            <v>1</v>
          </cell>
          <cell r="CT42">
            <v>0</v>
          </cell>
          <cell r="CU42">
            <v>0</v>
          </cell>
          <cell r="CV42">
            <v>9</v>
          </cell>
          <cell r="CW42">
            <v>9</v>
          </cell>
          <cell r="CX42" t="str">
            <v xml:space="preserve"> </v>
          </cell>
          <cell r="CY42">
            <v>3</v>
          </cell>
          <cell r="CZ42">
            <v>2.8</v>
          </cell>
          <cell r="DA42">
            <v>1.1000000000000001</v>
          </cell>
          <cell r="DB42">
            <v>900</v>
          </cell>
          <cell r="DC42">
            <v>423</v>
          </cell>
          <cell r="DD42">
            <v>234</v>
          </cell>
          <cell r="DE42">
            <v>68</v>
          </cell>
          <cell r="DF42">
            <v>104</v>
          </cell>
          <cell r="DG42">
            <v>18</v>
          </cell>
          <cell r="DH42">
            <v>9</v>
          </cell>
          <cell r="DI42">
            <v>45</v>
          </cell>
        </row>
        <row r="43">
          <cell r="A43" t="str">
            <v>RS 092</v>
          </cell>
          <cell r="B43">
            <v>92</v>
          </cell>
          <cell r="C43" t="str">
            <v>S</v>
          </cell>
          <cell r="D43" t="str">
            <v>T</v>
          </cell>
          <cell r="E43" t="str">
            <v>Blantyre - Bango</v>
          </cell>
          <cell r="F43" t="str">
            <v>M01</v>
          </cell>
          <cell r="G43">
            <v>41</v>
          </cell>
          <cell r="H43">
            <v>7.4</v>
          </cell>
          <cell r="I43" t="str">
            <v>R</v>
          </cell>
          <cell r="J43" t="str">
            <v>BLANTYRE</v>
          </cell>
          <cell r="K43">
            <v>10</v>
          </cell>
          <cell r="L43">
            <v>0</v>
          </cell>
          <cell r="W43">
            <v>80</v>
          </cell>
          <cell r="X43" t="str">
            <v>DS</v>
          </cell>
          <cell r="Y43">
            <v>150</v>
          </cell>
          <cell r="Z43" t="str">
            <v>SB</v>
          </cell>
          <cell r="AA43">
            <v>150</v>
          </cell>
          <cell r="AB43" t="str">
            <v>GR</v>
          </cell>
          <cell r="AC43">
            <v>12</v>
          </cell>
          <cell r="AD43" t="str">
            <v>VR</v>
          </cell>
          <cell r="AE43">
            <v>0</v>
          </cell>
          <cell r="AF43">
            <v>0</v>
          </cell>
          <cell r="AG43">
            <v>0</v>
          </cell>
          <cell r="AH43">
            <v>0</v>
          </cell>
          <cell r="AI43">
            <v>0</v>
          </cell>
          <cell r="AJ43">
            <v>0</v>
          </cell>
          <cell r="AK43">
            <v>0</v>
          </cell>
          <cell r="AL43">
            <v>0</v>
          </cell>
          <cell r="AM43">
            <v>1</v>
          </cell>
          <cell r="AN43" t="str">
            <v>never resealed</v>
          </cell>
          <cell r="BO43" t="str">
            <v>RS 092</v>
          </cell>
          <cell r="BP43">
            <v>7.4</v>
          </cell>
          <cell r="BQ43">
            <v>6</v>
          </cell>
          <cell r="BR43" t="str">
            <v>R</v>
          </cell>
          <cell r="BS43" t="str">
            <v>C</v>
          </cell>
          <cell r="BT43">
            <v>0</v>
          </cell>
          <cell r="BU43" t="str">
            <v>DS</v>
          </cell>
          <cell r="BV43" t="str">
            <v/>
          </cell>
          <cell r="BW43">
            <v>1</v>
          </cell>
          <cell r="BX43">
            <v>15</v>
          </cell>
          <cell r="BY43" t="str">
            <v xml:space="preserve"> </v>
          </cell>
          <cell r="BZ43">
            <v>1</v>
          </cell>
          <cell r="CA43">
            <v>12</v>
          </cell>
          <cell r="CB43">
            <v>1.677</v>
          </cell>
          <cell r="CC43">
            <v>5.69</v>
          </cell>
          <cell r="CD43">
            <v>85</v>
          </cell>
          <cell r="CE43">
            <v>51</v>
          </cell>
          <cell r="CF43">
            <v>36</v>
          </cell>
          <cell r="CG43">
            <v>49</v>
          </cell>
          <cell r="CH43">
            <v>15</v>
          </cell>
          <cell r="CI43">
            <v>600</v>
          </cell>
          <cell r="CJ43">
            <v>2</v>
          </cell>
          <cell r="CK43">
            <v>10</v>
          </cell>
          <cell r="CL43">
            <v>36</v>
          </cell>
          <cell r="CM43">
            <v>1.0935384615384616</v>
          </cell>
          <cell r="CN43">
            <v>1.0935384615384616</v>
          </cell>
          <cell r="CO43">
            <v>0</v>
          </cell>
          <cell r="CP43">
            <v>0</v>
          </cell>
          <cell r="CQ43">
            <v>6.7835384615384617</v>
          </cell>
          <cell r="CR43">
            <v>0</v>
          </cell>
          <cell r="CS43">
            <v>1</v>
          </cell>
          <cell r="CT43">
            <v>0</v>
          </cell>
          <cell r="CU43">
            <v>0</v>
          </cell>
          <cell r="CV43">
            <v>18</v>
          </cell>
          <cell r="CW43">
            <v>18</v>
          </cell>
          <cell r="CX43" t="str">
            <v xml:space="preserve"> </v>
          </cell>
          <cell r="CY43">
            <v>3</v>
          </cell>
          <cell r="CZ43">
            <v>3</v>
          </cell>
          <cell r="DA43">
            <v>2</v>
          </cell>
          <cell r="DB43">
            <v>500</v>
          </cell>
          <cell r="DC43">
            <v>235</v>
          </cell>
          <cell r="DD43">
            <v>130</v>
          </cell>
          <cell r="DE43">
            <v>38</v>
          </cell>
          <cell r="DF43">
            <v>58</v>
          </cell>
          <cell r="DG43">
            <v>10</v>
          </cell>
          <cell r="DH43">
            <v>5</v>
          </cell>
          <cell r="DI43">
            <v>25</v>
          </cell>
        </row>
        <row r="44">
          <cell r="A44" t="str">
            <v>RS 104</v>
          </cell>
          <cell r="B44">
            <v>104</v>
          </cell>
          <cell r="C44" t="str">
            <v>S</v>
          </cell>
          <cell r="D44" t="str">
            <v>T</v>
          </cell>
          <cell r="E44" t="str">
            <v>Bango - Mirale Police Post</v>
          </cell>
          <cell r="F44" t="str">
            <v>M01</v>
          </cell>
          <cell r="G44">
            <v>42</v>
          </cell>
          <cell r="H44">
            <v>11.4</v>
          </cell>
          <cell r="I44" t="str">
            <v>R</v>
          </cell>
          <cell r="J44" t="str">
            <v>BLANTYRE</v>
          </cell>
          <cell r="K44">
            <v>9</v>
          </cell>
          <cell r="L44">
            <v>0</v>
          </cell>
          <cell r="W44">
            <v>80</v>
          </cell>
          <cell r="X44" t="str">
            <v>DS</v>
          </cell>
          <cell r="Y44">
            <v>150</v>
          </cell>
          <cell r="Z44" t="str">
            <v>SB</v>
          </cell>
          <cell r="AA44">
            <v>100</v>
          </cell>
          <cell r="AB44" t="str">
            <v>GR</v>
          </cell>
          <cell r="AC44">
            <v>12</v>
          </cell>
          <cell r="AD44" t="str">
            <v>VR</v>
          </cell>
          <cell r="AE44">
            <v>0</v>
          </cell>
          <cell r="AF44">
            <v>0</v>
          </cell>
          <cell r="AG44">
            <v>0</v>
          </cell>
          <cell r="AH44">
            <v>0</v>
          </cell>
          <cell r="AI44">
            <v>0</v>
          </cell>
          <cell r="AJ44">
            <v>0</v>
          </cell>
          <cell r="AK44">
            <v>0</v>
          </cell>
          <cell r="AL44">
            <v>0</v>
          </cell>
          <cell r="AM44">
            <v>1</v>
          </cell>
          <cell r="AN44" t="str">
            <v>never resealed</v>
          </cell>
          <cell r="BO44" t="str">
            <v>RS 104</v>
          </cell>
          <cell r="BP44">
            <v>11.4</v>
          </cell>
          <cell r="BQ44">
            <v>6</v>
          </cell>
          <cell r="BR44" t="str">
            <v>R</v>
          </cell>
          <cell r="BS44" t="str">
            <v>C</v>
          </cell>
          <cell r="BT44">
            <v>0</v>
          </cell>
          <cell r="BU44" t="str">
            <v>DS</v>
          </cell>
          <cell r="BV44" t="str">
            <v/>
          </cell>
          <cell r="BW44">
            <v>1</v>
          </cell>
          <cell r="BX44">
            <v>15</v>
          </cell>
          <cell r="BY44" t="str">
            <v xml:space="preserve"> </v>
          </cell>
          <cell r="BZ44">
            <v>1</v>
          </cell>
          <cell r="CA44">
            <v>12</v>
          </cell>
          <cell r="CB44">
            <v>1.177</v>
          </cell>
          <cell r="CC44">
            <v>5.1370979472140768</v>
          </cell>
          <cell r="CD44">
            <v>90</v>
          </cell>
          <cell r="CE44">
            <v>55</v>
          </cell>
          <cell r="CF44">
            <v>40</v>
          </cell>
          <cell r="CG44">
            <v>50</v>
          </cell>
          <cell r="CH44">
            <v>15</v>
          </cell>
          <cell r="CI44">
            <v>25</v>
          </cell>
          <cell r="CJ44">
            <v>8.3333333333333343E-2</v>
          </cell>
          <cell r="CK44">
            <v>10</v>
          </cell>
          <cell r="CL44">
            <v>40</v>
          </cell>
          <cell r="CM44">
            <v>0.39608974358974353</v>
          </cell>
          <cell r="CN44">
            <v>0.39608974358974353</v>
          </cell>
          <cell r="CO44">
            <v>0</v>
          </cell>
          <cell r="CP44">
            <v>0</v>
          </cell>
          <cell r="CQ44">
            <v>5.5331876908038202</v>
          </cell>
          <cell r="CR44">
            <v>60</v>
          </cell>
          <cell r="CS44">
            <v>1</v>
          </cell>
          <cell r="CT44">
            <v>0</v>
          </cell>
          <cell r="CU44">
            <v>0</v>
          </cell>
          <cell r="CV44">
            <v>18</v>
          </cell>
          <cell r="CW44">
            <v>18</v>
          </cell>
          <cell r="CX44" t="str">
            <v xml:space="preserve"> </v>
          </cell>
          <cell r="CY44">
            <v>2</v>
          </cell>
          <cell r="CZ44">
            <v>2</v>
          </cell>
          <cell r="DA44">
            <v>2</v>
          </cell>
          <cell r="DB44">
            <v>400</v>
          </cell>
          <cell r="DC44">
            <v>188</v>
          </cell>
          <cell r="DD44">
            <v>104</v>
          </cell>
          <cell r="DE44">
            <v>30</v>
          </cell>
          <cell r="DF44">
            <v>46</v>
          </cell>
          <cell r="DG44">
            <v>8</v>
          </cell>
          <cell r="DH44">
            <v>4</v>
          </cell>
          <cell r="DI44">
            <v>20</v>
          </cell>
        </row>
        <row r="45">
          <cell r="A45" t="str">
            <v>RS 093</v>
          </cell>
          <cell r="B45">
            <v>93</v>
          </cell>
          <cell r="C45" t="str">
            <v>S</v>
          </cell>
          <cell r="D45" t="str">
            <v>T</v>
          </cell>
          <cell r="E45" t="str">
            <v>Mirale Police Post - Madziabango</v>
          </cell>
          <cell r="F45" t="str">
            <v>M01</v>
          </cell>
          <cell r="G45">
            <v>43</v>
          </cell>
          <cell r="H45">
            <v>7.9</v>
          </cell>
          <cell r="I45" t="str">
            <v>R</v>
          </cell>
          <cell r="J45" t="str">
            <v>BLANTYRE</v>
          </cell>
          <cell r="K45">
            <v>9</v>
          </cell>
          <cell r="L45">
            <v>0</v>
          </cell>
          <cell r="W45">
            <v>80</v>
          </cell>
          <cell r="X45" t="str">
            <v>DS</v>
          </cell>
          <cell r="Y45">
            <v>150</v>
          </cell>
          <cell r="Z45" t="str">
            <v>SB</v>
          </cell>
          <cell r="AA45">
            <v>150</v>
          </cell>
          <cell r="AB45" t="str">
            <v>GR</v>
          </cell>
          <cell r="AC45">
            <v>12</v>
          </cell>
          <cell r="AD45" t="str">
            <v>VR</v>
          </cell>
          <cell r="AE45">
            <v>0</v>
          </cell>
          <cell r="AF45">
            <v>0</v>
          </cell>
          <cell r="AG45">
            <v>0</v>
          </cell>
          <cell r="AH45">
            <v>0</v>
          </cell>
          <cell r="AI45">
            <v>0</v>
          </cell>
          <cell r="AJ45">
            <v>0</v>
          </cell>
          <cell r="AK45">
            <v>0</v>
          </cell>
          <cell r="AL45">
            <v>0</v>
          </cell>
          <cell r="AM45">
            <v>1</v>
          </cell>
          <cell r="AN45" t="str">
            <v>never resealed</v>
          </cell>
          <cell r="BO45" t="str">
            <v>RS 093</v>
          </cell>
          <cell r="BP45">
            <v>7.9</v>
          </cell>
          <cell r="BQ45">
            <v>6</v>
          </cell>
          <cell r="BR45" t="str">
            <v>R</v>
          </cell>
          <cell r="BS45" t="str">
            <v>C</v>
          </cell>
          <cell r="BT45">
            <v>0</v>
          </cell>
          <cell r="BU45" t="str">
            <v>DS</v>
          </cell>
          <cell r="BV45" t="str">
            <v/>
          </cell>
          <cell r="BW45">
            <v>1</v>
          </cell>
          <cell r="BX45">
            <v>15</v>
          </cell>
          <cell r="BY45" t="str">
            <v xml:space="preserve"> </v>
          </cell>
          <cell r="BZ45">
            <v>1</v>
          </cell>
          <cell r="CA45">
            <v>12</v>
          </cell>
          <cell r="CB45">
            <v>1.677</v>
          </cell>
          <cell r="CC45">
            <v>6.7552300377042318</v>
          </cell>
          <cell r="CD45">
            <v>85</v>
          </cell>
          <cell r="CE45">
            <v>50</v>
          </cell>
          <cell r="CF45">
            <v>35</v>
          </cell>
          <cell r="CG45">
            <v>50</v>
          </cell>
          <cell r="CH45">
            <v>15</v>
          </cell>
          <cell r="CI45">
            <v>24</v>
          </cell>
          <cell r="CJ45">
            <v>8.0000000000000016E-2</v>
          </cell>
          <cell r="CK45">
            <v>10</v>
          </cell>
          <cell r="CL45">
            <v>35</v>
          </cell>
          <cell r="CM45">
            <v>0.36175384615384615</v>
          </cell>
          <cell r="CN45">
            <v>0.36175384615384615</v>
          </cell>
          <cell r="CO45">
            <v>0</v>
          </cell>
          <cell r="CP45">
            <v>0</v>
          </cell>
          <cell r="CQ45">
            <v>7.1169838838580777</v>
          </cell>
          <cell r="CR45">
            <v>55</v>
          </cell>
          <cell r="CS45">
            <v>1</v>
          </cell>
          <cell r="CT45">
            <v>0</v>
          </cell>
          <cell r="CU45">
            <v>0</v>
          </cell>
          <cell r="CV45">
            <v>18</v>
          </cell>
          <cell r="CW45">
            <v>18</v>
          </cell>
          <cell r="CX45" t="str">
            <v xml:space="preserve"> </v>
          </cell>
          <cell r="CY45">
            <v>1.8</v>
          </cell>
          <cell r="CZ45">
            <v>2</v>
          </cell>
          <cell r="DA45">
            <v>1.8</v>
          </cell>
          <cell r="DB45">
            <v>400</v>
          </cell>
          <cell r="DC45">
            <v>188</v>
          </cell>
          <cell r="DD45">
            <v>104</v>
          </cell>
          <cell r="DE45">
            <v>30</v>
          </cell>
          <cell r="DF45">
            <v>46</v>
          </cell>
          <cell r="DG45">
            <v>8</v>
          </cell>
          <cell r="DH45">
            <v>4</v>
          </cell>
          <cell r="DI45">
            <v>20</v>
          </cell>
        </row>
        <row r="46">
          <cell r="A46" t="str">
            <v>RS 106</v>
          </cell>
          <cell r="B46">
            <v>106</v>
          </cell>
          <cell r="C46" t="str">
            <v>S</v>
          </cell>
          <cell r="D46" t="str">
            <v>T</v>
          </cell>
          <cell r="E46" t="str">
            <v>Madziabango - Thabwa</v>
          </cell>
          <cell r="F46" t="str">
            <v>M01</v>
          </cell>
          <cell r="G46">
            <v>44</v>
          </cell>
          <cell r="H46">
            <v>11.7</v>
          </cell>
          <cell r="I46" t="str">
            <v>H</v>
          </cell>
          <cell r="J46" t="str">
            <v>CHIKWAWA</v>
          </cell>
          <cell r="K46">
            <v>9</v>
          </cell>
          <cell r="L46">
            <v>0</v>
          </cell>
          <cell r="W46">
            <v>80</v>
          </cell>
          <cell r="X46" t="str">
            <v>DS</v>
          </cell>
          <cell r="Y46">
            <v>150</v>
          </cell>
          <cell r="Z46" t="str">
            <v>SB</v>
          </cell>
          <cell r="AA46">
            <v>100</v>
          </cell>
          <cell r="AB46" t="str">
            <v>GR</v>
          </cell>
          <cell r="AC46">
            <v>12</v>
          </cell>
          <cell r="AD46" t="str">
            <v>VR</v>
          </cell>
          <cell r="AE46">
            <v>0</v>
          </cell>
          <cell r="AF46">
            <v>0</v>
          </cell>
          <cell r="AG46">
            <v>0</v>
          </cell>
          <cell r="AH46">
            <v>0</v>
          </cell>
          <cell r="AI46">
            <v>0</v>
          </cell>
          <cell r="AJ46">
            <v>0</v>
          </cell>
          <cell r="AK46">
            <v>0</v>
          </cell>
          <cell r="AL46">
            <v>0</v>
          </cell>
          <cell r="AM46">
            <v>1</v>
          </cell>
          <cell r="AN46" t="str">
            <v>never resealed</v>
          </cell>
          <cell r="BO46" t="str">
            <v>RS 106</v>
          </cell>
          <cell r="BP46">
            <v>11.7</v>
          </cell>
          <cell r="BQ46">
            <v>6</v>
          </cell>
          <cell r="BR46" t="str">
            <v>H</v>
          </cell>
          <cell r="BS46" t="str">
            <v>C</v>
          </cell>
          <cell r="BT46">
            <v>0</v>
          </cell>
          <cell r="BU46" t="str">
            <v>DS</v>
          </cell>
          <cell r="BV46" t="str">
            <v/>
          </cell>
          <cell r="BW46">
            <v>1</v>
          </cell>
          <cell r="BX46">
            <v>15</v>
          </cell>
          <cell r="BY46" t="str">
            <v xml:space="preserve"> </v>
          </cell>
          <cell r="BZ46">
            <v>1</v>
          </cell>
          <cell r="CA46">
            <v>12</v>
          </cell>
          <cell r="CB46">
            <v>1.177</v>
          </cell>
          <cell r="CC46">
            <v>6.6103543854972013</v>
          </cell>
          <cell r="CD46">
            <v>80</v>
          </cell>
          <cell r="CE46">
            <v>50</v>
          </cell>
          <cell r="CF46">
            <v>35</v>
          </cell>
          <cell r="CG46">
            <v>45</v>
          </cell>
          <cell r="CH46">
            <v>15</v>
          </cell>
          <cell r="CI46">
            <v>23</v>
          </cell>
          <cell r="CJ46">
            <v>7.6666666666666675E-2</v>
          </cell>
          <cell r="CK46">
            <v>10</v>
          </cell>
          <cell r="CL46">
            <v>35</v>
          </cell>
          <cell r="CM46">
            <v>0.36049487179487183</v>
          </cell>
          <cell r="CN46">
            <v>0.36049487179487183</v>
          </cell>
          <cell r="CO46">
            <v>0</v>
          </cell>
          <cell r="CP46">
            <v>0</v>
          </cell>
          <cell r="CQ46">
            <v>6.9708492572920733</v>
          </cell>
          <cell r="CR46">
            <v>50</v>
          </cell>
          <cell r="CS46">
            <v>1</v>
          </cell>
          <cell r="CT46">
            <v>0</v>
          </cell>
          <cell r="CU46">
            <v>0</v>
          </cell>
          <cell r="CV46">
            <v>18</v>
          </cell>
          <cell r="CW46">
            <v>18</v>
          </cell>
          <cell r="CX46" t="str">
            <v xml:space="preserve"> </v>
          </cell>
          <cell r="CY46">
            <v>1.5</v>
          </cell>
          <cell r="CZ46">
            <v>2</v>
          </cell>
          <cell r="DA46">
            <v>1.3</v>
          </cell>
          <cell r="DB46">
            <v>300</v>
          </cell>
          <cell r="DC46">
            <v>141</v>
          </cell>
          <cell r="DD46">
            <v>78</v>
          </cell>
          <cell r="DE46">
            <v>23</v>
          </cell>
          <cell r="DF46">
            <v>35</v>
          </cell>
          <cell r="DG46">
            <v>6</v>
          </cell>
          <cell r="DH46">
            <v>3</v>
          </cell>
          <cell r="DI46">
            <v>15</v>
          </cell>
        </row>
        <row r="47">
          <cell r="A47" t="str">
            <v>RS 102</v>
          </cell>
          <cell r="B47">
            <v>102</v>
          </cell>
          <cell r="C47" t="str">
            <v>S</v>
          </cell>
          <cell r="D47" t="str">
            <v>T</v>
          </cell>
          <cell r="E47" t="str">
            <v>Thabwa - Chikwawa</v>
          </cell>
          <cell r="F47" t="str">
            <v>M01</v>
          </cell>
          <cell r="G47">
            <v>45</v>
          </cell>
          <cell r="H47">
            <v>8.3000000000000007</v>
          </cell>
          <cell r="I47" t="str">
            <v>F</v>
          </cell>
          <cell r="J47" t="str">
            <v>CHIKWAWA</v>
          </cell>
          <cell r="K47">
            <v>9</v>
          </cell>
          <cell r="L47">
            <v>0</v>
          </cell>
          <cell r="W47">
            <v>80</v>
          </cell>
          <cell r="X47" t="str">
            <v>DS</v>
          </cell>
          <cell r="Y47">
            <v>150</v>
          </cell>
          <cell r="Z47" t="str">
            <v>SB</v>
          </cell>
          <cell r="AA47">
            <v>100</v>
          </cell>
          <cell r="AB47" t="str">
            <v>GR</v>
          </cell>
          <cell r="AC47">
            <v>12</v>
          </cell>
          <cell r="AD47" t="str">
            <v>VR</v>
          </cell>
          <cell r="AE47">
            <v>0</v>
          </cell>
          <cell r="AF47">
            <v>0</v>
          </cell>
          <cell r="AG47">
            <v>0</v>
          </cell>
          <cell r="AH47">
            <v>0</v>
          </cell>
          <cell r="AI47">
            <v>0</v>
          </cell>
          <cell r="AJ47">
            <v>0</v>
          </cell>
          <cell r="AK47">
            <v>0</v>
          </cell>
          <cell r="AL47">
            <v>0</v>
          </cell>
          <cell r="AM47">
            <v>1</v>
          </cell>
          <cell r="AN47" t="str">
            <v>never resealed</v>
          </cell>
          <cell r="BO47" t="str">
            <v>RS 102</v>
          </cell>
          <cell r="BP47">
            <v>8.3000000000000007</v>
          </cell>
          <cell r="BQ47">
            <v>6</v>
          </cell>
          <cell r="BR47" t="str">
            <v>F</v>
          </cell>
          <cell r="BS47" t="str">
            <v>C</v>
          </cell>
          <cell r="BT47">
            <v>0</v>
          </cell>
          <cell r="BU47" t="str">
            <v>DS</v>
          </cell>
          <cell r="BV47" t="str">
            <v/>
          </cell>
          <cell r="BW47">
            <v>1</v>
          </cell>
          <cell r="BX47">
            <v>15</v>
          </cell>
          <cell r="BY47" t="str">
            <v xml:space="preserve"> </v>
          </cell>
          <cell r="BZ47">
            <v>1</v>
          </cell>
          <cell r="CA47">
            <v>12</v>
          </cell>
          <cell r="CB47">
            <v>1.177</v>
          </cell>
          <cell r="CC47">
            <v>8.3274964809384162</v>
          </cell>
          <cell r="CD47">
            <v>99</v>
          </cell>
          <cell r="CE47">
            <v>80</v>
          </cell>
          <cell r="CF47">
            <v>65</v>
          </cell>
          <cell r="CG47">
            <v>34</v>
          </cell>
          <cell r="CH47">
            <v>15</v>
          </cell>
          <cell r="CI47">
            <v>85</v>
          </cell>
          <cell r="CJ47">
            <v>0.28333333333333333</v>
          </cell>
          <cell r="CK47">
            <v>10</v>
          </cell>
          <cell r="CL47">
            <v>65</v>
          </cell>
          <cell r="CM47">
            <v>0.63701282051282049</v>
          </cell>
          <cell r="CN47">
            <v>0.63701282051282049</v>
          </cell>
          <cell r="CO47">
            <v>0</v>
          </cell>
          <cell r="CP47">
            <v>0</v>
          </cell>
          <cell r="CQ47">
            <v>8.9645093014512369</v>
          </cell>
          <cell r="CR47">
            <v>75</v>
          </cell>
          <cell r="CS47">
            <v>1</v>
          </cell>
          <cell r="CT47">
            <v>0</v>
          </cell>
          <cell r="CU47">
            <v>0</v>
          </cell>
          <cell r="CV47">
            <v>18</v>
          </cell>
          <cell r="CW47">
            <v>18</v>
          </cell>
          <cell r="CX47" t="str">
            <v xml:space="preserve"> </v>
          </cell>
          <cell r="CY47">
            <v>1.2</v>
          </cell>
          <cell r="CZ47">
            <v>2</v>
          </cell>
          <cell r="DA47">
            <v>1.1000000000000001</v>
          </cell>
          <cell r="DB47">
            <v>500</v>
          </cell>
          <cell r="DC47">
            <v>235</v>
          </cell>
          <cell r="DD47">
            <v>130</v>
          </cell>
          <cell r="DE47">
            <v>38</v>
          </cell>
          <cell r="DF47">
            <v>58</v>
          </cell>
          <cell r="DG47">
            <v>10</v>
          </cell>
          <cell r="DH47">
            <v>5</v>
          </cell>
          <cell r="DI47">
            <v>25</v>
          </cell>
        </row>
        <row r="48">
          <cell r="A48" t="str">
            <v>RS 101</v>
          </cell>
          <cell r="B48">
            <v>101</v>
          </cell>
          <cell r="C48" t="str">
            <v>S</v>
          </cell>
          <cell r="D48" t="str">
            <v>T</v>
          </cell>
          <cell r="E48" t="str">
            <v>Chikwawa - Lengwe T/Off</v>
          </cell>
          <cell r="F48" t="str">
            <v>M01</v>
          </cell>
          <cell r="G48">
            <v>46</v>
          </cell>
          <cell r="H48">
            <v>18.7</v>
          </cell>
          <cell r="I48" t="str">
            <v>F</v>
          </cell>
          <cell r="J48" t="str">
            <v>CHIKWAWA</v>
          </cell>
          <cell r="K48">
            <v>9</v>
          </cell>
          <cell r="L48">
            <v>0</v>
          </cell>
          <cell r="W48">
            <v>78</v>
          </cell>
          <cell r="X48" t="str">
            <v>SA</v>
          </cell>
          <cell r="Y48">
            <v>60</v>
          </cell>
          <cell r="Z48" t="str">
            <v>SB</v>
          </cell>
          <cell r="AA48">
            <v>150</v>
          </cell>
          <cell r="AB48" t="str">
            <v>GR</v>
          </cell>
          <cell r="AC48">
            <v>6</v>
          </cell>
          <cell r="AD48" t="str">
            <v>VR</v>
          </cell>
          <cell r="AE48">
            <v>83</v>
          </cell>
          <cell r="AF48" t="str">
            <v>RC</v>
          </cell>
          <cell r="AG48" t="str">
            <v>ST</v>
          </cell>
          <cell r="AH48">
            <v>15</v>
          </cell>
          <cell r="AI48">
            <v>98</v>
          </cell>
          <cell r="AJ48" t="str">
            <v>RC</v>
          </cell>
          <cell r="AK48" t="str">
            <v>DS</v>
          </cell>
          <cell r="AL48">
            <v>15</v>
          </cell>
          <cell r="AM48">
            <v>1</v>
          </cell>
          <cell r="AN48" t="str">
            <v>under reconstuction</v>
          </cell>
          <cell r="BO48" t="str">
            <v>RS 101</v>
          </cell>
          <cell r="BP48">
            <v>18.7</v>
          </cell>
          <cell r="BQ48" t="str">
            <v>n.a.</v>
          </cell>
          <cell r="BR48" t="str">
            <v>F</v>
          </cell>
          <cell r="BS48" t="str">
            <v>n.a.</v>
          </cell>
          <cell r="BT48">
            <v>0</v>
          </cell>
          <cell r="BU48" t="str">
            <v>DS</v>
          </cell>
          <cell r="BV48" t="str">
            <v/>
          </cell>
          <cell r="BW48">
            <v>1</v>
          </cell>
          <cell r="BX48">
            <v>15</v>
          </cell>
          <cell r="BY48" t="str">
            <v xml:space="preserve"> </v>
          </cell>
          <cell r="BZ48">
            <v>1</v>
          </cell>
          <cell r="CA48">
            <v>6</v>
          </cell>
          <cell r="CB48">
            <v>1.6850000000000001</v>
          </cell>
          <cell r="CC48" t="str">
            <v>Under reconstruction 1998</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V48">
            <v>0</v>
          </cell>
          <cell r="CW48">
            <v>0</v>
          </cell>
          <cell r="CX48" t="str">
            <v xml:space="preserve"> </v>
          </cell>
          <cell r="CY48" t="str">
            <v>n.a.</v>
          </cell>
          <cell r="CZ48" t="str">
            <v>n.a.</v>
          </cell>
          <cell r="DA48" t="str">
            <v>n.a.</v>
          </cell>
          <cell r="DB48">
            <v>300</v>
          </cell>
          <cell r="DC48">
            <v>141</v>
          </cell>
          <cell r="DD48">
            <v>78</v>
          </cell>
          <cell r="DE48">
            <v>23</v>
          </cell>
          <cell r="DF48">
            <v>35</v>
          </cell>
          <cell r="DG48">
            <v>6</v>
          </cell>
          <cell r="DH48">
            <v>3</v>
          </cell>
          <cell r="DI48">
            <v>15</v>
          </cell>
        </row>
        <row r="49">
          <cell r="A49" t="str">
            <v>RS 103</v>
          </cell>
          <cell r="B49">
            <v>103</v>
          </cell>
          <cell r="C49" t="str">
            <v>S</v>
          </cell>
          <cell r="D49" t="str">
            <v>T</v>
          </cell>
          <cell r="E49" t="str">
            <v>Lengwe T/Off - Nchalo</v>
          </cell>
          <cell r="F49" t="str">
            <v>M01</v>
          </cell>
          <cell r="G49">
            <v>47</v>
          </cell>
          <cell r="H49">
            <v>8.5</v>
          </cell>
          <cell r="I49" t="str">
            <v>F</v>
          </cell>
          <cell r="J49" t="str">
            <v>CHIKWAWA</v>
          </cell>
          <cell r="K49">
            <v>9</v>
          </cell>
          <cell r="L49">
            <v>0</v>
          </cell>
          <cell r="W49">
            <v>78</v>
          </cell>
          <cell r="X49" t="str">
            <v>SA</v>
          </cell>
          <cell r="Y49">
            <v>60</v>
          </cell>
          <cell r="Z49" t="str">
            <v>SB</v>
          </cell>
          <cell r="AA49">
            <v>150</v>
          </cell>
          <cell r="AB49" t="str">
            <v>GR</v>
          </cell>
          <cell r="AC49">
            <v>6</v>
          </cell>
          <cell r="AD49" t="str">
            <v>VR</v>
          </cell>
          <cell r="AE49">
            <v>83</v>
          </cell>
          <cell r="AF49" t="str">
            <v>RC</v>
          </cell>
          <cell r="AG49" t="str">
            <v>ST</v>
          </cell>
          <cell r="AH49">
            <v>15</v>
          </cell>
          <cell r="AI49">
            <v>98</v>
          </cell>
          <cell r="AJ49" t="str">
            <v>RC</v>
          </cell>
          <cell r="AK49" t="str">
            <v>DS</v>
          </cell>
          <cell r="AL49">
            <v>15</v>
          </cell>
          <cell r="AM49">
            <v>1</v>
          </cell>
          <cell r="AN49" t="str">
            <v>under reconstuction</v>
          </cell>
          <cell r="BO49" t="str">
            <v>RS 103</v>
          </cell>
          <cell r="BP49">
            <v>8.5</v>
          </cell>
          <cell r="BQ49" t="str">
            <v>n.a.</v>
          </cell>
          <cell r="BR49" t="str">
            <v>F</v>
          </cell>
          <cell r="BS49" t="str">
            <v>n.a.</v>
          </cell>
          <cell r="BT49">
            <v>0</v>
          </cell>
          <cell r="BU49" t="str">
            <v>DS</v>
          </cell>
          <cell r="BV49" t="str">
            <v/>
          </cell>
          <cell r="BW49">
            <v>1</v>
          </cell>
          <cell r="BX49">
            <v>15</v>
          </cell>
          <cell r="BY49" t="str">
            <v xml:space="preserve"> </v>
          </cell>
          <cell r="BZ49">
            <v>1</v>
          </cell>
          <cell r="CA49">
            <v>6</v>
          </cell>
          <cell r="CB49">
            <v>1.6850000000000001</v>
          </cell>
          <cell r="CC49" t="str">
            <v>Under reconstruction 1998</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V49">
            <v>0</v>
          </cell>
          <cell r="CW49">
            <v>0</v>
          </cell>
          <cell r="CX49" t="str">
            <v xml:space="preserve"> </v>
          </cell>
          <cell r="CY49" t="str">
            <v>n.a.</v>
          </cell>
          <cell r="CZ49" t="str">
            <v>n.a.</v>
          </cell>
          <cell r="DA49" t="str">
            <v>n.a.</v>
          </cell>
          <cell r="DB49">
            <v>300</v>
          </cell>
          <cell r="DC49">
            <v>141</v>
          </cell>
          <cell r="DD49">
            <v>78</v>
          </cell>
          <cell r="DE49">
            <v>23</v>
          </cell>
          <cell r="DF49">
            <v>35</v>
          </cell>
          <cell r="DG49">
            <v>6</v>
          </cell>
          <cell r="DH49">
            <v>3</v>
          </cell>
          <cell r="DI49">
            <v>15</v>
          </cell>
        </row>
        <row r="50">
          <cell r="A50" t="str">
            <v>RS 099</v>
          </cell>
          <cell r="B50">
            <v>99</v>
          </cell>
          <cell r="C50" t="str">
            <v>S</v>
          </cell>
          <cell r="D50" t="str">
            <v>T</v>
          </cell>
          <cell r="E50" t="str">
            <v>Nchalo - Gama</v>
          </cell>
          <cell r="F50" t="str">
            <v>M01</v>
          </cell>
          <cell r="G50">
            <v>48</v>
          </cell>
          <cell r="H50">
            <v>16.899999999999999</v>
          </cell>
          <cell r="I50" t="str">
            <v>F</v>
          </cell>
          <cell r="J50" t="str">
            <v>CHIKWAWA</v>
          </cell>
          <cell r="K50">
            <v>10</v>
          </cell>
          <cell r="L50">
            <v>0</v>
          </cell>
          <cell r="W50">
            <v>78</v>
          </cell>
          <cell r="X50" t="str">
            <v>SA</v>
          </cell>
          <cell r="Y50">
            <v>60</v>
          </cell>
          <cell r="Z50" t="str">
            <v>SB</v>
          </cell>
          <cell r="AA50">
            <v>150</v>
          </cell>
          <cell r="AB50" t="str">
            <v>GR</v>
          </cell>
          <cell r="AC50">
            <v>6</v>
          </cell>
          <cell r="AD50" t="str">
            <v>VR</v>
          </cell>
          <cell r="AE50">
            <v>83</v>
          </cell>
          <cell r="AF50" t="str">
            <v>RC</v>
          </cell>
          <cell r="AG50" t="str">
            <v>ST</v>
          </cell>
          <cell r="AH50">
            <v>15</v>
          </cell>
          <cell r="AI50">
            <v>98</v>
          </cell>
          <cell r="AJ50" t="str">
            <v>RC</v>
          </cell>
          <cell r="AK50" t="str">
            <v>DS</v>
          </cell>
          <cell r="AL50">
            <v>15</v>
          </cell>
          <cell r="AM50">
            <v>1</v>
          </cell>
          <cell r="AN50" t="str">
            <v>under reconstuction</v>
          </cell>
          <cell r="BO50" t="str">
            <v>RS 099</v>
          </cell>
          <cell r="BP50">
            <v>16.899999999999999</v>
          </cell>
          <cell r="BQ50" t="str">
            <v>n.a.</v>
          </cell>
          <cell r="BR50" t="str">
            <v>F</v>
          </cell>
          <cell r="BS50" t="str">
            <v>n.a.</v>
          </cell>
          <cell r="BT50">
            <v>0</v>
          </cell>
          <cell r="BU50" t="str">
            <v>DS</v>
          </cell>
          <cell r="BV50" t="str">
            <v/>
          </cell>
          <cell r="BW50">
            <v>1</v>
          </cell>
          <cell r="BX50">
            <v>15</v>
          </cell>
          <cell r="BY50" t="str">
            <v xml:space="preserve"> </v>
          </cell>
          <cell r="BZ50">
            <v>1</v>
          </cell>
          <cell r="CA50">
            <v>6</v>
          </cell>
          <cell r="CB50">
            <v>1.6850000000000001</v>
          </cell>
          <cell r="CC50" t="str">
            <v>Under reconstruction 1998</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V50">
            <v>0</v>
          </cell>
          <cell r="CW50">
            <v>0</v>
          </cell>
          <cell r="CX50" t="str">
            <v xml:space="preserve"> </v>
          </cell>
          <cell r="CY50" t="str">
            <v>n.a.</v>
          </cell>
          <cell r="CZ50" t="str">
            <v>n.a.</v>
          </cell>
          <cell r="DA50" t="str">
            <v>n.a.</v>
          </cell>
          <cell r="DB50">
            <v>300</v>
          </cell>
          <cell r="DC50">
            <v>141</v>
          </cell>
          <cell r="DD50">
            <v>78</v>
          </cell>
          <cell r="DE50">
            <v>23</v>
          </cell>
          <cell r="DF50">
            <v>35</v>
          </cell>
          <cell r="DG50">
            <v>6</v>
          </cell>
          <cell r="DH50">
            <v>3</v>
          </cell>
          <cell r="DI50">
            <v>15</v>
          </cell>
        </row>
        <row r="51">
          <cell r="A51" t="str">
            <v>RS 100</v>
          </cell>
          <cell r="B51">
            <v>100</v>
          </cell>
          <cell r="C51" t="str">
            <v>S</v>
          </cell>
          <cell r="D51" t="str">
            <v>T</v>
          </cell>
          <cell r="E51" t="str">
            <v>Gama - Ngabu</v>
          </cell>
          <cell r="F51" t="str">
            <v>M01</v>
          </cell>
          <cell r="G51">
            <v>49</v>
          </cell>
          <cell r="H51">
            <v>7</v>
          </cell>
          <cell r="I51" t="str">
            <v>R</v>
          </cell>
          <cell r="J51" t="str">
            <v>CHIKWAWA</v>
          </cell>
          <cell r="K51">
            <v>10</v>
          </cell>
          <cell r="L51">
            <v>0</v>
          </cell>
          <cell r="W51">
            <v>78</v>
          </cell>
          <cell r="X51" t="str">
            <v>SA</v>
          </cell>
          <cell r="Y51">
            <v>60</v>
          </cell>
          <cell r="Z51" t="str">
            <v>SB</v>
          </cell>
          <cell r="AA51">
            <v>150</v>
          </cell>
          <cell r="AB51" t="str">
            <v>GR</v>
          </cell>
          <cell r="AC51">
            <v>6</v>
          </cell>
          <cell r="AD51" t="str">
            <v>VR</v>
          </cell>
          <cell r="AE51">
            <v>83</v>
          </cell>
          <cell r="AF51" t="str">
            <v>RC</v>
          </cell>
          <cell r="AG51" t="str">
            <v>ST</v>
          </cell>
          <cell r="AH51">
            <v>15</v>
          </cell>
          <cell r="AI51">
            <v>0</v>
          </cell>
          <cell r="AJ51">
            <v>0</v>
          </cell>
          <cell r="AK51">
            <v>0</v>
          </cell>
          <cell r="AL51">
            <v>0</v>
          </cell>
          <cell r="AM51">
            <v>1</v>
          </cell>
          <cell r="AN51">
            <v>0</v>
          </cell>
          <cell r="BO51" t="str">
            <v>RS 100</v>
          </cell>
          <cell r="BP51">
            <v>7</v>
          </cell>
          <cell r="BQ51" t="str">
            <v>n.a.</v>
          </cell>
          <cell r="BR51" t="str">
            <v>R</v>
          </cell>
          <cell r="BS51" t="str">
            <v>n.a.</v>
          </cell>
          <cell r="BT51">
            <v>0</v>
          </cell>
          <cell r="BU51" t="str">
            <v>ST</v>
          </cell>
          <cell r="BV51" t="str">
            <v/>
          </cell>
          <cell r="BW51">
            <v>1</v>
          </cell>
          <cell r="BX51">
            <v>10</v>
          </cell>
          <cell r="BY51" t="str">
            <v xml:space="preserve"> </v>
          </cell>
          <cell r="BZ51">
            <v>1</v>
          </cell>
          <cell r="CA51">
            <v>6</v>
          </cell>
          <cell r="CB51">
            <v>1.6850000000000001</v>
          </cell>
          <cell r="CC51" t="str">
            <v>Under reconstruction 1998</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V51">
            <v>0</v>
          </cell>
          <cell r="CW51">
            <v>0</v>
          </cell>
          <cell r="CX51" t="str">
            <v xml:space="preserve"> </v>
          </cell>
          <cell r="CY51" t="str">
            <v>n.a.</v>
          </cell>
          <cell r="CZ51" t="str">
            <v>n.a.</v>
          </cell>
          <cell r="DA51" t="str">
            <v>n.a.</v>
          </cell>
          <cell r="DB51">
            <v>300</v>
          </cell>
          <cell r="DC51">
            <v>141</v>
          </cell>
          <cell r="DD51">
            <v>78</v>
          </cell>
          <cell r="DE51">
            <v>23</v>
          </cell>
          <cell r="DF51">
            <v>35</v>
          </cell>
          <cell r="DG51">
            <v>6</v>
          </cell>
          <cell r="DH51">
            <v>3</v>
          </cell>
          <cell r="DI51">
            <v>15</v>
          </cell>
        </row>
        <row r="52">
          <cell r="A52" t="str">
            <v>RS 097</v>
          </cell>
          <cell r="B52">
            <v>97</v>
          </cell>
          <cell r="C52" t="str">
            <v>S</v>
          </cell>
          <cell r="D52" t="str">
            <v>T</v>
          </cell>
          <cell r="E52" t="str">
            <v>Ngabu - Lalanje River</v>
          </cell>
          <cell r="F52" t="str">
            <v>M01</v>
          </cell>
          <cell r="G52">
            <v>50</v>
          </cell>
          <cell r="H52">
            <v>17.399999999999999</v>
          </cell>
          <cell r="I52" t="str">
            <v>F</v>
          </cell>
          <cell r="J52" t="str">
            <v>CHIKWAWA</v>
          </cell>
          <cell r="K52">
            <v>10</v>
          </cell>
          <cell r="L52">
            <v>0</v>
          </cell>
          <cell r="W52">
            <v>78</v>
          </cell>
          <cell r="X52" t="str">
            <v>SA</v>
          </cell>
          <cell r="Y52">
            <v>60</v>
          </cell>
          <cell r="Z52" t="str">
            <v>SB</v>
          </cell>
          <cell r="AA52">
            <v>150</v>
          </cell>
          <cell r="AB52" t="str">
            <v>GR</v>
          </cell>
          <cell r="AC52">
            <v>6</v>
          </cell>
          <cell r="AD52" t="str">
            <v>VR</v>
          </cell>
          <cell r="AE52">
            <v>83</v>
          </cell>
          <cell r="AF52" t="str">
            <v>RC</v>
          </cell>
          <cell r="AG52" t="str">
            <v>ST</v>
          </cell>
          <cell r="AH52">
            <v>15</v>
          </cell>
          <cell r="AI52">
            <v>0</v>
          </cell>
          <cell r="AJ52">
            <v>0</v>
          </cell>
          <cell r="AK52">
            <v>0</v>
          </cell>
          <cell r="AL52">
            <v>0</v>
          </cell>
          <cell r="AM52">
            <v>1</v>
          </cell>
          <cell r="AN52">
            <v>0</v>
          </cell>
          <cell r="BO52" t="str">
            <v>RS 097</v>
          </cell>
          <cell r="BP52">
            <v>17.399999999999999</v>
          </cell>
          <cell r="BQ52">
            <v>6</v>
          </cell>
          <cell r="BR52" t="str">
            <v>F</v>
          </cell>
          <cell r="BS52" t="str">
            <v>C</v>
          </cell>
          <cell r="BT52">
            <v>25</v>
          </cell>
          <cell r="BU52" t="str">
            <v>ST</v>
          </cell>
          <cell r="BV52" t="str">
            <v/>
          </cell>
          <cell r="BW52">
            <v>1</v>
          </cell>
          <cell r="BX52">
            <v>10</v>
          </cell>
          <cell r="BY52" t="str">
            <v xml:space="preserve"> </v>
          </cell>
          <cell r="BZ52">
            <v>1</v>
          </cell>
          <cell r="CA52">
            <v>6</v>
          </cell>
          <cell r="CB52">
            <v>1.6850000000000001</v>
          </cell>
          <cell r="CC52">
            <v>7</v>
          </cell>
          <cell r="CD52">
            <v>80</v>
          </cell>
          <cell r="CE52">
            <v>65</v>
          </cell>
          <cell r="CF52">
            <v>50</v>
          </cell>
          <cell r="CG52">
            <v>30</v>
          </cell>
          <cell r="CH52">
            <v>15</v>
          </cell>
          <cell r="CI52">
            <v>95</v>
          </cell>
          <cell r="CJ52">
            <v>0.31666666666666665</v>
          </cell>
          <cell r="CK52">
            <v>10</v>
          </cell>
          <cell r="CL52">
            <v>50</v>
          </cell>
          <cell r="CM52">
            <v>0.55037179487179477</v>
          </cell>
          <cell r="CN52">
            <v>0.55037179487179477</v>
          </cell>
          <cell r="CO52">
            <v>0</v>
          </cell>
          <cell r="CP52">
            <v>0</v>
          </cell>
          <cell r="CQ52">
            <v>7.5503717948717952</v>
          </cell>
          <cell r="CR52">
            <v>50</v>
          </cell>
          <cell r="CS52">
            <v>1</v>
          </cell>
          <cell r="CT52">
            <v>0</v>
          </cell>
          <cell r="CU52">
            <v>0</v>
          </cell>
          <cell r="CV52">
            <v>15</v>
          </cell>
          <cell r="CW52">
            <v>15</v>
          </cell>
          <cell r="CX52" t="str">
            <v xml:space="preserve"> </v>
          </cell>
          <cell r="CY52">
            <v>2</v>
          </cell>
          <cell r="CZ52">
            <v>2</v>
          </cell>
          <cell r="DA52">
            <v>2</v>
          </cell>
          <cell r="DB52">
            <v>200</v>
          </cell>
          <cell r="DC52">
            <v>94</v>
          </cell>
          <cell r="DD52">
            <v>52</v>
          </cell>
          <cell r="DE52">
            <v>15</v>
          </cell>
          <cell r="DF52">
            <v>23</v>
          </cell>
          <cell r="DG52">
            <v>4</v>
          </cell>
          <cell r="DH52">
            <v>2</v>
          </cell>
          <cell r="DI52">
            <v>10</v>
          </cell>
        </row>
        <row r="53">
          <cell r="A53" t="str">
            <v>RS 091</v>
          </cell>
          <cell r="B53">
            <v>91</v>
          </cell>
          <cell r="C53" t="str">
            <v>S</v>
          </cell>
          <cell r="D53" t="str">
            <v>T</v>
          </cell>
          <cell r="E53" t="str">
            <v>Lalanje River - Thangadzi River</v>
          </cell>
          <cell r="F53" t="str">
            <v>M01</v>
          </cell>
          <cell r="G53">
            <v>51</v>
          </cell>
          <cell r="H53">
            <v>9.1999999999999993</v>
          </cell>
          <cell r="I53" t="str">
            <v>H</v>
          </cell>
          <cell r="J53" t="str">
            <v>CHIKWAWA</v>
          </cell>
          <cell r="K53">
            <v>10</v>
          </cell>
          <cell r="L53">
            <v>0</v>
          </cell>
          <cell r="W53">
            <v>76</v>
          </cell>
          <cell r="X53" t="str">
            <v>SA</v>
          </cell>
          <cell r="Y53">
            <v>60</v>
          </cell>
          <cell r="Z53" t="str">
            <v>SB</v>
          </cell>
          <cell r="AA53">
            <v>150</v>
          </cell>
          <cell r="AB53" t="str">
            <v>GR</v>
          </cell>
          <cell r="AC53">
            <v>6</v>
          </cell>
          <cell r="AD53" t="str">
            <v>VR</v>
          </cell>
          <cell r="AE53">
            <v>83</v>
          </cell>
          <cell r="AF53" t="str">
            <v>RC</v>
          </cell>
          <cell r="AG53" t="str">
            <v>ST</v>
          </cell>
          <cell r="AH53">
            <v>15</v>
          </cell>
          <cell r="AI53">
            <v>0</v>
          </cell>
          <cell r="AJ53">
            <v>0</v>
          </cell>
          <cell r="AK53">
            <v>0</v>
          </cell>
          <cell r="AL53">
            <v>0</v>
          </cell>
          <cell r="AM53">
            <v>1</v>
          </cell>
          <cell r="AN53">
            <v>0</v>
          </cell>
          <cell r="BO53" t="str">
            <v>RS 091</v>
          </cell>
          <cell r="BP53">
            <v>9.1999999999999993</v>
          </cell>
          <cell r="BQ53">
            <v>6</v>
          </cell>
          <cell r="BR53" t="str">
            <v>H</v>
          </cell>
          <cell r="BS53" t="str">
            <v>C</v>
          </cell>
          <cell r="BT53">
            <v>25</v>
          </cell>
          <cell r="BU53" t="str">
            <v>ST</v>
          </cell>
          <cell r="BV53" t="str">
            <v/>
          </cell>
          <cell r="BW53">
            <v>1</v>
          </cell>
          <cell r="BX53">
            <v>10</v>
          </cell>
          <cell r="BY53" t="str">
            <v xml:space="preserve"> </v>
          </cell>
          <cell r="BZ53">
            <v>1</v>
          </cell>
          <cell r="CA53">
            <v>6</v>
          </cell>
          <cell r="CB53">
            <v>1.6850000000000001</v>
          </cell>
          <cell r="CC53">
            <v>7</v>
          </cell>
          <cell r="CD53">
            <v>85</v>
          </cell>
          <cell r="CE53">
            <v>70</v>
          </cell>
          <cell r="CF53">
            <v>55</v>
          </cell>
          <cell r="CG53">
            <v>30</v>
          </cell>
          <cell r="CH53">
            <v>15</v>
          </cell>
          <cell r="CI53">
            <v>105</v>
          </cell>
          <cell r="CJ53">
            <v>0.35000000000000003</v>
          </cell>
          <cell r="CK53">
            <v>10</v>
          </cell>
          <cell r="CL53">
            <v>55</v>
          </cell>
          <cell r="CM53">
            <v>0.59603846153846152</v>
          </cell>
          <cell r="CN53">
            <v>0.59603846153846152</v>
          </cell>
          <cell r="CO53">
            <v>0</v>
          </cell>
          <cell r="CP53">
            <v>0</v>
          </cell>
          <cell r="CQ53">
            <v>7.5960384615384617</v>
          </cell>
          <cell r="CR53">
            <v>50</v>
          </cell>
          <cell r="CS53">
            <v>1</v>
          </cell>
          <cell r="CT53">
            <v>0</v>
          </cell>
          <cell r="CU53">
            <v>0</v>
          </cell>
          <cell r="CV53">
            <v>15</v>
          </cell>
          <cell r="CW53">
            <v>15</v>
          </cell>
          <cell r="CX53" t="str">
            <v xml:space="preserve"> </v>
          </cell>
          <cell r="CY53">
            <v>2</v>
          </cell>
          <cell r="CZ53">
            <v>2</v>
          </cell>
          <cell r="DA53">
            <v>2</v>
          </cell>
          <cell r="DB53">
            <v>200</v>
          </cell>
          <cell r="DC53">
            <v>94</v>
          </cell>
          <cell r="DD53">
            <v>52</v>
          </cell>
          <cell r="DE53">
            <v>15</v>
          </cell>
          <cell r="DF53">
            <v>23</v>
          </cell>
          <cell r="DG53">
            <v>4</v>
          </cell>
          <cell r="DH53">
            <v>2</v>
          </cell>
          <cell r="DI53">
            <v>10</v>
          </cell>
        </row>
        <row r="54">
          <cell r="A54" t="str">
            <v>RS 315</v>
          </cell>
          <cell r="B54">
            <v>137</v>
          </cell>
          <cell r="C54" t="str">
            <v>S</v>
          </cell>
          <cell r="D54" t="str">
            <v>T</v>
          </cell>
          <cell r="E54" t="str">
            <v>Thangadzi River - Bangula</v>
          </cell>
          <cell r="F54" t="str">
            <v>M01</v>
          </cell>
          <cell r="G54">
            <v>52</v>
          </cell>
          <cell r="H54">
            <v>5.2</v>
          </cell>
          <cell r="I54" t="str">
            <v>F</v>
          </cell>
          <cell r="J54" t="str">
            <v>NSANJE</v>
          </cell>
          <cell r="K54">
            <v>10</v>
          </cell>
          <cell r="L54">
            <v>0</v>
          </cell>
          <cell r="W54">
            <v>76</v>
          </cell>
          <cell r="X54" t="str">
            <v>SA</v>
          </cell>
          <cell r="Y54">
            <v>60</v>
          </cell>
          <cell r="Z54" t="str">
            <v>SB</v>
          </cell>
          <cell r="AA54">
            <v>150</v>
          </cell>
          <cell r="AB54" t="str">
            <v>GR</v>
          </cell>
          <cell r="AC54">
            <v>6</v>
          </cell>
          <cell r="AD54" t="str">
            <v>VR</v>
          </cell>
          <cell r="AE54">
            <v>83</v>
          </cell>
          <cell r="AF54" t="str">
            <v>RC</v>
          </cell>
          <cell r="AG54" t="str">
            <v>ST</v>
          </cell>
          <cell r="AH54">
            <v>15</v>
          </cell>
          <cell r="AI54">
            <v>0</v>
          </cell>
          <cell r="AJ54">
            <v>0</v>
          </cell>
          <cell r="AK54">
            <v>0</v>
          </cell>
          <cell r="AL54">
            <v>0</v>
          </cell>
          <cell r="AM54">
            <v>1</v>
          </cell>
          <cell r="AN54">
            <v>0</v>
          </cell>
          <cell r="BO54" t="str">
            <v>RS 315</v>
          </cell>
          <cell r="BP54">
            <v>5.2</v>
          </cell>
          <cell r="BQ54">
            <v>6</v>
          </cell>
          <cell r="BR54" t="str">
            <v>H</v>
          </cell>
          <cell r="BS54" t="str">
            <v>C</v>
          </cell>
          <cell r="BT54">
            <v>25</v>
          </cell>
          <cell r="BU54" t="str">
            <v>ST</v>
          </cell>
          <cell r="BV54" t="str">
            <v/>
          </cell>
          <cell r="BW54">
            <v>1</v>
          </cell>
          <cell r="BX54">
            <v>10</v>
          </cell>
          <cell r="BY54" t="str">
            <v xml:space="preserve"> </v>
          </cell>
          <cell r="BZ54">
            <v>1</v>
          </cell>
          <cell r="CA54">
            <v>6</v>
          </cell>
          <cell r="CB54">
            <v>1.6850000000000001</v>
          </cell>
          <cell r="CC54">
            <v>7</v>
          </cell>
          <cell r="CD54">
            <v>85</v>
          </cell>
          <cell r="CE54">
            <v>70</v>
          </cell>
          <cell r="CF54">
            <v>55</v>
          </cell>
          <cell r="CG54">
            <v>30</v>
          </cell>
          <cell r="CH54">
            <v>15</v>
          </cell>
          <cell r="CI54">
            <v>105</v>
          </cell>
          <cell r="CJ54">
            <v>0.35000000000000003</v>
          </cell>
          <cell r="CK54">
            <v>10</v>
          </cell>
          <cell r="CL54">
            <v>55</v>
          </cell>
          <cell r="CM54">
            <v>0.59603846153846152</v>
          </cell>
          <cell r="CN54">
            <v>0.59603846153846152</v>
          </cell>
          <cell r="CO54">
            <v>0</v>
          </cell>
          <cell r="CP54">
            <v>0</v>
          </cell>
          <cell r="CQ54">
            <v>7.5960384615384617</v>
          </cell>
          <cell r="CR54">
            <v>50</v>
          </cell>
          <cell r="CS54">
            <v>1</v>
          </cell>
          <cell r="CT54">
            <v>0</v>
          </cell>
          <cell r="CU54">
            <v>0</v>
          </cell>
          <cell r="CV54">
            <v>15</v>
          </cell>
          <cell r="CW54">
            <v>15</v>
          </cell>
          <cell r="CX54" t="str">
            <v xml:space="preserve"> </v>
          </cell>
          <cell r="CY54">
            <v>2</v>
          </cell>
          <cell r="CZ54">
            <v>2</v>
          </cell>
          <cell r="DA54">
            <v>2</v>
          </cell>
          <cell r="DB54">
            <v>220</v>
          </cell>
          <cell r="DC54">
            <v>104</v>
          </cell>
          <cell r="DD54">
            <v>58</v>
          </cell>
          <cell r="DE54">
            <v>17</v>
          </cell>
          <cell r="DF54">
            <v>26</v>
          </cell>
          <cell r="DG54">
            <v>5</v>
          </cell>
          <cell r="DH54">
            <v>3</v>
          </cell>
          <cell r="DI54">
            <v>11</v>
          </cell>
        </row>
        <row r="55">
          <cell r="A55" t="str">
            <v>RS 115</v>
          </cell>
          <cell r="B55">
            <v>115</v>
          </cell>
          <cell r="C55" t="str">
            <v>S</v>
          </cell>
          <cell r="D55" t="str">
            <v>T</v>
          </cell>
          <cell r="E55" t="str">
            <v>Limbe - Chigumula</v>
          </cell>
          <cell r="F55" t="str">
            <v>M02</v>
          </cell>
          <cell r="G55">
            <v>1</v>
          </cell>
          <cell r="H55">
            <v>9.4</v>
          </cell>
          <cell r="I55" t="str">
            <v>R</v>
          </cell>
          <cell r="J55" t="str">
            <v>BLANTYRE</v>
          </cell>
          <cell r="K55">
            <v>9</v>
          </cell>
          <cell r="L55">
            <v>0</v>
          </cell>
          <cell r="W55">
            <v>60</v>
          </cell>
          <cell r="X55" t="str">
            <v>GM</v>
          </cell>
          <cell r="Y55">
            <v>150</v>
          </cell>
          <cell r="Z55" t="str">
            <v>SB</v>
          </cell>
          <cell r="AA55">
            <v>125</v>
          </cell>
          <cell r="AB55" t="str">
            <v>GR</v>
          </cell>
          <cell r="AC55">
            <v>12</v>
          </cell>
          <cell r="AD55" t="str">
            <v>VR</v>
          </cell>
          <cell r="AE55">
            <v>99</v>
          </cell>
          <cell r="AF55" t="str">
            <v>RC</v>
          </cell>
          <cell r="AG55" t="str">
            <v>ST</v>
          </cell>
          <cell r="AH55">
            <v>15</v>
          </cell>
          <cell r="AI55">
            <v>0</v>
          </cell>
          <cell r="AJ55">
            <v>0</v>
          </cell>
          <cell r="AK55">
            <v>0</v>
          </cell>
          <cell r="AL55">
            <v>0</v>
          </cell>
          <cell r="AM55">
            <v>1</v>
          </cell>
          <cell r="AN55" t="str">
            <v>reconstruct 1999</v>
          </cell>
          <cell r="BO55" t="str">
            <v>RS 115</v>
          </cell>
          <cell r="BP55">
            <v>9.4</v>
          </cell>
          <cell r="BQ55">
            <v>3</v>
          </cell>
          <cell r="BR55" t="str">
            <v>R</v>
          </cell>
          <cell r="BS55" t="str">
            <v>C</v>
          </cell>
          <cell r="BT55">
            <v>0</v>
          </cell>
          <cell r="BU55" t="str">
            <v>ST</v>
          </cell>
          <cell r="BV55" t="str">
            <v/>
          </cell>
          <cell r="BW55">
            <v>1</v>
          </cell>
          <cell r="BX55">
            <v>10</v>
          </cell>
          <cell r="BY55" t="str">
            <v xml:space="preserve"> </v>
          </cell>
          <cell r="BZ55">
            <v>1</v>
          </cell>
          <cell r="CA55">
            <v>12</v>
          </cell>
          <cell r="CB55">
            <v>1.9</v>
          </cell>
          <cell r="CC55" t="str">
            <v>To be reconstructed 1999</v>
          </cell>
          <cell r="CD55">
            <v>0</v>
          </cell>
          <cell r="CE55">
            <v>0</v>
          </cell>
          <cell r="CF55">
            <v>0</v>
          </cell>
          <cell r="CG55">
            <v>0</v>
          </cell>
          <cell r="CH55">
            <v>0</v>
          </cell>
          <cell r="CI55">
            <v>0</v>
          </cell>
          <cell r="CJ55">
            <v>0</v>
          </cell>
          <cell r="CK55">
            <v>0</v>
          </cell>
          <cell r="CL55">
            <v>0</v>
          </cell>
          <cell r="CM55">
            <v>0</v>
          </cell>
          <cell r="CN55">
            <v>0</v>
          </cell>
          <cell r="CO55">
            <v>0</v>
          </cell>
          <cell r="CP55">
            <v>0</v>
          </cell>
          <cell r="CQ55">
            <v>0</v>
          </cell>
          <cell r="CR55">
            <v>0</v>
          </cell>
          <cell r="CS55">
            <v>0</v>
          </cell>
          <cell r="CT55">
            <v>0</v>
          </cell>
          <cell r="CU55">
            <v>0</v>
          </cell>
          <cell r="CV55">
            <v>-1</v>
          </cell>
          <cell r="CW55">
            <v>-1</v>
          </cell>
          <cell r="CX55" t="str">
            <v xml:space="preserve"> </v>
          </cell>
          <cell r="CY55">
            <v>3</v>
          </cell>
          <cell r="CZ55">
            <v>2</v>
          </cell>
          <cell r="DA55">
            <v>1.5</v>
          </cell>
          <cell r="DB55">
            <v>1700</v>
          </cell>
          <cell r="DC55">
            <v>799</v>
          </cell>
          <cell r="DD55">
            <v>442</v>
          </cell>
          <cell r="DE55">
            <v>128</v>
          </cell>
          <cell r="DF55">
            <v>196</v>
          </cell>
          <cell r="DG55">
            <v>34</v>
          </cell>
          <cell r="DH55">
            <v>17</v>
          </cell>
          <cell r="DI55">
            <v>85</v>
          </cell>
        </row>
        <row r="56">
          <cell r="A56" t="str">
            <v>RS 112</v>
          </cell>
          <cell r="B56">
            <v>112</v>
          </cell>
          <cell r="C56" t="str">
            <v>S</v>
          </cell>
          <cell r="D56" t="str">
            <v>T</v>
          </cell>
          <cell r="E56" t="str">
            <v>Chigumula - Nantipwili River</v>
          </cell>
          <cell r="F56" t="str">
            <v>M02</v>
          </cell>
          <cell r="G56">
            <v>2</v>
          </cell>
          <cell r="H56">
            <v>2.6</v>
          </cell>
          <cell r="I56" t="str">
            <v>R</v>
          </cell>
          <cell r="J56" t="str">
            <v>BLANTYRE</v>
          </cell>
          <cell r="K56">
            <v>9</v>
          </cell>
          <cell r="L56">
            <v>0</v>
          </cell>
          <cell r="W56">
            <v>60</v>
          </cell>
          <cell r="X56" t="str">
            <v>GM</v>
          </cell>
          <cell r="Y56">
            <v>150</v>
          </cell>
          <cell r="Z56" t="str">
            <v>SB</v>
          </cell>
          <cell r="AA56">
            <v>125</v>
          </cell>
          <cell r="AB56" t="str">
            <v>GR</v>
          </cell>
          <cell r="AC56">
            <v>12</v>
          </cell>
          <cell r="AD56" t="str">
            <v>VR</v>
          </cell>
          <cell r="AE56">
            <v>99</v>
          </cell>
          <cell r="AF56" t="str">
            <v>RC</v>
          </cell>
          <cell r="AG56" t="str">
            <v>ST</v>
          </cell>
          <cell r="AH56">
            <v>15</v>
          </cell>
          <cell r="AI56">
            <v>0</v>
          </cell>
          <cell r="AJ56">
            <v>0</v>
          </cell>
          <cell r="AK56">
            <v>0</v>
          </cell>
          <cell r="AL56">
            <v>0</v>
          </cell>
          <cell r="AM56">
            <v>1</v>
          </cell>
          <cell r="AN56" t="str">
            <v>reconstruct 1999</v>
          </cell>
          <cell r="BO56" t="str">
            <v>RS 112</v>
          </cell>
          <cell r="BP56">
            <v>2.6</v>
          </cell>
          <cell r="BQ56" t="str">
            <v>n.a.</v>
          </cell>
          <cell r="BR56" t="str">
            <v>R</v>
          </cell>
          <cell r="BS56" t="str">
            <v>X</v>
          </cell>
          <cell r="BT56">
            <v>80</v>
          </cell>
          <cell r="BU56" t="str">
            <v>ST</v>
          </cell>
          <cell r="BV56" t="str">
            <v/>
          </cell>
          <cell r="BW56">
            <v>1</v>
          </cell>
          <cell r="BX56">
            <v>10</v>
          </cell>
          <cell r="BY56" t="str">
            <v xml:space="preserve"> </v>
          </cell>
          <cell r="BZ56">
            <v>1</v>
          </cell>
          <cell r="CA56">
            <v>12</v>
          </cell>
          <cell r="CB56">
            <v>1.9</v>
          </cell>
          <cell r="CC56" t="str">
            <v>Bitumen surface removed. To be re-constructed 1999</v>
          </cell>
          <cell r="CD56">
            <v>0</v>
          </cell>
          <cell r="CE56">
            <v>0</v>
          </cell>
          <cell r="CF56">
            <v>0</v>
          </cell>
          <cell r="CG56">
            <v>0</v>
          </cell>
          <cell r="CH56">
            <v>0</v>
          </cell>
          <cell r="CI56">
            <v>0</v>
          </cell>
          <cell r="CJ56">
            <v>0</v>
          </cell>
          <cell r="CK56">
            <v>0</v>
          </cell>
          <cell r="CL56">
            <v>0</v>
          </cell>
          <cell r="CM56">
            <v>0</v>
          </cell>
          <cell r="CN56">
            <v>0</v>
          </cell>
          <cell r="CO56">
            <v>0</v>
          </cell>
          <cell r="CP56">
            <v>0</v>
          </cell>
          <cell r="CQ56">
            <v>0</v>
          </cell>
          <cell r="CR56">
            <v>0</v>
          </cell>
          <cell r="CS56">
            <v>0</v>
          </cell>
          <cell r="CT56">
            <v>0</v>
          </cell>
          <cell r="CU56">
            <v>0</v>
          </cell>
          <cell r="CV56">
            <v>-1</v>
          </cell>
          <cell r="CW56">
            <v>-1</v>
          </cell>
          <cell r="CX56" t="str">
            <v xml:space="preserve"> </v>
          </cell>
          <cell r="CY56" t="str">
            <v>n.a.</v>
          </cell>
          <cell r="CZ56" t="str">
            <v>n.a.</v>
          </cell>
          <cell r="DA56">
            <v>1.5</v>
          </cell>
          <cell r="DB56">
            <v>1600</v>
          </cell>
          <cell r="DC56">
            <v>752</v>
          </cell>
          <cell r="DD56">
            <v>416</v>
          </cell>
          <cell r="DE56">
            <v>120</v>
          </cell>
          <cell r="DF56">
            <v>184</v>
          </cell>
          <cell r="DG56">
            <v>32</v>
          </cell>
          <cell r="DH56">
            <v>16</v>
          </cell>
          <cell r="DI56">
            <v>80</v>
          </cell>
        </row>
        <row r="57">
          <cell r="A57" t="str">
            <v>RS 110</v>
          </cell>
          <cell r="B57">
            <v>110</v>
          </cell>
          <cell r="C57" t="str">
            <v>S</v>
          </cell>
          <cell r="D57" t="str">
            <v>T</v>
          </cell>
          <cell r="E57" t="str">
            <v>Bvumbwe - Thunga</v>
          </cell>
          <cell r="F57" t="str">
            <v>M02</v>
          </cell>
          <cell r="G57">
            <v>3</v>
          </cell>
          <cell r="H57">
            <v>9.3000000000000007</v>
          </cell>
          <cell r="I57" t="str">
            <v>F</v>
          </cell>
          <cell r="J57" t="str">
            <v>THYOLO</v>
          </cell>
          <cell r="K57">
            <v>9</v>
          </cell>
          <cell r="L57">
            <v>0</v>
          </cell>
          <cell r="W57">
            <v>60</v>
          </cell>
          <cell r="X57" t="str">
            <v>GM</v>
          </cell>
          <cell r="Y57">
            <v>150</v>
          </cell>
          <cell r="Z57" t="str">
            <v>SB</v>
          </cell>
          <cell r="AA57">
            <v>125</v>
          </cell>
          <cell r="AB57" t="str">
            <v>GR</v>
          </cell>
          <cell r="AC57">
            <v>12</v>
          </cell>
          <cell r="AD57" t="str">
            <v>VR</v>
          </cell>
          <cell r="AE57">
            <v>99</v>
          </cell>
          <cell r="AF57" t="str">
            <v>RC</v>
          </cell>
          <cell r="AG57" t="str">
            <v>ST</v>
          </cell>
          <cell r="AH57">
            <v>15</v>
          </cell>
          <cell r="AI57">
            <v>0</v>
          </cell>
          <cell r="AJ57">
            <v>0</v>
          </cell>
          <cell r="AK57">
            <v>0</v>
          </cell>
          <cell r="AL57">
            <v>0</v>
          </cell>
          <cell r="AM57">
            <v>1</v>
          </cell>
          <cell r="AN57" t="str">
            <v>reconstruct 1999</v>
          </cell>
          <cell r="BO57" t="str">
            <v>RS 110</v>
          </cell>
          <cell r="BP57">
            <v>9.3000000000000007</v>
          </cell>
          <cell r="BQ57" t="str">
            <v>n.a.</v>
          </cell>
          <cell r="BR57" t="str">
            <v>F</v>
          </cell>
          <cell r="BS57" t="str">
            <v>X</v>
          </cell>
          <cell r="BT57">
            <v>80</v>
          </cell>
          <cell r="BU57" t="str">
            <v>ST</v>
          </cell>
          <cell r="BV57" t="str">
            <v/>
          </cell>
          <cell r="BW57">
            <v>1</v>
          </cell>
          <cell r="BX57">
            <v>10</v>
          </cell>
          <cell r="BY57" t="str">
            <v xml:space="preserve"> </v>
          </cell>
          <cell r="BZ57">
            <v>1</v>
          </cell>
          <cell r="CA57">
            <v>12</v>
          </cell>
          <cell r="CB57">
            <v>1.9</v>
          </cell>
          <cell r="CC57" t="str">
            <v>Bitumen surface removed. To be re-constructed 1999</v>
          </cell>
          <cell r="CD57">
            <v>0</v>
          </cell>
          <cell r="CE57">
            <v>0</v>
          </cell>
          <cell r="CF57">
            <v>0</v>
          </cell>
          <cell r="CG57">
            <v>0</v>
          </cell>
          <cell r="CH57">
            <v>0</v>
          </cell>
          <cell r="CI57">
            <v>0</v>
          </cell>
          <cell r="CJ57">
            <v>0</v>
          </cell>
          <cell r="CK57">
            <v>0</v>
          </cell>
          <cell r="CL57">
            <v>0</v>
          </cell>
          <cell r="CM57">
            <v>0</v>
          </cell>
          <cell r="CN57">
            <v>0</v>
          </cell>
          <cell r="CO57">
            <v>0</v>
          </cell>
          <cell r="CP57">
            <v>0</v>
          </cell>
          <cell r="CQ57">
            <v>0</v>
          </cell>
          <cell r="CR57">
            <v>0</v>
          </cell>
          <cell r="CS57">
            <v>0</v>
          </cell>
          <cell r="CT57">
            <v>0</v>
          </cell>
          <cell r="CU57">
            <v>0</v>
          </cell>
          <cell r="CV57">
            <v>-1</v>
          </cell>
          <cell r="CW57">
            <v>-1</v>
          </cell>
          <cell r="CX57" t="str">
            <v xml:space="preserve"> </v>
          </cell>
          <cell r="CY57" t="str">
            <v>n.a.</v>
          </cell>
          <cell r="CZ57" t="str">
            <v>n.a.</v>
          </cell>
          <cell r="DA57">
            <v>1.5</v>
          </cell>
          <cell r="DB57">
            <v>1000</v>
          </cell>
          <cell r="DC57">
            <v>470</v>
          </cell>
          <cell r="DD57">
            <v>260</v>
          </cell>
          <cell r="DE57">
            <v>75</v>
          </cell>
          <cell r="DF57">
            <v>115</v>
          </cell>
          <cell r="DG57">
            <v>20</v>
          </cell>
          <cell r="DH57">
            <v>10</v>
          </cell>
          <cell r="DI57">
            <v>50</v>
          </cell>
        </row>
        <row r="58">
          <cell r="A58" t="str">
            <v>RS 117</v>
          </cell>
          <cell r="B58">
            <v>117</v>
          </cell>
          <cell r="C58" t="str">
            <v>S</v>
          </cell>
          <cell r="D58" t="str">
            <v>T</v>
          </cell>
          <cell r="E58" t="str">
            <v>Thunga - Thyolo</v>
          </cell>
          <cell r="F58" t="str">
            <v>M02</v>
          </cell>
          <cell r="G58">
            <v>4</v>
          </cell>
          <cell r="H58">
            <v>12</v>
          </cell>
          <cell r="I58" t="str">
            <v>H</v>
          </cell>
          <cell r="J58" t="str">
            <v>THYOLO</v>
          </cell>
          <cell r="K58">
            <v>9</v>
          </cell>
          <cell r="L58">
            <v>0</v>
          </cell>
          <cell r="W58">
            <v>60</v>
          </cell>
          <cell r="X58" t="str">
            <v>GM</v>
          </cell>
          <cell r="Y58">
            <v>150</v>
          </cell>
          <cell r="Z58" t="str">
            <v>SB</v>
          </cell>
          <cell r="AA58">
            <v>125</v>
          </cell>
          <cell r="AB58" t="str">
            <v>GR</v>
          </cell>
          <cell r="AC58">
            <v>12</v>
          </cell>
          <cell r="AD58" t="str">
            <v>VR</v>
          </cell>
          <cell r="AE58">
            <v>99</v>
          </cell>
          <cell r="AF58" t="str">
            <v>RC</v>
          </cell>
          <cell r="AG58" t="str">
            <v>ST</v>
          </cell>
          <cell r="AH58">
            <v>15</v>
          </cell>
          <cell r="AI58">
            <v>0</v>
          </cell>
          <cell r="AJ58">
            <v>0</v>
          </cell>
          <cell r="AK58">
            <v>0</v>
          </cell>
          <cell r="AL58">
            <v>0</v>
          </cell>
          <cell r="AM58">
            <v>1</v>
          </cell>
          <cell r="AN58" t="str">
            <v>reconstruct 1999</v>
          </cell>
          <cell r="BO58" t="str">
            <v>RS 117</v>
          </cell>
          <cell r="BP58">
            <v>12</v>
          </cell>
          <cell r="BQ58">
            <v>3.5</v>
          </cell>
          <cell r="BR58" t="str">
            <v>H</v>
          </cell>
          <cell r="BS58" t="str">
            <v>C</v>
          </cell>
          <cell r="BT58">
            <v>0</v>
          </cell>
          <cell r="BU58" t="str">
            <v>ST</v>
          </cell>
          <cell r="BV58" t="str">
            <v/>
          </cell>
          <cell r="BW58">
            <v>1</v>
          </cell>
          <cell r="BX58">
            <v>10</v>
          </cell>
          <cell r="BY58" t="str">
            <v xml:space="preserve"> </v>
          </cell>
          <cell r="BZ58">
            <v>1</v>
          </cell>
          <cell r="CA58">
            <v>12</v>
          </cell>
          <cell r="CB58">
            <v>1.9</v>
          </cell>
          <cell r="CC58" t="str">
            <v>To be reconstructed 1999</v>
          </cell>
          <cell r="CD58">
            <v>0</v>
          </cell>
          <cell r="CE58">
            <v>0</v>
          </cell>
          <cell r="CF58">
            <v>0</v>
          </cell>
          <cell r="CG58">
            <v>0</v>
          </cell>
          <cell r="CH58">
            <v>0</v>
          </cell>
          <cell r="CI58">
            <v>0</v>
          </cell>
          <cell r="CJ58">
            <v>0</v>
          </cell>
          <cell r="CK58">
            <v>0</v>
          </cell>
          <cell r="CL58">
            <v>0</v>
          </cell>
          <cell r="CM58">
            <v>0</v>
          </cell>
          <cell r="CN58">
            <v>0</v>
          </cell>
          <cell r="CO58">
            <v>0</v>
          </cell>
          <cell r="CP58">
            <v>0</v>
          </cell>
          <cell r="CQ58">
            <v>0</v>
          </cell>
          <cell r="CR58">
            <v>0</v>
          </cell>
          <cell r="CS58">
            <v>0</v>
          </cell>
          <cell r="CT58">
            <v>0</v>
          </cell>
          <cell r="CU58">
            <v>0</v>
          </cell>
          <cell r="CV58" t="str">
            <v>recon 99</v>
          </cell>
          <cell r="CW58">
            <v>0</v>
          </cell>
          <cell r="CX58">
            <v>0</v>
          </cell>
          <cell r="CY58">
            <v>3</v>
          </cell>
          <cell r="CZ58">
            <v>2</v>
          </cell>
          <cell r="DA58">
            <v>1.5</v>
          </cell>
          <cell r="DB58">
            <v>935</v>
          </cell>
          <cell r="DC58">
            <v>440</v>
          </cell>
          <cell r="DD58">
            <v>244</v>
          </cell>
          <cell r="DE58">
            <v>71</v>
          </cell>
          <cell r="DF58">
            <v>108</v>
          </cell>
          <cell r="DG58">
            <v>19</v>
          </cell>
          <cell r="DH58">
            <v>10</v>
          </cell>
          <cell r="DI58">
            <v>47</v>
          </cell>
        </row>
        <row r="59">
          <cell r="A59" t="str">
            <v>RS 109</v>
          </cell>
          <cell r="B59">
            <v>109</v>
          </cell>
          <cell r="C59" t="str">
            <v>S</v>
          </cell>
          <cell r="D59" t="str">
            <v>T</v>
          </cell>
          <cell r="E59" t="str">
            <v>Thyolo - Thuchila River</v>
          </cell>
          <cell r="F59" t="str">
            <v>M02</v>
          </cell>
          <cell r="G59">
            <v>5</v>
          </cell>
          <cell r="H59">
            <v>22.7</v>
          </cell>
          <cell r="I59" t="str">
            <v>H</v>
          </cell>
          <cell r="J59" t="str">
            <v>THYOLO</v>
          </cell>
          <cell r="K59">
            <v>9</v>
          </cell>
          <cell r="L59">
            <v>0</v>
          </cell>
          <cell r="W59">
            <v>60</v>
          </cell>
          <cell r="X59" t="str">
            <v>GM</v>
          </cell>
          <cell r="Y59">
            <v>150</v>
          </cell>
          <cell r="Z59" t="str">
            <v>SB</v>
          </cell>
          <cell r="AA59">
            <v>125</v>
          </cell>
          <cell r="AB59" t="str">
            <v>GR</v>
          </cell>
          <cell r="AC59">
            <v>12</v>
          </cell>
          <cell r="AD59" t="str">
            <v>VR</v>
          </cell>
          <cell r="AE59">
            <v>98</v>
          </cell>
          <cell r="AF59" t="str">
            <v>RC</v>
          </cell>
          <cell r="AG59" t="str">
            <v>ST</v>
          </cell>
          <cell r="AH59">
            <v>15</v>
          </cell>
          <cell r="AI59">
            <v>0</v>
          </cell>
          <cell r="AJ59">
            <v>0</v>
          </cell>
          <cell r="AK59">
            <v>0</v>
          </cell>
          <cell r="AL59">
            <v>0</v>
          </cell>
          <cell r="AM59">
            <v>1</v>
          </cell>
          <cell r="AN59" t="str">
            <v>reconstructed 1998</v>
          </cell>
          <cell r="BO59" t="str">
            <v>RS 109</v>
          </cell>
          <cell r="BP59">
            <v>22.7</v>
          </cell>
          <cell r="BQ59" t="str">
            <v>n.a.</v>
          </cell>
          <cell r="BR59" t="str">
            <v>H</v>
          </cell>
          <cell r="BS59" t="str">
            <v>n.a.</v>
          </cell>
          <cell r="BT59">
            <v>0</v>
          </cell>
          <cell r="BU59" t="str">
            <v>ST</v>
          </cell>
          <cell r="BV59" t="str">
            <v/>
          </cell>
          <cell r="BW59">
            <v>1</v>
          </cell>
          <cell r="BX59">
            <v>10</v>
          </cell>
          <cell r="BY59" t="str">
            <v xml:space="preserve"> </v>
          </cell>
          <cell r="BZ59">
            <v>1</v>
          </cell>
          <cell r="CA59">
            <v>12</v>
          </cell>
          <cell r="CB59">
            <v>1.9</v>
          </cell>
          <cell r="CC59" t="str">
            <v>Under reconstruction 1998</v>
          </cell>
          <cell r="CD59">
            <v>0</v>
          </cell>
          <cell r="CE59">
            <v>0</v>
          </cell>
          <cell r="CF59">
            <v>0</v>
          </cell>
          <cell r="CG59">
            <v>0</v>
          </cell>
          <cell r="CH59">
            <v>0</v>
          </cell>
          <cell r="CI59">
            <v>0</v>
          </cell>
          <cell r="CJ59">
            <v>0</v>
          </cell>
          <cell r="CK59">
            <v>0</v>
          </cell>
          <cell r="CL59">
            <v>0</v>
          </cell>
          <cell r="CM59">
            <v>0</v>
          </cell>
          <cell r="CN59">
            <v>0</v>
          </cell>
          <cell r="CO59">
            <v>0</v>
          </cell>
          <cell r="CP59">
            <v>0</v>
          </cell>
          <cell r="CQ59">
            <v>0</v>
          </cell>
          <cell r="CR59">
            <v>0</v>
          </cell>
          <cell r="CS59">
            <v>0</v>
          </cell>
          <cell r="CT59">
            <v>0</v>
          </cell>
          <cell r="CU59">
            <v>0</v>
          </cell>
          <cell r="CV59">
            <v>0</v>
          </cell>
          <cell r="CW59">
            <v>0</v>
          </cell>
          <cell r="CX59" t="str">
            <v xml:space="preserve"> </v>
          </cell>
          <cell r="CY59" t="str">
            <v>n.a.</v>
          </cell>
          <cell r="CZ59" t="str">
            <v>n.a.</v>
          </cell>
          <cell r="DA59" t="str">
            <v>n.a.</v>
          </cell>
          <cell r="DB59">
            <v>935</v>
          </cell>
          <cell r="DC59">
            <v>440</v>
          </cell>
          <cell r="DD59">
            <v>244</v>
          </cell>
          <cell r="DE59">
            <v>71</v>
          </cell>
          <cell r="DF59">
            <v>108</v>
          </cell>
          <cell r="DG59">
            <v>19</v>
          </cell>
          <cell r="DH59">
            <v>10</v>
          </cell>
          <cell r="DI59">
            <v>47</v>
          </cell>
        </row>
        <row r="60">
          <cell r="A60" t="str">
            <v>RS 111</v>
          </cell>
          <cell r="B60">
            <v>111</v>
          </cell>
          <cell r="C60" t="str">
            <v>S</v>
          </cell>
          <cell r="D60" t="str">
            <v>T</v>
          </cell>
          <cell r="E60" t="str">
            <v>Luchenza - Luwanje</v>
          </cell>
          <cell r="F60" t="str">
            <v>M02</v>
          </cell>
          <cell r="G60">
            <v>6</v>
          </cell>
          <cell r="H60">
            <v>11</v>
          </cell>
          <cell r="I60" t="str">
            <v>R</v>
          </cell>
          <cell r="J60" t="str">
            <v>MULANJE</v>
          </cell>
          <cell r="K60">
            <v>9</v>
          </cell>
          <cell r="L60">
            <v>0</v>
          </cell>
          <cell r="W60">
            <v>60</v>
          </cell>
          <cell r="X60" t="str">
            <v>GM</v>
          </cell>
          <cell r="Y60">
            <v>150</v>
          </cell>
          <cell r="Z60" t="str">
            <v>SB</v>
          </cell>
          <cell r="AA60">
            <v>125</v>
          </cell>
          <cell r="AB60" t="str">
            <v>GR</v>
          </cell>
          <cell r="AC60">
            <v>12</v>
          </cell>
          <cell r="AD60" t="str">
            <v>VR</v>
          </cell>
          <cell r="AE60">
            <v>98</v>
          </cell>
          <cell r="AF60" t="str">
            <v>RC</v>
          </cell>
          <cell r="AG60" t="str">
            <v>ST</v>
          </cell>
          <cell r="AH60">
            <v>15</v>
          </cell>
          <cell r="AI60">
            <v>0</v>
          </cell>
          <cell r="AJ60">
            <v>0</v>
          </cell>
          <cell r="AK60">
            <v>0</v>
          </cell>
          <cell r="AL60">
            <v>0</v>
          </cell>
          <cell r="AM60">
            <v>1</v>
          </cell>
          <cell r="AN60" t="str">
            <v>reconstructed 1998</v>
          </cell>
          <cell r="BO60" t="str">
            <v>RS 111</v>
          </cell>
          <cell r="BP60">
            <v>11</v>
          </cell>
          <cell r="BQ60" t="str">
            <v>n.a.</v>
          </cell>
          <cell r="BR60" t="str">
            <v>R</v>
          </cell>
          <cell r="BS60" t="str">
            <v>n.a.</v>
          </cell>
          <cell r="BT60">
            <v>0</v>
          </cell>
          <cell r="BU60" t="str">
            <v>ST</v>
          </cell>
          <cell r="BV60" t="str">
            <v/>
          </cell>
          <cell r="BW60">
            <v>1</v>
          </cell>
          <cell r="BX60">
            <v>10</v>
          </cell>
          <cell r="BY60" t="str">
            <v xml:space="preserve"> </v>
          </cell>
          <cell r="BZ60">
            <v>1</v>
          </cell>
          <cell r="CA60">
            <v>12</v>
          </cell>
          <cell r="CB60">
            <v>1.9</v>
          </cell>
          <cell r="CC60" t="str">
            <v>Under reconstruction 1998</v>
          </cell>
          <cell r="CD60">
            <v>0</v>
          </cell>
          <cell r="CE60">
            <v>0</v>
          </cell>
          <cell r="CF60">
            <v>0</v>
          </cell>
          <cell r="CG60">
            <v>0</v>
          </cell>
          <cell r="CH60">
            <v>0</v>
          </cell>
          <cell r="CI60">
            <v>0</v>
          </cell>
          <cell r="CJ60">
            <v>0</v>
          </cell>
          <cell r="CK60">
            <v>0</v>
          </cell>
          <cell r="CL60">
            <v>0</v>
          </cell>
          <cell r="CM60">
            <v>0</v>
          </cell>
          <cell r="CN60">
            <v>0</v>
          </cell>
          <cell r="CO60">
            <v>0</v>
          </cell>
          <cell r="CP60">
            <v>0</v>
          </cell>
          <cell r="CQ60">
            <v>0</v>
          </cell>
          <cell r="CR60">
            <v>0</v>
          </cell>
          <cell r="CS60">
            <v>0</v>
          </cell>
          <cell r="CT60">
            <v>0</v>
          </cell>
          <cell r="CU60">
            <v>0</v>
          </cell>
          <cell r="CV60">
            <v>0</v>
          </cell>
          <cell r="CW60">
            <v>0</v>
          </cell>
          <cell r="CX60" t="str">
            <v xml:space="preserve"> </v>
          </cell>
          <cell r="CY60" t="str">
            <v>n.a.</v>
          </cell>
          <cell r="CZ60" t="str">
            <v>n.a.</v>
          </cell>
          <cell r="DA60" t="str">
            <v>n.a.</v>
          </cell>
          <cell r="DB60">
            <v>400</v>
          </cell>
          <cell r="DC60">
            <v>188</v>
          </cell>
          <cell r="DD60">
            <v>104</v>
          </cell>
          <cell r="DE60">
            <v>30</v>
          </cell>
          <cell r="DF60">
            <v>46</v>
          </cell>
          <cell r="DG60">
            <v>8</v>
          </cell>
          <cell r="DH60">
            <v>4</v>
          </cell>
          <cell r="DI60">
            <v>20</v>
          </cell>
        </row>
        <row r="61">
          <cell r="A61" t="str">
            <v>RS 108</v>
          </cell>
          <cell r="B61">
            <v>108</v>
          </cell>
          <cell r="C61" t="str">
            <v>S</v>
          </cell>
          <cell r="D61" t="str">
            <v>T</v>
          </cell>
          <cell r="E61" t="str">
            <v>Luwanje - Chitakale</v>
          </cell>
          <cell r="F61" t="str">
            <v>M02</v>
          </cell>
          <cell r="G61">
            <v>7</v>
          </cell>
          <cell r="H61">
            <v>9.5</v>
          </cell>
          <cell r="I61" t="str">
            <v>F</v>
          </cell>
          <cell r="J61" t="str">
            <v>MULANJE</v>
          </cell>
          <cell r="K61">
            <v>9</v>
          </cell>
          <cell r="L61">
            <v>0</v>
          </cell>
          <cell r="W61">
            <v>60</v>
          </cell>
          <cell r="X61" t="str">
            <v>GM</v>
          </cell>
          <cell r="Y61">
            <v>150</v>
          </cell>
          <cell r="Z61" t="str">
            <v>SB</v>
          </cell>
          <cell r="AA61">
            <v>125</v>
          </cell>
          <cell r="AB61" t="str">
            <v>GR</v>
          </cell>
          <cell r="AC61">
            <v>12</v>
          </cell>
          <cell r="AD61" t="str">
            <v>VR</v>
          </cell>
          <cell r="AE61">
            <v>98</v>
          </cell>
          <cell r="AF61" t="str">
            <v>RC</v>
          </cell>
          <cell r="AG61" t="str">
            <v>ST</v>
          </cell>
          <cell r="AH61">
            <v>15</v>
          </cell>
          <cell r="AI61">
            <v>0</v>
          </cell>
          <cell r="AJ61">
            <v>0</v>
          </cell>
          <cell r="AK61">
            <v>0</v>
          </cell>
          <cell r="AL61">
            <v>0</v>
          </cell>
          <cell r="AM61">
            <v>1</v>
          </cell>
          <cell r="AN61" t="str">
            <v>reconstruct 1998</v>
          </cell>
          <cell r="BO61" t="str">
            <v>RS 108</v>
          </cell>
          <cell r="BP61">
            <v>9.5</v>
          </cell>
          <cell r="BQ61" t="str">
            <v>n.a.</v>
          </cell>
          <cell r="BR61" t="str">
            <v>F</v>
          </cell>
          <cell r="BS61" t="str">
            <v>n.a.</v>
          </cell>
          <cell r="BT61">
            <v>0</v>
          </cell>
          <cell r="BU61" t="str">
            <v>ST</v>
          </cell>
          <cell r="BV61" t="str">
            <v/>
          </cell>
          <cell r="BW61">
            <v>1</v>
          </cell>
          <cell r="BX61">
            <v>10</v>
          </cell>
          <cell r="BY61" t="str">
            <v xml:space="preserve"> </v>
          </cell>
          <cell r="BZ61">
            <v>1</v>
          </cell>
          <cell r="CA61">
            <v>12</v>
          </cell>
          <cell r="CB61">
            <v>1.9</v>
          </cell>
          <cell r="CC61" t="str">
            <v>Under reconstruction 1998</v>
          </cell>
          <cell r="CD61">
            <v>0</v>
          </cell>
          <cell r="CE61">
            <v>0</v>
          </cell>
          <cell r="CF61">
            <v>0</v>
          </cell>
          <cell r="CG61">
            <v>0</v>
          </cell>
          <cell r="CH61">
            <v>0</v>
          </cell>
          <cell r="CI61">
            <v>0</v>
          </cell>
          <cell r="CJ61">
            <v>0</v>
          </cell>
          <cell r="CK61">
            <v>0</v>
          </cell>
          <cell r="CL61">
            <v>0</v>
          </cell>
          <cell r="CM61">
            <v>0</v>
          </cell>
          <cell r="CN61">
            <v>0</v>
          </cell>
          <cell r="CO61">
            <v>0</v>
          </cell>
          <cell r="CP61">
            <v>0</v>
          </cell>
          <cell r="CQ61">
            <v>0</v>
          </cell>
          <cell r="CR61">
            <v>0</v>
          </cell>
          <cell r="CS61">
            <v>0</v>
          </cell>
          <cell r="CT61">
            <v>0</v>
          </cell>
          <cell r="CU61">
            <v>0</v>
          </cell>
          <cell r="CV61">
            <v>0</v>
          </cell>
          <cell r="CW61">
            <v>0</v>
          </cell>
          <cell r="CX61" t="str">
            <v xml:space="preserve"> </v>
          </cell>
          <cell r="CY61" t="str">
            <v>n.a.</v>
          </cell>
          <cell r="CZ61" t="str">
            <v>n.a.</v>
          </cell>
          <cell r="DA61" t="str">
            <v>n.a.</v>
          </cell>
          <cell r="DB61">
            <v>400</v>
          </cell>
          <cell r="DC61">
            <v>188</v>
          </cell>
          <cell r="DD61">
            <v>104</v>
          </cell>
          <cell r="DE61">
            <v>30</v>
          </cell>
          <cell r="DF61">
            <v>46</v>
          </cell>
          <cell r="DG61">
            <v>8</v>
          </cell>
          <cell r="DH61">
            <v>4</v>
          </cell>
          <cell r="DI61">
            <v>20</v>
          </cell>
        </row>
        <row r="62">
          <cell r="A62" t="str">
            <v>RS 114</v>
          </cell>
          <cell r="B62">
            <v>114</v>
          </cell>
          <cell r="C62" t="str">
            <v>S</v>
          </cell>
          <cell r="D62" t="str">
            <v>T</v>
          </cell>
          <cell r="E62" t="str">
            <v>Chitakale - Chanunkha River</v>
          </cell>
          <cell r="F62" t="str">
            <v>M02</v>
          </cell>
          <cell r="G62">
            <v>8</v>
          </cell>
          <cell r="H62">
            <v>10</v>
          </cell>
          <cell r="I62" t="str">
            <v>F</v>
          </cell>
          <cell r="J62" t="str">
            <v>MULANJE</v>
          </cell>
          <cell r="K62">
            <v>9</v>
          </cell>
          <cell r="L62">
            <v>0</v>
          </cell>
          <cell r="W62">
            <v>60</v>
          </cell>
          <cell r="X62" t="str">
            <v>GM</v>
          </cell>
          <cell r="Y62">
            <v>150</v>
          </cell>
          <cell r="Z62" t="str">
            <v>SB</v>
          </cell>
          <cell r="AA62">
            <v>125</v>
          </cell>
          <cell r="AB62" t="str">
            <v>GR</v>
          </cell>
          <cell r="AC62">
            <v>12</v>
          </cell>
          <cell r="AD62" t="str">
            <v>VR</v>
          </cell>
          <cell r="AE62">
            <v>98</v>
          </cell>
          <cell r="AF62" t="str">
            <v>RC</v>
          </cell>
          <cell r="AG62" t="str">
            <v>ST</v>
          </cell>
          <cell r="AH62">
            <v>15</v>
          </cell>
          <cell r="AI62">
            <v>0</v>
          </cell>
          <cell r="AJ62">
            <v>0</v>
          </cell>
          <cell r="AK62">
            <v>0</v>
          </cell>
          <cell r="AL62">
            <v>0</v>
          </cell>
          <cell r="AM62">
            <v>1</v>
          </cell>
          <cell r="AN62" t="str">
            <v>reconstruct 1998</v>
          </cell>
          <cell r="BO62" t="str">
            <v>RS 114</v>
          </cell>
          <cell r="BP62">
            <v>10</v>
          </cell>
          <cell r="BQ62" t="str">
            <v>n.a.</v>
          </cell>
          <cell r="BR62" t="str">
            <v>F</v>
          </cell>
          <cell r="BS62" t="str">
            <v>n.a.</v>
          </cell>
          <cell r="BT62">
            <v>0</v>
          </cell>
          <cell r="BU62" t="str">
            <v>ST</v>
          </cell>
          <cell r="BV62" t="str">
            <v/>
          </cell>
          <cell r="BW62">
            <v>1</v>
          </cell>
          <cell r="BX62">
            <v>10</v>
          </cell>
          <cell r="BY62" t="str">
            <v xml:space="preserve"> </v>
          </cell>
          <cell r="BZ62">
            <v>1</v>
          </cell>
          <cell r="CA62">
            <v>12</v>
          </cell>
          <cell r="CB62">
            <v>1.9</v>
          </cell>
          <cell r="CC62" t="str">
            <v>Under reconstruction 1998</v>
          </cell>
          <cell r="CD62">
            <v>0</v>
          </cell>
          <cell r="CE62">
            <v>0</v>
          </cell>
          <cell r="CF62">
            <v>0</v>
          </cell>
          <cell r="CG62">
            <v>0</v>
          </cell>
          <cell r="CH62">
            <v>0</v>
          </cell>
          <cell r="CI62">
            <v>0</v>
          </cell>
          <cell r="CJ62">
            <v>0</v>
          </cell>
          <cell r="CK62">
            <v>0</v>
          </cell>
          <cell r="CL62">
            <v>0</v>
          </cell>
          <cell r="CM62">
            <v>0</v>
          </cell>
          <cell r="CN62">
            <v>0</v>
          </cell>
          <cell r="CO62">
            <v>0</v>
          </cell>
          <cell r="CP62">
            <v>0</v>
          </cell>
          <cell r="CQ62">
            <v>0</v>
          </cell>
          <cell r="CR62">
            <v>0</v>
          </cell>
          <cell r="CS62">
            <v>0</v>
          </cell>
          <cell r="CT62">
            <v>0</v>
          </cell>
          <cell r="CU62">
            <v>0</v>
          </cell>
          <cell r="CV62">
            <v>0</v>
          </cell>
          <cell r="CW62">
            <v>0</v>
          </cell>
          <cell r="CX62" t="str">
            <v xml:space="preserve"> </v>
          </cell>
          <cell r="CY62" t="str">
            <v>n.a.</v>
          </cell>
          <cell r="CZ62" t="str">
            <v>n.a.</v>
          </cell>
          <cell r="DA62" t="str">
            <v>n.a.</v>
          </cell>
          <cell r="DB62">
            <v>350</v>
          </cell>
          <cell r="DC62">
            <v>165</v>
          </cell>
          <cell r="DD62">
            <v>91</v>
          </cell>
          <cell r="DE62">
            <v>27</v>
          </cell>
          <cell r="DF62">
            <v>41</v>
          </cell>
          <cell r="DG62">
            <v>7</v>
          </cell>
          <cell r="DH62">
            <v>4</v>
          </cell>
          <cell r="DI62">
            <v>18</v>
          </cell>
        </row>
        <row r="63">
          <cell r="A63" t="str">
            <v>RS 118</v>
          </cell>
          <cell r="B63">
            <v>118</v>
          </cell>
          <cell r="C63" t="str">
            <v>S</v>
          </cell>
          <cell r="D63" t="str">
            <v>T</v>
          </cell>
          <cell r="E63" t="str">
            <v>Chanunkha River - Mimosa</v>
          </cell>
          <cell r="F63" t="str">
            <v>M02</v>
          </cell>
          <cell r="G63">
            <v>9</v>
          </cell>
          <cell r="H63">
            <v>7.5</v>
          </cell>
          <cell r="I63" t="str">
            <v>R</v>
          </cell>
          <cell r="J63" t="str">
            <v>MULANJE</v>
          </cell>
          <cell r="K63">
            <v>9</v>
          </cell>
          <cell r="L63">
            <v>0</v>
          </cell>
          <cell r="W63">
            <v>60</v>
          </cell>
          <cell r="X63" t="str">
            <v>GM</v>
          </cell>
          <cell r="Y63">
            <v>150</v>
          </cell>
          <cell r="Z63" t="str">
            <v>SB</v>
          </cell>
          <cell r="AA63">
            <v>125</v>
          </cell>
          <cell r="AB63" t="str">
            <v>GR</v>
          </cell>
          <cell r="AC63">
            <v>12</v>
          </cell>
          <cell r="AD63" t="str">
            <v>VR</v>
          </cell>
          <cell r="AE63">
            <v>98</v>
          </cell>
          <cell r="AF63" t="str">
            <v>RC</v>
          </cell>
          <cell r="AG63" t="str">
            <v>ST</v>
          </cell>
          <cell r="AH63">
            <v>15</v>
          </cell>
          <cell r="AI63">
            <v>0</v>
          </cell>
          <cell r="AJ63">
            <v>0</v>
          </cell>
          <cell r="AK63">
            <v>0</v>
          </cell>
          <cell r="AL63">
            <v>0</v>
          </cell>
          <cell r="AM63">
            <v>1</v>
          </cell>
          <cell r="AN63" t="str">
            <v>reconstruct 1998</v>
          </cell>
          <cell r="BO63" t="str">
            <v>RS 118</v>
          </cell>
          <cell r="BP63">
            <v>7.5</v>
          </cell>
          <cell r="BQ63" t="str">
            <v>n.a.</v>
          </cell>
          <cell r="BR63" t="str">
            <v>R</v>
          </cell>
          <cell r="BS63" t="str">
            <v>n.a.</v>
          </cell>
          <cell r="BT63">
            <v>0</v>
          </cell>
          <cell r="BU63" t="str">
            <v>ST</v>
          </cell>
          <cell r="BV63" t="str">
            <v/>
          </cell>
          <cell r="BW63">
            <v>1</v>
          </cell>
          <cell r="BX63">
            <v>10</v>
          </cell>
          <cell r="BY63" t="str">
            <v xml:space="preserve"> </v>
          </cell>
          <cell r="BZ63">
            <v>1</v>
          </cell>
          <cell r="CA63">
            <v>12</v>
          </cell>
          <cell r="CB63">
            <v>1.9</v>
          </cell>
          <cell r="CC63" t="str">
            <v>Under reconstruction 1998</v>
          </cell>
          <cell r="CD63">
            <v>0</v>
          </cell>
          <cell r="CE63">
            <v>0</v>
          </cell>
          <cell r="CF63">
            <v>0</v>
          </cell>
          <cell r="CG63">
            <v>0</v>
          </cell>
          <cell r="CH63">
            <v>0</v>
          </cell>
          <cell r="CI63">
            <v>0</v>
          </cell>
          <cell r="CJ63">
            <v>0</v>
          </cell>
          <cell r="CK63">
            <v>0</v>
          </cell>
          <cell r="CL63">
            <v>0</v>
          </cell>
          <cell r="CM63">
            <v>0</v>
          </cell>
          <cell r="CN63">
            <v>0</v>
          </cell>
          <cell r="CO63">
            <v>0</v>
          </cell>
          <cell r="CP63">
            <v>0</v>
          </cell>
          <cell r="CQ63">
            <v>0</v>
          </cell>
          <cell r="CR63">
            <v>0</v>
          </cell>
          <cell r="CS63">
            <v>0</v>
          </cell>
          <cell r="CT63">
            <v>0</v>
          </cell>
          <cell r="CU63">
            <v>0</v>
          </cell>
          <cell r="CV63">
            <v>0</v>
          </cell>
          <cell r="CW63">
            <v>0</v>
          </cell>
          <cell r="CX63" t="str">
            <v xml:space="preserve"> </v>
          </cell>
          <cell r="CY63" t="str">
            <v>n.a.</v>
          </cell>
          <cell r="CZ63" t="str">
            <v>n.a.</v>
          </cell>
          <cell r="DA63" t="str">
            <v>n.a.</v>
          </cell>
          <cell r="DB63">
            <v>350</v>
          </cell>
          <cell r="DC63">
            <v>165</v>
          </cell>
          <cell r="DD63">
            <v>91</v>
          </cell>
          <cell r="DE63">
            <v>27</v>
          </cell>
          <cell r="DF63">
            <v>41</v>
          </cell>
          <cell r="DG63">
            <v>7</v>
          </cell>
          <cell r="DH63">
            <v>4</v>
          </cell>
          <cell r="DI63">
            <v>18</v>
          </cell>
        </row>
        <row r="64">
          <cell r="A64" t="str">
            <v>RS 113</v>
          </cell>
          <cell r="B64">
            <v>113</v>
          </cell>
          <cell r="C64" t="str">
            <v>S</v>
          </cell>
          <cell r="D64" t="str">
            <v>T</v>
          </cell>
          <cell r="E64" t="str">
            <v>Mimosa - Muloza International Border</v>
          </cell>
          <cell r="F64" t="str">
            <v>M02</v>
          </cell>
          <cell r="G64">
            <v>10</v>
          </cell>
          <cell r="H64">
            <v>14.2</v>
          </cell>
          <cell r="I64" t="str">
            <v>R</v>
          </cell>
          <cell r="J64" t="str">
            <v>MULANJE</v>
          </cell>
          <cell r="K64">
            <v>9</v>
          </cell>
          <cell r="L64">
            <v>0</v>
          </cell>
          <cell r="W64">
            <v>60</v>
          </cell>
          <cell r="X64" t="str">
            <v>GM</v>
          </cell>
          <cell r="Y64">
            <v>150</v>
          </cell>
          <cell r="Z64" t="str">
            <v>SB</v>
          </cell>
          <cell r="AA64">
            <v>125</v>
          </cell>
          <cell r="AB64" t="str">
            <v>GR</v>
          </cell>
          <cell r="AC64">
            <v>12</v>
          </cell>
          <cell r="AD64" t="str">
            <v>VR</v>
          </cell>
          <cell r="AE64">
            <v>98</v>
          </cell>
          <cell r="AF64" t="str">
            <v>RC</v>
          </cell>
          <cell r="AG64" t="str">
            <v>ST</v>
          </cell>
          <cell r="AH64">
            <v>15</v>
          </cell>
          <cell r="AI64">
            <v>0</v>
          </cell>
          <cell r="AJ64">
            <v>0</v>
          </cell>
          <cell r="AK64">
            <v>0</v>
          </cell>
          <cell r="AL64">
            <v>0</v>
          </cell>
          <cell r="AM64">
            <v>1</v>
          </cell>
          <cell r="AN64" t="str">
            <v>reconstruct 1998</v>
          </cell>
          <cell r="BO64" t="str">
            <v>RS 113</v>
          </cell>
          <cell r="BP64">
            <v>14.2</v>
          </cell>
          <cell r="BQ64" t="str">
            <v>n.a.</v>
          </cell>
          <cell r="BR64" t="str">
            <v>R</v>
          </cell>
          <cell r="BS64" t="str">
            <v>n.a.</v>
          </cell>
          <cell r="BT64">
            <v>0</v>
          </cell>
          <cell r="BU64" t="str">
            <v>ST</v>
          </cell>
          <cell r="BV64" t="str">
            <v/>
          </cell>
          <cell r="BW64">
            <v>1</v>
          </cell>
          <cell r="BX64">
            <v>10</v>
          </cell>
          <cell r="BY64" t="str">
            <v xml:space="preserve"> </v>
          </cell>
          <cell r="BZ64">
            <v>1</v>
          </cell>
          <cell r="CA64">
            <v>12</v>
          </cell>
          <cell r="CB64">
            <v>1.9</v>
          </cell>
          <cell r="CC64" t="str">
            <v>Under reconstruction 1998</v>
          </cell>
          <cell r="CD64">
            <v>0</v>
          </cell>
          <cell r="CE64">
            <v>0</v>
          </cell>
          <cell r="CF64">
            <v>0</v>
          </cell>
          <cell r="CG64">
            <v>0</v>
          </cell>
          <cell r="CH64">
            <v>0</v>
          </cell>
          <cell r="CI64">
            <v>0</v>
          </cell>
          <cell r="CJ64">
            <v>0</v>
          </cell>
          <cell r="CK64">
            <v>0</v>
          </cell>
          <cell r="CL64">
            <v>0</v>
          </cell>
          <cell r="CM64">
            <v>0</v>
          </cell>
          <cell r="CN64">
            <v>0</v>
          </cell>
          <cell r="CO64">
            <v>0</v>
          </cell>
          <cell r="CP64">
            <v>0</v>
          </cell>
          <cell r="CQ64">
            <v>0</v>
          </cell>
          <cell r="CR64">
            <v>0</v>
          </cell>
          <cell r="CS64">
            <v>0</v>
          </cell>
          <cell r="CT64">
            <v>0</v>
          </cell>
          <cell r="CU64">
            <v>0</v>
          </cell>
          <cell r="CV64">
            <v>0</v>
          </cell>
          <cell r="CW64">
            <v>0</v>
          </cell>
          <cell r="CX64" t="str">
            <v xml:space="preserve"> </v>
          </cell>
          <cell r="CY64" t="str">
            <v>n.a.</v>
          </cell>
          <cell r="CZ64" t="str">
            <v>n.a.</v>
          </cell>
          <cell r="DA64" t="str">
            <v>n.a.</v>
          </cell>
          <cell r="DB64">
            <v>200</v>
          </cell>
          <cell r="DC64">
            <v>94</v>
          </cell>
          <cell r="DD64">
            <v>52</v>
          </cell>
          <cell r="DE64">
            <v>15</v>
          </cell>
          <cell r="DF64">
            <v>23</v>
          </cell>
          <cell r="DG64">
            <v>4</v>
          </cell>
          <cell r="DH64">
            <v>2</v>
          </cell>
          <cell r="DI64">
            <v>10</v>
          </cell>
        </row>
        <row r="65">
          <cell r="A65" t="str">
            <v>RS 123</v>
          </cell>
          <cell r="B65">
            <v>123</v>
          </cell>
          <cell r="C65" t="str">
            <v>S</v>
          </cell>
          <cell r="D65" t="str">
            <v>T</v>
          </cell>
          <cell r="E65" t="str">
            <v>Chinkombero (BBC Post) - Mbulumbuzi</v>
          </cell>
          <cell r="F65" t="str">
            <v>M03</v>
          </cell>
          <cell r="G65">
            <v>1</v>
          </cell>
          <cell r="H65">
            <v>12.4</v>
          </cell>
          <cell r="I65" t="str">
            <v>F</v>
          </cell>
          <cell r="J65" t="str">
            <v>CHIRADZULU</v>
          </cell>
          <cell r="K65">
            <v>9</v>
          </cell>
          <cell r="L65">
            <v>0</v>
          </cell>
          <cell r="W65">
            <v>50</v>
          </cell>
          <cell r="X65" t="str">
            <v>GM</v>
          </cell>
          <cell r="Y65">
            <v>150</v>
          </cell>
          <cell r="Z65" t="str">
            <v>SB</v>
          </cell>
          <cell r="AA65">
            <v>150</v>
          </cell>
          <cell r="AB65" t="str">
            <v>GR</v>
          </cell>
          <cell r="AC65">
            <v>15</v>
          </cell>
          <cell r="AD65" t="str">
            <v>VR</v>
          </cell>
          <cell r="AE65">
            <v>87</v>
          </cell>
          <cell r="AF65" t="str">
            <v>SR</v>
          </cell>
          <cell r="AG65" t="str">
            <v>ST</v>
          </cell>
          <cell r="AH65">
            <v>10</v>
          </cell>
          <cell r="AI65">
            <v>96</v>
          </cell>
          <cell r="AJ65" t="str">
            <v>SS</v>
          </cell>
          <cell r="AK65" t="str">
            <v>SS</v>
          </cell>
          <cell r="AL65">
            <v>5</v>
          </cell>
          <cell r="AM65">
            <v>3</v>
          </cell>
          <cell r="AN65">
            <v>0</v>
          </cell>
          <cell r="BO65" t="str">
            <v>RS 123</v>
          </cell>
          <cell r="BP65">
            <v>12.4</v>
          </cell>
          <cell r="BQ65">
            <v>6</v>
          </cell>
          <cell r="BR65" t="str">
            <v>F</v>
          </cell>
          <cell r="BS65" t="str">
            <v>S</v>
          </cell>
          <cell r="BT65">
            <v>0</v>
          </cell>
          <cell r="BU65" t="str">
            <v>SS</v>
          </cell>
          <cell r="BV65" t="str">
            <v>SR</v>
          </cell>
          <cell r="BW65">
            <v>3</v>
          </cell>
          <cell r="BX65">
            <v>5</v>
          </cell>
          <cell r="BY65">
            <v>10</v>
          </cell>
          <cell r="BZ65">
            <v>1</v>
          </cell>
          <cell r="CA65">
            <v>15</v>
          </cell>
          <cell r="CB65">
            <v>2.15</v>
          </cell>
          <cell r="CC65">
            <v>6.2166767262063463</v>
          </cell>
          <cell r="CD65">
            <v>50</v>
          </cell>
          <cell r="CE65">
            <v>8</v>
          </cell>
          <cell r="CF65">
            <v>0</v>
          </cell>
          <cell r="CG65">
            <v>50</v>
          </cell>
          <cell r="CH65">
            <v>8</v>
          </cell>
          <cell r="CI65">
            <v>5</v>
          </cell>
          <cell r="CJ65">
            <v>1.6666666666666666E-2</v>
          </cell>
          <cell r="CK65">
            <v>1.6666666666666666E-2</v>
          </cell>
          <cell r="CL65">
            <v>0</v>
          </cell>
          <cell r="CM65">
            <v>6.4615384615384621E-3</v>
          </cell>
          <cell r="CN65">
            <v>6.4615384615384621E-3</v>
          </cell>
          <cell r="CO65">
            <v>0</v>
          </cell>
          <cell r="CP65">
            <v>0</v>
          </cell>
          <cell r="CQ65">
            <v>6.2231382646678846</v>
          </cell>
          <cell r="CR65">
            <v>0</v>
          </cell>
          <cell r="CS65">
            <v>1</v>
          </cell>
          <cell r="CT65">
            <v>0</v>
          </cell>
          <cell r="CU65">
            <v>0</v>
          </cell>
          <cell r="CV65">
            <v>2</v>
          </cell>
          <cell r="CW65">
            <v>48</v>
          </cell>
          <cell r="CX65">
            <v>96</v>
          </cell>
          <cell r="CY65">
            <v>2.5</v>
          </cell>
          <cell r="CZ65">
            <v>1.7</v>
          </cell>
          <cell r="DA65">
            <v>1.7</v>
          </cell>
          <cell r="DB65">
            <v>1400</v>
          </cell>
          <cell r="DC65">
            <v>658</v>
          </cell>
          <cell r="DD65">
            <v>364</v>
          </cell>
          <cell r="DE65">
            <v>105</v>
          </cell>
          <cell r="DF65">
            <v>161</v>
          </cell>
          <cell r="DG65">
            <v>28</v>
          </cell>
          <cell r="DH65">
            <v>14</v>
          </cell>
          <cell r="DI65">
            <v>70</v>
          </cell>
        </row>
        <row r="66">
          <cell r="A66" t="str">
            <v>RS 124</v>
          </cell>
          <cell r="B66">
            <v>124</v>
          </cell>
          <cell r="C66" t="str">
            <v>S</v>
          </cell>
          <cell r="D66" t="str">
            <v>T</v>
          </cell>
          <cell r="E66" t="str">
            <v>Mbulumbuzi - Magomero</v>
          </cell>
          <cell r="F66" t="str">
            <v>M03</v>
          </cell>
          <cell r="G66">
            <v>2</v>
          </cell>
          <cell r="H66">
            <v>11.5</v>
          </cell>
          <cell r="I66" t="str">
            <v>H</v>
          </cell>
          <cell r="J66" t="str">
            <v>CHIRADZULU</v>
          </cell>
          <cell r="K66">
            <v>9</v>
          </cell>
          <cell r="L66">
            <v>0</v>
          </cell>
          <cell r="W66">
            <v>50</v>
          </cell>
          <cell r="X66" t="str">
            <v>GM</v>
          </cell>
          <cell r="Y66">
            <v>150</v>
          </cell>
          <cell r="Z66" t="str">
            <v>SB</v>
          </cell>
          <cell r="AA66">
            <v>150</v>
          </cell>
          <cell r="AB66" t="str">
            <v>GR</v>
          </cell>
          <cell r="AC66">
            <v>15</v>
          </cell>
          <cell r="AD66" t="str">
            <v>VR</v>
          </cell>
          <cell r="AE66">
            <v>87</v>
          </cell>
          <cell r="AF66" t="str">
            <v>SR</v>
          </cell>
          <cell r="AG66" t="str">
            <v>ST</v>
          </cell>
          <cell r="AH66">
            <v>10</v>
          </cell>
          <cell r="AI66">
            <v>96</v>
          </cell>
          <cell r="AJ66" t="str">
            <v>SS</v>
          </cell>
          <cell r="AK66" t="str">
            <v>SS</v>
          </cell>
          <cell r="AL66">
            <v>5</v>
          </cell>
          <cell r="AM66">
            <v>3</v>
          </cell>
          <cell r="AN66">
            <v>0</v>
          </cell>
          <cell r="BO66" t="str">
            <v>RS 124</v>
          </cell>
          <cell r="BP66">
            <v>11.5</v>
          </cell>
          <cell r="BQ66">
            <v>6</v>
          </cell>
          <cell r="BR66" t="str">
            <v>H</v>
          </cell>
          <cell r="BS66" t="str">
            <v>S</v>
          </cell>
          <cell r="BT66">
            <v>0</v>
          </cell>
          <cell r="BU66" t="str">
            <v>SS</v>
          </cell>
          <cell r="BV66" t="str">
            <v>SR</v>
          </cell>
          <cell r="BW66">
            <v>3</v>
          </cell>
          <cell r="BX66">
            <v>5</v>
          </cell>
          <cell r="BY66">
            <v>10</v>
          </cell>
          <cell r="BZ66">
            <v>1</v>
          </cell>
          <cell r="CA66">
            <v>15</v>
          </cell>
          <cell r="CB66">
            <v>2.15</v>
          </cell>
          <cell r="CC66">
            <v>5.0605850173287124</v>
          </cell>
          <cell r="CD66">
            <v>40</v>
          </cell>
          <cell r="CE66">
            <v>2</v>
          </cell>
          <cell r="CF66">
            <v>0</v>
          </cell>
          <cell r="CG66">
            <v>40</v>
          </cell>
          <cell r="CH66">
            <v>2</v>
          </cell>
          <cell r="CI66">
            <v>0.7</v>
          </cell>
          <cell r="CJ66">
            <v>2.3333333333333331E-3</v>
          </cell>
          <cell r="CK66">
            <v>2.3333333333333331E-3</v>
          </cell>
          <cell r="CL66">
            <v>0</v>
          </cell>
          <cell r="CM66">
            <v>9.0461538461538446E-4</v>
          </cell>
          <cell r="CN66">
            <v>9.0461538461538446E-4</v>
          </cell>
          <cell r="CO66">
            <v>0</v>
          </cell>
          <cell r="CP66">
            <v>0</v>
          </cell>
          <cell r="CQ66">
            <v>5.0614896327133279</v>
          </cell>
          <cell r="CR66">
            <v>0</v>
          </cell>
          <cell r="CS66">
            <v>1</v>
          </cell>
          <cell r="CT66">
            <v>0</v>
          </cell>
          <cell r="CU66">
            <v>0</v>
          </cell>
          <cell r="CV66">
            <v>2</v>
          </cell>
          <cell r="CW66">
            <v>48</v>
          </cell>
          <cell r="CX66">
            <v>96</v>
          </cell>
          <cell r="CY66">
            <v>2.2999999999999998</v>
          </cell>
          <cell r="CZ66">
            <v>1.5</v>
          </cell>
          <cell r="DA66">
            <v>1.7</v>
          </cell>
          <cell r="DB66">
            <v>1300</v>
          </cell>
          <cell r="DC66">
            <v>611</v>
          </cell>
          <cell r="DD66">
            <v>338</v>
          </cell>
          <cell r="DE66">
            <v>98</v>
          </cell>
          <cell r="DF66">
            <v>150</v>
          </cell>
          <cell r="DG66">
            <v>26</v>
          </cell>
          <cell r="DH66">
            <v>13</v>
          </cell>
          <cell r="DI66">
            <v>65</v>
          </cell>
        </row>
        <row r="67">
          <cell r="A67" t="str">
            <v>RS 126</v>
          </cell>
          <cell r="B67">
            <v>126</v>
          </cell>
          <cell r="C67" t="str">
            <v>S</v>
          </cell>
          <cell r="D67" t="str">
            <v>T</v>
          </cell>
          <cell r="E67" t="str">
            <v>Namadzi River-Zomba South T'ship Boundary</v>
          </cell>
          <cell r="F67" t="str">
            <v>M03</v>
          </cell>
          <cell r="G67">
            <v>3</v>
          </cell>
          <cell r="H67">
            <v>13.3</v>
          </cell>
          <cell r="I67" t="str">
            <v>R</v>
          </cell>
          <cell r="J67" t="str">
            <v>ZOMBA</v>
          </cell>
          <cell r="K67">
            <v>9</v>
          </cell>
          <cell r="L67">
            <v>0</v>
          </cell>
          <cell r="W67">
            <v>50</v>
          </cell>
          <cell r="X67" t="str">
            <v>GM</v>
          </cell>
          <cell r="Y67">
            <v>150</v>
          </cell>
          <cell r="Z67" t="str">
            <v>SB</v>
          </cell>
          <cell r="AA67">
            <v>150</v>
          </cell>
          <cell r="AB67" t="str">
            <v>GR</v>
          </cell>
          <cell r="AC67">
            <v>15</v>
          </cell>
          <cell r="AD67" t="str">
            <v>VR</v>
          </cell>
          <cell r="AE67">
            <v>87</v>
          </cell>
          <cell r="AF67" t="str">
            <v>SR</v>
          </cell>
          <cell r="AG67" t="str">
            <v>ST</v>
          </cell>
          <cell r="AH67">
            <v>10</v>
          </cell>
          <cell r="AI67">
            <v>96</v>
          </cell>
          <cell r="AJ67" t="str">
            <v>SS</v>
          </cell>
          <cell r="AK67" t="str">
            <v>SS</v>
          </cell>
          <cell r="AL67">
            <v>5</v>
          </cell>
          <cell r="AM67">
            <v>3</v>
          </cell>
          <cell r="AN67">
            <v>0</v>
          </cell>
          <cell r="BO67" t="str">
            <v>RS 126</v>
          </cell>
          <cell r="BP67">
            <v>13.3</v>
          </cell>
          <cell r="BQ67">
            <v>6</v>
          </cell>
          <cell r="BR67" t="str">
            <v>R</v>
          </cell>
          <cell r="BS67" t="str">
            <v>S</v>
          </cell>
          <cell r="BT67">
            <v>0</v>
          </cell>
          <cell r="BU67" t="str">
            <v>SS</v>
          </cell>
          <cell r="BV67" t="str">
            <v>SR</v>
          </cell>
          <cell r="BW67">
            <v>3</v>
          </cell>
          <cell r="BX67">
            <v>5</v>
          </cell>
          <cell r="BY67">
            <v>10</v>
          </cell>
          <cell r="BZ67">
            <v>1</v>
          </cell>
          <cell r="CA67">
            <v>15</v>
          </cell>
          <cell r="CB67">
            <v>2.15</v>
          </cell>
          <cell r="CC67">
            <v>5.78</v>
          </cell>
          <cell r="CD67">
            <v>50</v>
          </cell>
          <cell r="CE67">
            <v>5</v>
          </cell>
          <cell r="CF67">
            <v>0</v>
          </cell>
          <cell r="CG67">
            <v>50</v>
          </cell>
          <cell r="CH67">
            <v>5</v>
          </cell>
          <cell r="CI67">
            <v>0.3</v>
          </cell>
          <cell r="CJ67">
            <v>1E-3</v>
          </cell>
          <cell r="CK67">
            <v>1E-3</v>
          </cell>
          <cell r="CL67">
            <v>0</v>
          </cell>
          <cell r="CM67">
            <v>3.876923076923077E-4</v>
          </cell>
          <cell r="CN67">
            <v>3.876923076923077E-4</v>
          </cell>
          <cell r="CO67">
            <v>0</v>
          </cell>
          <cell r="CP67">
            <v>0</v>
          </cell>
          <cell r="CQ67">
            <v>5.7803876923076922</v>
          </cell>
          <cell r="CR67">
            <v>0</v>
          </cell>
          <cell r="CS67">
            <v>1</v>
          </cell>
          <cell r="CT67">
            <v>0</v>
          </cell>
          <cell r="CU67">
            <v>0</v>
          </cell>
          <cell r="CV67">
            <v>2</v>
          </cell>
          <cell r="CW67">
            <v>48</v>
          </cell>
          <cell r="CX67">
            <v>96</v>
          </cell>
          <cell r="CY67">
            <v>2.5</v>
          </cell>
          <cell r="CZ67">
            <v>3</v>
          </cell>
          <cell r="DA67">
            <v>1.5</v>
          </cell>
          <cell r="DB67">
            <v>1300</v>
          </cell>
          <cell r="DC67">
            <v>611</v>
          </cell>
          <cell r="DD67">
            <v>338</v>
          </cell>
          <cell r="DE67">
            <v>98</v>
          </cell>
          <cell r="DF67">
            <v>150</v>
          </cell>
          <cell r="DG67">
            <v>26</v>
          </cell>
          <cell r="DH67">
            <v>13</v>
          </cell>
          <cell r="DI67">
            <v>65</v>
          </cell>
        </row>
        <row r="68">
          <cell r="A68" t="str">
            <v>RS 121</v>
          </cell>
          <cell r="B68">
            <v>121</v>
          </cell>
          <cell r="C68" t="str">
            <v>S</v>
          </cell>
          <cell r="D68" t="str">
            <v>T</v>
          </cell>
          <cell r="E68" t="str">
            <v>Zomba South Township Boundary-Zomba.</v>
          </cell>
          <cell r="F68" t="str">
            <v>M03</v>
          </cell>
          <cell r="G68">
            <v>4</v>
          </cell>
          <cell r="H68">
            <v>4.5</v>
          </cell>
          <cell r="I68" t="str">
            <v>R</v>
          </cell>
          <cell r="J68" t="str">
            <v>ZOMBA CITY</v>
          </cell>
          <cell r="K68">
            <v>9</v>
          </cell>
          <cell r="L68">
            <v>0</v>
          </cell>
          <cell r="W68">
            <v>50</v>
          </cell>
          <cell r="X68" t="str">
            <v>GM</v>
          </cell>
          <cell r="Y68">
            <v>150</v>
          </cell>
          <cell r="Z68" t="str">
            <v>SB</v>
          </cell>
          <cell r="AA68">
            <v>150</v>
          </cell>
          <cell r="AB68" t="str">
            <v>GR</v>
          </cell>
          <cell r="AC68">
            <v>15</v>
          </cell>
          <cell r="AD68" t="str">
            <v>VR</v>
          </cell>
          <cell r="AE68">
            <v>87</v>
          </cell>
          <cell r="AF68" t="str">
            <v>SR</v>
          </cell>
          <cell r="AG68" t="str">
            <v>ST</v>
          </cell>
          <cell r="AH68">
            <v>10</v>
          </cell>
          <cell r="AI68">
            <v>96</v>
          </cell>
          <cell r="AJ68" t="str">
            <v>SS</v>
          </cell>
          <cell r="AK68" t="str">
            <v>SS</v>
          </cell>
          <cell r="AL68">
            <v>5</v>
          </cell>
          <cell r="AM68">
            <v>3</v>
          </cell>
          <cell r="AN68">
            <v>0</v>
          </cell>
          <cell r="BO68" t="str">
            <v>RS 121</v>
          </cell>
          <cell r="BP68">
            <v>4.5</v>
          </cell>
          <cell r="BQ68">
            <v>6.7</v>
          </cell>
          <cell r="BR68" t="str">
            <v>R</v>
          </cell>
          <cell r="BS68" t="str">
            <v>C</v>
          </cell>
          <cell r="BT68">
            <v>0</v>
          </cell>
          <cell r="BU68" t="str">
            <v>SS</v>
          </cell>
          <cell r="BV68" t="str">
            <v>SR</v>
          </cell>
          <cell r="BW68">
            <v>3</v>
          </cell>
          <cell r="BX68">
            <v>5</v>
          </cell>
          <cell r="BY68">
            <v>10</v>
          </cell>
          <cell r="BZ68">
            <v>1</v>
          </cell>
          <cell r="CA68">
            <v>15</v>
          </cell>
          <cell r="CB68">
            <v>2.15</v>
          </cell>
          <cell r="CC68">
            <v>6.83</v>
          </cell>
          <cell r="CD68">
            <v>20</v>
          </cell>
          <cell r="CE68">
            <v>10</v>
          </cell>
          <cell r="CF68">
            <v>0</v>
          </cell>
          <cell r="CG68">
            <v>20</v>
          </cell>
          <cell r="CH68">
            <v>10</v>
          </cell>
          <cell r="CI68">
            <v>0.1</v>
          </cell>
          <cell r="CJ68">
            <v>2.9850746268656722E-4</v>
          </cell>
          <cell r="CK68">
            <v>2.9850746268656722E-4</v>
          </cell>
          <cell r="CL68">
            <v>0</v>
          </cell>
          <cell r="CM68">
            <v>1.1572904707233067E-4</v>
          </cell>
          <cell r="CN68">
            <v>1.1572904707233067E-4</v>
          </cell>
          <cell r="CO68">
            <v>0</v>
          </cell>
          <cell r="CP68">
            <v>0</v>
          </cell>
          <cell r="CQ68">
            <v>6.8301157290470726</v>
          </cell>
          <cell r="CR68">
            <v>0</v>
          </cell>
          <cell r="CS68">
            <v>1</v>
          </cell>
          <cell r="CT68">
            <v>0</v>
          </cell>
          <cell r="CU68">
            <v>0</v>
          </cell>
          <cell r="CV68">
            <v>2</v>
          </cell>
          <cell r="CW68">
            <v>48</v>
          </cell>
          <cell r="CX68">
            <v>96</v>
          </cell>
          <cell r="CY68">
            <v>1.5</v>
          </cell>
          <cell r="CZ68">
            <v>1.5</v>
          </cell>
          <cell r="DA68">
            <v>1</v>
          </cell>
          <cell r="DB68">
            <v>2500</v>
          </cell>
          <cell r="DC68">
            <v>1175</v>
          </cell>
          <cell r="DD68">
            <v>650</v>
          </cell>
          <cell r="DE68">
            <v>188</v>
          </cell>
          <cell r="DF68">
            <v>288</v>
          </cell>
          <cell r="DG68">
            <v>50</v>
          </cell>
          <cell r="DH68">
            <v>25</v>
          </cell>
          <cell r="DI68">
            <v>125</v>
          </cell>
        </row>
        <row r="69">
          <cell r="A69" t="str">
            <v>RS 127</v>
          </cell>
          <cell r="B69">
            <v>127</v>
          </cell>
          <cell r="C69" t="str">
            <v>S</v>
          </cell>
          <cell r="D69" t="str">
            <v>T</v>
          </cell>
          <cell r="E69" t="str">
            <v>Zomba - Mwandakale</v>
          </cell>
          <cell r="F69" t="str">
            <v>M03</v>
          </cell>
          <cell r="G69">
            <v>5</v>
          </cell>
          <cell r="H69">
            <v>4.0999999999999996</v>
          </cell>
          <cell r="I69" t="str">
            <v>H</v>
          </cell>
          <cell r="J69" t="str">
            <v>ZOMBA CITY</v>
          </cell>
          <cell r="K69">
            <v>9</v>
          </cell>
          <cell r="L69">
            <v>0</v>
          </cell>
          <cell r="W69">
            <v>71</v>
          </cell>
          <cell r="X69" t="str">
            <v>SA</v>
          </cell>
          <cell r="Y69">
            <v>125</v>
          </cell>
          <cell r="Z69" t="str">
            <v>SB</v>
          </cell>
          <cell r="AA69">
            <v>150</v>
          </cell>
          <cell r="AB69" t="str">
            <v>GR</v>
          </cell>
          <cell r="AC69">
            <v>14</v>
          </cell>
          <cell r="AD69" t="str">
            <v>VR</v>
          </cell>
          <cell r="AE69">
            <v>0</v>
          </cell>
          <cell r="AF69">
            <v>0</v>
          </cell>
          <cell r="AG69">
            <v>0</v>
          </cell>
          <cell r="AH69">
            <v>0</v>
          </cell>
          <cell r="AI69">
            <v>0</v>
          </cell>
          <cell r="AJ69">
            <v>0</v>
          </cell>
          <cell r="AK69">
            <v>0</v>
          </cell>
          <cell r="AL69">
            <v>0</v>
          </cell>
          <cell r="AM69">
            <v>2</v>
          </cell>
          <cell r="AN69" t="str">
            <v>never resealed</v>
          </cell>
          <cell r="BO69" t="str">
            <v>RS 127</v>
          </cell>
          <cell r="BP69">
            <v>4.0999999999999996</v>
          </cell>
          <cell r="BQ69">
            <v>6.7</v>
          </cell>
          <cell r="BR69" t="str">
            <v>H</v>
          </cell>
          <cell r="BS69" t="str">
            <v>A</v>
          </cell>
          <cell r="BT69">
            <v>0</v>
          </cell>
          <cell r="BU69" t="str">
            <v>SA</v>
          </cell>
          <cell r="BV69" t="str">
            <v/>
          </cell>
          <cell r="BW69">
            <v>2</v>
          </cell>
          <cell r="BX69">
            <v>10</v>
          </cell>
          <cell r="BY69" t="str">
            <v xml:space="preserve"> </v>
          </cell>
          <cell r="BZ69">
            <v>1</v>
          </cell>
          <cell r="CA69">
            <v>14</v>
          </cell>
          <cell r="CB69">
            <v>1.508</v>
          </cell>
          <cell r="CC69">
            <v>8.69</v>
          </cell>
          <cell r="CD69">
            <v>20</v>
          </cell>
          <cell r="CE69">
            <v>10</v>
          </cell>
          <cell r="CF69">
            <v>0</v>
          </cell>
          <cell r="CG69">
            <v>20</v>
          </cell>
          <cell r="CH69">
            <v>10</v>
          </cell>
          <cell r="CI69">
            <v>0.1</v>
          </cell>
          <cell r="CJ69">
            <v>2.9850746268656722E-4</v>
          </cell>
          <cell r="CK69">
            <v>2.9850746268656722E-4</v>
          </cell>
          <cell r="CL69">
            <v>0</v>
          </cell>
          <cell r="CM69">
            <v>1.1572904707233067E-4</v>
          </cell>
          <cell r="CN69">
            <v>1.1572904707233067E-4</v>
          </cell>
          <cell r="CO69">
            <v>0</v>
          </cell>
          <cell r="CP69">
            <v>0</v>
          </cell>
          <cell r="CQ69">
            <v>8.6901157290470721</v>
          </cell>
          <cell r="CR69">
            <v>0</v>
          </cell>
          <cell r="CS69">
            <v>1</v>
          </cell>
          <cell r="CT69">
            <v>0</v>
          </cell>
          <cell r="CU69">
            <v>0</v>
          </cell>
          <cell r="CV69">
            <v>27</v>
          </cell>
          <cell r="CW69">
            <v>27</v>
          </cell>
          <cell r="CX69" t="str">
            <v xml:space="preserve"> </v>
          </cell>
          <cell r="CY69">
            <v>1.5</v>
          </cell>
          <cell r="CZ69">
            <v>1.5</v>
          </cell>
          <cell r="DA69">
            <v>1</v>
          </cell>
          <cell r="DB69">
            <v>3000</v>
          </cell>
          <cell r="DC69">
            <v>1410</v>
          </cell>
          <cell r="DD69">
            <v>780</v>
          </cell>
          <cell r="DE69">
            <v>225</v>
          </cell>
          <cell r="DF69">
            <v>345</v>
          </cell>
          <cell r="DG69">
            <v>60</v>
          </cell>
          <cell r="DH69">
            <v>30</v>
          </cell>
          <cell r="DI69">
            <v>150</v>
          </cell>
        </row>
        <row r="70">
          <cell r="A70" t="str">
            <v>RS 130</v>
          </cell>
          <cell r="B70">
            <v>130</v>
          </cell>
          <cell r="C70" t="str">
            <v>S</v>
          </cell>
          <cell r="D70" t="str">
            <v>T</v>
          </cell>
          <cell r="E70" t="str">
            <v>Jokala - Likwenu River Bridge</v>
          </cell>
          <cell r="F70" t="str">
            <v>M03</v>
          </cell>
          <cell r="G70">
            <v>6</v>
          </cell>
          <cell r="H70">
            <v>23.6</v>
          </cell>
          <cell r="I70" t="str">
            <v>R</v>
          </cell>
          <cell r="J70" t="str">
            <v>ZOMBA</v>
          </cell>
          <cell r="K70">
            <v>8</v>
          </cell>
          <cell r="L70">
            <v>0</v>
          </cell>
          <cell r="W70">
            <v>71</v>
          </cell>
          <cell r="X70" t="str">
            <v>SA</v>
          </cell>
          <cell r="Y70">
            <v>125</v>
          </cell>
          <cell r="Z70" t="str">
            <v>SB</v>
          </cell>
          <cell r="AA70">
            <v>150</v>
          </cell>
          <cell r="AB70" t="str">
            <v>GR</v>
          </cell>
          <cell r="AC70">
            <v>14</v>
          </cell>
          <cell r="AD70" t="str">
            <v>VR</v>
          </cell>
          <cell r="AE70">
            <v>0</v>
          </cell>
          <cell r="AF70">
            <v>0</v>
          </cell>
          <cell r="AG70">
            <v>0</v>
          </cell>
          <cell r="AH70">
            <v>0</v>
          </cell>
          <cell r="AI70">
            <v>0</v>
          </cell>
          <cell r="AJ70">
            <v>0</v>
          </cell>
          <cell r="AK70">
            <v>0</v>
          </cell>
          <cell r="AL70">
            <v>0</v>
          </cell>
          <cell r="AM70">
            <v>2</v>
          </cell>
          <cell r="AN70" t="str">
            <v>never resealed</v>
          </cell>
          <cell r="BO70" t="str">
            <v>RS 130</v>
          </cell>
          <cell r="BP70">
            <v>23.6</v>
          </cell>
          <cell r="BQ70">
            <v>6</v>
          </cell>
          <cell r="BR70" t="str">
            <v>R</v>
          </cell>
          <cell r="BS70" t="str">
            <v>S</v>
          </cell>
          <cell r="BT70">
            <v>0</v>
          </cell>
          <cell r="BU70" t="str">
            <v>SA</v>
          </cell>
          <cell r="BV70" t="str">
            <v/>
          </cell>
          <cell r="BW70">
            <v>2</v>
          </cell>
          <cell r="BX70">
            <v>10</v>
          </cell>
          <cell r="BY70" t="str">
            <v xml:space="preserve"> </v>
          </cell>
          <cell r="BZ70">
            <v>1</v>
          </cell>
          <cell r="CA70">
            <v>14</v>
          </cell>
          <cell r="CB70">
            <v>1.508</v>
          </cell>
          <cell r="CC70">
            <v>2.92</v>
          </cell>
          <cell r="CD70">
            <v>85</v>
          </cell>
          <cell r="CE70">
            <v>51</v>
          </cell>
          <cell r="CF70">
            <v>36</v>
          </cell>
          <cell r="CG70">
            <v>49</v>
          </cell>
          <cell r="CH70">
            <v>15</v>
          </cell>
          <cell r="CI70">
            <v>0.2</v>
          </cell>
          <cell r="CJ70">
            <v>6.6666666666666686E-4</v>
          </cell>
          <cell r="CK70">
            <v>10</v>
          </cell>
          <cell r="CL70">
            <v>36</v>
          </cell>
          <cell r="CM70">
            <v>0.33840564102564102</v>
          </cell>
          <cell r="CN70">
            <v>0.33840564102564102</v>
          </cell>
          <cell r="CO70">
            <v>0</v>
          </cell>
          <cell r="CP70">
            <v>0</v>
          </cell>
          <cell r="CQ70">
            <v>3.2584056410256408</v>
          </cell>
          <cell r="CR70">
            <v>0</v>
          </cell>
          <cell r="CS70">
            <v>1</v>
          </cell>
          <cell r="CT70">
            <v>0</v>
          </cell>
          <cell r="CU70">
            <v>0</v>
          </cell>
          <cell r="CV70">
            <v>27</v>
          </cell>
          <cell r="CW70">
            <v>27</v>
          </cell>
          <cell r="CX70" t="str">
            <v xml:space="preserve"> </v>
          </cell>
          <cell r="CY70">
            <v>1.5</v>
          </cell>
          <cell r="CZ70">
            <v>1.5</v>
          </cell>
          <cell r="DA70">
            <v>1.1000000000000001</v>
          </cell>
          <cell r="DB70">
            <v>1100</v>
          </cell>
          <cell r="DC70">
            <v>517</v>
          </cell>
          <cell r="DD70">
            <v>286</v>
          </cell>
          <cell r="DE70">
            <v>83</v>
          </cell>
          <cell r="DF70">
            <v>127</v>
          </cell>
          <cell r="DG70">
            <v>22</v>
          </cell>
          <cell r="DH70">
            <v>11</v>
          </cell>
          <cell r="DI70">
            <v>55</v>
          </cell>
        </row>
        <row r="71">
          <cell r="A71" t="str">
            <v>RS 128</v>
          </cell>
          <cell r="B71">
            <v>128</v>
          </cell>
          <cell r="C71" t="str">
            <v>S</v>
          </cell>
          <cell r="D71" t="str">
            <v>T</v>
          </cell>
          <cell r="E71" t="str">
            <v>Likwenu River Bridge - Mpilisi</v>
          </cell>
          <cell r="F71" t="str">
            <v>M03</v>
          </cell>
          <cell r="G71">
            <v>7</v>
          </cell>
          <cell r="H71">
            <v>15.4</v>
          </cell>
          <cell r="I71" t="str">
            <v>H</v>
          </cell>
          <cell r="J71" t="str">
            <v>MACHINGA</v>
          </cell>
          <cell r="K71">
            <v>8</v>
          </cell>
          <cell r="L71">
            <v>0</v>
          </cell>
          <cell r="W71">
            <v>71</v>
          </cell>
          <cell r="X71" t="str">
            <v>SA</v>
          </cell>
          <cell r="Y71">
            <v>125</v>
          </cell>
          <cell r="Z71" t="str">
            <v>SB</v>
          </cell>
          <cell r="AA71">
            <v>150</v>
          </cell>
          <cell r="AB71" t="str">
            <v>GR</v>
          </cell>
          <cell r="AC71">
            <v>14</v>
          </cell>
          <cell r="AD71" t="str">
            <v>VR</v>
          </cell>
          <cell r="AE71">
            <v>0</v>
          </cell>
          <cell r="AF71">
            <v>0</v>
          </cell>
          <cell r="AG71">
            <v>0</v>
          </cell>
          <cell r="AH71">
            <v>0</v>
          </cell>
          <cell r="AI71">
            <v>0</v>
          </cell>
          <cell r="AJ71">
            <v>0</v>
          </cell>
          <cell r="AK71">
            <v>0</v>
          </cell>
          <cell r="AL71">
            <v>0</v>
          </cell>
          <cell r="AM71">
            <v>2</v>
          </cell>
          <cell r="AN71" t="str">
            <v>never resealed</v>
          </cell>
          <cell r="BO71" t="str">
            <v>RS 128</v>
          </cell>
          <cell r="BP71">
            <v>15.4</v>
          </cell>
          <cell r="BQ71">
            <v>6</v>
          </cell>
          <cell r="BR71" t="str">
            <v>H</v>
          </cell>
          <cell r="BS71" t="str">
            <v>S</v>
          </cell>
          <cell r="BT71">
            <v>0</v>
          </cell>
          <cell r="BU71" t="str">
            <v>SA</v>
          </cell>
          <cell r="BV71" t="str">
            <v/>
          </cell>
          <cell r="BW71">
            <v>2</v>
          </cell>
          <cell r="BX71">
            <v>10</v>
          </cell>
          <cell r="BY71" t="str">
            <v xml:space="preserve"> </v>
          </cell>
          <cell r="BZ71">
            <v>1</v>
          </cell>
          <cell r="CA71">
            <v>14</v>
          </cell>
          <cell r="CB71">
            <v>1.508</v>
          </cell>
          <cell r="CC71">
            <v>2.9890041055718477</v>
          </cell>
          <cell r="CD71">
            <v>80</v>
          </cell>
          <cell r="CE71">
            <v>16</v>
          </cell>
          <cell r="CF71">
            <v>1</v>
          </cell>
          <cell r="CG71">
            <v>79</v>
          </cell>
          <cell r="CH71">
            <v>15</v>
          </cell>
          <cell r="CI71">
            <v>3</v>
          </cell>
          <cell r="CJ71">
            <v>1.0000000000000002E-2</v>
          </cell>
          <cell r="CK71">
            <v>1.01</v>
          </cell>
          <cell r="CL71">
            <v>1</v>
          </cell>
          <cell r="CM71">
            <v>2.0492307692307695E-2</v>
          </cell>
          <cell r="CN71">
            <v>2.0492307692307695E-2</v>
          </cell>
          <cell r="CO71">
            <v>0</v>
          </cell>
          <cell r="CP71">
            <v>0</v>
          </cell>
          <cell r="CQ71">
            <v>3.0094964132641553</v>
          </cell>
          <cell r="CR71">
            <v>0</v>
          </cell>
          <cell r="CS71">
            <v>1</v>
          </cell>
          <cell r="CT71">
            <v>0</v>
          </cell>
          <cell r="CU71">
            <v>0</v>
          </cell>
          <cell r="CV71">
            <v>27</v>
          </cell>
          <cell r="CW71">
            <v>27</v>
          </cell>
          <cell r="CX71" t="str">
            <v xml:space="preserve"> </v>
          </cell>
          <cell r="CY71">
            <v>1.2</v>
          </cell>
          <cell r="CZ71">
            <v>1.5</v>
          </cell>
          <cell r="DA71">
            <v>1.1000000000000001</v>
          </cell>
          <cell r="DB71">
            <v>1100</v>
          </cell>
          <cell r="DC71">
            <v>517</v>
          </cell>
          <cell r="DD71">
            <v>286</v>
          </cell>
          <cell r="DE71">
            <v>83</v>
          </cell>
          <cell r="DF71">
            <v>127</v>
          </cell>
          <cell r="DG71">
            <v>22</v>
          </cell>
          <cell r="DH71">
            <v>11</v>
          </cell>
          <cell r="DI71">
            <v>55</v>
          </cell>
        </row>
        <row r="72">
          <cell r="A72" t="str">
            <v>RS 119</v>
          </cell>
          <cell r="B72">
            <v>119</v>
          </cell>
          <cell r="C72" t="str">
            <v>S</v>
          </cell>
          <cell r="D72" t="str">
            <v>T</v>
          </cell>
          <cell r="E72" t="str">
            <v>Mpilisi - M'manga</v>
          </cell>
          <cell r="F72" t="str">
            <v>M03</v>
          </cell>
          <cell r="G72">
            <v>8</v>
          </cell>
          <cell r="H72">
            <v>12.5</v>
          </cell>
          <cell r="I72" t="str">
            <v>R</v>
          </cell>
          <cell r="J72" t="str">
            <v>MACHINGA</v>
          </cell>
          <cell r="K72">
            <v>8</v>
          </cell>
          <cell r="L72">
            <v>0</v>
          </cell>
          <cell r="W72">
            <v>71</v>
          </cell>
          <cell r="X72" t="str">
            <v>SA</v>
          </cell>
          <cell r="Y72">
            <v>125</v>
          </cell>
          <cell r="Z72" t="str">
            <v>SB</v>
          </cell>
          <cell r="AA72">
            <v>150</v>
          </cell>
          <cell r="AB72" t="str">
            <v>GR</v>
          </cell>
          <cell r="AC72">
            <v>14</v>
          </cell>
          <cell r="AD72" t="str">
            <v>VR</v>
          </cell>
          <cell r="AE72">
            <v>0</v>
          </cell>
          <cell r="AF72">
            <v>0</v>
          </cell>
          <cell r="AG72">
            <v>0</v>
          </cell>
          <cell r="AH72">
            <v>0</v>
          </cell>
          <cell r="AI72">
            <v>0</v>
          </cell>
          <cell r="AJ72">
            <v>0</v>
          </cell>
          <cell r="AK72">
            <v>0</v>
          </cell>
          <cell r="AL72">
            <v>0</v>
          </cell>
          <cell r="AM72">
            <v>2</v>
          </cell>
          <cell r="AN72" t="str">
            <v>never resealed</v>
          </cell>
          <cell r="BO72" t="str">
            <v>RS 119</v>
          </cell>
          <cell r="BP72">
            <v>12.5</v>
          </cell>
          <cell r="BQ72">
            <v>6</v>
          </cell>
          <cell r="BR72" t="str">
            <v>R</v>
          </cell>
          <cell r="BS72" t="str">
            <v>S</v>
          </cell>
          <cell r="BT72">
            <v>0</v>
          </cell>
          <cell r="BU72" t="str">
            <v>SA</v>
          </cell>
          <cell r="BV72" t="str">
            <v/>
          </cell>
          <cell r="BW72">
            <v>2</v>
          </cell>
          <cell r="BX72">
            <v>10</v>
          </cell>
          <cell r="BY72" t="str">
            <v xml:space="preserve"> </v>
          </cell>
          <cell r="BZ72">
            <v>1</v>
          </cell>
          <cell r="CA72">
            <v>14</v>
          </cell>
          <cell r="CB72">
            <v>1.508</v>
          </cell>
          <cell r="CC72">
            <v>4.49</v>
          </cell>
          <cell r="CD72">
            <v>90</v>
          </cell>
          <cell r="CE72">
            <v>45</v>
          </cell>
          <cell r="CF72">
            <v>30</v>
          </cell>
          <cell r="CG72">
            <v>60</v>
          </cell>
          <cell r="CH72">
            <v>15</v>
          </cell>
          <cell r="CI72">
            <v>48</v>
          </cell>
          <cell r="CJ72">
            <v>0.16000000000000003</v>
          </cell>
          <cell r="CK72">
            <v>10</v>
          </cell>
          <cell r="CL72">
            <v>30</v>
          </cell>
          <cell r="CM72">
            <v>0.35889230769230773</v>
          </cell>
          <cell r="CN72">
            <v>0.35889230769230773</v>
          </cell>
          <cell r="CO72">
            <v>0</v>
          </cell>
          <cell r="CP72">
            <v>0</v>
          </cell>
          <cell r="CQ72">
            <v>4.8488923076923083</v>
          </cell>
          <cell r="CR72">
            <v>30</v>
          </cell>
          <cell r="CS72">
            <v>1</v>
          </cell>
          <cell r="CT72">
            <v>0</v>
          </cell>
          <cell r="CU72">
            <v>0</v>
          </cell>
          <cell r="CV72">
            <v>27</v>
          </cell>
          <cell r="CW72">
            <v>27</v>
          </cell>
          <cell r="CX72" t="str">
            <v xml:space="preserve"> </v>
          </cell>
          <cell r="CY72">
            <v>1.5</v>
          </cell>
          <cell r="CZ72">
            <v>2</v>
          </cell>
          <cell r="DA72">
            <v>1.5</v>
          </cell>
          <cell r="DB72">
            <v>1000</v>
          </cell>
          <cell r="DC72">
            <v>470</v>
          </cell>
          <cell r="DD72">
            <v>260</v>
          </cell>
          <cell r="DE72">
            <v>75</v>
          </cell>
          <cell r="DF72">
            <v>115</v>
          </cell>
          <cell r="DG72">
            <v>20</v>
          </cell>
          <cell r="DH72">
            <v>10</v>
          </cell>
          <cell r="DI72">
            <v>50</v>
          </cell>
        </row>
        <row r="73">
          <cell r="A73" t="str">
            <v>RS 131</v>
          </cell>
          <cell r="B73">
            <v>131</v>
          </cell>
          <cell r="C73" t="str">
            <v>S</v>
          </cell>
          <cell r="D73" t="str">
            <v>T</v>
          </cell>
          <cell r="E73" t="str">
            <v>M'manga - Chibwana.</v>
          </cell>
          <cell r="F73" t="str">
            <v>M03</v>
          </cell>
          <cell r="G73">
            <v>9</v>
          </cell>
          <cell r="H73">
            <v>9.6999999999999993</v>
          </cell>
          <cell r="I73" t="str">
            <v>F</v>
          </cell>
          <cell r="J73" t="str">
            <v>MACHINGA</v>
          </cell>
          <cell r="K73">
            <v>8</v>
          </cell>
          <cell r="L73">
            <v>0</v>
          </cell>
          <cell r="W73">
            <v>74</v>
          </cell>
          <cell r="X73" t="str">
            <v>SA</v>
          </cell>
          <cell r="Y73">
            <v>125</v>
          </cell>
          <cell r="Z73" t="str">
            <v>SB</v>
          </cell>
          <cell r="AA73">
            <v>150</v>
          </cell>
          <cell r="AB73" t="str">
            <v>GR</v>
          </cell>
          <cell r="AC73">
            <v>14</v>
          </cell>
          <cell r="AD73" t="str">
            <v>VR</v>
          </cell>
          <cell r="AE73">
            <v>86</v>
          </cell>
          <cell r="AF73" t="str">
            <v>SR</v>
          </cell>
          <cell r="AG73" t="str">
            <v>ST</v>
          </cell>
          <cell r="AH73">
            <v>10</v>
          </cell>
          <cell r="AI73">
            <v>0</v>
          </cell>
          <cell r="AJ73">
            <v>0</v>
          </cell>
          <cell r="AK73">
            <v>0</v>
          </cell>
          <cell r="AL73">
            <v>0</v>
          </cell>
          <cell r="AM73">
            <v>5</v>
          </cell>
          <cell r="AN73">
            <v>0</v>
          </cell>
          <cell r="BO73" t="str">
            <v>RS 131</v>
          </cell>
          <cell r="BP73">
            <v>9.6999999999999993</v>
          </cell>
          <cell r="BQ73">
            <v>6</v>
          </cell>
          <cell r="BR73" t="str">
            <v>F</v>
          </cell>
          <cell r="BS73" t="str">
            <v>C</v>
          </cell>
          <cell r="BT73">
            <v>0</v>
          </cell>
          <cell r="BU73" t="str">
            <v>ST</v>
          </cell>
          <cell r="BV73" t="str">
            <v>SA</v>
          </cell>
          <cell r="BW73">
            <v>5</v>
          </cell>
          <cell r="BX73">
            <v>10</v>
          </cell>
          <cell r="BY73">
            <v>10</v>
          </cell>
          <cell r="BZ73">
            <v>1</v>
          </cell>
          <cell r="CA73">
            <v>14</v>
          </cell>
          <cell r="CB73">
            <v>1.6850000000000001</v>
          </cell>
          <cell r="CC73">
            <v>6.21</v>
          </cell>
          <cell r="CD73">
            <v>80</v>
          </cell>
          <cell r="CE73">
            <v>75</v>
          </cell>
          <cell r="CF73">
            <v>60</v>
          </cell>
          <cell r="CG73">
            <v>20</v>
          </cell>
          <cell r="CH73">
            <v>15</v>
          </cell>
          <cell r="CI73">
            <v>950</v>
          </cell>
          <cell r="CJ73">
            <v>3.166666666666667</v>
          </cell>
          <cell r="CK73">
            <v>10</v>
          </cell>
          <cell r="CL73">
            <v>60</v>
          </cell>
          <cell r="CM73">
            <v>1.6929487179487179</v>
          </cell>
          <cell r="CN73">
            <v>1.6929487179487179</v>
          </cell>
          <cell r="CO73">
            <v>0</v>
          </cell>
          <cell r="CP73">
            <v>0</v>
          </cell>
          <cell r="CQ73">
            <v>7.9029487179487177</v>
          </cell>
          <cell r="CR73">
            <v>90</v>
          </cell>
          <cell r="CS73">
            <v>1</v>
          </cell>
          <cell r="CT73">
            <v>0</v>
          </cell>
          <cell r="CU73">
            <v>0</v>
          </cell>
          <cell r="CV73">
            <v>12</v>
          </cell>
          <cell r="CW73">
            <v>24</v>
          </cell>
          <cell r="CX73">
            <v>48</v>
          </cell>
          <cell r="CY73">
            <v>2</v>
          </cell>
          <cell r="CZ73">
            <v>2</v>
          </cell>
          <cell r="DA73">
            <v>1.2</v>
          </cell>
          <cell r="DB73">
            <v>300</v>
          </cell>
          <cell r="DC73">
            <v>141</v>
          </cell>
          <cell r="DD73">
            <v>78</v>
          </cell>
          <cell r="DE73">
            <v>23</v>
          </cell>
          <cell r="DF73">
            <v>35</v>
          </cell>
          <cell r="DG73">
            <v>6</v>
          </cell>
          <cell r="DH73">
            <v>3</v>
          </cell>
          <cell r="DI73">
            <v>15</v>
          </cell>
        </row>
        <row r="74">
          <cell r="A74" t="str">
            <v>RS 125</v>
          </cell>
          <cell r="B74">
            <v>125</v>
          </cell>
          <cell r="C74" t="str">
            <v>S</v>
          </cell>
          <cell r="D74" t="str">
            <v>T</v>
          </cell>
          <cell r="E74" t="str">
            <v xml:space="preserve">Chibwana - Hoba. </v>
          </cell>
          <cell r="F74" t="str">
            <v>M03</v>
          </cell>
          <cell r="G74">
            <v>10</v>
          </cell>
          <cell r="H74">
            <v>10.8</v>
          </cell>
          <cell r="I74" t="str">
            <v>F</v>
          </cell>
          <cell r="J74" t="str">
            <v>MACHINGA</v>
          </cell>
          <cell r="K74">
            <v>8</v>
          </cell>
          <cell r="L74">
            <v>0</v>
          </cell>
          <cell r="W74">
            <v>74</v>
          </cell>
          <cell r="X74" t="str">
            <v>DS</v>
          </cell>
          <cell r="Y74">
            <v>150</v>
          </cell>
          <cell r="Z74" t="str">
            <v>SB</v>
          </cell>
          <cell r="AA74">
            <v>100</v>
          </cell>
          <cell r="AB74" t="str">
            <v>GR</v>
          </cell>
          <cell r="AC74">
            <v>6</v>
          </cell>
          <cell r="AD74" t="str">
            <v>VR</v>
          </cell>
          <cell r="AE74">
            <v>86</v>
          </cell>
          <cell r="AF74" t="str">
            <v>SR</v>
          </cell>
          <cell r="AG74" t="str">
            <v>ST</v>
          </cell>
          <cell r="AH74">
            <v>10</v>
          </cell>
          <cell r="AI74">
            <v>96</v>
          </cell>
          <cell r="AJ74" t="str">
            <v>SS</v>
          </cell>
          <cell r="AK74" t="str">
            <v>SS</v>
          </cell>
          <cell r="AL74">
            <v>5</v>
          </cell>
          <cell r="AM74">
            <v>3</v>
          </cell>
          <cell r="AN74">
            <v>0</v>
          </cell>
          <cell r="BO74" t="str">
            <v>RS 125</v>
          </cell>
          <cell r="BP74">
            <v>10.8</v>
          </cell>
          <cell r="BQ74">
            <v>6</v>
          </cell>
          <cell r="BR74" t="str">
            <v>F</v>
          </cell>
          <cell r="BS74" t="str">
            <v>S</v>
          </cell>
          <cell r="BT74">
            <v>0</v>
          </cell>
          <cell r="BU74" t="str">
            <v>SS</v>
          </cell>
          <cell r="BV74" t="str">
            <v>SR</v>
          </cell>
          <cell r="BW74">
            <v>3</v>
          </cell>
          <cell r="BX74">
            <v>5</v>
          </cell>
          <cell r="BY74">
            <v>10</v>
          </cell>
          <cell r="BZ74">
            <v>1</v>
          </cell>
          <cell r="CA74">
            <v>6</v>
          </cell>
          <cell r="CB74">
            <v>1.3540000000000001</v>
          </cell>
          <cell r="CC74">
            <v>5.78</v>
          </cell>
          <cell r="CD74">
            <v>60</v>
          </cell>
          <cell r="CE74">
            <v>6</v>
          </cell>
          <cell r="CF74">
            <v>0</v>
          </cell>
          <cell r="CG74">
            <v>60</v>
          </cell>
          <cell r="CH74">
            <v>6</v>
          </cell>
          <cell r="CI74">
            <v>76</v>
          </cell>
          <cell r="CJ74">
            <v>0.25333333333333335</v>
          </cell>
          <cell r="CK74">
            <v>0.25333333333333335</v>
          </cell>
          <cell r="CL74">
            <v>0</v>
          </cell>
          <cell r="CM74">
            <v>9.8215384615384621E-2</v>
          </cell>
          <cell r="CN74">
            <v>9.8215384615384621E-2</v>
          </cell>
          <cell r="CO74">
            <v>0</v>
          </cell>
          <cell r="CP74">
            <v>0</v>
          </cell>
          <cell r="CQ74">
            <v>5.8782153846153848</v>
          </cell>
          <cell r="CR74">
            <v>70</v>
          </cell>
          <cell r="CS74">
            <v>1</v>
          </cell>
          <cell r="CT74">
            <v>0</v>
          </cell>
          <cell r="CU74">
            <v>0</v>
          </cell>
          <cell r="CV74">
            <v>2</v>
          </cell>
          <cell r="CW74">
            <v>24</v>
          </cell>
          <cell r="CX74">
            <v>48</v>
          </cell>
          <cell r="CY74">
            <v>1.5</v>
          </cell>
          <cell r="CZ74">
            <v>2</v>
          </cell>
          <cell r="DA74">
            <v>1.2</v>
          </cell>
          <cell r="DB74">
            <v>300</v>
          </cell>
          <cell r="DC74">
            <v>141</v>
          </cell>
          <cell r="DD74">
            <v>78</v>
          </cell>
          <cell r="DE74">
            <v>23</v>
          </cell>
          <cell r="DF74">
            <v>35</v>
          </cell>
          <cell r="DG74">
            <v>6</v>
          </cell>
          <cell r="DH74">
            <v>3</v>
          </cell>
          <cell r="DI74">
            <v>15</v>
          </cell>
        </row>
        <row r="75">
          <cell r="A75" t="str">
            <v>RS 120</v>
          </cell>
          <cell r="B75">
            <v>120</v>
          </cell>
          <cell r="C75" t="str">
            <v>S</v>
          </cell>
          <cell r="D75" t="str">
            <v>T</v>
          </cell>
          <cell r="E75" t="str">
            <v>Hoba - Mpale River</v>
          </cell>
          <cell r="F75" t="str">
            <v>M03</v>
          </cell>
          <cell r="G75">
            <v>11</v>
          </cell>
          <cell r="H75">
            <v>14.6</v>
          </cell>
          <cell r="I75" t="str">
            <v>F</v>
          </cell>
          <cell r="J75" t="str">
            <v>MACHINGA</v>
          </cell>
          <cell r="K75">
            <v>8</v>
          </cell>
          <cell r="L75">
            <v>0</v>
          </cell>
          <cell r="W75">
            <v>74</v>
          </cell>
          <cell r="X75" t="str">
            <v>DS</v>
          </cell>
          <cell r="Y75">
            <v>150</v>
          </cell>
          <cell r="Z75" t="str">
            <v>SB</v>
          </cell>
          <cell r="AA75">
            <v>100</v>
          </cell>
          <cell r="AB75" t="str">
            <v>GR</v>
          </cell>
          <cell r="AC75">
            <v>6</v>
          </cell>
          <cell r="AD75" t="str">
            <v>VR</v>
          </cell>
          <cell r="AE75">
            <v>86</v>
          </cell>
          <cell r="AF75" t="str">
            <v>SR</v>
          </cell>
          <cell r="AG75" t="str">
            <v>ST</v>
          </cell>
          <cell r="AH75">
            <v>10</v>
          </cell>
          <cell r="AI75">
            <v>96</v>
          </cell>
          <cell r="AJ75" t="str">
            <v>SS</v>
          </cell>
          <cell r="AK75" t="str">
            <v>SS</v>
          </cell>
          <cell r="AL75">
            <v>5</v>
          </cell>
          <cell r="AM75">
            <v>3</v>
          </cell>
          <cell r="AN75">
            <v>0</v>
          </cell>
          <cell r="BO75" t="str">
            <v>RS 120</v>
          </cell>
          <cell r="BP75">
            <v>14.6</v>
          </cell>
          <cell r="BQ75">
            <v>6</v>
          </cell>
          <cell r="BR75" t="str">
            <v>F</v>
          </cell>
          <cell r="BS75" t="str">
            <v>S</v>
          </cell>
          <cell r="BT75">
            <v>0</v>
          </cell>
          <cell r="BU75" t="str">
            <v>SS</v>
          </cell>
          <cell r="BV75" t="str">
            <v>SR</v>
          </cell>
          <cell r="BW75">
            <v>3</v>
          </cell>
          <cell r="BX75">
            <v>5</v>
          </cell>
          <cell r="BY75">
            <v>10</v>
          </cell>
          <cell r="BZ75">
            <v>1</v>
          </cell>
          <cell r="CA75">
            <v>6</v>
          </cell>
          <cell r="CB75">
            <v>1.3540000000000001</v>
          </cell>
          <cell r="CC75">
            <v>4.87</v>
          </cell>
          <cell r="CD75">
            <v>20</v>
          </cell>
          <cell r="CE75">
            <v>0</v>
          </cell>
          <cell r="CF75">
            <v>0</v>
          </cell>
          <cell r="CG75">
            <v>20</v>
          </cell>
          <cell r="CH75">
            <v>0</v>
          </cell>
          <cell r="CI75">
            <v>3</v>
          </cell>
          <cell r="CJ75">
            <v>1.0000000000000002E-2</v>
          </cell>
          <cell r="CK75">
            <v>1.0000000000000002E-2</v>
          </cell>
          <cell r="CL75">
            <v>0</v>
          </cell>
          <cell r="CM75">
            <v>3.8769230769230782E-3</v>
          </cell>
          <cell r="CN75">
            <v>3.8769230769230782E-3</v>
          </cell>
          <cell r="CO75">
            <v>0</v>
          </cell>
          <cell r="CP75">
            <v>0</v>
          </cell>
          <cell r="CQ75">
            <v>4.8738769230769234</v>
          </cell>
          <cell r="CR75">
            <v>0</v>
          </cell>
          <cell r="CS75">
            <v>1</v>
          </cell>
          <cell r="CT75">
            <v>0</v>
          </cell>
          <cell r="CU75">
            <v>0</v>
          </cell>
          <cell r="CV75">
            <v>2</v>
          </cell>
          <cell r="CW75">
            <v>24</v>
          </cell>
          <cell r="CX75">
            <v>48</v>
          </cell>
          <cell r="CY75">
            <v>1.2</v>
          </cell>
          <cell r="CZ75">
            <v>1.5</v>
          </cell>
          <cell r="DA75">
            <v>1.1000000000000001</v>
          </cell>
          <cell r="DB75">
            <v>300</v>
          </cell>
          <cell r="DC75">
            <v>141</v>
          </cell>
          <cell r="DD75">
            <v>78</v>
          </cell>
          <cell r="DE75">
            <v>23</v>
          </cell>
          <cell r="DF75">
            <v>35</v>
          </cell>
          <cell r="DG75">
            <v>6</v>
          </cell>
          <cell r="DH75">
            <v>3</v>
          </cell>
          <cell r="DI75">
            <v>15</v>
          </cell>
        </row>
        <row r="76">
          <cell r="A76" t="str">
            <v>RS 129</v>
          </cell>
          <cell r="B76">
            <v>129</v>
          </cell>
          <cell r="C76" t="str">
            <v>S</v>
          </cell>
          <cell r="D76" t="str">
            <v>T</v>
          </cell>
          <cell r="E76" t="str">
            <v>Mpale River - Nkungulu</v>
          </cell>
          <cell r="F76" t="str">
            <v>M03</v>
          </cell>
          <cell r="G76">
            <v>12</v>
          </cell>
          <cell r="H76">
            <v>13</v>
          </cell>
          <cell r="I76" t="str">
            <v>R</v>
          </cell>
          <cell r="J76" t="str">
            <v>MACHINGA &amp; MANGOCHI</v>
          </cell>
          <cell r="K76">
            <v>8</v>
          </cell>
          <cell r="L76">
            <v>0</v>
          </cell>
          <cell r="W76">
            <v>74</v>
          </cell>
          <cell r="X76" t="str">
            <v>DS</v>
          </cell>
          <cell r="Y76">
            <v>150</v>
          </cell>
          <cell r="Z76" t="str">
            <v>SB</v>
          </cell>
          <cell r="AA76">
            <v>100</v>
          </cell>
          <cell r="AB76" t="str">
            <v>GR</v>
          </cell>
          <cell r="AC76">
            <v>6</v>
          </cell>
          <cell r="AD76" t="str">
            <v>VR</v>
          </cell>
          <cell r="AE76">
            <v>86</v>
          </cell>
          <cell r="AF76" t="str">
            <v>SR</v>
          </cell>
          <cell r="AG76" t="str">
            <v>ST</v>
          </cell>
          <cell r="AH76">
            <v>10</v>
          </cell>
          <cell r="AI76">
            <v>96</v>
          </cell>
          <cell r="AJ76" t="str">
            <v>SS</v>
          </cell>
          <cell r="AK76" t="str">
            <v>SS</v>
          </cell>
          <cell r="AL76">
            <v>5</v>
          </cell>
          <cell r="AM76">
            <v>3</v>
          </cell>
          <cell r="AN76">
            <v>0</v>
          </cell>
          <cell r="BO76" t="str">
            <v>RS 129</v>
          </cell>
          <cell r="BP76">
            <v>13</v>
          </cell>
          <cell r="BQ76">
            <v>6</v>
          </cell>
          <cell r="BR76" t="str">
            <v>R</v>
          </cell>
          <cell r="BS76" t="str">
            <v>S</v>
          </cell>
          <cell r="BT76">
            <v>0</v>
          </cell>
          <cell r="BU76" t="str">
            <v>SS</v>
          </cell>
          <cell r="BV76" t="str">
            <v>SR</v>
          </cell>
          <cell r="BW76">
            <v>3</v>
          </cell>
          <cell r="BX76">
            <v>5</v>
          </cell>
          <cell r="BY76">
            <v>10</v>
          </cell>
          <cell r="BZ76">
            <v>1</v>
          </cell>
          <cell r="CA76">
            <v>6</v>
          </cell>
          <cell r="CB76">
            <v>1.3540000000000001</v>
          </cell>
          <cell r="CC76">
            <v>3.2750301575393848</v>
          </cell>
          <cell r="CD76">
            <v>70</v>
          </cell>
          <cell r="CE76">
            <v>15</v>
          </cell>
          <cell r="CF76">
            <v>0</v>
          </cell>
          <cell r="CG76">
            <v>70</v>
          </cell>
          <cell r="CH76">
            <v>15</v>
          </cell>
          <cell r="CI76">
            <v>11</v>
          </cell>
          <cell r="CJ76">
            <v>3.6666666666666667E-2</v>
          </cell>
          <cell r="CK76">
            <v>3.6666666666666667E-2</v>
          </cell>
          <cell r="CL76">
            <v>0</v>
          </cell>
          <cell r="CM76">
            <v>1.4215384615384618E-2</v>
          </cell>
          <cell r="CN76">
            <v>1.4215384615384618E-2</v>
          </cell>
          <cell r="CO76">
            <v>0</v>
          </cell>
          <cell r="CP76">
            <v>0</v>
          </cell>
          <cell r="CQ76">
            <v>3.2892455421547693</v>
          </cell>
          <cell r="CR76">
            <v>10</v>
          </cell>
          <cell r="CS76">
            <v>1</v>
          </cell>
          <cell r="CT76">
            <v>0</v>
          </cell>
          <cell r="CU76">
            <v>0</v>
          </cell>
          <cell r="CV76">
            <v>2</v>
          </cell>
          <cell r="CW76">
            <v>24</v>
          </cell>
          <cell r="CX76">
            <v>48</v>
          </cell>
          <cell r="CY76">
            <v>1.2</v>
          </cell>
          <cell r="CZ76">
            <v>1.5</v>
          </cell>
          <cell r="DA76">
            <v>1.1000000000000001</v>
          </cell>
          <cell r="DB76">
            <v>300</v>
          </cell>
          <cell r="DC76">
            <v>141</v>
          </cell>
          <cell r="DD76">
            <v>78</v>
          </cell>
          <cell r="DE76">
            <v>23</v>
          </cell>
          <cell r="DF76">
            <v>35</v>
          </cell>
          <cell r="DG76">
            <v>6</v>
          </cell>
          <cell r="DH76">
            <v>3</v>
          </cell>
          <cell r="DI76">
            <v>15</v>
          </cell>
        </row>
        <row r="77">
          <cell r="A77" t="str">
            <v>RS 321</v>
          </cell>
          <cell r="B77">
            <v>143</v>
          </cell>
          <cell r="C77" t="str">
            <v>S</v>
          </cell>
          <cell r="D77" t="str">
            <v>T</v>
          </cell>
          <cell r="E77" t="str">
            <v>Nkungulu - Mangochi</v>
          </cell>
          <cell r="F77" t="str">
            <v>M03</v>
          </cell>
          <cell r="G77">
            <v>13</v>
          </cell>
          <cell r="H77">
            <v>21.3</v>
          </cell>
          <cell r="I77" t="str">
            <v>F</v>
          </cell>
          <cell r="J77" t="str">
            <v>MANGOCHI</v>
          </cell>
          <cell r="K77">
            <v>8</v>
          </cell>
          <cell r="L77">
            <v>0</v>
          </cell>
          <cell r="W77">
            <v>74</v>
          </cell>
          <cell r="X77" t="str">
            <v>DS</v>
          </cell>
          <cell r="Y77">
            <v>100</v>
          </cell>
          <cell r="Z77" t="str">
            <v>SB</v>
          </cell>
          <cell r="AA77">
            <v>100</v>
          </cell>
          <cell r="AB77" t="str">
            <v>GR</v>
          </cell>
          <cell r="AC77">
            <v>6</v>
          </cell>
          <cell r="AD77" t="str">
            <v>VR</v>
          </cell>
          <cell r="AE77">
            <v>0</v>
          </cell>
          <cell r="AF77">
            <v>0</v>
          </cell>
          <cell r="AG77">
            <v>0</v>
          </cell>
          <cell r="AH77">
            <v>0</v>
          </cell>
          <cell r="AI77">
            <v>0</v>
          </cell>
          <cell r="AJ77">
            <v>0</v>
          </cell>
          <cell r="AK77">
            <v>0</v>
          </cell>
          <cell r="AL77">
            <v>0</v>
          </cell>
          <cell r="AM77">
            <v>1</v>
          </cell>
          <cell r="AN77" t="str">
            <v>never resealed</v>
          </cell>
          <cell r="BO77" t="str">
            <v>RS 321</v>
          </cell>
          <cell r="BP77">
            <v>21.3</v>
          </cell>
          <cell r="BQ77">
            <v>6</v>
          </cell>
          <cell r="BR77" t="str">
            <v>F</v>
          </cell>
          <cell r="BS77" t="str">
            <v>C</v>
          </cell>
          <cell r="BT77">
            <v>0</v>
          </cell>
          <cell r="BU77" t="str">
            <v>DS</v>
          </cell>
          <cell r="BV77" t="str">
            <v/>
          </cell>
          <cell r="BW77">
            <v>1</v>
          </cell>
          <cell r="BX77">
            <v>15</v>
          </cell>
          <cell r="BY77" t="str">
            <v xml:space="preserve"> </v>
          </cell>
          <cell r="BZ77">
            <v>1</v>
          </cell>
          <cell r="CA77">
            <v>6</v>
          </cell>
          <cell r="CB77">
            <v>1.177</v>
          </cell>
          <cell r="CC77">
            <v>4.2485348973607042</v>
          </cell>
          <cell r="CD77">
            <v>97</v>
          </cell>
          <cell r="CE77">
            <v>68</v>
          </cell>
          <cell r="CF77">
            <v>53</v>
          </cell>
          <cell r="CG77">
            <v>44</v>
          </cell>
          <cell r="CH77">
            <v>15</v>
          </cell>
          <cell r="CI77">
            <v>4.5</v>
          </cell>
          <cell r="CJ77">
            <v>1.5000000000000001E-2</v>
          </cell>
          <cell r="CK77">
            <v>10</v>
          </cell>
          <cell r="CL77">
            <v>53</v>
          </cell>
          <cell r="CM77">
            <v>0.45628076923076921</v>
          </cell>
          <cell r="CN77">
            <v>0.45628076923076921</v>
          </cell>
          <cell r="CO77">
            <v>0</v>
          </cell>
          <cell r="CP77">
            <v>0</v>
          </cell>
          <cell r="CQ77">
            <v>4.7048156665914735</v>
          </cell>
          <cell r="CR77">
            <v>20</v>
          </cell>
          <cell r="CS77">
            <v>1</v>
          </cell>
          <cell r="CT77">
            <v>0</v>
          </cell>
          <cell r="CU77">
            <v>0</v>
          </cell>
          <cell r="CV77">
            <v>24</v>
          </cell>
          <cell r="CW77">
            <v>24</v>
          </cell>
          <cell r="CX77" t="str">
            <v xml:space="preserve"> </v>
          </cell>
          <cell r="CY77">
            <v>2</v>
          </cell>
          <cell r="CZ77">
            <v>1.8</v>
          </cell>
          <cell r="DA77">
            <v>1.5</v>
          </cell>
          <cell r="DB77">
            <v>300</v>
          </cell>
          <cell r="DC77">
            <v>141</v>
          </cell>
          <cell r="DD77">
            <v>78</v>
          </cell>
          <cell r="DE77">
            <v>23</v>
          </cell>
          <cell r="DF77">
            <v>35</v>
          </cell>
          <cell r="DG77">
            <v>6</v>
          </cell>
          <cell r="DH77">
            <v>3</v>
          </cell>
          <cell r="DI77">
            <v>15</v>
          </cell>
        </row>
        <row r="78">
          <cell r="A78" t="str">
            <v>RS 322</v>
          </cell>
          <cell r="B78">
            <v>144</v>
          </cell>
          <cell r="C78" t="str">
            <v>S</v>
          </cell>
          <cell r="D78" t="str">
            <v>T</v>
          </cell>
          <cell r="E78" t="str">
            <v>Mangochi - Chingo</v>
          </cell>
          <cell r="F78" t="str">
            <v>M03</v>
          </cell>
          <cell r="G78">
            <v>14</v>
          </cell>
          <cell r="H78">
            <v>6</v>
          </cell>
          <cell r="I78" t="str">
            <v>R</v>
          </cell>
          <cell r="J78" t="str">
            <v>MANGOCHI</v>
          </cell>
          <cell r="K78">
            <v>8</v>
          </cell>
          <cell r="L78">
            <v>0</v>
          </cell>
          <cell r="W78">
            <v>81</v>
          </cell>
          <cell r="X78" t="str">
            <v>ST</v>
          </cell>
          <cell r="Y78">
            <v>150</v>
          </cell>
          <cell r="Z78" t="str">
            <v>SB</v>
          </cell>
          <cell r="AA78">
            <v>150</v>
          </cell>
          <cell r="AB78" t="str">
            <v>GR</v>
          </cell>
          <cell r="AC78">
            <v>6</v>
          </cell>
          <cell r="AD78" t="str">
            <v>VR</v>
          </cell>
          <cell r="AE78">
            <v>0</v>
          </cell>
          <cell r="AF78">
            <v>0</v>
          </cell>
          <cell r="AG78">
            <v>0</v>
          </cell>
          <cell r="AH78">
            <v>0</v>
          </cell>
          <cell r="AI78">
            <v>0</v>
          </cell>
          <cell r="AJ78">
            <v>0</v>
          </cell>
          <cell r="AK78">
            <v>0</v>
          </cell>
          <cell r="AL78">
            <v>0</v>
          </cell>
          <cell r="AM78">
            <v>1</v>
          </cell>
          <cell r="AN78" t="str">
            <v>never resealed</v>
          </cell>
          <cell r="BO78" t="str">
            <v>RS 322</v>
          </cell>
          <cell r="BP78">
            <v>6</v>
          </cell>
          <cell r="BQ78">
            <v>6</v>
          </cell>
          <cell r="BR78" t="str">
            <v>R</v>
          </cell>
          <cell r="BS78" t="str">
            <v>C</v>
          </cell>
          <cell r="BT78">
            <v>30</v>
          </cell>
          <cell r="BU78" t="str">
            <v>ST</v>
          </cell>
          <cell r="BV78" t="str">
            <v/>
          </cell>
          <cell r="BW78">
            <v>1</v>
          </cell>
          <cell r="BX78">
            <v>10</v>
          </cell>
          <cell r="BY78" t="str">
            <v xml:space="preserve"> </v>
          </cell>
          <cell r="BZ78">
            <v>1</v>
          </cell>
          <cell r="CA78">
            <v>6</v>
          </cell>
          <cell r="CB78">
            <v>1.508</v>
          </cell>
          <cell r="CC78">
            <v>8</v>
          </cell>
          <cell r="CD78">
            <v>95</v>
          </cell>
          <cell r="CE78">
            <v>80</v>
          </cell>
          <cell r="CF78">
            <v>65</v>
          </cell>
          <cell r="CG78">
            <v>30</v>
          </cell>
          <cell r="CH78">
            <v>15</v>
          </cell>
          <cell r="CI78">
            <v>8</v>
          </cell>
          <cell r="CJ78">
            <v>2.6666666666666668E-2</v>
          </cell>
          <cell r="CK78">
            <v>10</v>
          </cell>
          <cell r="CL78">
            <v>65</v>
          </cell>
          <cell r="CM78">
            <v>0.5400717948717948</v>
          </cell>
          <cell r="CN78">
            <v>0.5400717948717948</v>
          </cell>
          <cell r="CO78">
            <v>0</v>
          </cell>
          <cell r="CP78">
            <v>0</v>
          </cell>
          <cell r="CQ78">
            <v>8.5400717948717944</v>
          </cell>
          <cell r="CR78">
            <v>20</v>
          </cell>
          <cell r="CS78">
            <v>1</v>
          </cell>
          <cell r="CT78">
            <v>0</v>
          </cell>
          <cell r="CU78">
            <v>0</v>
          </cell>
          <cell r="CV78">
            <v>17</v>
          </cell>
          <cell r="CW78">
            <v>17</v>
          </cell>
          <cell r="CX78" t="str">
            <v xml:space="preserve"> </v>
          </cell>
          <cell r="CY78">
            <v>2</v>
          </cell>
          <cell r="CZ78">
            <v>2</v>
          </cell>
          <cell r="DA78">
            <v>1.5</v>
          </cell>
          <cell r="DB78">
            <v>250</v>
          </cell>
          <cell r="DC78">
            <v>118</v>
          </cell>
          <cell r="DD78">
            <v>65</v>
          </cell>
          <cell r="DE78">
            <v>19</v>
          </cell>
          <cell r="DF78">
            <v>29</v>
          </cell>
          <cell r="DG78">
            <v>5</v>
          </cell>
          <cell r="DH78">
            <v>3</v>
          </cell>
          <cell r="DI78">
            <v>13</v>
          </cell>
        </row>
        <row r="79">
          <cell r="A79" t="str">
            <v>RS 324</v>
          </cell>
          <cell r="B79">
            <v>146</v>
          </cell>
          <cell r="C79" t="str">
            <v>S</v>
          </cell>
          <cell r="D79" t="str">
            <v>T</v>
          </cell>
          <cell r="E79" t="str">
            <v>Chingo - Mbalula</v>
          </cell>
          <cell r="F79" t="str">
            <v>M03</v>
          </cell>
          <cell r="G79">
            <v>15</v>
          </cell>
          <cell r="H79">
            <v>6</v>
          </cell>
          <cell r="I79" t="str">
            <v>R</v>
          </cell>
          <cell r="J79" t="str">
            <v>MANGOCHI</v>
          </cell>
          <cell r="K79">
            <v>7</v>
          </cell>
          <cell r="L79">
            <v>0</v>
          </cell>
          <cell r="W79">
            <v>81</v>
          </cell>
          <cell r="X79" t="str">
            <v>ST</v>
          </cell>
          <cell r="Y79">
            <v>150</v>
          </cell>
          <cell r="Z79" t="str">
            <v>SB</v>
          </cell>
          <cell r="AA79">
            <v>150</v>
          </cell>
          <cell r="AB79" t="str">
            <v>GR</v>
          </cell>
          <cell r="AC79">
            <v>6</v>
          </cell>
          <cell r="AD79" t="str">
            <v>VR</v>
          </cell>
          <cell r="AE79">
            <v>0</v>
          </cell>
          <cell r="AF79">
            <v>0</v>
          </cell>
          <cell r="AG79">
            <v>0</v>
          </cell>
          <cell r="AH79">
            <v>0</v>
          </cell>
          <cell r="AI79">
            <v>0</v>
          </cell>
          <cell r="AJ79">
            <v>0</v>
          </cell>
          <cell r="AK79">
            <v>0</v>
          </cell>
          <cell r="AL79">
            <v>0</v>
          </cell>
          <cell r="AM79">
            <v>1</v>
          </cell>
          <cell r="AN79" t="str">
            <v>never resealed</v>
          </cell>
          <cell r="BO79" t="str">
            <v>RS 324</v>
          </cell>
          <cell r="BP79">
            <v>6</v>
          </cell>
          <cell r="BQ79">
            <v>6</v>
          </cell>
          <cell r="BR79" t="str">
            <v>R</v>
          </cell>
          <cell r="BS79" t="str">
            <v>C</v>
          </cell>
          <cell r="BT79">
            <v>0</v>
          </cell>
          <cell r="BU79" t="str">
            <v>ST</v>
          </cell>
          <cell r="BV79" t="str">
            <v/>
          </cell>
          <cell r="BW79">
            <v>1</v>
          </cell>
          <cell r="BX79">
            <v>10</v>
          </cell>
          <cell r="BY79" t="str">
            <v xml:space="preserve"> </v>
          </cell>
          <cell r="BZ79">
            <v>1</v>
          </cell>
          <cell r="CA79">
            <v>6</v>
          </cell>
          <cell r="CB79">
            <v>1.508</v>
          </cell>
          <cell r="CC79">
            <v>8</v>
          </cell>
          <cell r="CD79">
            <v>85</v>
          </cell>
          <cell r="CE79">
            <v>60</v>
          </cell>
          <cell r="CF79">
            <v>45</v>
          </cell>
          <cell r="CG79">
            <v>40</v>
          </cell>
          <cell r="CH79">
            <v>15</v>
          </cell>
          <cell r="CI79">
            <v>10</v>
          </cell>
          <cell r="CJ79">
            <v>3.3333333333333333E-2</v>
          </cell>
          <cell r="CK79">
            <v>10</v>
          </cell>
          <cell r="CL79">
            <v>45</v>
          </cell>
          <cell r="CM79">
            <v>0.41028205128205131</v>
          </cell>
          <cell r="CN79">
            <v>0.41028205128205131</v>
          </cell>
          <cell r="CO79">
            <v>0</v>
          </cell>
          <cell r="CP79">
            <v>0</v>
          </cell>
          <cell r="CQ79">
            <v>8.4102820512820511</v>
          </cell>
          <cell r="CR79">
            <v>20</v>
          </cell>
          <cell r="CS79">
            <v>1</v>
          </cell>
          <cell r="CT79">
            <v>0</v>
          </cell>
          <cell r="CU79">
            <v>0</v>
          </cell>
          <cell r="CV79">
            <v>17</v>
          </cell>
          <cell r="CW79">
            <v>17</v>
          </cell>
          <cell r="CX79" t="str">
            <v xml:space="preserve"> </v>
          </cell>
          <cell r="CY79">
            <v>2</v>
          </cell>
          <cell r="CZ79">
            <v>2</v>
          </cell>
          <cell r="DA79">
            <v>1.5</v>
          </cell>
          <cell r="DB79">
            <v>250</v>
          </cell>
          <cell r="DC79">
            <v>118</v>
          </cell>
          <cell r="DD79">
            <v>65</v>
          </cell>
          <cell r="DE79">
            <v>19</v>
          </cell>
          <cell r="DF79">
            <v>29</v>
          </cell>
          <cell r="DG79">
            <v>5</v>
          </cell>
          <cell r="DH79">
            <v>3</v>
          </cell>
          <cell r="DI79">
            <v>13</v>
          </cell>
        </row>
        <row r="80">
          <cell r="A80" t="str">
            <v>RS 326</v>
          </cell>
          <cell r="B80">
            <v>148</v>
          </cell>
          <cell r="C80" t="str">
            <v>S</v>
          </cell>
          <cell r="D80" t="str">
            <v>T</v>
          </cell>
          <cell r="E80" t="str">
            <v>Chowe - Matola</v>
          </cell>
          <cell r="F80" t="str">
            <v>M03</v>
          </cell>
          <cell r="G80">
            <v>17</v>
          </cell>
          <cell r="H80">
            <v>4.7</v>
          </cell>
          <cell r="I80" t="str">
            <v>R</v>
          </cell>
          <cell r="J80" t="str">
            <v>MANGOCHI</v>
          </cell>
          <cell r="K80">
            <v>7</v>
          </cell>
          <cell r="L80">
            <v>0</v>
          </cell>
          <cell r="W80">
            <v>81</v>
          </cell>
          <cell r="X80" t="str">
            <v>ST</v>
          </cell>
          <cell r="Y80">
            <v>150</v>
          </cell>
          <cell r="Z80" t="str">
            <v>SB</v>
          </cell>
          <cell r="AA80">
            <v>150</v>
          </cell>
          <cell r="AB80" t="str">
            <v>GR</v>
          </cell>
          <cell r="AC80">
            <v>6</v>
          </cell>
          <cell r="AD80" t="str">
            <v>VR</v>
          </cell>
          <cell r="AE80">
            <v>0</v>
          </cell>
          <cell r="AF80">
            <v>0</v>
          </cell>
          <cell r="AG80">
            <v>0</v>
          </cell>
          <cell r="AH80">
            <v>0</v>
          </cell>
          <cell r="AI80">
            <v>0</v>
          </cell>
          <cell r="AJ80">
            <v>0</v>
          </cell>
          <cell r="AK80">
            <v>0</v>
          </cell>
          <cell r="AL80">
            <v>0</v>
          </cell>
          <cell r="AM80">
            <v>1</v>
          </cell>
          <cell r="AN80" t="str">
            <v>never resealed</v>
          </cell>
          <cell r="BO80" t="str">
            <v>RS 326</v>
          </cell>
          <cell r="BP80">
            <v>4.7</v>
          </cell>
          <cell r="BQ80">
            <v>6</v>
          </cell>
          <cell r="BR80" t="str">
            <v>R</v>
          </cell>
          <cell r="BS80" t="str">
            <v>C</v>
          </cell>
          <cell r="BT80">
            <v>0</v>
          </cell>
          <cell r="BU80" t="str">
            <v>ST</v>
          </cell>
          <cell r="BV80" t="str">
            <v/>
          </cell>
          <cell r="BW80">
            <v>1</v>
          </cell>
          <cell r="BX80">
            <v>10</v>
          </cell>
          <cell r="BY80" t="str">
            <v xml:space="preserve"> </v>
          </cell>
          <cell r="BZ80">
            <v>1</v>
          </cell>
          <cell r="CA80">
            <v>6</v>
          </cell>
          <cell r="CB80">
            <v>1.508</v>
          </cell>
          <cell r="CC80">
            <v>8</v>
          </cell>
          <cell r="CD80">
            <v>90</v>
          </cell>
          <cell r="CE80">
            <v>75</v>
          </cell>
          <cell r="CF80">
            <v>60</v>
          </cell>
          <cell r="CG80">
            <v>30</v>
          </cell>
          <cell r="CH80">
            <v>15</v>
          </cell>
          <cell r="CI80">
            <v>5</v>
          </cell>
          <cell r="CJ80">
            <v>1.6666666666666666E-2</v>
          </cell>
          <cell r="CK80">
            <v>10</v>
          </cell>
          <cell r="CL80">
            <v>60</v>
          </cell>
          <cell r="CM80">
            <v>0.50321794871794867</v>
          </cell>
          <cell r="CN80">
            <v>0.50321794871794867</v>
          </cell>
          <cell r="CO80">
            <v>0</v>
          </cell>
          <cell r="CP80">
            <v>0</v>
          </cell>
          <cell r="CQ80">
            <v>8.503217948717948</v>
          </cell>
          <cell r="CR80">
            <v>20</v>
          </cell>
          <cell r="CS80">
            <v>1</v>
          </cell>
          <cell r="CT80">
            <v>0</v>
          </cell>
          <cell r="CU80">
            <v>0</v>
          </cell>
          <cell r="CV80">
            <v>17</v>
          </cell>
          <cell r="CW80">
            <v>17</v>
          </cell>
          <cell r="CX80" t="str">
            <v xml:space="preserve"> </v>
          </cell>
          <cell r="CY80">
            <v>2</v>
          </cell>
          <cell r="CZ80">
            <v>2</v>
          </cell>
          <cell r="DA80">
            <v>1.5</v>
          </cell>
          <cell r="DB80">
            <v>120</v>
          </cell>
          <cell r="DC80">
            <v>57</v>
          </cell>
          <cell r="DD80">
            <v>32</v>
          </cell>
          <cell r="DE80">
            <v>9</v>
          </cell>
          <cell r="DF80">
            <v>14</v>
          </cell>
          <cell r="DG80">
            <v>3</v>
          </cell>
          <cell r="DH80">
            <v>2</v>
          </cell>
          <cell r="DI80">
            <v>6</v>
          </cell>
        </row>
        <row r="81">
          <cell r="A81" t="str">
            <v>RS 107</v>
          </cell>
          <cell r="B81">
            <v>107</v>
          </cell>
          <cell r="C81" t="str">
            <v>S</v>
          </cell>
          <cell r="D81" t="str">
            <v>T</v>
          </cell>
          <cell r="E81" t="str">
            <v>Limbe - Gogomwa</v>
          </cell>
          <cell r="F81" t="str">
            <v>M04</v>
          </cell>
          <cell r="G81">
            <v>1</v>
          </cell>
          <cell r="H81">
            <v>5.6</v>
          </cell>
          <cell r="I81" t="str">
            <v>R</v>
          </cell>
          <cell r="J81" t="str">
            <v>BLANTYRE</v>
          </cell>
          <cell r="K81">
            <v>9</v>
          </cell>
          <cell r="L81" t="str">
            <v>Changed designation from M2 to M4</v>
          </cell>
          <cell r="W81">
            <v>58</v>
          </cell>
          <cell r="X81" t="str">
            <v>ST</v>
          </cell>
          <cell r="Y81">
            <v>400</v>
          </cell>
          <cell r="Z81" t="str">
            <v>SB</v>
          </cell>
          <cell r="AA81">
            <v>125</v>
          </cell>
          <cell r="AB81" t="str">
            <v>GR</v>
          </cell>
          <cell r="AC81">
            <v>19</v>
          </cell>
          <cell r="AD81" t="str">
            <v>VR</v>
          </cell>
          <cell r="AE81">
            <v>0</v>
          </cell>
          <cell r="AF81">
            <v>0</v>
          </cell>
          <cell r="AG81">
            <v>0</v>
          </cell>
          <cell r="AH81">
            <v>0</v>
          </cell>
          <cell r="AI81">
            <v>0</v>
          </cell>
          <cell r="AJ81">
            <v>0</v>
          </cell>
          <cell r="AK81">
            <v>0</v>
          </cell>
          <cell r="AL81">
            <v>0</v>
          </cell>
          <cell r="AM81">
            <v>1</v>
          </cell>
          <cell r="AN81" t="str">
            <v>bitumen removed 4km</v>
          </cell>
          <cell r="BO81" t="str">
            <v>RS 107</v>
          </cell>
          <cell r="BP81">
            <v>5.6</v>
          </cell>
          <cell r="BQ81">
            <v>6</v>
          </cell>
          <cell r="BR81" t="str">
            <v>R</v>
          </cell>
          <cell r="BS81" t="str">
            <v>C</v>
          </cell>
          <cell r="BT81">
            <v>70</v>
          </cell>
          <cell r="BU81" t="str">
            <v>ST</v>
          </cell>
          <cell r="BV81" t="str">
            <v/>
          </cell>
          <cell r="BW81">
            <v>1</v>
          </cell>
          <cell r="BX81">
            <v>10</v>
          </cell>
          <cell r="BY81" t="str">
            <v xml:space="preserve"> </v>
          </cell>
          <cell r="BZ81">
            <v>1</v>
          </cell>
          <cell r="CA81">
            <v>19</v>
          </cell>
          <cell r="CB81">
            <v>1.258</v>
          </cell>
          <cell r="CC81">
            <v>7.976293094129149</v>
          </cell>
          <cell r="CD81">
            <v>95</v>
          </cell>
          <cell r="CE81">
            <v>80</v>
          </cell>
          <cell r="CF81">
            <v>65</v>
          </cell>
          <cell r="CG81">
            <v>30</v>
          </cell>
          <cell r="CH81">
            <v>15</v>
          </cell>
          <cell r="CI81">
            <v>6</v>
          </cell>
          <cell r="CJ81">
            <v>2.0000000000000004E-2</v>
          </cell>
          <cell r="CK81">
            <v>10</v>
          </cell>
          <cell r="CL81">
            <v>65</v>
          </cell>
          <cell r="CM81">
            <v>0.53755384615384616</v>
          </cell>
          <cell r="CN81">
            <v>0.53755384615384616</v>
          </cell>
          <cell r="CO81">
            <v>0</v>
          </cell>
          <cell r="CP81">
            <v>0</v>
          </cell>
          <cell r="CQ81">
            <v>8.5138469402829955</v>
          </cell>
          <cell r="CR81">
            <v>20</v>
          </cell>
          <cell r="CS81">
            <v>1</v>
          </cell>
          <cell r="CT81">
            <v>0</v>
          </cell>
          <cell r="CU81">
            <v>0</v>
          </cell>
          <cell r="CV81">
            <v>40</v>
          </cell>
          <cell r="CW81">
            <v>40</v>
          </cell>
          <cell r="CX81" t="str">
            <v xml:space="preserve"> </v>
          </cell>
          <cell r="CY81">
            <v>2</v>
          </cell>
          <cell r="CZ81">
            <v>2</v>
          </cell>
          <cell r="DA81">
            <v>1.5</v>
          </cell>
          <cell r="DB81">
            <v>900</v>
          </cell>
          <cell r="DC81">
            <v>423</v>
          </cell>
          <cell r="DD81">
            <v>234</v>
          </cell>
          <cell r="DE81">
            <v>68</v>
          </cell>
          <cell r="DF81">
            <v>104</v>
          </cell>
          <cell r="DG81">
            <v>18</v>
          </cell>
          <cell r="DH81">
            <v>9</v>
          </cell>
          <cell r="DI81">
            <v>45</v>
          </cell>
        </row>
        <row r="82">
          <cell r="A82" t="str">
            <v>RS 331</v>
          </cell>
          <cell r="B82">
            <v>153</v>
          </cell>
          <cell r="C82" t="str">
            <v>S</v>
          </cell>
          <cell r="D82" t="str">
            <v>T</v>
          </cell>
          <cell r="E82" t="str">
            <v>Gogomwa - Mikolongwe</v>
          </cell>
          <cell r="F82" t="str">
            <v>M04</v>
          </cell>
          <cell r="G82">
            <v>2</v>
          </cell>
          <cell r="H82">
            <v>11.9</v>
          </cell>
          <cell r="I82" t="str">
            <v>H</v>
          </cell>
          <cell r="J82" t="str">
            <v>CHIRADZULU</v>
          </cell>
          <cell r="K82">
            <v>9</v>
          </cell>
          <cell r="L82">
            <v>0</v>
          </cell>
          <cell r="W82">
            <v>58</v>
          </cell>
          <cell r="X82" t="str">
            <v>ST</v>
          </cell>
          <cell r="Y82">
            <v>400</v>
          </cell>
          <cell r="Z82" t="str">
            <v>SB</v>
          </cell>
          <cell r="AA82">
            <v>125</v>
          </cell>
          <cell r="AB82" t="str">
            <v>GR</v>
          </cell>
          <cell r="AC82">
            <v>19</v>
          </cell>
          <cell r="AD82" t="str">
            <v>VR</v>
          </cell>
          <cell r="AE82">
            <v>0</v>
          </cell>
          <cell r="AF82">
            <v>0</v>
          </cell>
          <cell r="AG82">
            <v>0</v>
          </cell>
          <cell r="AH82">
            <v>0</v>
          </cell>
          <cell r="AI82">
            <v>0</v>
          </cell>
          <cell r="AJ82">
            <v>0</v>
          </cell>
          <cell r="AK82">
            <v>0</v>
          </cell>
          <cell r="AL82">
            <v>0</v>
          </cell>
          <cell r="AM82">
            <v>1</v>
          </cell>
          <cell r="AN82" t="str">
            <v>never resealed</v>
          </cell>
          <cell r="BO82" t="str">
            <v>RS 331</v>
          </cell>
          <cell r="BP82">
            <v>11.9</v>
          </cell>
          <cell r="BQ82" t="str">
            <v>n.a.</v>
          </cell>
          <cell r="BR82" t="str">
            <v>H</v>
          </cell>
          <cell r="BS82">
            <v>0</v>
          </cell>
          <cell r="BT82">
            <v>100</v>
          </cell>
          <cell r="BU82" t="str">
            <v>ST</v>
          </cell>
          <cell r="BV82" t="str">
            <v/>
          </cell>
          <cell r="BW82">
            <v>1</v>
          </cell>
          <cell r="BX82">
            <v>10</v>
          </cell>
          <cell r="BY82" t="str">
            <v xml:space="preserve"> </v>
          </cell>
          <cell r="BZ82">
            <v>1</v>
          </cell>
          <cell r="CA82">
            <v>0</v>
          </cell>
          <cell r="CB82">
            <v>0</v>
          </cell>
          <cell r="CC82" t="str">
            <v>bitumen surface removed</v>
          </cell>
          <cell r="CD82">
            <v>0</v>
          </cell>
          <cell r="CE82">
            <v>0</v>
          </cell>
          <cell r="CF82">
            <v>0</v>
          </cell>
          <cell r="CG82">
            <v>0</v>
          </cell>
          <cell r="CH82">
            <v>0</v>
          </cell>
          <cell r="CI82">
            <v>0</v>
          </cell>
          <cell r="CJ82">
            <v>0</v>
          </cell>
          <cell r="CK82">
            <v>0</v>
          </cell>
          <cell r="CL82">
            <v>0</v>
          </cell>
          <cell r="CM82">
            <v>0</v>
          </cell>
          <cell r="CN82">
            <v>0</v>
          </cell>
          <cell r="CO82">
            <v>0</v>
          </cell>
          <cell r="CP82">
            <v>0</v>
          </cell>
          <cell r="CQ82">
            <v>0</v>
          </cell>
          <cell r="CR82">
            <v>0</v>
          </cell>
          <cell r="CS82">
            <v>0</v>
          </cell>
          <cell r="CT82">
            <v>0</v>
          </cell>
          <cell r="CU82">
            <v>0</v>
          </cell>
          <cell r="CV82">
            <v>0</v>
          </cell>
          <cell r="CW82">
            <v>0</v>
          </cell>
          <cell r="CX82">
            <v>0</v>
          </cell>
          <cell r="CY82" t="str">
            <v>n.a.</v>
          </cell>
          <cell r="CZ82" t="str">
            <v>n.a.</v>
          </cell>
          <cell r="DA82">
            <v>1.5</v>
          </cell>
          <cell r="DB82">
            <v>880</v>
          </cell>
          <cell r="DC82">
            <v>414</v>
          </cell>
          <cell r="DD82">
            <v>229</v>
          </cell>
          <cell r="DE82">
            <v>66</v>
          </cell>
          <cell r="DF82">
            <v>102</v>
          </cell>
          <cell r="DG82">
            <v>18</v>
          </cell>
          <cell r="DH82">
            <v>9</v>
          </cell>
          <cell r="DI82">
            <v>44</v>
          </cell>
        </row>
        <row r="83">
          <cell r="A83" t="str">
            <v>RS 005</v>
          </cell>
          <cell r="B83" t="str">
            <v>5</v>
          </cell>
          <cell r="C83" t="str">
            <v>N</v>
          </cell>
          <cell r="D83" t="str">
            <v>T</v>
          </cell>
          <cell r="E83" t="str">
            <v>Mzuzu - Nkhata Bay t/off (Kalwe)</v>
          </cell>
          <cell r="F83" t="str">
            <v>M05</v>
          </cell>
          <cell r="G83">
            <v>1</v>
          </cell>
          <cell r="H83">
            <v>45</v>
          </cell>
          <cell r="I83" t="str">
            <v>F</v>
          </cell>
          <cell r="J83" t="str">
            <v>MZIMBA &amp; NKHAT BAY</v>
          </cell>
          <cell r="K83">
            <v>3</v>
          </cell>
          <cell r="L83">
            <v>0</v>
          </cell>
          <cell r="W83">
            <v>75</v>
          </cell>
          <cell r="X83" t="str">
            <v>ST</v>
          </cell>
          <cell r="Y83">
            <v>150</v>
          </cell>
          <cell r="Z83" t="str">
            <v>SG</v>
          </cell>
          <cell r="AA83">
            <v>100</v>
          </cell>
          <cell r="AB83" t="str">
            <v>GR</v>
          </cell>
          <cell r="AC83">
            <v>7</v>
          </cell>
          <cell r="AD83" t="str">
            <v>VR</v>
          </cell>
          <cell r="AE83">
            <v>0</v>
          </cell>
          <cell r="AF83">
            <v>0</v>
          </cell>
          <cell r="AG83">
            <v>0</v>
          </cell>
          <cell r="AH83">
            <v>0</v>
          </cell>
          <cell r="AI83">
            <v>0</v>
          </cell>
          <cell r="AJ83">
            <v>0</v>
          </cell>
          <cell r="AK83">
            <v>0</v>
          </cell>
          <cell r="AL83">
            <v>0</v>
          </cell>
          <cell r="AM83">
            <v>1</v>
          </cell>
          <cell r="AN83" t="str">
            <v>never resealed</v>
          </cell>
          <cell r="BO83" t="str">
            <v>RS 005</v>
          </cell>
          <cell r="BP83">
            <v>45</v>
          </cell>
          <cell r="BQ83">
            <v>6</v>
          </cell>
          <cell r="BR83" t="str">
            <v>F</v>
          </cell>
          <cell r="BS83" t="str">
            <v>C</v>
          </cell>
          <cell r="BT83">
            <v>0</v>
          </cell>
          <cell r="BU83" t="str">
            <v>ST</v>
          </cell>
          <cell r="BV83" t="str">
            <v/>
          </cell>
          <cell r="BW83">
            <v>1</v>
          </cell>
          <cell r="BX83">
            <v>10</v>
          </cell>
          <cell r="BY83" t="str">
            <v xml:space="preserve"> </v>
          </cell>
          <cell r="BZ83">
            <v>2</v>
          </cell>
          <cell r="CA83">
            <v>7</v>
          </cell>
          <cell r="CB83">
            <v>1.36</v>
          </cell>
          <cell r="CC83">
            <v>6.6040586284683052</v>
          </cell>
          <cell r="CD83">
            <v>36</v>
          </cell>
          <cell r="CE83">
            <v>23</v>
          </cell>
          <cell r="CF83">
            <v>8</v>
          </cell>
          <cell r="CG83">
            <v>28</v>
          </cell>
          <cell r="CH83">
            <v>15</v>
          </cell>
          <cell r="CI83">
            <v>8.6999999999999993</v>
          </cell>
          <cell r="CJ83">
            <v>2.9000000000000001E-2</v>
          </cell>
          <cell r="CK83">
            <v>8.0289999999999999</v>
          </cell>
          <cell r="CL83">
            <v>8</v>
          </cell>
          <cell r="CM83">
            <v>0.14416615384615386</v>
          </cell>
          <cell r="CN83">
            <v>0.14416615384615386</v>
          </cell>
          <cell r="CO83">
            <v>0</v>
          </cell>
          <cell r="CP83">
            <v>0</v>
          </cell>
          <cell r="CQ83">
            <v>6.748224782314459</v>
          </cell>
          <cell r="CR83">
            <v>0</v>
          </cell>
          <cell r="CS83">
            <v>1</v>
          </cell>
          <cell r="CT83">
            <v>0</v>
          </cell>
          <cell r="CU83">
            <v>0</v>
          </cell>
          <cell r="CV83">
            <v>23</v>
          </cell>
          <cell r="CW83">
            <v>23</v>
          </cell>
          <cell r="CX83" t="str">
            <v xml:space="preserve"> </v>
          </cell>
          <cell r="CY83">
            <v>2</v>
          </cell>
          <cell r="CZ83">
            <v>2</v>
          </cell>
          <cell r="DA83">
            <v>2</v>
          </cell>
          <cell r="DB83">
            <v>400</v>
          </cell>
          <cell r="DC83">
            <v>188</v>
          </cell>
          <cell r="DD83">
            <v>104</v>
          </cell>
          <cell r="DE83">
            <v>30</v>
          </cell>
          <cell r="DF83">
            <v>46</v>
          </cell>
          <cell r="DG83">
            <v>8</v>
          </cell>
          <cell r="DH83">
            <v>4</v>
          </cell>
          <cell r="DI83">
            <v>20</v>
          </cell>
        </row>
        <row r="84">
          <cell r="A84" t="str">
            <v>RS 007</v>
          </cell>
          <cell r="B84" t="str">
            <v>7</v>
          </cell>
          <cell r="C84" t="str">
            <v>N</v>
          </cell>
          <cell r="D84" t="str">
            <v>T</v>
          </cell>
          <cell r="E84" t="str">
            <v>Nkhata Bay t/off (Kalwe) - Dwambazi River</v>
          </cell>
          <cell r="F84" t="str">
            <v>M05</v>
          </cell>
          <cell r="G84">
            <v>2</v>
          </cell>
          <cell r="H84">
            <v>82</v>
          </cell>
          <cell r="I84" t="str">
            <v>R</v>
          </cell>
          <cell r="J84" t="str">
            <v>NKHATA BAY</v>
          </cell>
          <cell r="K84" t="str">
            <v>3,4</v>
          </cell>
          <cell r="L84">
            <v>0</v>
          </cell>
          <cell r="W84">
            <v>94</v>
          </cell>
          <cell r="X84" t="str">
            <v>DS</v>
          </cell>
          <cell r="Y84">
            <v>150</v>
          </cell>
          <cell r="Z84" t="str">
            <v>SB</v>
          </cell>
          <cell r="AA84">
            <v>225</v>
          </cell>
          <cell r="AB84" t="str">
            <v>GR</v>
          </cell>
          <cell r="AC84">
            <v>22</v>
          </cell>
          <cell r="AD84" t="str">
            <v>VR</v>
          </cell>
          <cell r="AE84">
            <v>0</v>
          </cell>
          <cell r="AF84">
            <v>0</v>
          </cell>
          <cell r="AG84">
            <v>0</v>
          </cell>
          <cell r="AH84">
            <v>0</v>
          </cell>
          <cell r="AI84">
            <v>0</v>
          </cell>
          <cell r="AJ84">
            <v>0</v>
          </cell>
          <cell r="AK84">
            <v>0</v>
          </cell>
          <cell r="AL84">
            <v>0</v>
          </cell>
          <cell r="AM84">
            <v>1</v>
          </cell>
          <cell r="AN84" t="str">
            <v>never resealed</v>
          </cell>
          <cell r="BO84" t="str">
            <v>RS 007</v>
          </cell>
          <cell r="BP84">
            <v>82</v>
          </cell>
          <cell r="BQ84">
            <v>6</v>
          </cell>
          <cell r="BR84" t="str">
            <v>R</v>
          </cell>
          <cell r="BS84" t="str">
            <v>C</v>
          </cell>
          <cell r="BT84">
            <v>0</v>
          </cell>
          <cell r="BU84" t="str">
            <v>DS</v>
          </cell>
          <cell r="BV84" t="str">
            <v/>
          </cell>
          <cell r="BW84">
            <v>1</v>
          </cell>
          <cell r="BX84">
            <v>15</v>
          </cell>
          <cell r="BY84" t="str">
            <v xml:space="preserve"> </v>
          </cell>
          <cell r="BZ84">
            <v>1</v>
          </cell>
          <cell r="CA84">
            <v>22</v>
          </cell>
          <cell r="CB84">
            <v>2.427</v>
          </cell>
          <cell r="CC84">
            <v>3.7143049448882604</v>
          </cell>
          <cell r="CD84">
            <v>0</v>
          </cell>
          <cell r="CE84">
            <v>0</v>
          </cell>
          <cell r="CF84">
            <v>0</v>
          </cell>
          <cell r="CG84">
            <v>0</v>
          </cell>
          <cell r="CH84">
            <v>0</v>
          </cell>
          <cell r="CI84">
            <v>1.9</v>
          </cell>
          <cell r="CJ84">
            <v>6.3333333333333332E-3</v>
          </cell>
          <cell r="CK84">
            <v>6.3333333333333332E-3</v>
          </cell>
          <cell r="CL84">
            <v>0</v>
          </cell>
          <cell r="CM84">
            <v>2.4553846153846158E-3</v>
          </cell>
          <cell r="CN84">
            <v>2.4553846153846158E-3</v>
          </cell>
          <cell r="CO84">
            <v>0</v>
          </cell>
          <cell r="CP84">
            <v>0</v>
          </cell>
          <cell r="CQ84">
            <v>3.7167603295036451</v>
          </cell>
          <cell r="CR84">
            <v>0</v>
          </cell>
          <cell r="CS84">
            <v>1</v>
          </cell>
          <cell r="CT84">
            <v>0</v>
          </cell>
          <cell r="CU84">
            <v>0</v>
          </cell>
          <cell r="CV84">
            <v>4</v>
          </cell>
          <cell r="CW84">
            <v>4</v>
          </cell>
          <cell r="CX84" t="str">
            <v xml:space="preserve"> </v>
          </cell>
          <cell r="CY84">
            <v>1.8</v>
          </cell>
          <cell r="CZ84">
            <v>1.1000000000000001</v>
          </cell>
          <cell r="DA84">
            <v>1.1000000000000001</v>
          </cell>
          <cell r="DB84">
            <v>300</v>
          </cell>
          <cell r="DC84">
            <v>141</v>
          </cell>
          <cell r="DD84">
            <v>78</v>
          </cell>
          <cell r="DE84">
            <v>23</v>
          </cell>
          <cell r="DF84">
            <v>35</v>
          </cell>
          <cell r="DG84">
            <v>6</v>
          </cell>
          <cell r="DH84">
            <v>3</v>
          </cell>
          <cell r="DI84">
            <v>15</v>
          </cell>
        </row>
        <row r="85">
          <cell r="A85" t="str">
            <v>RS 047</v>
          </cell>
          <cell r="B85">
            <v>47</v>
          </cell>
          <cell r="C85" t="str">
            <v>C</v>
          </cell>
          <cell r="D85" t="str">
            <v>T</v>
          </cell>
          <cell r="E85" t="str">
            <v>Dwambazi River - Lawrence Kachulu</v>
          </cell>
          <cell r="F85" t="str">
            <v>M05</v>
          </cell>
          <cell r="G85">
            <v>3</v>
          </cell>
          <cell r="H85">
            <v>16.5</v>
          </cell>
          <cell r="I85" t="str">
            <v>F</v>
          </cell>
          <cell r="J85" t="str">
            <v>NKHATA BAY</v>
          </cell>
          <cell r="K85">
            <v>4</v>
          </cell>
          <cell r="L85">
            <v>0</v>
          </cell>
          <cell r="W85">
            <v>94</v>
          </cell>
          <cell r="X85" t="str">
            <v>DS</v>
          </cell>
          <cell r="Y85">
            <v>150</v>
          </cell>
          <cell r="Z85" t="str">
            <v>SB</v>
          </cell>
          <cell r="AA85">
            <v>225</v>
          </cell>
          <cell r="AB85" t="str">
            <v>GR</v>
          </cell>
          <cell r="AC85">
            <v>22</v>
          </cell>
          <cell r="AD85" t="str">
            <v>VR</v>
          </cell>
          <cell r="AE85">
            <v>0</v>
          </cell>
          <cell r="AF85">
            <v>0</v>
          </cell>
          <cell r="AG85">
            <v>0</v>
          </cell>
          <cell r="AH85">
            <v>0</v>
          </cell>
          <cell r="AI85">
            <v>0</v>
          </cell>
          <cell r="AJ85">
            <v>0</v>
          </cell>
          <cell r="AK85">
            <v>0</v>
          </cell>
          <cell r="AL85">
            <v>0</v>
          </cell>
          <cell r="AM85">
            <v>1</v>
          </cell>
          <cell r="AN85" t="str">
            <v>never resealed</v>
          </cell>
          <cell r="BO85" t="str">
            <v>RS 047</v>
          </cell>
          <cell r="BP85">
            <v>16.5</v>
          </cell>
          <cell r="BQ85">
            <v>6</v>
          </cell>
          <cell r="BR85" t="str">
            <v>F</v>
          </cell>
          <cell r="BS85" t="str">
            <v>C</v>
          </cell>
          <cell r="BT85">
            <v>0</v>
          </cell>
          <cell r="BU85" t="str">
            <v>DS</v>
          </cell>
          <cell r="BV85" t="str">
            <v/>
          </cell>
          <cell r="BW85">
            <v>1</v>
          </cell>
          <cell r="BX85">
            <v>15</v>
          </cell>
          <cell r="BY85" t="str">
            <v xml:space="preserve"> </v>
          </cell>
          <cell r="BZ85">
            <v>1</v>
          </cell>
          <cell r="CA85">
            <v>22</v>
          </cell>
          <cell r="CB85">
            <v>2.427</v>
          </cell>
          <cell r="CC85">
            <v>3.5804019550342137</v>
          </cell>
          <cell r="CD85">
            <v>0</v>
          </cell>
          <cell r="CE85">
            <v>0</v>
          </cell>
          <cell r="CF85">
            <v>0</v>
          </cell>
          <cell r="CG85">
            <v>0</v>
          </cell>
          <cell r="CH85">
            <v>0</v>
          </cell>
          <cell r="CI85">
            <v>0</v>
          </cell>
          <cell r="CJ85">
            <v>0</v>
          </cell>
          <cell r="CK85">
            <v>0</v>
          </cell>
          <cell r="CL85">
            <v>0</v>
          </cell>
          <cell r="CM85">
            <v>0</v>
          </cell>
          <cell r="CN85">
            <v>0</v>
          </cell>
          <cell r="CO85">
            <v>0</v>
          </cell>
          <cell r="CP85">
            <v>0</v>
          </cell>
          <cell r="CQ85">
            <v>3.5804019550342137</v>
          </cell>
          <cell r="CR85">
            <v>0</v>
          </cell>
          <cell r="CS85">
            <v>1</v>
          </cell>
          <cell r="CT85">
            <v>0</v>
          </cell>
          <cell r="CU85">
            <v>0</v>
          </cell>
          <cell r="CV85">
            <v>4</v>
          </cell>
          <cell r="CW85">
            <v>4</v>
          </cell>
          <cell r="CX85" t="str">
            <v xml:space="preserve"> </v>
          </cell>
          <cell r="CY85">
            <v>1</v>
          </cell>
          <cell r="CZ85">
            <v>1</v>
          </cell>
          <cell r="DA85">
            <v>1</v>
          </cell>
          <cell r="DB85">
            <v>300</v>
          </cell>
          <cell r="DC85">
            <v>141</v>
          </cell>
          <cell r="DD85">
            <v>78</v>
          </cell>
          <cell r="DE85">
            <v>23</v>
          </cell>
          <cell r="DF85">
            <v>35</v>
          </cell>
          <cell r="DG85">
            <v>6</v>
          </cell>
          <cell r="DH85">
            <v>3</v>
          </cell>
          <cell r="DI85">
            <v>15</v>
          </cell>
        </row>
        <row r="86">
          <cell r="A86" t="str">
            <v>RS 052</v>
          </cell>
          <cell r="B86">
            <v>52</v>
          </cell>
          <cell r="C86" t="str">
            <v>C</v>
          </cell>
          <cell r="D86" t="str">
            <v>T</v>
          </cell>
          <cell r="E86" t="str">
            <v>Lawrence Kachulu - Chamulala</v>
          </cell>
          <cell r="F86" t="str">
            <v>M05</v>
          </cell>
          <cell r="G86">
            <v>4</v>
          </cell>
          <cell r="H86">
            <v>12.7</v>
          </cell>
          <cell r="I86" t="str">
            <v>F</v>
          </cell>
          <cell r="J86" t="str">
            <v>NKHOTA KOTA</v>
          </cell>
          <cell r="K86">
            <v>4</v>
          </cell>
          <cell r="L86">
            <v>0</v>
          </cell>
          <cell r="W86">
            <v>94</v>
          </cell>
          <cell r="X86" t="str">
            <v>DS</v>
          </cell>
          <cell r="Y86">
            <v>150</v>
          </cell>
          <cell r="Z86" t="str">
            <v>SB</v>
          </cell>
          <cell r="AA86">
            <v>225</v>
          </cell>
          <cell r="AB86" t="str">
            <v>GR</v>
          </cell>
          <cell r="AC86">
            <v>22</v>
          </cell>
          <cell r="AD86" t="str">
            <v>VR</v>
          </cell>
          <cell r="AE86">
            <v>0</v>
          </cell>
          <cell r="AF86">
            <v>0</v>
          </cell>
          <cell r="AG86">
            <v>0</v>
          </cell>
          <cell r="AH86">
            <v>0</v>
          </cell>
          <cell r="AI86">
            <v>0</v>
          </cell>
          <cell r="AJ86">
            <v>0</v>
          </cell>
          <cell r="AK86">
            <v>0</v>
          </cell>
          <cell r="AL86">
            <v>0</v>
          </cell>
          <cell r="AM86">
            <v>1</v>
          </cell>
          <cell r="AN86" t="str">
            <v>never resealed</v>
          </cell>
          <cell r="BO86" t="str">
            <v>RS 052</v>
          </cell>
          <cell r="BP86">
            <v>12.7</v>
          </cell>
          <cell r="BQ86">
            <v>6</v>
          </cell>
          <cell r="BR86" t="str">
            <v>F</v>
          </cell>
          <cell r="BS86" t="str">
            <v>C</v>
          </cell>
          <cell r="BT86">
            <v>0</v>
          </cell>
          <cell r="BU86" t="str">
            <v>DS</v>
          </cell>
          <cell r="BV86" t="str">
            <v/>
          </cell>
          <cell r="BW86">
            <v>1</v>
          </cell>
          <cell r="BX86">
            <v>15</v>
          </cell>
          <cell r="BY86" t="str">
            <v xml:space="preserve"> </v>
          </cell>
          <cell r="BZ86">
            <v>1</v>
          </cell>
          <cell r="CA86">
            <v>22</v>
          </cell>
          <cell r="CB86">
            <v>2.427</v>
          </cell>
          <cell r="CC86">
            <v>5.75</v>
          </cell>
          <cell r="CD86">
            <v>0</v>
          </cell>
          <cell r="CE86">
            <v>0</v>
          </cell>
          <cell r="CF86">
            <v>0</v>
          </cell>
          <cell r="CG86">
            <v>0</v>
          </cell>
          <cell r="CH86">
            <v>0</v>
          </cell>
          <cell r="CI86">
            <v>0.12</v>
          </cell>
          <cell r="CJ86">
            <v>3.9999999999999996E-4</v>
          </cell>
          <cell r="CK86">
            <v>3.9999999999999996E-4</v>
          </cell>
          <cell r="CL86">
            <v>0</v>
          </cell>
          <cell r="CM86">
            <v>1.5507692307692309E-4</v>
          </cell>
          <cell r="CN86">
            <v>1.5507692307692309E-4</v>
          </cell>
          <cell r="CO86">
            <v>0</v>
          </cell>
          <cell r="CP86">
            <v>0</v>
          </cell>
          <cell r="CQ86">
            <v>5.7501550769230771</v>
          </cell>
          <cell r="CR86">
            <v>0</v>
          </cell>
          <cell r="CS86">
            <v>1</v>
          </cell>
          <cell r="CT86">
            <v>0</v>
          </cell>
          <cell r="CU86">
            <v>0</v>
          </cell>
          <cell r="CV86">
            <v>4</v>
          </cell>
          <cell r="CW86">
            <v>4</v>
          </cell>
          <cell r="CX86" t="str">
            <v xml:space="preserve"> </v>
          </cell>
          <cell r="CY86">
            <v>1</v>
          </cell>
          <cell r="CZ86">
            <v>1</v>
          </cell>
          <cell r="DA86">
            <v>1</v>
          </cell>
          <cell r="DB86">
            <v>300</v>
          </cell>
          <cell r="DC86">
            <v>141</v>
          </cell>
          <cell r="DD86">
            <v>78</v>
          </cell>
          <cell r="DE86">
            <v>23</v>
          </cell>
          <cell r="DF86">
            <v>35</v>
          </cell>
          <cell r="DG86">
            <v>6</v>
          </cell>
          <cell r="DH86">
            <v>3</v>
          </cell>
          <cell r="DI86">
            <v>15</v>
          </cell>
        </row>
        <row r="87">
          <cell r="A87" t="str">
            <v>RS 048</v>
          </cell>
          <cell r="B87">
            <v>48</v>
          </cell>
          <cell r="C87" t="str">
            <v>C</v>
          </cell>
          <cell r="D87" t="str">
            <v>T</v>
          </cell>
          <cell r="E87" t="str">
            <v>Chamulala - Dwangwa River</v>
          </cell>
          <cell r="F87" t="str">
            <v>M05</v>
          </cell>
          <cell r="G87">
            <v>5</v>
          </cell>
          <cell r="H87">
            <v>10.199999999999999</v>
          </cell>
          <cell r="I87" t="str">
            <v>F</v>
          </cell>
          <cell r="J87" t="str">
            <v>NKHOTA KOTA</v>
          </cell>
          <cell r="K87">
            <v>4</v>
          </cell>
          <cell r="L87">
            <v>0</v>
          </cell>
          <cell r="W87">
            <v>94</v>
          </cell>
          <cell r="X87" t="str">
            <v>DS</v>
          </cell>
          <cell r="Y87">
            <v>150</v>
          </cell>
          <cell r="Z87" t="str">
            <v>SB</v>
          </cell>
          <cell r="AA87">
            <v>225</v>
          </cell>
          <cell r="AB87" t="str">
            <v>GR</v>
          </cell>
          <cell r="AC87">
            <v>22</v>
          </cell>
          <cell r="AD87" t="str">
            <v>VR</v>
          </cell>
          <cell r="AE87">
            <v>0</v>
          </cell>
          <cell r="AF87">
            <v>0</v>
          </cell>
          <cell r="AG87">
            <v>0</v>
          </cell>
          <cell r="AH87">
            <v>0</v>
          </cell>
          <cell r="AI87">
            <v>0</v>
          </cell>
          <cell r="AJ87">
            <v>0</v>
          </cell>
          <cell r="AK87">
            <v>0</v>
          </cell>
          <cell r="AL87">
            <v>0</v>
          </cell>
          <cell r="AM87">
            <v>1</v>
          </cell>
          <cell r="AN87" t="str">
            <v>never resealed</v>
          </cell>
          <cell r="BO87" t="str">
            <v>RS 048</v>
          </cell>
          <cell r="BP87">
            <v>10.199999999999999</v>
          </cell>
          <cell r="BQ87">
            <v>6.7</v>
          </cell>
          <cell r="BR87" t="str">
            <v>F</v>
          </cell>
          <cell r="BS87" t="str">
            <v>S</v>
          </cell>
          <cell r="BT87">
            <v>0</v>
          </cell>
          <cell r="BU87" t="str">
            <v>DS</v>
          </cell>
          <cell r="BV87" t="str">
            <v/>
          </cell>
          <cell r="BW87">
            <v>1</v>
          </cell>
          <cell r="BX87">
            <v>15</v>
          </cell>
          <cell r="BY87" t="str">
            <v xml:space="preserve"> </v>
          </cell>
          <cell r="BZ87">
            <v>1</v>
          </cell>
          <cell r="CA87">
            <v>22</v>
          </cell>
          <cell r="CB87">
            <v>2.427</v>
          </cell>
          <cell r="CC87">
            <v>5</v>
          </cell>
          <cell r="CD87">
            <v>0</v>
          </cell>
          <cell r="CE87">
            <v>0</v>
          </cell>
          <cell r="CF87">
            <v>0</v>
          </cell>
          <cell r="CG87">
            <v>0</v>
          </cell>
          <cell r="CH87">
            <v>0</v>
          </cell>
          <cell r="CI87">
            <v>0.1</v>
          </cell>
          <cell r="CJ87">
            <v>2.9850746268656722E-4</v>
          </cell>
          <cell r="CK87">
            <v>2.9850746268656722E-4</v>
          </cell>
          <cell r="CL87">
            <v>0</v>
          </cell>
          <cell r="CM87">
            <v>1.1572904707233067E-4</v>
          </cell>
          <cell r="CN87">
            <v>1.1572904707233067E-4</v>
          </cell>
          <cell r="CO87">
            <v>0</v>
          </cell>
          <cell r="CP87">
            <v>0</v>
          </cell>
          <cell r="CQ87">
            <v>5.0001157290470726</v>
          </cell>
          <cell r="CR87">
            <v>0</v>
          </cell>
          <cell r="CS87">
            <v>1</v>
          </cell>
          <cell r="CT87">
            <v>0</v>
          </cell>
          <cell r="CU87">
            <v>0</v>
          </cell>
          <cell r="CV87">
            <v>4</v>
          </cell>
          <cell r="CW87">
            <v>4</v>
          </cell>
          <cell r="CX87" t="str">
            <v xml:space="preserve"> </v>
          </cell>
          <cell r="CY87">
            <v>1.5</v>
          </cell>
          <cell r="CZ87">
            <v>1</v>
          </cell>
          <cell r="DA87">
            <v>1</v>
          </cell>
          <cell r="DB87">
            <v>300</v>
          </cell>
          <cell r="DC87">
            <v>141</v>
          </cell>
          <cell r="DD87">
            <v>78</v>
          </cell>
          <cell r="DE87">
            <v>23</v>
          </cell>
          <cell r="DF87">
            <v>35</v>
          </cell>
          <cell r="DG87">
            <v>6</v>
          </cell>
          <cell r="DH87">
            <v>3</v>
          </cell>
          <cell r="DI87">
            <v>15</v>
          </cell>
        </row>
        <row r="88">
          <cell r="A88" t="str">
            <v>RS 062</v>
          </cell>
          <cell r="B88">
            <v>62</v>
          </cell>
          <cell r="C88" t="str">
            <v>C</v>
          </cell>
          <cell r="D88" t="str">
            <v>T</v>
          </cell>
          <cell r="E88" t="str">
            <v>Dwangwa River- Musejere River</v>
          </cell>
          <cell r="F88" t="str">
            <v>M05</v>
          </cell>
          <cell r="G88">
            <v>6</v>
          </cell>
          <cell r="H88">
            <v>28.1</v>
          </cell>
          <cell r="I88" t="str">
            <v>F</v>
          </cell>
          <cell r="J88" t="str">
            <v>NKHOTA KOTA</v>
          </cell>
          <cell r="K88">
            <v>4</v>
          </cell>
          <cell r="L88">
            <v>0</v>
          </cell>
          <cell r="W88">
            <v>81</v>
          </cell>
          <cell r="X88" t="str">
            <v>ST</v>
          </cell>
          <cell r="Y88">
            <v>150</v>
          </cell>
          <cell r="Z88" t="str">
            <v>SB</v>
          </cell>
          <cell r="AA88">
            <v>225</v>
          </cell>
          <cell r="AB88" t="str">
            <v>GR</v>
          </cell>
          <cell r="AC88">
            <v>22</v>
          </cell>
          <cell r="AD88" t="str">
            <v>VR</v>
          </cell>
          <cell r="AE88">
            <v>93</v>
          </cell>
          <cell r="AF88" t="str">
            <v>SR</v>
          </cell>
          <cell r="AG88" t="str">
            <v>ST</v>
          </cell>
          <cell r="AH88">
            <v>10</v>
          </cell>
          <cell r="AI88">
            <v>0</v>
          </cell>
          <cell r="AJ88">
            <v>0</v>
          </cell>
          <cell r="AK88">
            <v>0</v>
          </cell>
          <cell r="AL88">
            <v>0</v>
          </cell>
          <cell r="AM88">
            <v>4</v>
          </cell>
          <cell r="AN88">
            <v>0</v>
          </cell>
          <cell r="BO88" t="str">
            <v>RS 062</v>
          </cell>
          <cell r="BP88">
            <v>28.1</v>
          </cell>
          <cell r="BQ88">
            <v>5.5</v>
          </cell>
          <cell r="BR88" t="str">
            <v>F</v>
          </cell>
          <cell r="BS88" t="str">
            <v>C</v>
          </cell>
          <cell r="BT88">
            <v>0</v>
          </cell>
          <cell r="BU88" t="str">
            <v>ST</v>
          </cell>
          <cell r="BV88" t="str">
            <v>ST</v>
          </cell>
          <cell r="BW88">
            <v>4</v>
          </cell>
          <cell r="BX88">
            <v>10</v>
          </cell>
          <cell r="BY88">
            <v>10</v>
          </cell>
          <cell r="BZ88">
            <v>1</v>
          </cell>
          <cell r="CA88">
            <v>22</v>
          </cell>
          <cell r="CB88">
            <v>2.4350000000000001</v>
          </cell>
          <cell r="CC88">
            <v>4.9400000000000004</v>
          </cell>
          <cell r="CD88">
            <v>0</v>
          </cell>
          <cell r="CE88">
            <v>0</v>
          </cell>
          <cell r="CF88">
            <v>0</v>
          </cell>
          <cell r="CG88">
            <v>0</v>
          </cell>
          <cell r="CH88">
            <v>0</v>
          </cell>
          <cell r="CI88">
            <v>1.4</v>
          </cell>
          <cell r="CJ88">
            <v>5.0909090909090904E-3</v>
          </cell>
          <cell r="CK88">
            <v>5.0909090909090904E-3</v>
          </cell>
          <cell r="CL88">
            <v>0</v>
          </cell>
          <cell r="CM88">
            <v>1.9737062937062936E-3</v>
          </cell>
          <cell r="CN88">
            <v>1.9737062937062936E-3</v>
          </cell>
          <cell r="CO88">
            <v>0</v>
          </cell>
          <cell r="CP88">
            <v>0</v>
          </cell>
          <cell r="CQ88">
            <v>4.941973706293707</v>
          </cell>
          <cell r="CR88">
            <v>0</v>
          </cell>
          <cell r="CS88">
            <v>1</v>
          </cell>
          <cell r="CT88">
            <v>0</v>
          </cell>
          <cell r="CU88">
            <v>0</v>
          </cell>
          <cell r="CV88">
            <v>5</v>
          </cell>
          <cell r="CW88">
            <v>17</v>
          </cell>
          <cell r="CX88">
            <v>34</v>
          </cell>
          <cell r="CY88">
            <v>2</v>
          </cell>
          <cell r="CZ88">
            <v>1.5</v>
          </cell>
          <cell r="DA88">
            <v>1.5</v>
          </cell>
          <cell r="DB88">
            <v>300</v>
          </cell>
          <cell r="DC88">
            <v>141</v>
          </cell>
          <cell r="DD88">
            <v>78</v>
          </cell>
          <cell r="DE88">
            <v>23</v>
          </cell>
          <cell r="DF88">
            <v>35</v>
          </cell>
          <cell r="DG88">
            <v>6</v>
          </cell>
          <cell r="DH88">
            <v>3</v>
          </cell>
          <cell r="DI88">
            <v>15</v>
          </cell>
        </row>
        <row r="89">
          <cell r="A89" t="str">
            <v>RS 043</v>
          </cell>
          <cell r="B89">
            <v>43</v>
          </cell>
          <cell r="C89" t="str">
            <v>C</v>
          </cell>
          <cell r="D89" t="str">
            <v>T</v>
          </cell>
          <cell r="E89" t="str">
            <v>Musenjere River- Bua River</v>
          </cell>
          <cell r="F89" t="str">
            <v>M05</v>
          </cell>
          <cell r="G89">
            <v>7</v>
          </cell>
          <cell r="H89">
            <v>14.7</v>
          </cell>
          <cell r="I89" t="str">
            <v>R</v>
          </cell>
          <cell r="J89" t="str">
            <v>NKHOTA KOTA</v>
          </cell>
          <cell r="K89">
            <v>5</v>
          </cell>
          <cell r="L89">
            <v>0</v>
          </cell>
          <cell r="W89">
            <v>81</v>
          </cell>
          <cell r="X89" t="str">
            <v>ST</v>
          </cell>
          <cell r="Y89">
            <v>150</v>
          </cell>
          <cell r="Z89" t="str">
            <v>SB</v>
          </cell>
          <cell r="AA89">
            <v>225</v>
          </cell>
          <cell r="AB89" t="str">
            <v>GR</v>
          </cell>
          <cell r="AC89">
            <v>22</v>
          </cell>
          <cell r="AD89" t="str">
            <v>VR</v>
          </cell>
          <cell r="AE89">
            <v>93</v>
          </cell>
          <cell r="AF89" t="str">
            <v>SR</v>
          </cell>
          <cell r="AG89" t="str">
            <v>ST</v>
          </cell>
          <cell r="AH89">
            <v>10</v>
          </cell>
          <cell r="AI89">
            <v>0</v>
          </cell>
          <cell r="AJ89">
            <v>0</v>
          </cell>
          <cell r="AK89">
            <v>0</v>
          </cell>
          <cell r="AL89">
            <v>0</v>
          </cell>
          <cell r="AM89">
            <v>4</v>
          </cell>
          <cell r="AN89">
            <v>0</v>
          </cell>
          <cell r="BO89" t="str">
            <v>RS 043</v>
          </cell>
          <cell r="BP89">
            <v>14.7</v>
          </cell>
          <cell r="BQ89">
            <v>5.5</v>
          </cell>
          <cell r="BR89" t="str">
            <v>R</v>
          </cell>
          <cell r="BS89" t="str">
            <v>C</v>
          </cell>
          <cell r="BT89">
            <v>0</v>
          </cell>
          <cell r="BU89" t="str">
            <v>ST</v>
          </cell>
          <cell r="BV89" t="str">
            <v>ST</v>
          </cell>
          <cell r="BW89">
            <v>4</v>
          </cell>
          <cell r="BX89">
            <v>10</v>
          </cell>
          <cell r="BY89">
            <v>10</v>
          </cell>
          <cell r="BZ89">
            <v>1</v>
          </cell>
          <cell r="CA89">
            <v>22</v>
          </cell>
          <cell r="CB89">
            <v>2.4350000000000001</v>
          </cell>
          <cell r="CC89">
            <v>4.7440662477307649</v>
          </cell>
          <cell r="CD89">
            <v>37</v>
          </cell>
          <cell r="CE89">
            <v>10</v>
          </cell>
          <cell r="CF89">
            <v>0</v>
          </cell>
          <cell r="CG89">
            <v>37</v>
          </cell>
          <cell r="CH89">
            <v>10</v>
          </cell>
          <cell r="CI89">
            <v>1.8</v>
          </cell>
          <cell r="CJ89">
            <v>6.5454545454545461E-3</v>
          </cell>
          <cell r="CK89">
            <v>6.5454545454545461E-3</v>
          </cell>
          <cell r="CL89">
            <v>0</v>
          </cell>
          <cell r="CM89">
            <v>2.537622377622378E-3</v>
          </cell>
          <cell r="CN89">
            <v>2.537622377622378E-3</v>
          </cell>
          <cell r="CO89">
            <v>0</v>
          </cell>
          <cell r="CP89">
            <v>0</v>
          </cell>
          <cell r="CQ89">
            <v>4.7466038701083875</v>
          </cell>
          <cell r="CR89">
            <v>0</v>
          </cell>
          <cell r="CS89">
            <v>1</v>
          </cell>
          <cell r="CT89">
            <v>0</v>
          </cell>
          <cell r="CU89">
            <v>0</v>
          </cell>
          <cell r="CV89">
            <v>5</v>
          </cell>
          <cell r="CW89">
            <v>17</v>
          </cell>
          <cell r="CX89">
            <v>34</v>
          </cell>
          <cell r="CY89">
            <v>2</v>
          </cell>
          <cell r="CZ89">
            <v>1</v>
          </cell>
          <cell r="DA89">
            <v>1.3</v>
          </cell>
          <cell r="DB89">
            <v>300</v>
          </cell>
          <cell r="DC89">
            <v>141</v>
          </cell>
          <cell r="DD89">
            <v>78</v>
          </cell>
          <cell r="DE89">
            <v>23</v>
          </cell>
          <cell r="DF89">
            <v>35</v>
          </cell>
          <cell r="DG89">
            <v>6</v>
          </cell>
          <cell r="DH89">
            <v>3</v>
          </cell>
          <cell r="DI89">
            <v>15</v>
          </cell>
        </row>
        <row r="90">
          <cell r="A90" t="str">
            <v>RS 066</v>
          </cell>
          <cell r="B90">
            <v>66</v>
          </cell>
          <cell r="C90" t="str">
            <v>C</v>
          </cell>
          <cell r="D90" t="str">
            <v>T</v>
          </cell>
          <cell r="E90" t="str">
            <v>Bua River - Nkhota-kota</v>
          </cell>
          <cell r="F90" t="str">
            <v>M05</v>
          </cell>
          <cell r="G90">
            <v>8</v>
          </cell>
          <cell r="H90">
            <v>14.8</v>
          </cell>
          <cell r="I90" t="str">
            <v>F</v>
          </cell>
          <cell r="J90" t="str">
            <v>NKHOTA KOTA</v>
          </cell>
          <cell r="K90">
            <v>5</v>
          </cell>
          <cell r="L90">
            <v>0</v>
          </cell>
          <cell r="W90">
            <v>81</v>
          </cell>
          <cell r="X90" t="str">
            <v>ST</v>
          </cell>
          <cell r="Y90">
            <v>150</v>
          </cell>
          <cell r="Z90" t="str">
            <v>SB</v>
          </cell>
          <cell r="AA90">
            <v>225</v>
          </cell>
          <cell r="AB90" t="str">
            <v>GR</v>
          </cell>
          <cell r="AC90">
            <v>22</v>
          </cell>
          <cell r="AD90" t="str">
            <v>VR</v>
          </cell>
          <cell r="AE90">
            <v>93</v>
          </cell>
          <cell r="AF90" t="str">
            <v>SR</v>
          </cell>
          <cell r="AG90" t="str">
            <v>ST</v>
          </cell>
          <cell r="AH90">
            <v>10</v>
          </cell>
          <cell r="AI90">
            <v>0</v>
          </cell>
          <cell r="AJ90">
            <v>0</v>
          </cell>
          <cell r="AK90">
            <v>0</v>
          </cell>
          <cell r="AL90">
            <v>0</v>
          </cell>
          <cell r="AM90">
            <v>4</v>
          </cell>
          <cell r="AN90">
            <v>0</v>
          </cell>
          <cell r="BO90" t="str">
            <v>RS 066</v>
          </cell>
          <cell r="BP90">
            <v>14.8</v>
          </cell>
          <cell r="BQ90">
            <v>5.5</v>
          </cell>
          <cell r="BR90" t="str">
            <v>F</v>
          </cell>
          <cell r="BS90" t="str">
            <v>C</v>
          </cell>
          <cell r="BT90">
            <v>0</v>
          </cell>
          <cell r="BU90" t="str">
            <v>ST</v>
          </cell>
          <cell r="BV90" t="str">
            <v>ST</v>
          </cell>
          <cell r="BW90">
            <v>4</v>
          </cell>
          <cell r="BX90">
            <v>10</v>
          </cell>
          <cell r="BY90">
            <v>10</v>
          </cell>
          <cell r="BZ90">
            <v>1</v>
          </cell>
          <cell r="CA90">
            <v>22</v>
          </cell>
          <cell r="CB90">
            <v>2.4350000000000001</v>
          </cell>
          <cell r="CC90">
            <v>5.3031239438852342</v>
          </cell>
          <cell r="CD90">
            <v>27</v>
          </cell>
          <cell r="CE90">
            <v>19</v>
          </cell>
          <cell r="CF90">
            <v>4</v>
          </cell>
          <cell r="CG90">
            <v>23</v>
          </cell>
          <cell r="CH90">
            <v>15</v>
          </cell>
          <cell r="CI90">
            <v>2.6</v>
          </cell>
          <cell r="CJ90">
            <v>9.4545454545454551E-3</v>
          </cell>
          <cell r="CK90">
            <v>4.0094545454545454</v>
          </cell>
          <cell r="CL90">
            <v>4</v>
          </cell>
          <cell r="CM90">
            <v>7.0126993006993002E-2</v>
          </cell>
          <cell r="CN90">
            <v>7.0126993006993002E-2</v>
          </cell>
          <cell r="CO90">
            <v>0</v>
          </cell>
          <cell r="CP90">
            <v>0</v>
          </cell>
          <cell r="CQ90">
            <v>5.3732509368922274</v>
          </cell>
          <cell r="CR90">
            <v>0</v>
          </cell>
          <cell r="CS90">
            <v>1</v>
          </cell>
          <cell r="CT90">
            <v>0</v>
          </cell>
          <cell r="CU90">
            <v>0</v>
          </cell>
          <cell r="CV90">
            <v>5</v>
          </cell>
          <cell r="CW90">
            <v>17</v>
          </cell>
          <cell r="CX90">
            <v>34</v>
          </cell>
          <cell r="CY90">
            <v>2</v>
          </cell>
          <cell r="CZ90">
            <v>1.2</v>
          </cell>
          <cell r="DA90">
            <v>1.1000000000000001</v>
          </cell>
          <cell r="DB90">
            <v>300</v>
          </cell>
          <cell r="DC90">
            <v>141</v>
          </cell>
          <cell r="DD90">
            <v>78</v>
          </cell>
          <cell r="DE90">
            <v>23</v>
          </cell>
          <cell r="DF90">
            <v>35</v>
          </cell>
          <cell r="DG90">
            <v>6</v>
          </cell>
          <cell r="DH90">
            <v>3</v>
          </cell>
          <cell r="DI90">
            <v>15</v>
          </cell>
        </row>
        <row r="91">
          <cell r="A91" t="str">
            <v>RS 050</v>
          </cell>
          <cell r="B91">
            <v>50</v>
          </cell>
          <cell r="C91" t="str">
            <v>C</v>
          </cell>
          <cell r="D91" t="str">
            <v>T</v>
          </cell>
          <cell r="E91" t="str">
            <v>Km 11.6-Km 18.3 (Nkhota-kota - Chia)</v>
          </cell>
          <cell r="F91" t="str">
            <v>M05</v>
          </cell>
          <cell r="G91">
            <v>10</v>
          </cell>
          <cell r="H91">
            <v>6.7</v>
          </cell>
          <cell r="I91" t="str">
            <v>F</v>
          </cell>
          <cell r="J91" t="str">
            <v>NKHOTA KOTA</v>
          </cell>
          <cell r="K91">
            <v>5</v>
          </cell>
          <cell r="L91">
            <v>0</v>
          </cell>
          <cell r="W91">
            <v>81</v>
          </cell>
          <cell r="X91" t="str">
            <v>DS</v>
          </cell>
          <cell r="Y91">
            <v>200</v>
          </cell>
          <cell r="Z91" t="str">
            <v>SB</v>
          </cell>
          <cell r="AA91">
            <v>100</v>
          </cell>
          <cell r="AB91" t="str">
            <v>GR</v>
          </cell>
          <cell r="AC91">
            <v>4</v>
          </cell>
          <cell r="AD91" t="str">
            <v>VR</v>
          </cell>
          <cell r="AE91">
            <v>93</v>
          </cell>
          <cell r="AF91" t="str">
            <v>SR</v>
          </cell>
          <cell r="AG91" t="str">
            <v>ST</v>
          </cell>
          <cell r="AH91">
            <v>10</v>
          </cell>
          <cell r="AI91">
            <v>0</v>
          </cell>
          <cell r="AJ91">
            <v>0</v>
          </cell>
          <cell r="AK91">
            <v>0</v>
          </cell>
          <cell r="AL91">
            <v>0</v>
          </cell>
          <cell r="AM91">
            <v>4</v>
          </cell>
          <cell r="AN91">
            <v>0</v>
          </cell>
          <cell r="BO91" t="str">
            <v>RS 050</v>
          </cell>
          <cell r="BP91">
            <v>6.7</v>
          </cell>
          <cell r="BQ91">
            <v>5.5</v>
          </cell>
          <cell r="BR91" t="str">
            <v>F</v>
          </cell>
          <cell r="BS91" t="str">
            <v>C</v>
          </cell>
          <cell r="BT91">
            <v>0</v>
          </cell>
          <cell r="BU91" t="str">
            <v>ST</v>
          </cell>
          <cell r="BV91" t="str">
            <v>DS</v>
          </cell>
          <cell r="BW91">
            <v>4</v>
          </cell>
          <cell r="BX91">
            <v>10</v>
          </cell>
          <cell r="BY91">
            <v>15</v>
          </cell>
          <cell r="BZ91">
            <v>1</v>
          </cell>
          <cell r="CA91">
            <v>4</v>
          </cell>
          <cell r="CB91">
            <v>1.3540000000000001</v>
          </cell>
          <cell r="CC91">
            <v>4.8691634262704078</v>
          </cell>
          <cell r="CD91">
            <v>34</v>
          </cell>
          <cell r="CE91">
            <v>22</v>
          </cell>
          <cell r="CF91">
            <v>7</v>
          </cell>
          <cell r="CG91">
            <v>27</v>
          </cell>
          <cell r="CH91">
            <v>15</v>
          </cell>
          <cell r="CI91">
            <v>3.1</v>
          </cell>
          <cell r="CJ91">
            <v>1.1272727272727275E-2</v>
          </cell>
          <cell r="CK91">
            <v>7.0112727272727273</v>
          </cell>
          <cell r="CL91">
            <v>7</v>
          </cell>
          <cell r="CM91">
            <v>0.12067804195804198</v>
          </cell>
          <cell r="CN91">
            <v>0.12067804195804198</v>
          </cell>
          <cell r="CO91">
            <v>0</v>
          </cell>
          <cell r="CP91">
            <v>0</v>
          </cell>
          <cell r="CQ91">
            <v>4.98984146822845</v>
          </cell>
          <cell r="CR91">
            <v>0</v>
          </cell>
          <cell r="CS91">
            <v>1.4</v>
          </cell>
          <cell r="CT91">
            <v>1.9999999999999996</v>
          </cell>
          <cell r="CU91">
            <v>0.79999999999999982</v>
          </cell>
          <cell r="CV91">
            <v>5</v>
          </cell>
          <cell r="CW91">
            <v>17</v>
          </cell>
          <cell r="CX91">
            <v>34</v>
          </cell>
          <cell r="CY91">
            <v>2</v>
          </cell>
          <cell r="CZ91">
            <v>1.2</v>
          </cell>
          <cell r="DA91">
            <v>1.1000000000000001</v>
          </cell>
          <cell r="DB91">
            <v>250</v>
          </cell>
          <cell r="DC91">
            <v>118</v>
          </cell>
          <cell r="DD91">
            <v>65</v>
          </cell>
          <cell r="DE91">
            <v>19</v>
          </cell>
          <cell r="DF91">
            <v>29</v>
          </cell>
          <cell r="DG91">
            <v>5</v>
          </cell>
          <cell r="DH91">
            <v>3</v>
          </cell>
          <cell r="DI91">
            <v>13</v>
          </cell>
        </row>
        <row r="92">
          <cell r="A92" t="str">
            <v>RS 054</v>
          </cell>
          <cell r="B92">
            <v>54</v>
          </cell>
          <cell r="C92" t="str">
            <v>C</v>
          </cell>
          <cell r="D92" t="str">
            <v>T</v>
          </cell>
          <cell r="E92" t="str">
            <v>Km 18.3 - Chia River</v>
          </cell>
          <cell r="F92" t="str">
            <v>M05</v>
          </cell>
          <cell r="G92">
            <v>11</v>
          </cell>
          <cell r="H92">
            <v>5.4</v>
          </cell>
          <cell r="I92" t="str">
            <v>F</v>
          </cell>
          <cell r="J92" t="str">
            <v>NKHOTA KOTA</v>
          </cell>
          <cell r="K92">
            <v>5</v>
          </cell>
          <cell r="L92">
            <v>0</v>
          </cell>
          <cell r="W92">
            <v>78</v>
          </cell>
          <cell r="X92" t="str">
            <v>ST</v>
          </cell>
          <cell r="Y92">
            <v>150</v>
          </cell>
          <cell r="Z92" t="str">
            <v>SB</v>
          </cell>
          <cell r="AA92">
            <v>225</v>
          </cell>
          <cell r="AB92" t="str">
            <v>GR</v>
          </cell>
          <cell r="AC92">
            <v>22</v>
          </cell>
          <cell r="AD92" t="str">
            <v>VR</v>
          </cell>
          <cell r="AE92">
            <v>93</v>
          </cell>
          <cell r="AF92" t="str">
            <v>SR</v>
          </cell>
          <cell r="AG92" t="str">
            <v>ST</v>
          </cell>
          <cell r="AH92">
            <v>10</v>
          </cell>
          <cell r="AI92">
            <v>0</v>
          </cell>
          <cell r="AJ92">
            <v>0</v>
          </cell>
          <cell r="AK92">
            <v>0</v>
          </cell>
          <cell r="AL92">
            <v>0</v>
          </cell>
          <cell r="AM92">
            <v>4</v>
          </cell>
          <cell r="AN92">
            <v>0</v>
          </cell>
          <cell r="BO92" t="str">
            <v>RS 054</v>
          </cell>
          <cell r="BP92">
            <v>5.4</v>
          </cell>
          <cell r="BQ92">
            <v>5.5</v>
          </cell>
          <cell r="BR92" t="str">
            <v>F</v>
          </cell>
          <cell r="BS92" t="str">
            <v>C</v>
          </cell>
          <cell r="BT92">
            <v>0</v>
          </cell>
          <cell r="BU92" t="str">
            <v>ST</v>
          </cell>
          <cell r="BV92" t="str">
            <v>ST</v>
          </cell>
          <cell r="BW92">
            <v>4</v>
          </cell>
          <cell r="BX92">
            <v>10</v>
          </cell>
          <cell r="BY92">
            <v>10</v>
          </cell>
          <cell r="BZ92">
            <v>1</v>
          </cell>
          <cell r="CA92">
            <v>22</v>
          </cell>
          <cell r="CB92">
            <v>2.4350000000000001</v>
          </cell>
          <cell r="CC92">
            <v>6.2855176278918226</v>
          </cell>
          <cell r="CD92">
            <v>90</v>
          </cell>
          <cell r="CE92">
            <v>65</v>
          </cell>
          <cell r="CF92">
            <v>50</v>
          </cell>
          <cell r="CG92">
            <v>40</v>
          </cell>
          <cell r="CH92">
            <v>15</v>
          </cell>
          <cell r="CI92">
            <v>1.2</v>
          </cell>
          <cell r="CJ92">
            <v>4.3636363636363638E-3</v>
          </cell>
          <cell r="CK92">
            <v>10</v>
          </cell>
          <cell r="CL92">
            <v>50</v>
          </cell>
          <cell r="CM92">
            <v>0.43241734265734261</v>
          </cell>
          <cell r="CN92">
            <v>0.43241734265734261</v>
          </cell>
          <cell r="CO92">
            <v>0</v>
          </cell>
          <cell r="CP92">
            <v>0</v>
          </cell>
          <cell r="CQ92">
            <v>6.7179349705491651</v>
          </cell>
          <cell r="CR92">
            <v>0</v>
          </cell>
          <cell r="CS92">
            <v>3</v>
          </cell>
          <cell r="CT92">
            <v>15</v>
          </cell>
          <cell r="CU92">
            <v>6</v>
          </cell>
          <cell r="CV92">
            <v>5</v>
          </cell>
          <cell r="CW92">
            <v>20</v>
          </cell>
          <cell r="CX92">
            <v>40</v>
          </cell>
          <cell r="CY92">
            <v>2</v>
          </cell>
          <cell r="CZ92">
            <v>1</v>
          </cell>
          <cell r="DA92">
            <v>1</v>
          </cell>
          <cell r="DB92">
            <v>250</v>
          </cell>
          <cell r="DC92">
            <v>118</v>
          </cell>
          <cell r="DD92">
            <v>65</v>
          </cell>
          <cell r="DE92">
            <v>19</v>
          </cell>
          <cell r="DF92">
            <v>29</v>
          </cell>
          <cell r="DG92">
            <v>5</v>
          </cell>
          <cell r="DH92">
            <v>3</v>
          </cell>
          <cell r="DI92">
            <v>13</v>
          </cell>
        </row>
        <row r="93">
          <cell r="A93" t="str">
            <v>RS 053</v>
          </cell>
          <cell r="B93">
            <v>53</v>
          </cell>
          <cell r="C93" t="str">
            <v>C</v>
          </cell>
          <cell r="D93" t="str">
            <v>T</v>
          </cell>
          <cell r="E93" t="str">
            <v>Chia River-Benga</v>
          </cell>
          <cell r="F93" t="str">
            <v>M05</v>
          </cell>
          <cell r="G93">
            <v>12</v>
          </cell>
          <cell r="H93">
            <v>29.4</v>
          </cell>
          <cell r="I93" t="str">
            <v>F</v>
          </cell>
          <cell r="J93" t="str">
            <v>NKHOTA KOTA</v>
          </cell>
          <cell r="K93">
            <v>5</v>
          </cell>
          <cell r="L93">
            <v>0</v>
          </cell>
          <cell r="W93">
            <v>78</v>
          </cell>
          <cell r="X93" t="str">
            <v>ST</v>
          </cell>
          <cell r="Y93">
            <v>150</v>
          </cell>
          <cell r="Z93" t="str">
            <v>SB</v>
          </cell>
          <cell r="AA93">
            <v>225</v>
          </cell>
          <cell r="AB93" t="str">
            <v>GR</v>
          </cell>
          <cell r="AC93">
            <v>22</v>
          </cell>
          <cell r="AD93" t="str">
            <v>VR</v>
          </cell>
          <cell r="AE93">
            <v>93</v>
          </cell>
          <cell r="AF93" t="str">
            <v>SR</v>
          </cell>
          <cell r="AG93" t="str">
            <v>ST</v>
          </cell>
          <cell r="AH93">
            <v>10</v>
          </cell>
          <cell r="AI93">
            <v>0</v>
          </cell>
          <cell r="AJ93">
            <v>0</v>
          </cell>
          <cell r="AK93">
            <v>0</v>
          </cell>
          <cell r="AL93">
            <v>0</v>
          </cell>
          <cell r="AM93">
            <v>4</v>
          </cell>
          <cell r="AN93" t="str">
            <v>10km reconstructed 1993</v>
          </cell>
          <cell r="BO93" t="str">
            <v>RS 053</v>
          </cell>
          <cell r="BP93">
            <v>29.4</v>
          </cell>
          <cell r="BQ93">
            <v>6</v>
          </cell>
          <cell r="BR93" t="str">
            <v>F</v>
          </cell>
          <cell r="BS93" t="str">
            <v>C</v>
          </cell>
          <cell r="BT93">
            <v>0</v>
          </cell>
          <cell r="BU93" t="str">
            <v>ST</v>
          </cell>
          <cell r="BV93" t="str">
            <v>ST</v>
          </cell>
          <cell r="BW93">
            <v>4</v>
          </cell>
          <cell r="BX93">
            <v>10</v>
          </cell>
          <cell r="BY93">
            <v>10</v>
          </cell>
          <cell r="BZ93">
            <v>1</v>
          </cell>
          <cell r="CA93">
            <v>22</v>
          </cell>
          <cell r="CB93">
            <v>2.4350000000000001</v>
          </cell>
          <cell r="CC93">
            <v>4.63</v>
          </cell>
          <cell r="CD93">
            <v>16</v>
          </cell>
          <cell r="CE93">
            <v>13</v>
          </cell>
          <cell r="CF93">
            <v>0</v>
          </cell>
          <cell r="CG93">
            <v>16</v>
          </cell>
          <cell r="CH93">
            <v>13</v>
          </cell>
          <cell r="CI93">
            <v>4.0999999999999996</v>
          </cell>
          <cell r="CJ93">
            <v>1.3666666666666667E-2</v>
          </cell>
          <cell r="CK93">
            <v>1.3666666666666667E-2</v>
          </cell>
          <cell r="CL93">
            <v>0</v>
          </cell>
          <cell r="CM93">
            <v>5.2984615384615383E-3</v>
          </cell>
          <cell r="CN93">
            <v>5.2984615384615383E-3</v>
          </cell>
          <cell r="CO93">
            <v>0</v>
          </cell>
          <cell r="CP93">
            <v>0</v>
          </cell>
          <cell r="CQ93">
            <v>4.6352984615384614</v>
          </cell>
          <cell r="CR93">
            <v>0</v>
          </cell>
          <cell r="CS93">
            <v>1.3</v>
          </cell>
          <cell r="CT93">
            <v>1.5000000000000002</v>
          </cell>
          <cell r="CU93">
            <v>0.60000000000000009</v>
          </cell>
          <cell r="CV93">
            <v>5</v>
          </cell>
          <cell r="CW93">
            <v>20</v>
          </cell>
          <cell r="CX93">
            <v>40</v>
          </cell>
          <cell r="CY93">
            <v>2</v>
          </cell>
          <cell r="CZ93">
            <v>1.2</v>
          </cell>
          <cell r="DA93">
            <v>1</v>
          </cell>
          <cell r="DB93">
            <v>250</v>
          </cell>
          <cell r="DC93">
            <v>118</v>
          </cell>
          <cell r="DD93">
            <v>65</v>
          </cell>
          <cell r="DE93">
            <v>19</v>
          </cell>
          <cell r="DF93">
            <v>29</v>
          </cell>
          <cell r="DG93">
            <v>5</v>
          </cell>
          <cell r="DH93">
            <v>3</v>
          </cell>
          <cell r="DI93">
            <v>13</v>
          </cell>
        </row>
        <row r="94">
          <cell r="A94" t="str">
            <v>RS 061</v>
          </cell>
          <cell r="B94">
            <v>61</v>
          </cell>
          <cell r="C94" t="str">
            <v>C</v>
          </cell>
          <cell r="D94" t="str">
            <v>T</v>
          </cell>
          <cell r="E94" t="str">
            <v>Benga-Kachisoka</v>
          </cell>
          <cell r="F94" t="str">
            <v>M05</v>
          </cell>
          <cell r="G94">
            <v>13</v>
          </cell>
          <cell r="H94">
            <v>2.7</v>
          </cell>
          <cell r="I94" t="str">
            <v>F</v>
          </cell>
          <cell r="J94" t="str">
            <v>NKHOTAKOTA</v>
          </cell>
          <cell r="K94">
            <v>5</v>
          </cell>
          <cell r="L94">
            <v>0</v>
          </cell>
          <cell r="W94">
            <v>83</v>
          </cell>
          <cell r="X94" t="str">
            <v>DS</v>
          </cell>
          <cell r="Y94">
            <v>200</v>
          </cell>
          <cell r="Z94" t="str">
            <v>SB</v>
          </cell>
          <cell r="AA94">
            <v>100</v>
          </cell>
          <cell r="AB94" t="str">
            <v>GR</v>
          </cell>
          <cell r="AC94">
            <v>4</v>
          </cell>
          <cell r="AD94" t="str">
            <v>VR</v>
          </cell>
          <cell r="AE94">
            <v>0</v>
          </cell>
          <cell r="AF94">
            <v>0</v>
          </cell>
          <cell r="AG94">
            <v>0</v>
          </cell>
          <cell r="AH94">
            <v>0</v>
          </cell>
          <cell r="AI94">
            <v>0</v>
          </cell>
          <cell r="AJ94">
            <v>0</v>
          </cell>
          <cell r="AK94">
            <v>0</v>
          </cell>
          <cell r="AL94">
            <v>0</v>
          </cell>
          <cell r="AM94">
            <v>1</v>
          </cell>
          <cell r="AN94" t="str">
            <v>never resealed</v>
          </cell>
          <cell r="BO94" t="str">
            <v>RS 061</v>
          </cell>
          <cell r="BP94">
            <v>2.7</v>
          </cell>
          <cell r="BQ94">
            <v>6</v>
          </cell>
          <cell r="BR94" t="str">
            <v>F</v>
          </cell>
          <cell r="BS94" t="str">
            <v>C</v>
          </cell>
          <cell r="BT94">
            <v>0</v>
          </cell>
          <cell r="BU94" t="str">
            <v>DS</v>
          </cell>
          <cell r="BV94" t="str">
            <v/>
          </cell>
          <cell r="BW94">
            <v>1</v>
          </cell>
          <cell r="BX94">
            <v>15</v>
          </cell>
          <cell r="BY94" t="str">
            <v xml:space="preserve"> </v>
          </cell>
          <cell r="BZ94">
            <v>1</v>
          </cell>
          <cell r="CA94">
            <v>4</v>
          </cell>
          <cell r="CB94">
            <v>1.177</v>
          </cell>
          <cell r="CC94">
            <v>4.9512067774519402</v>
          </cell>
          <cell r="CD94">
            <v>34</v>
          </cell>
          <cell r="CE94">
            <v>19</v>
          </cell>
          <cell r="CF94">
            <v>4</v>
          </cell>
          <cell r="CG94">
            <v>30</v>
          </cell>
          <cell r="CH94">
            <v>15</v>
          </cell>
          <cell r="CI94">
            <v>1.9</v>
          </cell>
          <cell r="CJ94">
            <v>6.3333333333333332E-3</v>
          </cell>
          <cell r="CK94">
            <v>4.0063333333333331</v>
          </cell>
          <cell r="CL94">
            <v>4</v>
          </cell>
          <cell r="CM94">
            <v>6.891692307692307E-2</v>
          </cell>
          <cell r="CN94">
            <v>6.891692307692307E-2</v>
          </cell>
          <cell r="CO94">
            <v>0</v>
          </cell>
          <cell r="CP94">
            <v>0</v>
          </cell>
          <cell r="CQ94">
            <v>5.0201237005288633</v>
          </cell>
          <cell r="CR94">
            <v>0</v>
          </cell>
          <cell r="CS94">
            <v>1.5</v>
          </cell>
          <cell r="CT94">
            <v>2.5</v>
          </cell>
          <cell r="CU94">
            <v>1</v>
          </cell>
          <cell r="CV94">
            <v>15</v>
          </cell>
          <cell r="CW94">
            <v>15</v>
          </cell>
          <cell r="CX94" t="str">
            <v xml:space="preserve"> </v>
          </cell>
          <cell r="CY94">
            <v>2</v>
          </cell>
          <cell r="CZ94">
            <v>1</v>
          </cell>
          <cell r="DA94">
            <v>1</v>
          </cell>
          <cell r="DB94">
            <v>250</v>
          </cell>
          <cell r="DC94">
            <v>118</v>
          </cell>
          <cell r="DD94">
            <v>65</v>
          </cell>
          <cell r="DE94">
            <v>19</v>
          </cell>
          <cell r="DF94">
            <v>29</v>
          </cell>
          <cell r="DG94">
            <v>5</v>
          </cell>
          <cell r="DH94">
            <v>3</v>
          </cell>
          <cell r="DI94">
            <v>13</v>
          </cell>
        </row>
        <row r="95">
          <cell r="A95" t="str">
            <v>RS 042</v>
          </cell>
          <cell r="B95">
            <v>42</v>
          </cell>
          <cell r="C95" t="str">
            <v>C</v>
          </cell>
          <cell r="D95" t="str">
            <v>T</v>
          </cell>
          <cell r="E95" t="str">
            <v>Chirua River Bridge - Thavite River Bridge</v>
          </cell>
          <cell r="F95" t="str">
            <v>M05</v>
          </cell>
          <cell r="G95">
            <v>14</v>
          </cell>
          <cell r="H95">
            <v>6</v>
          </cell>
          <cell r="I95" t="str">
            <v>F</v>
          </cell>
          <cell r="J95" t="str">
            <v>SALIMA</v>
          </cell>
          <cell r="K95">
            <v>5</v>
          </cell>
          <cell r="L95">
            <v>0</v>
          </cell>
          <cell r="W95">
            <v>83</v>
          </cell>
          <cell r="X95" t="str">
            <v>ST</v>
          </cell>
          <cell r="Y95">
            <v>150</v>
          </cell>
          <cell r="Z95" t="str">
            <v>GR</v>
          </cell>
          <cell r="AA95">
            <v>100</v>
          </cell>
          <cell r="AB95" t="str">
            <v>GR</v>
          </cell>
          <cell r="AC95">
            <v>8</v>
          </cell>
          <cell r="AD95" t="str">
            <v>VR</v>
          </cell>
          <cell r="AE95">
            <v>0</v>
          </cell>
          <cell r="AF95">
            <v>0</v>
          </cell>
          <cell r="AG95">
            <v>0</v>
          </cell>
          <cell r="AH95">
            <v>0</v>
          </cell>
          <cell r="AI95">
            <v>0</v>
          </cell>
          <cell r="AJ95">
            <v>0</v>
          </cell>
          <cell r="AK95">
            <v>0</v>
          </cell>
          <cell r="AL95">
            <v>0</v>
          </cell>
          <cell r="AM95">
            <v>1</v>
          </cell>
          <cell r="AN95" t="str">
            <v>never resealed</v>
          </cell>
          <cell r="BO95" t="str">
            <v>RS 042</v>
          </cell>
          <cell r="BP95">
            <v>6</v>
          </cell>
          <cell r="BQ95">
            <v>6</v>
          </cell>
          <cell r="BR95" t="str">
            <v>F</v>
          </cell>
          <cell r="BS95" t="str">
            <v>C</v>
          </cell>
          <cell r="BT95">
            <v>0</v>
          </cell>
          <cell r="BU95" t="str">
            <v>ST</v>
          </cell>
          <cell r="BV95" t="str">
            <v/>
          </cell>
          <cell r="BW95">
            <v>1</v>
          </cell>
          <cell r="BX95">
            <v>10</v>
          </cell>
          <cell r="BY95" t="str">
            <v xml:space="preserve"> </v>
          </cell>
          <cell r="BZ95">
            <v>1</v>
          </cell>
          <cell r="CA95">
            <v>8</v>
          </cell>
          <cell r="CB95">
            <v>0.90800000000000003</v>
          </cell>
          <cell r="CC95">
            <v>4.5999999999999996</v>
          </cell>
          <cell r="CD95">
            <v>95</v>
          </cell>
          <cell r="CE95">
            <v>76</v>
          </cell>
          <cell r="CF95">
            <v>61</v>
          </cell>
          <cell r="CG95">
            <v>34</v>
          </cell>
          <cell r="CH95">
            <v>15</v>
          </cell>
          <cell r="CI95">
            <v>1.6</v>
          </cell>
          <cell r="CJ95">
            <v>5.3333333333333349E-3</v>
          </cell>
          <cell r="CK95">
            <v>10</v>
          </cell>
          <cell r="CL95">
            <v>61</v>
          </cell>
          <cell r="CM95">
            <v>0.50555282051282047</v>
          </cell>
          <cell r="CN95">
            <v>0.50555282051282047</v>
          </cell>
          <cell r="CO95">
            <v>0</v>
          </cell>
          <cell r="CP95">
            <v>0</v>
          </cell>
          <cell r="CQ95">
            <v>5.1055528205128198</v>
          </cell>
          <cell r="CR95">
            <v>0</v>
          </cell>
          <cell r="CS95">
            <v>1</v>
          </cell>
          <cell r="CT95">
            <v>0</v>
          </cell>
          <cell r="CU95">
            <v>0</v>
          </cell>
          <cell r="CV95">
            <v>15</v>
          </cell>
          <cell r="CW95">
            <v>15</v>
          </cell>
          <cell r="CX95" t="str">
            <v xml:space="preserve"> </v>
          </cell>
          <cell r="CY95">
            <v>2</v>
          </cell>
          <cell r="CZ95">
            <v>1</v>
          </cell>
          <cell r="DA95">
            <v>1</v>
          </cell>
          <cell r="DB95">
            <v>150</v>
          </cell>
          <cell r="DC95">
            <v>71</v>
          </cell>
          <cell r="DD95">
            <v>39</v>
          </cell>
          <cell r="DE95">
            <v>12</v>
          </cell>
          <cell r="DF95">
            <v>18</v>
          </cell>
          <cell r="DG95">
            <v>3</v>
          </cell>
          <cell r="DH95">
            <v>2</v>
          </cell>
          <cell r="DI95">
            <v>8</v>
          </cell>
        </row>
        <row r="96">
          <cell r="A96" t="str">
            <v>RS 058</v>
          </cell>
          <cell r="B96">
            <v>58</v>
          </cell>
          <cell r="C96" t="str">
            <v>C</v>
          </cell>
          <cell r="D96" t="str">
            <v>T</v>
          </cell>
          <cell r="E96" t="str">
            <v>Thavite River Bridge - Kamphatenga</v>
          </cell>
          <cell r="F96" t="str">
            <v>M05</v>
          </cell>
          <cell r="G96">
            <v>15</v>
          </cell>
          <cell r="H96">
            <v>32.5</v>
          </cell>
          <cell r="I96" t="str">
            <v>F</v>
          </cell>
          <cell r="J96" t="str">
            <v>SALIMA</v>
          </cell>
          <cell r="K96">
            <v>7</v>
          </cell>
          <cell r="L96">
            <v>0</v>
          </cell>
          <cell r="W96">
            <v>83</v>
          </cell>
          <cell r="X96" t="str">
            <v>DS</v>
          </cell>
          <cell r="Y96">
            <v>200</v>
          </cell>
          <cell r="Z96" t="str">
            <v>SB</v>
          </cell>
          <cell r="AA96">
            <v>100</v>
          </cell>
          <cell r="AB96" t="str">
            <v>GR</v>
          </cell>
          <cell r="AC96">
            <v>4</v>
          </cell>
          <cell r="AD96" t="str">
            <v>VR</v>
          </cell>
          <cell r="AE96">
            <v>0</v>
          </cell>
          <cell r="AF96">
            <v>0</v>
          </cell>
          <cell r="AG96">
            <v>0</v>
          </cell>
          <cell r="AH96">
            <v>0</v>
          </cell>
          <cell r="AI96">
            <v>0</v>
          </cell>
          <cell r="AJ96">
            <v>0</v>
          </cell>
          <cell r="AK96">
            <v>0</v>
          </cell>
          <cell r="AL96">
            <v>0</v>
          </cell>
          <cell r="AM96">
            <v>1</v>
          </cell>
          <cell r="AN96" t="str">
            <v>never resealed</v>
          </cell>
          <cell r="BO96" t="str">
            <v>RS 058</v>
          </cell>
          <cell r="BP96">
            <v>32.5</v>
          </cell>
          <cell r="BQ96">
            <v>6</v>
          </cell>
          <cell r="BR96" t="str">
            <v>F</v>
          </cell>
          <cell r="BS96" t="str">
            <v>C</v>
          </cell>
          <cell r="BT96">
            <v>0</v>
          </cell>
          <cell r="BU96" t="str">
            <v>DS</v>
          </cell>
          <cell r="BV96" t="str">
            <v/>
          </cell>
          <cell r="BW96">
            <v>1</v>
          </cell>
          <cell r="BX96">
            <v>15</v>
          </cell>
          <cell r="BY96" t="str">
            <v xml:space="preserve"> </v>
          </cell>
          <cell r="BZ96">
            <v>1</v>
          </cell>
          <cell r="CA96">
            <v>4</v>
          </cell>
          <cell r="CB96">
            <v>1.177</v>
          </cell>
          <cell r="CC96">
            <v>4.6480611775321456</v>
          </cell>
          <cell r="CD96">
            <v>45</v>
          </cell>
          <cell r="CE96">
            <v>35</v>
          </cell>
          <cell r="CF96">
            <v>20</v>
          </cell>
          <cell r="CG96">
            <v>25</v>
          </cell>
          <cell r="CH96">
            <v>15</v>
          </cell>
          <cell r="CI96">
            <v>2.8</v>
          </cell>
          <cell r="CJ96">
            <v>9.3333333333333324E-3</v>
          </cell>
          <cell r="CK96">
            <v>10</v>
          </cell>
          <cell r="CL96">
            <v>20</v>
          </cell>
          <cell r="CM96">
            <v>0.23583282051282048</v>
          </cell>
          <cell r="CN96">
            <v>0.23583282051282048</v>
          </cell>
          <cell r="CO96">
            <v>0</v>
          </cell>
          <cell r="CP96">
            <v>0</v>
          </cell>
          <cell r="CQ96">
            <v>4.8838939980449663</v>
          </cell>
          <cell r="CR96">
            <v>0</v>
          </cell>
          <cell r="CS96">
            <v>1</v>
          </cell>
          <cell r="CT96">
            <v>0</v>
          </cell>
          <cell r="CU96">
            <v>0</v>
          </cell>
          <cell r="CV96">
            <v>15</v>
          </cell>
          <cell r="CW96">
            <v>15</v>
          </cell>
          <cell r="CX96" t="str">
            <v xml:space="preserve"> </v>
          </cell>
          <cell r="CY96">
            <v>2</v>
          </cell>
          <cell r="CZ96">
            <v>1</v>
          </cell>
          <cell r="DA96">
            <v>1</v>
          </cell>
          <cell r="DB96">
            <v>150</v>
          </cell>
          <cell r="DC96">
            <v>71</v>
          </cell>
          <cell r="DD96">
            <v>39</v>
          </cell>
          <cell r="DE96">
            <v>12</v>
          </cell>
          <cell r="DF96">
            <v>18</v>
          </cell>
          <cell r="DG96">
            <v>3</v>
          </cell>
          <cell r="DH96">
            <v>2</v>
          </cell>
          <cell r="DI96">
            <v>8</v>
          </cell>
        </row>
        <row r="97">
          <cell r="A97" t="str">
            <v>RS 044</v>
          </cell>
          <cell r="B97">
            <v>44</v>
          </cell>
          <cell r="C97" t="str">
            <v>C</v>
          </cell>
          <cell r="D97" t="str">
            <v>T</v>
          </cell>
          <cell r="E97" t="str">
            <v>Kaphatenga - junction S122</v>
          </cell>
          <cell r="F97" t="str">
            <v>M05</v>
          </cell>
          <cell r="G97">
            <v>16</v>
          </cell>
          <cell r="H97">
            <v>4.8</v>
          </cell>
          <cell r="I97" t="str">
            <v>F</v>
          </cell>
          <cell r="J97" t="str">
            <v>SALIMA</v>
          </cell>
          <cell r="K97">
            <v>7</v>
          </cell>
          <cell r="L97" t="str">
            <v>Changed junction road designation from M5</v>
          </cell>
          <cell r="W97">
            <v>83</v>
          </cell>
          <cell r="X97" t="str">
            <v>ST</v>
          </cell>
          <cell r="Y97">
            <v>200</v>
          </cell>
          <cell r="Z97" t="str">
            <v>SB</v>
          </cell>
          <cell r="AA97">
            <v>100</v>
          </cell>
          <cell r="AB97" t="str">
            <v>GR</v>
          </cell>
          <cell r="AC97">
            <v>4</v>
          </cell>
          <cell r="AD97" t="str">
            <v>VR</v>
          </cell>
          <cell r="AE97">
            <v>0</v>
          </cell>
          <cell r="AF97">
            <v>0</v>
          </cell>
          <cell r="AG97">
            <v>0</v>
          </cell>
          <cell r="AH97">
            <v>0</v>
          </cell>
          <cell r="AI97">
            <v>0</v>
          </cell>
          <cell r="AJ97">
            <v>0</v>
          </cell>
          <cell r="AK97">
            <v>0</v>
          </cell>
          <cell r="AL97">
            <v>0</v>
          </cell>
          <cell r="AM97">
            <v>1</v>
          </cell>
          <cell r="AN97" t="str">
            <v>never resealed</v>
          </cell>
          <cell r="BO97" t="str">
            <v>RS 044</v>
          </cell>
          <cell r="BP97">
            <v>4.8</v>
          </cell>
          <cell r="BQ97">
            <v>6</v>
          </cell>
          <cell r="BR97" t="str">
            <v>F</v>
          </cell>
          <cell r="BS97" t="str">
            <v>C</v>
          </cell>
          <cell r="BT97">
            <v>0</v>
          </cell>
          <cell r="BU97" t="str">
            <v>ST</v>
          </cell>
          <cell r="BV97" t="str">
            <v/>
          </cell>
          <cell r="BW97">
            <v>1</v>
          </cell>
          <cell r="BX97">
            <v>10</v>
          </cell>
          <cell r="BY97" t="str">
            <v xml:space="preserve"> </v>
          </cell>
          <cell r="BZ97">
            <v>1</v>
          </cell>
          <cell r="CA97">
            <v>4</v>
          </cell>
          <cell r="CB97">
            <v>1.008</v>
          </cell>
          <cell r="CC97">
            <v>4.5464554518794991</v>
          </cell>
          <cell r="CD97">
            <v>0</v>
          </cell>
          <cell r="CE97">
            <v>0</v>
          </cell>
          <cell r="CF97">
            <v>0</v>
          </cell>
          <cell r="CG97">
            <v>0</v>
          </cell>
          <cell r="CH97">
            <v>0</v>
          </cell>
          <cell r="CI97">
            <v>0.5</v>
          </cell>
          <cell r="CJ97">
            <v>1.6666666666666668E-3</v>
          </cell>
          <cell r="CK97">
            <v>1.6666666666666668E-3</v>
          </cell>
          <cell r="CL97">
            <v>0</v>
          </cell>
          <cell r="CM97">
            <v>6.4615384615384621E-4</v>
          </cell>
          <cell r="CN97">
            <v>6.4615384615384621E-4</v>
          </cell>
          <cell r="CO97">
            <v>0</v>
          </cell>
          <cell r="CP97">
            <v>0</v>
          </cell>
          <cell r="CQ97">
            <v>4.5471016057256533</v>
          </cell>
          <cell r="CR97">
            <v>0</v>
          </cell>
          <cell r="CS97">
            <v>1</v>
          </cell>
          <cell r="CT97">
            <v>0</v>
          </cell>
          <cell r="CU97">
            <v>0</v>
          </cell>
          <cell r="CV97">
            <v>15</v>
          </cell>
          <cell r="CW97">
            <v>15</v>
          </cell>
          <cell r="CX97" t="str">
            <v xml:space="preserve"> </v>
          </cell>
          <cell r="CY97">
            <v>2</v>
          </cell>
          <cell r="CZ97">
            <v>1</v>
          </cell>
          <cell r="DA97">
            <v>1</v>
          </cell>
          <cell r="DB97">
            <v>320</v>
          </cell>
          <cell r="DC97">
            <v>151</v>
          </cell>
          <cell r="DD97">
            <v>84</v>
          </cell>
          <cell r="DE97">
            <v>24</v>
          </cell>
          <cell r="DF97">
            <v>37</v>
          </cell>
          <cell r="DG97">
            <v>7</v>
          </cell>
          <cell r="DH97">
            <v>4</v>
          </cell>
          <cell r="DI97">
            <v>16</v>
          </cell>
        </row>
        <row r="98">
          <cell r="A98" t="str">
            <v>RS 051</v>
          </cell>
          <cell r="B98">
            <v>51</v>
          </cell>
          <cell r="C98" t="str">
            <v>C</v>
          </cell>
          <cell r="D98" t="str">
            <v>T</v>
          </cell>
          <cell r="E98" t="str">
            <v>Junction S122 - Linthipe River</v>
          </cell>
          <cell r="F98" t="str">
            <v>M05</v>
          </cell>
          <cell r="G98">
            <v>17</v>
          </cell>
          <cell r="H98">
            <v>1.9</v>
          </cell>
          <cell r="I98" t="str">
            <v>F</v>
          </cell>
          <cell r="J98" t="str">
            <v>SALIMA</v>
          </cell>
          <cell r="K98">
            <v>7</v>
          </cell>
          <cell r="L98">
            <v>0</v>
          </cell>
          <cell r="W98">
            <v>81</v>
          </cell>
          <cell r="X98" t="str">
            <v>DS</v>
          </cell>
          <cell r="Y98">
            <v>150</v>
          </cell>
          <cell r="Z98" t="str">
            <v>SB</v>
          </cell>
          <cell r="AA98">
            <v>100</v>
          </cell>
          <cell r="AB98" t="str">
            <v>GR</v>
          </cell>
          <cell r="AC98">
            <v>8</v>
          </cell>
          <cell r="AD98" t="str">
            <v>VR</v>
          </cell>
          <cell r="AE98">
            <v>94</v>
          </cell>
          <cell r="AF98" t="str">
            <v>RC</v>
          </cell>
          <cell r="AG98" t="str">
            <v>ST</v>
          </cell>
          <cell r="AH98">
            <v>15</v>
          </cell>
          <cell r="AI98">
            <v>0</v>
          </cell>
          <cell r="AJ98">
            <v>0</v>
          </cell>
          <cell r="AK98">
            <v>0</v>
          </cell>
          <cell r="AL98">
            <v>0</v>
          </cell>
          <cell r="AM98">
            <v>1</v>
          </cell>
          <cell r="AN98">
            <v>0</v>
          </cell>
          <cell r="BO98" t="str">
            <v>RS 051</v>
          </cell>
          <cell r="BP98">
            <v>1.9</v>
          </cell>
          <cell r="BQ98">
            <v>6</v>
          </cell>
          <cell r="BR98" t="str">
            <v>F</v>
          </cell>
          <cell r="BS98" t="str">
            <v>C</v>
          </cell>
          <cell r="BT98">
            <v>0</v>
          </cell>
          <cell r="BU98" t="str">
            <v>ST</v>
          </cell>
          <cell r="BV98" t="str">
            <v/>
          </cell>
          <cell r="BW98">
            <v>1</v>
          </cell>
          <cell r="BX98">
            <v>10</v>
          </cell>
          <cell r="BY98" t="str">
            <v xml:space="preserve"> </v>
          </cell>
          <cell r="BZ98">
            <v>1</v>
          </cell>
          <cell r="CA98">
            <v>8</v>
          </cell>
          <cell r="CB98">
            <v>1.3540000000000001</v>
          </cell>
          <cell r="CC98">
            <v>5.7</v>
          </cell>
          <cell r="CD98">
            <v>0</v>
          </cell>
          <cell r="CE98">
            <v>0</v>
          </cell>
          <cell r="CF98">
            <v>0</v>
          </cell>
          <cell r="CG98">
            <v>0</v>
          </cell>
          <cell r="CH98">
            <v>0</v>
          </cell>
          <cell r="CI98">
            <v>0</v>
          </cell>
          <cell r="CJ98">
            <v>0</v>
          </cell>
          <cell r="CK98">
            <v>0</v>
          </cell>
          <cell r="CL98">
            <v>0</v>
          </cell>
          <cell r="CM98">
            <v>0</v>
          </cell>
          <cell r="CN98">
            <v>0</v>
          </cell>
          <cell r="CO98">
            <v>0</v>
          </cell>
          <cell r="CP98">
            <v>0</v>
          </cell>
          <cell r="CQ98">
            <v>5.7</v>
          </cell>
          <cell r="CR98">
            <v>0</v>
          </cell>
          <cell r="CS98">
            <v>1</v>
          </cell>
          <cell r="CT98">
            <v>0</v>
          </cell>
          <cell r="CU98">
            <v>0</v>
          </cell>
          <cell r="CV98">
            <v>4</v>
          </cell>
          <cell r="CW98">
            <v>4</v>
          </cell>
          <cell r="CX98" t="str">
            <v xml:space="preserve"> </v>
          </cell>
          <cell r="CY98">
            <v>2</v>
          </cell>
          <cell r="CZ98">
            <v>1</v>
          </cell>
          <cell r="DA98">
            <v>1</v>
          </cell>
          <cell r="DB98">
            <v>300</v>
          </cell>
          <cell r="DC98">
            <v>141</v>
          </cell>
          <cell r="DD98">
            <v>78</v>
          </cell>
          <cell r="DE98">
            <v>23</v>
          </cell>
          <cell r="DF98">
            <v>35</v>
          </cell>
          <cell r="DG98">
            <v>6</v>
          </cell>
          <cell r="DH98">
            <v>3</v>
          </cell>
          <cell r="DI98">
            <v>15</v>
          </cell>
        </row>
        <row r="99">
          <cell r="A99" t="str">
            <v>RS 067</v>
          </cell>
          <cell r="B99">
            <v>67</v>
          </cell>
          <cell r="C99" t="str">
            <v>C</v>
          </cell>
          <cell r="D99" t="str">
            <v>T</v>
          </cell>
          <cell r="E99" t="str">
            <v>Linthipe River - Luwadzi River Bridge</v>
          </cell>
          <cell r="F99" t="str">
            <v>M05</v>
          </cell>
          <cell r="G99">
            <v>18</v>
          </cell>
          <cell r="H99">
            <v>20.8</v>
          </cell>
          <cell r="I99" t="str">
            <v>F</v>
          </cell>
          <cell r="J99" t="str">
            <v>SALIMA</v>
          </cell>
          <cell r="K99">
            <v>7</v>
          </cell>
          <cell r="L99">
            <v>0</v>
          </cell>
          <cell r="W99">
            <v>81</v>
          </cell>
          <cell r="X99" t="str">
            <v>DS</v>
          </cell>
          <cell r="Y99">
            <v>150</v>
          </cell>
          <cell r="Z99" t="str">
            <v>SB</v>
          </cell>
          <cell r="AA99">
            <v>100</v>
          </cell>
          <cell r="AB99" t="str">
            <v>GR</v>
          </cell>
          <cell r="AC99">
            <v>8</v>
          </cell>
          <cell r="AD99" t="str">
            <v>VR</v>
          </cell>
          <cell r="AE99">
            <v>94</v>
          </cell>
          <cell r="AF99" t="str">
            <v>RC</v>
          </cell>
          <cell r="AG99" t="str">
            <v>ST</v>
          </cell>
          <cell r="AH99">
            <v>15</v>
          </cell>
          <cell r="AI99">
            <v>0</v>
          </cell>
          <cell r="AJ99">
            <v>0</v>
          </cell>
          <cell r="AK99">
            <v>0</v>
          </cell>
          <cell r="AL99">
            <v>0</v>
          </cell>
          <cell r="AM99">
            <v>1</v>
          </cell>
          <cell r="AN99">
            <v>0</v>
          </cell>
          <cell r="BO99" t="str">
            <v>RS 067</v>
          </cell>
          <cell r="BP99">
            <v>20.8</v>
          </cell>
          <cell r="BQ99">
            <v>6.7</v>
          </cell>
          <cell r="BR99" t="str">
            <v>F</v>
          </cell>
          <cell r="BS99" t="str">
            <v>S</v>
          </cell>
          <cell r="BT99">
            <v>0</v>
          </cell>
          <cell r="BU99" t="str">
            <v>ST</v>
          </cell>
          <cell r="BV99" t="str">
            <v/>
          </cell>
          <cell r="BW99">
            <v>1</v>
          </cell>
          <cell r="BX99">
            <v>10</v>
          </cell>
          <cell r="BY99" t="str">
            <v xml:space="preserve"> </v>
          </cell>
          <cell r="BZ99">
            <v>1</v>
          </cell>
          <cell r="CA99">
            <v>8</v>
          </cell>
          <cell r="CB99">
            <v>1.3540000000000001</v>
          </cell>
          <cell r="CC99">
            <v>2.96</v>
          </cell>
          <cell r="CD99">
            <v>10</v>
          </cell>
          <cell r="CE99">
            <v>0.5</v>
          </cell>
          <cell r="CF99">
            <v>0</v>
          </cell>
          <cell r="CG99">
            <v>10</v>
          </cell>
          <cell r="CH99">
            <v>0.5</v>
          </cell>
          <cell r="CI99">
            <v>0.1</v>
          </cell>
          <cell r="CJ99">
            <v>2.9850746268656722E-4</v>
          </cell>
          <cell r="CK99">
            <v>2.9850746268656722E-4</v>
          </cell>
          <cell r="CL99">
            <v>0</v>
          </cell>
          <cell r="CM99">
            <v>1.1572904707233067E-4</v>
          </cell>
          <cell r="CN99">
            <v>1.1572904707233067E-4</v>
          </cell>
          <cell r="CO99">
            <v>0</v>
          </cell>
          <cell r="CP99">
            <v>0</v>
          </cell>
          <cell r="CQ99">
            <v>2.9601157290470721</v>
          </cell>
          <cell r="CR99">
            <v>0</v>
          </cell>
          <cell r="CS99">
            <v>1</v>
          </cell>
          <cell r="CT99">
            <v>0</v>
          </cell>
          <cell r="CU99">
            <v>0</v>
          </cell>
          <cell r="CV99">
            <v>4</v>
          </cell>
          <cell r="CW99">
            <v>4</v>
          </cell>
          <cell r="CX99" t="str">
            <v xml:space="preserve"> </v>
          </cell>
          <cell r="CY99">
            <v>2</v>
          </cell>
          <cell r="CZ99">
            <v>1</v>
          </cell>
          <cell r="DA99">
            <v>1</v>
          </cell>
          <cell r="DB99">
            <v>300</v>
          </cell>
          <cell r="DC99">
            <v>141</v>
          </cell>
          <cell r="DD99">
            <v>78</v>
          </cell>
          <cell r="DE99">
            <v>23</v>
          </cell>
          <cell r="DF99">
            <v>35</v>
          </cell>
          <cell r="DG99">
            <v>6</v>
          </cell>
          <cell r="DH99">
            <v>3</v>
          </cell>
          <cell r="DI99">
            <v>15</v>
          </cell>
        </row>
        <row r="100">
          <cell r="A100" t="str">
            <v>RS 064</v>
          </cell>
          <cell r="B100">
            <v>64</v>
          </cell>
          <cell r="C100" t="str">
            <v>C</v>
          </cell>
          <cell r="D100" t="str">
            <v>T</v>
          </cell>
          <cell r="E100" t="str">
            <v>Luwadzi River Bridge - Ngodzi River Bridge</v>
          </cell>
          <cell r="F100" t="str">
            <v>M05</v>
          </cell>
          <cell r="G100">
            <v>19</v>
          </cell>
          <cell r="H100">
            <v>15.8</v>
          </cell>
          <cell r="I100" t="str">
            <v>F</v>
          </cell>
          <cell r="J100" t="str">
            <v>SALIMA</v>
          </cell>
          <cell r="K100">
            <v>7</v>
          </cell>
          <cell r="L100">
            <v>0</v>
          </cell>
          <cell r="W100">
            <v>81</v>
          </cell>
          <cell r="X100" t="str">
            <v>DS</v>
          </cell>
          <cell r="Y100">
            <v>150</v>
          </cell>
          <cell r="Z100" t="str">
            <v>SB</v>
          </cell>
          <cell r="AA100">
            <v>100</v>
          </cell>
          <cell r="AB100" t="str">
            <v>GR</v>
          </cell>
          <cell r="AC100">
            <v>8</v>
          </cell>
          <cell r="AD100" t="str">
            <v>VR</v>
          </cell>
          <cell r="AE100">
            <v>94</v>
          </cell>
          <cell r="AF100" t="str">
            <v>RC</v>
          </cell>
          <cell r="AG100" t="str">
            <v>ST</v>
          </cell>
          <cell r="AH100">
            <v>15</v>
          </cell>
          <cell r="AI100">
            <v>0</v>
          </cell>
          <cell r="AJ100">
            <v>0</v>
          </cell>
          <cell r="AK100">
            <v>0</v>
          </cell>
          <cell r="AL100">
            <v>0</v>
          </cell>
          <cell r="AM100">
            <v>1</v>
          </cell>
          <cell r="AN100">
            <v>0</v>
          </cell>
          <cell r="BO100" t="str">
            <v>RS 064</v>
          </cell>
          <cell r="BP100">
            <v>15.8</v>
          </cell>
          <cell r="BQ100">
            <v>6.7</v>
          </cell>
          <cell r="BR100" t="str">
            <v>F</v>
          </cell>
          <cell r="BS100" t="str">
            <v>S</v>
          </cell>
          <cell r="BT100">
            <v>0</v>
          </cell>
          <cell r="BU100" t="str">
            <v>ST</v>
          </cell>
          <cell r="BV100" t="str">
            <v/>
          </cell>
          <cell r="BW100">
            <v>1</v>
          </cell>
          <cell r="BX100">
            <v>10</v>
          </cell>
          <cell r="BY100" t="str">
            <v xml:space="preserve"> </v>
          </cell>
          <cell r="BZ100">
            <v>1</v>
          </cell>
          <cell r="CA100">
            <v>8</v>
          </cell>
          <cell r="CB100">
            <v>1.3540000000000001</v>
          </cell>
          <cell r="CC100">
            <v>3.7884175953079184</v>
          </cell>
          <cell r="CD100">
            <v>10</v>
          </cell>
          <cell r="CE100">
            <v>0</v>
          </cell>
          <cell r="CF100">
            <v>0</v>
          </cell>
          <cell r="CG100">
            <v>10</v>
          </cell>
          <cell r="CH100">
            <v>0</v>
          </cell>
          <cell r="CI100">
            <v>0</v>
          </cell>
          <cell r="CJ100">
            <v>0</v>
          </cell>
          <cell r="CK100">
            <v>0</v>
          </cell>
          <cell r="CL100">
            <v>0</v>
          </cell>
          <cell r="CM100">
            <v>0</v>
          </cell>
          <cell r="CN100">
            <v>0</v>
          </cell>
          <cell r="CO100">
            <v>0</v>
          </cell>
          <cell r="CP100">
            <v>0</v>
          </cell>
          <cell r="CQ100">
            <v>3.7884175953079184</v>
          </cell>
          <cell r="CR100">
            <v>0</v>
          </cell>
          <cell r="CS100">
            <v>1</v>
          </cell>
          <cell r="CT100">
            <v>0</v>
          </cell>
          <cell r="CU100">
            <v>0</v>
          </cell>
          <cell r="CV100">
            <v>4</v>
          </cell>
          <cell r="CW100">
            <v>4</v>
          </cell>
          <cell r="CX100" t="str">
            <v xml:space="preserve"> </v>
          </cell>
          <cell r="CY100">
            <v>1.2</v>
          </cell>
          <cell r="CZ100">
            <v>1.2</v>
          </cell>
          <cell r="DA100">
            <v>1.1000000000000001</v>
          </cell>
          <cell r="DB100">
            <v>300</v>
          </cell>
          <cell r="DC100">
            <v>141</v>
          </cell>
          <cell r="DD100">
            <v>78</v>
          </cell>
          <cell r="DE100">
            <v>23</v>
          </cell>
          <cell r="DF100">
            <v>35</v>
          </cell>
          <cell r="DG100">
            <v>6</v>
          </cell>
          <cell r="DH100">
            <v>3</v>
          </cell>
          <cell r="DI100">
            <v>15</v>
          </cell>
        </row>
        <row r="101">
          <cell r="A101" t="str">
            <v>RS 059</v>
          </cell>
          <cell r="B101">
            <v>59</v>
          </cell>
          <cell r="C101" t="str">
            <v>C</v>
          </cell>
          <cell r="D101" t="str">
            <v>T</v>
          </cell>
          <cell r="E101" t="str">
            <v>Ngodzi River Bridge - Mtakataka</v>
          </cell>
          <cell r="F101" t="str">
            <v>M05</v>
          </cell>
          <cell r="G101">
            <v>20</v>
          </cell>
          <cell r="H101">
            <v>14.3</v>
          </cell>
          <cell r="I101" t="str">
            <v>F</v>
          </cell>
          <cell r="J101" t="str">
            <v>SALIMA</v>
          </cell>
          <cell r="K101">
            <v>7</v>
          </cell>
          <cell r="L101">
            <v>0</v>
          </cell>
          <cell r="W101">
            <v>81</v>
          </cell>
          <cell r="X101" t="str">
            <v>DS</v>
          </cell>
          <cell r="Y101">
            <v>150</v>
          </cell>
          <cell r="Z101" t="str">
            <v>SB</v>
          </cell>
          <cell r="AA101">
            <v>100</v>
          </cell>
          <cell r="AB101" t="str">
            <v>GR</v>
          </cell>
          <cell r="AC101">
            <v>8</v>
          </cell>
          <cell r="AD101" t="str">
            <v>VR</v>
          </cell>
          <cell r="AE101">
            <v>94</v>
          </cell>
          <cell r="AF101" t="str">
            <v>RC</v>
          </cell>
          <cell r="AG101" t="str">
            <v>ST</v>
          </cell>
          <cell r="AH101">
            <v>15</v>
          </cell>
          <cell r="AI101">
            <v>0</v>
          </cell>
          <cell r="AJ101">
            <v>0</v>
          </cell>
          <cell r="AK101">
            <v>0</v>
          </cell>
          <cell r="AL101">
            <v>0</v>
          </cell>
          <cell r="AM101">
            <v>1</v>
          </cell>
          <cell r="AN101">
            <v>0</v>
          </cell>
          <cell r="BO101" t="str">
            <v>RS 059</v>
          </cell>
          <cell r="BP101">
            <v>14.3</v>
          </cell>
          <cell r="BQ101">
            <v>6.7</v>
          </cell>
          <cell r="BR101" t="str">
            <v>F</v>
          </cell>
          <cell r="BS101" t="str">
            <v>S</v>
          </cell>
          <cell r="BT101">
            <v>0</v>
          </cell>
          <cell r="BU101" t="str">
            <v>ST</v>
          </cell>
          <cell r="BV101" t="str">
            <v/>
          </cell>
          <cell r="BW101">
            <v>1</v>
          </cell>
          <cell r="BX101">
            <v>10</v>
          </cell>
          <cell r="BY101" t="str">
            <v xml:space="preserve"> </v>
          </cell>
          <cell r="BZ101">
            <v>1</v>
          </cell>
          <cell r="CA101">
            <v>8</v>
          </cell>
          <cell r="CB101">
            <v>1.3540000000000001</v>
          </cell>
          <cell r="CC101">
            <v>5.0676190390254909</v>
          </cell>
          <cell r="CD101">
            <v>10</v>
          </cell>
          <cell r="CE101">
            <v>1</v>
          </cell>
          <cell r="CF101">
            <v>0</v>
          </cell>
          <cell r="CG101">
            <v>10</v>
          </cell>
          <cell r="CH101">
            <v>1</v>
          </cell>
          <cell r="CI101">
            <v>0</v>
          </cell>
          <cell r="CJ101">
            <v>0</v>
          </cell>
          <cell r="CK101">
            <v>0</v>
          </cell>
          <cell r="CL101">
            <v>0</v>
          </cell>
          <cell r="CM101">
            <v>0</v>
          </cell>
          <cell r="CN101">
            <v>0</v>
          </cell>
          <cell r="CO101">
            <v>0</v>
          </cell>
          <cell r="CP101">
            <v>0</v>
          </cell>
          <cell r="CQ101">
            <v>5.0676190390254909</v>
          </cell>
          <cell r="CR101">
            <v>0</v>
          </cell>
          <cell r="CS101">
            <v>1</v>
          </cell>
          <cell r="CT101">
            <v>0</v>
          </cell>
          <cell r="CU101">
            <v>0</v>
          </cell>
          <cell r="CV101">
            <v>4</v>
          </cell>
          <cell r="CW101">
            <v>4</v>
          </cell>
          <cell r="CX101" t="str">
            <v xml:space="preserve"> </v>
          </cell>
          <cell r="CY101">
            <v>1.5</v>
          </cell>
          <cell r="CZ101">
            <v>1.2</v>
          </cell>
          <cell r="DA101">
            <v>1.1000000000000001</v>
          </cell>
          <cell r="DB101">
            <v>160</v>
          </cell>
          <cell r="DC101">
            <v>76</v>
          </cell>
          <cell r="DD101">
            <v>42</v>
          </cell>
          <cell r="DE101">
            <v>12</v>
          </cell>
          <cell r="DF101">
            <v>19</v>
          </cell>
          <cell r="DG101">
            <v>4</v>
          </cell>
          <cell r="DH101">
            <v>2</v>
          </cell>
          <cell r="DI101">
            <v>8</v>
          </cell>
        </row>
        <row r="102">
          <cell r="A102" t="str">
            <v>RS 063</v>
          </cell>
          <cell r="B102">
            <v>63</v>
          </cell>
          <cell r="C102" t="str">
            <v>C</v>
          </cell>
          <cell r="D102" t="str">
            <v>T</v>
          </cell>
          <cell r="E102" t="str">
            <v>Mtakataka - Golomoti</v>
          </cell>
          <cell r="F102" t="str">
            <v>M05</v>
          </cell>
          <cell r="G102">
            <v>21</v>
          </cell>
          <cell r="H102">
            <v>25.5</v>
          </cell>
          <cell r="I102" t="str">
            <v>F</v>
          </cell>
          <cell r="J102" t="str">
            <v>DEDZA</v>
          </cell>
          <cell r="K102">
            <v>7</v>
          </cell>
          <cell r="L102">
            <v>0</v>
          </cell>
          <cell r="W102">
            <v>81</v>
          </cell>
          <cell r="X102" t="str">
            <v>DS</v>
          </cell>
          <cell r="Y102">
            <v>150</v>
          </cell>
          <cell r="Z102" t="str">
            <v>SB</v>
          </cell>
          <cell r="AA102">
            <v>100</v>
          </cell>
          <cell r="AB102" t="str">
            <v>GR</v>
          </cell>
          <cell r="AC102">
            <v>8</v>
          </cell>
          <cell r="AD102" t="str">
            <v>VR</v>
          </cell>
          <cell r="AE102">
            <v>94</v>
          </cell>
          <cell r="AF102" t="str">
            <v>RC</v>
          </cell>
          <cell r="AG102" t="str">
            <v>ST</v>
          </cell>
          <cell r="AH102">
            <v>15</v>
          </cell>
          <cell r="AI102">
            <v>0</v>
          </cell>
          <cell r="AJ102">
            <v>0</v>
          </cell>
          <cell r="AK102">
            <v>0</v>
          </cell>
          <cell r="AL102">
            <v>0</v>
          </cell>
          <cell r="AM102">
            <v>1</v>
          </cell>
          <cell r="AN102">
            <v>0</v>
          </cell>
          <cell r="BO102" t="str">
            <v>RS 063</v>
          </cell>
          <cell r="BP102">
            <v>25.5</v>
          </cell>
          <cell r="BQ102">
            <v>6.7</v>
          </cell>
          <cell r="BR102" t="str">
            <v>F</v>
          </cell>
          <cell r="BS102" t="str">
            <v>S</v>
          </cell>
          <cell r="BT102">
            <v>0</v>
          </cell>
          <cell r="BU102" t="str">
            <v>ST</v>
          </cell>
          <cell r="BV102" t="str">
            <v/>
          </cell>
          <cell r="BW102">
            <v>1</v>
          </cell>
          <cell r="BX102">
            <v>10</v>
          </cell>
          <cell r="BY102" t="str">
            <v xml:space="preserve"> </v>
          </cell>
          <cell r="BZ102">
            <v>1</v>
          </cell>
          <cell r="CA102">
            <v>8</v>
          </cell>
          <cell r="CB102">
            <v>1.3540000000000001</v>
          </cell>
          <cell r="CC102">
            <v>4.04</v>
          </cell>
          <cell r="CD102">
            <v>1</v>
          </cell>
          <cell r="CE102">
            <v>0</v>
          </cell>
          <cell r="CF102">
            <v>0</v>
          </cell>
          <cell r="CG102">
            <v>1</v>
          </cell>
          <cell r="CH102">
            <v>0</v>
          </cell>
          <cell r="CI102">
            <v>0</v>
          </cell>
          <cell r="CJ102">
            <v>0</v>
          </cell>
          <cell r="CK102">
            <v>0</v>
          </cell>
          <cell r="CL102">
            <v>0</v>
          </cell>
          <cell r="CM102">
            <v>0</v>
          </cell>
          <cell r="CN102">
            <v>0</v>
          </cell>
          <cell r="CO102">
            <v>0</v>
          </cell>
          <cell r="CP102">
            <v>0</v>
          </cell>
          <cell r="CQ102">
            <v>4.04</v>
          </cell>
          <cell r="CR102">
            <v>0</v>
          </cell>
          <cell r="CS102">
            <v>1</v>
          </cell>
          <cell r="CT102">
            <v>0</v>
          </cell>
          <cell r="CU102">
            <v>0</v>
          </cell>
          <cell r="CV102">
            <v>4</v>
          </cell>
          <cell r="CW102">
            <v>4</v>
          </cell>
          <cell r="CX102" t="str">
            <v xml:space="preserve"> </v>
          </cell>
          <cell r="CY102">
            <v>1.2</v>
          </cell>
          <cell r="CZ102">
            <v>1.2</v>
          </cell>
          <cell r="DA102">
            <v>1.1000000000000001</v>
          </cell>
          <cell r="DB102">
            <v>120</v>
          </cell>
          <cell r="DC102">
            <v>57</v>
          </cell>
          <cell r="DD102">
            <v>32</v>
          </cell>
          <cell r="DE102">
            <v>9</v>
          </cell>
          <cell r="DF102">
            <v>14</v>
          </cell>
          <cell r="DG102">
            <v>3</v>
          </cell>
          <cell r="DH102">
            <v>2</v>
          </cell>
          <cell r="DI102">
            <v>6</v>
          </cell>
        </row>
        <row r="103">
          <cell r="A103" t="str">
            <v>RS 055</v>
          </cell>
          <cell r="B103">
            <v>55</v>
          </cell>
          <cell r="C103" t="str">
            <v>C</v>
          </cell>
          <cell r="D103" t="str">
            <v>T</v>
          </cell>
          <cell r="E103" t="str">
            <v>Golomoti - Kasinje</v>
          </cell>
          <cell r="F103" t="str">
            <v>M05</v>
          </cell>
          <cell r="G103">
            <v>22</v>
          </cell>
          <cell r="H103">
            <v>14.4</v>
          </cell>
          <cell r="I103" t="str">
            <v>F</v>
          </cell>
          <cell r="J103" t="str">
            <v>NTCHEU</v>
          </cell>
          <cell r="K103">
            <v>8</v>
          </cell>
          <cell r="L103">
            <v>0</v>
          </cell>
          <cell r="W103">
            <v>81</v>
          </cell>
          <cell r="X103" t="str">
            <v>DS</v>
          </cell>
          <cell r="Y103">
            <v>150</v>
          </cell>
          <cell r="Z103" t="str">
            <v>SB</v>
          </cell>
          <cell r="AA103">
            <v>100</v>
          </cell>
          <cell r="AB103" t="str">
            <v>GR</v>
          </cell>
          <cell r="AC103">
            <v>8</v>
          </cell>
          <cell r="AD103" t="str">
            <v>VR</v>
          </cell>
          <cell r="AE103">
            <v>94</v>
          </cell>
          <cell r="AF103" t="str">
            <v>RC</v>
          </cell>
          <cell r="AG103" t="str">
            <v>ST</v>
          </cell>
          <cell r="AH103">
            <v>15</v>
          </cell>
          <cell r="AI103">
            <v>0</v>
          </cell>
          <cell r="AJ103">
            <v>0</v>
          </cell>
          <cell r="AK103">
            <v>0</v>
          </cell>
          <cell r="AL103">
            <v>0</v>
          </cell>
          <cell r="AM103">
            <v>1</v>
          </cell>
          <cell r="AN103">
            <v>0</v>
          </cell>
          <cell r="BO103" t="str">
            <v>RS 055</v>
          </cell>
          <cell r="BP103">
            <v>14.4</v>
          </cell>
          <cell r="BQ103">
            <v>6.7</v>
          </cell>
          <cell r="BR103" t="str">
            <v>F</v>
          </cell>
          <cell r="BS103" t="str">
            <v>S</v>
          </cell>
          <cell r="BT103">
            <v>0</v>
          </cell>
          <cell r="BU103" t="str">
            <v>ST</v>
          </cell>
          <cell r="BV103" t="str">
            <v/>
          </cell>
          <cell r="BW103">
            <v>1</v>
          </cell>
          <cell r="BX103">
            <v>10</v>
          </cell>
          <cell r="BY103" t="str">
            <v xml:space="preserve"> </v>
          </cell>
          <cell r="BZ103">
            <v>1</v>
          </cell>
          <cell r="CA103">
            <v>8</v>
          </cell>
          <cell r="CB103">
            <v>1.3540000000000001</v>
          </cell>
          <cell r="CC103">
            <v>3.9922750281976094</v>
          </cell>
          <cell r="CD103">
            <v>5</v>
          </cell>
          <cell r="CE103">
            <v>0</v>
          </cell>
          <cell r="CF103">
            <v>0</v>
          </cell>
          <cell r="CG103">
            <v>5</v>
          </cell>
          <cell r="CH103">
            <v>0</v>
          </cell>
          <cell r="CI103">
            <v>0</v>
          </cell>
          <cell r="CJ103">
            <v>0</v>
          </cell>
          <cell r="CK103">
            <v>0</v>
          </cell>
          <cell r="CL103">
            <v>0</v>
          </cell>
          <cell r="CM103">
            <v>0</v>
          </cell>
          <cell r="CN103">
            <v>0</v>
          </cell>
          <cell r="CO103">
            <v>0</v>
          </cell>
          <cell r="CP103">
            <v>0</v>
          </cell>
          <cell r="CQ103">
            <v>3.9922750281976094</v>
          </cell>
          <cell r="CR103">
            <v>0</v>
          </cell>
          <cell r="CS103">
            <v>1</v>
          </cell>
          <cell r="CT103">
            <v>0</v>
          </cell>
          <cell r="CU103">
            <v>0</v>
          </cell>
          <cell r="CV103">
            <v>4</v>
          </cell>
          <cell r="CW103">
            <v>4</v>
          </cell>
          <cell r="CX103" t="str">
            <v xml:space="preserve"> </v>
          </cell>
          <cell r="CY103">
            <v>1.2</v>
          </cell>
          <cell r="CZ103">
            <v>2</v>
          </cell>
          <cell r="DA103">
            <v>1.1000000000000001</v>
          </cell>
          <cell r="DB103">
            <v>100</v>
          </cell>
          <cell r="DC103">
            <v>47</v>
          </cell>
          <cell r="DD103">
            <v>26</v>
          </cell>
          <cell r="DE103">
            <v>8</v>
          </cell>
          <cell r="DF103">
            <v>12</v>
          </cell>
          <cell r="DG103">
            <v>2</v>
          </cell>
          <cell r="DH103">
            <v>1</v>
          </cell>
          <cell r="DI103">
            <v>5</v>
          </cell>
        </row>
        <row r="104">
          <cell r="A104" t="str">
            <v>RS 041</v>
          </cell>
          <cell r="B104">
            <v>41</v>
          </cell>
          <cell r="C104" t="str">
            <v>C</v>
          </cell>
          <cell r="D104" t="str">
            <v>T</v>
          </cell>
          <cell r="E104" t="str">
            <v>Kasinje - Sharpevale</v>
          </cell>
          <cell r="F104" t="str">
            <v>M05</v>
          </cell>
          <cell r="G104">
            <v>23</v>
          </cell>
          <cell r="H104">
            <v>10.5</v>
          </cell>
          <cell r="I104" t="str">
            <v>F</v>
          </cell>
          <cell r="J104" t="str">
            <v>NTCHEU</v>
          </cell>
          <cell r="K104">
            <v>8</v>
          </cell>
          <cell r="L104">
            <v>0</v>
          </cell>
          <cell r="W104">
            <v>81</v>
          </cell>
          <cell r="X104" t="str">
            <v>DS</v>
          </cell>
          <cell r="Y104">
            <v>150</v>
          </cell>
          <cell r="Z104" t="str">
            <v>SB</v>
          </cell>
          <cell r="AA104">
            <v>100</v>
          </cell>
          <cell r="AB104" t="str">
            <v>GR</v>
          </cell>
          <cell r="AC104">
            <v>8</v>
          </cell>
          <cell r="AD104" t="str">
            <v>VR</v>
          </cell>
          <cell r="AE104">
            <v>94</v>
          </cell>
          <cell r="AF104" t="str">
            <v>RC</v>
          </cell>
          <cell r="AG104" t="str">
            <v>ST</v>
          </cell>
          <cell r="AH104">
            <v>15</v>
          </cell>
          <cell r="AI104">
            <v>0</v>
          </cell>
          <cell r="AJ104">
            <v>0</v>
          </cell>
          <cell r="AK104">
            <v>0</v>
          </cell>
          <cell r="AL104">
            <v>0</v>
          </cell>
          <cell r="AM104">
            <v>1</v>
          </cell>
          <cell r="AN104">
            <v>0</v>
          </cell>
          <cell r="BO104" t="str">
            <v>RS 041</v>
          </cell>
          <cell r="BP104">
            <v>10.5</v>
          </cell>
          <cell r="BQ104">
            <v>6.7</v>
          </cell>
          <cell r="BR104" t="str">
            <v>F</v>
          </cell>
          <cell r="BS104" t="str">
            <v>S</v>
          </cell>
          <cell r="BT104">
            <v>0</v>
          </cell>
          <cell r="BU104" t="str">
            <v>ST</v>
          </cell>
          <cell r="BV104" t="str">
            <v/>
          </cell>
          <cell r="BW104">
            <v>1</v>
          </cell>
          <cell r="BX104">
            <v>10</v>
          </cell>
          <cell r="BY104" t="str">
            <v xml:space="preserve"> </v>
          </cell>
          <cell r="BZ104">
            <v>1</v>
          </cell>
          <cell r="CA104">
            <v>8</v>
          </cell>
          <cell r="CB104">
            <v>1.3540000000000001</v>
          </cell>
          <cell r="CC104">
            <v>3.6602325187357452</v>
          </cell>
          <cell r="CD104">
            <v>1</v>
          </cell>
          <cell r="CE104">
            <v>0</v>
          </cell>
          <cell r="CF104">
            <v>0</v>
          </cell>
          <cell r="CG104">
            <v>1</v>
          </cell>
          <cell r="CH104">
            <v>0</v>
          </cell>
          <cell r="CI104">
            <v>0.1</v>
          </cell>
          <cell r="CJ104">
            <v>2.9850746268656722E-4</v>
          </cell>
          <cell r="CK104">
            <v>2.9850746268656722E-4</v>
          </cell>
          <cell r="CL104">
            <v>0</v>
          </cell>
          <cell r="CM104">
            <v>1.1572904707233067E-4</v>
          </cell>
          <cell r="CN104">
            <v>1.1572904707233067E-4</v>
          </cell>
          <cell r="CO104">
            <v>0</v>
          </cell>
          <cell r="CP104">
            <v>0</v>
          </cell>
          <cell r="CQ104">
            <v>3.6603482477828173</v>
          </cell>
          <cell r="CR104">
            <v>0</v>
          </cell>
          <cell r="CS104">
            <v>1</v>
          </cell>
          <cell r="CT104">
            <v>0</v>
          </cell>
          <cell r="CU104">
            <v>0</v>
          </cell>
          <cell r="CV104">
            <v>4</v>
          </cell>
          <cell r="CW104">
            <v>4</v>
          </cell>
          <cell r="CX104" t="str">
            <v xml:space="preserve"> </v>
          </cell>
          <cell r="CY104">
            <v>1.2</v>
          </cell>
          <cell r="CZ104">
            <v>1.1000000000000001</v>
          </cell>
          <cell r="DA104">
            <v>1.2</v>
          </cell>
          <cell r="DB104">
            <v>110</v>
          </cell>
          <cell r="DC104">
            <v>52</v>
          </cell>
          <cell r="DD104">
            <v>29</v>
          </cell>
          <cell r="DE104">
            <v>9</v>
          </cell>
          <cell r="DF104">
            <v>13</v>
          </cell>
          <cell r="DG104">
            <v>3</v>
          </cell>
          <cell r="DH104">
            <v>2</v>
          </cell>
          <cell r="DI104">
            <v>6</v>
          </cell>
        </row>
        <row r="105">
          <cell r="A105" t="str">
            <v>RS 046</v>
          </cell>
          <cell r="B105">
            <v>46</v>
          </cell>
          <cell r="C105" t="str">
            <v>C</v>
          </cell>
          <cell r="D105" t="str">
            <v>T</v>
          </cell>
          <cell r="E105" t="str">
            <v>Sharpevale - Bilila</v>
          </cell>
          <cell r="F105" t="str">
            <v>M05</v>
          </cell>
          <cell r="G105">
            <v>24</v>
          </cell>
          <cell r="H105">
            <v>28.3</v>
          </cell>
          <cell r="I105" t="str">
            <v>R</v>
          </cell>
          <cell r="J105" t="str">
            <v>NTCHEU</v>
          </cell>
          <cell r="K105">
            <v>8</v>
          </cell>
          <cell r="L105">
            <v>0</v>
          </cell>
          <cell r="W105">
            <v>81</v>
          </cell>
          <cell r="X105" t="str">
            <v>DS</v>
          </cell>
          <cell r="Y105">
            <v>150</v>
          </cell>
          <cell r="Z105" t="str">
            <v>SB</v>
          </cell>
          <cell r="AA105">
            <v>100</v>
          </cell>
          <cell r="AB105" t="str">
            <v>GR</v>
          </cell>
          <cell r="AC105">
            <v>8</v>
          </cell>
          <cell r="AD105" t="str">
            <v>VR</v>
          </cell>
          <cell r="AE105">
            <v>94</v>
          </cell>
          <cell r="AF105" t="str">
            <v>RC</v>
          </cell>
          <cell r="AG105" t="str">
            <v>ST</v>
          </cell>
          <cell r="AH105">
            <v>15</v>
          </cell>
          <cell r="AI105">
            <v>0</v>
          </cell>
          <cell r="AJ105">
            <v>0</v>
          </cell>
          <cell r="AK105">
            <v>0</v>
          </cell>
          <cell r="AL105">
            <v>0</v>
          </cell>
          <cell r="AM105">
            <v>1</v>
          </cell>
          <cell r="AN105">
            <v>0</v>
          </cell>
          <cell r="BO105" t="str">
            <v>RS 046</v>
          </cell>
          <cell r="BP105">
            <v>28.3</v>
          </cell>
          <cell r="BQ105">
            <v>6.7</v>
          </cell>
          <cell r="BR105" t="str">
            <v>R</v>
          </cell>
          <cell r="BS105" t="str">
            <v>S</v>
          </cell>
          <cell r="BT105">
            <v>0</v>
          </cell>
          <cell r="BU105" t="str">
            <v>ST</v>
          </cell>
          <cell r="BV105" t="str">
            <v/>
          </cell>
          <cell r="BW105">
            <v>1</v>
          </cell>
          <cell r="BX105">
            <v>10</v>
          </cell>
          <cell r="BY105" t="str">
            <v xml:space="preserve"> </v>
          </cell>
          <cell r="BZ105">
            <v>1</v>
          </cell>
          <cell r="CA105">
            <v>8</v>
          </cell>
          <cell r="CB105">
            <v>1.3540000000000001</v>
          </cell>
          <cell r="CC105">
            <v>3.6</v>
          </cell>
          <cell r="CD105">
            <v>1</v>
          </cell>
          <cell r="CE105">
            <v>0</v>
          </cell>
          <cell r="CF105">
            <v>0</v>
          </cell>
          <cell r="CG105">
            <v>1</v>
          </cell>
          <cell r="CH105">
            <v>0</v>
          </cell>
          <cell r="CI105">
            <v>0</v>
          </cell>
          <cell r="CJ105">
            <v>0</v>
          </cell>
          <cell r="CK105">
            <v>0</v>
          </cell>
          <cell r="CL105">
            <v>0</v>
          </cell>
          <cell r="CM105">
            <v>0</v>
          </cell>
          <cell r="CN105">
            <v>0</v>
          </cell>
          <cell r="CO105">
            <v>0</v>
          </cell>
          <cell r="CP105">
            <v>0</v>
          </cell>
          <cell r="CQ105">
            <v>3.6</v>
          </cell>
          <cell r="CR105">
            <v>0</v>
          </cell>
          <cell r="CS105">
            <v>1</v>
          </cell>
          <cell r="CT105">
            <v>0</v>
          </cell>
          <cell r="CU105">
            <v>0</v>
          </cell>
          <cell r="CV105">
            <v>4</v>
          </cell>
          <cell r="CW105">
            <v>4</v>
          </cell>
          <cell r="CX105" t="str">
            <v xml:space="preserve"> </v>
          </cell>
          <cell r="CY105">
            <v>1.2</v>
          </cell>
          <cell r="CZ105">
            <v>1.2</v>
          </cell>
          <cell r="DA105">
            <v>1.2</v>
          </cell>
          <cell r="DB105">
            <v>110</v>
          </cell>
          <cell r="DC105">
            <v>52</v>
          </cell>
          <cell r="DD105">
            <v>29</v>
          </cell>
          <cell r="DE105">
            <v>9</v>
          </cell>
          <cell r="DF105">
            <v>13</v>
          </cell>
          <cell r="DG105">
            <v>3</v>
          </cell>
          <cell r="DH105">
            <v>2</v>
          </cell>
          <cell r="DI105">
            <v>6</v>
          </cell>
        </row>
        <row r="106">
          <cell r="A106" t="str">
            <v>RS 065</v>
          </cell>
          <cell r="B106">
            <v>65</v>
          </cell>
          <cell r="C106" t="str">
            <v>C</v>
          </cell>
          <cell r="D106" t="str">
            <v>T</v>
          </cell>
          <cell r="E106" t="str">
            <v>Bilila - Linengwe River</v>
          </cell>
          <cell r="F106" t="str">
            <v>M05</v>
          </cell>
          <cell r="G106">
            <v>25</v>
          </cell>
          <cell r="H106">
            <v>5.2</v>
          </cell>
          <cell r="I106" t="str">
            <v>F</v>
          </cell>
          <cell r="J106" t="str">
            <v>NTCHEU</v>
          </cell>
          <cell r="K106">
            <v>8</v>
          </cell>
          <cell r="L106">
            <v>0</v>
          </cell>
          <cell r="W106">
            <v>81</v>
          </cell>
          <cell r="X106" t="str">
            <v>DS</v>
          </cell>
          <cell r="Y106">
            <v>150</v>
          </cell>
          <cell r="Z106" t="str">
            <v>SB</v>
          </cell>
          <cell r="AA106">
            <v>100</v>
          </cell>
          <cell r="AB106" t="str">
            <v>GR</v>
          </cell>
          <cell r="AC106">
            <v>8</v>
          </cell>
          <cell r="AD106" t="str">
            <v>VR</v>
          </cell>
          <cell r="AE106">
            <v>94</v>
          </cell>
          <cell r="AF106" t="str">
            <v>RC</v>
          </cell>
          <cell r="AG106" t="str">
            <v>ST</v>
          </cell>
          <cell r="AH106">
            <v>15</v>
          </cell>
          <cell r="AI106">
            <v>0</v>
          </cell>
          <cell r="AJ106">
            <v>0</v>
          </cell>
          <cell r="AK106">
            <v>0</v>
          </cell>
          <cell r="AL106">
            <v>0</v>
          </cell>
          <cell r="AM106">
            <v>1</v>
          </cell>
          <cell r="AN106">
            <v>0</v>
          </cell>
          <cell r="BO106" t="str">
            <v>RS 065</v>
          </cell>
          <cell r="BP106">
            <v>5.2</v>
          </cell>
          <cell r="BQ106">
            <v>6.7</v>
          </cell>
          <cell r="BR106" t="str">
            <v>F</v>
          </cell>
          <cell r="BS106" t="str">
            <v>S</v>
          </cell>
          <cell r="BT106">
            <v>0</v>
          </cell>
          <cell r="BU106" t="str">
            <v>ST</v>
          </cell>
          <cell r="BV106" t="str">
            <v/>
          </cell>
          <cell r="BW106">
            <v>1</v>
          </cell>
          <cell r="BX106">
            <v>10</v>
          </cell>
          <cell r="BY106" t="str">
            <v xml:space="preserve"> </v>
          </cell>
          <cell r="BZ106">
            <v>1</v>
          </cell>
          <cell r="CA106">
            <v>8</v>
          </cell>
          <cell r="CB106">
            <v>1.3540000000000001</v>
          </cell>
          <cell r="CC106">
            <v>3.6077724340175958</v>
          </cell>
          <cell r="CD106">
            <v>0</v>
          </cell>
          <cell r="CE106">
            <v>0</v>
          </cell>
          <cell r="CF106">
            <v>0</v>
          </cell>
          <cell r="CG106">
            <v>0</v>
          </cell>
          <cell r="CH106">
            <v>0</v>
          </cell>
          <cell r="CI106">
            <v>0</v>
          </cell>
          <cell r="CJ106">
            <v>0</v>
          </cell>
          <cell r="CK106">
            <v>0</v>
          </cell>
          <cell r="CL106">
            <v>0</v>
          </cell>
          <cell r="CM106">
            <v>0</v>
          </cell>
          <cell r="CN106">
            <v>0</v>
          </cell>
          <cell r="CO106">
            <v>0</v>
          </cell>
          <cell r="CP106">
            <v>0</v>
          </cell>
          <cell r="CQ106">
            <v>3.6077724340175958</v>
          </cell>
          <cell r="CR106">
            <v>0</v>
          </cell>
          <cell r="CS106">
            <v>1</v>
          </cell>
          <cell r="CT106">
            <v>0</v>
          </cell>
          <cell r="CU106">
            <v>0</v>
          </cell>
          <cell r="CV106">
            <v>4</v>
          </cell>
          <cell r="CW106">
            <v>4</v>
          </cell>
          <cell r="CX106" t="str">
            <v xml:space="preserve"> </v>
          </cell>
          <cell r="CY106">
            <v>1.2</v>
          </cell>
          <cell r="CZ106">
            <v>1.2</v>
          </cell>
          <cell r="DA106">
            <v>1.2</v>
          </cell>
          <cell r="DB106">
            <v>120</v>
          </cell>
          <cell r="DC106">
            <v>57</v>
          </cell>
          <cell r="DD106">
            <v>32</v>
          </cell>
          <cell r="DE106">
            <v>9</v>
          </cell>
          <cell r="DF106">
            <v>14</v>
          </cell>
          <cell r="DG106">
            <v>3</v>
          </cell>
          <cell r="DH106">
            <v>2</v>
          </cell>
          <cell r="DI106">
            <v>6</v>
          </cell>
        </row>
        <row r="107">
          <cell r="A107" t="str">
            <v>RS 056</v>
          </cell>
          <cell r="B107">
            <v>56</v>
          </cell>
          <cell r="C107" t="str">
            <v>C</v>
          </cell>
          <cell r="D107" t="str">
            <v>T</v>
          </cell>
          <cell r="E107" t="str">
            <v>Linengwe River - Balaka Market (junction M1)</v>
          </cell>
          <cell r="F107" t="str">
            <v>M05</v>
          </cell>
          <cell r="G107">
            <v>26</v>
          </cell>
          <cell r="H107">
            <v>7.4</v>
          </cell>
          <cell r="I107" t="str">
            <v>F</v>
          </cell>
          <cell r="J107" t="str">
            <v>NTCHEU</v>
          </cell>
          <cell r="K107">
            <v>8</v>
          </cell>
          <cell r="L107">
            <v>0</v>
          </cell>
          <cell r="W107">
            <v>81</v>
          </cell>
          <cell r="X107" t="str">
            <v>DS</v>
          </cell>
          <cell r="Y107">
            <v>150</v>
          </cell>
          <cell r="Z107" t="str">
            <v>SB</v>
          </cell>
          <cell r="AA107">
            <v>100</v>
          </cell>
          <cell r="AB107" t="str">
            <v>GR</v>
          </cell>
          <cell r="AC107">
            <v>8</v>
          </cell>
          <cell r="AD107" t="str">
            <v>VR</v>
          </cell>
          <cell r="AE107">
            <v>94</v>
          </cell>
          <cell r="AF107" t="str">
            <v>RC</v>
          </cell>
          <cell r="AG107" t="str">
            <v>ST</v>
          </cell>
          <cell r="AH107">
            <v>15</v>
          </cell>
          <cell r="AI107">
            <v>0</v>
          </cell>
          <cell r="AJ107">
            <v>0</v>
          </cell>
          <cell r="AK107">
            <v>0</v>
          </cell>
          <cell r="AL107">
            <v>0</v>
          </cell>
          <cell r="AM107">
            <v>1</v>
          </cell>
          <cell r="AN107">
            <v>0</v>
          </cell>
          <cell r="BO107" t="str">
            <v>RS 056</v>
          </cell>
          <cell r="BP107">
            <v>7.4</v>
          </cell>
          <cell r="BQ107">
            <v>6.7</v>
          </cell>
          <cell r="BR107" t="str">
            <v>F</v>
          </cell>
          <cell r="BS107" t="str">
            <v>S</v>
          </cell>
          <cell r="BT107">
            <v>0</v>
          </cell>
          <cell r="BU107" t="str">
            <v>ST</v>
          </cell>
          <cell r="BV107" t="str">
            <v/>
          </cell>
          <cell r="BW107">
            <v>1</v>
          </cell>
          <cell r="BX107">
            <v>10</v>
          </cell>
          <cell r="BY107" t="str">
            <v xml:space="preserve"> </v>
          </cell>
          <cell r="BZ107">
            <v>1</v>
          </cell>
          <cell r="CA107">
            <v>8</v>
          </cell>
          <cell r="CB107">
            <v>1.3540000000000001</v>
          </cell>
          <cell r="CC107">
            <v>4.129522189638319</v>
          </cell>
          <cell r="CD107">
            <v>0</v>
          </cell>
          <cell r="CE107">
            <v>0</v>
          </cell>
          <cell r="CF107">
            <v>0</v>
          </cell>
          <cell r="CG107">
            <v>0</v>
          </cell>
          <cell r="CH107">
            <v>0</v>
          </cell>
          <cell r="CI107">
            <v>0</v>
          </cell>
          <cell r="CJ107">
            <v>0</v>
          </cell>
          <cell r="CK107">
            <v>0</v>
          </cell>
          <cell r="CL107">
            <v>0</v>
          </cell>
          <cell r="CM107">
            <v>0</v>
          </cell>
          <cell r="CN107">
            <v>0</v>
          </cell>
          <cell r="CO107">
            <v>0</v>
          </cell>
          <cell r="CP107">
            <v>0</v>
          </cell>
          <cell r="CQ107">
            <v>4.129522189638319</v>
          </cell>
          <cell r="CR107">
            <v>0</v>
          </cell>
          <cell r="CS107">
            <v>1</v>
          </cell>
          <cell r="CT107">
            <v>0</v>
          </cell>
          <cell r="CU107">
            <v>0</v>
          </cell>
          <cell r="CV107">
            <v>4</v>
          </cell>
          <cell r="CW107">
            <v>4</v>
          </cell>
          <cell r="CX107" t="str">
            <v xml:space="preserve"> </v>
          </cell>
          <cell r="CY107">
            <v>1.2</v>
          </cell>
          <cell r="CZ107">
            <v>1.2</v>
          </cell>
          <cell r="DA107">
            <v>1.2</v>
          </cell>
          <cell r="DB107">
            <v>120</v>
          </cell>
          <cell r="DC107">
            <v>57</v>
          </cell>
          <cell r="DD107">
            <v>32</v>
          </cell>
          <cell r="DE107">
            <v>9</v>
          </cell>
          <cell r="DF107">
            <v>14</v>
          </cell>
          <cell r="DG107">
            <v>3</v>
          </cell>
          <cell r="DH107">
            <v>2</v>
          </cell>
          <cell r="DI107">
            <v>6</v>
          </cell>
        </row>
        <row r="108">
          <cell r="A108" t="str">
            <v>RS 135</v>
          </cell>
          <cell r="B108">
            <v>135</v>
          </cell>
          <cell r="C108" t="str">
            <v>S</v>
          </cell>
          <cell r="D108" t="str">
            <v>T</v>
          </cell>
          <cell r="E108" t="str">
            <v>Zobwe - Mwanza</v>
          </cell>
          <cell r="F108" t="str">
            <v>M06</v>
          </cell>
          <cell r="G108">
            <v>1</v>
          </cell>
          <cell r="H108">
            <v>11.1</v>
          </cell>
          <cell r="I108" t="str">
            <v>H</v>
          </cell>
          <cell r="J108" t="str">
            <v>MWANZA</v>
          </cell>
          <cell r="K108">
            <v>9</v>
          </cell>
          <cell r="L108">
            <v>0</v>
          </cell>
          <cell r="W108">
            <v>87</v>
          </cell>
          <cell r="X108" t="str">
            <v>DS</v>
          </cell>
          <cell r="Y108">
            <v>200</v>
          </cell>
          <cell r="Z108" t="str">
            <v>SB</v>
          </cell>
          <cell r="AA108">
            <v>150</v>
          </cell>
          <cell r="AB108" t="str">
            <v>SB</v>
          </cell>
          <cell r="AC108">
            <v>17</v>
          </cell>
          <cell r="AD108" t="str">
            <v>VR</v>
          </cell>
          <cell r="AE108">
            <v>0</v>
          </cell>
          <cell r="AF108">
            <v>0</v>
          </cell>
          <cell r="AG108">
            <v>0</v>
          </cell>
          <cell r="AH108">
            <v>0</v>
          </cell>
          <cell r="AI108">
            <v>0</v>
          </cell>
          <cell r="AJ108">
            <v>0</v>
          </cell>
          <cell r="AK108">
            <v>0</v>
          </cell>
          <cell r="AL108">
            <v>0</v>
          </cell>
          <cell r="AM108">
            <v>1</v>
          </cell>
          <cell r="AN108" t="str">
            <v>never resealed</v>
          </cell>
          <cell r="BO108" t="str">
            <v>RS 135</v>
          </cell>
          <cell r="BP108">
            <v>11.1</v>
          </cell>
          <cell r="BQ108">
            <v>6</v>
          </cell>
          <cell r="BR108" t="str">
            <v>H</v>
          </cell>
          <cell r="BS108" t="str">
            <v>C</v>
          </cell>
          <cell r="BT108">
            <v>0</v>
          </cell>
          <cell r="BU108" t="str">
            <v>DS</v>
          </cell>
          <cell r="BV108" t="str">
            <v/>
          </cell>
          <cell r="BW108">
            <v>1</v>
          </cell>
          <cell r="BX108">
            <v>15</v>
          </cell>
          <cell r="BY108" t="str">
            <v xml:space="preserve"> </v>
          </cell>
          <cell r="BZ108">
            <v>1</v>
          </cell>
          <cell r="CA108">
            <v>17</v>
          </cell>
          <cell r="CB108">
            <v>1.677</v>
          </cell>
          <cell r="CC108">
            <v>3.3421592375366567</v>
          </cell>
          <cell r="CD108">
            <v>70</v>
          </cell>
          <cell r="CE108">
            <v>35</v>
          </cell>
          <cell r="CF108">
            <v>20</v>
          </cell>
          <cell r="CG108">
            <v>50</v>
          </cell>
          <cell r="CH108">
            <v>15</v>
          </cell>
          <cell r="CI108">
            <v>4.2</v>
          </cell>
          <cell r="CJ108">
            <v>1.4000000000000002E-2</v>
          </cell>
          <cell r="CK108">
            <v>10</v>
          </cell>
          <cell r="CL108">
            <v>20</v>
          </cell>
          <cell r="CM108">
            <v>0.2375953846153846</v>
          </cell>
          <cell r="CN108">
            <v>0.2375953846153846</v>
          </cell>
          <cell r="CO108">
            <v>0</v>
          </cell>
          <cell r="CP108">
            <v>0</v>
          </cell>
          <cell r="CQ108">
            <v>3.5797546221520413</v>
          </cell>
          <cell r="CR108">
            <v>10</v>
          </cell>
          <cell r="CS108">
            <v>1</v>
          </cell>
          <cell r="CT108">
            <v>0</v>
          </cell>
          <cell r="CU108">
            <v>0</v>
          </cell>
          <cell r="CV108">
            <v>11</v>
          </cell>
          <cell r="CW108">
            <v>11</v>
          </cell>
          <cell r="CX108" t="str">
            <v xml:space="preserve"> </v>
          </cell>
          <cell r="CY108">
            <v>2</v>
          </cell>
          <cell r="CZ108">
            <v>2.5</v>
          </cell>
          <cell r="DA108">
            <v>1.1000000000000001</v>
          </cell>
          <cell r="DB108">
            <v>200</v>
          </cell>
          <cell r="DC108">
            <v>94</v>
          </cell>
          <cell r="DD108">
            <v>52</v>
          </cell>
          <cell r="DE108">
            <v>15</v>
          </cell>
          <cell r="DF108">
            <v>23</v>
          </cell>
          <cell r="DG108">
            <v>4</v>
          </cell>
          <cell r="DH108">
            <v>2</v>
          </cell>
          <cell r="DI108">
            <v>10</v>
          </cell>
        </row>
        <row r="109">
          <cell r="A109" t="str">
            <v>RS 134</v>
          </cell>
          <cell r="B109">
            <v>134</v>
          </cell>
          <cell r="C109" t="str">
            <v>S</v>
          </cell>
          <cell r="D109" t="str">
            <v>T</v>
          </cell>
          <cell r="E109" t="str">
            <v>Mwanza - Moffati</v>
          </cell>
          <cell r="F109" t="str">
            <v>M06</v>
          </cell>
          <cell r="G109">
            <v>2</v>
          </cell>
          <cell r="H109">
            <v>6</v>
          </cell>
          <cell r="I109" t="str">
            <v>H</v>
          </cell>
          <cell r="J109" t="str">
            <v>MWANZA</v>
          </cell>
          <cell r="K109">
            <v>9</v>
          </cell>
          <cell r="L109">
            <v>0</v>
          </cell>
          <cell r="W109">
            <v>87</v>
          </cell>
          <cell r="X109" t="str">
            <v>DS</v>
          </cell>
          <cell r="Y109">
            <v>200</v>
          </cell>
          <cell r="Z109" t="str">
            <v>SB</v>
          </cell>
          <cell r="AA109">
            <v>150</v>
          </cell>
          <cell r="AB109" t="str">
            <v>SB</v>
          </cell>
          <cell r="AC109">
            <v>17</v>
          </cell>
          <cell r="AD109" t="str">
            <v>VR</v>
          </cell>
          <cell r="AE109">
            <v>0</v>
          </cell>
          <cell r="AF109">
            <v>0</v>
          </cell>
          <cell r="AG109">
            <v>0</v>
          </cell>
          <cell r="AH109">
            <v>0</v>
          </cell>
          <cell r="AI109">
            <v>0</v>
          </cell>
          <cell r="AJ109">
            <v>0</v>
          </cell>
          <cell r="AK109">
            <v>0</v>
          </cell>
          <cell r="AL109">
            <v>0</v>
          </cell>
          <cell r="AM109">
            <v>1</v>
          </cell>
          <cell r="AN109" t="str">
            <v>never resealed</v>
          </cell>
          <cell r="BO109" t="str">
            <v>RS 134</v>
          </cell>
          <cell r="BP109">
            <v>6</v>
          </cell>
          <cell r="BQ109">
            <v>6</v>
          </cell>
          <cell r="BR109" t="str">
            <v>H</v>
          </cell>
          <cell r="BS109" t="str">
            <v>C</v>
          </cell>
          <cell r="BT109">
            <v>0</v>
          </cell>
          <cell r="BU109" t="str">
            <v>DS</v>
          </cell>
          <cell r="BV109" t="str">
            <v/>
          </cell>
          <cell r="BW109">
            <v>1</v>
          </cell>
          <cell r="BX109">
            <v>15</v>
          </cell>
          <cell r="BY109" t="str">
            <v xml:space="preserve"> </v>
          </cell>
          <cell r="BZ109">
            <v>1</v>
          </cell>
          <cell r="CA109">
            <v>17</v>
          </cell>
          <cell r="CB109">
            <v>1.677</v>
          </cell>
          <cell r="CC109">
            <v>3.1339210166177911</v>
          </cell>
          <cell r="CD109">
            <v>0</v>
          </cell>
          <cell r="CE109">
            <v>0</v>
          </cell>
          <cell r="CF109">
            <v>0</v>
          </cell>
          <cell r="CG109">
            <v>0</v>
          </cell>
          <cell r="CH109">
            <v>0</v>
          </cell>
          <cell r="CI109">
            <v>0.5</v>
          </cell>
          <cell r="CJ109">
            <v>1.6666666666666668E-3</v>
          </cell>
          <cell r="CK109">
            <v>1.6666666666666668E-3</v>
          </cell>
          <cell r="CL109">
            <v>0</v>
          </cell>
          <cell r="CM109">
            <v>6.4615384615384621E-4</v>
          </cell>
          <cell r="CN109">
            <v>6.4615384615384621E-4</v>
          </cell>
          <cell r="CO109">
            <v>0</v>
          </cell>
          <cell r="CP109">
            <v>0</v>
          </cell>
          <cell r="CQ109">
            <v>3.1345671704639448</v>
          </cell>
          <cell r="CR109">
            <v>0</v>
          </cell>
          <cell r="CS109">
            <v>1</v>
          </cell>
          <cell r="CT109">
            <v>0</v>
          </cell>
          <cell r="CU109">
            <v>0</v>
          </cell>
          <cell r="CV109">
            <v>11</v>
          </cell>
          <cell r="CW109">
            <v>11</v>
          </cell>
          <cell r="CX109" t="str">
            <v xml:space="preserve"> </v>
          </cell>
          <cell r="CY109">
            <v>1.2</v>
          </cell>
          <cell r="CZ109">
            <v>1.5</v>
          </cell>
          <cell r="DA109">
            <v>1.1000000000000001</v>
          </cell>
          <cell r="DB109">
            <v>200</v>
          </cell>
          <cell r="DC109">
            <v>94</v>
          </cell>
          <cell r="DD109">
            <v>52</v>
          </cell>
          <cell r="DE109">
            <v>15</v>
          </cell>
          <cell r="DF109">
            <v>23</v>
          </cell>
          <cell r="DG109">
            <v>4</v>
          </cell>
          <cell r="DH109">
            <v>2</v>
          </cell>
          <cell r="DI109">
            <v>10</v>
          </cell>
        </row>
        <row r="110">
          <cell r="A110" t="str">
            <v>RS 133</v>
          </cell>
          <cell r="B110">
            <v>133</v>
          </cell>
          <cell r="C110" t="str">
            <v>S</v>
          </cell>
          <cell r="D110" t="str">
            <v>T</v>
          </cell>
          <cell r="E110" t="str">
            <v>Moffati - Zaka</v>
          </cell>
          <cell r="F110" t="str">
            <v>M06</v>
          </cell>
          <cell r="G110">
            <v>3</v>
          </cell>
          <cell r="H110">
            <v>9.3000000000000007</v>
          </cell>
          <cell r="I110" t="str">
            <v>R</v>
          </cell>
          <cell r="J110" t="str">
            <v>MWANZA</v>
          </cell>
          <cell r="K110">
            <v>9</v>
          </cell>
          <cell r="L110">
            <v>0</v>
          </cell>
          <cell r="W110">
            <v>87</v>
          </cell>
          <cell r="X110" t="str">
            <v>DS</v>
          </cell>
          <cell r="Y110">
            <v>200</v>
          </cell>
          <cell r="Z110" t="str">
            <v>SB</v>
          </cell>
          <cell r="AA110">
            <v>150</v>
          </cell>
          <cell r="AB110" t="str">
            <v>SB</v>
          </cell>
          <cell r="AC110">
            <v>17</v>
          </cell>
          <cell r="AD110" t="str">
            <v>VR</v>
          </cell>
          <cell r="AE110">
            <v>0</v>
          </cell>
          <cell r="AF110">
            <v>0</v>
          </cell>
          <cell r="AG110">
            <v>0</v>
          </cell>
          <cell r="AH110">
            <v>0</v>
          </cell>
          <cell r="AI110">
            <v>0</v>
          </cell>
          <cell r="AJ110">
            <v>0</v>
          </cell>
          <cell r="AK110">
            <v>0</v>
          </cell>
          <cell r="AL110">
            <v>0</v>
          </cell>
          <cell r="AM110">
            <v>1</v>
          </cell>
          <cell r="AN110" t="str">
            <v>never resealed</v>
          </cell>
          <cell r="BO110" t="str">
            <v>RS 133</v>
          </cell>
          <cell r="BP110">
            <v>9.3000000000000007</v>
          </cell>
          <cell r="BQ110">
            <v>6</v>
          </cell>
          <cell r="BR110" t="str">
            <v>R</v>
          </cell>
          <cell r="BS110" t="str">
            <v>C</v>
          </cell>
          <cell r="BT110">
            <v>0</v>
          </cell>
          <cell r="BU110" t="str">
            <v>DS</v>
          </cell>
          <cell r="BV110" t="str">
            <v/>
          </cell>
          <cell r="BW110">
            <v>1</v>
          </cell>
          <cell r="BX110">
            <v>15</v>
          </cell>
          <cell r="BY110" t="str">
            <v xml:space="preserve"> </v>
          </cell>
          <cell r="BZ110">
            <v>1</v>
          </cell>
          <cell r="CA110">
            <v>17</v>
          </cell>
          <cell r="CB110">
            <v>1.677</v>
          </cell>
          <cell r="CC110">
            <v>3.3008809384164226</v>
          </cell>
          <cell r="CD110">
            <v>1</v>
          </cell>
          <cell r="CE110">
            <v>0</v>
          </cell>
          <cell r="CF110">
            <v>0</v>
          </cell>
          <cell r="CG110">
            <v>1</v>
          </cell>
          <cell r="CH110">
            <v>0</v>
          </cell>
          <cell r="CI110">
            <v>0.2</v>
          </cell>
          <cell r="CJ110">
            <v>6.6666666666666686E-4</v>
          </cell>
          <cell r="CK110">
            <v>6.6666666666666686E-4</v>
          </cell>
          <cell r="CL110">
            <v>0</v>
          </cell>
          <cell r="CM110">
            <v>2.5846153846153852E-4</v>
          </cell>
          <cell r="CN110">
            <v>2.5846153846153852E-4</v>
          </cell>
          <cell r="CO110">
            <v>0</v>
          </cell>
          <cell r="CP110">
            <v>0</v>
          </cell>
          <cell r="CQ110">
            <v>3.3011393999548839</v>
          </cell>
          <cell r="CR110">
            <v>1</v>
          </cell>
          <cell r="CS110">
            <v>1</v>
          </cell>
          <cell r="CT110">
            <v>0</v>
          </cell>
          <cell r="CU110">
            <v>0</v>
          </cell>
          <cell r="CV110">
            <v>11</v>
          </cell>
          <cell r="CW110">
            <v>11</v>
          </cell>
          <cell r="CX110" t="str">
            <v xml:space="preserve"> </v>
          </cell>
          <cell r="CY110">
            <v>1.2</v>
          </cell>
          <cell r="CZ110">
            <v>1.2</v>
          </cell>
          <cell r="DA110">
            <v>1.3</v>
          </cell>
          <cell r="DB110">
            <v>400</v>
          </cell>
          <cell r="DC110">
            <v>188</v>
          </cell>
          <cell r="DD110">
            <v>104</v>
          </cell>
          <cell r="DE110">
            <v>30</v>
          </cell>
          <cell r="DF110">
            <v>46</v>
          </cell>
          <cell r="DG110">
            <v>8</v>
          </cell>
          <cell r="DH110">
            <v>4</v>
          </cell>
          <cell r="DI110">
            <v>20</v>
          </cell>
        </row>
        <row r="111">
          <cell r="A111" t="str">
            <v>RS 136</v>
          </cell>
          <cell r="B111">
            <v>136</v>
          </cell>
          <cell r="C111" t="str">
            <v>S</v>
          </cell>
          <cell r="D111" t="str">
            <v>T</v>
          </cell>
          <cell r="E111" t="str">
            <v>Zaka - Lisungwi River</v>
          </cell>
          <cell r="F111" t="str">
            <v>M06</v>
          </cell>
          <cell r="G111">
            <v>4</v>
          </cell>
          <cell r="H111">
            <v>13.2</v>
          </cell>
          <cell r="I111" t="str">
            <v>R</v>
          </cell>
          <cell r="J111" t="str">
            <v>MWANZA</v>
          </cell>
          <cell r="K111">
            <v>9</v>
          </cell>
          <cell r="L111">
            <v>0</v>
          </cell>
          <cell r="W111">
            <v>87</v>
          </cell>
          <cell r="X111" t="str">
            <v>DS</v>
          </cell>
          <cell r="Y111">
            <v>200</v>
          </cell>
          <cell r="Z111" t="str">
            <v>SB</v>
          </cell>
          <cell r="AA111">
            <v>150</v>
          </cell>
          <cell r="AB111" t="str">
            <v>SB</v>
          </cell>
          <cell r="AC111">
            <v>17</v>
          </cell>
          <cell r="AD111" t="str">
            <v>VR</v>
          </cell>
          <cell r="AE111">
            <v>0</v>
          </cell>
          <cell r="AF111">
            <v>0</v>
          </cell>
          <cell r="AG111">
            <v>0</v>
          </cell>
          <cell r="AH111">
            <v>0</v>
          </cell>
          <cell r="AI111">
            <v>0</v>
          </cell>
          <cell r="AJ111">
            <v>0</v>
          </cell>
          <cell r="AK111">
            <v>0</v>
          </cell>
          <cell r="AL111">
            <v>0</v>
          </cell>
          <cell r="AM111">
            <v>1</v>
          </cell>
          <cell r="AN111" t="str">
            <v>never resealed</v>
          </cell>
          <cell r="BO111" t="str">
            <v>RS 136</v>
          </cell>
          <cell r="BP111">
            <v>13.2</v>
          </cell>
          <cell r="BQ111">
            <v>6</v>
          </cell>
          <cell r="BR111" t="str">
            <v>R</v>
          </cell>
          <cell r="BS111" t="str">
            <v>C</v>
          </cell>
          <cell r="BT111">
            <v>0</v>
          </cell>
          <cell r="BU111" t="str">
            <v>DS</v>
          </cell>
          <cell r="BV111" t="str">
            <v/>
          </cell>
          <cell r="BW111">
            <v>1</v>
          </cell>
          <cell r="BX111">
            <v>15</v>
          </cell>
          <cell r="BY111" t="str">
            <v xml:space="preserve"> </v>
          </cell>
          <cell r="BZ111">
            <v>1</v>
          </cell>
          <cell r="CA111">
            <v>17</v>
          </cell>
          <cell r="CB111">
            <v>1.677</v>
          </cell>
          <cell r="CC111">
            <v>3.1440294321514268</v>
          </cell>
          <cell r="CD111">
            <v>0</v>
          </cell>
          <cell r="CE111">
            <v>0</v>
          </cell>
          <cell r="CF111">
            <v>0</v>
          </cell>
          <cell r="CG111">
            <v>0</v>
          </cell>
          <cell r="CH111">
            <v>0</v>
          </cell>
          <cell r="CI111">
            <v>0.3</v>
          </cell>
          <cell r="CJ111">
            <v>1E-3</v>
          </cell>
          <cell r="CK111">
            <v>1E-3</v>
          </cell>
          <cell r="CL111">
            <v>0</v>
          </cell>
          <cell r="CM111">
            <v>3.876923076923077E-4</v>
          </cell>
          <cell r="CN111">
            <v>3.876923076923077E-4</v>
          </cell>
          <cell r="CO111">
            <v>0</v>
          </cell>
          <cell r="CP111">
            <v>0</v>
          </cell>
          <cell r="CQ111">
            <v>3.1444171244591193</v>
          </cell>
          <cell r="CR111">
            <v>0</v>
          </cell>
          <cell r="CS111">
            <v>1</v>
          </cell>
          <cell r="CT111">
            <v>0</v>
          </cell>
          <cell r="CU111">
            <v>0</v>
          </cell>
          <cell r="CV111">
            <v>11</v>
          </cell>
          <cell r="CW111">
            <v>11</v>
          </cell>
          <cell r="CX111" t="str">
            <v xml:space="preserve"> </v>
          </cell>
          <cell r="CY111">
            <v>1.2</v>
          </cell>
          <cell r="CZ111">
            <v>1.2</v>
          </cell>
          <cell r="DA111">
            <v>1.2</v>
          </cell>
          <cell r="DB111">
            <v>400</v>
          </cell>
          <cell r="DC111">
            <v>188</v>
          </cell>
          <cell r="DD111">
            <v>104</v>
          </cell>
          <cell r="DE111">
            <v>30</v>
          </cell>
          <cell r="DF111">
            <v>46</v>
          </cell>
          <cell r="DG111">
            <v>8</v>
          </cell>
          <cell r="DH111">
            <v>4</v>
          </cell>
          <cell r="DI111">
            <v>20</v>
          </cell>
        </row>
        <row r="112">
          <cell r="A112" t="str">
            <v>RS 132</v>
          </cell>
          <cell r="B112">
            <v>132</v>
          </cell>
          <cell r="C112" t="str">
            <v>S</v>
          </cell>
          <cell r="D112" t="str">
            <v>T</v>
          </cell>
          <cell r="E112" t="str">
            <v>Ndeka - Nachimbeya Rapids</v>
          </cell>
          <cell r="F112" t="str">
            <v>M06</v>
          </cell>
          <cell r="G112">
            <v>5</v>
          </cell>
          <cell r="H112">
            <v>9.1999999999999993</v>
          </cell>
          <cell r="I112" t="str">
            <v>F</v>
          </cell>
          <cell r="J112" t="str">
            <v>BLANTYRE</v>
          </cell>
          <cell r="K112">
            <v>9</v>
          </cell>
          <cell r="L112">
            <v>0</v>
          </cell>
          <cell r="W112">
            <v>89</v>
          </cell>
          <cell r="X112" t="str">
            <v>DS</v>
          </cell>
          <cell r="Y112">
            <v>150</v>
          </cell>
          <cell r="Z112" t="str">
            <v>SB</v>
          </cell>
          <cell r="AA112">
            <v>100</v>
          </cell>
          <cell r="AB112" t="str">
            <v>GR</v>
          </cell>
          <cell r="AC112">
            <v>12</v>
          </cell>
          <cell r="AD112" t="str">
            <v>VR</v>
          </cell>
          <cell r="AE112">
            <v>0</v>
          </cell>
          <cell r="AF112">
            <v>0</v>
          </cell>
          <cell r="AG112">
            <v>0</v>
          </cell>
          <cell r="AH112">
            <v>0</v>
          </cell>
          <cell r="AI112">
            <v>0</v>
          </cell>
          <cell r="AJ112">
            <v>0</v>
          </cell>
          <cell r="AK112">
            <v>0</v>
          </cell>
          <cell r="AL112">
            <v>0</v>
          </cell>
          <cell r="AM112">
            <v>1</v>
          </cell>
          <cell r="AN112" t="str">
            <v>never resealed</v>
          </cell>
          <cell r="BO112" t="str">
            <v>RS 132</v>
          </cell>
          <cell r="BP112">
            <v>9.1999999999999993</v>
          </cell>
          <cell r="BQ112">
            <v>6</v>
          </cell>
          <cell r="BR112" t="str">
            <v>F</v>
          </cell>
          <cell r="BS112" t="str">
            <v>C</v>
          </cell>
          <cell r="BT112">
            <v>0</v>
          </cell>
          <cell r="BU112" t="str">
            <v>DS</v>
          </cell>
          <cell r="BV112" t="str">
            <v/>
          </cell>
          <cell r="BW112">
            <v>1</v>
          </cell>
          <cell r="BX112">
            <v>15</v>
          </cell>
          <cell r="BY112" t="str">
            <v xml:space="preserve"> </v>
          </cell>
          <cell r="BZ112">
            <v>1</v>
          </cell>
          <cell r="CA112">
            <v>12</v>
          </cell>
          <cell r="CB112">
            <v>1.177</v>
          </cell>
          <cell r="CC112">
            <v>3.385588545799552</v>
          </cell>
          <cell r="CD112">
            <v>0</v>
          </cell>
          <cell r="CE112">
            <v>0</v>
          </cell>
          <cell r="CF112">
            <v>0</v>
          </cell>
          <cell r="CG112">
            <v>0</v>
          </cell>
          <cell r="CH112">
            <v>0</v>
          </cell>
          <cell r="CI112">
            <v>0.2</v>
          </cell>
          <cell r="CJ112">
            <v>6.6666666666666686E-4</v>
          </cell>
          <cell r="CK112">
            <v>6.6666666666666686E-4</v>
          </cell>
          <cell r="CL112">
            <v>0</v>
          </cell>
          <cell r="CM112">
            <v>2.5846153846153852E-4</v>
          </cell>
          <cell r="CN112">
            <v>2.5846153846153852E-4</v>
          </cell>
          <cell r="CO112">
            <v>0</v>
          </cell>
          <cell r="CP112">
            <v>0</v>
          </cell>
          <cell r="CQ112">
            <v>3.3858470073380134</v>
          </cell>
          <cell r="CR112">
            <v>0</v>
          </cell>
          <cell r="CS112">
            <v>1</v>
          </cell>
          <cell r="CT112">
            <v>0</v>
          </cell>
          <cell r="CU112">
            <v>0</v>
          </cell>
          <cell r="CV112">
            <v>9</v>
          </cell>
          <cell r="CW112">
            <v>9</v>
          </cell>
          <cell r="CX112" t="str">
            <v xml:space="preserve"> </v>
          </cell>
          <cell r="CY112">
            <v>1.2</v>
          </cell>
          <cell r="CZ112">
            <v>1.2</v>
          </cell>
          <cell r="DA112">
            <v>1.2</v>
          </cell>
          <cell r="DB112">
            <v>430</v>
          </cell>
          <cell r="DC112">
            <v>203</v>
          </cell>
          <cell r="DD112">
            <v>112</v>
          </cell>
          <cell r="DE112">
            <v>33</v>
          </cell>
          <cell r="DF112">
            <v>50</v>
          </cell>
          <cell r="DG112">
            <v>9</v>
          </cell>
          <cell r="DH112">
            <v>5</v>
          </cell>
          <cell r="DI112">
            <v>22</v>
          </cell>
        </row>
        <row r="113">
          <cell r="A113" t="str">
            <v>RS 140</v>
          </cell>
          <cell r="B113">
            <v>140</v>
          </cell>
          <cell r="C113" t="str">
            <v>S</v>
          </cell>
          <cell r="D113" t="str">
            <v>T</v>
          </cell>
          <cell r="E113" t="str">
            <v>Chingeni - Liwawadzi River</v>
          </cell>
          <cell r="F113" t="str">
            <v>M08</v>
          </cell>
          <cell r="G113">
            <v>1</v>
          </cell>
          <cell r="H113">
            <v>16.100000000000001</v>
          </cell>
          <cell r="I113" t="str">
            <v>F</v>
          </cell>
          <cell r="J113" t="str">
            <v>MACHINGA</v>
          </cell>
          <cell r="K113">
            <v>8</v>
          </cell>
          <cell r="L113">
            <v>0</v>
          </cell>
          <cell r="W113">
            <v>71</v>
          </cell>
          <cell r="X113" t="str">
            <v>SA</v>
          </cell>
          <cell r="Y113">
            <v>125</v>
          </cell>
          <cell r="Z113" t="str">
            <v>SB</v>
          </cell>
          <cell r="AA113">
            <v>150</v>
          </cell>
          <cell r="AB113" t="str">
            <v>GR</v>
          </cell>
          <cell r="AC113">
            <v>14</v>
          </cell>
          <cell r="AD113" t="str">
            <v>VR</v>
          </cell>
          <cell r="AE113">
            <v>0</v>
          </cell>
          <cell r="AF113">
            <v>0</v>
          </cell>
          <cell r="AG113">
            <v>0</v>
          </cell>
          <cell r="AH113">
            <v>0</v>
          </cell>
          <cell r="AI113">
            <v>0</v>
          </cell>
          <cell r="AJ113">
            <v>0</v>
          </cell>
          <cell r="AK113">
            <v>0</v>
          </cell>
          <cell r="AL113">
            <v>0</v>
          </cell>
          <cell r="AM113">
            <v>2</v>
          </cell>
          <cell r="AN113" t="str">
            <v>some bitumen removed</v>
          </cell>
          <cell r="BO113" t="str">
            <v>RS 140</v>
          </cell>
          <cell r="BP113">
            <v>16.100000000000001</v>
          </cell>
          <cell r="BQ113">
            <v>6</v>
          </cell>
          <cell r="BR113" t="str">
            <v>F</v>
          </cell>
          <cell r="BS113" t="str">
            <v>C</v>
          </cell>
          <cell r="BT113">
            <v>35</v>
          </cell>
          <cell r="BU113" t="str">
            <v>SA</v>
          </cell>
          <cell r="BV113" t="str">
            <v/>
          </cell>
          <cell r="BW113">
            <v>2</v>
          </cell>
          <cell r="BX113">
            <v>10</v>
          </cell>
          <cell r="BY113" t="str">
            <v xml:space="preserve"> </v>
          </cell>
          <cell r="BZ113">
            <v>1</v>
          </cell>
          <cell r="CA113">
            <v>14</v>
          </cell>
          <cell r="CB113">
            <v>1.508</v>
          </cell>
          <cell r="CC113">
            <v>4.3889715216682958</v>
          </cell>
          <cell r="CD113">
            <v>70</v>
          </cell>
          <cell r="CE113">
            <v>21</v>
          </cell>
          <cell r="CF113">
            <v>6</v>
          </cell>
          <cell r="CG113">
            <v>64</v>
          </cell>
          <cell r="CH113">
            <v>15</v>
          </cell>
          <cell r="CI113">
            <v>1.5</v>
          </cell>
          <cell r="CJ113">
            <v>5.000000000000001E-3</v>
          </cell>
          <cell r="CK113">
            <v>6.0049999999999999</v>
          </cell>
          <cell r="CL113">
            <v>6</v>
          </cell>
          <cell r="CM113">
            <v>0.10163076923076925</v>
          </cell>
          <cell r="CN113">
            <v>0.10163076923076925</v>
          </cell>
          <cell r="CO113">
            <v>0</v>
          </cell>
          <cell r="CP113">
            <v>0</v>
          </cell>
          <cell r="CQ113">
            <v>4.4906022908990648</v>
          </cell>
          <cell r="CR113">
            <v>0</v>
          </cell>
          <cell r="CS113">
            <v>1</v>
          </cell>
          <cell r="CT113">
            <v>0</v>
          </cell>
          <cell r="CU113">
            <v>0</v>
          </cell>
          <cell r="CV113">
            <v>27</v>
          </cell>
          <cell r="CW113">
            <v>27</v>
          </cell>
          <cell r="CX113" t="str">
            <v xml:space="preserve"> </v>
          </cell>
          <cell r="CY113">
            <v>1.5</v>
          </cell>
          <cell r="CZ113">
            <v>2</v>
          </cell>
          <cell r="DA113">
            <v>1.5</v>
          </cell>
          <cell r="DB113">
            <v>230</v>
          </cell>
          <cell r="DC113">
            <v>109</v>
          </cell>
          <cell r="DD113">
            <v>60</v>
          </cell>
          <cell r="DE113">
            <v>18</v>
          </cell>
          <cell r="DF113">
            <v>27</v>
          </cell>
          <cell r="DG113">
            <v>5</v>
          </cell>
          <cell r="DH113">
            <v>3</v>
          </cell>
          <cell r="DI113">
            <v>12</v>
          </cell>
        </row>
        <row r="114">
          <cell r="A114" t="str">
            <v>RS 137</v>
          </cell>
          <cell r="B114">
            <v>137</v>
          </cell>
          <cell r="C114" t="str">
            <v>S</v>
          </cell>
          <cell r="D114" t="str">
            <v>T</v>
          </cell>
          <cell r="E114" t="str">
            <v>Liwawadzi River - Chimwaliro River</v>
          </cell>
          <cell r="F114" t="str">
            <v>M08</v>
          </cell>
          <cell r="G114">
            <v>2</v>
          </cell>
          <cell r="H114">
            <v>8.8000000000000007</v>
          </cell>
          <cell r="I114" t="str">
            <v>R</v>
          </cell>
          <cell r="J114" t="str">
            <v>MACHINGA</v>
          </cell>
          <cell r="K114">
            <v>8</v>
          </cell>
          <cell r="L114">
            <v>0</v>
          </cell>
          <cell r="W114">
            <v>71</v>
          </cell>
          <cell r="X114" t="str">
            <v>SA</v>
          </cell>
          <cell r="Y114">
            <v>125</v>
          </cell>
          <cell r="Z114" t="str">
            <v>SB</v>
          </cell>
          <cell r="AA114">
            <v>150</v>
          </cell>
          <cell r="AB114" t="str">
            <v>GR</v>
          </cell>
          <cell r="AC114">
            <v>14</v>
          </cell>
          <cell r="AD114" t="str">
            <v>VR</v>
          </cell>
          <cell r="AE114">
            <v>0</v>
          </cell>
          <cell r="AF114">
            <v>0</v>
          </cell>
          <cell r="AG114">
            <v>0</v>
          </cell>
          <cell r="AH114">
            <v>0</v>
          </cell>
          <cell r="AI114">
            <v>0</v>
          </cell>
          <cell r="AJ114">
            <v>0</v>
          </cell>
          <cell r="AK114">
            <v>0</v>
          </cell>
          <cell r="AL114">
            <v>0</v>
          </cell>
          <cell r="AM114">
            <v>2</v>
          </cell>
          <cell r="AN114" t="str">
            <v>some bitumen removed</v>
          </cell>
          <cell r="BO114" t="str">
            <v>RS 137</v>
          </cell>
          <cell r="BP114">
            <v>8.8000000000000007</v>
          </cell>
          <cell r="BQ114" t="str">
            <v>n.a.</v>
          </cell>
          <cell r="BR114" t="str">
            <v>R</v>
          </cell>
          <cell r="BS114" t="str">
            <v>X</v>
          </cell>
          <cell r="BT114">
            <v>60</v>
          </cell>
          <cell r="BU114" t="str">
            <v>SA</v>
          </cell>
          <cell r="BV114" t="str">
            <v/>
          </cell>
          <cell r="BW114">
            <v>2</v>
          </cell>
          <cell r="BX114">
            <v>10</v>
          </cell>
          <cell r="BY114" t="str">
            <v xml:space="preserve"> </v>
          </cell>
          <cell r="BZ114">
            <v>1</v>
          </cell>
          <cell r="CA114">
            <v>14</v>
          </cell>
          <cell r="CB114">
            <v>1.508</v>
          </cell>
          <cell r="CC114" t="str">
            <v>bitumen surface removed</v>
          </cell>
          <cell r="CD114">
            <v>0</v>
          </cell>
          <cell r="CE114">
            <v>0</v>
          </cell>
          <cell r="CF114">
            <v>0</v>
          </cell>
          <cell r="CG114">
            <v>0</v>
          </cell>
          <cell r="CH114">
            <v>0</v>
          </cell>
          <cell r="CI114">
            <v>0</v>
          </cell>
          <cell r="CJ114">
            <v>0</v>
          </cell>
          <cell r="CK114">
            <v>0</v>
          </cell>
          <cell r="CL114">
            <v>0</v>
          </cell>
          <cell r="CM114">
            <v>0</v>
          </cell>
          <cell r="CN114">
            <v>0</v>
          </cell>
          <cell r="CO114">
            <v>0</v>
          </cell>
          <cell r="CP114">
            <v>0</v>
          </cell>
          <cell r="CQ114">
            <v>0</v>
          </cell>
          <cell r="CR114">
            <v>0</v>
          </cell>
          <cell r="CS114">
            <v>0</v>
          </cell>
          <cell r="CT114">
            <v>0</v>
          </cell>
          <cell r="CU114">
            <v>0</v>
          </cell>
          <cell r="CV114">
            <v>27</v>
          </cell>
          <cell r="CW114">
            <v>27</v>
          </cell>
          <cell r="CX114" t="str">
            <v xml:space="preserve"> </v>
          </cell>
          <cell r="CY114" t="str">
            <v>n.a.</v>
          </cell>
          <cell r="CZ114" t="str">
            <v>n.a.</v>
          </cell>
          <cell r="DA114">
            <v>1.5</v>
          </cell>
          <cell r="DB114">
            <v>260</v>
          </cell>
          <cell r="DC114">
            <v>123</v>
          </cell>
          <cell r="DD114">
            <v>68</v>
          </cell>
          <cell r="DE114">
            <v>20</v>
          </cell>
          <cell r="DF114">
            <v>30</v>
          </cell>
          <cell r="DG114">
            <v>6</v>
          </cell>
          <cell r="DH114">
            <v>3</v>
          </cell>
          <cell r="DI114">
            <v>13</v>
          </cell>
        </row>
        <row r="115">
          <cell r="A115" t="str">
            <v>RS 138</v>
          </cell>
          <cell r="B115">
            <v>138</v>
          </cell>
          <cell r="C115" t="str">
            <v>S</v>
          </cell>
          <cell r="D115" t="str">
            <v>T</v>
          </cell>
          <cell r="E115" t="str">
            <v>Chimwaliro River - M'manga</v>
          </cell>
          <cell r="F115" t="str">
            <v>M08</v>
          </cell>
          <cell r="G115">
            <v>3</v>
          </cell>
          <cell r="H115">
            <v>10.199999999999999</v>
          </cell>
          <cell r="I115" t="str">
            <v>F</v>
          </cell>
          <cell r="J115" t="str">
            <v>MACHINGA</v>
          </cell>
          <cell r="K115">
            <v>8</v>
          </cell>
          <cell r="L115">
            <v>0</v>
          </cell>
          <cell r="W115">
            <v>71</v>
          </cell>
          <cell r="X115" t="str">
            <v>SA</v>
          </cell>
          <cell r="Y115">
            <v>125</v>
          </cell>
          <cell r="Z115" t="str">
            <v>SB</v>
          </cell>
          <cell r="AA115">
            <v>150</v>
          </cell>
          <cell r="AB115" t="str">
            <v>GR</v>
          </cell>
          <cell r="AC115">
            <v>14</v>
          </cell>
          <cell r="AD115" t="str">
            <v>VR</v>
          </cell>
          <cell r="AE115">
            <v>0</v>
          </cell>
          <cell r="AF115">
            <v>0</v>
          </cell>
          <cell r="AG115">
            <v>0</v>
          </cell>
          <cell r="AH115">
            <v>0</v>
          </cell>
          <cell r="AI115">
            <v>0</v>
          </cell>
          <cell r="AJ115">
            <v>0</v>
          </cell>
          <cell r="AK115">
            <v>0</v>
          </cell>
          <cell r="AL115">
            <v>0</v>
          </cell>
          <cell r="AM115">
            <v>2</v>
          </cell>
          <cell r="AN115" t="str">
            <v>some bitumen removed</v>
          </cell>
          <cell r="BO115" t="str">
            <v>RS 138</v>
          </cell>
          <cell r="BP115">
            <v>10.199999999999999</v>
          </cell>
          <cell r="BQ115" t="str">
            <v>n.a.</v>
          </cell>
          <cell r="BR115" t="str">
            <v>F</v>
          </cell>
          <cell r="BS115" t="str">
            <v>X</v>
          </cell>
          <cell r="BT115">
            <v>60</v>
          </cell>
          <cell r="BU115" t="str">
            <v>SA</v>
          </cell>
          <cell r="BV115" t="str">
            <v/>
          </cell>
          <cell r="BW115">
            <v>2</v>
          </cell>
          <cell r="BX115">
            <v>10</v>
          </cell>
          <cell r="BY115" t="str">
            <v xml:space="preserve"> </v>
          </cell>
          <cell r="BZ115">
            <v>1</v>
          </cell>
          <cell r="CA115">
            <v>14</v>
          </cell>
          <cell r="CB115">
            <v>1.508</v>
          </cell>
          <cell r="CC115" t="str">
            <v>bitumen surface removed</v>
          </cell>
          <cell r="CD115">
            <v>0</v>
          </cell>
          <cell r="CE115">
            <v>0</v>
          </cell>
          <cell r="CF115">
            <v>0</v>
          </cell>
          <cell r="CG115">
            <v>0</v>
          </cell>
          <cell r="CH115">
            <v>0</v>
          </cell>
          <cell r="CI115">
            <v>0</v>
          </cell>
          <cell r="CJ115">
            <v>0</v>
          </cell>
          <cell r="CK115">
            <v>0</v>
          </cell>
          <cell r="CL115">
            <v>0</v>
          </cell>
          <cell r="CM115">
            <v>0</v>
          </cell>
          <cell r="CN115">
            <v>0</v>
          </cell>
          <cell r="CO115">
            <v>0</v>
          </cell>
          <cell r="CP115">
            <v>0</v>
          </cell>
          <cell r="CQ115">
            <v>0</v>
          </cell>
          <cell r="CR115">
            <v>0</v>
          </cell>
          <cell r="CS115">
            <v>0</v>
          </cell>
          <cell r="CT115">
            <v>0</v>
          </cell>
          <cell r="CU115">
            <v>0</v>
          </cell>
          <cell r="CV115">
            <v>27</v>
          </cell>
          <cell r="CW115">
            <v>27</v>
          </cell>
          <cell r="CX115" t="str">
            <v xml:space="preserve"> </v>
          </cell>
          <cell r="CY115" t="str">
            <v>n.a.</v>
          </cell>
          <cell r="CZ115" t="str">
            <v>n.a.</v>
          </cell>
          <cell r="DA115">
            <v>1.5</v>
          </cell>
          <cell r="DB115">
            <v>230</v>
          </cell>
          <cell r="DC115">
            <v>109</v>
          </cell>
          <cell r="DD115">
            <v>60</v>
          </cell>
          <cell r="DE115">
            <v>18</v>
          </cell>
          <cell r="DF115">
            <v>27</v>
          </cell>
          <cell r="DG115">
            <v>5</v>
          </cell>
          <cell r="DH115">
            <v>3</v>
          </cell>
          <cell r="DI115">
            <v>12</v>
          </cell>
        </row>
        <row r="116">
          <cell r="A116" t="str">
            <v>RS 071</v>
          </cell>
          <cell r="B116">
            <v>71</v>
          </cell>
          <cell r="C116" t="str">
            <v>C</v>
          </cell>
          <cell r="D116" t="str">
            <v>T</v>
          </cell>
          <cell r="E116" t="str">
            <v>Mua - Kamwendo</v>
          </cell>
          <cell r="F116" t="str">
            <v>M10</v>
          </cell>
          <cell r="G116">
            <v>1</v>
          </cell>
          <cell r="H116">
            <v>8.9</v>
          </cell>
          <cell r="I116" t="str">
            <v>F</v>
          </cell>
          <cell r="J116" t="str">
            <v>DEDZA</v>
          </cell>
          <cell r="K116">
            <v>7</v>
          </cell>
          <cell r="L116">
            <v>0</v>
          </cell>
          <cell r="W116">
            <v>74</v>
          </cell>
          <cell r="X116" t="str">
            <v>DS</v>
          </cell>
          <cell r="Y116">
            <v>150</v>
          </cell>
          <cell r="Z116" t="str">
            <v>SB</v>
          </cell>
          <cell r="AA116">
            <v>100</v>
          </cell>
          <cell r="AB116" t="str">
            <v>GR</v>
          </cell>
          <cell r="AC116">
            <v>8</v>
          </cell>
          <cell r="AD116" t="str">
            <v>VR</v>
          </cell>
          <cell r="AE116">
            <v>0</v>
          </cell>
          <cell r="AF116">
            <v>0</v>
          </cell>
          <cell r="AG116">
            <v>0</v>
          </cell>
          <cell r="AH116">
            <v>0</v>
          </cell>
          <cell r="AI116">
            <v>0</v>
          </cell>
          <cell r="AJ116">
            <v>0</v>
          </cell>
          <cell r="AK116">
            <v>0</v>
          </cell>
          <cell r="AL116">
            <v>0</v>
          </cell>
          <cell r="AM116">
            <v>1</v>
          </cell>
          <cell r="AN116" t="str">
            <v>bitumen removed</v>
          </cell>
          <cell r="BO116" t="str">
            <v>RS 071</v>
          </cell>
          <cell r="BP116">
            <v>8.9</v>
          </cell>
          <cell r="BQ116" t="str">
            <v>n.a.</v>
          </cell>
          <cell r="BR116" t="str">
            <v>F</v>
          </cell>
          <cell r="BS116" t="str">
            <v>X</v>
          </cell>
          <cell r="BT116">
            <v>90</v>
          </cell>
          <cell r="BU116" t="str">
            <v>DS</v>
          </cell>
          <cell r="BV116" t="str">
            <v/>
          </cell>
          <cell r="BW116">
            <v>1</v>
          </cell>
          <cell r="BX116">
            <v>15</v>
          </cell>
          <cell r="BY116" t="str">
            <v xml:space="preserve"> </v>
          </cell>
          <cell r="BZ116">
            <v>1</v>
          </cell>
          <cell r="CA116">
            <v>8</v>
          </cell>
          <cell r="CB116">
            <v>1.177</v>
          </cell>
          <cell r="CC116" t="str">
            <v>bitumen surface removed</v>
          </cell>
          <cell r="CD116">
            <v>0</v>
          </cell>
          <cell r="CE116">
            <v>0</v>
          </cell>
          <cell r="CF116">
            <v>0</v>
          </cell>
          <cell r="CG116">
            <v>0</v>
          </cell>
          <cell r="CH116">
            <v>0</v>
          </cell>
          <cell r="CI116">
            <v>0</v>
          </cell>
          <cell r="CJ116">
            <v>0</v>
          </cell>
          <cell r="CK116">
            <v>0</v>
          </cell>
          <cell r="CL116">
            <v>0</v>
          </cell>
          <cell r="CM116">
            <v>0</v>
          </cell>
          <cell r="CN116">
            <v>0</v>
          </cell>
          <cell r="CO116">
            <v>0</v>
          </cell>
          <cell r="CP116">
            <v>0</v>
          </cell>
          <cell r="CQ116">
            <v>0</v>
          </cell>
          <cell r="CR116">
            <v>0</v>
          </cell>
          <cell r="CS116">
            <v>0</v>
          </cell>
          <cell r="CT116">
            <v>0</v>
          </cell>
          <cell r="CU116">
            <v>0</v>
          </cell>
          <cell r="CV116">
            <v>24</v>
          </cell>
          <cell r="CW116">
            <v>24</v>
          </cell>
          <cell r="CX116" t="str">
            <v xml:space="preserve"> </v>
          </cell>
          <cell r="CY116" t="str">
            <v>n.a.</v>
          </cell>
          <cell r="CZ116" t="str">
            <v>n.a.</v>
          </cell>
          <cell r="DA116">
            <v>2</v>
          </cell>
          <cell r="DB116">
            <v>60</v>
          </cell>
          <cell r="DC116">
            <v>29</v>
          </cell>
          <cell r="DD116">
            <v>16</v>
          </cell>
          <cell r="DE116">
            <v>5</v>
          </cell>
          <cell r="DF116">
            <v>7</v>
          </cell>
          <cell r="DG116">
            <v>2</v>
          </cell>
          <cell r="DH116">
            <v>1</v>
          </cell>
          <cell r="DI116">
            <v>3</v>
          </cell>
        </row>
        <row r="117">
          <cell r="A117" t="str">
            <v>RS 070</v>
          </cell>
          <cell r="B117">
            <v>70</v>
          </cell>
          <cell r="C117" t="str">
            <v>C</v>
          </cell>
          <cell r="D117" t="str">
            <v>T</v>
          </cell>
          <cell r="E117" t="str">
            <v>Kamwendo - Malambalala</v>
          </cell>
          <cell r="F117" t="str">
            <v>M10</v>
          </cell>
          <cell r="G117">
            <v>2</v>
          </cell>
          <cell r="H117">
            <v>2.9</v>
          </cell>
          <cell r="I117" t="str">
            <v>F</v>
          </cell>
          <cell r="J117" t="str">
            <v>DEDZA</v>
          </cell>
          <cell r="K117">
            <v>7</v>
          </cell>
          <cell r="L117">
            <v>0</v>
          </cell>
          <cell r="W117">
            <v>74</v>
          </cell>
          <cell r="X117" t="str">
            <v>DS</v>
          </cell>
          <cell r="Y117">
            <v>150</v>
          </cell>
          <cell r="Z117" t="str">
            <v>SB</v>
          </cell>
          <cell r="AA117">
            <v>100</v>
          </cell>
          <cell r="AB117" t="str">
            <v>GR</v>
          </cell>
          <cell r="AC117">
            <v>8</v>
          </cell>
          <cell r="AD117" t="str">
            <v>VR</v>
          </cell>
          <cell r="AE117">
            <v>0</v>
          </cell>
          <cell r="AF117">
            <v>0</v>
          </cell>
          <cell r="AG117">
            <v>0</v>
          </cell>
          <cell r="AH117">
            <v>0</v>
          </cell>
          <cell r="AI117">
            <v>0</v>
          </cell>
          <cell r="AJ117">
            <v>0</v>
          </cell>
          <cell r="AK117">
            <v>0</v>
          </cell>
          <cell r="AL117">
            <v>0</v>
          </cell>
          <cell r="AM117">
            <v>1</v>
          </cell>
          <cell r="AN117" t="str">
            <v>bitumen removed</v>
          </cell>
          <cell r="BO117" t="str">
            <v>RS 070</v>
          </cell>
          <cell r="BP117">
            <v>2.9</v>
          </cell>
          <cell r="BQ117" t="str">
            <v>n.a.</v>
          </cell>
          <cell r="BR117" t="str">
            <v>F</v>
          </cell>
          <cell r="BS117" t="str">
            <v>X</v>
          </cell>
          <cell r="BT117">
            <v>90</v>
          </cell>
          <cell r="BU117" t="str">
            <v>DS</v>
          </cell>
          <cell r="BV117" t="str">
            <v/>
          </cell>
          <cell r="BW117">
            <v>1</v>
          </cell>
          <cell r="BX117">
            <v>15</v>
          </cell>
          <cell r="BY117" t="str">
            <v xml:space="preserve"> </v>
          </cell>
          <cell r="BZ117">
            <v>1</v>
          </cell>
          <cell r="CA117">
            <v>8</v>
          </cell>
          <cell r="CB117">
            <v>1.177</v>
          </cell>
          <cell r="CC117" t="str">
            <v>bitumen surface removed</v>
          </cell>
          <cell r="CD117">
            <v>0</v>
          </cell>
          <cell r="CE117">
            <v>0</v>
          </cell>
          <cell r="CF117">
            <v>0</v>
          </cell>
          <cell r="CG117">
            <v>0</v>
          </cell>
          <cell r="CH117">
            <v>0</v>
          </cell>
          <cell r="CI117">
            <v>0</v>
          </cell>
          <cell r="CJ117">
            <v>0</v>
          </cell>
          <cell r="CK117">
            <v>0</v>
          </cell>
          <cell r="CL117">
            <v>0</v>
          </cell>
          <cell r="CM117">
            <v>0</v>
          </cell>
          <cell r="CN117">
            <v>0</v>
          </cell>
          <cell r="CO117">
            <v>0</v>
          </cell>
          <cell r="CP117">
            <v>0</v>
          </cell>
          <cell r="CQ117">
            <v>0</v>
          </cell>
          <cell r="CR117">
            <v>0</v>
          </cell>
          <cell r="CS117">
            <v>0</v>
          </cell>
          <cell r="CT117">
            <v>0</v>
          </cell>
          <cell r="CU117">
            <v>0</v>
          </cell>
          <cell r="CV117">
            <v>24</v>
          </cell>
          <cell r="CW117">
            <v>24</v>
          </cell>
          <cell r="CX117" t="str">
            <v xml:space="preserve"> </v>
          </cell>
          <cell r="CY117" t="str">
            <v>n.a.</v>
          </cell>
          <cell r="CZ117" t="str">
            <v>n.a.</v>
          </cell>
          <cell r="DA117">
            <v>2</v>
          </cell>
          <cell r="DB117">
            <v>60</v>
          </cell>
          <cell r="DC117">
            <v>29</v>
          </cell>
          <cell r="DD117">
            <v>16</v>
          </cell>
          <cell r="DE117">
            <v>5</v>
          </cell>
          <cell r="DF117">
            <v>7</v>
          </cell>
          <cell r="DG117">
            <v>2</v>
          </cell>
          <cell r="DH117">
            <v>1</v>
          </cell>
          <cell r="DI117">
            <v>3</v>
          </cell>
        </row>
        <row r="118">
          <cell r="A118" t="str">
            <v>RS 072</v>
          </cell>
          <cell r="B118">
            <v>72</v>
          </cell>
          <cell r="C118" t="str">
            <v>C</v>
          </cell>
          <cell r="D118" t="str">
            <v>T</v>
          </cell>
          <cell r="E118" t="str">
            <v>Malambalala - Bwanje River</v>
          </cell>
          <cell r="F118" t="str">
            <v>M10</v>
          </cell>
          <cell r="G118">
            <v>3</v>
          </cell>
          <cell r="H118">
            <v>9</v>
          </cell>
          <cell r="I118" t="str">
            <v>F</v>
          </cell>
          <cell r="J118" t="str">
            <v>DEDZA &amp; MANGOCHI</v>
          </cell>
          <cell r="K118">
            <v>7</v>
          </cell>
          <cell r="L118">
            <v>0</v>
          </cell>
          <cell r="W118">
            <v>74</v>
          </cell>
          <cell r="X118" t="str">
            <v>DS</v>
          </cell>
          <cell r="Y118">
            <v>150</v>
          </cell>
          <cell r="Z118" t="str">
            <v>SB</v>
          </cell>
          <cell r="AA118">
            <v>100</v>
          </cell>
          <cell r="AB118" t="str">
            <v>GR</v>
          </cell>
          <cell r="AC118">
            <v>8</v>
          </cell>
          <cell r="AD118" t="str">
            <v>VR</v>
          </cell>
          <cell r="AE118">
            <v>0</v>
          </cell>
          <cell r="AF118">
            <v>0</v>
          </cell>
          <cell r="AG118">
            <v>0</v>
          </cell>
          <cell r="AH118">
            <v>0</v>
          </cell>
          <cell r="AI118">
            <v>0</v>
          </cell>
          <cell r="AJ118">
            <v>0</v>
          </cell>
          <cell r="AK118">
            <v>0</v>
          </cell>
          <cell r="AL118">
            <v>0</v>
          </cell>
          <cell r="AM118">
            <v>1</v>
          </cell>
          <cell r="AN118" t="str">
            <v>bitumen removed</v>
          </cell>
          <cell r="BO118" t="str">
            <v>RS 072</v>
          </cell>
          <cell r="BP118">
            <v>9</v>
          </cell>
          <cell r="BQ118" t="str">
            <v>n.a.</v>
          </cell>
          <cell r="BR118" t="str">
            <v>F</v>
          </cell>
          <cell r="BS118" t="str">
            <v>X</v>
          </cell>
          <cell r="BT118">
            <v>90</v>
          </cell>
          <cell r="BU118" t="str">
            <v>DS</v>
          </cell>
          <cell r="BV118" t="str">
            <v/>
          </cell>
          <cell r="BW118">
            <v>1</v>
          </cell>
          <cell r="BX118">
            <v>15</v>
          </cell>
          <cell r="BY118" t="str">
            <v xml:space="preserve"> </v>
          </cell>
          <cell r="BZ118">
            <v>1</v>
          </cell>
          <cell r="CA118">
            <v>8</v>
          </cell>
          <cell r="CB118">
            <v>1.177</v>
          </cell>
          <cell r="CC118" t="str">
            <v>bitumen surface removed</v>
          </cell>
          <cell r="CD118">
            <v>0</v>
          </cell>
          <cell r="CE118">
            <v>0</v>
          </cell>
          <cell r="CF118">
            <v>0</v>
          </cell>
          <cell r="CG118">
            <v>0</v>
          </cell>
          <cell r="CH118">
            <v>0</v>
          </cell>
          <cell r="CI118">
            <v>0</v>
          </cell>
          <cell r="CJ118">
            <v>0</v>
          </cell>
          <cell r="CK118">
            <v>0</v>
          </cell>
          <cell r="CL118">
            <v>0</v>
          </cell>
          <cell r="CM118">
            <v>0</v>
          </cell>
          <cell r="CN118">
            <v>0</v>
          </cell>
          <cell r="CO118">
            <v>0</v>
          </cell>
          <cell r="CP118">
            <v>0</v>
          </cell>
          <cell r="CQ118">
            <v>0</v>
          </cell>
          <cell r="CR118">
            <v>0</v>
          </cell>
          <cell r="CS118">
            <v>0</v>
          </cell>
          <cell r="CT118">
            <v>0</v>
          </cell>
          <cell r="CU118">
            <v>0</v>
          </cell>
          <cell r="CV118">
            <v>24</v>
          </cell>
          <cell r="CW118">
            <v>24</v>
          </cell>
          <cell r="CX118" t="str">
            <v xml:space="preserve"> </v>
          </cell>
          <cell r="CY118" t="str">
            <v>n.a.</v>
          </cell>
          <cell r="CZ118" t="str">
            <v>n.a.</v>
          </cell>
          <cell r="DA118">
            <v>2</v>
          </cell>
          <cell r="DB118">
            <v>60</v>
          </cell>
          <cell r="DC118">
            <v>29</v>
          </cell>
          <cell r="DD118">
            <v>16</v>
          </cell>
          <cell r="DE118">
            <v>5</v>
          </cell>
          <cell r="DF118">
            <v>7</v>
          </cell>
          <cell r="DG118">
            <v>2</v>
          </cell>
          <cell r="DH118">
            <v>1</v>
          </cell>
          <cell r="DI118">
            <v>3</v>
          </cell>
        </row>
        <row r="119">
          <cell r="A119" t="str">
            <v>RS 069</v>
          </cell>
          <cell r="B119">
            <v>69</v>
          </cell>
          <cell r="C119" t="str">
            <v>C</v>
          </cell>
          <cell r="D119" t="str">
            <v>T</v>
          </cell>
          <cell r="E119" t="str">
            <v>Bwanje River - Kangb'ma</v>
          </cell>
          <cell r="F119" t="str">
            <v>M10</v>
          </cell>
          <cell r="G119">
            <v>4</v>
          </cell>
          <cell r="H119">
            <v>3.6</v>
          </cell>
          <cell r="I119" t="str">
            <v>F</v>
          </cell>
          <cell r="J119" t="str">
            <v>NTCHEU</v>
          </cell>
          <cell r="K119">
            <v>7</v>
          </cell>
          <cell r="L119">
            <v>0</v>
          </cell>
          <cell r="W119">
            <v>74</v>
          </cell>
          <cell r="X119" t="str">
            <v>DS</v>
          </cell>
          <cell r="Y119">
            <v>150</v>
          </cell>
          <cell r="Z119" t="str">
            <v>SB</v>
          </cell>
          <cell r="AA119">
            <v>100</v>
          </cell>
          <cell r="AB119" t="str">
            <v>GR</v>
          </cell>
          <cell r="AC119">
            <v>8</v>
          </cell>
          <cell r="AD119" t="str">
            <v>VR</v>
          </cell>
          <cell r="AE119">
            <v>0</v>
          </cell>
          <cell r="AF119">
            <v>0</v>
          </cell>
          <cell r="AG119">
            <v>0</v>
          </cell>
          <cell r="AH119">
            <v>0</v>
          </cell>
          <cell r="AI119">
            <v>0</v>
          </cell>
          <cell r="AJ119">
            <v>0</v>
          </cell>
          <cell r="AK119">
            <v>0</v>
          </cell>
          <cell r="AL119">
            <v>0</v>
          </cell>
          <cell r="AM119">
            <v>1</v>
          </cell>
          <cell r="AN119" t="str">
            <v>bitumen removed</v>
          </cell>
          <cell r="BO119" t="str">
            <v>RS 069</v>
          </cell>
          <cell r="BP119">
            <v>3.6</v>
          </cell>
          <cell r="BQ119" t="str">
            <v>n.a.</v>
          </cell>
          <cell r="BR119" t="str">
            <v>F</v>
          </cell>
          <cell r="BS119" t="str">
            <v>X</v>
          </cell>
          <cell r="BT119">
            <v>90</v>
          </cell>
          <cell r="BU119" t="str">
            <v>DS</v>
          </cell>
          <cell r="BV119" t="str">
            <v/>
          </cell>
          <cell r="BW119">
            <v>1</v>
          </cell>
          <cell r="BX119">
            <v>15</v>
          </cell>
          <cell r="BY119" t="str">
            <v xml:space="preserve"> </v>
          </cell>
          <cell r="BZ119">
            <v>1</v>
          </cell>
          <cell r="CA119">
            <v>8</v>
          </cell>
          <cell r="CB119">
            <v>1.177</v>
          </cell>
          <cell r="CC119" t="str">
            <v>bitumen surface removed</v>
          </cell>
          <cell r="CD119">
            <v>0</v>
          </cell>
          <cell r="CE119">
            <v>0</v>
          </cell>
          <cell r="CF119">
            <v>0</v>
          </cell>
          <cell r="CG119">
            <v>0</v>
          </cell>
          <cell r="CH119">
            <v>0</v>
          </cell>
          <cell r="CI119">
            <v>0</v>
          </cell>
          <cell r="CJ119">
            <v>0</v>
          </cell>
          <cell r="CK119">
            <v>0</v>
          </cell>
          <cell r="CL119">
            <v>0</v>
          </cell>
          <cell r="CM119">
            <v>0</v>
          </cell>
          <cell r="CN119">
            <v>0</v>
          </cell>
          <cell r="CO119">
            <v>0</v>
          </cell>
          <cell r="CP119">
            <v>0</v>
          </cell>
          <cell r="CQ119">
            <v>0</v>
          </cell>
          <cell r="CR119">
            <v>0</v>
          </cell>
          <cell r="CS119">
            <v>0</v>
          </cell>
          <cell r="CT119">
            <v>0</v>
          </cell>
          <cell r="CU119">
            <v>0</v>
          </cell>
          <cell r="CV119">
            <v>24</v>
          </cell>
          <cell r="CW119">
            <v>24</v>
          </cell>
          <cell r="CX119" t="str">
            <v xml:space="preserve"> </v>
          </cell>
          <cell r="CY119" t="str">
            <v>n.a.</v>
          </cell>
          <cell r="CZ119" t="str">
            <v>n.a.</v>
          </cell>
          <cell r="DA119">
            <v>2</v>
          </cell>
          <cell r="DB119">
            <v>60</v>
          </cell>
          <cell r="DC119">
            <v>29</v>
          </cell>
          <cell r="DD119">
            <v>16</v>
          </cell>
          <cell r="DE119">
            <v>5</v>
          </cell>
          <cell r="DF119">
            <v>7</v>
          </cell>
          <cell r="DG119">
            <v>2</v>
          </cell>
          <cell r="DH119">
            <v>1</v>
          </cell>
          <cell r="DI119">
            <v>3</v>
          </cell>
        </row>
        <row r="120">
          <cell r="A120" t="str">
            <v>RS 068</v>
          </cell>
          <cell r="B120">
            <v>68</v>
          </cell>
          <cell r="C120" t="str">
            <v>C</v>
          </cell>
          <cell r="D120" t="str">
            <v>T</v>
          </cell>
          <cell r="E120" t="str">
            <v>Kangb'ma - Phanga</v>
          </cell>
          <cell r="F120" t="str">
            <v>M10</v>
          </cell>
          <cell r="G120">
            <v>5</v>
          </cell>
          <cell r="H120">
            <v>1.6</v>
          </cell>
          <cell r="I120" t="str">
            <v>F</v>
          </cell>
          <cell r="J120" t="str">
            <v>MANGOCHI</v>
          </cell>
          <cell r="K120">
            <v>7</v>
          </cell>
          <cell r="L120">
            <v>0</v>
          </cell>
          <cell r="W120">
            <v>74</v>
          </cell>
          <cell r="X120" t="str">
            <v>DS</v>
          </cell>
          <cell r="Y120">
            <v>150</v>
          </cell>
          <cell r="Z120" t="str">
            <v>SB</v>
          </cell>
          <cell r="AA120">
            <v>100</v>
          </cell>
          <cell r="AB120" t="str">
            <v>GR</v>
          </cell>
          <cell r="AC120">
            <v>8</v>
          </cell>
          <cell r="AD120" t="str">
            <v>VR</v>
          </cell>
          <cell r="AE120">
            <v>89</v>
          </cell>
          <cell r="AF120" t="str">
            <v>SR</v>
          </cell>
          <cell r="AG120" t="str">
            <v>ST</v>
          </cell>
          <cell r="AH120">
            <v>10</v>
          </cell>
          <cell r="AI120">
            <v>0</v>
          </cell>
          <cell r="AJ120">
            <v>0</v>
          </cell>
          <cell r="AK120">
            <v>0</v>
          </cell>
          <cell r="AL120">
            <v>0</v>
          </cell>
          <cell r="AM120">
            <v>4</v>
          </cell>
          <cell r="AN120">
            <v>0</v>
          </cell>
          <cell r="BO120" t="str">
            <v>RS 068</v>
          </cell>
          <cell r="BP120">
            <v>1.6</v>
          </cell>
          <cell r="BQ120" t="str">
            <v>n.a.</v>
          </cell>
          <cell r="BR120" t="str">
            <v>F</v>
          </cell>
          <cell r="BS120" t="str">
            <v>X</v>
          </cell>
          <cell r="BT120">
            <v>90</v>
          </cell>
          <cell r="BU120" t="str">
            <v>ST</v>
          </cell>
          <cell r="BV120" t="str">
            <v>DS</v>
          </cell>
          <cell r="BW120">
            <v>4</v>
          </cell>
          <cell r="BX120">
            <v>10</v>
          </cell>
          <cell r="BY120">
            <v>15</v>
          </cell>
          <cell r="BZ120">
            <v>1</v>
          </cell>
          <cell r="CA120">
            <v>8</v>
          </cell>
          <cell r="CB120">
            <v>1.3540000000000001</v>
          </cell>
          <cell r="CC120" t="str">
            <v>bitumen surface removed</v>
          </cell>
          <cell r="CD120">
            <v>0</v>
          </cell>
          <cell r="CE120">
            <v>0</v>
          </cell>
          <cell r="CF120">
            <v>0</v>
          </cell>
          <cell r="CG120">
            <v>0</v>
          </cell>
          <cell r="CH120">
            <v>0</v>
          </cell>
          <cell r="CI120">
            <v>0</v>
          </cell>
          <cell r="CJ120">
            <v>0</v>
          </cell>
          <cell r="CK120">
            <v>0</v>
          </cell>
          <cell r="CL120">
            <v>0</v>
          </cell>
          <cell r="CM120">
            <v>0</v>
          </cell>
          <cell r="CN120">
            <v>0</v>
          </cell>
          <cell r="CO120">
            <v>0</v>
          </cell>
          <cell r="CP120">
            <v>0</v>
          </cell>
          <cell r="CQ120">
            <v>0</v>
          </cell>
          <cell r="CR120">
            <v>0</v>
          </cell>
          <cell r="CS120">
            <v>0</v>
          </cell>
          <cell r="CT120">
            <v>0</v>
          </cell>
          <cell r="CU120">
            <v>0</v>
          </cell>
          <cell r="CV120">
            <v>9</v>
          </cell>
          <cell r="CW120">
            <v>24</v>
          </cell>
          <cell r="CX120">
            <v>48</v>
          </cell>
          <cell r="CY120" t="str">
            <v>n.a.</v>
          </cell>
          <cell r="CZ120" t="str">
            <v>n.a.</v>
          </cell>
          <cell r="DA120">
            <v>2</v>
          </cell>
          <cell r="DB120">
            <v>60</v>
          </cell>
          <cell r="DC120">
            <v>29</v>
          </cell>
          <cell r="DD120">
            <v>16</v>
          </cell>
          <cell r="DE120">
            <v>5</v>
          </cell>
          <cell r="DF120">
            <v>7</v>
          </cell>
          <cell r="DG120">
            <v>2</v>
          </cell>
          <cell r="DH120">
            <v>1</v>
          </cell>
          <cell r="DI120">
            <v>3</v>
          </cell>
        </row>
        <row r="121">
          <cell r="A121" t="str">
            <v>RS 141</v>
          </cell>
          <cell r="B121">
            <v>141</v>
          </cell>
          <cell r="C121" t="str">
            <v>S</v>
          </cell>
          <cell r="D121" t="str">
            <v>T</v>
          </cell>
          <cell r="E121" t="str">
            <v>Regional Bdy - Mpanga</v>
          </cell>
          <cell r="F121" t="str">
            <v>M10</v>
          </cell>
          <cell r="G121">
            <v>6</v>
          </cell>
          <cell r="H121">
            <v>1.4</v>
          </cell>
          <cell r="I121" t="str">
            <v>F</v>
          </cell>
          <cell r="J121" t="str">
            <v>MANGOCHI</v>
          </cell>
          <cell r="K121">
            <v>7</v>
          </cell>
          <cell r="L121">
            <v>0</v>
          </cell>
          <cell r="W121">
            <v>74</v>
          </cell>
          <cell r="X121" t="str">
            <v>DS</v>
          </cell>
          <cell r="Y121">
            <v>150</v>
          </cell>
          <cell r="Z121" t="str">
            <v>SB</v>
          </cell>
          <cell r="AA121">
            <v>100</v>
          </cell>
          <cell r="AB121" t="str">
            <v>GR</v>
          </cell>
          <cell r="AC121">
            <v>8</v>
          </cell>
          <cell r="AD121" t="str">
            <v>VR</v>
          </cell>
          <cell r="AE121">
            <v>89</v>
          </cell>
          <cell r="AF121" t="str">
            <v>SR</v>
          </cell>
          <cell r="AG121" t="str">
            <v>ST</v>
          </cell>
          <cell r="AH121">
            <v>10</v>
          </cell>
          <cell r="AI121">
            <v>0</v>
          </cell>
          <cell r="AJ121">
            <v>0</v>
          </cell>
          <cell r="AK121">
            <v>0</v>
          </cell>
          <cell r="AL121">
            <v>0</v>
          </cell>
          <cell r="AM121">
            <v>4</v>
          </cell>
          <cell r="AN121">
            <v>0</v>
          </cell>
          <cell r="BO121" t="str">
            <v>RS 141</v>
          </cell>
          <cell r="BP121">
            <v>1.4</v>
          </cell>
          <cell r="BQ121" t="str">
            <v>n.a.</v>
          </cell>
          <cell r="BR121" t="str">
            <v>F</v>
          </cell>
          <cell r="BS121" t="str">
            <v>X</v>
          </cell>
          <cell r="BT121">
            <v>90</v>
          </cell>
          <cell r="BU121" t="str">
            <v>ST</v>
          </cell>
          <cell r="BV121" t="str">
            <v>DS</v>
          </cell>
          <cell r="BW121">
            <v>4</v>
          </cell>
          <cell r="BX121">
            <v>10</v>
          </cell>
          <cell r="BY121">
            <v>15</v>
          </cell>
          <cell r="BZ121">
            <v>1</v>
          </cell>
          <cell r="CA121">
            <v>8</v>
          </cell>
          <cell r="CB121">
            <v>1.3540000000000001</v>
          </cell>
          <cell r="CC121" t="str">
            <v>bitumen surface removed</v>
          </cell>
          <cell r="CD121">
            <v>0</v>
          </cell>
          <cell r="CE121">
            <v>0</v>
          </cell>
          <cell r="CF121">
            <v>0</v>
          </cell>
          <cell r="CG121">
            <v>0</v>
          </cell>
          <cell r="CH121">
            <v>0</v>
          </cell>
          <cell r="CI121">
            <v>0</v>
          </cell>
          <cell r="CJ121">
            <v>0</v>
          </cell>
          <cell r="CK121">
            <v>0</v>
          </cell>
          <cell r="CL121">
            <v>0</v>
          </cell>
          <cell r="CM121">
            <v>0</v>
          </cell>
          <cell r="CN121">
            <v>0</v>
          </cell>
          <cell r="CO121">
            <v>0</v>
          </cell>
          <cell r="CP121">
            <v>0</v>
          </cell>
          <cell r="CQ121">
            <v>0</v>
          </cell>
          <cell r="CR121">
            <v>0</v>
          </cell>
          <cell r="CS121">
            <v>0</v>
          </cell>
          <cell r="CT121">
            <v>0</v>
          </cell>
          <cell r="CU121">
            <v>0</v>
          </cell>
          <cell r="CV121">
            <v>9</v>
          </cell>
          <cell r="CW121">
            <v>24</v>
          </cell>
          <cell r="CX121">
            <v>48</v>
          </cell>
          <cell r="CY121" t="str">
            <v>n.a.</v>
          </cell>
          <cell r="CZ121" t="str">
            <v>n.a.</v>
          </cell>
          <cell r="DA121">
            <v>2</v>
          </cell>
          <cell r="DB121">
            <v>100</v>
          </cell>
          <cell r="DC121">
            <v>47</v>
          </cell>
          <cell r="DD121">
            <v>26</v>
          </cell>
          <cell r="DE121">
            <v>8</v>
          </cell>
          <cell r="DF121">
            <v>12</v>
          </cell>
          <cell r="DG121">
            <v>2</v>
          </cell>
          <cell r="DH121">
            <v>1</v>
          </cell>
          <cell r="DI121">
            <v>5</v>
          </cell>
        </row>
        <row r="122">
          <cell r="A122" t="str">
            <v>RS 143</v>
          </cell>
          <cell r="B122">
            <v>143</v>
          </cell>
          <cell r="C122" t="str">
            <v>S</v>
          </cell>
          <cell r="D122" t="str">
            <v>T</v>
          </cell>
          <cell r="E122" t="str">
            <v>Mpanga - Chantulo</v>
          </cell>
          <cell r="F122" t="str">
            <v>M10</v>
          </cell>
          <cell r="G122">
            <v>7</v>
          </cell>
          <cell r="H122">
            <v>5.3</v>
          </cell>
          <cell r="I122" t="str">
            <v>F</v>
          </cell>
          <cell r="J122" t="str">
            <v>MANGOCHI</v>
          </cell>
          <cell r="K122">
            <v>7</v>
          </cell>
          <cell r="L122">
            <v>0</v>
          </cell>
          <cell r="W122">
            <v>74</v>
          </cell>
          <cell r="X122" t="str">
            <v>DS</v>
          </cell>
          <cell r="Y122">
            <v>150</v>
          </cell>
          <cell r="Z122" t="str">
            <v>SB</v>
          </cell>
          <cell r="AA122">
            <v>100</v>
          </cell>
          <cell r="AB122" t="str">
            <v>GR</v>
          </cell>
          <cell r="AC122">
            <v>8</v>
          </cell>
          <cell r="AD122" t="str">
            <v>VR</v>
          </cell>
          <cell r="AE122">
            <v>89</v>
          </cell>
          <cell r="AF122" t="str">
            <v>SR</v>
          </cell>
          <cell r="AG122" t="str">
            <v>ST</v>
          </cell>
          <cell r="AH122">
            <v>10</v>
          </cell>
          <cell r="AI122">
            <v>0</v>
          </cell>
          <cell r="AJ122">
            <v>0</v>
          </cell>
          <cell r="AK122">
            <v>0</v>
          </cell>
          <cell r="AL122">
            <v>0</v>
          </cell>
          <cell r="AM122">
            <v>4</v>
          </cell>
          <cell r="AN122">
            <v>0</v>
          </cell>
          <cell r="BO122" t="str">
            <v>RS 143</v>
          </cell>
          <cell r="BP122">
            <v>5.3</v>
          </cell>
          <cell r="BQ122" t="str">
            <v>n.a.</v>
          </cell>
          <cell r="BR122" t="str">
            <v>F</v>
          </cell>
          <cell r="BS122" t="str">
            <v>X</v>
          </cell>
          <cell r="BT122">
            <v>90</v>
          </cell>
          <cell r="BU122" t="str">
            <v>ST</v>
          </cell>
          <cell r="BV122" t="str">
            <v>DS</v>
          </cell>
          <cell r="BW122">
            <v>4</v>
          </cell>
          <cell r="BX122">
            <v>10</v>
          </cell>
          <cell r="BY122">
            <v>15</v>
          </cell>
          <cell r="BZ122">
            <v>1</v>
          </cell>
          <cell r="CA122">
            <v>8</v>
          </cell>
          <cell r="CB122">
            <v>1.3540000000000001</v>
          </cell>
          <cell r="CC122" t="str">
            <v>bitumen surface removed</v>
          </cell>
          <cell r="CD122">
            <v>0</v>
          </cell>
          <cell r="CE122">
            <v>0</v>
          </cell>
          <cell r="CF122">
            <v>0</v>
          </cell>
          <cell r="CG122">
            <v>0</v>
          </cell>
          <cell r="CH122">
            <v>0</v>
          </cell>
          <cell r="CI122">
            <v>0</v>
          </cell>
          <cell r="CJ122">
            <v>0</v>
          </cell>
          <cell r="CK122">
            <v>0</v>
          </cell>
          <cell r="CL122">
            <v>0</v>
          </cell>
          <cell r="CM122">
            <v>0</v>
          </cell>
          <cell r="CN122">
            <v>0</v>
          </cell>
          <cell r="CO122">
            <v>0</v>
          </cell>
          <cell r="CP122">
            <v>0</v>
          </cell>
          <cell r="CQ122">
            <v>0</v>
          </cell>
          <cell r="CR122">
            <v>0</v>
          </cell>
          <cell r="CS122">
            <v>0</v>
          </cell>
          <cell r="CT122">
            <v>0</v>
          </cell>
          <cell r="CU122">
            <v>0</v>
          </cell>
          <cell r="CV122">
            <v>9</v>
          </cell>
          <cell r="CW122">
            <v>24</v>
          </cell>
          <cell r="CX122">
            <v>48</v>
          </cell>
          <cell r="CY122" t="str">
            <v>n.a.</v>
          </cell>
          <cell r="CZ122" t="str">
            <v>n.a.</v>
          </cell>
          <cell r="DA122">
            <v>2</v>
          </cell>
          <cell r="DB122">
            <v>100</v>
          </cell>
          <cell r="DC122">
            <v>47</v>
          </cell>
          <cell r="DD122">
            <v>26</v>
          </cell>
          <cell r="DE122">
            <v>8</v>
          </cell>
          <cell r="DF122">
            <v>12</v>
          </cell>
          <cell r="DG122">
            <v>2</v>
          </cell>
          <cell r="DH122">
            <v>1</v>
          </cell>
          <cell r="DI122">
            <v>5</v>
          </cell>
        </row>
        <row r="123">
          <cell r="A123" t="str">
            <v>RS 142</v>
          </cell>
          <cell r="B123">
            <v>142</v>
          </cell>
          <cell r="C123" t="str">
            <v>S</v>
          </cell>
          <cell r="D123" t="str">
            <v>T</v>
          </cell>
          <cell r="E123" t="str">
            <v>Kuchilipa - Mang'oma</v>
          </cell>
          <cell r="F123" t="str">
            <v>M10</v>
          </cell>
          <cell r="G123">
            <v>8</v>
          </cell>
          <cell r="H123">
            <v>24.1</v>
          </cell>
          <cell r="I123" t="str">
            <v>F</v>
          </cell>
          <cell r="J123" t="str">
            <v>MANGOCHI</v>
          </cell>
          <cell r="K123">
            <v>7</v>
          </cell>
          <cell r="L123">
            <v>0</v>
          </cell>
          <cell r="W123">
            <v>74</v>
          </cell>
          <cell r="X123" t="str">
            <v>DS</v>
          </cell>
          <cell r="Y123">
            <v>150</v>
          </cell>
          <cell r="Z123" t="str">
            <v>SB</v>
          </cell>
          <cell r="AA123">
            <v>100</v>
          </cell>
          <cell r="AB123" t="str">
            <v>GR</v>
          </cell>
          <cell r="AC123">
            <v>8</v>
          </cell>
          <cell r="AD123" t="str">
            <v>VR</v>
          </cell>
          <cell r="AE123">
            <v>89</v>
          </cell>
          <cell r="AF123" t="str">
            <v>SR</v>
          </cell>
          <cell r="AG123" t="str">
            <v>ST</v>
          </cell>
          <cell r="AH123">
            <v>10</v>
          </cell>
          <cell r="AI123">
            <v>0</v>
          </cell>
          <cell r="AJ123">
            <v>0</v>
          </cell>
          <cell r="AK123">
            <v>0</v>
          </cell>
          <cell r="AL123">
            <v>0</v>
          </cell>
          <cell r="AM123">
            <v>4</v>
          </cell>
          <cell r="AN123">
            <v>0</v>
          </cell>
          <cell r="BO123" t="str">
            <v>RS 142</v>
          </cell>
          <cell r="BP123">
            <v>24.1</v>
          </cell>
          <cell r="BQ123" t="str">
            <v>n.a.</v>
          </cell>
          <cell r="BR123" t="str">
            <v>F</v>
          </cell>
          <cell r="BS123" t="str">
            <v>X</v>
          </cell>
          <cell r="BT123">
            <v>90</v>
          </cell>
          <cell r="BU123" t="str">
            <v>ST</v>
          </cell>
          <cell r="BV123" t="str">
            <v>DS</v>
          </cell>
          <cell r="BW123">
            <v>4</v>
          </cell>
          <cell r="BX123">
            <v>10</v>
          </cell>
          <cell r="BY123">
            <v>15</v>
          </cell>
          <cell r="BZ123">
            <v>1</v>
          </cell>
          <cell r="CA123">
            <v>8</v>
          </cell>
          <cell r="CB123">
            <v>1.3540000000000001</v>
          </cell>
          <cell r="CC123" t="str">
            <v>bitumen surface removed</v>
          </cell>
          <cell r="CD123">
            <v>0</v>
          </cell>
          <cell r="CE123">
            <v>0</v>
          </cell>
          <cell r="CF123">
            <v>0</v>
          </cell>
          <cell r="CG123">
            <v>0</v>
          </cell>
          <cell r="CH123">
            <v>0</v>
          </cell>
          <cell r="CI123">
            <v>0</v>
          </cell>
          <cell r="CJ123">
            <v>0</v>
          </cell>
          <cell r="CK123">
            <v>0</v>
          </cell>
          <cell r="CL123">
            <v>0</v>
          </cell>
          <cell r="CM123">
            <v>0</v>
          </cell>
          <cell r="CN123">
            <v>0</v>
          </cell>
          <cell r="CO123">
            <v>0</v>
          </cell>
          <cell r="CP123">
            <v>0</v>
          </cell>
          <cell r="CQ123">
            <v>0</v>
          </cell>
          <cell r="CR123">
            <v>0</v>
          </cell>
          <cell r="CS123">
            <v>0</v>
          </cell>
          <cell r="CT123">
            <v>0</v>
          </cell>
          <cell r="CU123">
            <v>0</v>
          </cell>
          <cell r="CV123">
            <v>9</v>
          </cell>
          <cell r="CW123">
            <v>24</v>
          </cell>
          <cell r="CX123">
            <v>48</v>
          </cell>
          <cell r="CY123" t="str">
            <v>n.a.</v>
          </cell>
          <cell r="CZ123" t="str">
            <v>n.a.</v>
          </cell>
          <cell r="DA123">
            <v>2</v>
          </cell>
          <cell r="DB123">
            <v>100</v>
          </cell>
          <cell r="DC123">
            <v>47</v>
          </cell>
          <cell r="DD123">
            <v>26</v>
          </cell>
          <cell r="DE123">
            <v>8</v>
          </cell>
          <cell r="DF123">
            <v>12</v>
          </cell>
          <cell r="DG123">
            <v>2</v>
          </cell>
          <cell r="DH123">
            <v>1</v>
          </cell>
          <cell r="DI123">
            <v>5</v>
          </cell>
        </row>
        <row r="124">
          <cell r="A124" t="str">
            <v>RS 145</v>
          </cell>
          <cell r="B124">
            <v>145</v>
          </cell>
          <cell r="C124" t="str">
            <v>S</v>
          </cell>
          <cell r="D124" t="str">
            <v>T</v>
          </cell>
          <cell r="E124" t="str">
            <v>Mang'oma - Koche River</v>
          </cell>
          <cell r="F124" t="str">
            <v>M10</v>
          </cell>
          <cell r="G124">
            <v>9</v>
          </cell>
          <cell r="H124">
            <v>30.8</v>
          </cell>
          <cell r="I124" t="str">
            <v>F</v>
          </cell>
          <cell r="J124" t="str">
            <v>MANGOCHI</v>
          </cell>
          <cell r="K124">
            <v>7</v>
          </cell>
          <cell r="L124">
            <v>0</v>
          </cell>
          <cell r="W124">
            <v>74</v>
          </cell>
          <cell r="X124" t="str">
            <v>DS</v>
          </cell>
          <cell r="Y124">
            <v>150</v>
          </cell>
          <cell r="Z124" t="str">
            <v>SB</v>
          </cell>
          <cell r="AA124">
            <v>100</v>
          </cell>
          <cell r="AB124" t="str">
            <v>GR</v>
          </cell>
          <cell r="AC124">
            <v>8</v>
          </cell>
          <cell r="AD124" t="str">
            <v>VR</v>
          </cell>
          <cell r="AE124">
            <v>89</v>
          </cell>
          <cell r="AF124" t="str">
            <v>SR</v>
          </cell>
          <cell r="AG124" t="str">
            <v>ST</v>
          </cell>
          <cell r="AH124">
            <v>10</v>
          </cell>
          <cell r="AI124">
            <v>0</v>
          </cell>
          <cell r="AJ124">
            <v>0</v>
          </cell>
          <cell r="AK124">
            <v>0</v>
          </cell>
          <cell r="AL124">
            <v>0</v>
          </cell>
          <cell r="AM124">
            <v>4</v>
          </cell>
          <cell r="AN124">
            <v>0</v>
          </cell>
          <cell r="BO124" t="str">
            <v>RS 145</v>
          </cell>
          <cell r="BP124">
            <v>30.8</v>
          </cell>
          <cell r="BQ124">
            <v>6.7</v>
          </cell>
          <cell r="BR124" t="str">
            <v>F</v>
          </cell>
          <cell r="BS124" t="str">
            <v>C</v>
          </cell>
          <cell r="BT124">
            <v>0</v>
          </cell>
          <cell r="BU124" t="str">
            <v>ST</v>
          </cell>
          <cell r="BV124" t="str">
            <v>DS</v>
          </cell>
          <cell r="BW124">
            <v>4</v>
          </cell>
          <cell r="BX124">
            <v>10</v>
          </cell>
          <cell r="BY124">
            <v>15</v>
          </cell>
          <cell r="BZ124">
            <v>1</v>
          </cell>
          <cell r="CA124">
            <v>8</v>
          </cell>
          <cell r="CB124">
            <v>1.3540000000000001</v>
          </cell>
          <cell r="CC124">
            <v>6.38</v>
          </cell>
          <cell r="CD124">
            <v>95</v>
          </cell>
          <cell r="CE124">
            <v>75</v>
          </cell>
          <cell r="CF124">
            <v>60</v>
          </cell>
          <cell r="CG124">
            <v>35</v>
          </cell>
          <cell r="CH124">
            <v>15</v>
          </cell>
          <cell r="CI124">
            <v>25</v>
          </cell>
          <cell r="CJ124">
            <v>7.4626865671641798E-2</v>
          </cell>
          <cell r="CK124">
            <v>10</v>
          </cell>
          <cell r="CL124">
            <v>60</v>
          </cell>
          <cell r="CM124">
            <v>0.52510907003444307</v>
          </cell>
          <cell r="CN124">
            <v>0.52510907003444307</v>
          </cell>
          <cell r="CO124">
            <v>0</v>
          </cell>
          <cell r="CP124">
            <v>0</v>
          </cell>
          <cell r="CQ124">
            <v>6.9051090700344426</v>
          </cell>
          <cell r="CR124">
            <v>90</v>
          </cell>
          <cell r="CS124">
            <v>1.5</v>
          </cell>
          <cell r="CT124">
            <v>2.5</v>
          </cell>
          <cell r="CU124">
            <v>1</v>
          </cell>
          <cell r="CV124">
            <v>9</v>
          </cell>
          <cell r="CW124">
            <v>24</v>
          </cell>
          <cell r="CX124">
            <v>48</v>
          </cell>
          <cell r="CY124">
            <v>3</v>
          </cell>
          <cell r="CZ124">
            <v>3</v>
          </cell>
          <cell r="DA124">
            <v>1</v>
          </cell>
          <cell r="DB124">
            <v>125</v>
          </cell>
          <cell r="DC124">
            <v>59</v>
          </cell>
          <cell r="DD124">
            <v>33</v>
          </cell>
          <cell r="DE124">
            <v>10</v>
          </cell>
          <cell r="DF124">
            <v>15</v>
          </cell>
          <cell r="DG124">
            <v>3</v>
          </cell>
          <cell r="DH124">
            <v>2</v>
          </cell>
          <cell r="DI124">
            <v>7</v>
          </cell>
        </row>
        <row r="125">
          <cell r="A125" t="str">
            <v>RS 144</v>
          </cell>
          <cell r="B125">
            <v>144</v>
          </cell>
          <cell r="C125" t="str">
            <v>S</v>
          </cell>
          <cell r="D125" t="str">
            <v>T</v>
          </cell>
          <cell r="E125" t="str">
            <v>Koche River - Mangochi</v>
          </cell>
          <cell r="F125" t="str">
            <v>M10</v>
          </cell>
          <cell r="G125">
            <v>10</v>
          </cell>
          <cell r="H125">
            <v>19.600000000000001</v>
          </cell>
          <cell r="I125" t="str">
            <v>F</v>
          </cell>
          <cell r="J125" t="str">
            <v>MANGOCHI</v>
          </cell>
          <cell r="K125">
            <v>8</v>
          </cell>
          <cell r="L125">
            <v>0</v>
          </cell>
          <cell r="W125">
            <v>74</v>
          </cell>
          <cell r="X125" t="str">
            <v>DS</v>
          </cell>
          <cell r="Y125">
            <v>150</v>
          </cell>
          <cell r="Z125" t="str">
            <v>SB</v>
          </cell>
          <cell r="AA125">
            <v>100</v>
          </cell>
          <cell r="AB125" t="str">
            <v>GR</v>
          </cell>
          <cell r="AC125">
            <v>8</v>
          </cell>
          <cell r="AD125" t="str">
            <v>VR</v>
          </cell>
          <cell r="AE125">
            <v>89</v>
          </cell>
          <cell r="AF125" t="str">
            <v>SR</v>
          </cell>
          <cell r="AG125" t="str">
            <v>ST</v>
          </cell>
          <cell r="AH125">
            <v>10</v>
          </cell>
          <cell r="AI125">
            <v>0</v>
          </cell>
          <cell r="AJ125">
            <v>0</v>
          </cell>
          <cell r="AK125">
            <v>0</v>
          </cell>
          <cell r="AL125">
            <v>0</v>
          </cell>
          <cell r="AM125">
            <v>4</v>
          </cell>
          <cell r="AN125">
            <v>0</v>
          </cell>
          <cell r="BO125" t="str">
            <v>RS 144</v>
          </cell>
          <cell r="BP125">
            <v>19.600000000000001</v>
          </cell>
          <cell r="BQ125">
            <v>6.7</v>
          </cell>
          <cell r="BR125" t="str">
            <v>F</v>
          </cell>
          <cell r="BS125" t="str">
            <v>C</v>
          </cell>
          <cell r="BT125">
            <v>0</v>
          </cell>
          <cell r="BU125" t="str">
            <v>ST</v>
          </cell>
          <cell r="BV125" t="str">
            <v>DS</v>
          </cell>
          <cell r="BW125">
            <v>4</v>
          </cell>
          <cell r="BX125">
            <v>10</v>
          </cell>
          <cell r="BY125">
            <v>15</v>
          </cell>
          <cell r="BZ125">
            <v>1</v>
          </cell>
          <cell r="CA125">
            <v>8</v>
          </cell>
          <cell r="CB125">
            <v>1.3540000000000001</v>
          </cell>
          <cell r="CC125">
            <v>5.18</v>
          </cell>
          <cell r="CD125">
            <v>75</v>
          </cell>
          <cell r="CE125">
            <v>38</v>
          </cell>
          <cell r="CF125">
            <v>23</v>
          </cell>
          <cell r="CG125">
            <v>52</v>
          </cell>
          <cell r="CH125">
            <v>15</v>
          </cell>
          <cell r="CI125">
            <v>14</v>
          </cell>
          <cell r="CJ125">
            <v>4.1791044776119404E-2</v>
          </cell>
          <cell r="CK125">
            <v>10</v>
          </cell>
          <cell r="CL125">
            <v>23</v>
          </cell>
          <cell r="CM125">
            <v>0.26793800229621123</v>
          </cell>
          <cell r="CN125">
            <v>0.26793800229621123</v>
          </cell>
          <cell r="CO125">
            <v>0</v>
          </cell>
          <cell r="CP125">
            <v>0</v>
          </cell>
          <cell r="CQ125">
            <v>5.4479380022962109</v>
          </cell>
          <cell r="CR125">
            <v>50</v>
          </cell>
          <cell r="CS125">
            <v>1.5</v>
          </cell>
          <cell r="CT125">
            <v>2.5</v>
          </cell>
          <cell r="CU125">
            <v>1</v>
          </cell>
          <cell r="CV125">
            <v>9</v>
          </cell>
          <cell r="CW125">
            <v>24</v>
          </cell>
          <cell r="CX125">
            <v>48</v>
          </cell>
          <cell r="CY125">
            <v>2.2999999999999998</v>
          </cell>
          <cell r="CZ125">
            <v>2</v>
          </cell>
          <cell r="DA125">
            <v>1</v>
          </cell>
          <cell r="DB125">
            <v>1000</v>
          </cell>
          <cell r="DC125">
            <v>470</v>
          </cell>
          <cell r="DD125">
            <v>260</v>
          </cell>
          <cell r="DE125">
            <v>75</v>
          </cell>
          <cell r="DF125">
            <v>115</v>
          </cell>
          <cell r="DG125">
            <v>20</v>
          </cell>
          <cell r="DH125">
            <v>10</v>
          </cell>
          <cell r="DI125">
            <v>50</v>
          </cell>
        </row>
        <row r="126">
          <cell r="A126" t="str">
            <v>RS 080</v>
          </cell>
          <cell r="B126">
            <v>80</v>
          </cell>
          <cell r="C126" t="str">
            <v>C</v>
          </cell>
          <cell r="D126" t="str">
            <v>T</v>
          </cell>
          <cell r="E126" t="str">
            <v>International Border - Mchinji</v>
          </cell>
          <cell r="F126" t="str">
            <v>M12</v>
          </cell>
          <cell r="G126">
            <v>1</v>
          </cell>
          <cell r="H126">
            <v>11.5</v>
          </cell>
          <cell r="I126" t="str">
            <v>F</v>
          </cell>
          <cell r="J126" t="str">
            <v>MCHINJI</v>
          </cell>
          <cell r="K126">
            <v>6</v>
          </cell>
          <cell r="L126">
            <v>0</v>
          </cell>
          <cell r="W126">
            <v>79</v>
          </cell>
          <cell r="X126" t="str">
            <v>DS</v>
          </cell>
          <cell r="Y126">
            <v>250</v>
          </cell>
          <cell r="Z126" t="str">
            <v>GR</v>
          </cell>
          <cell r="AA126">
            <v>100</v>
          </cell>
          <cell r="AB126" t="str">
            <v>GR</v>
          </cell>
          <cell r="AC126">
            <v>25</v>
          </cell>
          <cell r="AD126" t="str">
            <v>VR</v>
          </cell>
          <cell r="AE126">
            <v>91</v>
          </cell>
          <cell r="AF126" t="str">
            <v>SR</v>
          </cell>
          <cell r="AG126" t="str">
            <v>ST</v>
          </cell>
          <cell r="AH126">
            <v>10</v>
          </cell>
          <cell r="AI126">
            <v>0</v>
          </cell>
          <cell r="AJ126">
            <v>0</v>
          </cell>
          <cell r="AK126">
            <v>0</v>
          </cell>
          <cell r="AL126">
            <v>0</v>
          </cell>
          <cell r="AM126">
            <v>4</v>
          </cell>
          <cell r="AN126">
            <v>0</v>
          </cell>
          <cell r="BO126" t="str">
            <v>RS 080</v>
          </cell>
          <cell r="BP126">
            <v>11.5</v>
          </cell>
          <cell r="BQ126">
            <v>6</v>
          </cell>
          <cell r="BR126" t="str">
            <v>F</v>
          </cell>
          <cell r="BS126" t="str">
            <v>C</v>
          </cell>
          <cell r="BT126">
            <v>0</v>
          </cell>
          <cell r="BU126" t="str">
            <v>ST</v>
          </cell>
          <cell r="BV126" t="str">
            <v>DS</v>
          </cell>
          <cell r="BW126">
            <v>4</v>
          </cell>
          <cell r="BX126">
            <v>10</v>
          </cell>
          <cell r="BY126">
            <v>15</v>
          </cell>
          <cell r="BZ126">
            <v>1</v>
          </cell>
          <cell r="CA126">
            <v>25</v>
          </cell>
          <cell r="CB126">
            <v>1.254</v>
          </cell>
          <cell r="CC126">
            <v>3.2394887221034847</v>
          </cell>
          <cell r="CD126">
            <v>38</v>
          </cell>
          <cell r="CE126">
            <v>6</v>
          </cell>
          <cell r="CF126">
            <v>0</v>
          </cell>
          <cell r="CG126">
            <v>38</v>
          </cell>
          <cell r="CH126">
            <v>6</v>
          </cell>
          <cell r="CI126">
            <v>0.7</v>
          </cell>
          <cell r="CJ126">
            <v>2.3333333333333331E-3</v>
          </cell>
          <cell r="CK126">
            <v>2.3333333333333331E-3</v>
          </cell>
          <cell r="CL126">
            <v>0</v>
          </cell>
          <cell r="CM126">
            <v>9.0461538461538446E-4</v>
          </cell>
          <cell r="CN126">
            <v>9.0461538461538446E-4</v>
          </cell>
          <cell r="CO126">
            <v>0</v>
          </cell>
          <cell r="CP126">
            <v>0</v>
          </cell>
          <cell r="CQ126">
            <v>3.2403933374881002</v>
          </cell>
          <cell r="CR126">
            <v>0</v>
          </cell>
          <cell r="CS126">
            <v>1</v>
          </cell>
          <cell r="CT126">
            <v>0</v>
          </cell>
          <cell r="CU126">
            <v>0</v>
          </cell>
          <cell r="CV126">
            <v>7</v>
          </cell>
          <cell r="CW126">
            <v>19</v>
          </cell>
          <cell r="CX126">
            <v>38</v>
          </cell>
          <cell r="CY126">
            <v>2</v>
          </cell>
          <cell r="CZ126">
            <v>2</v>
          </cell>
          <cell r="DA126">
            <v>1.2</v>
          </cell>
          <cell r="DB126">
            <v>200</v>
          </cell>
          <cell r="DC126">
            <v>94</v>
          </cell>
          <cell r="DD126">
            <v>52</v>
          </cell>
          <cell r="DE126">
            <v>15</v>
          </cell>
          <cell r="DF126">
            <v>23</v>
          </cell>
          <cell r="DG126">
            <v>4</v>
          </cell>
          <cell r="DH126">
            <v>2</v>
          </cell>
          <cell r="DI126">
            <v>10</v>
          </cell>
        </row>
        <row r="127">
          <cell r="A127" t="str">
            <v>RS 079</v>
          </cell>
          <cell r="B127">
            <v>79</v>
          </cell>
          <cell r="C127" t="str">
            <v>C</v>
          </cell>
          <cell r="D127" t="str">
            <v>T</v>
          </cell>
          <cell r="E127" t="str">
            <v>Mchinji - Kamwendo</v>
          </cell>
          <cell r="F127" t="str">
            <v>M12</v>
          </cell>
          <cell r="G127">
            <v>2</v>
          </cell>
          <cell r="H127">
            <v>19.100000000000001</v>
          </cell>
          <cell r="I127" t="str">
            <v>F</v>
          </cell>
          <cell r="J127" t="str">
            <v>MCHINJI</v>
          </cell>
          <cell r="K127">
            <v>6</v>
          </cell>
          <cell r="L127">
            <v>0</v>
          </cell>
          <cell r="W127">
            <v>79</v>
          </cell>
          <cell r="X127" t="str">
            <v>DS</v>
          </cell>
          <cell r="Y127">
            <v>250</v>
          </cell>
          <cell r="Z127" t="str">
            <v>GR</v>
          </cell>
          <cell r="AA127">
            <v>100</v>
          </cell>
          <cell r="AB127" t="str">
            <v>GR</v>
          </cell>
          <cell r="AC127">
            <v>25</v>
          </cell>
          <cell r="AD127" t="str">
            <v>VR</v>
          </cell>
          <cell r="AE127">
            <v>91</v>
          </cell>
          <cell r="AF127" t="str">
            <v>SR</v>
          </cell>
          <cell r="AG127" t="str">
            <v>ST</v>
          </cell>
          <cell r="AH127">
            <v>10</v>
          </cell>
          <cell r="AI127">
            <v>0</v>
          </cell>
          <cell r="AJ127">
            <v>0</v>
          </cell>
          <cell r="AK127">
            <v>0</v>
          </cell>
          <cell r="AL127">
            <v>0</v>
          </cell>
          <cell r="AM127">
            <v>4</v>
          </cell>
          <cell r="AN127">
            <v>0</v>
          </cell>
          <cell r="BO127" t="str">
            <v>RS 079</v>
          </cell>
          <cell r="BP127">
            <v>19.100000000000001</v>
          </cell>
          <cell r="BQ127">
            <v>6</v>
          </cell>
          <cell r="BR127" t="str">
            <v>F</v>
          </cell>
          <cell r="BS127" t="str">
            <v>C</v>
          </cell>
          <cell r="BT127">
            <v>0</v>
          </cell>
          <cell r="BU127" t="str">
            <v>ST</v>
          </cell>
          <cell r="BV127" t="str">
            <v>DS</v>
          </cell>
          <cell r="BW127">
            <v>4</v>
          </cell>
          <cell r="BX127">
            <v>10</v>
          </cell>
          <cell r="BY127">
            <v>15</v>
          </cell>
          <cell r="BZ127">
            <v>1</v>
          </cell>
          <cell r="CA127">
            <v>25</v>
          </cell>
          <cell r="CB127">
            <v>1.254</v>
          </cell>
          <cell r="CC127">
            <v>3.272964250312977</v>
          </cell>
          <cell r="CD127">
            <v>12</v>
          </cell>
          <cell r="CE127">
            <v>1</v>
          </cell>
          <cell r="CF127">
            <v>0</v>
          </cell>
          <cell r="CG127">
            <v>12</v>
          </cell>
          <cell r="CH127">
            <v>1</v>
          </cell>
          <cell r="CI127">
            <v>0.4</v>
          </cell>
          <cell r="CJ127">
            <v>1.3333333333333337E-3</v>
          </cell>
          <cell r="CK127">
            <v>1.3333333333333337E-3</v>
          </cell>
          <cell r="CL127">
            <v>0</v>
          </cell>
          <cell r="CM127">
            <v>5.1692307692307704E-4</v>
          </cell>
          <cell r="CN127">
            <v>5.1692307692307704E-4</v>
          </cell>
          <cell r="CO127">
            <v>0</v>
          </cell>
          <cell r="CP127">
            <v>0</v>
          </cell>
          <cell r="CQ127">
            <v>3.2734811733899001</v>
          </cell>
          <cell r="CR127">
            <v>0</v>
          </cell>
          <cell r="CS127">
            <v>1</v>
          </cell>
          <cell r="CT127">
            <v>0</v>
          </cell>
          <cell r="CU127">
            <v>0</v>
          </cell>
          <cell r="CV127">
            <v>7</v>
          </cell>
          <cell r="CW127">
            <v>19</v>
          </cell>
          <cell r="CX127">
            <v>38</v>
          </cell>
          <cell r="CY127">
            <v>2</v>
          </cell>
          <cell r="CZ127">
            <v>1.7</v>
          </cell>
          <cell r="DA127">
            <v>1</v>
          </cell>
          <cell r="DB127">
            <v>390</v>
          </cell>
          <cell r="DC127">
            <v>184</v>
          </cell>
          <cell r="DD127">
            <v>102</v>
          </cell>
          <cell r="DE127">
            <v>30</v>
          </cell>
          <cell r="DF127">
            <v>45</v>
          </cell>
          <cell r="DG127">
            <v>8</v>
          </cell>
          <cell r="DH127">
            <v>4</v>
          </cell>
          <cell r="DI127">
            <v>20</v>
          </cell>
        </row>
        <row r="128">
          <cell r="A128" t="str">
            <v>RS 077</v>
          </cell>
          <cell r="B128">
            <v>77</v>
          </cell>
          <cell r="C128" t="str">
            <v>C</v>
          </cell>
          <cell r="D128" t="str">
            <v>T</v>
          </cell>
          <cell r="E128" t="str">
            <v>Kamwendo - Bua River</v>
          </cell>
          <cell r="F128" t="str">
            <v>M12</v>
          </cell>
          <cell r="G128">
            <v>3</v>
          </cell>
          <cell r="H128">
            <v>14.7</v>
          </cell>
          <cell r="I128" t="str">
            <v>F</v>
          </cell>
          <cell r="J128" t="str">
            <v>MCHINJI</v>
          </cell>
          <cell r="K128">
            <v>6</v>
          </cell>
          <cell r="L128">
            <v>0</v>
          </cell>
          <cell r="W128">
            <v>79</v>
          </cell>
          <cell r="X128" t="str">
            <v>DS</v>
          </cell>
          <cell r="Y128">
            <v>250</v>
          </cell>
          <cell r="Z128" t="str">
            <v>GR</v>
          </cell>
          <cell r="AA128">
            <v>100</v>
          </cell>
          <cell r="AB128" t="str">
            <v>GR</v>
          </cell>
          <cell r="AC128">
            <v>25</v>
          </cell>
          <cell r="AD128" t="str">
            <v>VR</v>
          </cell>
          <cell r="AE128">
            <v>91</v>
          </cell>
          <cell r="AF128" t="str">
            <v>SR</v>
          </cell>
          <cell r="AG128" t="str">
            <v>ST</v>
          </cell>
          <cell r="AH128">
            <v>10</v>
          </cell>
          <cell r="AI128">
            <v>0</v>
          </cell>
          <cell r="AJ128">
            <v>0</v>
          </cell>
          <cell r="AK128">
            <v>0</v>
          </cell>
          <cell r="AL128">
            <v>0</v>
          </cell>
          <cell r="AM128">
            <v>4</v>
          </cell>
          <cell r="AN128">
            <v>0</v>
          </cell>
          <cell r="BO128" t="str">
            <v>RS 077</v>
          </cell>
          <cell r="BP128">
            <v>14.7</v>
          </cell>
          <cell r="BQ128">
            <v>6</v>
          </cell>
          <cell r="BR128" t="str">
            <v>F</v>
          </cell>
          <cell r="BS128" t="str">
            <v>C</v>
          </cell>
          <cell r="BT128">
            <v>0</v>
          </cell>
          <cell r="BU128" t="str">
            <v>ST</v>
          </cell>
          <cell r="BV128" t="str">
            <v>DS</v>
          </cell>
          <cell r="BW128">
            <v>4</v>
          </cell>
          <cell r="BX128">
            <v>10</v>
          </cell>
          <cell r="BY128">
            <v>15</v>
          </cell>
          <cell r="BZ128">
            <v>1</v>
          </cell>
          <cell r="CA128">
            <v>25</v>
          </cell>
          <cell r="CB128">
            <v>1.254</v>
          </cell>
          <cell r="CC128">
            <v>3.3033989240279333</v>
          </cell>
          <cell r="CD128">
            <v>15</v>
          </cell>
          <cell r="CE128">
            <v>0</v>
          </cell>
          <cell r="CF128">
            <v>0</v>
          </cell>
          <cell r="CG128">
            <v>15</v>
          </cell>
          <cell r="CH128">
            <v>0</v>
          </cell>
          <cell r="CI128">
            <v>0.3</v>
          </cell>
          <cell r="CJ128">
            <v>1E-3</v>
          </cell>
          <cell r="CK128">
            <v>1E-3</v>
          </cell>
          <cell r="CL128">
            <v>0</v>
          </cell>
          <cell r="CM128">
            <v>3.876923076923077E-4</v>
          </cell>
          <cell r="CN128">
            <v>3.876923076923077E-4</v>
          </cell>
          <cell r="CO128">
            <v>0</v>
          </cell>
          <cell r="CP128">
            <v>0</v>
          </cell>
          <cell r="CQ128">
            <v>3.3037866163356258</v>
          </cell>
          <cell r="CR128">
            <v>0</v>
          </cell>
          <cell r="CS128">
            <v>1</v>
          </cell>
          <cell r="CT128">
            <v>0</v>
          </cell>
          <cell r="CU128">
            <v>0</v>
          </cell>
          <cell r="CV128">
            <v>7</v>
          </cell>
          <cell r="CW128">
            <v>19</v>
          </cell>
          <cell r="CX128">
            <v>38</v>
          </cell>
          <cell r="CY128">
            <v>2</v>
          </cell>
          <cell r="CZ128">
            <v>1.5</v>
          </cell>
          <cell r="DA128">
            <v>1</v>
          </cell>
          <cell r="DB128">
            <v>390</v>
          </cell>
          <cell r="DC128">
            <v>184</v>
          </cell>
          <cell r="DD128">
            <v>102</v>
          </cell>
          <cell r="DE128">
            <v>30</v>
          </cell>
          <cell r="DF128">
            <v>45</v>
          </cell>
          <cell r="DG128">
            <v>8</v>
          </cell>
          <cell r="DH128">
            <v>4</v>
          </cell>
          <cell r="DI128">
            <v>20</v>
          </cell>
        </row>
        <row r="129">
          <cell r="A129" t="str">
            <v>RS 076</v>
          </cell>
          <cell r="B129">
            <v>76</v>
          </cell>
          <cell r="C129" t="str">
            <v>C</v>
          </cell>
          <cell r="D129" t="str">
            <v>T</v>
          </cell>
          <cell r="E129" t="str">
            <v>Bua River - Namitete River Bridge</v>
          </cell>
          <cell r="F129" t="str">
            <v>M12</v>
          </cell>
          <cell r="G129">
            <v>4</v>
          </cell>
          <cell r="H129">
            <v>27.9</v>
          </cell>
          <cell r="I129" t="str">
            <v>F</v>
          </cell>
          <cell r="J129" t="str">
            <v>MCHINJI</v>
          </cell>
          <cell r="K129">
            <v>6</v>
          </cell>
          <cell r="L129">
            <v>0</v>
          </cell>
          <cell r="W129">
            <v>79</v>
          </cell>
          <cell r="X129" t="str">
            <v>DS</v>
          </cell>
          <cell r="Y129">
            <v>250</v>
          </cell>
          <cell r="Z129" t="str">
            <v>GR</v>
          </cell>
          <cell r="AA129">
            <v>100</v>
          </cell>
          <cell r="AB129" t="str">
            <v>GR</v>
          </cell>
          <cell r="AC129">
            <v>25</v>
          </cell>
          <cell r="AD129" t="str">
            <v>VR</v>
          </cell>
          <cell r="AE129">
            <v>91</v>
          </cell>
          <cell r="AF129" t="str">
            <v>SR</v>
          </cell>
          <cell r="AG129" t="str">
            <v>ST</v>
          </cell>
          <cell r="AH129">
            <v>10</v>
          </cell>
          <cell r="AI129">
            <v>0</v>
          </cell>
          <cell r="AJ129">
            <v>0</v>
          </cell>
          <cell r="AK129">
            <v>0</v>
          </cell>
          <cell r="AL129">
            <v>0</v>
          </cell>
          <cell r="AM129">
            <v>4</v>
          </cell>
          <cell r="AN129">
            <v>0</v>
          </cell>
          <cell r="BO129" t="str">
            <v>RS 076</v>
          </cell>
          <cell r="BP129">
            <v>27.9</v>
          </cell>
          <cell r="BQ129">
            <v>6</v>
          </cell>
          <cell r="BR129" t="str">
            <v>F</v>
          </cell>
          <cell r="BS129" t="str">
            <v>C</v>
          </cell>
          <cell r="BT129">
            <v>0</v>
          </cell>
          <cell r="BU129" t="str">
            <v>ST</v>
          </cell>
          <cell r="BV129" t="str">
            <v>DS</v>
          </cell>
          <cell r="BW129">
            <v>4</v>
          </cell>
          <cell r="BX129">
            <v>10</v>
          </cell>
          <cell r="BY129">
            <v>15</v>
          </cell>
          <cell r="BZ129">
            <v>1</v>
          </cell>
          <cell r="CA129">
            <v>25</v>
          </cell>
          <cell r="CB129">
            <v>1.254</v>
          </cell>
          <cell r="CC129">
            <v>2.9693093575046658</v>
          </cell>
          <cell r="CD129">
            <v>14</v>
          </cell>
          <cell r="CE129">
            <v>2.8</v>
          </cell>
          <cell r="CF129">
            <v>0</v>
          </cell>
          <cell r="CG129">
            <v>14</v>
          </cell>
          <cell r="CH129">
            <v>2.8</v>
          </cell>
          <cell r="CI129">
            <v>1.2</v>
          </cell>
          <cell r="CJ129">
            <v>4.0000000000000001E-3</v>
          </cell>
          <cell r="CK129">
            <v>4.0000000000000001E-3</v>
          </cell>
          <cell r="CL129">
            <v>0</v>
          </cell>
          <cell r="CM129">
            <v>1.5507692307692308E-3</v>
          </cell>
          <cell r="CN129">
            <v>1.5507692307692308E-3</v>
          </cell>
          <cell r="CO129">
            <v>0</v>
          </cell>
          <cell r="CP129">
            <v>0</v>
          </cell>
          <cell r="CQ129">
            <v>2.9708601267354351</v>
          </cell>
          <cell r="CR129">
            <v>0</v>
          </cell>
          <cell r="CS129">
            <v>1.2</v>
          </cell>
          <cell r="CT129">
            <v>0.99999999999999978</v>
          </cell>
          <cell r="CU129">
            <v>0.39999999999999991</v>
          </cell>
          <cell r="CV129">
            <v>7</v>
          </cell>
          <cell r="CW129">
            <v>19</v>
          </cell>
          <cell r="CX129">
            <v>38</v>
          </cell>
          <cell r="CY129">
            <v>2</v>
          </cell>
          <cell r="CZ129">
            <v>1.5</v>
          </cell>
          <cell r="DA129">
            <v>1</v>
          </cell>
          <cell r="DB129">
            <v>390</v>
          </cell>
          <cell r="DC129">
            <v>184</v>
          </cell>
          <cell r="DD129">
            <v>102</v>
          </cell>
          <cell r="DE129">
            <v>30</v>
          </cell>
          <cell r="DF129">
            <v>45</v>
          </cell>
          <cell r="DG129">
            <v>8</v>
          </cell>
          <cell r="DH129">
            <v>4</v>
          </cell>
          <cell r="DI129">
            <v>20</v>
          </cell>
        </row>
        <row r="130">
          <cell r="A130" t="str">
            <v>RS 075</v>
          </cell>
          <cell r="B130">
            <v>75</v>
          </cell>
          <cell r="C130" t="str">
            <v>C</v>
          </cell>
          <cell r="D130" t="str">
            <v>T</v>
          </cell>
          <cell r="E130" t="str">
            <v>Namitete River Bridge - Chileka</v>
          </cell>
          <cell r="F130" t="str">
            <v>M12</v>
          </cell>
          <cell r="G130">
            <v>5</v>
          </cell>
          <cell r="H130">
            <v>4.0999999999999996</v>
          </cell>
          <cell r="I130" t="str">
            <v>R</v>
          </cell>
          <cell r="J130" t="str">
            <v>LILONGWE</v>
          </cell>
          <cell r="K130">
            <v>6</v>
          </cell>
          <cell r="L130">
            <v>0</v>
          </cell>
          <cell r="W130">
            <v>79</v>
          </cell>
          <cell r="X130" t="str">
            <v>DS</v>
          </cell>
          <cell r="Y130">
            <v>250</v>
          </cell>
          <cell r="Z130" t="str">
            <v>GR</v>
          </cell>
          <cell r="AA130">
            <v>100</v>
          </cell>
          <cell r="AB130" t="str">
            <v>GR</v>
          </cell>
          <cell r="AC130">
            <v>25</v>
          </cell>
          <cell r="AD130" t="str">
            <v>VR</v>
          </cell>
          <cell r="AE130">
            <v>91</v>
          </cell>
          <cell r="AF130" t="str">
            <v>SR</v>
          </cell>
          <cell r="AG130" t="str">
            <v>ST</v>
          </cell>
          <cell r="AH130">
            <v>10</v>
          </cell>
          <cell r="AI130">
            <v>0</v>
          </cell>
          <cell r="AJ130">
            <v>0</v>
          </cell>
          <cell r="AK130">
            <v>0</v>
          </cell>
          <cell r="AL130">
            <v>0</v>
          </cell>
          <cell r="AM130">
            <v>4</v>
          </cell>
          <cell r="AN130">
            <v>0</v>
          </cell>
          <cell r="BO130" t="str">
            <v>RS 075</v>
          </cell>
          <cell r="BP130">
            <v>4.0999999999999996</v>
          </cell>
          <cell r="BQ130">
            <v>6</v>
          </cell>
          <cell r="BR130" t="str">
            <v>R</v>
          </cell>
          <cell r="BS130" t="str">
            <v>C</v>
          </cell>
          <cell r="BT130">
            <v>0</v>
          </cell>
          <cell r="BU130" t="str">
            <v>ST</v>
          </cell>
          <cell r="BV130" t="str">
            <v>DS</v>
          </cell>
          <cell r="BW130">
            <v>4</v>
          </cell>
          <cell r="BX130">
            <v>10</v>
          </cell>
          <cell r="BY130">
            <v>15</v>
          </cell>
          <cell r="BZ130">
            <v>1</v>
          </cell>
          <cell r="CA130">
            <v>25</v>
          </cell>
          <cell r="CB130">
            <v>1.254</v>
          </cell>
          <cell r="CC130">
            <v>4.0210929844349206</v>
          </cell>
          <cell r="CD130">
            <v>60</v>
          </cell>
          <cell r="CE130">
            <v>30</v>
          </cell>
          <cell r="CF130">
            <v>15</v>
          </cell>
          <cell r="CG130">
            <v>45</v>
          </cell>
          <cell r="CH130">
            <v>15</v>
          </cell>
          <cell r="CI130">
            <v>0</v>
          </cell>
          <cell r="CJ130">
            <v>0</v>
          </cell>
          <cell r="CK130">
            <v>10</v>
          </cell>
          <cell r="CL130">
            <v>15</v>
          </cell>
          <cell r="CM130">
            <v>0.19923076923076921</v>
          </cell>
          <cell r="CN130">
            <v>0.19923076923076921</v>
          </cell>
          <cell r="CO130">
            <v>0</v>
          </cell>
          <cell r="CP130">
            <v>0</v>
          </cell>
          <cell r="CQ130">
            <v>4.2203237536656895</v>
          </cell>
          <cell r="CR130">
            <v>0</v>
          </cell>
          <cell r="CS130">
            <v>2</v>
          </cell>
          <cell r="CT130">
            <v>5</v>
          </cell>
          <cell r="CU130">
            <v>2</v>
          </cell>
          <cell r="CV130">
            <v>7</v>
          </cell>
          <cell r="CW130">
            <v>19</v>
          </cell>
          <cell r="CX130">
            <v>38</v>
          </cell>
          <cell r="CY130">
            <v>2</v>
          </cell>
          <cell r="CZ130">
            <v>3</v>
          </cell>
          <cell r="DA130">
            <v>1.3</v>
          </cell>
          <cell r="DB130">
            <v>390</v>
          </cell>
          <cell r="DC130">
            <v>184</v>
          </cell>
          <cell r="DD130">
            <v>102</v>
          </cell>
          <cell r="DE130">
            <v>30</v>
          </cell>
          <cell r="DF130">
            <v>45</v>
          </cell>
          <cell r="DG130">
            <v>8</v>
          </cell>
          <cell r="DH130">
            <v>4</v>
          </cell>
          <cell r="DI130">
            <v>20</v>
          </cell>
        </row>
        <row r="131">
          <cell r="A131" t="str">
            <v>RS 836</v>
          </cell>
          <cell r="B131" t="str">
            <v>n.a.</v>
          </cell>
          <cell r="C131" t="str">
            <v>C</v>
          </cell>
          <cell r="D131" t="str">
            <v>T</v>
          </cell>
          <cell r="E131" t="str">
            <v>Chileka - Chankhandwe</v>
          </cell>
          <cell r="F131" t="str">
            <v>M12</v>
          </cell>
          <cell r="G131">
            <v>6</v>
          </cell>
          <cell r="H131">
            <v>31.4</v>
          </cell>
          <cell r="I131" t="str">
            <v>R</v>
          </cell>
          <cell r="J131" t="str">
            <v>LILONGWE</v>
          </cell>
          <cell r="K131">
            <v>6</v>
          </cell>
          <cell r="L131" t="str">
            <v xml:space="preserve">New section part of RS 78 </v>
          </cell>
          <cell r="W131">
            <v>79</v>
          </cell>
          <cell r="X131" t="str">
            <v>DS</v>
          </cell>
          <cell r="Y131">
            <v>250</v>
          </cell>
          <cell r="Z131" t="str">
            <v>GR</v>
          </cell>
          <cell r="AA131">
            <v>100</v>
          </cell>
          <cell r="AB131" t="str">
            <v>GR</v>
          </cell>
          <cell r="AC131">
            <v>25</v>
          </cell>
          <cell r="AD131" t="str">
            <v>VR</v>
          </cell>
          <cell r="AE131">
            <v>91</v>
          </cell>
          <cell r="AF131" t="str">
            <v>SR</v>
          </cell>
          <cell r="AG131" t="str">
            <v>ST</v>
          </cell>
          <cell r="AH131">
            <v>10</v>
          </cell>
          <cell r="AI131">
            <v>0</v>
          </cell>
          <cell r="AJ131">
            <v>0</v>
          </cell>
          <cell r="AK131">
            <v>0</v>
          </cell>
          <cell r="AL131">
            <v>0</v>
          </cell>
          <cell r="AM131">
            <v>4</v>
          </cell>
          <cell r="AN131">
            <v>0</v>
          </cell>
          <cell r="BO131" t="str">
            <v>RS 836</v>
          </cell>
          <cell r="BP131">
            <v>31.4</v>
          </cell>
          <cell r="BQ131">
            <v>6</v>
          </cell>
          <cell r="BR131" t="str">
            <v>R</v>
          </cell>
          <cell r="BS131" t="str">
            <v>C</v>
          </cell>
          <cell r="BT131">
            <v>0</v>
          </cell>
          <cell r="BU131" t="str">
            <v>ST</v>
          </cell>
          <cell r="BV131" t="str">
            <v>DS</v>
          </cell>
          <cell r="BW131">
            <v>4</v>
          </cell>
          <cell r="BX131">
            <v>10</v>
          </cell>
          <cell r="BY131">
            <v>15</v>
          </cell>
          <cell r="BZ131">
            <v>1</v>
          </cell>
          <cell r="CA131">
            <v>25</v>
          </cell>
          <cell r="CB131">
            <v>1.254</v>
          </cell>
          <cell r="CC131">
            <v>2.98</v>
          </cell>
          <cell r="CD131">
            <v>28</v>
          </cell>
          <cell r="CE131">
            <v>11</v>
          </cell>
          <cell r="CF131">
            <v>0</v>
          </cell>
          <cell r="CG131">
            <v>28</v>
          </cell>
          <cell r="CH131">
            <v>11</v>
          </cell>
          <cell r="CI131">
            <v>0.3</v>
          </cell>
          <cell r="CJ131">
            <v>1E-3</v>
          </cell>
          <cell r="CK131">
            <v>1E-3</v>
          </cell>
          <cell r="CL131">
            <v>0</v>
          </cell>
          <cell r="CM131">
            <v>3.876923076923077E-4</v>
          </cell>
          <cell r="CN131">
            <v>3.876923076923077E-4</v>
          </cell>
          <cell r="CO131">
            <v>0</v>
          </cell>
          <cell r="CP131">
            <v>0</v>
          </cell>
          <cell r="CQ131">
            <v>2.9803876923076924</v>
          </cell>
          <cell r="CR131">
            <v>0</v>
          </cell>
          <cell r="CS131">
            <v>1</v>
          </cell>
          <cell r="CT131">
            <v>0</v>
          </cell>
          <cell r="CU131">
            <v>0</v>
          </cell>
          <cell r="CV131">
            <v>7</v>
          </cell>
          <cell r="CW131">
            <v>19</v>
          </cell>
          <cell r="CX131">
            <v>38</v>
          </cell>
          <cell r="CY131">
            <v>2.5</v>
          </cell>
          <cell r="CZ131">
            <v>1.5</v>
          </cell>
          <cell r="DA131">
            <v>1</v>
          </cell>
          <cell r="DB131">
            <v>500</v>
          </cell>
          <cell r="DC131">
            <v>235</v>
          </cell>
          <cell r="DD131">
            <v>130</v>
          </cell>
          <cell r="DE131">
            <v>38</v>
          </cell>
          <cell r="DF131">
            <v>58</v>
          </cell>
          <cell r="DG131">
            <v>10</v>
          </cell>
          <cell r="DH131">
            <v>5</v>
          </cell>
          <cell r="DI131">
            <v>25</v>
          </cell>
        </row>
        <row r="132">
          <cell r="A132" t="str">
            <v>RS 074</v>
          </cell>
          <cell r="B132">
            <v>74</v>
          </cell>
          <cell r="C132" t="str">
            <v>C</v>
          </cell>
          <cell r="D132" t="str">
            <v>T</v>
          </cell>
          <cell r="E132" t="str">
            <v>Chankhandwe - Njewa</v>
          </cell>
          <cell r="F132" t="str">
            <v>M12</v>
          </cell>
          <cell r="G132">
            <v>7</v>
          </cell>
          <cell r="H132">
            <v>11.3</v>
          </cell>
          <cell r="I132" t="str">
            <v>R</v>
          </cell>
          <cell r="J132" t="str">
            <v>LILONGWE</v>
          </cell>
          <cell r="K132">
            <v>6</v>
          </cell>
          <cell r="L132">
            <v>0</v>
          </cell>
          <cell r="W132">
            <v>79</v>
          </cell>
          <cell r="X132" t="str">
            <v>DS</v>
          </cell>
          <cell r="Y132">
            <v>250</v>
          </cell>
          <cell r="Z132" t="str">
            <v>GR</v>
          </cell>
          <cell r="AA132">
            <v>100</v>
          </cell>
          <cell r="AB132" t="str">
            <v>GR</v>
          </cell>
          <cell r="AC132">
            <v>25</v>
          </cell>
          <cell r="AD132" t="str">
            <v>VR</v>
          </cell>
          <cell r="AE132">
            <v>91</v>
          </cell>
          <cell r="AF132" t="str">
            <v>SR</v>
          </cell>
          <cell r="AG132" t="str">
            <v>ST</v>
          </cell>
          <cell r="AH132">
            <v>10</v>
          </cell>
          <cell r="AI132">
            <v>0</v>
          </cell>
          <cell r="AJ132">
            <v>0</v>
          </cell>
          <cell r="AK132">
            <v>0</v>
          </cell>
          <cell r="AL132">
            <v>0</v>
          </cell>
          <cell r="AM132">
            <v>4</v>
          </cell>
          <cell r="AN132">
            <v>0</v>
          </cell>
          <cell r="BO132" t="str">
            <v>RS 074</v>
          </cell>
          <cell r="BP132">
            <v>11.3</v>
          </cell>
          <cell r="BQ132">
            <v>6</v>
          </cell>
          <cell r="BR132" t="str">
            <v>R</v>
          </cell>
          <cell r="BS132" t="str">
            <v>C</v>
          </cell>
          <cell r="BT132">
            <v>0</v>
          </cell>
          <cell r="BU132" t="str">
            <v>ST</v>
          </cell>
          <cell r="BV132" t="str">
            <v>DS</v>
          </cell>
          <cell r="BW132">
            <v>4</v>
          </cell>
          <cell r="BX132">
            <v>10</v>
          </cell>
          <cell r="BY132">
            <v>15</v>
          </cell>
          <cell r="BZ132">
            <v>1</v>
          </cell>
          <cell r="CA132">
            <v>25</v>
          </cell>
          <cell r="CB132">
            <v>1.254</v>
          </cell>
          <cell r="CC132">
            <v>2.5701163989307867</v>
          </cell>
          <cell r="CD132">
            <v>0</v>
          </cell>
          <cell r="CE132">
            <v>0</v>
          </cell>
          <cell r="CF132">
            <v>0</v>
          </cell>
          <cell r="CG132">
            <v>0</v>
          </cell>
          <cell r="CH132">
            <v>0</v>
          </cell>
          <cell r="CI132">
            <v>0</v>
          </cell>
          <cell r="CJ132">
            <v>0</v>
          </cell>
          <cell r="CK132">
            <v>0</v>
          </cell>
          <cell r="CL132">
            <v>0</v>
          </cell>
          <cell r="CM132">
            <v>0</v>
          </cell>
          <cell r="CN132">
            <v>0</v>
          </cell>
          <cell r="CO132">
            <v>0</v>
          </cell>
          <cell r="CP132">
            <v>0</v>
          </cell>
          <cell r="CQ132">
            <v>2.5701163989307867</v>
          </cell>
          <cell r="CR132">
            <v>0</v>
          </cell>
          <cell r="CS132">
            <v>1</v>
          </cell>
          <cell r="CT132">
            <v>0</v>
          </cell>
          <cell r="CU132">
            <v>0</v>
          </cell>
          <cell r="CV132">
            <v>7</v>
          </cell>
          <cell r="CW132">
            <v>19</v>
          </cell>
          <cell r="CX132">
            <v>38</v>
          </cell>
          <cell r="CY132">
            <v>1.5</v>
          </cell>
          <cell r="CZ132">
            <v>1</v>
          </cell>
          <cell r="DA132">
            <v>1</v>
          </cell>
          <cell r="DB132">
            <v>700</v>
          </cell>
          <cell r="DC132">
            <v>329</v>
          </cell>
          <cell r="DD132">
            <v>182</v>
          </cell>
          <cell r="DE132">
            <v>53</v>
          </cell>
          <cell r="DF132">
            <v>81</v>
          </cell>
          <cell r="DG132">
            <v>14</v>
          </cell>
          <cell r="DH132">
            <v>7</v>
          </cell>
          <cell r="DI132">
            <v>35</v>
          </cell>
        </row>
        <row r="133">
          <cell r="A133" t="str">
            <v>RS 082</v>
          </cell>
          <cell r="B133">
            <v>82</v>
          </cell>
          <cell r="C133" t="str">
            <v>C</v>
          </cell>
          <cell r="D133" t="str">
            <v>T</v>
          </cell>
          <cell r="E133" t="str">
            <v xml:space="preserve">Alimaunde (junction M1) - Lumbadzi River </v>
          </cell>
          <cell r="F133" t="str">
            <v>M14</v>
          </cell>
          <cell r="G133">
            <v>1</v>
          </cell>
          <cell r="H133">
            <v>25</v>
          </cell>
          <cell r="I133" t="str">
            <v>F</v>
          </cell>
          <cell r="J133" t="str">
            <v>LILONGWE</v>
          </cell>
          <cell r="K133">
            <v>6</v>
          </cell>
          <cell r="L133">
            <v>0</v>
          </cell>
          <cell r="W133">
            <v>92</v>
          </cell>
          <cell r="X133" t="str">
            <v>DS</v>
          </cell>
          <cell r="Y133">
            <v>150</v>
          </cell>
          <cell r="Z133" t="str">
            <v>SB</v>
          </cell>
          <cell r="AA133">
            <v>150</v>
          </cell>
          <cell r="AB133" t="str">
            <v>SB</v>
          </cell>
          <cell r="AC133">
            <v>7</v>
          </cell>
          <cell r="AD133" t="str">
            <v>VR</v>
          </cell>
          <cell r="AE133">
            <v>0</v>
          </cell>
          <cell r="AF133">
            <v>0</v>
          </cell>
          <cell r="AG133">
            <v>0</v>
          </cell>
          <cell r="AH133">
            <v>0</v>
          </cell>
          <cell r="AI133">
            <v>0</v>
          </cell>
          <cell r="AJ133">
            <v>0</v>
          </cell>
          <cell r="AK133">
            <v>0</v>
          </cell>
          <cell r="AL133">
            <v>0</v>
          </cell>
          <cell r="AM133">
            <v>1</v>
          </cell>
          <cell r="AN133" t="str">
            <v>never resealed</v>
          </cell>
          <cell r="BO133" t="str">
            <v>RS 082</v>
          </cell>
          <cell r="BP133">
            <v>25</v>
          </cell>
          <cell r="BQ133">
            <v>6.7</v>
          </cell>
          <cell r="BR133" t="str">
            <v>F</v>
          </cell>
          <cell r="BS133" t="str">
            <v>C</v>
          </cell>
          <cell r="BT133">
            <v>0</v>
          </cell>
          <cell r="BU133" t="str">
            <v>DS</v>
          </cell>
          <cell r="BV133" t="str">
            <v/>
          </cell>
          <cell r="BW133">
            <v>1</v>
          </cell>
          <cell r="BX133">
            <v>15</v>
          </cell>
          <cell r="BY133" t="str">
            <v xml:space="preserve"> </v>
          </cell>
          <cell r="BZ133">
            <v>1</v>
          </cell>
          <cell r="CA133">
            <v>7</v>
          </cell>
          <cell r="CB133">
            <v>1.677</v>
          </cell>
          <cell r="CC133">
            <v>3.56</v>
          </cell>
          <cell r="CD133">
            <v>6</v>
          </cell>
          <cell r="CE133">
            <v>0.05</v>
          </cell>
          <cell r="CF133">
            <v>0</v>
          </cell>
          <cell r="CG133">
            <v>6</v>
          </cell>
          <cell r="CH133">
            <v>0.05</v>
          </cell>
          <cell r="CI133">
            <v>0.5</v>
          </cell>
          <cell r="CJ133">
            <v>1.4925373134328358E-3</v>
          </cell>
          <cell r="CK133">
            <v>1.4925373134328358E-3</v>
          </cell>
          <cell r="CL133">
            <v>0</v>
          </cell>
          <cell r="CM133">
            <v>5.7864523536165326E-4</v>
          </cell>
          <cell r="CN133">
            <v>5.7864523536165326E-4</v>
          </cell>
          <cell r="CO133">
            <v>0</v>
          </cell>
          <cell r="CP133">
            <v>0</v>
          </cell>
          <cell r="CQ133">
            <v>3.5605786452353616</v>
          </cell>
          <cell r="CR133">
            <v>0</v>
          </cell>
          <cell r="CS133">
            <v>1</v>
          </cell>
          <cell r="CT133">
            <v>0</v>
          </cell>
          <cell r="CU133">
            <v>0</v>
          </cell>
          <cell r="CV133">
            <v>6</v>
          </cell>
          <cell r="CW133">
            <v>6</v>
          </cell>
          <cell r="CX133" t="str">
            <v xml:space="preserve"> </v>
          </cell>
          <cell r="CY133">
            <v>1.8</v>
          </cell>
          <cell r="CZ133">
            <v>1.2</v>
          </cell>
          <cell r="DA133">
            <v>1.2</v>
          </cell>
          <cell r="DB133">
            <v>500</v>
          </cell>
          <cell r="DC133">
            <v>235</v>
          </cell>
          <cell r="DD133">
            <v>130</v>
          </cell>
          <cell r="DE133">
            <v>38</v>
          </cell>
          <cell r="DF133">
            <v>58</v>
          </cell>
          <cell r="DG133">
            <v>10</v>
          </cell>
          <cell r="DH133">
            <v>5</v>
          </cell>
          <cell r="DI133">
            <v>25</v>
          </cell>
        </row>
        <row r="134">
          <cell r="A134" t="str">
            <v>RS 081</v>
          </cell>
          <cell r="B134">
            <v>81</v>
          </cell>
          <cell r="C134" t="str">
            <v>C</v>
          </cell>
          <cell r="D134" t="str">
            <v>T</v>
          </cell>
          <cell r="E134" t="str">
            <v>Lumbadzi River Bridge - Chezi</v>
          </cell>
          <cell r="F134" t="str">
            <v>M14</v>
          </cell>
          <cell r="G134">
            <v>2</v>
          </cell>
          <cell r="H134">
            <v>10.9</v>
          </cell>
          <cell r="I134" t="str">
            <v>F</v>
          </cell>
          <cell r="J134" t="str">
            <v>LILONGWE</v>
          </cell>
          <cell r="K134">
            <v>6</v>
          </cell>
          <cell r="L134">
            <v>0</v>
          </cell>
          <cell r="W134">
            <v>92</v>
          </cell>
          <cell r="X134" t="str">
            <v>DS</v>
          </cell>
          <cell r="Y134">
            <v>150</v>
          </cell>
          <cell r="Z134" t="str">
            <v>SB</v>
          </cell>
          <cell r="AA134">
            <v>150</v>
          </cell>
          <cell r="AB134" t="str">
            <v>SB</v>
          </cell>
          <cell r="AC134">
            <v>7</v>
          </cell>
          <cell r="AD134" t="str">
            <v>VR</v>
          </cell>
          <cell r="AE134">
            <v>0</v>
          </cell>
          <cell r="AF134">
            <v>0</v>
          </cell>
          <cell r="AG134">
            <v>0</v>
          </cell>
          <cell r="AH134">
            <v>0</v>
          </cell>
          <cell r="AI134">
            <v>0</v>
          </cell>
          <cell r="AJ134">
            <v>0</v>
          </cell>
          <cell r="AK134">
            <v>0</v>
          </cell>
          <cell r="AL134">
            <v>0</v>
          </cell>
          <cell r="AM134">
            <v>1</v>
          </cell>
          <cell r="AN134" t="str">
            <v>never resealed</v>
          </cell>
          <cell r="BO134" t="str">
            <v>RS 081</v>
          </cell>
          <cell r="BP134">
            <v>10.9</v>
          </cell>
          <cell r="BQ134">
            <v>6.7</v>
          </cell>
          <cell r="BR134" t="str">
            <v>F</v>
          </cell>
          <cell r="BS134" t="str">
            <v>C</v>
          </cell>
          <cell r="BT134">
            <v>0</v>
          </cell>
          <cell r="BU134" t="str">
            <v>DS</v>
          </cell>
          <cell r="BV134" t="str">
            <v/>
          </cell>
          <cell r="BW134">
            <v>1</v>
          </cell>
          <cell r="BX134">
            <v>15</v>
          </cell>
          <cell r="BY134" t="str">
            <v xml:space="preserve"> </v>
          </cell>
          <cell r="BZ134">
            <v>1</v>
          </cell>
          <cell r="CA134">
            <v>7</v>
          </cell>
          <cell r="CB134">
            <v>1.677</v>
          </cell>
          <cell r="CC134">
            <v>4.25</v>
          </cell>
          <cell r="CD134">
            <v>0</v>
          </cell>
          <cell r="CE134">
            <v>0</v>
          </cell>
          <cell r="CF134">
            <v>0</v>
          </cell>
          <cell r="CG134">
            <v>0</v>
          </cell>
          <cell r="CH134">
            <v>0</v>
          </cell>
          <cell r="CI134">
            <v>0</v>
          </cell>
          <cell r="CJ134">
            <v>0</v>
          </cell>
          <cell r="CK134">
            <v>0</v>
          </cell>
          <cell r="CL134">
            <v>0</v>
          </cell>
          <cell r="CM134">
            <v>0</v>
          </cell>
          <cell r="CN134">
            <v>0</v>
          </cell>
          <cell r="CO134">
            <v>0</v>
          </cell>
          <cell r="CP134">
            <v>0</v>
          </cell>
          <cell r="CQ134">
            <v>4.25</v>
          </cell>
          <cell r="CR134">
            <v>0</v>
          </cell>
          <cell r="CS134">
            <v>1</v>
          </cell>
          <cell r="CT134">
            <v>0</v>
          </cell>
          <cell r="CU134">
            <v>0</v>
          </cell>
          <cell r="CV134">
            <v>6</v>
          </cell>
          <cell r="CW134">
            <v>6</v>
          </cell>
          <cell r="CX134" t="str">
            <v xml:space="preserve"> </v>
          </cell>
          <cell r="CY134">
            <v>1.2</v>
          </cell>
          <cell r="CZ134">
            <v>1.1000000000000001</v>
          </cell>
          <cell r="DA134">
            <v>1.2</v>
          </cell>
          <cell r="DB134">
            <v>400</v>
          </cell>
          <cell r="DC134">
            <v>188</v>
          </cell>
          <cell r="DD134">
            <v>104</v>
          </cell>
          <cell r="DE134">
            <v>30</v>
          </cell>
          <cell r="DF134">
            <v>46</v>
          </cell>
          <cell r="DG134">
            <v>8</v>
          </cell>
          <cell r="DH134">
            <v>4</v>
          </cell>
          <cell r="DI134">
            <v>20</v>
          </cell>
        </row>
        <row r="135">
          <cell r="A135" t="str">
            <v>RS 084</v>
          </cell>
          <cell r="B135">
            <v>84</v>
          </cell>
          <cell r="C135" t="str">
            <v>C</v>
          </cell>
          <cell r="D135" t="str">
            <v>T</v>
          </cell>
          <cell r="E135" t="str">
            <v>Chezi - Kachinchezo</v>
          </cell>
          <cell r="F135" t="str">
            <v>M14</v>
          </cell>
          <cell r="G135">
            <v>3</v>
          </cell>
          <cell r="H135">
            <v>9.6</v>
          </cell>
          <cell r="I135" t="str">
            <v>R</v>
          </cell>
          <cell r="J135" t="str">
            <v>DOWA</v>
          </cell>
          <cell r="K135">
            <v>6</v>
          </cell>
          <cell r="L135">
            <v>0</v>
          </cell>
          <cell r="W135">
            <v>92</v>
          </cell>
          <cell r="X135" t="str">
            <v>DS</v>
          </cell>
          <cell r="Y135">
            <v>150</v>
          </cell>
          <cell r="Z135" t="str">
            <v>SB</v>
          </cell>
          <cell r="AA135">
            <v>150</v>
          </cell>
          <cell r="AB135" t="str">
            <v>SB</v>
          </cell>
          <cell r="AC135">
            <v>7</v>
          </cell>
          <cell r="AD135" t="str">
            <v>VR</v>
          </cell>
          <cell r="AE135">
            <v>0</v>
          </cell>
          <cell r="AF135">
            <v>0</v>
          </cell>
          <cell r="AG135">
            <v>0</v>
          </cell>
          <cell r="AH135">
            <v>0</v>
          </cell>
          <cell r="AI135">
            <v>0</v>
          </cell>
          <cell r="AJ135">
            <v>0</v>
          </cell>
          <cell r="AK135">
            <v>0</v>
          </cell>
          <cell r="AL135">
            <v>0</v>
          </cell>
          <cell r="AM135">
            <v>1</v>
          </cell>
          <cell r="AN135" t="str">
            <v>never resealed</v>
          </cell>
          <cell r="BO135" t="str">
            <v>RS 084</v>
          </cell>
          <cell r="BP135">
            <v>9.6</v>
          </cell>
          <cell r="BQ135">
            <v>6.7</v>
          </cell>
          <cell r="BR135" t="str">
            <v>R</v>
          </cell>
          <cell r="BS135" t="str">
            <v>C</v>
          </cell>
          <cell r="BT135">
            <v>0</v>
          </cell>
          <cell r="BU135" t="str">
            <v>DS</v>
          </cell>
          <cell r="BV135" t="str">
            <v/>
          </cell>
          <cell r="BW135">
            <v>1</v>
          </cell>
          <cell r="BX135">
            <v>15</v>
          </cell>
          <cell r="BY135" t="str">
            <v xml:space="preserve"> </v>
          </cell>
          <cell r="BZ135">
            <v>1</v>
          </cell>
          <cell r="CA135">
            <v>7</v>
          </cell>
          <cell r="CB135">
            <v>1.677</v>
          </cell>
          <cell r="CC135">
            <v>3.66</v>
          </cell>
          <cell r="CD135">
            <v>0</v>
          </cell>
          <cell r="CE135">
            <v>0</v>
          </cell>
          <cell r="CF135">
            <v>0</v>
          </cell>
          <cell r="CG135">
            <v>0</v>
          </cell>
          <cell r="CH135">
            <v>0</v>
          </cell>
          <cell r="CI135">
            <v>0.1</v>
          </cell>
          <cell r="CJ135">
            <v>2.9850746268656722E-4</v>
          </cell>
          <cell r="CK135">
            <v>2.9850746268656722E-4</v>
          </cell>
          <cell r="CL135">
            <v>0</v>
          </cell>
          <cell r="CM135">
            <v>1.1572904707233067E-4</v>
          </cell>
          <cell r="CN135">
            <v>1.1572904707233067E-4</v>
          </cell>
          <cell r="CO135">
            <v>0</v>
          </cell>
          <cell r="CP135">
            <v>0</v>
          </cell>
          <cell r="CQ135">
            <v>3.6601157290470723</v>
          </cell>
          <cell r="CR135">
            <v>0</v>
          </cell>
          <cell r="CS135">
            <v>1</v>
          </cell>
          <cell r="CT135">
            <v>0</v>
          </cell>
          <cell r="CU135">
            <v>0</v>
          </cell>
          <cell r="CV135">
            <v>6</v>
          </cell>
          <cell r="CW135">
            <v>6</v>
          </cell>
          <cell r="CX135" t="str">
            <v xml:space="preserve"> </v>
          </cell>
          <cell r="CY135">
            <v>1.1000000000000001</v>
          </cell>
          <cell r="CZ135">
            <v>1.1000000000000001</v>
          </cell>
          <cell r="DA135">
            <v>1.1000000000000001</v>
          </cell>
          <cell r="DB135">
            <v>300</v>
          </cell>
          <cell r="DC135">
            <v>141</v>
          </cell>
          <cell r="DD135">
            <v>78</v>
          </cell>
          <cell r="DE135">
            <v>23</v>
          </cell>
          <cell r="DF135">
            <v>35</v>
          </cell>
          <cell r="DG135">
            <v>6</v>
          </cell>
          <cell r="DH135">
            <v>3</v>
          </cell>
          <cell r="DI135">
            <v>15</v>
          </cell>
        </row>
        <row r="136">
          <cell r="A136" t="str">
            <v>RS 216</v>
          </cell>
          <cell r="B136">
            <v>38</v>
          </cell>
          <cell r="C136" t="str">
            <v>C</v>
          </cell>
          <cell r="D136" t="str">
            <v>T</v>
          </cell>
          <cell r="E136" t="str">
            <v>Kachinchezo - Kanyenyeva</v>
          </cell>
          <cell r="F136" t="str">
            <v>M14</v>
          </cell>
          <cell r="G136">
            <v>4</v>
          </cell>
          <cell r="H136">
            <v>10.8</v>
          </cell>
          <cell r="I136" t="str">
            <v>R</v>
          </cell>
          <cell r="J136" t="str">
            <v>DOWA</v>
          </cell>
          <cell r="K136">
            <v>6</v>
          </cell>
          <cell r="L136" t="str">
            <v>Changed designation from M16 to M14</v>
          </cell>
          <cell r="W136">
            <v>92</v>
          </cell>
          <cell r="X136" t="str">
            <v>DS</v>
          </cell>
          <cell r="Y136">
            <v>150</v>
          </cell>
          <cell r="Z136" t="str">
            <v>SB</v>
          </cell>
          <cell r="AA136">
            <v>150</v>
          </cell>
          <cell r="AB136" t="str">
            <v>SB</v>
          </cell>
          <cell r="AC136">
            <v>7</v>
          </cell>
          <cell r="AD136" t="str">
            <v>VR</v>
          </cell>
          <cell r="AE136">
            <v>0</v>
          </cell>
          <cell r="AF136">
            <v>0</v>
          </cell>
          <cell r="AG136">
            <v>0</v>
          </cell>
          <cell r="AH136">
            <v>0</v>
          </cell>
          <cell r="AI136">
            <v>0</v>
          </cell>
          <cell r="AJ136">
            <v>0</v>
          </cell>
          <cell r="AK136">
            <v>0</v>
          </cell>
          <cell r="AL136">
            <v>0</v>
          </cell>
          <cell r="AM136">
            <v>1</v>
          </cell>
          <cell r="AN136" t="str">
            <v>never resealed</v>
          </cell>
          <cell r="BO136" t="str">
            <v>RS 216</v>
          </cell>
          <cell r="BP136">
            <v>10.8</v>
          </cell>
          <cell r="BQ136">
            <v>6.7</v>
          </cell>
          <cell r="BR136" t="str">
            <v>R</v>
          </cell>
          <cell r="BS136" t="str">
            <v>C</v>
          </cell>
          <cell r="BT136">
            <v>0</v>
          </cell>
          <cell r="BU136" t="str">
            <v>DS</v>
          </cell>
          <cell r="BV136" t="str">
            <v/>
          </cell>
          <cell r="BW136">
            <v>1</v>
          </cell>
          <cell r="BX136">
            <v>15</v>
          </cell>
          <cell r="BY136" t="str">
            <v xml:space="preserve"> </v>
          </cell>
          <cell r="BZ136">
            <v>1</v>
          </cell>
          <cell r="CA136">
            <v>7</v>
          </cell>
          <cell r="CB136">
            <v>1.677</v>
          </cell>
          <cell r="CC136">
            <v>3.81</v>
          </cell>
          <cell r="CD136">
            <v>0</v>
          </cell>
          <cell r="CE136">
            <v>0</v>
          </cell>
          <cell r="CF136">
            <v>0</v>
          </cell>
          <cell r="CG136">
            <v>0</v>
          </cell>
          <cell r="CH136">
            <v>0</v>
          </cell>
          <cell r="CI136">
            <v>0.1</v>
          </cell>
          <cell r="CJ136">
            <v>2.9850746268656722E-4</v>
          </cell>
          <cell r="CK136">
            <v>2.9850746268656722E-4</v>
          </cell>
          <cell r="CL136">
            <v>0</v>
          </cell>
          <cell r="CM136">
            <v>1.1572904707233067E-4</v>
          </cell>
          <cell r="CN136">
            <v>1.1572904707233067E-4</v>
          </cell>
          <cell r="CO136">
            <v>0</v>
          </cell>
          <cell r="CP136">
            <v>0</v>
          </cell>
          <cell r="CQ136">
            <v>3.8101157290470722</v>
          </cell>
          <cell r="CR136">
            <v>0</v>
          </cell>
          <cell r="CS136">
            <v>1</v>
          </cell>
          <cell r="CT136">
            <v>0</v>
          </cell>
          <cell r="CU136">
            <v>0</v>
          </cell>
          <cell r="CV136">
            <v>6</v>
          </cell>
          <cell r="CW136">
            <v>6</v>
          </cell>
          <cell r="CX136" t="str">
            <v xml:space="preserve"> </v>
          </cell>
          <cell r="CY136">
            <v>1.1000000000000001</v>
          </cell>
          <cell r="CZ136">
            <v>1.1000000000000001</v>
          </cell>
          <cell r="DA136">
            <v>1.1000000000000001</v>
          </cell>
          <cell r="DB136">
            <v>300</v>
          </cell>
          <cell r="DC136">
            <v>141</v>
          </cell>
          <cell r="DD136">
            <v>78</v>
          </cell>
          <cell r="DE136">
            <v>23</v>
          </cell>
          <cell r="DF136">
            <v>35</v>
          </cell>
          <cell r="DG136">
            <v>6</v>
          </cell>
          <cell r="DH136">
            <v>3</v>
          </cell>
          <cell r="DI136">
            <v>15</v>
          </cell>
        </row>
        <row r="137">
          <cell r="A137" t="str">
            <v>RS 221</v>
          </cell>
          <cell r="B137">
            <v>43</v>
          </cell>
          <cell r="C137" t="str">
            <v>C</v>
          </cell>
          <cell r="D137" t="str">
            <v>T</v>
          </cell>
          <cell r="E137" t="str">
            <v>Kanyenyeva - Chembe Railroad Bridge</v>
          </cell>
          <cell r="F137" t="str">
            <v>M14</v>
          </cell>
          <cell r="G137">
            <v>5</v>
          </cell>
          <cell r="H137">
            <v>1.8</v>
          </cell>
          <cell r="I137" t="str">
            <v>R</v>
          </cell>
          <cell r="J137" t="str">
            <v>DOWA</v>
          </cell>
          <cell r="K137">
            <v>6</v>
          </cell>
          <cell r="L137" t="str">
            <v xml:space="preserve">Changed designation from M16 to M14 </v>
          </cell>
          <cell r="W137">
            <v>92</v>
          </cell>
          <cell r="X137" t="str">
            <v>DS</v>
          </cell>
          <cell r="Y137">
            <v>150</v>
          </cell>
          <cell r="Z137" t="str">
            <v>SB</v>
          </cell>
          <cell r="AA137">
            <v>150</v>
          </cell>
          <cell r="AB137" t="str">
            <v>SB</v>
          </cell>
          <cell r="AC137">
            <v>7</v>
          </cell>
          <cell r="AD137" t="str">
            <v>VR</v>
          </cell>
          <cell r="AE137">
            <v>0</v>
          </cell>
          <cell r="AF137">
            <v>0</v>
          </cell>
          <cell r="AG137">
            <v>0</v>
          </cell>
          <cell r="AH137">
            <v>0</v>
          </cell>
          <cell r="AI137">
            <v>0</v>
          </cell>
          <cell r="AJ137">
            <v>0</v>
          </cell>
          <cell r="AK137">
            <v>0</v>
          </cell>
          <cell r="AL137">
            <v>0</v>
          </cell>
          <cell r="AM137">
            <v>1</v>
          </cell>
          <cell r="AN137" t="str">
            <v>never resealed</v>
          </cell>
          <cell r="BO137" t="str">
            <v>RS 221</v>
          </cell>
          <cell r="BP137">
            <v>1.8</v>
          </cell>
          <cell r="BQ137">
            <v>8</v>
          </cell>
          <cell r="BR137" t="str">
            <v>R</v>
          </cell>
          <cell r="BS137" t="str">
            <v>C</v>
          </cell>
          <cell r="BT137">
            <v>1</v>
          </cell>
          <cell r="BU137" t="str">
            <v>DS</v>
          </cell>
          <cell r="BV137" t="str">
            <v/>
          </cell>
          <cell r="BW137">
            <v>1</v>
          </cell>
          <cell r="BX137">
            <v>15</v>
          </cell>
          <cell r="BY137" t="str">
            <v xml:space="preserve"> </v>
          </cell>
          <cell r="BZ137">
            <v>1</v>
          </cell>
          <cell r="CA137">
            <v>7</v>
          </cell>
          <cell r="CB137">
            <v>1.677</v>
          </cell>
          <cell r="CC137">
            <v>3.8</v>
          </cell>
          <cell r="CD137">
            <v>0</v>
          </cell>
          <cell r="CE137">
            <v>0</v>
          </cell>
          <cell r="CF137">
            <v>0</v>
          </cell>
          <cell r="CG137">
            <v>0</v>
          </cell>
          <cell r="CH137">
            <v>0</v>
          </cell>
          <cell r="CI137">
            <v>0.15</v>
          </cell>
          <cell r="CJ137">
            <v>3.7499999999999995E-4</v>
          </cell>
          <cell r="CK137">
            <v>3.7499999999999995E-4</v>
          </cell>
          <cell r="CL137">
            <v>0</v>
          </cell>
          <cell r="CM137">
            <v>1.4538461538461537E-4</v>
          </cell>
          <cell r="CN137">
            <v>1.4538461538461537E-4</v>
          </cell>
          <cell r="CO137">
            <v>0</v>
          </cell>
          <cell r="CP137">
            <v>0</v>
          </cell>
          <cell r="CQ137">
            <v>3.8001453846153845</v>
          </cell>
          <cell r="CR137">
            <v>0</v>
          </cell>
          <cell r="CS137">
            <v>1</v>
          </cell>
          <cell r="CT137">
            <v>0</v>
          </cell>
          <cell r="CU137">
            <v>0</v>
          </cell>
          <cell r="CV137">
            <v>6</v>
          </cell>
          <cell r="CW137">
            <v>6</v>
          </cell>
          <cell r="CX137" t="str">
            <v xml:space="preserve"> </v>
          </cell>
          <cell r="CY137">
            <v>1.1000000000000001</v>
          </cell>
          <cell r="CZ137">
            <v>1.1000000000000001</v>
          </cell>
          <cell r="DA137">
            <v>1.1000000000000001</v>
          </cell>
          <cell r="DB137">
            <v>300</v>
          </cell>
          <cell r="DC137">
            <v>141</v>
          </cell>
          <cell r="DD137">
            <v>78</v>
          </cell>
          <cell r="DE137">
            <v>23</v>
          </cell>
          <cell r="DF137">
            <v>35</v>
          </cell>
          <cell r="DG137">
            <v>6</v>
          </cell>
          <cell r="DH137">
            <v>3</v>
          </cell>
          <cell r="DI137">
            <v>15</v>
          </cell>
        </row>
        <row r="138">
          <cell r="A138" t="str">
            <v>RS 060</v>
          </cell>
          <cell r="B138">
            <v>60</v>
          </cell>
          <cell r="C138" t="str">
            <v>C</v>
          </cell>
          <cell r="D138" t="str">
            <v>T</v>
          </cell>
          <cell r="E138" t="str">
            <v>Chembe Railroad Bridge - Makande</v>
          </cell>
          <cell r="F138" t="str">
            <v>M14</v>
          </cell>
          <cell r="G138">
            <v>6</v>
          </cell>
          <cell r="H138">
            <v>6.8</v>
          </cell>
          <cell r="I138" t="str">
            <v>F</v>
          </cell>
          <cell r="J138" t="str">
            <v>SALIMA</v>
          </cell>
          <cell r="K138">
            <v>6</v>
          </cell>
          <cell r="L138" t="str">
            <v>Changed designation from M5 to M14</v>
          </cell>
          <cell r="W138">
            <v>92</v>
          </cell>
          <cell r="X138" t="str">
            <v>DS</v>
          </cell>
          <cell r="Y138">
            <v>150</v>
          </cell>
          <cell r="Z138" t="str">
            <v>SB</v>
          </cell>
          <cell r="AA138">
            <v>150</v>
          </cell>
          <cell r="AB138" t="str">
            <v>SB</v>
          </cell>
          <cell r="AC138">
            <v>7</v>
          </cell>
          <cell r="AD138" t="str">
            <v>VR</v>
          </cell>
          <cell r="AE138">
            <v>0</v>
          </cell>
          <cell r="AF138">
            <v>0</v>
          </cell>
          <cell r="AG138">
            <v>0</v>
          </cell>
          <cell r="AH138">
            <v>0</v>
          </cell>
          <cell r="AI138">
            <v>0</v>
          </cell>
          <cell r="AJ138">
            <v>0</v>
          </cell>
          <cell r="AK138">
            <v>0</v>
          </cell>
          <cell r="AL138">
            <v>0</v>
          </cell>
          <cell r="AM138">
            <v>1</v>
          </cell>
          <cell r="AN138" t="str">
            <v>never resealed</v>
          </cell>
          <cell r="BO138" t="str">
            <v>RS 060</v>
          </cell>
          <cell r="BP138">
            <v>6.8</v>
          </cell>
          <cell r="BQ138">
            <v>6.7</v>
          </cell>
          <cell r="BR138" t="str">
            <v>F</v>
          </cell>
          <cell r="BS138" t="str">
            <v>C</v>
          </cell>
          <cell r="BT138">
            <v>0</v>
          </cell>
          <cell r="BU138" t="str">
            <v>DS</v>
          </cell>
          <cell r="BV138" t="str">
            <v/>
          </cell>
          <cell r="BW138">
            <v>1</v>
          </cell>
          <cell r="BX138">
            <v>15</v>
          </cell>
          <cell r="BY138" t="str">
            <v xml:space="preserve"> </v>
          </cell>
          <cell r="BZ138">
            <v>1</v>
          </cell>
          <cell r="CA138">
            <v>7</v>
          </cell>
          <cell r="CB138">
            <v>1.677</v>
          </cell>
          <cell r="CC138">
            <v>4.38</v>
          </cell>
          <cell r="CD138">
            <v>0</v>
          </cell>
          <cell r="CE138">
            <v>0</v>
          </cell>
          <cell r="CF138">
            <v>0</v>
          </cell>
          <cell r="CG138">
            <v>0</v>
          </cell>
          <cell r="CH138">
            <v>0</v>
          </cell>
          <cell r="CI138">
            <v>0.2</v>
          </cell>
          <cell r="CJ138">
            <v>5.9701492537313444E-4</v>
          </cell>
          <cell r="CK138">
            <v>5.9701492537313444E-4</v>
          </cell>
          <cell r="CL138">
            <v>0</v>
          </cell>
          <cell r="CM138">
            <v>2.3145809414466134E-4</v>
          </cell>
          <cell r="CN138">
            <v>2.3145809414466134E-4</v>
          </cell>
          <cell r="CO138">
            <v>0</v>
          </cell>
          <cell r="CP138">
            <v>0</v>
          </cell>
          <cell r="CQ138">
            <v>4.3802314580941442</v>
          </cell>
          <cell r="CR138">
            <v>0</v>
          </cell>
          <cell r="CS138">
            <v>1</v>
          </cell>
          <cell r="CT138">
            <v>0</v>
          </cell>
          <cell r="CU138">
            <v>0</v>
          </cell>
          <cell r="CV138">
            <v>6</v>
          </cell>
          <cell r="CW138">
            <v>6</v>
          </cell>
          <cell r="CX138" t="str">
            <v xml:space="preserve"> </v>
          </cell>
          <cell r="CY138">
            <v>1.1000000000000001</v>
          </cell>
          <cell r="CZ138">
            <v>1.1000000000000001</v>
          </cell>
          <cell r="DA138">
            <v>1.1000000000000001</v>
          </cell>
          <cell r="DB138">
            <v>300</v>
          </cell>
          <cell r="DC138">
            <v>141</v>
          </cell>
          <cell r="DD138">
            <v>78</v>
          </cell>
          <cell r="DE138">
            <v>23</v>
          </cell>
          <cell r="DF138">
            <v>35</v>
          </cell>
          <cell r="DG138">
            <v>6</v>
          </cell>
          <cell r="DH138">
            <v>3</v>
          </cell>
          <cell r="DI138">
            <v>15</v>
          </cell>
        </row>
        <row r="139">
          <cell r="A139" t="str">
            <v>RS 045</v>
          </cell>
          <cell r="B139">
            <v>45</v>
          </cell>
          <cell r="C139" t="str">
            <v>C</v>
          </cell>
          <cell r="D139" t="str">
            <v>T</v>
          </cell>
          <cell r="E139" t="str">
            <v>Makande - Kaphatenga</v>
          </cell>
          <cell r="F139" t="str">
            <v>M14</v>
          </cell>
          <cell r="G139">
            <v>7</v>
          </cell>
          <cell r="H139">
            <v>4.5999999999999996</v>
          </cell>
          <cell r="I139" t="str">
            <v>F</v>
          </cell>
          <cell r="J139" t="str">
            <v>SALIMA</v>
          </cell>
          <cell r="K139">
            <v>6</v>
          </cell>
          <cell r="L139" t="str">
            <v>Changed designation from M5 to M14</v>
          </cell>
          <cell r="W139">
            <v>92</v>
          </cell>
          <cell r="X139" t="str">
            <v>DS</v>
          </cell>
          <cell r="Y139">
            <v>150</v>
          </cell>
          <cell r="Z139" t="str">
            <v>SB</v>
          </cell>
          <cell r="AA139">
            <v>150</v>
          </cell>
          <cell r="AB139" t="str">
            <v>SB</v>
          </cell>
          <cell r="AC139">
            <v>7</v>
          </cell>
          <cell r="AD139" t="str">
            <v>VR</v>
          </cell>
          <cell r="AE139">
            <v>0</v>
          </cell>
          <cell r="AF139">
            <v>0</v>
          </cell>
          <cell r="AG139">
            <v>0</v>
          </cell>
          <cell r="AH139">
            <v>0</v>
          </cell>
          <cell r="AI139">
            <v>0</v>
          </cell>
          <cell r="AJ139">
            <v>0</v>
          </cell>
          <cell r="AK139">
            <v>0</v>
          </cell>
          <cell r="AL139">
            <v>0</v>
          </cell>
          <cell r="AM139">
            <v>1</v>
          </cell>
          <cell r="AN139" t="str">
            <v>never resealed</v>
          </cell>
          <cell r="BO139" t="str">
            <v>RS 045</v>
          </cell>
          <cell r="BP139">
            <v>4.5999999999999996</v>
          </cell>
          <cell r="BQ139">
            <v>6.7</v>
          </cell>
          <cell r="BR139" t="str">
            <v>F</v>
          </cell>
          <cell r="BS139" t="str">
            <v>C</v>
          </cell>
          <cell r="BT139">
            <v>0</v>
          </cell>
          <cell r="BU139" t="str">
            <v>DS</v>
          </cell>
          <cell r="BV139" t="str">
            <v/>
          </cell>
          <cell r="BW139">
            <v>1</v>
          </cell>
          <cell r="BX139">
            <v>15</v>
          </cell>
          <cell r="BY139" t="str">
            <v xml:space="preserve"> </v>
          </cell>
          <cell r="BZ139">
            <v>1</v>
          </cell>
          <cell r="CA139">
            <v>7</v>
          </cell>
          <cell r="CB139">
            <v>1.677</v>
          </cell>
          <cell r="CC139">
            <v>4</v>
          </cell>
          <cell r="CD139">
            <v>0</v>
          </cell>
          <cell r="CE139">
            <v>0</v>
          </cell>
          <cell r="CF139">
            <v>0</v>
          </cell>
          <cell r="CG139">
            <v>0</v>
          </cell>
          <cell r="CH139">
            <v>0</v>
          </cell>
          <cell r="CI139">
            <v>0.1</v>
          </cell>
          <cell r="CJ139">
            <v>2.9850746268656722E-4</v>
          </cell>
          <cell r="CK139">
            <v>2.9850746268656722E-4</v>
          </cell>
          <cell r="CL139">
            <v>0</v>
          </cell>
          <cell r="CM139">
            <v>1.1572904707233067E-4</v>
          </cell>
          <cell r="CN139">
            <v>1.1572904707233067E-4</v>
          </cell>
          <cell r="CO139">
            <v>0</v>
          </cell>
          <cell r="CP139">
            <v>0</v>
          </cell>
          <cell r="CQ139">
            <v>4.0001157290470726</v>
          </cell>
          <cell r="CR139">
            <v>0</v>
          </cell>
          <cell r="CS139">
            <v>1</v>
          </cell>
          <cell r="CT139">
            <v>0</v>
          </cell>
          <cell r="CU139">
            <v>0</v>
          </cell>
          <cell r="CV139">
            <v>6</v>
          </cell>
          <cell r="CW139">
            <v>6</v>
          </cell>
          <cell r="CX139" t="str">
            <v xml:space="preserve"> </v>
          </cell>
          <cell r="CY139">
            <v>1.1000000000000001</v>
          </cell>
          <cell r="CZ139">
            <v>1.1000000000000001</v>
          </cell>
          <cell r="DA139">
            <v>1.1000000000000001</v>
          </cell>
          <cell r="DB139">
            <v>300</v>
          </cell>
          <cell r="DC139">
            <v>141</v>
          </cell>
          <cell r="DD139">
            <v>78</v>
          </cell>
          <cell r="DE139">
            <v>23</v>
          </cell>
          <cell r="DF139">
            <v>35</v>
          </cell>
          <cell r="DG139">
            <v>6</v>
          </cell>
          <cell r="DH139">
            <v>3</v>
          </cell>
          <cell r="DI139">
            <v>15</v>
          </cell>
        </row>
        <row r="140">
          <cell r="A140" t="str">
            <v>RS 260</v>
          </cell>
          <cell r="B140">
            <v>82</v>
          </cell>
          <cell r="C140" t="str">
            <v>C</v>
          </cell>
          <cell r="D140" t="str">
            <v>T</v>
          </cell>
          <cell r="E140" t="str">
            <v>Chiwengo - Kasungu</v>
          </cell>
          <cell r="F140" t="str">
            <v>M18</v>
          </cell>
          <cell r="G140">
            <v>1</v>
          </cell>
          <cell r="H140">
            <v>9.4</v>
          </cell>
          <cell r="I140" t="str">
            <v>F</v>
          </cell>
          <cell r="J140" t="str">
            <v>KASUNGU</v>
          </cell>
          <cell r="K140">
            <v>5</v>
          </cell>
          <cell r="L140" t="str">
            <v xml:space="preserve">Changed designation from S120 to M18 </v>
          </cell>
          <cell r="W140">
            <v>97</v>
          </cell>
          <cell r="X140" t="str">
            <v>DS</v>
          </cell>
          <cell r="Y140">
            <v>150</v>
          </cell>
          <cell r="Z140" t="str">
            <v>GR</v>
          </cell>
          <cell r="AA140">
            <v>100</v>
          </cell>
          <cell r="AB140" t="str">
            <v>GR</v>
          </cell>
          <cell r="AC140">
            <v>5</v>
          </cell>
          <cell r="AD140" t="str">
            <v>AM</v>
          </cell>
          <cell r="AE140">
            <v>0</v>
          </cell>
          <cell r="AF140">
            <v>0</v>
          </cell>
          <cell r="AG140">
            <v>0</v>
          </cell>
          <cell r="AH140">
            <v>0</v>
          </cell>
          <cell r="AI140">
            <v>0</v>
          </cell>
          <cell r="AJ140">
            <v>0</v>
          </cell>
          <cell r="AK140">
            <v>0</v>
          </cell>
          <cell r="AL140">
            <v>0</v>
          </cell>
          <cell r="AM140">
            <v>1</v>
          </cell>
          <cell r="AN140" t="str">
            <v>never resealed</v>
          </cell>
          <cell r="BO140" t="str">
            <v>RS 260</v>
          </cell>
          <cell r="BP140">
            <v>9.4</v>
          </cell>
          <cell r="BQ140">
            <v>6.7</v>
          </cell>
          <cell r="BR140" t="str">
            <v>F</v>
          </cell>
          <cell r="BS140">
            <v>0</v>
          </cell>
          <cell r="BT140">
            <v>0</v>
          </cell>
          <cell r="BU140" t="str">
            <v>DS</v>
          </cell>
          <cell r="BV140" t="str">
            <v/>
          </cell>
          <cell r="BW140">
            <v>1</v>
          </cell>
          <cell r="BX140">
            <v>15</v>
          </cell>
          <cell r="BY140" t="str">
            <v xml:space="preserve"> </v>
          </cell>
          <cell r="BZ140">
            <v>1</v>
          </cell>
          <cell r="CA140">
            <v>5</v>
          </cell>
          <cell r="CB140">
            <v>1.077</v>
          </cell>
          <cell r="CC140">
            <v>2.8</v>
          </cell>
          <cell r="CD140">
            <v>0</v>
          </cell>
          <cell r="CE140">
            <v>0</v>
          </cell>
          <cell r="CF140">
            <v>0</v>
          </cell>
          <cell r="CG140">
            <v>0</v>
          </cell>
          <cell r="CH140">
            <v>0</v>
          </cell>
          <cell r="CI140">
            <v>0</v>
          </cell>
          <cell r="CJ140">
            <v>0</v>
          </cell>
          <cell r="CK140">
            <v>0</v>
          </cell>
          <cell r="CL140">
            <v>0</v>
          </cell>
          <cell r="CM140">
            <v>0</v>
          </cell>
          <cell r="CN140">
            <v>0</v>
          </cell>
          <cell r="CO140">
            <v>0</v>
          </cell>
          <cell r="CP140">
            <v>0</v>
          </cell>
          <cell r="CQ140">
            <v>2.8</v>
          </cell>
          <cell r="CR140">
            <v>0</v>
          </cell>
          <cell r="CS140">
            <v>1</v>
          </cell>
          <cell r="CT140">
            <v>0</v>
          </cell>
          <cell r="CU140">
            <v>0</v>
          </cell>
          <cell r="CV140">
            <v>1</v>
          </cell>
          <cell r="CW140">
            <v>1</v>
          </cell>
          <cell r="CX140" t="str">
            <v xml:space="preserve"> </v>
          </cell>
          <cell r="CY140">
            <v>1</v>
          </cell>
          <cell r="CZ140">
            <v>1</v>
          </cell>
          <cell r="DA140">
            <v>1</v>
          </cell>
          <cell r="DB140">
            <v>100</v>
          </cell>
          <cell r="DC140">
            <v>47</v>
          </cell>
          <cell r="DD140">
            <v>26</v>
          </cell>
          <cell r="DE140">
            <v>8</v>
          </cell>
          <cell r="DF140">
            <v>12</v>
          </cell>
          <cell r="DG140">
            <v>2</v>
          </cell>
          <cell r="DH140">
            <v>1</v>
          </cell>
          <cell r="DI140">
            <v>5</v>
          </cell>
        </row>
        <row r="141">
          <cell r="A141" t="str">
            <v>RS 008</v>
          </cell>
          <cell r="B141" t="str">
            <v>8</v>
          </cell>
          <cell r="C141" t="str">
            <v>N</v>
          </cell>
          <cell r="D141" t="str">
            <v>T</v>
          </cell>
          <cell r="E141" t="str">
            <v>Bwengu (junction M1) - Njakwa</v>
          </cell>
          <cell r="F141" t="str">
            <v>M24</v>
          </cell>
          <cell r="G141">
            <v>1</v>
          </cell>
          <cell r="H141">
            <v>1.5</v>
          </cell>
          <cell r="I141" t="str">
            <v>R</v>
          </cell>
          <cell r="J141" t="str">
            <v>RUMPHI</v>
          </cell>
          <cell r="K141">
            <v>3</v>
          </cell>
          <cell r="L141">
            <v>0</v>
          </cell>
          <cell r="W141">
            <v>80</v>
          </cell>
          <cell r="X141" t="str">
            <v>DS</v>
          </cell>
          <cell r="Y141">
            <v>150</v>
          </cell>
          <cell r="Z141" t="str">
            <v>SB</v>
          </cell>
          <cell r="AA141">
            <v>100</v>
          </cell>
          <cell r="AB141" t="str">
            <v>GR</v>
          </cell>
          <cell r="AC141">
            <v>13</v>
          </cell>
          <cell r="AD141" t="str">
            <v>VR</v>
          </cell>
          <cell r="AE141">
            <v>87</v>
          </cell>
          <cell r="AF141" t="str">
            <v>SR</v>
          </cell>
          <cell r="AG141" t="str">
            <v>ST</v>
          </cell>
          <cell r="AH141">
            <v>10</v>
          </cell>
          <cell r="AI141">
            <v>0</v>
          </cell>
          <cell r="AJ141">
            <v>0</v>
          </cell>
          <cell r="AK141">
            <v>0</v>
          </cell>
          <cell r="AL141">
            <v>0</v>
          </cell>
          <cell r="AM141">
            <v>4</v>
          </cell>
          <cell r="AN141">
            <v>0</v>
          </cell>
          <cell r="BO141" t="str">
            <v>RS 008</v>
          </cell>
          <cell r="BP141">
            <v>1.5</v>
          </cell>
          <cell r="BQ141">
            <v>6.7</v>
          </cell>
          <cell r="BR141" t="str">
            <v>R</v>
          </cell>
          <cell r="BS141">
            <v>0</v>
          </cell>
          <cell r="BT141">
            <v>0</v>
          </cell>
          <cell r="BU141" t="str">
            <v>ST</v>
          </cell>
          <cell r="BV141" t="str">
            <v>DS</v>
          </cell>
          <cell r="BW141">
            <v>4</v>
          </cell>
          <cell r="BX141">
            <v>10</v>
          </cell>
          <cell r="BY141">
            <v>15</v>
          </cell>
          <cell r="BZ141">
            <v>1</v>
          </cell>
          <cell r="CA141">
            <v>13</v>
          </cell>
          <cell r="CB141">
            <v>1.3540000000000001</v>
          </cell>
          <cell r="CC141">
            <v>5.5</v>
          </cell>
          <cell r="CD141">
            <v>80</v>
          </cell>
          <cell r="CE141">
            <v>30</v>
          </cell>
          <cell r="CF141">
            <v>15</v>
          </cell>
          <cell r="CG141">
            <v>65</v>
          </cell>
          <cell r="CH141">
            <v>15</v>
          </cell>
          <cell r="CI141">
            <v>85</v>
          </cell>
          <cell r="CJ141">
            <v>0.2537313432835821</v>
          </cell>
          <cell r="CK141">
            <v>10</v>
          </cell>
          <cell r="CL141">
            <v>15</v>
          </cell>
          <cell r="CM141">
            <v>0.29506314580941445</v>
          </cell>
          <cell r="CN141">
            <v>0.29506314580941445</v>
          </cell>
          <cell r="CO141">
            <v>0</v>
          </cell>
          <cell r="CP141">
            <v>0</v>
          </cell>
          <cell r="CQ141">
            <v>5.7950631458094142</v>
          </cell>
          <cell r="CR141">
            <v>5</v>
          </cell>
          <cell r="CS141">
            <v>1</v>
          </cell>
          <cell r="CT141">
            <v>0</v>
          </cell>
          <cell r="CU141">
            <v>0</v>
          </cell>
          <cell r="CV141">
            <v>11</v>
          </cell>
          <cell r="CW141">
            <v>18</v>
          </cell>
          <cell r="CX141">
            <v>36</v>
          </cell>
          <cell r="CY141">
            <v>2</v>
          </cell>
          <cell r="CZ141">
            <v>2</v>
          </cell>
          <cell r="DA141">
            <v>2</v>
          </cell>
          <cell r="DB141">
            <v>119</v>
          </cell>
          <cell r="DC141">
            <v>56</v>
          </cell>
          <cell r="DD141">
            <v>31</v>
          </cell>
          <cell r="DE141">
            <v>9</v>
          </cell>
          <cell r="DF141">
            <v>14</v>
          </cell>
          <cell r="DG141">
            <v>3</v>
          </cell>
          <cell r="DH141">
            <v>2</v>
          </cell>
          <cell r="DI141">
            <v>6</v>
          </cell>
        </row>
        <row r="142">
          <cell r="A142" t="str">
            <v>RS 009</v>
          </cell>
          <cell r="B142" t="str">
            <v>9</v>
          </cell>
          <cell r="C142" t="str">
            <v>N</v>
          </cell>
          <cell r="D142" t="str">
            <v>T</v>
          </cell>
          <cell r="E142" t="str">
            <v>Njakwa - Rumphi</v>
          </cell>
          <cell r="F142" t="str">
            <v>M24</v>
          </cell>
          <cell r="G142">
            <v>2</v>
          </cell>
          <cell r="H142">
            <v>8.5</v>
          </cell>
          <cell r="I142" t="str">
            <v>R</v>
          </cell>
          <cell r="J142" t="str">
            <v>RUMPHI</v>
          </cell>
          <cell r="K142">
            <v>3</v>
          </cell>
          <cell r="L142">
            <v>0</v>
          </cell>
          <cell r="W142">
            <v>80</v>
          </cell>
          <cell r="X142" t="str">
            <v>DS</v>
          </cell>
          <cell r="Y142">
            <v>150</v>
          </cell>
          <cell r="Z142" t="str">
            <v>SB</v>
          </cell>
          <cell r="AA142">
            <v>100</v>
          </cell>
          <cell r="AB142" t="str">
            <v>GR</v>
          </cell>
          <cell r="AC142">
            <v>13</v>
          </cell>
          <cell r="AD142" t="str">
            <v>VR</v>
          </cell>
          <cell r="AE142">
            <v>87</v>
          </cell>
          <cell r="AF142" t="str">
            <v>SR</v>
          </cell>
          <cell r="AG142" t="str">
            <v>ST</v>
          </cell>
          <cell r="AH142">
            <v>10</v>
          </cell>
          <cell r="AI142">
            <v>0</v>
          </cell>
          <cell r="AJ142">
            <v>0</v>
          </cell>
          <cell r="AK142">
            <v>0</v>
          </cell>
          <cell r="AL142">
            <v>0</v>
          </cell>
          <cell r="AM142">
            <v>4</v>
          </cell>
          <cell r="AN142">
            <v>0</v>
          </cell>
          <cell r="BO142" t="str">
            <v>RS 009</v>
          </cell>
          <cell r="BP142">
            <v>8.5</v>
          </cell>
          <cell r="BQ142">
            <v>6.7</v>
          </cell>
          <cell r="BR142" t="str">
            <v>R</v>
          </cell>
          <cell r="BS142">
            <v>0</v>
          </cell>
          <cell r="BT142">
            <v>0</v>
          </cell>
          <cell r="BU142" t="str">
            <v>ST</v>
          </cell>
          <cell r="BV142" t="str">
            <v>DS</v>
          </cell>
          <cell r="BW142">
            <v>4</v>
          </cell>
          <cell r="BX142">
            <v>10</v>
          </cell>
          <cell r="BY142">
            <v>15</v>
          </cell>
          <cell r="BZ142">
            <v>1</v>
          </cell>
          <cell r="CA142">
            <v>13</v>
          </cell>
          <cell r="CB142">
            <v>1.3540000000000001</v>
          </cell>
          <cell r="CC142">
            <v>5.5</v>
          </cell>
          <cell r="CD142">
            <v>70</v>
          </cell>
          <cell r="CE142">
            <v>40</v>
          </cell>
          <cell r="CF142">
            <v>25</v>
          </cell>
          <cell r="CG142">
            <v>45</v>
          </cell>
          <cell r="CH142">
            <v>15</v>
          </cell>
          <cell r="CI142">
            <v>90</v>
          </cell>
          <cell r="CJ142">
            <v>0.26865671641791045</v>
          </cell>
          <cell r="CK142">
            <v>10</v>
          </cell>
          <cell r="CL142">
            <v>25</v>
          </cell>
          <cell r="CM142">
            <v>0.36685419058553392</v>
          </cell>
          <cell r="CN142">
            <v>0.36685419058553392</v>
          </cell>
          <cell r="CO142">
            <v>0</v>
          </cell>
          <cell r="CP142">
            <v>0</v>
          </cell>
          <cell r="CQ142">
            <v>5.866854190585534</v>
          </cell>
          <cell r="CR142">
            <v>5</v>
          </cell>
          <cell r="CS142">
            <v>1</v>
          </cell>
          <cell r="CT142">
            <v>0</v>
          </cell>
          <cell r="CU142">
            <v>0</v>
          </cell>
          <cell r="CV142">
            <v>11</v>
          </cell>
          <cell r="CW142">
            <v>18</v>
          </cell>
          <cell r="CX142">
            <v>36</v>
          </cell>
          <cell r="CY142">
            <v>2</v>
          </cell>
          <cell r="CZ142">
            <v>2</v>
          </cell>
          <cell r="DA142">
            <v>2</v>
          </cell>
          <cell r="DB142">
            <v>119</v>
          </cell>
          <cell r="DC142">
            <v>56</v>
          </cell>
          <cell r="DD142">
            <v>31</v>
          </cell>
          <cell r="DE142">
            <v>9</v>
          </cell>
          <cell r="DF142">
            <v>14</v>
          </cell>
          <cell r="DG142">
            <v>3</v>
          </cell>
          <cell r="DH142">
            <v>2</v>
          </cell>
          <cell r="DI142">
            <v>6</v>
          </cell>
        </row>
        <row r="143">
          <cell r="A143" t="str">
            <v>RS 592</v>
          </cell>
          <cell r="B143">
            <v>414</v>
          </cell>
          <cell r="C143" t="str">
            <v>C</v>
          </cell>
          <cell r="D143" t="str">
            <v>T</v>
          </cell>
          <cell r="E143" t="str">
            <v>Kia - Kia Turn Off (Lilongwe airport road)</v>
          </cell>
          <cell r="F143" t="str">
            <v>M30</v>
          </cell>
          <cell r="G143">
            <v>1</v>
          </cell>
          <cell r="H143">
            <v>4.3</v>
          </cell>
          <cell r="I143" t="str">
            <v>F</v>
          </cell>
          <cell r="J143" t="str">
            <v>LILONGWE</v>
          </cell>
          <cell r="K143">
            <v>6</v>
          </cell>
          <cell r="L143" t="str">
            <v>Changed designation from T361 to M30</v>
          </cell>
          <cell r="W143">
            <v>85</v>
          </cell>
          <cell r="X143" t="str">
            <v>DS</v>
          </cell>
          <cell r="Y143">
            <v>150</v>
          </cell>
          <cell r="Z143" t="str">
            <v>GR</v>
          </cell>
          <cell r="AA143">
            <v>100</v>
          </cell>
          <cell r="AB143" t="str">
            <v>GR</v>
          </cell>
          <cell r="AC143">
            <v>25</v>
          </cell>
          <cell r="AD143" t="str">
            <v>PM</v>
          </cell>
          <cell r="AE143">
            <v>0</v>
          </cell>
          <cell r="AF143">
            <v>0</v>
          </cell>
          <cell r="AG143">
            <v>0</v>
          </cell>
          <cell r="AH143">
            <v>0</v>
          </cell>
          <cell r="AI143">
            <v>0</v>
          </cell>
          <cell r="AJ143">
            <v>0</v>
          </cell>
          <cell r="AK143">
            <v>0</v>
          </cell>
          <cell r="AL143">
            <v>0</v>
          </cell>
          <cell r="AM143">
            <v>1</v>
          </cell>
          <cell r="AN143">
            <v>0</v>
          </cell>
          <cell r="BO143" t="str">
            <v>RS 592</v>
          </cell>
          <cell r="BP143">
            <v>4.3</v>
          </cell>
          <cell r="BQ143">
            <v>6.7</v>
          </cell>
          <cell r="BR143" t="str">
            <v>F</v>
          </cell>
          <cell r="BS143">
            <v>0</v>
          </cell>
          <cell r="BT143">
            <v>0</v>
          </cell>
          <cell r="BU143" t="str">
            <v>DS</v>
          </cell>
          <cell r="BV143" t="str">
            <v/>
          </cell>
          <cell r="BW143">
            <v>1</v>
          </cell>
          <cell r="BX143">
            <v>15</v>
          </cell>
          <cell r="BY143" t="str">
            <v xml:space="preserve"> </v>
          </cell>
          <cell r="BZ143">
            <v>1</v>
          </cell>
          <cell r="CA143">
            <v>25</v>
          </cell>
          <cell r="CB143">
            <v>1.077</v>
          </cell>
          <cell r="CC143">
            <v>3.55</v>
          </cell>
          <cell r="CD143">
            <v>15</v>
          </cell>
          <cell r="CE143">
            <v>0</v>
          </cell>
          <cell r="CF143">
            <v>0</v>
          </cell>
          <cell r="CG143">
            <v>15</v>
          </cell>
          <cell r="CH143">
            <v>0</v>
          </cell>
          <cell r="CI143">
            <v>0</v>
          </cell>
          <cell r="CJ143">
            <v>0</v>
          </cell>
          <cell r="CK143">
            <v>0</v>
          </cell>
          <cell r="CL143">
            <v>0</v>
          </cell>
          <cell r="CM143">
            <v>0</v>
          </cell>
          <cell r="CN143">
            <v>0</v>
          </cell>
          <cell r="CO143">
            <v>0</v>
          </cell>
          <cell r="CP143">
            <v>0</v>
          </cell>
          <cell r="CQ143">
            <v>3.55</v>
          </cell>
          <cell r="CR143">
            <v>1</v>
          </cell>
          <cell r="CS143">
            <v>0</v>
          </cell>
          <cell r="CT143">
            <v>0</v>
          </cell>
          <cell r="CU143">
            <v>0</v>
          </cell>
          <cell r="CV143">
            <v>13</v>
          </cell>
          <cell r="CW143">
            <v>13</v>
          </cell>
          <cell r="CX143" t="str">
            <v xml:space="preserve"> </v>
          </cell>
          <cell r="CY143">
            <v>1</v>
          </cell>
          <cell r="CZ143">
            <v>1</v>
          </cell>
          <cell r="DA143">
            <v>1</v>
          </cell>
          <cell r="DB143">
            <v>500</v>
          </cell>
          <cell r="DC143">
            <v>235</v>
          </cell>
          <cell r="DD143">
            <v>130</v>
          </cell>
          <cell r="DE143">
            <v>38</v>
          </cell>
          <cell r="DF143">
            <v>58</v>
          </cell>
          <cell r="DG143">
            <v>10</v>
          </cell>
          <cell r="DH143">
            <v>5</v>
          </cell>
          <cell r="DI143">
            <v>25</v>
          </cell>
        </row>
        <row r="144">
          <cell r="A144" t="str">
            <v>RS 194</v>
          </cell>
          <cell r="B144">
            <v>16</v>
          </cell>
          <cell r="C144" t="str">
            <v>N</v>
          </cell>
          <cell r="D144" t="str">
            <v>T</v>
          </cell>
          <cell r="E144" t="str">
            <v>Chilumba Jetty - junction M1</v>
          </cell>
          <cell r="F144" t="str">
            <v>S102</v>
          </cell>
          <cell r="G144">
            <v>1</v>
          </cell>
          <cell r="H144">
            <v>5.9</v>
          </cell>
          <cell r="I144" t="str">
            <v>F</v>
          </cell>
          <cell r="J144" t="str">
            <v>KARONGA</v>
          </cell>
          <cell r="K144">
            <v>2</v>
          </cell>
          <cell r="L144">
            <v>0</v>
          </cell>
          <cell r="W144">
            <v>80</v>
          </cell>
          <cell r="X144" t="str">
            <v>ST</v>
          </cell>
          <cell r="Y144">
            <v>100</v>
          </cell>
          <cell r="Z144" t="str">
            <v>GR</v>
          </cell>
          <cell r="AA144">
            <v>100</v>
          </cell>
          <cell r="AB144" t="str">
            <v>GR</v>
          </cell>
          <cell r="AC144">
            <v>10</v>
          </cell>
          <cell r="AD144" t="str">
            <v>PM</v>
          </cell>
          <cell r="AE144">
            <v>0</v>
          </cell>
          <cell r="AF144">
            <v>0</v>
          </cell>
          <cell r="AG144">
            <v>0</v>
          </cell>
          <cell r="AH144">
            <v>0</v>
          </cell>
          <cell r="AI144">
            <v>0</v>
          </cell>
          <cell r="AJ144">
            <v>0</v>
          </cell>
          <cell r="AK144">
            <v>0</v>
          </cell>
          <cell r="AL144">
            <v>0</v>
          </cell>
          <cell r="AM144">
            <v>1</v>
          </cell>
          <cell r="AN144">
            <v>0</v>
          </cell>
          <cell r="BO144" t="str">
            <v>RS 194</v>
          </cell>
          <cell r="BP144">
            <v>5.9</v>
          </cell>
          <cell r="BQ144">
            <v>5.5</v>
          </cell>
          <cell r="BR144" t="str">
            <v>F</v>
          </cell>
          <cell r="BS144">
            <v>0</v>
          </cell>
          <cell r="BT144">
            <v>0</v>
          </cell>
          <cell r="BU144" t="str">
            <v>ST</v>
          </cell>
          <cell r="BV144" t="str">
            <v/>
          </cell>
          <cell r="BW144">
            <v>1</v>
          </cell>
          <cell r="BX144">
            <v>10</v>
          </cell>
          <cell r="BY144" t="str">
            <v xml:space="preserve"> </v>
          </cell>
          <cell r="BZ144">
            <v>1</v>
          </cell>
          <cell r="CA144">
            <v>10</v>
          </cell>
          <cell r="CB144">
            <v>0.90800000000000003</v>
          </cell>
          <cell r="CC144">
            <v>7.65</v>
          </cell>
          <cell r="CD144">
            <v>75</v>
          </cell>
          <cell r="CE144">
            <v>60</v>
          </cell>
          <cell r="CF144">
            <v>45</v>
          </cell>
          <cell r="CG144">
            <v>30</v>
          </cell>
          <cell r="CH144">
            <v>15</v>
          </cell>
          <cell r="CI144">
            <v>100</v>
          </cell>
          <cell r="CJ144">
            <v>0.36363636363636365</v>
          </cell>
          <cell r="CK144">
            <v>10</v>
          </cell>
          <cell r="CL144">
            <v>45</v>
          </cell>
          <cell r="CM144">
            <v>0.53503496503496506</v>
          </cell>
          <cell r="CN144">
            <v>0.53503496503496506</v>
          </cell>
          <cell r="CO144">
            <v>0</v>
          </cell>
          <cell r="CP144">
            <v>0</v>
          </cell>
          <cell r="CQ144">
            <v>8.1850349650349656</v>
          </cell>
          <cell r="CR144">
            <v>0</v>
          </cell>
          <cell r="CS144">
            <v>0</v>
          </cell>
          <cell r="CT144">
            <v>0</v>
          </cell>
          <cell r="CU144">
            <v>0</v>
          </cell>
          <cell r="CV144">
            <v>18</v>
          </cell>
          <cell r="CW144">
            <v>18</v>
          </cell>
          <cell r="CX144" t="str">
            <v xml:space="preserve"> </v>
          </cell>
          <cell r="CY144">
            <v>2</v>
          </cell>
          <cell r="CZ144">
            <v>1.5</v>
          </cell>
          <cell r="DA144">
            <v>1.5</v>
          </cell>
          <cell r="DB144">
            <v>60</v>
          </cell>
          <cell r="DC144">
            <v>29</v>
          </cell>
          <cell r="DD144">
            <v>16</v>
          </cell>
          <cell r="DE144">
            <v>5</v>
          </cell>
          <cell r="DF144">
            <v>7</v>
          </cell>
          <cell r="DG144">
            <v>2</v>
          </cell>
          <cell r="DH144">
            <v>1</v>
          </cell>
          <cell r="DI144">
            <v>3</v>
          </cell>
        </row>
        <row r="145">
          <cell r="A145" t="str">
            <v>RS 163</v>
          </cell>
          <cell r="B145">
            <v>163</v>
          </cell>
          <cell r="C145" t="str">
            <v>C</v>
          </cell>
          <cell r="D145" t="str">
            <v>T</v>
          </cell>
          <cell r="E145" t="str">
            <v>Lifupa Road (in Kasungu National Park)</v>
          </cell>
          <cell r="F145" t="str">
            <v>S114</v>
          </cell>
          <cell r="G145">
            <v>2</v>
          </cell>
          <cell r="H145">
            <v>3.2</v>
          </cell>
          <cell r="I145" t="str">
            <v>F</v>
          </cell>
          <cell r="J145" t="str">
            <v>KASUNGU</v>
          </cell>
          <cell r="K145">
            <v>5</v>
          </cell>
          <cell r="L145" t="str">
            <v>Changed from urban to trunk</v>
          </cell>
          <cell r="W145" t="str">
            <v>very old origional</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t="str">
            <v>bitumen removed</v>
          </cell>
          <cell r="BO145" t="str">
            <v>RS 163</v>
          </cell>
          <cell r="BP145">
            <v>3.2</v>
          </cell>
          <cell r="BQ145" t="str">
            <v>n.a.</v>
          </cell>
          <cell r="BR145" t="str">
            <v>F</v>
          </cell>
          <cell r="BS145" t="str">
            <v>X</v>
          </cell>
          <cell r="BT145">
            <v>100</v>
          </cell>
          <cell r="BU145">
            <v>0</v>
          </cell>
          <cell r="BV145" t="str">
            <v/>
          </cell>
          <cell r="BW145">
            <v>0</v>
          </cell>
          <cell r="BX145" t="str">
            <v xml:space="preserve"> </v>
          </cell>
          <cell r="BY145" t="str">
            <v xml:space="preserve"> </v>
          </cell>
          <cell r="BZ145" t="str">
            <v/>
          </cell>
          <cell r="CA145" t="str">
            <v xml:space="preserve"> </v>
          </cell>
          <cell r="CB145" t="str">
            <v xml:space="preserve"> </v>
          </cell>
          <cell r="CC145" t="str">
            <v>bitumen surface removed</v>
          </cell>
          <cell r="CD145">
            <v>0</v>
          </cell>
          <cell r="CE145">
            <v>0</v>
          </cell>
          <cell r="CF145">
            <v>0</v>
          </cell>
          <cell r="CG145">
            <v>0</v>
          </cell>
          <cell r="CH145">
            <v>0</v>
          </cell>
          <cell r="CI145">
            <v>0</v>
          </cell>
          <cell r="CJ145">
            <v>0</v>
          </cell>
          <cell r="CK145">
            <v>0</v>
          </cell>
          <cell r="CL145">
            <v>0</v>
          </cell>
          <cell r="CM145">
            <v>0</v>
          </cell>
          <cell r="CN145">
            <v>0</v>
          </cell>
          <cell r="CO145">
            <v>0</v>
          </cell>
          <cell r="CP145">
            <v>0</v>
          </cell>
          <cell r="CQ145">
            <v>0</v>
          </cell>
          <cell r="CR145">
            <v>0</v>
          </cell>
          <cell r="CS145">
            <v>0</v>
          </cell>
          <cell r="CT145">
            <v>0</v>
          </cell>
          <cell r="CU145">
            <v>0</v>
          </cell>
          <cell r="CV145" t="str">
            <v>n.a</v>
          </cell>
          <cell r="CW145" t="str">
            <v>n.a.</v>
          </cell>
          <cell r="CX145">
            <v>0</v>
          </cell>
          <cell r="CY145" t="str">
            <v>n.a.</v>
          </cell>
          <cell r="CZ145" t="str">
            <v>n.a.</v>
          </cell>
          <cell r="DA145">
            <v>2.5</v>
          </cell>
          <cell r="DB145">
            <v>50</v>
          </cell>
          <cell r="DC145">
            <v>24</v>
          </cell>
          <cell r="DD145">
            <v>13</v>
          </cell>
          <cell r="DE145">
            <v>4</v>
          </cell>
          <cell r="DF145">
            <v>6</v>
          </cell>
          <cell r="DG145">
            <v>1</v>
          </cell>
          <cell r="DH145">
            <v>1</v>
          </cell>
          <cell r="DI145">
            <v>3</v>
          </cell>
        </row>
        <row r="146">
          <cell r="A146" t="str">
            <v>RS 237</v>
          </cell>
          <cell r="B146">
            <v>59</v>
          </cell>
          <cell r="C146" t="str">
            <v>C</v>
          </cell>
          <cell r="D146" t="str">
            <v>T</v>
          </cell>
          <cell r="E146" t="str">
            <v>Bua River Bridge  - Kapiri</v>
          </cell>
          <cell r="F146" t="str">
            <v>S116</v>
          </cell>
          <cell r="G146">
            <v>7</v>
          </cell>
          <cell r="H146">
            <v>29.3</v>
          </cell>
          <cell r="I146" t="str">
            <v>F</v>
          </cell>
          <cell r="J146" t="str">
            <v>KASUNGU</v>
          </cell>
          <cell r="K146">
            <v>5</v>
          </cell>
          <cell r="L146">
            <v>0</v>
          </cell>
          <cell r="W146">
            <v>98</v>
          </cell>
          <cell r="X146" t="str">
            <v>DS</v>
          </cell>
          <cell r="Y146">
            <v>150</v>
          </cell>
          <cell r="Z146" t="str">
            <v>GR</v>
          </cell>
          <cell r="AA146">
            <v>150</v>
          </cell>
          <cell r="AB146" t="str">
            <v>GR</v>
          </cell>
          <cell r="AC146">
            <v>5</v>
          </cell>
          <cell r="AD146" t="str">
            <v>AM</v>
          </cell>
          <cell r="AE146">
            <v>0</v>
          </cell>
          <cell r="AF146">
            <v>0</v>
          </cell>
          <cell r="AG146">
            <v>0</v>
          </cell>
          <cell r="AH146">
            <v>0</v>
          </cell>
          <cell r="AI146">
            <v>0</v>
          </cell>
          <cell r="AJ146">
            <v>0</v>
          </cell>
          <cell r="AK146">
            <v>0</v>
          </cell>
          <cell r="AL146">
            <v>0</v>
          </cell>
          <cell r="AM146">
            <v>1</v>
          </cell>
          <cell r="AN146" t="str">
            <v>never resealed</v>
          </cell>
          <cell r="BO146" t="str">
            <v>RS 237</v>
          </cell>
          <cell r="BP146">
            <v>29.3</v>
          </cell>
          <cell r="BQ146">
            <v>6.7</v>
          </cell>
          <cell r="BR146" t="str">
            <v>F</v>
          </cell>
          <cell r="BS146">
            <v>0</v>
          </cell>
          <cell r="BT146">
            <v>0</v>
          </cell>
          <cell r="BU146" t="str">
            <v>DS</v>
          </cell>
          <cell r="BV146" t="str">
            <v/>
          </cell>
          <cell r="BW146">
            <v>1</v>
          </cell>
          <cell r="BX146">
            <v>15</v>
          </cell>
          <cell r="BY146" t="str">
            <v xml:space="preserve"> </v>
          </cell>
          <cell r="BZ146">
            <v>1</v>
          </cell>
          <cell r="CA146">
            <v>5</v>
          </cell>
          <cell r="CB146">
            <v>1.5270000000000001</v>
          </cell>
          <cell r="CC146">
            <v>3.3</v>
          </cell>
          <cell r="CD146">
            <v>0</v>
          </cell>
          <cell r="CE146">
            <v>0</v>
          </cell>
          <cell r="CF146">
            <v>0</v>
          </cell>
          <cell r="CG146">
            <v>0</v>
          </cell>
          <cell r="CH146">
            <v>0</v>
          </cell>
          <cell r="CI146">
            <v>0</v>
          </cell>
          <cell r="CJ146">
            <v>0</v>
          </cell>
          <cell r="CK146">
            <v>0</v>
          </cell>
          <cell r="CL146">
            <v>0</v>
          </cell>
          <cell r="CM146">
            <v>0</v>
          </cell>
          <cell r="CN146">
            <v>0</v>
          </cell>
          <cell r="CO146">
            <v>0</v>
          </cell>
          <cell r="CP146">
            <v>0</v>
          </cell>
          <cell r="CQ146">
            <v>3.3</v>
          </cell>
          <cell r="CR146">
            <v>0</v>
          </cell>
          <cell r="CS146">
            <v>1</v>
          </cell>
          <cell r="CT146">
            <v>0</v>
          </cell>
          <cell r="CU146">
            <v>0</v>
          </cell>
          <cell r="CV146">
            <v>0</v>
          </cell>
          <cell r="CW146">
            <v>0</v>
          </cell>
          <cell r="CX146" t="str">
            <v xml:space="preserve"> </v>
          </cell>
          <cell r="CY146">
            <v>1</v>
          </cell>
          <cell r="CZ146">
            <v>1</v>
          </cell>
          <cell r="DA146">
            <v>1</v>
          </cell>
          <cell r="DB146">
            <v>80</v>
          </cell>
          <cell r="DC146">
            <v>38</v>
          </cell>
          <cell r="DD146">
            <v>21</v>
          </cell>
          <cell r="DE146">
            <v>6</v>
          </cell>
          <cell r="DF146">
            <v>10</v>
          </cell>
          <cell r="DG146">
            <v>2</v>
          </cell>
          <cell r="DH146">
            <v>1</v>
          </cell>
          <cell r="DI146">
            <v>4</v>
          </cell>
        </row>
        <row r="147">
          <cell r="A147" t="str">
            <v>RS 240</v>
          </cell>
          <cell r="B147">
            <v>62</v>
          </cell>
          <cell r="C147" t="str">
            <v>C</v>
          </cell>
          <cell r="D147" t="str">
            <v>T</v>
          </cell>
          <cell r="E147" t="str">
            <v>Kapiri - Matutu</v>
          </cell>
          <cell r="F147" t="str">
            <v>S116</v>
          </cell>
          <cell r="G147">
            <v>8</v>
          </cell>
          <cell r="H147">
            <v>24</v>
          </cell>
          <cell r="I147" t="str">
            <v>F</v>
          </cell>
          <cell r="J147" t="str">
            <v>MCHINJI</v>
          </cell>
          <cell r="K147" t="str">
            <v>5,6</v>
          </cell>
          <cell r="L147">
            <v>0</v>
          </cell>
          <cell r="W147">
            <v>98</v>
          </cell>
          <cell r="X147" t="str">
            <v>DS</v>
          </cell>
          <cell r="Y147">
            <v>150</v>
          </cell>
          <cell r="Z147" t="str">
            <v>GR</v>
          </cell>
          <cell r="AA147">
            <v>150</v>
          </cell>
          <cell r="AB147" t="str">
            <v>GR</v>
          </cell>
          <cell r="AC147">
            <v>5</v>
          </cell>
          <cell r="AD147" t="str">
            <v>AM</v>
          </cell>
          <cell r="AE147">
            <v>0</v>
          </cell>
          <cell r="AF147">
            <v>0</v>
          </cell>
          <cell r="AG147">
            <v>0</v>
          </cell>
          <cell r="AH147">
            <v>0</v>
          </cell>
          <cell r="AI147">
            <v>0</v>
          </cell>
          <cell r="AJ147">
            <v>0</v>
          </cell>
          <cell r="AK147">
            <v>0</v>
          </cell>
          <cell r="AL147">
            <v>0</v>
          </cell>
          <cell r="AM147">
            <v>1</v>
          </cell>
          <cell r="AN147" t="str">
            <v>never resealed</v>
          </cell>
          <cell r="BO147" t="str">
            <v>RS 240</v>
          </cell>
          <cell r="BP147">
            <v>24</v>
          </cell>
          <cell r="BQ147">
            <v>6.7</v>
          </cell>
          <cell r="BR147" t="str">
            <v>F</v>
          </cell>
          <cell r="BS147">
            <v>0</v>
          </cell>
          <cell r="BT147">
            <v>0</v>
          </cell>
          <cell r="BU147" t="str">
            <v>DS</v>
          </cell>
          <cell r="BV147" t="str">
            <v/>
          </cell>
          <cell r="BW147">
            <v>1</v>
          </cell>
          <cell r="BX147">
            <v>15</v>
          </cell>
          <cell r="BY147" t="str">
            <v xml:space="preserve"> </v>
          </cell>
          <cell r="BZ147">
            <v>1</v>
          </cell>
          <cell r="CA147">
            <v>5</v>
          </cell>
          <cell r="CB147">
            <v>1.5270000000000001</v>
          </cell>
          <cell r="CC147">
            <v>3.27</v>
          </cell>
          <cell r="CD147">
            <v>0</v>
          </cell>
          <cell r="CE147">
            <v>0</v>
          </cell>
          <cell r="CF147">
            <v>0</v>
          </cell>
          <cell r="CG147">
            <v>0</v>
          </cell>
          <cell r="CH147">
            <v>0</v>
          </cell>
          <cell r="CI147">
            <v>0</v>
          </cell>
          <cell r="CJ147">
            <v>0</v>
          </cell>
          <cell r="CK147">
            <v>0</v>
          </cell>
          <cell r="CL147">
            <v>0</v>
          </cell>
          <cell r="CM147">
            <v>0</v>
          </cell>
          <cell r="CN147">
            <v>0</v>
          </cell>
          <cell r="CO147">
            <v>0</v>
          </cell>
          <cell r="CP147">
            <v>0</v>
          </cell>
          <cell r="CQ147">
            <v>3.27</v>
          </cell>
          <cell r="CR147">
            <v>0</v>
          </cell>
          <cell r="CS147">
            <v>1</v>
          </cell>
          <cell r="CT147">
            <v>0</v>
          </cell>
          <cell r="CU147">
            <v>0</v>
          </cell>
          <cell r="CV147">
            <v>0</v>
          </cell>
          <cell r="CW147">
            <v>0</v>
          </cell>
          <cell r="CX147" t="str">
            <v xml:space="preserve"> </v>
          </cell>
          <cell r="CY147">
            <v>1</v>
          </cell>
          <cell r="CZ147">
            <v>1</v>
          </cell>
          <cell r="DA147">
            <v>1</v>
          </cell>
          <cell r="DB147">
            <v>80</v>
          </cell>
          <cell r="DC147">
            <v>38</v>
          </cell>
          <cell r="DD147">
            <v>21</v>
          </cell>
          <cell r="DE147">
            <v>6</v>
          </cell>
          <cell r="DF147">
            <v>10</v>
          </cell>
          <cell r="DG147">
            <v>2</v>
          </cell>
          <cell r="DH147">
            <v>1</v>
          </cell>
          <cell r="DI147">
            <v>4</v>
          </cell>
        </row>
        <row r="148">
          <cell r="A148" t="str">
            <v>RS 245</v>
          </cell>
          <cell r="B148">
            <v>67</v>
          </cell>
          <cell r="C148" t="str">
            <v>C</v>
          </cell>
          <cell r="D148" t="str">
            <v>T</v>
          </cell>
          <cell r="E148" t="str">
            <v>Kalolo - Santhe T.C.</v>
          </cell>
          <cell r="F148" t="str">
            <v>S117</v>
          </cell>
          <cell r="G148">
            <v>1</v>
          </cell>
          <cell r="H148">
            <v>22.9</v>
          </cell>
          <cell r="I148" t="str">
            <v>F</v>
          </cell>
          <cell r="J148" t="str">
            <v>KASUNGU</v>
          </cell>
          <cell r="K148" t="str">
            <v>5,6</v>
          </cell>
          <cell r="L148" t="str">
            <v>Part currently bitumen</v>
          </cell>
          <cell r="W148">
            <v>98</v>
          </cell>
          <cell r="X148" t="str">
            <v>DS</v>
          </cell>
          <cell r="Y148">
            <v>151</v>
          </cell>
          <cell r="Z148" t="str">
            <v>GR</v>
          </cell>
          <cell r="AA148">
            <v>151</v>
          </cell>
          <cell r="AB148" t="str">
            <v>GR</v>
          </cell>
          <cell r="AC148">
            <v>6</v>
          </cell>
          <cell r="AD148" t="str">
            <v>AM</v>
          </cell>
          <cell r="AE148">
            <v>0</v>
          </cell>
          <cell r="AF148">
            <v>0</v>
          </cell>
          <cell r="AG148">
            <v>0</v>
          </cell>
          <cell r="AH148">
            <v>0</v>
          </cell>
          <cell r="AI148">
            <v>0</v>
          </cell>
          <cell r="AJ148">
            <v>0</v>
          </cell>
          <cell r="AK148">
            <v>0</v>
          </cell>
          <cell r="AL148">
            <v>0</v>
          </cell>
          <cell r="AM148">
            <v>1</v>
          </cell>
          <cell r="AN148" t="str">
            <v>never resealed</v>
          </cell>
          <cell r="BO148" t="str">
            <v>RS 245</v>
          </cell>
          <cell r="BP148">
            <v>22.9</v>
          </cell>
          <cell r="BQ148">
            <v>6.7</v>
          </cell>
          <cell r="BR148" t="str">
            <v>F</v>
          </cell>
          <cell r="BS148">
            <v>0</v>
          </cell>
          <cell r="BT148">
            <v>0</v>
          </cell>
          <cell r="BU148" t="str">
            <v>DS</v>
          </cell>
          <cell r="BV148" t="str">
            <v/>
          </cell>
          <cell r="BW148">
            <v>1</v>
          </cell>
          <cell r="BX148">
            <v>15</v>
          </cell>
          <cell r="BY148" t="str">
            <v xml:space="preserve"> </v>
          </cell>
          <cell r="BZ148">
            <v>1</v>
          </cell>
          <cell r="CA148">
            <v>6</v>
          </cell>
          <cell r="CB148">
            <v>1.536</v>
          </cell>
          <cell r="CC148">
            <v>3.3</v>
          </cell>
          <cell r="CD148">
            <v>0</v>
          </cell>
          <cell r="CE148">
            <v>0</v>
          </cell>
          <cell r="CF148">
            <v>0</v>
          </cell>
          <cell r="CG148">
            <v>0</v>
          </cell>
          <cell r="CH148">
            <v>0</v>
          </cell>
          <cell r="CI148">
            <v>0</v>
          </cell>
          <cell r="CJ148">
            <v>0</v>
          </cell>
          <cell r="CK148">
            <v>0</v>
          </cell>
          <cell r="CL148">
            <v>0</v>
          </cell>
          <cell r="CM148">
            <v>0</v>
          </cell>
          <cell r="CN148">
            <v>0</v>
          </cell>
          <cell r="CO148">
            <v>0</v>
          </cell>
          <cell r="CP148">
            <v>0</v>
          </cell>
          <cell r="CQ148">
            <v>3.3</v>
          </cell>
          <cell r="CR148">
            <v>0</v>
          </cell>
          <cell r="CS148">
            <v>1</v>
          </cell>
          <cell r="CT148">
            <v>0</v>
          </cell>
          <cell r="CU148">
            <v>0</v>
          </cell>
          <cell r="CV148">
            <v>0</v>
          </cell>
          <cell r="CW148">
            <v>0</v>
          </cell>
          <cell r="CX148" t="str">
            <v xml:space="preserve"> </v>
          </cell>
          <cell r="CY148">
            <v>1</v>
          </cell>
          <cell r="CZ148">
            <v>1</v>
          </cell>
          <cell r="DA148">
            <v>1</v>
          </cell>
          <cell r="DB148">
            <v>60</v>
          </cell>
          <cell r="DC148">
            <v>29</v>
          </cell>
          <cell r="DD148">
            <v>16</v>
          </cell>
          <cell r="DE148">
            <v>5</v>
          </cell>
          <cell r="DF148">
            <v>7</v>
          </cell>
          <cell r="DG148">
            <v>2</v>
          </cell>
          <cell r="DH148">
            <v>1</v>
          </cell>
          <cell r="DI148">
            <v>3</v>
          </cell>
        </row>
        <row r="149">
          <cell r="A149" t="str">
            <v>RS 274</v>
          </cell>
          <cell r="B149">
            <v>96</v>
          </cell>
          <cell r="C149" t="str">
            <v>C</v>
          </cell>
          <cell r="D149" t="str">
            <v>T</v>
          </cell>
          <cell r="E149" t="str">
            <v>junction M5 - Salima railway crossing</v>
          </cell>
          <cell r="F149" t="str">
            <v>S122</v>
          </cell>
          <cell r="G149">
            <v>1</v>
          </cell>
          <cell r="H149">
            <v>4.2</v>
          </cell>
          <cell r="I149" t="str">
            <v>F</v>
          </cell>
          <cell r="J149" t="str">
            <v>SALIMA</v>
          </cell>
          <cell r="K149">
            <v>7</v>
          </cell>
          <cell r="L149">
            <v>0</v>
          </cell>
          <cell r="W149">
            <v>76</v>
          </cell>
          <cell r="X149" t="str">
            <v>ST</v>
          </cell>
          <cell r="Y149">
            <v>150</v>
          </cell>
          <cell r="Z149" t="str">
            <v>GR</v>
          </cell>
          <cell r="AA149">
            <v>100</v>
          </cell>
          <cell r="AB149" t="str">
            <v>GR</v>
          </cell>
          <cell r="AC149">
            <v>8</v>
          </cell>
          <cell r="AD149" t="str">
            <v>VR</v>
          </cell>
          <cell r="AE149">
            <v>0</v>
          </cell>
          <cell r="AF149">
            <v>0</v>
          </cell>
          <cell r="AG149">
            <v>0</v>
          </cell>
          <cell r="AH149">
            <v>0</v>
          </cell>
          <cell r="AI149">
            <v>0</v>
          </cell>
          <cell r="AJ149">
            <v>0</v>
          </cell>
          <cell r="AK149">
            <v>0</v>
          </cell>
          <cell r="AL149">
            <v>0</v>
          </cell>
          <cell r="AM149">
            <v>1</v>
          </cell>
          <cell r="AN149" t="str">
            <v>never resealed</v>
          </cell>
          <cell r="BO149" t="str">
            <v>RS 274</v>
          </cell>
          <cell r="BP149">
            <v>4.2</v>
          </cell>
          <cell r="BQ149">
            <v>6</v>
          </cell>
          <cell r="BR149" t="str">
            <v>F</v>
          </cell>
          <cell r="BS149">
            <v>0</v>
          </cell>
          <cell r="BT149">
            <v>0</v>
          </cell>
          <cell r="BU149" t="str">
            <v>ST</v>
          </cell>
          <cell r="BV149" t="str">
            <v/>
          </cell>
          <cell r="BW149">
            <v>1</v>
          </cell>
          <cell r="BX149">
            <v>10</v>
          </cell>
          <cell r="BY149" t="str">
            <v xml:space="preserve"> </v>
          </cell>
          <cell r="BZ149">
            <v>1</v>
          </cell>
          <cell r="CA149">
            <v>8</v>
          </cell>
          <cell r="CB149">
            <v>0.90800000000000003</v>
          </cell>
          <cell r="CC149">
            <v>6.5</v>
          </cell>
          <cell r="CD149">
            <v>90</v>
          </cell>
          <cell r="CE149">
            <v>65</v>
          </cell>
          <cell r="CF149">
            <v>50</v>
          </cell>
          <cell r="CG149">
            <v>40</v>
          </cell>
          <cell r="CH149">
            <v>15</v>
          </cell>
          <cell r="CI149">
            <v>79</v>
          </cell>
          <cell r="CJ149">
            <v>0.26333333333333336</v>
          </cell>
          <cell r="CK149">
            <v>10</v>
          </cell>
          <cell r="CL149">
            <v>50</v>
          </cell>
          <cell r="CM149">
            <v>0.53022820512820512</v>
          </cell>
          <cell r="CN149">
            <v>0.53022820512820512</v>
          </cell>
          <cell r="CO149">
            <v>0</v>
          </cell>
          <cell r="CP149">
            <v>0</v>
          </cell>
          <cell r="CQ149">
            <v>7.0302282051282052</v>
          </cell>
          <cell r="CR149">
            <v>5</v>
          </cell>
          <cell r="CS149">
            <v>0</v>
          </cell>
          <cell r="CT149">
            <v>0</v>
          </cell>
          <cell r="CU149">
            <v>1</v>
          </cell>
          <cell r="CV149">
            <v>22</v>
          </cell>
          <cell r="CW149">
            <v>22</v>
          </cell>
          <cell r="CX149" t="str">
            <v xml:space="preserve"> </v>
          </cell>
          <cell r="CY149">
            <v>2</v>
          </cell>
          <cell r="CZ149">
            <v>1</v>
          </cell>
          <cell r="DA149">
            <v>1</v>
          </cell>
          <cell r="DB149">
            <v>470</v>
          </cell>
          <cell r="DC149">
            <v>221</v>
          </cell>
          <cell r="DD149">
            <v>123</v>
          </cell>
          <cell r="DE149">
            <v>36</v>
          </cell>
          <cell r="DF149">
            <v>55</v>
          </cell>
          <cell r="DG149">
            <v>10</v>
          </cell>
          <cell r="DH149">
            <v>5</v>
          </cell>
          <cell r="DI149">
            <v>24</v>
          </cell>
        </row>
        <row r="150">
          <cell r="A150" t="str">
            <v>RS 276</v>
          </cell>
          <cell r="B150">
            <v>98</v>
          </cell>
          <cell r="C150" t="str">
            <v>C</v>
          </cell>
          <cell r="D150" t="str">
            <v>T</v>
          </cell>
          <cell r="E150" t="str">
            <v>Salima railway crossing - Mikute</v>
          </cell>
          <cell r="F150" t="str">
            <v>S122</v>
          </cell>
          <cell r="G150">
            <v>2</v>
          </cell>
          <cell r="H150">
            <v>14.4</v>
          </cell>
          <cell r="I150" t="str">
            <v>F</v>
          </cell>
          <cell r="J150" t="str">
            <v>SALIMA</v>
          </cell>
          <cell r="K150">
            <v>7</v>
          </cell>
          <cell r="L150">
            <v>0</v>
          </cell>
          <cell r="W150">
            <v>76</v>
          </cell>
          <cell r="X150" t="str">
            <v>ST</v>
          </cell>
          <cell r="Y150">
            <v>150</v>
          </cell>
          <cell r="Z150" t="str">
            <v>GR</v>
          </cell>
          <cell r="AA150">
            <v>100</v>
          </cell>
          <cell r="AB150" t="str">
            <v>GR</v>
          </cell>
          <cell r="AC150">
            <v>8</v>
          </cell>
          <cell r="AD150" t="str">
            <v>VR</v>
          </cell>
          <cell r="AE150">
            <v>0</v>
          </cell>
          <cell r="AF150">
            <v>0</v>
          </cell>
          <cell r="AG150">
            <v>0</v>
          </cell>
          <cell r="AH150">
            <v>0</v>
          </cell>
          <cell r="AI150">
            <v>0</v>
          </cell>
          <cell r="AJ150">
            <v>0</v>
          </cell>
          <cell r="AK150">
            <v>0</v>
          </cell>
          <cell r="AL150">
            <v>0</v>
          </cell>
          <cell r="AM150">
            <v>1</v>
          </cell>
          <cell r="AN150" t="str">
            <v>never resealed</v>
          </cell>
          <cell r="BO150" t="str">
            <v>RS 276</v>
          </cell>
          <cell r="BP150">
            <v>14.4</v>
          </cell>
          <cell r="BQ150">
            <v>6</v>
          </cell>
          <cell r="BR150" t="str">
            <v>F</v>
          </cell>
          <cell r="BS150">
            <v>0</v>
          </cell>
          <cell r="BT150">
            <v>0</v>
          </cell>
          <cell r="BU150" t="str">
            <v>ST</v>
          </cell>
          <cell r="BV150" t="str">
            <v/>
          </cell>
          <cell r="BW150">
            <v>1</v>
          </cell>
          <cell r="BX150">
            <v>10</v>
          </cell>
          <cell r="BY150" t="str">
            <v xml:space="preserve"> </v>
          </cell>
          <cell r="BZ150">
            <v>1</v>
          </cell>
          <cell r="CA150">
            <v>8</v>
          </cell>
          <cell r="CB150">
            <v>0.90800000000000003</v>
          </cell>
          <cell r="CC150">
            <v>6.58</v>
          </cell>
          <cell r="CD150">
            <v>95</v>
          </cell>
          <cell r="CE150">
            <v>45</v>
          </cell>
          <cell r="CF150">
            <v>30</v>
          </cell>
          <cell r="CG150">
            <v>65</v>
          </cell>
          <cell r="CH150">
            <v>15</v>
          </cell>
          <cell r="CI150">
            <v>8</v>
          </cell>
          <cell r="CJ150">
            <v>2.6666666666666668E-2</v>
          </cell>
          <cell r="CK150">
            <v>10</v>
          </cell>
          <cell r="CL150">
            <v>30</v>
          </cell>
          <cell r="CM150">
            <v>0.30853333333333333</v>
          </cell>
          <cell r="CN150">
            <v>0.30853333333333333</v>
          </cell>
          <cell r="CO150">
            <v>0</v>
          </cell>
          <cell r="CP150">
            <v>0</v>
          </cell>
          <cell r="CQ150">
            <v>6.8885333333333332</v>
          </cell>
          <cell r="CR150">
            <v>0</v>
          </cell>
          <cell r="CS150">
            <v>0</v>
          </cell>
          <cell r="CT150">
            <v>0</v>
          </cell>
          <cell r="CU150">
            <v>1</v>
          </cell>
          <cell r="CV150">
            <v>22</v>
          </cell>
          <cell r="CW150">
            <v>22</v>
          </cell>
          <cell r="CX150" t="str">
            <v xml:space="preserve"> </v>
          </cell>
          <cell r="CY150">
            <v>2.5</v>
          </cell>
          <cell r="CZ150">
            <v>2.5</v>
          </cell>
          <cell r="DA150">
            <v>1.3</v>
          </cell>
          <cell r="DB150">
            <v>370</v>
          </cell>
          <cell r="DC150">
            <v>174</v>
          </cell>
          <cell r="DD150">
            <v>97</v>
          </cell>
          <cell r="DE150">
            <v>28</v>
          </cell>
          <cell r="DF150">
            <v>43</v>
          </cell>
          <cell r="DG150">
            <v>8</v>
          </cell>
          <cell r="DH150">
            <v>4</v>
          </cell>
          <cell r="DI150">
            <v>19</v>
          </cell>
        </row>
        <row r="151">
          <cell r="A151" t="str">
            <v>RS 275</v>
          </cell>
          <cell r="B151">
            <v>97</v>
          </cell>
          <cell r="C151" t="str">
            <v>C</v>
          </cell>
          <cell r="D151" t="str">
            <v>T</v>
          </cell>
          <cell r="E151" t="str">
            <v>Mikute - Grand Beach</v>
          </cell>
          <cell r="F151" t="str">
            <v>S122</v>
          </cell>
          <cell r="G151">
            <v>3</v>
          </cell>
          <cell r="H151">
            <v>5.6</v>
          </cell>
          <cell r="I151" t="str">
            <v>F</v>
          </cell>
          <cell r="J151" t="str">
            <v>SALIMA</v>
          </cell>
          <cell r="K151">
            <v>7</v>
          </cell>
          <cell r="L151">
            <v>0</v>
          </cell>
          <cell r="W151">
            <v>76</v>
          </cell>
          <cell r="X151" t="str">
            <v>ST</v>
          </cell>
          <cell r="Y151">
            <v>150</v>
          </cell>
          <cell r="Z151" t="str">
            <v>GR</v>
          </cell>
          <cell r="AA151">
            <v>100</v>
          </cell>
          <cell r="AB151" t="str">
            <v>GR</v>
          </cell>
          <cell r="AC151">
            <v>8</v>
          </cell>
          <cell r="AD151" t="str">
            <v>VR</v>
          </cell>
          <cell r="AE151">
            <v>0</v>
          </cell>
          <cell r="AF151">
            <v>0</v>
          </cell>
          <cell r="AG151">
            <v>0</v>
          </cell>
          <cell r="AH151">
            <v>0</v>
          </cell>
          <cell r="AI151">
            <v>0</v>
          </cell>
          <cell r="AJ151">
            <v>0</v>
          </cell>
          <cell r="AK151">
            <v>0</v>
          </cell>
          <cell r="AL151">
            <v>0</v>
          </cell>
          <cell r="AM151">
            <v>1</v>
          </cell>
          <cell r="AN151" t="str">
            <v>never resealed</v>
          </cell>
          <cell r="BO151" t="str">
            <v>RS 275</v>
          </cell>
          <cell r="BP151">
            <v>5.6</v>
          </cell>
          <cell r="BQ151">
            <v>6</v>
          </cell>
          <cell r="BR151" t="str">
            <v>F</v>
          </cell>
          <cell r="BS151">
            <v>0</v>
          </cell>
          <cell r="BT151">
            <v>0</v>
          </cell>
          <cell r="BU151" t="str">
            <v>ST</v>
          </cell>
          <cell r="BV151" t="str">
            <v/>
          </cell>
          <cell r="BW151">
            <v>1</v>
          </cell>
          <cell r="BX151">
            <v>10</v>
          </cell>
          <cell r="BY151" t="str">
            <v xml:space="preserve"> </v>
          </cell>
          <cell r="BZ151">
            <v>1</v>
          </cell>
          <cell r="CA151">
            <v>8</v>
          </cell>
          <cell r="CB151">
            <v>0.90800000000000003</v>
          </cell>
          <cell r="CC151">
            <v>8.94</v>
          </cell>
          <cell r="CD151">
            <v>50</v>
          </cell>
          <cell r="CE151">
            <v>5</v>
          </cell>
          <cell r="CF151">
            <v>0</v>
          </cell>
          <cell r="CG151">
            <v>50</v>
          </cell>
          <cell r="CH151">
            <v>5</v>
          </cell>
          <cell r="CI151">
            <v>65</v>
          </cell>
          <cell r="CJ151">
            <v>0.21666666666666665</v>
          </cell>
          <cell r="CK151">
            <v>0.21666666666666665</v>
          </cell>
          <cell r="CL151">
            <v>0</v>
          </cell>
          <cell r="CM151">
            <v>8.3999999999999991E-2</v>
          </cell>
          <cell r="CN151">
            <v>8.3999999999999991E-2</v>
          </cell>
          <cell r="CO151">
            <v>0</v>
          </cell>
          <cell r="CP151">
            <v>0</v>
          </cell>
          <cell r="CQ151">
            <v>9.0239999999999991</v>
          </cell>
          <cell r="CR151">
            <v>0</v>
          </cell>
          <cell r="CS151">
            <v>0</v>
          </cell>
          <cell r="CT151">
            <v>0</v>
          </cell>
          <cell r="CU151">
            <v>1</v>
          </cell>
          <cell r="CV151">
            <v>22</v>
          </cell>
          <cell r="CW151">
            <v>22</v>
          </cell>
          <cell r="CX151" t="str">
            <v xml:space="preserve"> </v>
          </cell>
          <cell r="CY151">
            <v>3</v>
          </cell>
          <cell r="CZ151">
            <v>3</v>
          </cell>
          <cell r="DA151">
            <v>1.5</v>
          </cell>
          <cell r="DB151">
            <v>250</v>
          </cell>
          <cell r="DC151">
            <v>118</v>
          </cell>
          <cell r="DD151">
            <v>65</v>
          </cell>
          <cell r="DE151">
            <v>19</v>
          </cell>
          <cell r="DF151">
            <v>29</v>
          </cell>
          <cell r="DG151">
            <v>5</v>
          </cell>
          <cell r="DH151">
            <v>3</v>
          </cell>
          <cell r="DI151">
            <v>13</v>
          </cell>
        </row>
        <row r="152">
          <cell r="A152" t="str">
            <v>RS 161</v>
          </cell>
          <cell r="B152">
            <v>161</v>
          </cell>
          <cell r="C152" t="str">
            <v>C</v>
          </cell>
          <cell r="D152" t="str">
            <v>T</v>
          </cell>
          <cell r="E152" t="str">
            <v>Likuni Road</v>
          </cell>
          <cell r="F152" t="str">
            <v>S124</v>
          </cell>
          <cell r="G152">
            <v>1</v>
          </cell>
          <cell r="H152">
            <v>8.8000000000000007</v>
          </cell>
          <cell r="I152" t="str">
            <v>F</v>
          </cell>
          <cell r="J152" t="str">
            <v>LILONGWE</v>
          </cell>
          <cell r="K152">
            <v>6</v>
          </cell>
          <cell r="L152" t="str">
            <v>Changed from urban to trunk</v>
          </cell>
          <cell r="W152">
            <v>73</v>
          </cell>
          <cell r="X152" t="str">
            <v>ST</v>
          </cell>
          <cell r="Y152">
            <v>150</v>
          </cell>
          <cell r="Z152" t="str">
            <v>GR</v>
          </cell>
          <cell r="AA152">
            <v>100</v>
          </cell>
          <cell r="AB152" t="str">
            <v>GR</v>
          </cell>
          <cell r="AC152">
            <v>25</v>
          </cell>
          <cell r="AD152" t="str">
            <v>VR</v>
          </cell>
          <cell r="AE152">
            <v>98</v>
          </cell>
          <cell r="AF152" t="str">
            <v>SS</v>
          </cell>
          <cell r="AG152" t="str">
            <v>SS</v>
          </cell>
          <cell r="AH152">
            <v>5</v>
          </cell>
          <cell r="AI152">
            <v>0</v>
          </cell>
          <cell r="AJ152">
            <v>0</v>
          </cell>
          <cell r="AK152">
            <v>0</v>
          </cell>
          <cell r="AL152">
            <v>0</v>
          </cell>
          <cell r="AM152">
            <v>3</v>
          </cell>
          <cell r="AN152">
            <v>0</v>
          </cell>
          <cell r="BO152" t="str">
            <v>RS 161</v>
          </cell>
          <cell r="BP152">
            <v>8.8000000000000007</v>
          </cell>
          <cell r="BQ152">
            <v>6</v>
          </cell>
          <cell r="BR152" t="str">
            <v>F</v>
          </cell>
          <cell r="BS152" t="str">
            <v>C</v>
          </cell>
          <cell r="BT152">
            <v>0</v>
          </cell>
          <cell r="BU152" t="str">
            <v>SS</v>
          </cell>
          <cell r="BV152" t="str">
            <v>ST</v>
          </cell>
          <cell r="BW152">
            <v>3</v>
          </cell>
          <cell r="BX152">
            <v>5</v>
          </cell>
          <cell r="BY152">
            <v>10</v>
          </cell>
          <cell r="BZ152">
            <v>1</v>
          </cell>
          <cell r="CA152">
            <v>25</v>
          </cell>
          <cell r="CB152">
            <v>0.90800000000000003</v>
          </cell>
          <cell r="CC152">
            <v>6.77</v>
          </cell>
          <cell r="CD152">
            <v>0</v>
          </cell>
          <cell r="CE152">
            <v>0</v>
          </cell>
          <cell r="CF152">
            <v>0</v>
          </cell>
          <cell r="CG152">
            <v>0</v>
          </cell>
          <cell r="CH152">
            <v>0</v>
          </cell>
          <cell r="CI152">
            <v>0</v>
          </cell>
          <cell r="CJ152">
            <v>0</v>
          </cell>
          <cell r="CK152">
            <v>0</v>
          </cell>
          <cell r="CL152">
            <v>0</v>
          </cell>
          <cell r="CM152">
            <v>0</v>
          </cell>
          <cell r="CN152">
            <v>0</v>
          </cell>
          <cell r="CO152">
            <v>0</v>
          </cell>
          <cell r="CP152">
            <v>0</v>
          </cell>
          <cell r="CQ152">
            <v>5</v>
          </cell>
          <cell r="CR152">
            <v>0</v>
          </cell>
          <cell r="CS152">
            <v>1</v>
          </cell>
          <cell r="CT152">
            <v>0</v>
          </cell>
          <cell r="CU152">
            <v>0</v>
          </cell>
          <cell r="CV152">
            <v>0</v>
          </cell>
          <cell r="CW152">
            <v>25</v>
          </cell>
          <cell r="CX152">
            <v>50</v>
          </cell>
          <cell r="CY152">
            <v>1</v>
          </cell>
          <cell r="CZ152">
            <v>1.5</v>
          </cell>
          <cell r="DA152">
            <v>2</v>
          </cell>
          <cell r="DB152">
            <v>1169</v>
          </cell>
          <cell r="DC152">
            <v>550</v>
          </cell>
          <cell r="DD152">
            <v>304</v>
          </cell>
          <cell r="DE152">
            <v>88</v>
          </cell>
          <cell r="DF152">
            <v>135</v>
          </cell>
          <cell r="DG152">
            <v>24</v>
          </cell>
          <cell r="DH152">
            <v>12</v>
          </cell>
          <cell r="DI152">
            <v>59</v>
          </cell>
        </row>
        <row r="153">
          <cell r="A153" t="str">
            <v>RS 289</v>
          </cell>
          <cell r="B153">
            <v>111</v>
          </cell>
          <cell r="C153" t="str">
            <v>C</v>
          </cell>
          <cell r="D153" t="str">
            <v>T</v>
          </cell>
          <cell r="E153" t="str">
            <v>Likuni - Chinsapo</v>
          </cell>
          <cell r="F153" t="str">
            <v>S124</v>
          </cell>
          <cell r="G153">
            <v>2</v>
          </cell>
          <cell r="H153">
            <v>4.3</v>
          </cell>
          <cell r="I153" t="str">
            <v>F</v>
          </cell>
          <cell r="J153" t="str">
            <v>LILONGWE</v>
          </cell>
          <cell r="K153">
            <v>6</v>
          </cell>
          <cell r="L153">
            <v>0</v>
          </cell>
          <cell r="W153">
            <v>73</v>
          </cell>
          <cell r="X153" t="str">
            <v>ST</v>
          </cell>
          <cell r="Y153">
            <v>150</v>
          </cell>
          <cell r="Z153" t="str">
            <v>GR</v>
          </cell>
          <cell r="AA153">
            <v>100</v>
          </cell>
          <cell r="AB153" t="str">
            <v>GR</v>
          </cell>
          <cell r="AC153">
            <v>25</v>
          </cell>
          <cell r="AD153" t="str">
            <v>VR</v>
          </cell>
          <cell r="AE153">
            <v>98</v>
          </cell>
          <cell r="AF153" t="str">
            <v>SS</v>
          </cell>
          <cell r="AG153" t="str">
            <v>SS</v>
          </cell>
          <cell r="AH153">
            <v>5</v>
          </cell>
          <cell r="AI153">
            <v>0</v>
          </cell>
          <cell r="AJ153">
            <v>0</v>
          </cell>
          <cell r="AK153">
            <v>0</v>
          </cell>
          <cell r="AL153">
            <v>0</v>
          </cell>
          <cell r="AM153">
            <v>3</v>
          </cell>
          <cell r="AN153">
            <v>0</v>
          </cell>
          <cell r="BO153" t="str">
            <v>RS 289</v>
          </cell>
          <cell r="BP153">
            <v>4.3</v>
          </cell>
          <cell r="BQ153">
            <v>6</v>
          </cell>
          <cell r="BR153" t="str">
            <v>F</v>
          </cell>
          <cell r="BS153">
            <v>0</v>
          </cell>
          <cell r="BT153">
            <v>0</v>
          </cell>
          <cell r="BU153" t="str">
            <v>SS</v>
          </cell>
          <cell r="BV153" t="str">
            <v>ST</v>
          </cell>
          <cell r="BW153">
            <v>3</v>
          </cell>
          <cell r="BX153">
            <v>5</v>
          </cell>
          <cell r="BY153">
            <v>10</v>
          </cell>
          <cell r="BZ153">
            <v>1</v>
          </cell>
          <cell r="CA153">
            <v>25</v>
          </cell>
          <cell r="CB153">
            <v>0.90800000000000003</v>
          </cell>
          <cell r="CC153">
            <v>6.77</v>
          </cell>
          <cell r="CD153">
            <v>0</v>
          </cell>
          <cell r="CE153">
            <v>0</v>
          </cell>
          <cell r="CF153">
            <v>0</v>
          </cell>
          <cell r="CG153">
            <v>0</v>
          </cell>
          <cell r="CH153">
            <v>0</v>
          </cell>
          <cell r="CI153">
            <v>0</v>
          </cell>
          <cell r="CJ153">
            <v>0</v>
          </cell>
          <cell r="CK153">
            <v>0</v>
          </cell>
          <cell r="CL153">
            <v>0</v>
          </cell>
          <cell r="CM153">
            <v>0</v>
          </cell>
          <cell r="CN153">
            <v>0</v>
          </cell>
          <cell r="CO153">
            <v>0</v>
          </cell>
          <cell r="CP153">
            <v>0</v>
          </cell>
          <cell r="CQ153">
            <v>5</v>
          </cell>
          <cell r="CR153">
            <v>0</v>
          </cell>
          <cell r="CS153">
            <v>1</v>
          </cell>
          <cell r="CT153">
            <v>0</v>
          </cell>
          <cell r="CU153">
            <v>0</v>
          </cell>
          <cell r="CV153">
            <v>0</v>
          </cell>
          <cell r="CW153">
            <v>25</v>
          </cell>
          <cell r="CX153">
            <v>50</v>
          </cell>
          <cell r="CY153">
            <v>1</v>
          </cell>
          <cell r="CZ153">
            <v>1.5</v>
          </cell>
          <cell r="DA153">
            <v>2</v>
          </cell>
          <cell r="DB153">
            <v>1169</v>
          </cell>
          <cell r="DC153">
            <v>550</v>
          </cell>
          <cell r="DD153">
            <v>304</v>
          </cell>
          <cell r="DE153">
            <v>88</v>
          </cell>
          <cell r="DF153">
            <v>135</v>
          </cell>
          <cell r="DG153">
            <v>24</v>
          </cell>
          <cell r="DH153">
            <v>12</v>
          </cell>
          <cell r="DI153">
            <v>59</v>
          </cell>
        </row>
        <row r="154">
          <cell r="A154" t="str">
            <v>RS 298</v>
          </cell>
          <cell r="B154">
            <v>120</v>
          </cell>
          <cell r="C154" t="str">
            <v>C</v>
          </cell>
          <cell r="D154" t="str">
            <v>T</v>
          </cell>
          <cell r="E154" t="str">
            <v>Chitsime - Kayabwa</v>
          </cell>
          <cell r="F154" t="str">
            <v>S125</v>
          </cell>
          <cell r="G154">
            <v>1</v>
          </cell>
          <cell r="H154">
            <v>6.7</v>
          </cell>
          <cell r="I154" t="str">
            <v>F</v>
          </cell>
          <cell r="J154" t="str">
            <v>LILONGWE</v>
          </cell>
          <cell r="K154">
            <v>6</v>
          </cell>
          <cell r="L154">
            <v>0</v>
          </cell>
          <cell r="W154">
            <v>90</v>
          </cell>
          <cell r="X154" t="str">
            <v>ST</v>
          </cell>
          <cell r="Y154">
            <v>150</v>
          </cell>
          <cell r="Z154" t="str">
            <v>GR</v>
          </cell>
          <cell r="AA154">
            <v>100</v>
          </cell>
          <cell r="AB154" t="str">
            <v>GR</v>
          </cell>
          <cell r="AC154">
            <v>5</v>
          </cell>
          <cell r="AD154" t="str">
            <v>AM</v>
          </cell>
          <cell r="AE154">
            <v>0</v>
          </cell>
          <cell r="AF154">
            <v>0</v>
          </cell>
          <cell r="AG154">
            <v>0</v>
          </cell>
          <cell r="AH154">
            <v>0</v>
          </cell>
          <cell r="AI154">
            <v>0</v>
          </cell>
          <cell r="AJ154">
            <v>0</v>
          </cell>
          <cell r="AK154">
            <v>0</v>
          </cell>
          <cell r="AL154">
            <v>0</v>
          </cell>
          <cell r="AM154">
            <v>1</v>
          </cell>
          <cell r="AN154" t="str">
            <v>never resealed</v>
          </cell>
          <cell r="BO154" t="str">
            <v>RS 298</v>
          </cell>
          <cell r="BP154">
            <v>6.7</v>
          </cell>
          <cell r="BQ154">
            <v>6</v>
          </cell>
          <cell r="BR154" t="str">
            <v>F</v>
          </cell>
          <cell r="BS154">
            <v>0</v>
          </cell>
          <cell r="BT154">
            <v>0</v>
          </cell>
          <cell r="BU154" t="str">
            <v>ST</v>
          </cell>
          <cell r="BV154" t="str">
            <v/>
          </cell>
          <cell r="BW154">
            <v>1</v>
          </cell>
          <cell r="BX154">
            <v>10</v>
          </cell>
          <cell r="BY154" t="str">
            <v xml:space="preserve"> </v>
          </cell>
          <cell r="BZ154">
            <v>1</v>
          </cell>
          <cell r="CA154">
            <v>5</v>
          </cell>
          <cell r="CB154">
            <v>0.90800000000000003</v>
          </cell>
          <cell r="CC154">
            <v>4.5</v>
          </cell>
          <cell r="CD154">
            <v>15</v>
          </cell>
          <cell r="CE154">
            <v>0</v>
          </cell>
          <cell r="CF154">
            <v>0</v>
          </cell>
          <cell r="CG154">
            <v>15</v>
          </cell>
          <cell r="CH154">
            <v>0</v>
          </cell>
          <cell r="CI154">
            <v>0</v>
          </cell>
          <cell r="CJ154">
            <v>0</v>
          </cell>
          <cell r="CK154">
            <v>0</v>
          </cell>
          <cell r="CL154">
            <v>0</v>
          </cell>
          <cell r="CM154">
            <v>0</v>
          </cell>
          <cell r="CN154">
            <v>0</v>
          </cell>
          <cell r="CO154">
            <v>0</v>
          </cell>
          <cell r="CP154">
            <v>0</v>
          </cell>
          <cell r="CQ154">
            <v>4.5</v>
          </cell>
          <cell r="CR154">
            <v>0</v>
          </cell>
          <cell r="CS154">
            <v>1</v>
          </cell>
          <cell r="CT154">
            <v>0</v>
          </cell>
          <cell r="CU154">
            <v>0</v>
          </cell>
          <cell r="CV154">
            <v>8</v>
          </cell>
          <cell r="CW154">
            <v>8</v>
          </cell>
          <cell r="CX154" t="str">
            <v xml:space="preserve"> </v>
          </cell>
          <cell r="CY154">
            <v>1.2</v>
          </cell>
          <cell r="CZ154">
            <v>1.5</v>
          </cell>
          <cell r="DA154">
            <v>1.2</v>
          </cell>
          <cell r="DB154">
            <v>300</v>
          </cell>
          <cell r="DC154">
            <v>141</v>
          </cell>
          <cell r="DD154">
            <v>78</v>
          </cell>
          <cell r="DE154">
            <v>23</v>
          </cell>
          <cell r="DF154">
            <v>35</v>
          </cell>
          <cell r="DG154">
            <v>6</v>
          </cell>
          <cell r="DH154">
            <v>3</v>
          </cell>
          <cell r="DI154">
            <v>15</v>
          </cell>
        </row>
        <row r="155">
          <cell r="A155" t="str">
            <v>RS 294</v>
          </cell>
          <cell r="B155">
            <v>116</v>
          </cell>
          <cell r="C155" t="str">
            <v>C</v>
          </cell>
          <cell r="D155" t="str">
            <v>T</v>
          </cell>
          <cell r="E155" t="str">
            <v>Kayabwa - Bunda</v>
          </cell>
          <cell r="F155" t="str">
            <v>S125</v>
          </cell>
          <cell r="G155">
            <v>2</v>
          </cell>
          <cell r="H155">
            <v>9.6999999999999993</v>
          </cell>
          <cell r="I155" t="str">
            <v>F</v>
          </cell>
          <cell r="J155" t="str">
            <v>LILONGWE</v>
          </cell>
          <cell r="K155">
            <v>6</v>
          </cell>
          <cell r="L155">
            <v>0</v>
          </cell>
          <cell r="W155">
            <v>90</v>
          </cell>
          <cell r="X155" t="str">
            <v>ST</v>
          </cell>
          <cell r="Y155">
            <v>150</v>
          </cell>
          <cell r="Z155" t="str">
            <v>GR</v>
          </cell>
          <cell r="AA155">
            <v>100</v>
          </cell>
          <cell r="AB155" t="str">
            <v>GR</v>
          </cell>
          <cell r="AC155">
            <v>5</v>
          </cell>
          <cell r="AD155" t="str">
            <v>PM</v>
          </cell>
          <cell r="AE155">
            <v>0</v>
          </cell>
          <cell r="AF155">
            <v>0</v>
          </cell>
          <cell r="AG155">
            <v>0</v>
          </cell>
          <cell r="AH155">
            <v>0</v>
          </cell>
          <cell r="AI155">
            <v>0</v>
          </cell>
          <cell r="AJ155">
            <v>0</v>
          </cell>
          <cell r="AK155">
            <v>0</v>
          </cell>
          <cell r="AL155">
            <v>0</v>
          </cell>
          <cell r="AM155">
            <v>1</v>
          </cell>
          <cell r="AN155" t="str">
            <v>never resealed</v>
          </cell>
          <cell r="BO155" t="str">
            <v>RS 294</v>
          </cell>
          <cell r="BP155">
            <v>9.6999999999999993</v>
          </cell>
          <cell r="BQ155">
            <v>6</v>
          </cell>
          <cell r="BR155" t="str">
            <v>F</v>
          </cell>
          <cell r="BS155">
            <v>0</v>
          </cell>
          <cell r="BT155">
            <v>0</v>
          </cell>
          <cell r="BU155" t="str">
            <v>ST</v>
          </cell>
          <cell r="BV155" t="str">
            <v/>
          </cell>
          <cell r="BW155">
            <v>1</v>
          </cell>
          <cell r="BX155">
            <v>10</v>
          </cell>
          <cell r="BY155" t="str">
            <v xml:space="preserve"> </v>
          </cell>
          <cell r="BZ155">
            <v>1</v>
          </cell>
          <cell r="CA155">
            <v>5</v>
          </cell>
          <cell r="CB155">
            <v>0.90800000000000003</v>
          </cell>
          <cell r="CC155">
            <v>4.5</v>
          </cell>
          <cell r="CD155">
            <v>15</v>
          </cell>
          <cell r="CE155">
            <v>0</v>
          </cell>
          <cell r="CF155">
            <v>0</v>
          </cell>
          <cell r="CG155">
            <v>15</v>
          </cell>
          <cell r="CH155">
            <v>0</v>
          </cell>
          <cell r="CI155">
            <v>0</v>
          </cell>
          <cell r="CJ155">
            <v>0</v>
          </cell>
          <cell r="CK155">
            <v>0</v>
          </cell>
          <cell r="CL155">
            <v>0</v>
          </cell>
          <cell r="CM155">
            <v>0</v>
          </cell>
          <cell r="CN155">
            <v>0</v>
          </cell>
          <cell r="CO155">
            <v>0</v>
          </cell>
          <cell r="CP155">
            <v>0</v>
          </cell>
          <cell r="CQ155">
            <v>4.5</v>
          </cell>
          <cell r="CR155">
            <v>0</v>
          </cell>
          <cell r="CS155">
            <v>1</v>
          </cell>
          <cell r="CT155">
            <v>0</v>
          </cell>
          <cell r="CU155">
            <v>0</v>
          </cell>
          <cell r="CV155">
            <v>8</v>
          </cell>
          <cell r="CW155">
            <v>8</v>
          </cell>
          <cell r="CX155" t="str">
            <v xml:space="preserve"> </v>
          </cell>
          <cell r="CY155">
            <v>1.2</v>
          </cell>
          <cell r="CZ155">
            <v>1.5</v>
          </cell>
          <cell r="DA155">
            <v>1.2</v>
          </cell>
          <cell r="DB155">
            <v>300</v>
          </cell>
          <cell r="DC155">
            <v>141</v>
          </cell>
          <cell r="DD155">
            <v>78</v>
          </cell>
          <cell r="DE155">
            <v>23</v>
          </cell>
          <cell r="DF155">
            <v>35</v>
          </cell>
          <cell r="DG155">
            <v>6</v>
          </cell>
          <cell r="DH155">
            <v>3</v>
          </cell>
          <cell r="DI155">
            <v>15</v>
          </cell>
        </row>
        <row r="156">
          <cell r="A156" t="str">
            <v>RS 307</v>
          </cell>
          <cell r="B156">
            <v>129</v>
          </cell>
          <cell r="C156" t="str">
            <v>C</v>
          </cell>
          <cell r="D156" t="str">
            <v>T</v>
          </cell>
          <cell r="E156" t="str">
            <v>Mganja - Kabulika</v>
          </cell>
          <cell r="F156" t="str">
            <v>S127</v>
          </cell>
          <cell r="G156">
            <v>4</v>
          </cell>
          <cell r="H156">
            <v>8.5</v>
          </cell>
          <cell r="I156" t="str">
            <v>R</v>
          </cell>
          <cell r="J156" t="str">
            <v>DEDZA</v>
          </cell>
          <cell r="K156">
            <v>7</v>
          </cell>
          <cell r="L156">
            <v>0</v>
          </cell>
          <cell r="W156">
            <v>73</v>
          </cell>
          <cell r="X156" t="str">
            <v>ST</v>
          </cell>
          <cell r="Y156">
            <v>100</v>
          </cell>
          <cell r="Z156" t="str">
            <v>GR</v>
          </cell>
          <cell r="AA156">
            <v>100</v>
          </cell>
          <cell r="AB156" t="str">
            <v>GR</v>
          </cell>
          <cell r="AC156">
            <v>5</v>
          </cell>
          <cell r="AD156" t="str">
            <v>PM</v>
          </cell>
          <cell r="AE156">
            <v>0</v>
          </cell>
          <cell r="AF156">
            <v>0</v>
          </cell>
          <cell r="AG156">
            <v>0</v>
          </cell>
          <cell r="AH156">
            <v>0</v>
          </cell>
          <cell r="AI156">
            <v>0</v>
          </cell>
          <cell r="AJ156">
            <v>0</v>
          </cell>
          <cell r="AK156">
            <v>0</v>
          </cell>
          <cell r="AL156">
            <v>0</v>
          </cell>
          <cell r="AM156">
            <v>1</v>
          </cell>
          <cell r="AN156" t="str">
            <v>never resealed</v>
          </cell>
          <cell r="BO156" t="str">
            <v>RS 307</v>
          </cell>
          <cell r="BP156">
            <v>8.5</v>
          </cell>
          <cell r="BQ156">
            <v>5.5</v>
          </cell>
          <cell r="BR156" t="str">
            <v>R</v>
          </cell>
          <cell r="BS156">
            <v>0</v>
          </cell>
          <cell r="BT156">
            <v>0</v>
          </cell>
          <cell r="BU156" t="str">
            <v>ST</v>
          </cell>
          <cell r="BV156" t="str">
            <v/>
          </cell>
          <cell r="BW156">
            <v>1</v>
          </cell>
          <cell r="BX156">
            <v>10</v>
          </cell>
          <cell r="BY156" t="str">
            <v xml:space="preserve"> </v>
          </cell>
          <cell r="BZ156">
            <v>1</v>
          </cell>
          <cell r="CA156">
            <v>5</v>
          </cell>
          <cell r="CB156">
            <v>0.90800000000000003</v>
          </cell>
          <cell r="CC156">
            <v>5</v>
          </cell>
          <cell r="CD156">
            <v>30</v>
          </cell>
          <cell r="CE156">
            <v>15</v>
          </cell>
          <cell r="CF156">
            <v>0</v>
          </cell>
          <cell r="CG156">
            <v>30</v>
          </cell>
          <cell r="CH156">
            <v>15</v>
          </cell>
          <cell r="CI156">
            <v>5</v>
          </cell>
          <cell r="CJ156">
            <v>1.8181818181818181E-2</v>
          </cell>
          <cell r="CK156">
            <v>1.8181818181818181E-2</v>
          </cell>
          <cell r="CL156">
            <v>0</v>
          </cell>
          <cell r="CM156">
            <v>7.0489510489510484E-3</v>
          </cell>
          <cell r="CN156">
            <v>7.0489510489510484E-3</v>
          </cell>
          <cell r="CO156">
            <v>0</v>
          </cell>
          <cell r="CP156">
            <v>0</v>
          </cell>
          <cell r="CQ156">
            <v>5.0070489510489509</v>
          </cell>
          <cell r="CR156">
            <v>3</v>
          </cell>
          <cell r="CS156">
            <v>1</v>
          </cell>
          <cell r="CT156">
            <v>0</v>
          </cell>
          <cell r="CU156">
            <v>0</v>
          </cell>
          <cell r="CV156">
            <v>25</v>
          </cell>
          <cell r="CW156">
            <v>25</v>
          </cell>
          <cell r="CX156" t="str">
            <v xml:space="preserve"> </v>
          </cell>
          <cell r="CY156">
            <v>1.3</v>
          </cell>
          <cell r="CZ156">
            <v>1.2</v>
          </cell>
          <cell r="DA156">
            <v>1.3</v>
          </cell>
          <cell r="DB156">
            <v>40</v>
          </cell>
          <cell r="DC156">
            <v>19</v>
          </cell>
          <cell r="DD156">
            <v>11</v>
          </cell>
          <cell r="DE156">
            <v>3</v>
          </cell>
          <cell r="DF156">
            <v>5</v>
          </cell>
          <cell r="DG156">
            <v>1</v>
          </cell>
          <cell r="DH156">
            <v>1</v>
          </cell>
          <cell r="DI156">
            <v>2</v>
          </cell>
        </row>
        <row r="157">
          <cell r="A157" t="str">
            <v>RS 333</v>
          </cell>
          <cell r="B157">
            <v>155</v>
          </cell>
          <cell r="C157" t="str">
            <v>S</v>
          </cell>
          <cell r="D157" t="str">
            <v>T</v>
          </cell>
          <cell r="E157" t="str">
            <v>Mang'oma - Nsandu</v>
          </cell>
          <cell r="F157" t="str">
            <v>S128</v>
          </cell>
          <cell r="G157">
            <v>1</v>
          </cell>
          <cell r="H157">
            <v>11.6</v>
          </cell>
          <cell r="I157" t="str">
            <v>F</v>
          </cell>
          <cell r="J157" t="str">
            <v>MANGOCHI</v>
          </cell>
          <cell r="K157">
            <v>7</v>
          </cell>
          <cell r="L157" t="str">
            <v>Changed designation from M15 to S128</v>
          </cell>
          <cell r="W157">
            <v>74</v>
          </cell>
          <cell r="X157" t="str">
            <v>ST</v>
          </cell>
          <cell r="Y157">
            <v>100</v>
          </cell>
          <cell r="Z157" t="str">
            <v>GR</v>
          </cell>
          <cell r="AA157">
            <v>100</v>
          </cell>
          <cell r="AB157" t="str">
            <v>GR</v>
          </cell>
          <cell r="AC157">
            <v>7</v>
          </cell>
          <cell r="AD157" t="str">
            <v>PM</v>
          </cell>
          <cell r="AE157">
            <v>0</v>
          </cell>
          <cell r="AF157">
            <v>0</v>
          </cell>
          <cell r="AG157">
            <v>0</v>
          </cell>
          <cell r="AH157">
            <v>0</v>
          </cell>
          <cell r="AI157">
            <v>0</v>
          </cell>
          <cell r="AJ157">
            <v>0</v>
          </cell>
          <cell r="AK157">
            <v>0</v>
          </cell>
          <cell r="AL157">
            <v>0</v>
          </cell>
          <cell r="AM157">
            <v>1</v>
          </cell>
          <cell r="AN157" t="str">
            <v>never resealed</v>
          </cell>
          <cell r="BO157" t="str">
            <v>RS 333</v>
          </cell>
          <cell r="BP157">
            <v>11.6</v>
          </cell>
          <cell r="BQ157">
            <v>6.7</v>
          </cell>
          <cell r="BR157" t="str">
            <v>F</v>
          </cell>
          <cell r="BS157">
            <v>0</v>
          </cell>
          <cell r="BT157">
            <v>0</v>
          </cell>
          <cell r="BU157" t="str">
            <v>ST</v>
          </cell>
          <cell r="BV157" t="str">
            <v/>
          </cell>
          <cell r="BW157">
            <v>1</v>
          </cell>
          <cell r="BX157">
            <v>10</v>
          </cell>
          <cell r="BY157" t="str">
            <v xml:space="preserve"> </v>
          </cell>
          <cell r="BZ157">
            <v>1</v>
          </cell>
          <cell r="CA157">
            <v>7</v>
          </cell>
          <cell r="CB157">
            <v>0.90800000000000003</v>
          </cell>
          <cell r="CC157">
            <v>6.38</v>
          </cell>
          <cell r="CD157">
            <v>95</v>
          </cell>
          <cell r="CE157">
            <v>75</v>
          </cell>
          <cell r="CF157">
            <v>60</v>
          </cell>
          <cell r="CG157">
            <v>35</v>
          </cell>
          <cell r="CH157">
            <v>15</v>
          </cell>
          <cell r="CI157">
            <v>25</v>
          </cell>
          <cell r="CJ157">
            <v>7.4626865671641798E-2</v>
          </cell>
          <cell r="CK157">
            <v>10</v>
          </cell>
          <cell r="CL157">
            <v>60</v>
          </cell>
          <cell r="CM157">
            <v>0.52510907003444307</v>
          </cell>
          <cell r="CN157">
            <v>0.52510907003444307</v>
          </cell>
          <cell r="CO157">
            <v>0</v>
          </cell>
          <cell r="CP157">
            <v>0</v>
          </cell>
          <cell r="CQ157">
            <v>6.9051090700344426</v>
          </cell>
          <cell r="CR157">
            <v>80</v>
          </cell>
          <cell r="CS157">
            <v>1.6</v>
          </cell>
          <cell r="CT157">
            <v>3.0000000000000004</v>
          </cell>
          <cell r="CU157">
            <v>1.2000000000000002</v>
          </cell>
          <cell r="CV157">
            <v>24</v>
          </cell>
          <cell r="CW157">
            <v>24</v>
          </cell>
          <cell r="CX157" t="str">
            <v xml:space="preserve"> </v>
          </cell>
          <cell r="CY157">
            <v>3</v>
          </cell>
          <cell r="CZ157">
            <v>3</v>
          </cell>
          <cell r="DA157">
            <v>1</v>
          </cell>
          <cell r="DB157">
            <v>1000</v>
          </cell>
          <cell r="DC157">
            <v>470</v>
          </cell>
          <cell r="DD157">
            <v>260</v>
          </cell>
          <cell r="DE157">
            <v>75</v>
          </cell>
          <cell r="DF157">
            <v>115</v>
          </cell>
          <cell r="DG157">
            <v>20</v>
          </cell>
          <cell r="DH157">
            <v>10</v>
          </cell>
          <cell r="DI157">
            <v>50</v>
          </cell>
        </row>
        <row r="158">
          <cell r="A158" t="str">
            <v>RS 354</v>
          </cell>
          <cell r="B158">
            <v>176</v>
          </cell>
          <cell r="C158" t="str">
            <v>S</v>
          </cell>
          <cell r="D158" t="str">
            <v>T</v>
          </cell>
          <cell r="E158" t="str">
            <v>Naminga - Malipa</v>
          </cell>
          <cell r="F158" t="str">
            <v>S131</v>
          </cell>
          <cell r="G158">
            <v>9</v>
          </cell>
          <cell r="H158">
            <v>5.2</v>
          </cell>
          <cell r="I158" t="str">
            <v>R</v>
          </cell>
          <cell r="J158" t="str">
            <v>MACHINGA</v>
          </cell>
          <cell r="K158">
            <v>8</v>
          </cell>
          <cell r="L158">
            <v>0</v>
          </cell>
          <cell r="W158">
            <v>83</v>
          </cell>
          <cell r="X158" t="str">
            <v>DS</v>
          </cell>
          <cell r="Y158">
            <v>100</v>
          </cell>
          <cell r="Z158" t="str">
            <v>GR</v>
          </cell>
          <cell r="AA158">
            <v>100</v>
          </cell>
          <cell r="AB158" t="str">
            <v>GR</v>
          </cell>
          <cell r="AC158">
            <v>5</v>
          </cell>
          <cell r="AD158">
            <v>0</v>
          </cell>
          <cell r="AE158">
            <v>0</v>
          </cell>
          <cell r="AF158">
            <v>0</v>
          </cell>
          <cell r="AG158">
            <v>0</v>
          </cell>
          <cell r="AH158">
            <v>0</v>
          </cell>
          <cell r="AI158">
            <v>0</v>
          </cell>
          <cell r="AJ158">
            <v>0</v>
          </cell>
          <cell r="AK158">
            <v>0</v>
          </cell>
          <cell r="AL158">
            <v>0</v>
          </cell>
          <cell r="AM158">
            <v>1</v>
          </cell>
          <cell r="AN158" t="str">
            <v>never resealed</v>
          </cell>
          <cell r="BO158" t="str">
            <v>RS 354</v>
          </cell>
          <cell r="BP158">
            <v>5.2</v>
          </cell>
          <cell r="BQ158">
            <v>6.7</v>
          </cell>
          <cell r="BR158" t="str">
            <v>R</v>
          </cell>
          <cell r="BS158">
            <v>0</v>
          </cell>
          <cell r="BT158">
            <v>0</v>
          </cell>
          <cell r="BU158" t="str">
            <v>DS</v>
          </cell>
          <cell r="BV158" t="str">
            <v/>
          </cell>
          <cell r="BW158">
            <v>1</v>
          </cell>
          <cell r="BX158">
            <v>15</v>
          </cell>
          <cell r="BY158" t="str">
            <v xml:space="preserve"> </v>
          </cell>
          <cell r="BZ158">
            <v>1</v>
          </cell>
          <cell r="CA158">
            <v>5</v>
          </cell>
          <cell r="CB158">
            <v>1.077</v>
          </cell>
          <cell r="CC158">
            <v>3</v>
          </cell>
          <cell r="CD158">
            <v>10</v>
          </cell>
          <cell r="CE158">
            <v>5</v>
          </cell>
          <cell r="CF158">
            <v>0</v>
          </cell>
          <cell r="CG158">
            <v>10</v>
          </cell>
          <cell r="CH158">
            <v>5</v>
          </cell>
          <cell r="CI158">
            <v>2</v>
          </cell>
          <cell r="CJ158">
            <v>5.9701492537313433E-3</v>
          </cell>
          <cell r="CK158">
            <v>5.9701492537313433E-3</v>
          </cell>
          <cell r="CL158">
            <v>0</v>
          </cell>
          <cell r="CM158">
            <v>2.3145809414466131E-3</v>
          </cell>
          <cell r="CN158">
            <v>2.3145809414466131E-3</v>
          </cell>
          <cell r="CO158">
            <v>0</v>
          </cell>
          <cell r="CP158">
            <v>0</v>
          </cell>
          <cell r="CQ158">
            <v>3.0023145809414467</v>
          </cell>
          <cell r="CR158">
            <v>0</v>
          </cell>
          <cell r="CS158">
            <v>1</v>
          </cell>
          <cell r="CT158">
            <v>0</v>
          </cell>
          <cell r="CU158">
            <v>0</v>
          </cell>
          <cell r="CV158">
            <v>15</v>
          </cell>
          <cell r="CW158">
            <v>15</v>
          </cell>
          <cell r="CX158" t="str">
            <v xml:space="preserve"> </v>
          </cell>
          <cell r="CY158">
            <v>1.5</v>
          </cell>
          <cell r="CZ158">
            <v>1.5</v>
          </cell>
          <cell r="DA158">
            <v>1.5</v>
          </cell>
          <cell r="DB158">
            <v>150</v>
          </cell>
          <cell r="DC158">
            <v>71</v>
          </cell>
          <cell r="DD158">
            <v>39</v>
          </cell>
          <cell r="DE158">
            <v>12</v>
          </cell>
          <cell r="DF158">
            <v>18</v>
          </cell>
          <cell r="DG158">
            <v>3</v>
          </cell>
          <cell r="DH158">
            <v>2</v>
          </cell>
          <cell r="DI158">
            <v>8</v>
          </cell>
        </row>
        <row r="159">
          <cell r="A159" t="str">
            <v>RS 348</v>
          </cell>
          <cell r="B159">
            <v>170</v>
          </cell>
          <cell r="C159" t="str">
            <v>S</v>
          </cell>
          <cell r="D159" t="str">
            <v>T</v>
          </cell>
          <cell r="E159" t="str">
            <v>Malipa - Liwonde (junction M3)</v>
          </cell>
          <cell r="F159" t="str">
            <v>S131</v>
          </cell>
          <cell r="G159">
            <v>10</v>
          </cell>
          <cell r="H159">
            <v>19.100000000000001</v>
          </cell>
          <cell r="I159" t="str">
            <v>R</v>
          </cell>
          <cell r="J159" t="str">
            <v>MACHINGA</v>
          </cell>
          <cell r="K159">
            <v>8</v>
          </cell>
          <cell r="L159">
            <v>0</v>
          </cell>
          <cell r="W159">
            <v>83</v>
          </cell>
          <cell r="X159" t="str">
            <v>DS</v>
          </cell>
          <cell r="Y159">
            <v>100</v>
          </cell>
          <cell r="Z159" t="str">
            <v>GR</v>
          </cell>
          <cell r="AA159">
            <v>100</v>
          </cell>
          <cell r="AB159" t="str">
            <v>GR</v>
          </cell>
          <cell r="AC159">
            <v>6</v>
          </cell>
          <cell r="AD159">
            <v>0</v>
          </cell>
          <cell r="AE159">
            <v>0</v>
          </cell>
          <cell r="AF159">
            <v>0</v>
          </cell>
          <cell r="AG159">
            <v>0</v>
          </cell>
          <cell r="AH159">
            <v>0</v>
          </cell>
          <cell r="AI159">
            <v>0</v>
          </cell>
          <cell r="AJ159">
            <v>0</v>
          </cell>
          <cell r="AK159">
            <v>0</v>
          </cell>
          <cell r="AL159">
            <v>0</v>
          </cell>
          <cell r="AM159">
            <v>1</v>
          </cell>
          <cell r="AN159" t="str">
            <v>never resealed</v>
          </cell>
          <cell r="BO159" t="str">
            <v>RS 348</v>
          </cell>
          <cell r="BP159">
            <v>19.100000000000001</v>
          </cell>
          <cell r="BQ159">
            <v>6.7</v>
          </cell>
          <cell r="BR159" t="str">
            <v>R</v>
          </cell>
          <cell r="BS159">
            <v>0</v>
          </cell>
          <cell r="BT159">
            <v>0</v>
          </cell>
          <cell r="BU159" t="str">
            <v>DS</v>
          </cell>
          <cell r="BV159" t="str">
            <v/>
          </cell>
          <cell r="BW159">
            <v>1</v>
          </cell>
          <cell r="BX159">
            <v>15</v>
          </cell>
          <cell r="BY159" t="str">
            <v xml:space="preserve"> </v>
          </cell>
          <cell r="BZ159">
            <v>1</v>
          </cell>
          <cell r="CA159">
            <v>6</v>
          </cell>
          <cell r="CB159">
            <v>1.077</v>
          </cell>
          <cell r="CC159">
            <v>3</v>
          </cell>
          <cell r="CD159">
            <v>10</v>
          </cell>
          <cell r="CE159">
            <v>5</v>
          </cell>
          <cell r="CF159">
            <v>0</v>
          </cell>
          <cell r="CG159">
            <v>10</v>
          </cell>
          <cell r="CH159">
            <v>5</v>
          </cell>
          <cell r="CI159">
            <v>2</v>
          </cell>
          <cell r="CJ159">
            <v>5.9701492537313433E-3</v>
          </cell>
          <cell r="CK159">
            <v>5.9701492537313433E-3</v>
          </cell>
          <cell r="CL159">
            <v>0</v>
          </cell>
          <cell r="CM159">
            <v>2.3145809414466131E-3</v>
          </cell>
          <cell r="CN159">
            <v>2.3145809414466131E-3</v>
          </cell>
          <cell r="CO159">
            <v>0</v>
          </cell>
          <cell r="CP159">
            <v>0</v>
          </cell>
          <cell r="CQ159">
            <v>3.0023145809414467</v>
          </cell>
          <cell r="CR159">
            <v>0</v>
          </cell>
          <cell r="CS159">
            <v>1</v>
          </cell>
          <cell r="CT159">
            <v>0</v>
          </cell>
          <cell r="CU159">
            <v>0</v>
          </cell>
          <cell r="CV159">
            <v>15</v>
          </cell>
          <cell r="CW159">
            <v>15</v>
          </cell>
          <cell r="CX159" t="str">
            <v xml:space="preserve"> </v>
          </cell>
          <cell r="CY159">
            <v>1.5</v>
          </cell>
          <cell r="CZ159">
            <v>1.5</v>
          </cell>
          <cell r="DA159">
            <v>1.5</v>
          </cell>
          <cell r="DB159">
            <v>150</v>
          </cell>
          <cell r="DC159">
            <v>71</v>
          </cell>
          <cell r="DD159">
            <v>39</v>
          </cell>
          <cell r="DE159">
            <v>12</v>
          </cell>
          <cell r="DF159">
            <v>18</v>
          </cell>
          <cell r="DG159">
            <v>3</v>
          </cell>
          <cell r="DH159">
            <v>2</v>
          </cell>
          <cell r="DI159">
            <v>8</v>
          </cell>
        </row>
        <row r="160">
          <cell r="A160" t="str">
            <v>RS 382</v>
          </cell>
          <cell r="B160">
            <v>204</v>
          </cell>
          <cell r="C160" t="str">
            <v>S</v>
          </cell>
          <cell r="D160" t="str">
            <v>T</v>
          </cell>
          <cell r="E160" t="str">
            <v>Chileka Airport - Chirimba (junction M1)</v>
          </cell>
          <cell r="F160" t="str">
            <v>S137</v>
          </cell>
          <cell r="G160">
            <v>6</v>
          </cell>
          <cell r="H160">
            <v>8.3000000000000007</v>
          </cell>
          <cell r="I160" t="str">
            <v>H</v>
          </cell>
          <cell r="J160" t="str">
            <v>BLANTYRE</v>
          </cell>
          <cell r="K160">
            <v>9</v>
          </cell>
          <cell r="L160">
            <v>0</v>
          </cell>
          <cell r="W160">
            <v>65</v>
          </cell>
          <cell r="X160" t="str">
            <v>DS</v>
          </cell>
          <cell r="Y160">
            <v>100</v>
          </cell>
          <cell r="Z160" t="str">
            <v>GR</v>
          </cell>
          <cell r="AA160">
            <v>100</v>
          </cell>
          <cell r="AB160" t="str">
            <v>GR</v>
          </cell>
          <cell r="AC160">
            <v>6</v>
          </cell>
          <cell r="AD160">
            <v>0</v>
          </cell>
          <cell r="AE160">
            <v>0</v>
          </cell>
          <cell r="AF160">
            <v>0</v>
          </cell>
          <cell r="AG160">
            <v>0</v>
          </cell>
          <cell r="AH160">
            <v>0</v>
          </cell>
          <cell r="AI160">
            <v>0</v>
          </cell>
          <cell r="AJ160">
            <v>0</v>
          </cell>
          <cell r="AK160">
            <v>0</v>
          </cell>
          <cell r="AL160">
            <v>0</v>
          </cell>
          <cell r="AM160">
            <v>1</v>
          </cell>
          <cell r="AN160" t="str">
            <v>never resealed</v>
          </cell>
          <cell r="BO160" t="str">
            <v>RS 382</v>
          </cell>
          <cell r="BP160">
            <v>8.3000000000000007</v>
          </cell>
          <cell r="BQ160">
            <v>6.5</v>
          </cell>
          <cell r="BR160" t="str">
            <v>H</v>
          </cell>
          <cell r="BS160">
            <v>0</v>
          </cell>
          <cell r="BT160">
            <v>0</v>
          </cell>
          <cell r="BU160" t="str">
            <v>DS</v>
          </cell>
          <cell r="BV160" t="str">
            <v/>
          </cell>
          <cell r="BW160">
            <v>1</v>
          </cell>
          <cell r="BX160">
            <v>15</v>
          </cell>
          <cell r="BY160" t="str">
            <v xml:space="preserve"> </v>
          </cell>
          <cell r="BZ160">
            <v>1</v>
          </cell>
          <cell r="CA160">
            <v>6</v>
          </cell>
          <cell r="CB160">
            <v>1.077</v>
          </cell>
          <cell r="CC160">
            <v>7</v>
          </cell>
          <cell r="CD160">
            <v>90</v>
          </cell>
          <cell r="CE160">
            <v>75</v>
          </cell>
          <cell r="CF160">
            <v>60</v>
          </cell>
          <cell r="CG160">
            <v>30</v>
          </cell>
          <cell r="CH160">
            <v>15</v>
          </cell>
          <cell r="CI160">
            <v>47</v>
          </cell>
          <cell r="CJ160">
            <v>0.14461538461538462</v>
          </cell>
          <cell r="CK160">
            <v>10</v>
          </cell>
          <cell r="CL160">
            <v>60</v>
          </cell>
          <cell r="CM160">
            <v>0.55154319526627205</v>
          </cell>
          <cell r="CN160">
            <v>0.55154319526627205</v>
          </cell>
          <cell r="CO160">
            <v>0</v>
          </cell>
          <cell r="CP160">
            <v>0</v>
          </cell>
          <cell r="CQ160">
            <v>7.5515431952662722</v>
          </cell>
          <cell r="CR160">
            <v>0</v>
          </cell>
          <cell r="CS160">
            <v>1</v>
          </cell>
          <cell r="CT160">
            <v>0</v>
          </cell>
          <cell r="CU160">
            <v>0</v>
          </cell>
          <cell r="CV160">
            <v>33</v>
          </cell>
          <cell r="CW160">
            <v>33</v>
          </cell>
          <cell r="CX160" t="str">
            <v xml:space="preserve"> </v>
          </cell>
          <cell r="CY160">
            <v>2.5</v>
          </cell>
          <cell r="CZ160">
            <v>2</v>
          </cell>
          <cell r="DA160">
            <v>2.5</v>
          </cell>
          <cell r="DB160">
            <v>860</v>
          </cell>
          <cell r="DC160">
            <v>405</v>
          </cell>
          <cell r="DD160">
            <v>224</v>
          </cell>
          <cell r="DE160">
            <v>65</v>
          </cell>
          <cell r="DF160">
            <v>99</v>
          </cell>
          <cell r="DG160">
            <v>18</v>
          </cell>
          <cell r="DH160">
            <v>9</v>
          </cell>
          <cell r="DI160">
            <v>43</v>
          </cell>
        </row>
        <row r="161">
          <cell r="A161" t="str">
            <v>RS 391</v>
          </cell>
          <cell r="B161">
            <v>213</v>
          </cell>
          <cell r="C161" t="str">
            <v>S</v>
          </cell>
          <cell r="D161" t="str">
            <v>T</v>
          </cell>
          <cell r="E161" t="str">
            <v>Kuntiya - junction M3</v>
          </cell>
          <cell r="F161" t="str">
            <v>S139</v>
          </cell>
          <cell r="G161">
            <v>6</v>
          </cell>
          <cell r="H161">
            <v>2.1</v>
          </cell>
          <cell r="I161" t="str">
            <v>H</v>
          </cell>
          <cell r="J161" t="str">
            <v>ZOMBA CITY</v>
          </cell>
          <cell r="K161">
            <v>9</v>
          </cell>
          <cell r="L161" t="str">
            <v>Changed designation from S142 to S139</v>
          </cell>
          <cell r="W161">
            <v>67</v>
          </cell>
          <cell r="X161" t="str">
            <v>ST</v>
          </cell>
          <cell r="Y161">
            <v>100</v>
          </cell>
          <cell r="Z161" t="str">
            <v>GR</v>
          </cell>
          <cell r="AA161">
            <v>100</v>
          </cell>
          <cell r="AB161" t="str">
            <v>GR</v>
          </cell>
          <cell r="AC161">
            <v>5</v>
          </cell>
          <cell r="AD161">
            <v>0</v>
          </cell>
          <cell r="AE161">
            <v>0</v>
          </cell>
          <cell r="AF161">
            <v>0</v>
          </cell>
          <cell r="AG161">
            <v>0</v>
          </cell>
          <cell r="AH161">
            <v>0</v>
          </cell>
          <cell r="AI161">
            <v>0</v>
          </cell>
          <cell r="AJ161">
            <v>0</v>
          </cell>
          <cell r="AK161">
            <v>0</v>
          </cell>
          <cell r="AL161">
            <v>0</v>
          </cell>
          <cell r="AM161">
            <v>1</v>
          </cell>
          <cell r="AN161" t="str">
            <v>never resealed</v>
          </cell>
          <cell r="BO161" t="str">
            <v>RS 391</v>
          </cell>
          <cell r="BP161">
            <v>2.1</v>
          </cell>
          <cell r="BQ161">
            <v>5.5</v>
          </cell>
          <cell r="BR161" t="str">
            <v>H</v>
          </cell>
          <cell r="BS161">
            <v>0</v>
          </cell>
          <cell r="BT161">
            <v>0</v>
          </cell>
          <cell r="BU161" t="str">
            <v>ST</v>
          </cell>
          <cell r="BV161" t="str">
            <v/>
          </cell>
          <cell r="BW161">
            <v>1</v>
          </cell>
          <cell r="BX161">
            <v>10</v>
          </cell>
          <cell r="BY161" t="str">
            <v xml:space="preserve"> </v>
          </cell>
          <cell r="BZ161">
            <v>1</v>
          </cell>
          <cell r="CA161">
            <v>5</v>
          </cell>
          <cell r="CB161">
            <v>0.90800000000000003</v>
          </cell>
          <cell r="CC161">
            <v>5</v>
          </cell>
          <cell r="CD161">
            <v>85</v>
          </cell>
          <cell r="CE161">
            <v>55</v>
          </cell>
          <cell r="CF161">
            <v>40</v>
          </cell>
          <cell r="CG161">
            <v>45</v>
          </cell>
          <cell r="CH161">
            <v>15</v>
          </cell>
          <cell r="CI161">
            <v>15</v>
          </cell>
          <cell r="CJ161">
            <v>5.454545454545455E-2</v>
          </cell>
          <cell r="CK161">
            <v>10</v>
          </cell>
          <cell r="CL161">
            <v>40</v>
          </cell>
          <cell r="CM161">
            <v>0.38521678321678315</v>
          </cell>
          <cell r="CN161">
            <v>0.38521678321678315</v>
          </cell>
          <cell r="CO161">
            <v>0</v>
          </cell>
          <cell r="CP161">
            <v>0</v>
          </cell>
          <cell r="CQ161">
            <v>5.3852167832167828</v>
          </cell>
          <cell r="CR161">
            <v>0</v>
          </cell>
          <cell r="CS161">
            <v>1</v>
          </cell>
          <cell r="CT161">
            <v>0</v>
          </cell>
          <cell r="CU161">
            <v>0</v>
          </cell>
          <cell r="CV161">
            <v>31</v>
          </cell>
          <cell r="CW161">
            <v>31</v>
          </cell>
          <cell r="CX161" t="str">
            <v xml:space="preserve"> </v>
          </cell>
          <cell r="CY161">
            <v>2</v>
          </cell>
          <cell r="CZ161">
            <v>1.5</v>
          </cell>
          <cell r="DA161">
            <v>2</v>
          </cell>
          <cell r="DB161">
            <v>65</v>
          </cell>
          <cell r="DC161">
            <v>31</v>
          </cell>
          <cell r="DD161">
            <v>17</v>
          </cell>
          <cell r="DE161">
            <v>5</v>
          </cell>
          <cell r="DF161">
            <v>8</v>
          </cell>
          <cell r="DG161">
            <v>2</v>
          </cell>
          <cell r="DH161">
            <v>1</v>
          </cell>
          <cell r="DI161">
            <v>4</v>
          </cell>
        </row>
        <row r="162">
          <cell r="A162" t="str">
            <v>RS 393</v>
          </cell>
          <cell r="B162">
            <v>215</v>
          </cell>
          <cell r="C162" t="str">
            <v>S</v>
          </cell>
          <cell r="D162" t="str">
            <v>T</v>
          </cell>
          <cell r="E162" t="str">
            <v>M3 junction - Ndege (Air Wing)</v>
          </cell>
          <cell r="F162" t="str">
            <v>S143</v>
          </cell>
          <cell r="G162">
            <v>1</v>
          </cell>
          <cell r="H162">
            <v>3.9</v>
          </cell>
          <cell r="I162" t="str">
            <v>F</v>
          </cell>
          <cell r="J162" t="str">
            <v>ZOMBA</v>
          </cell>
          <cell r="K162">
            <v>9</v>
          </cell>
          <cell r="L162">
            <v>0</v>
          </cell>
          <cell r="W162">
            <v>83</v>
          </cell>
          <cell r="X162" t="str">
            <v>ST</v>
          </cell>
          <cell r="Y162">
            <v>100</v>
          </cell>
          <cell r="Z162" t="str">
            <v>GR</v>
          </cell>
          <cell r="AA162">
            <v>100</v>
          </cell>
          <cell r="AB162" t="str">
            <v>GR</v>
          </cell>
          <cell r="AC162">
            <v>10</v>
          </cell>
          <cell r="AD162">
            <v>0</v>
          </cell>
          <cell r="AE162">
            <v>0</v>
          </cell>
          <cell r="AF162">
            <v>0</v>
          </cell>
          <cell r="AG162">
            <v>0</v>
          </cell>
          <cell r="AH162">
            <v>0</v>
          </cell>
          <cell r="AI162">
            <v>0</v>
          </cell>
          <cell r="AJ162">
            <v>0</v>
          </cell>
          <cell r="AK162">
            <v>0</v>
          </cell>
          <cell r="AL162">
            <v>0</v>
          </cell>
          <cell r="AM162">
            <v>1</v>
          </cell>
          <cell r="AN162" t="str">
            <v>never resealed</v>
          </cell>
          <cell r="BO162" t="str">
            <v>RS 393</v>
          </cell>
          <cell r="BP162">
            <v>3.9</v>
          </cell>
          <cell r="BQ162">
            <v>6</v>
          </cell>
          <cell r="BR162" t="str">
            <v>F</v>
          </cell>
          <cell r="BS162">
            <v>0</v>
          </cell>
          <cell r="BT162">
            <v>0</v>
          </cell>
          <cell r="BU162" t="str">
            <v>ST</v>
          </cell>
          <cell r="BV162" t="str">
            <v/>
          </cell>
          <cell r="BW162">
            <v>1</v>
          </cell>
          <cell r="BX162">
            <v>10</v>
          </cell>
          <cell r="BY162" t="str">
            <v xml:space="preserve"> </v>
          </cell>
          <cell r="BZ162">
            <v>1</v>
          </cell>
          <cell r="CA162">
            <v>10</v>
          </cell>
          <cell r="CB162">
            <v>0.90800000000000003</v>
          </cell>
          <cell r="CC162">
            <v>8.35</v>
          </cell>
          <cell r="CD162">
            <v>50</v>
          </cell>
          <cell r="CE162">
            <v>20</v>
          </cell>
          <cell r="CF162">
            <v>5</v>
          </cell>
          <cell r="CG162">
            <v>45</v>
          </cell>
          <cell r="CH162">
            <v>15</v>
          </cell>
          <cell r="CI162">
            <v>12</v>
          </cell>
          <cell r="CJ162">
            <v>4.0000000000000008E-2</v>
          </cell>
          <cell r="CK162">
            <v>5.04</v>
          </cell>
          <cell r="CL162">
            <v>5</v>
          </cell>
          <cell r="CM162">
            <v>9.8584615384615396E-2</v>
          </cell>
          <cell r="CN162">
            <v>9.8584615384615396E-2</v>
          </cell>
          <cell r="CO162">
            <v>0</v>
          </cell>
          <cell r="CP162">
            <v>0</v>
          </cell>
          <cell r="CQ162">
            <v>8.4485846153846147</v>
          </cell>
          <cell r="CR162">
            <v>0</v>
          </cell>
          <cell r="CS162">
            <v>1</v>
          </cell>
          <cell r="CT162">
            <v>0</v>
          </cell>
          <cell r="CU162">
            <v>0</v>
          </cell>
          <cell r="CV162">
            <v>15</v>
          </cell>
          <cell r="CW162">
            <v>15</v>
          </cell>
          <cell r="CX162" t="str">
            <v xml:space="preserve"> </v>
          </cell>
          <cell r="CY162">
            <v>1.5</v>
          </cell>
          <cell r="CZ162">
            <v>1.5</v>
          </cell>
          <cell r="DA162">
            <v>2</v>
          </cell>
          <cell r="DB162">
            <v>80</v>
          </cell>
          <cell r="DC162">
            <v>38</v>
          </cell>
          <cell r="DD162">
            <v>21</v>
          </cell>
          <cell r="DE162">
            <v>6</v>
          </cell>
          <cell r="DF162">
            <v>10</v>
          </cell>
          <cell r="DG162">
            <v>2</v>
          </cell>
          <cell r="DH162">
            <v>1</v>
          </cell>
          <cell r="DI162">
            <v>4</v>
          </cell>
        </row>
        <row r="163">
          <cell r="A163" t="str">
            <v>RS 406</v>
          </cell>
          <cell r="B163">
            <v>228</v>
          </cell>
          <cell r="C163" t="str">
            <v>S</v>
          </cell>
          <cell r="D163" t="str">
            <v>T</v>
          </cell>
          <cell r="E163" t="str">
            <v>Chiradzulu - Walala</v>
          </cell>
          <cell r="F163" t="str">
            <v>S146</v>
          </cell>
          <cell r="G163">
            <v>3</v>
          </cell>
          <cell r="H163">
            <v>11.7</v>
          </cell>
          <cell r="I163" t="str">
            <v>R</v>
          </cell>
          <cell r="J163" t="str">
            <v>CHIRADZULU</v>
          </cell>
          <cell r="K163">
            <v>9</v>
          </cell>
          <cell r="L163">
            <v>0</v>
          </cell>
          <cell r="W163">
            <v>80</v>
          </cell>
          <cell r="X163" t="str">
            <v>ST</v>
          </cell>
          <cell r="Y163">
            <v>150</v>
          </cell>
          <cell r="Z163" t="str">
            <v>GR</v>
          </cell>
          <cell r="AA163">
            <v>100</v>
          </cell>
          <cell r="AB163" t="str">
            <v>GR</v>
          </cell>
          <cell r="AC163">
            <v>5</v>
          </cell>
          <cell r="AD163" t="str">
            <v>PM</v>
          </cell>
          <cell r="AE163">
            <v>0</v>
          </cell>
          <cell r="AF163">
            <v>0</v>
          </cell>
          <cell r="AG163">
            <v>0</v>
          </cell>
          <cell r="AH163">
            <v>0</v>
          </cell>
          <cell r="AI163">
            <v>0</v>
          </cell>
          <cell r="AJ163">
            <v>0</v>
          </cell>
          <cell r="AK163">
            <v>0</v>
          </cell>
          <cell r="AL163">
            <v>0</v>
          </cell>
          <cell r="AM163">
            <v>1</v>
          </cell>
          <cell r="AN163" t="str">
            <v>never resealed</v>
          </cell>
          <cell r="BO163" t="str">
            <v>RS 406</v>
          </cell>
          <cell r="BP163">
            <v>11.7</v>
          </cell>
          <cell r="BQ163">
            <v>6.7</v>
          </cell>
          <cell r="BR163" t="str">
            <v>R</v>
          </cell>
          <cell r="BS163">
            <v>0</v>
          </cell>
          <cell r="BT163">
            <v>0</v>
          </cell>
          <cell r="BU163" t="str">
            <v>ST</v>
          </cell>
          <cell r="BV163" t="str">
            <v/>
          </cell>
          <cell r="BW163">
            <v>1</v>
          </cell>
          <cell r="BX163">
            <v>10</v>
          </cell>
          <cell r="BY163" t="str">
            <v xml:space="preserve"> </v>
          </cell>
          <cell r="BZ163">
            <v>1</v>
          </cell>
          <cell r="CA163">
            <v>5</v>
          </cell>
          <cell r="CB163">
            <v>0.90800000000000003</v>
          </cell>
          <cell r="CC163">
            <v>6.28</v>
          </cell>
          <cell r="CD163">
            <v>90</v>
          </cell>
          <cell r="CE163">
            <v>65</v>
          </cell>
          <cell r="CF163">
            <v>50</v>
          </cell>
          <cell r="CG163">
            <v>40</v>
          </cell>
          <cell r="CH163">
            <v>15</v>
          </cell>
          <cell r="CI163">
            <v>10</v>
          </cell>
          <cell r="CJ163">
            <v>2.9850746268656716E-2</v>
          </cell>
          <cell r="CK163">
            <v>10</v>
          </cell>
          <cell r="CL163">
            <v>50</v>
          </cell>
          <cell r="CM163">
            <v>0.44204362801377722</v>
          </cell>
          <cell r="CN163">
            <v>0.44204362801377722</v>
          </cell>
          <cell r="CO163">
            <v>0</v>
          </cell>
          <cell r="CP163">
            <v>0</v>
          </cell>
          <cell r="CQ163">
            <v>6.7220436280137772</v>
          </cell>
          <cell r="CR163">
            <v>0</v>
          </cell>
          <cell r="CS163">
            <v>1</v>
          </cell>
          <cell r="CT163">
            <v>0</v>
          </cell>
          <cell r="CU163">
            <v>0</v>
          </cell>
          <cell r="CV163">
            <v>18</v>
          </cell>
          <cell r="CW163">
            <v>18</v>
          </cell>
          <cell r="CX163" t="str">
            <v xml:space="preserve"> </v>
          </cell>
          <cell r="CY163">
            <v>2</v>
          </cell>
          <cell r="CZ163">
            <v>2</v>
          </cell>
          <cell r="DA163">
            <v>1.5</v>
          </cell>
          <cell r="DB163">
            <v>190</v>
          </cell>
          <cell r="DC163">
            <v>90</v>
          </cell>
          <cell r="DD163">
            <v>50</v>
          </cell>
          <cell r="DE163">
            <v>15</v>
          </cell>
          <cell r="DF163">
            <v>22</v>
          </cell>
          <cell r="DG163">
            <v>4</v>
          </cell>
          <cell r="DH163">
            <v>2</v>
          </cell>
          <cell r="DI163">
            <v>10</v>
          </cell>
        </row>
        <row r="164">
          <cell r="A164" t="str">
            <v>RS 407</v>
          </cell>
          <cell r="B164">
            <v>229</v>
          </cell>
          <cell r="C164" t="str">
            <v>S</v>
          </cell>
          <cell r="D164" t="str">
            <v>T</v>
          </cell>
          <cell r="E164" t="str">
            <v>Walala - Limbe (junction M3)</v>
          </cell>
          <cell r="F164" t="str">
            <v>S146</v>
          </cell>
          <cell r="G164">
            <v>4</v>
          </cell>
          <cell r="H164">
            <v>2.5</v>
          </cell>
          <cell r="I164" t="str">
            <v>R</v>
          </cell>
          <cell r="J164" t="str">
            <v>BLANTYRE</v>
          </cell>
          <cell r="K164">
            <v>9</v>
          </cell>
          <cell r="L164">
            <v>0</v>
          </cell>
          <cell r="W164">
            <v>80</v>
          </cell>
          <cell r="X164" t="str">
            <v>ST</v>
          </cell>
          <cell r="Y164">
            <v>150</v>
          </cell>
          <cell r="Z164" t="str">
            <v>GR</v>
          </cell>
          <cell r="AA164">
            <v>100</v>
          </cell>
          <cell r="AB164" t="str">
            <v>GR</v>
          </cell>
          <cell r="AC164">
            <v>5</v>
          </cell>
          <cell r="AD164" t="str">
            <v>PM</v>
          </cell>
          <cell r="AE164">
            <v>0</v>
          </cell>
          <cell r="AF164">
            <v>0</v>
          </cell>
          <cell r="AG164">
            <v>0</v>
          </cell>
          <cell r="AH164">
            <v>0</v>
          </cell>
          <cell r="AI164">
            <v>0</v>
          </cell>
          <cell r="AJ164">
            <v>0</v>
          </cell>
          <cell r="AK164">
            <v>0</v>
          </cell>
          <cell r="AL164">
            <v>0</v>
          </cell>
          <cell r="AM164">
            <v>1</v>
          </cell>
          <cell r="AN164" t="str">
            <v>never resealed</v>
          </cell>
          <cell r="BO164" t="str">
            <v>RS 407</v>
          </cell>
          <cell r="BP164">
            <v>2.5</v>
          </cell>
          <cell r="BQ164">
            <v>6.7</v>
          </cell>
          <cell r="BR164" t="str">
            <v>R</v>
          </cell>
          <cell r="BS164">
            <v>0</v>
          </cell>
          <cell r="BT164">
            <v>0</v>
          </cell>
          <cell r="BU164" t="str">
            <v>ST</v>
          </cell>
          <cell r="BV164" t="str">
            <v/>
          </cell>
          <cell r="BW164">
            <v>1</v>
          </cell>
          <cell r="BX164">
            <v>10</v>
          </cell>
          <cell r="BY164" t="str">
            <v xml:space="preserve"> </v>
          </cell>
          <cell r="BZ164">
            <v>1</v>
          </cell>
          <cell r="CA164">
            <v>5</v>
          </cell>
          <cell r="CB164">
            <v>0.90800000000000003</v>
          </cell>
          <cell r="CC164">
            <v>6.28</v>
          </cell>
          <cell r="CD164">
            <v>85</v>
          </cell>
          <cell r="CE164">
            <v>70</v>
          </cell>
          <cell r="CF164">
            <v>55</v>
          </cell>
          <cell r="CG164">
            <v>30</v>
          </cell>
          <cell r="CH164">
            <v>15</v>
          </cell>
          <cell r="CI164">
            <v>15</v>
          </cell>
          <cell r="CJ164">
            <v>4.4776119402985072E-2</v>
          </cell>
          <cell r="CK164">
            <v>10</v>
          </cell>
          <cell r="CL164">
            <v>55</v>
          </cell>
          <cell r="CM164">
            <v>0.48075774971297353</v>
          </cell>
          <cell r="CN164">
            <v>0.48075774971297353</v>
          </cell>
          <cell r="CO164">
            <v>0</v>
          </cell>
          <cell r="CP164">
            <v>0</v>
          </cell>
          <cell r="CQ164">
            <v>6.7607577497129734</v>
          </cell>
          <cell r="CR164">
            <v>0</v>
          </cell>
          <cell r="CS164">
            <v>1</v>
          </cell>
          <cell r="CT164">
            <v>0</v>
          </cell>
          <cell r="CU164">
            <v>0</v>
          </cell>
          <cell r="CV164">
            <v>18</v>
          </cell>
          <cell r="CW164">
            <v>18</v>
          </cell>
          <cell r="CX164" t="str">
            <v xml:space="preserve"> </v>
          </cell>
          <cell r="CY164">
            <v>2</v>
          </cell>
          <cell r="CZ164">
            <v>2</v>
          </cell>
          <cell r="DA164">
            <v>2</v>
          </cell>
          <cell r="DB164">
            <v>200</v>
          </cell>
          <cell r="DC164">
            <v>94</v>
          </cell>
          <cell r="DD164">
            <v>52</v>
          </cell>
          <cell r="DE164">
            <v>15</v>
          </cell>
          <cell r="DF164">
            <v>23</v>
          </cell>
          <cell r="DG164">
            <v>4</v>
          </cell>
          <cell r="DH164">
            <v>2</v>
          </cell>
          <cell r="DI164">
            <v>10</v>
          </cell>
        </row>
        <row r="165">
          <cell r="A165" t="str">
            <v>RS 462</v>
          </cell>
          <cell r="B165">
            <v>284</v>
          </cell>
          <cell r="C165" t="str">
            <v>N</v>
          </cell>
          <cell r="D165" t="str">
            <v>T</v>
          </cell>
          <cell r="E165" t="str">
            <v>Kalwe - Nkhata Bay</v>
          </cell>
          <cell r="F165" t="str">
            <v>T318</v>
          </cell>
          <cell r="G165">
            <v>1</v>
          </cell>
          <cell r="H165">
            <v>5.2</v>
          </cell>
          <cell r="I165" t="str">
            <v>F</v>
          </cell>
          <cell r="J165" t="str">
            <v>NKHATA BAY</v>
          </cell>
          <cell r="K165">
            <v>3</v>
          </cell>
          <cell r="L165" t="str">
            <v>Changed from feeder to trunk as bitumen road</v>
          </cell>
          <cell r="W165">
            <v>75</v>
          </cell>
          <cell r="X165" t="str">
            <v>ST</v>
          </cell>
          <cell r="Y165">
            <v>150</v>
          </cell>
          <cell r="Z165" t="str">
            <v>SG</v>
          </cell>
          <cell r="AA165">
            <v>100</v>
          </cell>
          <cell r="AB165" t="str">
            <v>GR</v>
          </cell>
          <cell r="AC165">
            <v>7</v>
          </cell>
          <cell r="AD165" t="str">
            <v>PM</v>
          </cell>
          <cell r="AE165">
            <v>0</v>
          </cell>
          <cell r="AF165">
            <v>0</v>
          </cell>
          <cell r="AG165">
            <v>0</v>
          </cell>
          <cell r="AH165">
            <v>0</v>
          </cell>
          <cell r="AI165">
            <v>0</v>
          </cell>
          <cell r="AJ165">
            <v>0</v>
          </cell>
          <cell r="AK165">
            <v>0</v>
          </cell>
          <cell r="AL165">
            <v>0</v>
          </cell>
          <cell r="AM165">
            <v>3</v>
          </cell>
          <cell r="AN165" t="str">
            <v>never resealed</v>
          </cell>
          <cell r="BO165" t="str">
            <v>RS 462</v>
          </cell>
          <cell r="BP165">
            <v>5.2</v>
          </cell>
          <cell r="BQ165">
            <v>5.5</v>
          </cell>
          <cell r="BR165" t="str">
            <v>F</v>
          </cell>
          <cell r="BS165" t="str">
            <v>C</v>
          </cell>
          <cell r="BT165">
            <v>0</v>
          </cell>
          <cell r="BU165" t="str">
            <v>ST</v>
          </cell>
          <cell r="BV165" t="str">
            <v/>
          </cell>
          <cell r="BW165">
            <v>3</v>
          </cell>
          <cell r="BX165">
            <v>10</v>
          </cell>
          <cell r="BY165" t="str">
            <v xml:space="preserve"> </v>
          </cell>
          <cell r="BZ165">
            <v>2</v>
          </cell>
          <cell r="CA165">
            <v>7</v>
          </cell>
          <cell r="CB165">
            <v>1.36</v>
          </cell>
          <cell r="CC165">
            <v>6.560767608637696</v>
          </cell>
          <cell r="CD165">
            <v>0</v>
          </cell>
          <cell r="CE165">
            <v>0</v>
          </cell>
          <cell r="CF165">
            <v>0</v>
          </cell>
          <cell r="CG165">
            <v>0</v>
          </cell>
          <cell r="CH165">
            <v>0</v>
          </cell>
          <cell r="CI165">
            <v>27</v>
          </cell>
          <cell r="CJ165">
            <v>9.8181818181818176E-2</v>
          </cell>
          <cell r="CK165">
            <v>9.8181818181818176E-2</v>
          </cell>
          <cell r="CL165">
            <v>0</v>
          </cell>
          <cell r="CM165">
            <v>3.8064335664335661E-2</v>
          </cell>
          <cell r="CN165">
            <v>3.8064335664335661E-2</v>
          </cell>
          <cell r="CO165">
            <v>0</v>
          </cell>
          <cell r="CP165">
            <v>0</v>
          </cell>
          <cell r="CQ165">
            <v>6.5988319443020318</v>
          </cell>
          <cell r="CR165">
            <v>0</v>
          </cell>
          <cell r="CS165">
            <v>1</v>
          </cell>
          <cell r="CT165">
            <v>0</v>
          </cell>
          <cell r="CU165">
            <v>0</v>
          </cell>
          <cell r="CV165">
            <v>23</v>
          </cell>
          <cell r="CW165">
            <v>23</v>
          </cell>
          <cell r="CX165" t="str">
            <v xml:space="preserve"> </v>
          </cell>
          <cell r="CY165">
            <v>2</v>
          </cell>
          <cell r="CZ165">
            <v>2</v>
          </cell>
          <cell r="DA165">
            <v>2</v>
          </cell>
          <cell r="DB165">
            <v>300</v>
          </cell>
          <cell r="DC165">
            <v>141</v>
          </cell>
          <cell r="DD165">
            <v>78</v>
          </cell>
          <cell r="DE165">
            <v>23</v>
          </cell>
          <cell r="DF165">
            <v>35</v>
          </cell>
          <cell r="DG165">
            <v>6</v>
          </cell>
          <cell r="DH165">
            <v>3</v>
          </cell>
          <cell r="DI165">
            <v>15</v>
          </cell>
        </row>
        <row r="166">
          <cell r="A166" t="str">
            <v>RS 235</v>
          </cell>
          <cell r="B166">
            <v>57</v>
          </cell>
          <cell r="C166" t="str">
            <v>C</v>
          </cell>
          <cell r="D166" t="str">
            <v>T</v>
          </cell>
          <cell r="E166" t="str">
            <v>Kamwendo - Matutu (junction S116)</v>
          </cell>
          <cell r="F166" t="str">
            <v>T334</v>
          </cell>
          <cell r="G166">
            <v>1</v>
          </cell>
          <cell r="H166">
            <v>16.899999999999999</v>
          </cell>
          <cell r="I166" t="str">
            <v>F</v>
          </cell>
          <cell r="J166" t="str">
            <v>MCHINJI</v>
          </cell>
          <cell r="K166">
            <v>6</v>
          </cell>
          <cell r="L166" t="str">
            <v>Changed designation from S116 to T334. Changed to trunk</v>
          </cell>
          <cell r="W166">
            <v>98</v>
          </cell>
          <cell r="X166" t="str">
            <v>DS</v>
          </cell>
          <cell r="Y166">
            <v>150</v>
          </cell>
          <cell r="Z166" t="str">
            <v>GR</v>
          </cell>
          <cell r="AA166">
            <v>150</v>
          </cell>
          <cell r="AB166" t="str">
            <v>GR</v>
          </cell>
          <cell r="AC166">
            <v>5</v>
          </cell>
          <cell r="AD166">
            <v>0</v>
          </cell>
          <cell r="AE166">
            <v>0</v>
          </cell>
          <cell r="AF166">
            <v>0</v>
          </cell>
          <cell r="AG166">
            <v>0</v>
          </cell>
          <cell r="AH166">
            <v>0</v>
          </cell>
          <cell r="AI166">
            <v>0</v>
          </cell>
          <cell r="AJ166">
            <v>0</v>
          </cell>
          <cell r="AK166">
            <v>0</v>
          </cell>
          <cell r="AL166">
            <v>0</v>
          </cell>
          <cell r="AM166">
            <v>1</v>
          </cell>
          <cell r="AN166" t="str">
            <v>never resealed</v>
          </cell>
          <cell r="BO166" t="str">
            <v>RS 235</v>
          </cell>
          <cell r="BP166">
            <v>16.899999999999999</v>
          </cell>
          <cell r="BQ166">
            <v>6.7</v>
          </cell>
          <cell r="BR166" t="str">
            <v>F</v>
          </cell>
          <cell r="BS166">
            <v>0</v>
          </cell>
          <cell r="BT166">
            <v>0</v>
          </cell>
          <cell r="BU166" t="str">
            <v>DS</v>
          </cell>
          <cell r="BV166" t="str">
            <v/>
          </cell>
          <cell r="BW166">
            <v>1</v>
          </cell>
          <cell r="BX166">
            <v>15</v>
          </cell>
          <cell r="BY166" t="str">
            <v xml:space="preserve"> </v>
          </cell>
          <cell r="BZ166">
            <v>1</v>
          </cell>
          <cell r="CA166">
            <v>5</v>
          </cell>
          <cell r="CB166">
            <v>1.5270000000000001</v>
          </cell>
          <cell r="CC166">
            <v>3.3</v>
          </cell>
          <cell r="CD166">
            <v>0</v>
          </cell>
          <cell r="CE166">
            <v>0</v>
          </cell>
          <cell r="CF166">
            <v>0</v>
          </cell>
          <cell r="CG166">
            <v>0</v>
          </cell>
          <cell r="CH166">
            <v>0</v>
          </cell>
          <cell r="CI166">
            <v>0</v>
          </cell>
          <cell r="CJ166">
            <v>0</v>
          </cell>
          <cell r="CK166">
            <v>0</v>
          </cell>
          <cell r="CL166">
            <v>0</v>
          </cell>
          <cell r="CM166">
            <v>0</v>
          </cell>
          <cell r="CN166">
            <v>0</v>
          </cell>
          <cell r="CO166">
            <v>0</v>
          </cell>
          <cell r="CP166">
            <v>0</v>
          </cell>
          <cell r="CQ166">
            <v>3.3</v>
          </cell>
          <cell r="CR166">
            <v>0</v>
          </cell>
          <cell r="CS166">
            <v>1</v>
          </cell>
          <cell r="CT166">
            <v>0</v>
          </cell>
          <cell r="CU166">
            <v>0</v>
          </cell>
          <cell r="CV166">
            <v>0</v>
          </cell>
          <cell r="CW166">
            <v>0</v>
          </cell>
          <cell r="CX166" t="str">
            <v xml:space="preserve"> </v>
          </cell>
          <cell r="CY166">
            <v>1</v>
          </cell>
          <cell r="CZ166">
            <v>1</v>
          </cell>
          <cell r="DA166">
            <v>1</v>
          </cell>
          <cell r="DB166">
            <v>80</v>
          </cell>
          <cell r="DC166">
            <v>38</v>
          </cell>
          <cell r="DD166">
            <v>21</v>
          </cell>
          <cell r="DE166">
            <v>6</v>
          </cell>
          <cell r="DF166">
            <v>10</v>
          </cell>
          <cell r="DG166">
            <v>2</v>
          </cell>
          <cell r="DH166">
            <v>1</v>
          </cell>
          <cell r="DI166">
            <v>4</v>
          </cell>
        </row>
        <row r="167">
          <cell r="A167" t="str">
            <v>RS 153</v>
          </cell>
          <cell r="B167">
            <v>153</v>
          </cell>
          <cell r="C167" t="str">
            <v>C</v>
          </cell>
          <cell r="D167" t="str">
            <v>U</v>
          </cell>
          <cell r="E167" t="str">
            <v>Chidzanja Road</v>
          </cell>
          <cell r="F167" t="str">
            <v>Urban</v>
          </cell>
          <cell r="G167">
            <v>1</v>
          </cell>
          <cell r="H167">
            <v>6.5</v>
          </cell>
          <cell r="I167" t="str">
            <v>R</v>
          </cell>
          <cell r="J167" t="str">
            <v>LILONGWE CITY</v>
          </cell>
          <cell r="K167" t="str">
            <v>C</v>
          </cell>
          <cell r="L167">
            <v>0</v>
          </cell>
          <cell r="W167">
            <v>83</v>
          </cell>
          <cell r="X167" t="str">
            <v>SA</v>
          </cell>
          <cell r="Y167">
            <v>150</v>
          </cell>
          <cell r="Z167" t="str">
            <v>GR</v>
          </cell>
          <cell r="AA167">
            <v>100</v>
          </cell>
          <cell r="AB167" t="str">
            <v>GR</v>
          </cell>
          <cell r="AC167">
            <v>5</v>
          </cell>
          <cell r="AD167" t="str">
            <v>CC</v>
          </cell>
          <cell r="AE167">
            <v>97</v>
          </cell>
          <cell r="AF167" t="str">
            <v>SS</v>
          </cell>
          <cell r="AG167" t="str">
            <v>SS</v>
          </cell>
          <cell r="AH167">
            <v>5</v>
          </cell>
          <cell r="AI167">
            <v>0</v>
          </cell>
          <cell r="AJ167">
            <v>0</v>
          </cell>
          <cell r="AK167">
            <v>0</v>
          </cell>
          <cell r="AL167">
            <v>0</v>
          </cell>
          <cell r="AM167">
            <v>3</v>
          </cell>
          <cell r="AN167">
            <v>0</v>
          </cell>
          <cell r="BO167" t="str">
            <v>RS 153</v>
          </cell>
          <cell r="BP167">
            <v>6.5</v>
          </cell>
          <cell r="BQ167">
            <v>6</v>
          </cell>
          <cell r="BR167" t="str">
            <v>R</v>
          </cell>
          <cell r="BS167" t="str">
            <v>S</v>
          </cell>
          <cell r="BT167">
            <v>0</v>
          </cell>
          <cell r="BU167" t="str">
            <v>SS</v>
          </cell>
          <cell r="BV167" t="str">
            <v>SA</v>
          </cell>
          <cell r="BW167">
            <v>3</v>
          </cell>
          <cell r="BX167">
            <v>5</v>
          </cell>
          <cell r="BY167">
            <v>10</v>
          </cell>
          <cell r="BZ167">
            <v>1</v>
          </cell>
          <cell r="CA167">
            <v>5</v>
          </cell>
          <cell r="CB167">
            <v>0.90800000000000003</v>
          </cell>
          <cell r="CC167">
            <v>7.78</v>
          </cell>
          <cell r="CD167">
            <v>2.5</v>
          </cell>
          <cell r="CE167">
            <v>0</v>
          </cell>
          <cell r="CF167">
            <v>0</v>
          </cell>
          <cell r="CG167">
            <v>2.5</v>
          </cell>
          <cell r="CH167">
            <v>0</v>
          </cell>
          <cell r="CI167">
            <v>1.3</v>
          </cell>
          <cell r="CJ167">
            <v>4.3333333333333331E-3</v>
          </cell>
          <cell r="CK167">
            <v>4.3333333333333331E-3</v>
          </cell>
          <cell r="CL167">
            <v>0</v>
          </cell>
          <cell r="CM167">
            <v>1.6799999999999999E-3</v>
          </cell>
          <cell r="CN167">
            <v>1.6799999999999999E-3</v>
          </cell>
          <cell r="CO167">
            <v>0</v>
          </cell>
          <cell r="CP167">
            <v>0</v>
          </cell>
          <cell r="CQ167">
            <v>7.7816800000000006</v>
          </cell>
          <cell r="CR167">
            <v>0.5</v>
          </cell>
          <cell r="CS167">
            <v>1</v>
          </cell>
          <cell r="CT167">
            <v>0</v>
          </cell>
          <cell r="CU167">
            <v>0</v>
          </cell>
          <cell r="CV167">
            <v>1</v>
          </cell>
          <cell r="CW167">
            <v>15</v>
          </cell>
          <cell r="CX167">
            <v>30</v>
          </cell>
          <cell r="CY167">
            <v>2</v>
          </cell>
          <cell r="CZ167">
            <v>2</v>
          </cell>
          <cell r="DA167">
            <v>1.5</v>
          </cell>
          <cell r="DB167">
            <v>1894</v>
          </cell>
          <cell r="DC167">
            <v>947</v>
          </cell>
          <cell r="DD167">
            <v>512</v>
          </cell>
          <cell r="DE167">
            <v>95</v>
          </cell>
          <cell r="DF167">
            <v>275</v>
          </cell>
          <cell r="DG167">
            <v>29</v>
          </cell>
          <cell r="DH167">
            <v>19</v>
          </cell>
          <cell r="DI167">
            <v>19</v>
          </cell>
        </row>
        <row r="168">
          <cell r="A168" t="str">
            <v>RS 154</v>
          </cell>
          <cell r="B168">
            <v>154</v>
          </cell>
          <cell r="C168" t="str">
            <v>C</v>
          </cell>
          <cell r="D168" t="str">
            <v>U</v>
          </cell>
          <cell r="E168" t="str">
            <v>Chendawaka Road (M1 to junction D189)</v>
          </cell>
          <cell r="F168" t="str">
            <v>Urban</v>
          </cell>
          <cell r="G168">
            <v>2</v>
          </cell>
          <cell r="H168">
            <v>5</v>
          </cell>
          <cell r="I168" t="str">
            <v>R</v>
          </cell>
          <cell r="J168" t="str">
            <v>LILONGWE CITY</v>
          </cell>
          <cell r="K168" t="str">
            <v>C</v>
          </cell>
          <cell r="L168">
            <v>0</v>
          </cell>
          <cell r="W168">
            <v>75</v>
          </cell>
          <cell r="X168" t="str">
            <v>DS</v>
          </cell>
          <cell r="Y168">
            <v>150</v>
          </cell>
          <cell r="Z168" t="str">
            <v>GR</v>
          </cell>
          <cell r="AA168">
            <v>100</v>
          </cell>
          <cell r="AB168" t="str">
            <v>GR</v>
          </cell>
          <cell r="AC168">
            <v>5</v>
          </cell>
          <cell r="AD168">
            <v>0</v>
          </cell>
          <cell r="AE168">
            <v>97</v>
          </cell>
          <cell r="AF168" t="str">
            <v>SS</v>
          </cell>
          <cell r="AG168" t="str">
            <v>SS</v>
          </cell>
          <cell r="AH168">
            <v>5</v>
          </cell>
          <cell r="AI168">
            <v>0</v>
          </cell>
          <cell r="AJ168">
            <v>0</v>
          </cell>
          <cell r="AK168">
            <v>0</v>
          </cell>
          <cell r="AL168">
            <v>0</v>
          </cell>
          <cell r="AM168">
            <v>7</v>
          </cell>
          <cell r="AN168">
            <v>0</v>
          </cell>
          <cell r="BO168" t="str">
            <v>RS 154</v>
          </cell>
          <cell r="BP168">
            <v>5</v>
          </cell>
          <cell r="BQ168">
            <v>6</v>
          </cell>
          <cell r="BR168" t="str">
            <v>R</v>
          </cell>
          <cell r="BS168">
            <v>0</v>
          </cell>
          <cell r="BT168">
            <v>0</v>
          </cell>
          <cell r="BU168" t="str">
            <v>SS</v>
          </cell>
          <cell r="BV168" t="str">
            <v>DS</v>
          </cell>
          <cell r="BW168">
            <v>7</v>
          </cell>
          <cell r="BX168">
            <v>5</v>
          </cell>
          <cell r="BY168">
            <v>15</v>
          </cell>
          <cell r="BZ168">
            <v>1</v>
          </cell>
          <cell r="CA168">
            <v>5</v>
          </cell>
          <cell r="CB168">
            <v>1.077</v>
          </cell>
          <cell r="CC168">
            <v>5.52</v>
          </cell>
          <cell r="CD168">
            <v>8</v>
          </cell>
          <cell r="CE168">
            <v>7</v>
          </cell>
          <cell r="CF168">
            <v>0</v>
          </cell>
          <cell r="CG168">
            <v>8</v>
          </cell>
          <cell r="CH168">
            <v>7</v>
          </cell>
          <cell r="CI168">
            <v>0</v>
          </cell>
          <cell r="CJ168">
            <v>0</v>
          </cell>
          <cell r="CK168">
            <v>0</v>
          </cell>
          <cell r="CL168">
            <v>0</v>
          </cell>
          <cell r="CM168">
            <v>0</v>
          </cell>
          <cell r="CN168">
            <v>0</v>
          </cell>
          <cell r="CO168">
            <v>0</v>
          </cell>
          <cell r="CP168">
            <v>0</v>
          </cell>
          <cell r="CQ168">
            <v>5.52</v>
          </cell>
          <cell r="CR168">
            <v>0</v>
          </cell>
          <cell r="CS168">
            <v>1</v>
          </cell>
          <cell r="CT168">
            <v>0</v>
          </cell>
          <cell r="CU168">
            <v>0</v>
          </cell>
          <cell r="CV168">
            <v>1</v>
          </cell>
          <cell r="CW168">
            <v>23</v>
          </cell>
          <cell r="CX168">
            <v>46</v>
          </cell>
          <cell r="CY168">
            <v>1.5</v>
          </cell>
          <cell r="CZ168">
            <v>1</v>
          </cell>
          <cell r="DA168">
            <v>1</v>
          </cell>
          <cell r="DB168">
            <v>1842</v>
          </cell>
          <cell r="DC168">
            <v>921</v>
          </cell>
          <cell r="DD168">
            <v>498</v>
          </cell>
          <cell r="DE168">
            <v>93</v>
          </cell>
          <cell r="DF168">
            <v>268</v>
          </cell>
          <cell r="DG168">
            <v>28</v>
          </cell>
          <cell r="DH168">
            <v>19</v>
          </cell>
          <cell r="DI168">
            <v>19</v>
          </cell>
        </row>
        <row r="169">
          <cell r="A169" t="str">
            <v>RS 155</v>
          </cell>
          <cell r="B169">
            <v>155</v>
          </cell>
          <cell r="C169" t="str">
            <v>C</v>
          </cell>
          <cell r="D169" t="str">
            <v>U</v>
          </cell>
          <cell r="E169" t="str">
            <v>Chilambula Road</v>
          </cell>
          <cell r="F169" t="str">
            <v>Urban</v>
          </cell>
          <cell r="G169">
            <v>3</v>
          </cell>
          <cell r="H169">
            <v>4</v>
          </cell>
          <cell r="I169" t="str">
            <v>R</v>
          </cell>
          <cell r="J169" t="str">
            <v>LILONGWE CITY</v>
          </cell>
          <cell r="K169" t="str">
            <v>C</v>
          </cell>
          <cell r="L169">
            <v>0</v>
          </cell>
          <cell r="W169">
            <v>73</v>
          </cell>
          <cell r="X169" t="str">
            <v>AC</v>
          </cell>
          <cell r="Y169">
            <v>150</v>
          </cell>
          <cell r="Z169" t="str">
            <v>GR</v>
          </cell>
          <cell r="AA169">
            <v>100</v>
          </cell>
          <cell r="AB169" t="str">
            <v>GR</v>
          </cell>
          <cell r="AC169">
            <v>5</v>
          </cell>
          <cell r="AD169" t="str">
            <v>AM</v>
          </cell>
          <cell r="AE169">
            <v>98</v>
          </cell>
          <cell r="AF169" t="str">
            <v>SS</v>
          </cell>
          <cell r="AG169" t="str">
            <v>SS</v>
          </cell>
          <cell r="AH169">
            <v>5</v>
          </cell>
          <cell r="AI169">
            <v>0</v>
          </cell>
          <cell r="AJ169">
            <v>0</v>
          </cell>
          <cell r="AK169">
            <v>0</v>
          </cell>
          <cell r="AL169">
            <v>0</v>
          </cell>
          <cell r="AM169">
            <v>7</v>
          </cell>
          <cell r="AN169">
            <v>0</v>
          </cell>
          <cell r="BO169" t="str">
            <v>RS 155</v>
          </cell>
          <cell r="BP169">
            <v>4</v>
          </cell>
          <cell r="BQ169">
            <v>6.7</v>
          </cell>
          <cell r="BR169" t="str">
            <v>R</v>
          </cell>
          <cell r="BS169" t="str">
            <v>C</v>
          </cell>
          <cell r="BT169">
            <v>0</v>
          </cell>
          <cell r="BU169" t="str">
            <v>SS</v>
          </cell>
          <cell r="BV169" t="str">
            <v>AC</v>
          </cell>
          <cell r="BW169">
            <v>2</v>
          </cell>
          <cell r="BX169">
            <v>5</v>
          </cell>
          <cell r="BY169">
            <v>40</v>
          </cell>
          <cell r="BZ169">
            <v>1</v>
          </cell>
          <cell r="CA169">
            <v>5</v>
          </cell>
          <cell r="CB169">
            <v>1.9</v>
          </cell>
          <cell r="CC169">
            <v>6</v>
          </cell>
          <cell r="CD169">
            <v>0</v>
          </cell>
          <cell r="CE169">
            <v>0</v>
          </cell>
          <cell r="CF169">
            <v>0</v>
          </cell>
          <cell r="CG169">
            <v>0</v>
          </cell>
          <cell r="CH169">
            <v>0</v>
          </cell>
          <cell r="CI169">
            <v>0</v>
          </cell>
          <cell r="CJ169">
            <v>0</v>
          </cell>
          <cell r="CK169">
            <v>0</v>
          </cell>
          <cell r="CL169">
            <v>0</v>
          </cell>
          <cell r="CM169">
            <v>0</v>
          </cell>
          <cell r="CN169">
            <v>0</v>
          </cell>
          <cell r="CO169">
            <v>0</v>
          </cell>
          <cell r="CP169">
            <v>0</v>
          </cell>
          <cell r="CQ169">
            <v>6</v>
          </cell>
          <cell r="CR169">
            <v>0.5</v>
          </cell>
          <cell r="CS169">
            <v>1</v>
          </cell>
          <cell r="CT169">
            <v>0</v>
          </cell>
          <cell r="CU169">
            <v>0</v>
          </cell>
          <cell r="CV169">
            <v>25</v>
          </cell>
          <cell r="CW169">
            <v>25</v>
          </cell>
          <cell r="CX169">
            <v>27</v>
          </cell>
          <cell r="CY169">
            <v>3</v>
          </cell>
          <cell r="CZ169">
            <v>3</v>
          </cell>
          <cell r="DA169">
            <v>2</v>
          </cell>
          <cell r="DB169">
            <v>8793</v>
          </cell>
          <cell r="DC169">
            <v>4397</v>
          </cell>
          <cell r="DD169">
            <v>2375</v>
          </cell>
          <cell r="DE169">
            <v>440</v>
          </cell>
          <cell r="DF169">
            <v>1275</v>
          </cell>
          <cell r="DG169">
            <v>132</v>
          </cell>
          <cell r="DH169">
            <v>88</v>
          </cell>
          <cell r="DI169">
            <v>88</v>
          </cell>
        </row>
        <row r="170">
          <cell r="A170" t="str">
            <v>RS 156</v>
          </cell>
          <cell r="B170">
            <v>156</v>
          </cell>
          <cell r="C170" t="str">
            <v>C</v>
          </cell>
          <cell r="D170" t="str">
            <v>U</v>
          </cell>
          <cell r="E170" t="str">
            <v>Mzimba Street</v>
          </cell>
          <cell r="F170" t="str">
            <v>Urban</v>
          </cell>
          <cell r="G170">
            <v>4</v>
          </cell>
          <cell r="H170">
            <v>2.5</v>
          </cell>
          <cell r="I170" t="str">
            <v>R</v>
          </cell>
          <cell r="J170" t="str">
            <v>LILONGWE CITY</v>
          </cell>
          <cell r="K170" t="str">
            <v>C</v>
          </cell>
          <cell r="L170">
            <v>0</v>
          </cell>
          <cell r="W170">
            <v>75</v>
          </cell>
          <cell r="X170" t="str">
            <v>SA</v>
          </cell>
          <cell r="Y170">
            <v>150</v>
          </cell>
          <cell r="Z170" t="str">
            <v>GR</v>
          </cell>
          <cell r="AA170">
            <v>100</v>
          </cell>
          <cell r="AB170" t="str">
            <v>GR</v>
          </cell>
          <cell r="AC170">
            <v>5</v>
          </cell>
          <cell r="AD170" t="str">
            <v>CC</v>
          </cell>
          <cell r="AE170">
            <v>98</v>
          </cell>
          <cell r="AF170" t="str">
            <v>SS</v>
          </cell>
          <cell r="AG170" t="str">
            <v>SS</v>
          </cell>
          <cell r="AH170">
            <v>5</v>
          </cell>
          <cell r="AI170">
            <v>0</v>
          </cell>
          <cell r="AJ170">
            <v>0</v>
          </cell>
          <cell r="AK170">
            <v>0</v>
          </cell>
          <cell r="AL170">
            <v>0</v>
          </cell>
          <cell r="AM170">
            <v>7</v>
          </cell>
          <cell r="AN170">
            <v>0</v>
          </cell>
          <cell r="BO170" t="str">
            <v>RS 156</v>
          </cell>
          <cell r="BP170">
            <v>2.5</v>
          </cell>
          <cell r="BQ170">
            <v>6.7</v>
          </cell>
          <cell r="BR170" t="str">
            <v>R</v>
          </cell>
          <cell r="BS170" t="str">
            <v>S</v>
          </cell>
          <cell r="BT170">
            <v>0</v>
          </cell>
          <cell r="BU170" t="str">
            <v>SS</v>
          </cell>
          <cell r="BV170" t="str">
            <v>SA</v>
          </cell>
          <cell r="BW170">
            <v>7</v>
          </cell>
          <cell r="BX170">
            <v>5</v>
          </cell>
          <cell r="BY170">
            <v>10</v>
          </cell>
          <cell r="BZ170">
            <v>1</v>
          </cell>
          <cell r="CA170">
            <v>5</v>
          </cell>
          <cell r="CB170">
            <v>0.90800000000000003</v>
          </cell>
          <cell r="CC170">
            <v>7.25</v>
          </cell>
          <cell r="CD170">
            <v>0</v>
          </cell>
          <cell r="CE170">
            <v>0</v>
          </cell>
          <cell r="CF170">
            <v>0</v>
          </cell>
          <cell r="CG170">
            <v>0</v>
          </cell>
          <cell r="CH170">
            <v>0</v>
          </cell>
          <cell r="CI170">
            <v>0</v>
          </cell>
          <cell r="CJ170">
            <v>0</v>
          </cell>
          <cell r="CK170">
            <v>0</v>
          </cell>
          <cell r="CL170">
            <v>0</v>
          </cell>
          <cell r="CM170">
            <v>0</v>
          </cell>
          <cell r="CN170">
            <v>0</v>
          </cell>
          <cell r="CO170">
            <v>0</v>
          </cell>
          <cell r="CP170">
            <v>0</v>
          </cell>
          <cell r="CQ170">
            <v>7.25</v>
          </cell>
          <cell r="CR170">
            <v>0</v>
          </cell>
          <cell r="CS170">
            <v>1</v>
          </cell>
          <cell r="CT170">
            <v>0</v>
          </cell>
          <cell r="CU170">
            <v>0</v>
          </cell>
          <cell r="CV170">
            <v>0</v>
          </cell>
          <cell r="CW170">
            <v>23</v>
          </cell>
          <cell r="CX170">
            <v>46</v>
          </cell>
          <cell r="CY170">
            <v>2</v>
          </cell>
          <cell r="CZ170">
            <v>1.5</v>
          </cell>
          <cell r="DA170">
            <v>1.5</v>
          </cell>
          <cell r="DB170">
            <v>850</v>
          </cell>
          <cell r="DC170">
            <v>425</v>
          </cell>
          <cell r="DD170">
            <v>230</v>
          </cell>
          <cell r="DE170">
            <v>43</v>
          </cell>
          <cell r="DF170">
            <v>124</v>
          </cell>
          <cell r="DG170">
            <v>13</v>
          </cell>
          <cell r="DH170">
            <v>9</v>
          </cell>
          <cell r="DI170">
            <v>9</v>
          </cell>
        </row>
        <row r="171">
          <cell r="A171" t="str">
            <v>RS 157</v>
          </cell>
          <cell r="B171">
            <v>157</v>
          </cell>
          <cell r="C171" t="str">
            <v>C</v>
          </cell>
          <cell r="D171" t="str">
            <v>U</v>
          </cell>
          <cell r="E171" t="str">
            <v>Police - Area 23</v>
          </cell>
          <cell r="F171" t="str">
            <v>Urban</v>
          </cell>
          <cell r="G171">
            <v>5</v>
          </cell>
          <cell r="H171">
            <v>7.5</v>
          </cell>
          <cell r="I171" t="str">
            <v>R</v>
          </cell>
          <cell r="J171" t="str">
            <v>LILONGWE CITY</v>
          </cell>
          <cell r="K171" t="str">
            <v>C</v>
          </cell>
          <cell r="L171">
            <v>0</v>
          </cell>
          <cell r="W171">
            <v>83</v>
          </cell>
          <cell r="X171" t="str">
            <v>SA</v>
          </cell>
          <cell r="Y171">
            <v>150</v>
          </cell>
          <cell r="Z171" t="str">
            <v>GR</v>
          </cell>
          <cell r="AA171">
            <v>100</v>
          </cell>
          <cell r="AB171" t="str">
            <v>GR</v>
          </cell>
          <cell r="AC171">
            <v>5</v>
          </cell>
          <cell r="AD171" t="str">
            <v>CC</v>
          </cell>
          <cell r="AE171">
            <v>98</v>
          </cell>
          <cell r="AF171" t="str">
            <v>SS</v>
          </cell>
          <cell r="AG171" t="str">
            <v>SS</v>
          </cell>
          <cell r="AH171">
            <v>5</v>
          </cell>
          <cell r="AI171">
            <v>0</v>
          </cell>
          <cell r="AJ171">
            <v>0</v>
          </cell>
          <cell r="AK171">
            <v>0</v>
          </cell>
          <cell r="AL171">
            <v>0</v>
          </cell>
          <cell r="AM171">
            <v>7</v>
          </cell>
          <cell r="AN171">
            <v>0</v>
          </cell>
          <cell r="BO171" t="str">
            <v>RS 157</v>
          </cell>
          <cell r="BP171">
            <v>7.5</v>
          </cell>
          <cell r="BQ171">
            <v>5.5</v>
          </cell>
          <cell r="BR171" t="str">
            <v>R</v>
          </cell>
          <cell r="BS171" t="str">
            <v>C</v>
          </cell>
          <cell r="BT171">
            <v>16</v>
          </cell>
          <cell r="BU171" t="str">
            <v>SS</v>
          </cell>
          <cell r="BV171" t="str">
            <v>SA</v>
          </cell>
          <cell r="BW171">
            <v>7</v>
          </cell>
          <cell r="BX171">
            <v>5</v>
          </cell>
          <cell r="BY171">
            <v>10</v>
          </cell>
          <cell r="BZ171">
            <v>1</v>
          </cell>
          <cell r="CA171">
            <v>5</v>
          </cell>
          <cell r="CB171">
            <v>0.90800000000000003</v>
          </cell>
          <cell r="CC171">
            <v>5</v>
          </cell>
          <cell r="CD171">
            <v>0</v>
          </cell>
          <cell r="CE171">
            <v>0</v>
          </cell>
          <cell r="CF171">
            <v>0</v>
          </cell>
          <cell r="CG171">
            <v>0</v>
          </cell>
          <cell r="CH171">
            <v>0</v>
          </cell>
          <cell r="CI171">
            <v>0</v>
          </cell>
          <cell r="CJ171">
            <v>0</v>
          </cell>
          <cell r="CK171">
            <v>0</v>
          </cell>
          <cell r="CL171">
            <v>0</v>
          </cell>
          <cell r="CM171">
            <v>0</v>
          </cell>
          <cell r="CN171">
            <v>0</v>
          </cell>
          <cell r="CO171">
            <v>0</v>
          </cell>
          <cell r="CP171">
            <v>0</v>
          </cell>
          <cell r="CQ171">
            <v>5</v>
          </cell>
          <cell r="CR171">
            <v>0</v>
          </cell>
          <cell r="CS171">
            <v>1</v>
          </cell>
          <cell r="CT171">
            <v>0</v>
          </cell>
          <cell r="CU171">
            <v>0</v>
          </cell>
          <cell r="CV171">
            <v>0</v>
          </cell>
          <cell r="CW171">
            <v>15</v>
          </cell>
          <cell r="CX171">
            <v>50</v>
          </cell>
          <cell r="CY171">
            <v>3</v>
          </cell>
          <cell r="CZ171">
            <v>2.5</v>
          </cell>
          <cell r="DA171">
            <v>2</v>
          </cell>
          <cell r="DB171">
            <v>14065</v>
          </cell>
          <cell r="DC171">
            <v>7033</v>
          </cell>
          <cell r="DD171">
            <v>3798</v>
          </cell>
          <cell r="DE171">
            <v>704</v>
          </cell>
          <cell r="DF171">
            <v>2040</v>
          </cell>
          <cell r="DG171">
            <v>211</v>
          </cell>
          <cell r="DH171">
            <v>141</v>
          </cell>
          <cell r="DI171">
            <v>141</v>
          </cell>
        </row>
        <row r="172">
          <cell r="A172" t="str">
            <v>RS 158</v>
          </cell>
          <cell r="B172">
            <v>158</v>
          </cell>
          <cell r="C172" t="str">
            <v>C</v>
          </cell>
          <cell r="D172" t="str">
            <v>U</v>
          </cell>
          <cell r="E172" t="str">
            <v>Youth Drive</v>
          </cell>
          <cell r="F172" t="str">
            <v>Urban</v>
          </cell>
          <cell r="G172">
            <v>6</v>
          </cell>
          <cell r="H172">
            <v>3.2</v>
          </cell>
          <cell r="I172" t="str">
            <v>R</v>
          </cell>
          <cell r="J172" t="str">
            <v>LILONGWE CITY</v>
          </cell>
          <cell r="K172" t="str">
            <v>C</v>
          </cell>
          <cell r="L172">
            <v>0</v>
          </cell>
          <cell r="W172">
            <v>75</v>
          </cell>
          <cell r="X172" t="str">
            <v>SA</v>
          </cell>
          <cell r="Y172">
            <v>150</v>
          </cell>
          <cell r="Z172" t="str">
            <v>GR</v>
          </cell>
          <cell r="AA172">
            <v>100</v>
          </cell>
          <cell r="AB172" t="str">
            <v>GR</v>
          </cell>
          <cell r="AC172">
            <v>5</v>
          </cell>
          <cell r="AD172" t="str">
            <v>CC</v>
          </cell>
          <cell r="AE172">
            <v>97</v>
          </cell>
          <cell r="AF172" t="str">
            <v>SS</v>
          </cell>
          <cell r="AG172" t="str">
            <v>SS</v>
          </cell>
          <cell r="AH172">
            <v>5</v>
          </cell>
          <cell r="AI172">
            <v>0</v>
          </cell>
          <cell r="AJ172">
            <v>0</v>
          </cell>
          <cell r="AK172">
            <v>0</v>
          </cell>
          <cell r="AL172">
            <v>0</v>
          </cell>
          <cell r="AM172">
            <v>7</v>
          </cell>
          <cell r="AN172">
            <v>0</v>
          </cell>
          <cell r="BO172" t="str">
            <v>RS 158</v>
          </cell>
          <cell r="BP172">
            <v>3.2</v>
          </cell>
          <cell r="BQ172">
            <v>5.5</v>
          </cell>
          <cell r="BR172" t="str">
            <v>R</v>
          </cell>
          <cell r="BS172" t="str">
            <v>S</v>
          </cell>
          <cell r="BT172">
            <v>0</v>
          </cell>
          <cell r="BU172" t="str">
            <v>SS</v>
          </cell>
          <cell r="BV172" t="str">
            <v>SA</v>
          </cell>
          <cell r="BW172">
            <v>7</v>
          </cell>
          <cell r="BX172">
            <v>5</v>
          </cell>
          <cell r="BY172">
            <v>10</v>
          </cell>
          <cell r="BZ172">
            <v>1</v>
          </cell>
          <cell r="CA172">
            <v>5</v>
          </cell>
          <cell r="CB172">
            <v>0.90800000000000003</v>
          </cell>
          <cell r="CC172">
            <v>7.51</v>
          </cell>
          <cell r="CD172">
            <v>5</v>
          </cell>
          <cell r="CE172">
            <v>0</v>
          </cell>
          <cell r="CF172">
            <v>0</v>
          </cell>
          <cell r="CG172">
            <v>5</v>
          </cell>
          <cell r="CH172">
            <v>0</v>
          </cell>
          <cell r="CI172">
            <v>2.6</v>
          </cell>
          <cell r="CJ172">
            <v>9.4545454545454551E-3</v>
          </cell>
          <cell r="CK172">
            <v>9.4545454545454551E-3</v>
          </cell>
          <cell r="CL172">
            <v>0</v>
          </cell>
          <cell r="CM172">
            <v>3.665454545454546E-3</v>
          </cell>
          <cell r="CN172">
            <v>3.665454545454546E-3</v>
          </cell>
          <cell r="CO172">
            <v>0</v>
          </cell>
          <cell r="CP172">
            <v>0</v>
          </cell>
          <cell r="CQ172">
            <v>7.5136654545454542</v>
          </cell>
          <cell r="CR172">
            <v>0</v>
          </cell>
          <cell r="CS172">
            <v>1</v>
          </cell>
          <cell r="CT172">
            <v>0</v>
          </cell>
          <cell r="CU172">
            <v>0</v>
          </cell>
          <cell r="CV172">
            <v>1</v>
          </cell>
          <cell r="CW172">
            <v>23</v>
          </cell>
          <cell r="CX172">
            <v>46</v>
          </cell>
          <cell r="CY172">
            <v>1.5</v>
          </cell>
          <cell r="CZ172">
            <v>1.5</v>
          </cell>
          <cell r="DA172">
            <v>1.5</v>
          </cell>
          <cell r="DB172">
            <v>3074</v>
          </cell>
          <cell r="DC172">
            <v>1537</v>
          </cell>
          <cell r="DD172">
            <v>830</v>
          </cell>
          <cell r="DE172">
            <v>154</v>
          </cell>
          <cell r="DF172">
            <v>446</v>
          </cell>
          <cell r="DG172">
            <v>47</v>
          </cell>
          <cell r="DH172">
            <v>31</v>
          </cell>
          <cell r="DI172">
            <v>31</v>
          </cell>
        </row>
        <row r="173">
          <cell r="A173" t="str">
            <v>RS 159</v>
          </cell>
          <cell r="B173">
            <v>159</v>
          </cell>
          <cell r="C173" t="str">
            <v>C</v>
          </cell>
          <cell r="D173" t="str">
            <v>U</v>
          </cell>
          <cell r="E173" t="str">
            <v>Area 13 Road</v>
          </cell>
          <cell r="F173" t="str">
            <v>Urban</v>
          </cell>
          <cell r="G173">
            <v>7</v>
          </cell>
          <cell r="H173">
            <v>1.4</v>
          </cell>
          <cell r="I173" t="str">
            <v>R</v>
          </cell>
          <cell r="J173" t="str">
            <v>LILONGWE CITY</v>
          </cell>
          <cell r="K173" t="str">
            <v>C</v>
          </cell>
          <cell r="L173">
            <v>0</v>
          </cell>
          <cell r="W173">
            <v>75</v>
          </cell>
          <cell r="X173" t="str">
            <v>SA</v>
          </cell>
          <cell r="Y173">
            <v>150</v>
          </cell>
          <cell r="Z173" t="str">
            <v>GR</v>
          </cell>
          <cell r="AA173">
            <v>100</v>
          </cell>
          <cell r="AB173" t="str">
            <v>GR</v>
          </cell>
          <cell r="AC173">
            <v>5</v>
          </cell>
          <cell r="AD173" t="str">
            <v>CC</v>
          </cell>
          <cell r="AE173">
            <v>97</v>
          </cell>
          <cell r="AF173" t="str">
            <v>SS</v>
          </cell>
          <cell r="AG173" t="str">
            <v>SS</v>
          </cell>
          <cell r="AH173">
            <v>5</v>
          </cell>
          <cell r="AI173">
            <v>0</v>
          </cell>
          <cell r="AJ173">
            <v>0</v>
          </cell>
          <cell r="AK173">
            <v>0</v>
          </cell>
          <cell r="AL173">
            <v>0</v>
          </cell>
          <cell r="AM173">
            <v>3</v>
          </cell>
          <cell r="AN173">
            <v>0</v>
          </cell>
          <cell r="BO173" t="str">
            <v>RS 159</v>
          </cell>
          <cell r="BP173">
            <v>1.4</v>
          </cell>
          <cell r="BQ173">
            <v>5.5</v>
          </cell>
          <cell r="BR173" t="str">
            <v>R</v>
          </cell>
          <cell r="BS173" t="str">
            <v>S</v>
          </cell>
          <cell r="BT173">
            <v>0</v>
          </cell>
          <cell r="BU173" t="str">
            <v>SS</v>
          </cell>
          <cell r="BV173" t="str">
            <v>SA</v>
          </cell>
          <cell r="BW173">
            <v>3</v>
          </cell>
          <cell r="BX173">
            <v>5</v>
          </cell>
          <cell r="BY173">
            <v>10</v>
          </cell>
          <cell r="BZ173">
            <v>1</v>
          </cell>
          <cell r="CA173">
            <v>5</v>
          </cell>
          <cell r="CB173">
            <v>0.90800000000000003</v>
          </cell>
          <cell r="CC173">
            <v>6</v>
          </cell>
          <cell r="CD173">
            <v>0</v>
          </cell>
          <cell r="CE173">
            <v>0</v>
          </cell>
          <cell r="CF173">
            <v>0</v>
          </cell>
          <cell r="CG173">
            <v>0</v>
          </cell>
          <cell r="CH173">
            <v>0</v>
          </cell>
          <cell r="CI173">
            <v>0</v>
          </cell>
          <cell r="CJ173">
            <v>0</v>
          </cell>
          <cell r="CK173">
            <v>0</v>
          </cell>
          <cell r="CL173">
            <v>0</v>
          </cell>
          <cell r="CM173">
            <v>0</v>
          </cell>
          <cell r="CN173">
            <v>0</v>
          </cell>
          <cell r="CO173">
            <v>0</v>
          </cell>
          <cell r="CP173">
            <v>0</v>
          </cell>
          <cell r="CQ173">
            <v>6</v>
          </cell>
          <cell r="CR173">
            <v>0</v>
          </cell>
          <cell r="CS173">
            <v>1</v>
          </cell>
          <cell r="CT173">
            <v>0</v>
          </cell>
          <cell r="CU173">
            <v>0</v>
          </cell>
          <cell r="CV173">
            <v>1</v>
          </cell>
          <cell r="CW173">
            <v>23</v>
          </cell>
          <cell r="CX173">
            <v>46</v>
          </cell>
          <cell r="CY173">
            <v>2</v>
          </cell>
          <cell r="CZ173">
            <v>2</v>
          </cell>
          <cell r="DA173">
            <v>2</v>
          </cell>
          <cell r="DB173">
            <v>351</v>
          </cell>
          <cell r="DC173">
            <v>176</v>
          </cell>
          <cell r="DD173">
            <v>95</v>
          </cell>
          <cell r="DE173">
            <v>18</v>
          </cell>
          <cell r="DF173">
            <v>51</v>
          </cell>
          <cell r="DG173">
            <v>6</v>
          </cell>
          <cell r="DH173">
            <v>4</v>
          </cell>
          <cell r="DI173">
            <v>4</v>
          </cell>
        </row>
        <row r="174">
          <cell r="A174" t="str">
            <v>RS 162</v>
          </cell>
          <cell r="B174">
            <v>162</v>
          </cell>
          <cell r="C174" t="str">
            <v>C</v>
          </cell>
          <cell r="D174" t="str">
            <v>U</v>
          </cell>
          <cell r="E174" t="str">
            <v>Kaunda Road (M12 to junction D189)</v>
          </cell>
          <cell r="F174" t="str">
            <v>Urban</v>
          </cell>
          <cell r="G174">
            <v>8</v>
          </cell>
          <cell r="H174">
            <v>7</v>
          </cell>
          <cell r="I174" t="str">
            <v>R</v>
          </cell>
          <cell r="J174" t="str">
            <v>LILONGWE CITY</v>
          </cell>
          <cell r="K174" t="str">
            <v>C</v>
          </cell>
          <cell r="L174">
            <v>0</v>
          </cell>
          <cell r="W174">
            <v>75</v>
          </cell>
          <cell r="X174" t="str">
            <v>DS</v>
          </cell>
          <cell r="Y174">
            <v>150</v>
          </cell>
          <cell r="Z174" t="str">
            <v>GR</v>
          </cell>
          <cell r="AA174">
            <v>100</v>
          </cell>
          <cell r="AB174" t="str">
            <v>GR</v>
          </cell>
          <cell r="AC174">
            <v>5</v>
          </cell>
          <cell r="AD174">
            <v>0</v>
          </cell>
          <cell r="AE174">
            <v>0</v>
          </cell>
          <cell r="AF174">
            <v>0</v>
          </cell>
          <cell r="AG174">
            <v>0</v>
          </cell>
          <cell r="AH174">
            <v>0</v>
          </cell>
          <cell r="AI174">
            <v>0</v>
          </cell>
          <cell r="AJ174">
            <v>0</v>
          </cell>
          <cell r="AK174">
            <v>0</v>
          </cell>
          <cell r="AL174">
            <v>0</v>
          </cell>
          <cell r="AM174">
            <v>3</v>
          </cell>
          <cell r="AN174" t="str">
            <v>never resealed</v>
          </cell>
          <cell r="BO174" t="str">
            <v>RS 162</v>
          </cell>
          <cell r="BP174">
            <v>7</v>
          </cell>
          <cell r="BQ174">
            <v>6</v>
          </cell>
          <cell r="BR174" t="str">
            <v>R</v>
          </cell>
          <cell r="BS174" t="str">
            <v>S</v>
          </cell>
          <cell r="BT174">
            <v>0</v>
          </cell>
          <cell r="BU174" t="str">
            <v>DS</v>
          </cell>
          <cell r="BV174" t="str">
            <v/>
          </cell>
          <cell r="BW174">
            <v>3</v>
          </cell>
          <cell r="BX174">
            <v>15</v>
          </cell>
          <cell r="BY174" t="str">
            <v xml:space="preserve"> </v>
          </cell>
          <cell r="BZ174">
            <v>1</v>
          </cell>
          <cell r="CA174">
            <v>5</v>
          </cell>
          <cell r="CB174">
            <v>1.077</v>
          </cell>
          <cell r="CC174">
            <v>3.92</v>
          </cell>
          <cell r="CD174">
            <v>4</v>
          </cell>
          <cell r="CE174">
            <v>3.5</v>
          </cell>
          <cell r="CF174">
            <v>0</v>
          </cell>
          <cell r="CG174">
            <v>4</v>
          </cell>
          <cell r="CH174">
            <v>3.5</v>
          </cell>
          <cell r="CI174">
            <v>17.899999999999999</v>
          </cell>
          <cell r="CJ174">
            <v>5.9666666666666666E-2</v>
          </cell>
          <cell r="CK174">
            <v>5.9666666666666666E-2</v>
          </cell>
          <cell r="CL174">
            <v>0</v>
          </cell>
          <cell r="CM174">
            <v>2.3132307692307695E-2</v>
          </cell>
          <cell r="CN174">
            <v>2.3132307692307695E-2</v>
          </cell>
          <cell r="CO174">
            <v>0</v>
          </cell>
          <cell r="CP174">
            <v>0</v>
          </cell>
          <cell r="CQ174">
            <v>3.9431323076923075</v>
          </cell>
          <cell r="CR174">
            <v>0</v>
          </cell>
          <cell r="CS174">
            <v>1</v>
          </cell>
          <cell r="CT174">
            <v>0</v>
          </cell>
          <cell r="CU174">
            <v>0</v>
          </cell>
          <cell r="CV174">
            <v>23</v>
          </cell>
          <cell r="CW174">
            <v>23</v>
          </cell>
          <cell r="CX174" t="str">
            <v xml:space="preserve"> </v>
          </cell>
          <cell r="CY174">
            <v>2</v>
          </cell>
          <cell r="CZ174">
            <v>1.2</v>
          </cell>
          <cell r="DA174">
            <v>1.1000000000000001</v>
          </cell>
          <cell r="DB174">
            <v>850</v>
          </cell>
          <cell r="DC174">
            <v>425</v>
          </cell>
          <cell r="DD174">
            <v>230</v>
          </cell>
          <cell r="DE174">
            <v>43</v>
          </cell>
          <cell r="DF174">
            <v>124</v>
          </cell>
          <cell r="DG174">
            <v>13</v>
          </cell>
          <cell r="DH174">
            <v>9</v>
          </cell>
          <cell r="DI174">
            <v>9</v>
          </cell>
        </row>
        <row r="175">
          <cell r="A175" t="str">
            <v>RS 164</v>
          </cell>
          <cell r="B175">
            <v>164</v>
          </cell>
          <cell r="C175" t="str">
            <v>S</v>
          </cell>
          <cell r="D175" t="str">
            <v>U</v>
          </cell>
          <cell r="E175" t="str">
            <v>Kenyatta Drive</v>
          </cell>
          <cell r="F175" t="str">
            <v>Urban</v>
          </cell>
          <cell r="G175">
            <v>10</v>
          </cell>
          <cell r="H175">
            <v>4.0999999999999996</v>
          </cell>
          <cell r="I175" t="str">
            <v>R</v>
          </cell>
          <cell r="J175" t="str">
            <v>IN BLANTYRE CITY</v>
          </cell>
          <cell r="K175" t="str">
            <v>C</v>
          </cell>
          <cell r="L175">
            <v>0</v>
          </cell>
          <cell r="W175">
            <v>65</v>
          </cell>
          <cell r="X175" t="str">
            <v>AC</v>
          </cell>
          <cell r="Y175">
            <v>150</v>
          </cell>
          <cell r="Z175" t="str">
            <v>SB</v>
          </cell>
          <cell r="AA175">
            <v>100</v>
          </cell>
          <cell r="AB175" t="str">
            <v>GR</v>
          </cell>
          <cell r="AC175">
            <v>5</v>
          </cell>
          <cell r="AD175">
            <v>0</v>
          </cell>
          <cell r="AE175">
            <v>96</v>
          </cell>
          <cell r="AF175" t="str">
            <v>SR</v>
          </cell>
          <cell r="AG175" t="str">
            <v>ST</v>
          </cell>
          <cell r="AH175">
            <v>10</v>
          </cell>
          <cell r="AI175">
            <v>0</v>
          </cell>
          <cell r="AJ175">
            <v>0</v>
          </cell>
          <cell r="AK175">
            <v>0</v>
          </cell>
          <cell r="AL175">
            <v>0</v>
          </cell>
          <cell r="AM175">
            <v>5</v>
          </cell>
          <cell r="AN175">
            <v>0</v>
          </cell>
          <cell r="BO175" t="str">
            <v>RS 164</v>
          </cell>
          <cell r="BP175">
            <v>4.0999999999999996</v>
          </cell>
          <cell r="BQ175">
            <v>6</v>
          </cell>
          <cell r="BR175" t="str">
            <v>R</v>
          </cell>
          <cell r="BS175" t="str">
            <v>C</v>
          </cell>
          <cell r="BT175">
            <v>0</v>
          </cell>
          <cell r="BU175" t="str">
            <v>ST</v>
          </cell>
          <cell r="BV175" t="str">
            <v>AC</v>
          </cell>
          <cell r="BW175">
            <v>5</v>
          </cell>
          <cell r="BX175">
            <v>10</v>
          </cell>
          <cell r="BY175">
            <v>40</v>
          </cell>
          <cell r="BZ175">
            <v>1</v>
          </cell>
          <cell r="CA175">
            <v>5</v>
          </cell>
          <cell r="CB175">
            <v>1.7290000000000001</v>
          </cell>
          <cell r="CC175">
            <v>6.9663737327188944</v>
          </cell>
          <cell r="CD175">
            <v>90</v>
          </cell>
          <cell r="CE175">
            <v>55</v>
          </cell>
          <cell r="CF175">
            <v>40</v>
          </cell>
          <cell r="CG175">
            <v>50</v>
          </cell>
          <cell r="CH175">
            <v>15</v>
          </cell>
          <cell r="CI175">
            <v>6.5</v>
          </cell>
          <cell r="CJ175">
            <v>2.1666666666666667E-2</v>
          </cell>
          <cell r="CK175">
            <v>10</v>
          </cell>
          <cell r="CL175">
            <v>40</v>
          </cell>
          <cell r="CM175">
            <v>0.37279871794871788</v>
          </cell>
          <cell r="CN175">
            <v>0.37279871794871788</v>
          </cell>
          <cell r="CO175">
            <v>0</v>
          </cell>
          <cell r="CP175">
            <v>0</v>
          </cell>
          <cell r="CQ175">
            <v>7.3391724506676121</v>
          </cell>
          <cell r="CR175">
            <v>50</v>
          </cell>
          <cell r="CS175">
            <v>1</v>
          </cell>
          <cell r="CT175">
            <v>0</v>
          </cell>
          <cell r="CU175">
            <v>0</v>
          </cell>
          <cell r="CV175">
            <v>2</v>
          </cell>
          <cell r="CW175">
            <v>33</v>
          </cell>
          <cell r="CX175">
            <v>66</v>
          </cell>
          <cell r="CY175">
            <v>2</v>
          </cell>
          <cell r="CZ175">
            <v>3</v>
          </cell>
          <cell r="DA175">
            <v>1.5</v>
          </cell>
          <cell r="DB175">
            <v>1167</v>
          </cell>
          <cell r="DC175">
            <v>584</v>
          </cell>
          <cell r="DD175">
            <v>316</v>
          </cell>
          <cell r="DE175">
            <v>59</v>
          </cell>
          <cell r="DF175">
            <v>170</v>
          </cell>
          <cell r="DG175">
            <v>18</v>
          </cell>
          <cell r="DH175">
            <v>12</v>
          </cell>
          <cell r="DI175">
            <v>12</v>
          </cell>
        </row>
        <row r="176">
          <cell r="A176" t="str">
            <v>RS 165</v>
          </cell>
          <cell r="B176">
            <v>165</v>
          </cell>
          <cell r="C176" t="str">
            <v>S</v>
          </cell>
          <cell r="D176" t="str">
            <v>U</v>
          </cell>
          <cell r="E176" t="str">
            <v>Kwacha Road</v>
          </cell>
          <cell r="F176" t="str">
            <v>Urban</v>
          </cell>
          <cell r="G176">
            <v>11</v>
          </cell>
          <cell r="H176">
            <v>1.4</v>
          </cell>
          <cell r="I176" t="str">
            <v>R</v>
          </cell>
          <cell r="J176" t="str">
            <v>IN BLANTYRE CITY</v>
          </cell>
          <cell r="K176" t="str">
            <v>C</v>
          </cell>
          <cell r="L176" t="str">
            <v>Name changed from Kwacha Rd - Marhattma</v>
          </cell>
          <cell r="W176">
            <v>71</v>
          </cell>
          <cell r="X176" t="str">
            <v>AC</v>
          </cell>
          <cell r="Y176">
            <v>150</v>
          </cell>
          <cell r="Z176" t="str">
            <v>SB</v>
          </cell>
          <cell r="AA176">
            <v>100</v>
          </cell>
          <cell r="AB176" t="str">
            <v>GR</v>
          </cell>
          <cell r="AC176">
            <v>5</v>
          </cell>
          <cell r="AD176">
            <v>0</v>
          </cell>
          <cell r="AE176">
            <v>0</v>
          </cell>
          <cell r="AF176">
            <v>0</v>
          </cell>
          <cell r="AG176">
            <v>0</v>
          </cell>
          <cell r="AH176">
            <v>0</v>
          </cell>
          <cell r="AI176">
            <v>0</v>
          </cell>
          <cell r="AJ176">
            <v>0</v>
          </cell>
          <cell r="AK176">
            <v>0</v>
          </cell>
          <cell r="AL176">
            <v>0</v>
          </cell>
          <cell r="AM176">
            <v>2</v>
          </cell>
          <cell r="AN176" t="str">
            <v>never resealed</v>
          </cell>
          <cell r="BO176" t="str">
            <v>RS 165</v>
          </cell>
          <cell r="BP176">
            <v>1.4</v>
          </cell>
          <cell r="BQ176">
            <v>6</v>
          </cell>
          <cell r="BR176" t="str">
            <v>R</v>
          </cell>
          <cell r="BS176" t="str">
            <v>C</v>
          </cell>
          <cell r="BT176">
            <v>0</v>
          </cell>
          <cell r="BU176" t="str">
            <v>AC</v>
          </cell>
          <cell r="BV176" t="str">
            <v/>
          </cell>
          <cell r="BW176">
            <v>2</v>
          </cell>
          <cell r="BX176">
            <v>40</v>
          </cell>
          <cell r="BY176" t="str">
            <v xml:space="preserve"> </v>
          </cell>
          <cell r="BZ176">
            <v>1</v>
          </cell>
          <cell r="CA176">
            <v>5</v>
          </cell>
          <cell r="CB176">
            <v>1.552</v>
          </cell>
          <cell r="CC176">
            <v>8.1996372434017601</v>
          </cell>
          <cell r="CD176">
            <v>90</v>
          </cell>
          <cell r="CE176">
            <v>72</v>
          </cell>
          <cell r="CF176">
            <v>57</v>
          </cell>
          <cell r="CG176">
            <v>33</v>
          </cell>
          <cell r="CH176">
            <v>15</v>
          </cell>
          <cell r="CI176">
            <v>184</v>
          </cell>
          <cell r="CJ176">
            <v>0.6133333333333334</v>
          </cell>
          <cell r="CK176">
            <v>10</v>
          </cell>
          <cell r="CL176">
            <v>57</v>
          </cell>
          <cell r="CM176">
            <v>0.708728205128205</v>
          </cell>
          <cell r="CN176">
            <v>0.708728205128205</v>
          </cell>
          <cell r="CO176">
            <v>0</v>
          </cell>
          <cell r="CP176">
            <v>0</v>
          </cell>
          <cell r="CQ176">
            <v>8.908365448529965</v>
          </cell>
          <cell r="CR176">
            <v>70</v>
          </cell>
          <cell r="CS176">
            <v>1</v>
          </cell>
          <cell r="CT176">
            <v>0</v>
          </cell>
          <cell r="CU176">
            <v>0</v>
          </cell>
          <cell r="CV176">
            <v>27</v>
          </cell>
          <cell r="CW176">
            <v>27</v>
          </cell>
          <cell r="CX176" t="str">
            <v xml:space="preserve"> </v>
          </cell>
          <cell r="CY176">
            <v>3</v>
          </cell>
          <cell r="CZ176">
            <v>2</v>
          </cell>
          <cell r="DA176">
            <v>2</v>
          </cell>
          <cell r="DB176">
            <v>1331</v>
          </cell>
          <cell r="DC176">
            <v>666</v>
          </cell>
          <cell r="DD176">
            <v>360</v>
          </cell>
          <cell r="DE176">
            <v>67</v>
          </cell>
          <cell r="DF176">
            <v>193</v>
          </cell>
          <cell r="DG176">
            <v>20</v>
          </cell>
          <cell r="DH176">
            <v>14</v>
          </cell>
          <cell r="DI176">
            <v>14</v>
          </cell>
        </row>
        <row r="177">
          <cell r="A177" t="str">
            <v>RS 166</v>
          </cell>
          <cell r="B177">
            <v>166</v>
          </cell>
          <cell r="C177" t="str">
            <v>S</v>
          </cell>
          <cell r="D177" t="str">
            <v>U</v>
          </cell>
          <cell r="E177" t="str">
            <v>Zingwagwa Rd (Chikwawa Rd - Kapeni Rd)</v>
          </cell>
          <cell r="F177" t="str">
            <v>Urban</v>
          </cell>
          <cell r="G177">
            <v>12</v>
          </cell>
          <cell r="H177">
            <v>7.7</v>
          </cell>
          <cell r="I177" t="str">
            <v>R</v>
          </cell>
          <cell r="J177" t="str">
            <v>IN BLANTYRE CITY</v>
          </cell>
          <cell r="K177" t="str">
            <v>C</v>
          </cell>
          <cell r="L177" t="str">
            <v>Name modified by City Council</v>
          </cell>
          <cell r="W177">
            <v>78</v>
          </cell>
          <cell r="X177" t="str">
            <v>DS</v>
          </cell>
          <cell r="Y177">
            <v>150</v>
          </cell>
          <cell r="Z177" t="str">
            <v>GR</v>
          </cell>
          <cell r="AA177">
            <v>100</v>
          </cell>
          <cell r="AB177" t="str">
            <v>GR</v>
          </cell>
          <cell r="AC177">
            <v>5</v>
          </cell>
          <cell r="AD177" t="str">
            <v>JW</v>
          </cell>
          <cell r="AE177">
            <v>0</v>
          </cell>
          <cell r="AF177">
            <v>0</v>
          </cell>
          <cell r="AG177">
            <v>0</v>
          </cell>
          <cell r="AH177">
            <v>0</v>
          </cell>
          <cell r="AI177">
            <v>0</v>
          </cell>
          <cell r="AJ177">
            <v>0</v>
          </cell>
          <cell r="AK177">
            <v>0</v>
          </cell>
          <cell r="AL177">
            <v>0</v>
          </cell>
          <cell r="AM177">
            <v>2</v>
          </cell>
          <cell r="AN177" t="str">
            <v>never resealed</v>
          </cell>
          <cell r="BO177" t="str">
            <v>RS 166</v>
          </cell>
          <cell r="BP177">
            <v>1</v>
          </cell>
          <cell r="BQ177">
            <v>6</v>
          </cell>
          <cell r="BR177" t="str">
            <v>R</v>
          </cell>
          <cell r="BS177" t="str">
            <v>C</v>
          </cell>
          <cell r="BT177">
            <v>0</v>
          </cell>
          <cell r="BU177" t="str">
            <v>DS</v>
          </cell>
          <cell r="BV177" t="str">
            <v/>
          </cell>
          <cell r="BW177">
            <v>2</v>
          </cell>
          <cell r="BX177">
            <v>15</v>
          </cell>
          <cell r="BY177" t="str">
            <v xml:space="preserve"> </v>
          </cell>
          <cell r="BZ177">
            <v>1</v>
          </cell>
          <cell r="CA177">
            <v>5</v>
          </cell>
          <cell r="CB177">
            <v>1.077</v>
          </cell>
          <cell r="CC177">
            <v>6.5</v>
          </cell>
          <cell r="CD177">
            <v>90</v>
          </cell>
          <cell r="CE177">
            <v>65</v>
          </cell>
          <cell r="CF177">
            <v>50</v>
          </cell>
          <cell r="CG177">
            <v>40</v>
          </cell>
          <cell r="CH177">
            <v>15</v>
          </cell>
          <cell r="CI177">
            <v>57</v>
          </cell>
          <cell r="CJ177">
            <v>0.19</v>
          </cell>
          <cell r="CK177">
            <v>10</v>
          </cell>
          <cell r="CL177">
            <v>50</v>
          </cell>
          <cell r="CM177">
            <v>0.50253076923076923</v>
          </cell>
          <cell r="CN177">
            <v>0.50253076923076923</v>
          </cell>
          <cell r="CO177">
            <v>0</v>
          </cell>
          <cell r="CP177">
            <v>0</v>
          </cell>
          <cell r="CQ177">
            <v>7.002530769230769</v>
          </cell>
          <cell r="CR177">
            <v>4</v>
          </cell>
          <cell r="CS177">
            <v>1</v>
          </cell>
          <cell r="CT177">
            <v>0</v>
          </cell>
          <cell r="CU177">
            <v>0</v>
          </cell>
          <cell r="CV177">
            <v>20</v>
          </cell>
          <cell r="CW177">
            <v>20</v>
          </cell>
          <cell r="CX177" t="str">
            <v xml:space="preserve"> </v>
          </cell>
          <cell r="CY177">
            <v>1.5</v>
          </cell>
          <cell r="CZ177">
            <v>1.5</v>
          </cell>
          <cell r="DA177">
            <v>1.5</v>
          </cell>
          <cell r="DB177">
            <v>2500</v>
          </cell>
          <cell r="DC177">
            <v>1250</v>
          </cell>
          <cell r="DD177">
            <v>675</v>
          </cell>
          <cell r="DE177">
            <v>125</v>
          </cell>
          <cell r="DF177">
            <v>363</v>
          </cell>
          <cell r="DG177">
            <v>38</v>
          </cell>
          <cell r="DH177">
            <v>25</v>
          </cell>
          <cell r="DI177">
            <v>25</v>
          </cell>
        </row>
        <row r="178">
          <cell r="A178" t="str">
            <v>RS 167</v>
          </cell>
          <cell r="B178">
            <v>167</v>
          </cell>
          <cell r="C178" t="str">
            <v>S</v>
          </cell>
          <cell r="D178" t="str">
            <v>U</v>
          </cell>
          <cell r="E178" t="str">
            <v>Chilomoni Road (Ring Road)</v>
          </cell>
          <cell r="F178" t="str">
            <v>Urban</v>
          </cell>
          <cell r="G178">
            <v>13</v>
          </cell>
          <cell r="H178">
            <v>6.3</v>
          </cell>
          <cell r="I178" t="str">
            <v>R</v>
          </cell>
          <cell r="J178" t="str">
            <v>IN BLANTYRE CITY</v>
          </cell>
          <cell r="K178" t="str">
            <v>C</v>
          </cell>
          <cell r="L178" t="str">
            <v>Name modified</v>
          </cell>
          <cell r="W178">
            <v>65</v>
          </cell>
          <cell r="X178" t="str">
            <v>AC</v>
          </cell>
          <cell r="Y178">
            <v>150</v>
          </cell>
          <cell r="Z178" t="str">
            <v>SB</v>
          </cell>
          <cell r="AA178">
            <v>100</v>
          </cell>
          <cell r="AB178" t="str">
            <v>GR</v>
          </cell>
          <cell r="AC178">
            <v>5</v>
          </cell>
          <cell r="AD178">
            <v>0</v>
          </cell>
          <cell r="AE178">
            <v>0</v>
          </cell>
          <cell r="AF178">
            <v>0</v>
          </cell>
          <cell r="AG178">
            <v>0</v>
          </cell>
          <cell r="AH178">
            <v>0</v>
          </cell>
          <cell r="AI178">
            <v>0</v>
          </cell>
          <cell r="AJ178">
            <v>0</v>
          </cell>
          <cell r="AK178">
            <v>0</v>
          </cell>
          <cell r="AL178">
            <v>0</v>
          </cell>
          <cell r="AM178">
            <v>2</v>
          </cell>
          <cell r="AN178" t="str">
            <v>never resealed</v>
          </cell>
          <cell r="BO178" t="str">
            <v>RS 167</v>
          </cell>
          <cell r="BP178">
            <v>6.3</v>
          </cell>
          <cell r="BQ178">
            <v>4</v>
          </cell>
          <cell r="BR178" t="str">
            <v>R</v>
          </cell>
          <cell r="BS178" t="str">
            <v>C</v>
          </cell>
          <cell r="BT178">
            <v>0</v>
          </cell>
          <cell r="BU178" t="str">
            <v>AC</v>
          </cell>
          <cell r="BV178" t="str">
            <v/>
          </cell>
          <cell r="BW178">
            <v>2</v>
          </cell>
          <cell r="BX178">
            <v>40</v>
          </cell>
          <cell r="BY178" t="str">
            <v xml:space="preserve"> </v>
          </cell>
          <cell r="BZ178">
            <v>1</v>
          </cell>
          <cell r="CA178">
            <v>5</v>
          </cell>
          <cell r="CB178">
            <v>1.552</v>
          </cell>
          <cell r="CC178">
            <v>8.0321199288700313</v>
          </cell>
          <cell r="CD178">
            <v>90</v>
          </cell>
          <cell r="CE178">
            <v>75</v>
          </cell>
          <cell r="CF178">
            <v>60</v>
          </cell>
          <cell r="CG178">
            <v>30</v>
          </cell>
          <cell r="CH178">
            <v>15</v>
          </cell>
          <cell r="CI178">
            <v>90</v>
          </cell>
          <cell r="CJ178">
            <v>0.44999999999999996</v>
          </cell>
          <cell r="CK178">
            <v>10</v>
          </cell>
          <cell r="CL178">
            <v>60</v>
          </cell>
          <cell r="CM178">
            <v>0.6668846153846153</v>
          </cell>
          <cell r="CN178">
            <v>0.6668846153846153</v>
          </cell>
          <cell r="CO178">
            <v>0</v>
          </cell>
          <cell r="CP178">
            <v>0</v>
          </cell>
          <cell r="CQ178">
            <v>8.6990045442546471</v>
          </cell>
          <cell r="CR178">
            <v>35</v>
          </cell>
          <cell r="CS178">
            <v>1</v>
          </cell>
          <cell r="CT178">
            <v>0</v>
          </cell>
          <cell r="CU178">
            <v>0</v>
          </cell>
          <cell r="CV178">
            <v>33</v>
          </cell>
          <cell r="CW178">
            <v>33</v>
          </cell>
          <cell r="CX178" t="str">
            <v xml:space="preserve"> </v>
          </cell>
          <cell r="CY178">
            <v>3</v>
          </cell>
          <cell r="CZ178">
            <v>2.5</v>
          </cell>
          <cell r="DA178">
            <v>2.5</v>
          </cell>
          <cell r="DB178">
            <v>7463</v>
          </cell>
          <cell r="DC178">
            <v>3732</v>
          </cell>
          <cell r="DD178">
            <v>2016</v>
          </cell>
          <cell r="DE178">
            <v>374</v>
          </cell>
          <cell r="DF178">
            <v>1083</v>
          </cell>
          <cell r="DG178">
            <v>112</v>
          </cell>
          <cell r="DH178">
            <v>75</v>
          </cell>
          <cell r="DI178">
            <v>75</v>
          </cell>
        </row>
        <row r="179">
          <cell r="A179" t="str">
            <v>RS 168</v>
          </cell>
          <cell r="B179">
            <v>168</v>
          </cell>
          <cell r="C179" t="str">
            <v>S</v>
          </cell>
          <cell r="D179" t="str">
            <v>U</v>
          </cell>
          <cell r="E179" t="str">
            <v>Makata Road</v>
          </cell>
          <cell r="F179" t="str">
            <v>Urban</v>
          </cell>
          <cell r="G179">
            <v>14</v>
          </cell>
          <cell r="H179">
            <v>2.7</v>
          </cell>
          <cell r="I179" t="str">
            <v>R</v>
          </cell>
          <cell r="J179" t="str">
            <v>IN BLANTYRE CITY</v>
          </cell>
          <cell r="K179" t="str">
            <v>C</v>
          </cell>
          <cell r="L179">
            <v>0</v>
          </cell>
          <cell r="W179">
            <v>65</v>
          </cell>
          <cell r="X179" t="str">
            <v>AC</v>
          </cell>
          <cell r="Y179">
            <v>150</v>
          </cell>
          <cell r="Z179" t="str">
            <v>SB</v>
          </cell>
          <cell r="AA179">
            <v>100</v>
          </cell>
          <cell r="AB179" t="str">
            <v>GR</v>
          </cell>
          <cell r="AC179">
            <v>5</v>
          </cell>
          <cell r="AD179">
            <v>0</v>
          </cell>
          <cell r="AE179">
            <v>98</v>
          </cell>
          <cell r="AF179" t="str">
            <v>RC</v>
          </cell>
          <cell r="AG179" t="str">
            <v>AC</v>
          </cell>
          <cell r="AH179">
            <v>40</v>
          </cell>
          <cell r="AI179">
            <v>0</v>
          </cell>
          <cell r="AJ179">
            <v>0</v>
          </cell>
          <cell r="AK179">
            <v>0</v>
          </cell>
          <cell r="AL179">
            <v>0</v>
          </cell>
          <cell r="AM179">
            <v>2</v>
          </cell>
          <cell r="AN179" t="str">
            <v>reconstruction in progress</v>
          </cell>
          <cell r="BO179" t="str">
            <v>RS 168</v>
          </cell>
          <cell r="BP179">
            <v>2.7</v>
          </cell>
          <cell r="BQ179">
            <v>5.5</v>
          </cell>
          <cell r="BR179" t="str">
            <v>R</v>
          </cell>
          <cell r="BS179" t="str">
            <v>C</v>
          </cell>
          <cell r="BT179">
            <v>0</v>
          </cell>
          <cell r="BU179" t="str">
            <v>AC</v>
          </cell>
          <cell r="BV179" t="str">
            <v/>
          </cell>
          <cell r="BW179">
            <v>2</v>
          </cell>
          <cell r="BX179">
            <v>40</v>
          </cell>
          <cell r="BY179" t="str">
            <v xml:space="preserve"> </v>
          </cell>
          <cell r="BZ179">
            <v>1</v>
          </cell>
          <cell r="CA179">
            <v>5</v>
          </cell>
          <cell r="CB179">
            <v>1.7290000000000001</v>
          </cell>
          <cell r="CC179">
            <v>2.5027728175050754</v>
          </cell>
          <cell r="CD179" t="str">
            <v>being overlaid 1998</v>
          </cell>
          <cell r="CE179">
            <v>0</v>
          </cell>
          <cell r="CF179">
            <v>0</v>
          </cell>
          <cell r="CG179">
            <v>0</v>
          </cell>
          <cell r="CH179">
            <v>0</v>
          </cell>
          <cell r="CI179">
            <v>0</v>
          </cell>
          <cell r="CJ179">
            <v>0</v>
          </cell>
          <cell r="CK179">
            <v>0</v>
          </cell>
          <cell r="CL179">
            <v>0</v>
          </cell>
          <cell r="CM179">
            <v>0</v>
          </cell>
          <cell r="CN179">
            <v>0</v>
          </cell>
          <cell r="CO179">
            <v>0</v>
          </cell>
          <cell r="CP179">
            <v>0</v>
          </cell>
          <cell r="CQ179">
            <v>0</v>
          </cell>
          <cell r="CR179">
            <v>0</v>
          </cell>
          <cell r="CS179">
            <v>0</v>
          </cell>
          <cell r="CT179">
            <v>0</v>
          </cell>
          <cell r="CU179">
            <v>0</v>
          </cell>
          <cell r="CV179">
            <v>0</v>
          </cell>
          <cell r="CW179">
            <v>0</v>
          </cell>
          <cell r="CX179" t="str">
            <v xml:space="preserve"> </v>
          </cell>
          <cell r="CY179">
            <v>1</v>
          </cell>
          <cell r="CZ179">
            <v>1</v>
          </cell>
          <cell r="DA179">
            <v>1</v>
          </cell>
          <cell r="DB179">
            <v>10550</v>
          </cell>
          <cell r="DC179">
            <v>5275</v>
          </cell>
          <cell r="DD179">
            <v>2849</v>
          </cell>
          <cell r="DE179">
            <v>528</v>
          </cell>
          <cell r="DF179">
            <v>1530</v>
          </cell>
          <cell r="DG179">
            <v>159</v>
          </cell>
          <cell r="DH179">
            <v>106</v>
          </cell>
          <cell r="DI179">
            <v>106</v>
          </cell>
        </row>
        <row r="180">
          <cell r="A180" t="str">
            <v>RS 169</v>
          </cell>
          <cell r="B180">
            <v>169</v>
          </cell>
          <cell r="C180" t="str">
            <v>S</v>
          </cell>
          <cell r="D180" t="str">
            <v>U</v>
          </cell>
          <cell r="E180" t="str">
            <v>Ndirande Ring Road</v>
          </cell>
          <cell r="F180" t="str">
            <v>Urban</v>
          </cell>
          <cell r="G180">
            <v>15</v>
          </cell>
          <cell r="H180">
            <v>3.3</v>
          </cell>
          <cell r="I180" t="str">
            <v>R</v>
          </cell>
          <cell r="J180" t="str">
            <v>IN BLANTYRE CITY</v>
          </cell>
          <cell r="K180" t="str">
            <v>C</v>
          </cell>
          <cell r="L180" t="str">
            <v>name changed from HHI - David Whitehead Via Ndirande Market</v>
          </cell>
          <cell r="W180">
            <v>77</v>
          </cell>
          <cell r="X180" t="str">
            <v>AC</v>
          </cell>
          <cell r="Y180">
            <v>150</v>
          </cell>
          <cell r="Z180" t="str">
            <v>SB</v>
          </cell>
          <cell r="AA180">
            <v>100</v>
          </cell>
          <cell r="AB180" t="str">
            <v>GR</v>
          </cell>
          <cell r="AC180">
            <v>5</v>
          </cell>
          <cell r="AD180">
            <v>0</v>
          </cell>
          <cell r="AE180">
            <v>0</v>
          </cell>
          <cell r="AF180">
            <v>0</v>
          </cell>
          <cell r="AG180">
            <v>0</v>
          </cell>
          <cell r="AH180">
            <v>0</v>
          </cell>
          <cell r="AI180">
            <v>0</v>
          </cell>
          <cell r="AJ180">
            <v>0</v>
          </cell>
          <cell r="AK180">
            <v>0</v>
          </cell>
          <cell r="AL180">
            <v>0</v>
          </cell>
          <cell r="AM180">
            <v>2</v>
          </cell>
          <cell r="AN180" t="str">
            <v>never resealed</v>
          </cell>
          <cell r="BO180" t="str">
            <v>RS 169</v>
          </cell>
          <cell r="BP180">
            <v>3.3</v>
          </cell>
          <cell r="BQ180">
            <v>6</v>
          </cell>
          <cell r="BR180" t="str">
            <v>R</v>
          </cell>
          <cell r="BS180" t="str">
            <v>C</v>
          </cell>
          <cell r="BT180">
            <v>0</v>
          </cell>
          <cell r="BU180" t="str">
            <v>AC</v>
          </cell>
          <cell r="BV180" t="str">
            <v/>
          </cell>
          <cell r="BW180">
            <v>2</v>
          </cell>
          <cell r="BX180">
            <v>40</v>
          </cell>
          <cell r="BY180" t="str">
            <v xml:space="preserve"> </v>
          </cell>
          <cell r="BZ180">
            <v>1</v>
          </cell>
          <cell r="CA180">
            <v>5</v>
          </cell>
          <cell r="CB180">
            <v>1.552</v>
          </cell>
          <cell r="CC180">
            <v>7.5591680351906154</v>
          </cell>
          <cell r="CD180">
            <v>90</v>
          </cell>
          <cell r="CE180">
            <v>70</v>
          </cell>
          <cell r="CF180">
            <v>55</v>
          </cell>
          <cell r="CG180">
            <v>35</v>
          </cell>
          <cell r="CH180">
            <v>15</v>
          </cell>
          <cell r="CI180">
            <v>84.3</v>
          </cell>
          <cell r="CJ180">
            <v>0.28100000000000003</v>
          </cell>
          <cell r="CK180">
            <v>10</v>
          </cell>
          <cell r="CL180">
            <v>55</v>
          </cell>
          <cell r="CM180">
            <v>0.56997769230769224</v>
          </cell>
          <cell r="CN180">
            <v>0.56997769230769224</v>
          </cell>
          <cell r="CO180">
            <v>0</v>
          </cell>
          <cell r="CP180">
            <v>0</v>
          </cell>
          <cell r="CQ180">
            <v>8.1291457274983081</v>
          </cell>
          <cell r="CR180">
            <v>64</v>
          </cell>
          <cell r="CS180">
            <v>1</v>
          </cell>
          <cell r="CT180">
            <v>0</v>
          </cell>
          <cell r="CU180">
            <v>0</v>
          </cell>
          <cell r="CV180">
            <v>21</v>
          </cell>
          <cell r="CW180">
            <v>21</v>
          </cell>
          <cell r="CX180" t="str">
            <v xml:space="preserve"> </v>
          </cell>
          <cell r="CY180">
            <v>2</v>
          </cell>
          <cell r="CZ180">
            <v>1.3</v>
          </cell>
          <cell r="DA180">
            <v>1.5</v>
          </cell>
          <cell r="DB180">
            <v>2203</v>
          </cell>
          <cell r="DC180">
            <v>1102</v>
          </cell>
          <cell r="DD180">
            <v>595</v>
          </cell>
          <cell r="DE180">
            <v>111</v>
          </cell>
          <cell r="DF180">
            <v>320</v>
          </cell>
          <cell r="DG180">
            <v>34</v>
          </cell>
          <cell r="DH180">
            <v>23</v>
          </cell>
          <cell r="DI180">
            <v>23</v>
          </cell>
        </row>
        <row r="181">
          <cell r="A181" t="str">
            <v>RS 174</v>
          </cell>
          <cell r="B181">
            <v>174</v>
          </cell>
          <cell r="C181" t="str">
            <v>S</v>
          </cell>
          <cell r="D181" t="str">
            <v>U</v>
          </cell>
          <cell r="E181" t="str">
            <v>Chipembere Highway (M2, Blantyre - Limbe)</v>
          </cell>
          <cell r="F181" t="str">
            <v>Urban</v>
          </cell>
          <cell r="G181">
            <v>16</v>
          </cell>
          <cell r="H181">
            <v>9</v>
          </cell>
          <cell r="I181" t="str">
            <v>R</v>
          </cell>
          <cell r="J181" t="str">
            <v>IN BLANTYRE CITY</v>
          </cell>
          <cell r="K181" t="str">
            <v>C</v>
          </cell>
          <cell r="L181">
            <v>0</v>
          </cell>
          <cell r="W181">
            <v>56</v>
          </cell>
          <cell r="X181" t="str">
            <v>AC</v>
          </cell>
          <cell r="Y181">
            <v>150</v>
          </cell>
          <cell r="Z181" t="str">
            <v>SB</v>
          </cell>
          <cell r="AA181">
            <v>100</v>
          </cell>
          <cell r="AB181" t="str">
            <v>GR</v>
          </cell>
          <cell r="AC181">
            <v>5</v>
          </cell>
          <cell r="AD181">
            <v>0</v>
          </cell>
          <cell r="AE181">
            <v>98</v>
          </cell>
          <cell r="AF181" t="str">
            <v>AO</v>
          </cell>
          <cell r="AG181" t="str">
            <v>AC</v>
          </cell>
          <cell r="AH181">
            <v>25</v>
          </cell>
          <cell r="AI181">
            <v>0</v>
          </cell>
          <cell r="AJ181">
            <v>0</v>
          </cell>
          <cell r="AK181">
            <v>0</v>
          </cell>
          <cell r="AL181">
            <v>0</v>
          </cell>
          <cell r="AM181">
            <v>6</v>
          </cell>
          <cell r="AN181">
            <v>0</v>
          </cell>
          <cell r="BO181" t="str">
            <v>RS 174</v>
          </cell>
          <cell r="BP181">
            <v>9</v>
          </cell>
          <cell r="BQ181">
            <v>12</v>
          </cell>
          <cell r="BR181" t="str">
            <v>R</v>
          </cell>
          <cell r="BS181" t="str">
            <v>C</v>
          </cell>
          <cell r="BT181">
            <v>0</v>
          </cell>
          <cell r="BU181" t="str">
            <v>AC</v>
          </cell>
          <cell r="BV181" t="str">
            <v>AC</v>
          </cell>
          <cell r="BW181">
            <v>6</v>
          </cell>
          <cell r="BX181">
            <v>40</v>
          </cell>
          <cell r="BY181">
            <v>40</v>
          </cell>
          <cell r="BZ181">
            <v>1</v>
          </cell>
          <cell r="CA181">
            <v>5</v>
          </cell>
          <cell r="CB181">
            <v>2.1040000000000001</v>
          </cell>
          <cell r="CC181">
            <v>5.14</v>
          </cell>
          <cell r="CD181" t="str">
            <v>being overlaid 1998</v>
          </cell>
          <cell r="CE181">
            <v>0</v>
          </cell>
          <cell r="CF181">
            <v>0</v>
          </cell>
          <cell r="CG181">
            <v>0</v>
          </cell>
          <cell r="CH181">
            <v>0</v>
          </cell>
          <cell r="CI181">
            <v>0</v>
          </cell>
          <cell r="CJ181">
            <v>0</v>
          </cell>
          <cell r="CK181">
            <v>0</v>
          </cell>
          <cell r="CL181">
            <v>0</v>
          </cell>
          <cell r="CM181">
            <v>0</v>
          </cell>
          <cell r="CN181">
            <v>0</v>
          </cell>
          <cell r="CO181">
            <v>0</v>
          </cell>
          <cell r="CP181">
            <v>0</v>
          </cell>
          <cell r="CQ181">
            <v>0</v>
          </cell>
          <cell r="CR181">
            <v>0</v>
          </cell>
          <cell r="CS181">
            <v>0</v>
          </cell>
          <cell r="CT181">
            <v>0</v>
          </cell>
          <cell r="CU181">
            <v>0</v>
          </cell>
          <cell r="CV181">
            <v>0</v>
          </cell>
          <cell r="CW181">
            <v>42</v>
          </cell>
          <cell r="CX181">
            <v>84</v>
          </cell>
          <cell r="CY181">
            <v>1.1000000000000001</v>
          </cell>
          <cell r="CZ181">
            <v>1.1000000000000001</v>
          </cell>
          <cell r="DA181">
            <v>1.1000000000000001</v>
          </cell>
          <cell r="DB181">
            <v>14065</v>
          </cell>
          <cell r="DC181">
            <v>7033</v>
          </cell>
          <cell r="DD181">
            <v>3798</v>
          </cell>
          <cell r="DE181">
            <v>704</v>
          </cell>
          <cell r="DF181">
            <v>2040</v>
          </cell>
          <cell r="DG181">
            <v>211</v>
          </cell>
          <cell r="DH181">
            <v>141</v>
          </cell>
          <cell r="DI181">
            <v>141</v>
          </cell>
        </row>
        <row r="182">
          <cell r="A182" t="str">
            <v>RS 846</v>
          </cell>
          <cell r="B182" t="str">
            <v>n.a.</v>
          </cell>
          <cell r="C182" t="str">
            <v>S</v>
          </cell>
          <cell r="D182" t="str">
            <v>U</v>
          </cell>
          <cell r="E182" t="str">
            <v>Clock Tower - junction M1 (via road S137)</v>
          </cell>
          <cell r="F182" t="str">
            <v>Urban</v>
          </cell>
          <cell r="G182">
            <v>17</v>
          </cell>
          <cell r="H182">
            <v>10.4</v>
          </cell>
          <cell r="I182" t="str">
            <v>R</v>
          </cell>
          <cell r="J182" t="str">
            <v>BLANTYRE CITY</v>
          </cell>
          <cell r="K182">
            <v>9</v>
          </cell>
          <cell r="L182" t="str">
            <v>New section part original RS 175</v>
          </cell>
          <cell r="W182">
            <v>56</v>
          </cell>
          <cell r="X182" t="str">
            <v>AC</v>
          </cell>
          <cell r="Y182">
            <v>150</v>
          </cell>
          <cell r="Z182" t="str">
            <v>SB</v>
          </cell>
          <cell r="AA182">
            <v>100</v>
          </cell>
          <cell r="AB182" t="str">
            <v>GR</v>
          </cell>
          <cell r="AC182">
            <v>5</v>
          </cell>
          <cell r="AD182">
            <v>0</v>
          </cell>
          <cell r="AE182">
            <v>98</v>
          </cell>
          <cell r="AF182" t="str">
            <v>AO</v>
          </cell>
          <cell r="AG182" t="str">
            <v>AC</v>
          </cell>
          <cell r="AH182">
            <v>25</v>
          </cell>
          <cell r="AI182">
            <v>0</v>
          </cell>
          <cell r="AJ182">
            <v>0</v>
          </cell>
          <cell r="AK182">
            <v>0</v>
          </cell>
          <cell r="AL182">
            <v>0</v>
          </cell>
          <cell r="AM182">
            <v>6</v>
          </cell>
          <cell r="AN182">
            <v>0</v>
          </cell>
          <cell r="BO182" t="str">
            <v>RS 846</v>
          </cell>
          <cell r="BP182">
            <v>10.4</v>
          </cell>
          <cell r="BQ182">
            <v>12</v>
          </cell>
          <cell r="BR182" t="str">
            <v>R</v>
          </cell>
          <cell r="BS182" t="str">
            <v>C</v>
          </cell>
          <cell r="BT182">
            <v>0</v>
          </cell>
          <cell r="BU182" t="str">
            <v>AC</v>
          </cell>
          <cell r="BV182" t="str">
            <v>AC</v>
          </cell>
          <cell r="BW182">
            <v>6</v>
          </cell>
          <cell r="BX182">
            <v>40</v>
          </cell>
          <cell r="BY182">
            <v>40</v>
          </cell>
          <cell r="BZ182">
            <v>1</v>
          </cell>
          <cell r="CA182">
            <v>5</v>
          </cell>
          <cell r="CB182">
            <v>2.1040000000000001</v>
          </cell>
          <cell r="CC182">
            <v>11.5</v>
          </cell>
          <cell r="CD182" t="str">
            <v>being overlaid 1998</v>
          </cell>
          <cell r="CE182">
            <v>0</v>
          </cell>
          <cell r="CF182">
            <v>0</v>
          </cell>
          <cell r="CG182">
            <v>0</v>
          </cell>
          <cell r="CH182">
            <v>0</v>
          </cell>
          <cell r="CI182">
            <v>0</v>
          </cell>
          <cell r="CJ182">
            <v>0</v>
          </cell>
          <cell r="CK182">
            <v>0</v>
          </cell>
          <cell r="CL182">
            <v>0</v>
          </cell>
          <cell r="CM182">
            <v>0</v>
          </cell>
          <cell r="CN182">
            <v>0</v>
          </cell>
          <cell r="CO182">
            <v>0</v>
          </cell>
          <cell r="CP182">
            <v>0</v>
          </cell>
          <cell r="CQ182">
            <v>0</v>
          </cell>
          <cell r="CR182">
            <v>0</v>
          </cell>
          <cell r="CS182">
            <v>0</v>
          </cell>
          <cell r="CT182">
            <v>0</v>
          </cell>
          <cell r="CU182">
            <v>0</v>
          </cell>
          <cell r="CV182">
            <v>0</v>
          </cell>
          <cell r="CW182">
            <v>42</v>
          </cell>
          <cell r="CX182">
            <v>84</v>
          </cell>
          <cell r="CY182">
            <v>2.5</v>
          </cell>
          <cell r="CZ182">
            <v>3</v>
          </cell>
          <cell r="DA182">
            <v>2</v>
          </cell>
          <cell r="DB182">
            <v>14000</v>
          </cell>
          <cell r="DC182">
            <v>7000</v>
          </cell>
          <cell r="DD182">
            <v>3780</v>
          </cell>
          <cell r="DE182">
            <v>700</v>
          </cell>
          <cell r="DF182">
            <v>2030</v>
          </cell>
          <cell r="DG182">
            <v>210</v>
          </cell>
          <cell r="DH182">
            <v>140</v>
          </cell>
          <cell r="DI182">
            <v>140</v>
          </cell>
        </row>
        <row r="183">
          <cell r="A183" t="str">
            <v>RS 841</v>
          </cell>
          <cell r="B183">
            <v>170</v>
          </cell>
          <cell r="C183" t="str">
            <v>S</v>
          </cell>
          <cell r="D183" t="str">
            <v>U</v>
          </cell>
          <cell r="E183" t="str">
            <v>Zomba - Chikanda (M1 to end bitumen)</v>
          </cell>
          <cell r="F183" t="str">
            <v>Urban</v>
          </cell>
          <cell r="G183">
            <v>18</v>
          </cell>
          <cell r="H183">
            <v>0.9</v>
          </cell>
          <cell r="I183" t="str">
            <v>R</v>
          </cell>
          <cell r="J183" t="str">
            <v>ZOMBA CITY</v>
          </cell>
          <cell r="K183" t="str">
            <v>C</v>
          </cell>
          <cell r="L183">
            <v>0</v>
          </cell>
          <cell r="W183">
            <v>67</v>
          </cell>
          <cell r="X183" t="str">
            <v>SA</v>
          </cell>
          <cell r="Y183">
            <v>150</v>
          </cell>
          <cell r="Z183" t="str">
            <v>GR</v>
          </cell>
          <cell r="AA183">
            <v>100</v>
          </cell>
          <cell r="AB183" t="str">
            <v>GR</v>
          </cell>
          <cell r="AC183">
            <v>5</v>
          </cell>
          <cell r="AD183">
            <v>0</v>
          </cell>
          <cell r="AE183">
            <v>0</v>
          </cell>
          <cell r="AF183">
            <v>0</v>
          </cell>
          <cell r="AG183">
            <v>0</v>
          </cell>
          <cell r="AH183">
            <v>0</v>
          </cell>
          <cell r="AI183">
            <v>0</v>
          </cell>
          <cell r="AJ183">
            <v>0</v>
          </cell>
          <cell r="AK183">
            <v>0</v>
          </cell>
          <cell r="AL183">
            <v>0</v>
          </cell>
          <cell r="AM183">
            <v>2</v>
          </cell>
          <cell r="AN183" t="str">
            <v>never resealed</v>
          </cell>
          <cell r="BO183" t="str">
            <v>RS 841</v>
          </cell>
          <cell r="BP183">
            <v>0.9</v>
          </cell>
          <cell r="BQ183">
            <v>3</v>
          </cell>
          <cell r="BR183" t="str">
            <v>R</v>
          </cell>
          <cell r="BS183" t="str">
            <v>C</v>
          </cell>
          <cell r="BT183">
            <v>0</v>
          </cell>
          <cell r="BU183" t="str">
            <v>SA</v>
          </cell>
          <cell r="BV183" t="str">
            <v/>
          </cell>
          <cell r="BW183">
            <v>2</v>
          </cell>
          <cell r="BX183">
            <v>10</v>
          </cell>
          <cell r="BY183" t="str">
            <v xml:space="preserve"> </v>
          </cell>
          <cell r="BZ183">
            <v>1</v>
          </cell>
          <cell r="CA183">
            <v>5</v>
          </cell>
          <cell r="CB183">
            <v>0.90800000000000003</v>
          </cell>
          <cell r="CC183">
            <v>8.3099011730205277</v>
          </cell>
          <cell r="CD183">
            <v>95</v>
          </cell>
          <cell r="CE183">
            <v>67</v>
          </cell>
          <cell r="CF183">
            <v>52</v>
          </cell>
          <cell r="CG183">
            <v>43</v>
          </cell>
          <cell r="CH183">
            <v>15</v>
          </cell>
          <cell r="CI183">
            <v>14.5</v>
          </cell>
          <cell r="CJ183">
            <v>9.6666666666666679E-2</v>
          </cell>
          <cell r="CK183">
            <v>10</v>
          </cell>
          <cell r="CL183">
            <v>52</v>
          </cell>
          <cell r="CM183">
            <v>0.48051025641025635</v>
          </cell>
          <cell r="CN183">
            <v>0.48051025641025635</v>
          </cell>
          <cell r="CO183">
            <v>0</v>
          </cell>
          <cell r="CP183">
            <v>0</v>
          </cell>
          <cell r="CQ183">
            <v>8.7904114294307831</v>
          </cell>
          <cell r="CR183">
            <v>25</v>
          </cell>
          <cell r="CS183">
            <v>1</v>
          </cell>
          <cell r="CT183">
            <v>0</v>
          </cell>
          <cell r="CU183">
            <v>0</v>
          </cell>
          <cell r="CV183">
            <v>31</v>
          </cell>
          <cell r="CW183">
            <v>31</v>
          </cell>
          <cell r="CX183" t="str">
            <v xml:space="preserve"> </v>
          </cell>
          <cell r="CY183">
            <v>2</v>
          </cell>
          <cell r="CZ183">
            <v>0</v>
          </cell>
          <cell r="DA183">
            <v>0</v>
          </cell>
          <cell r="DB183">
            <v>118</v>
          </cell>
          <cell r="DC183">
            <v>59</v>
          </cell>
          <cell r="DD183">
            <v>32</v>
          </cell>
          <cell r="DE183">
            <v>6</v>
          </cell>
          <cell r="DF183">
            <v>18</v>
          </cell>
          <cell r="DG183">
            <v>2</v>
          </cell>
          <cell r="DH183">
            <v>2</v>
          </cell>
          <cell r="DI183">
            <v>2</v>
          </cell>
        </row>
        <row r="184">
          <cell r="A184" t="str">
            <v>RS 171</v>
          </cell>
          <cell r="B184">
            <v>171</v>
          </cell>
          <cell r="C184" t="str">
            <v>S</v>
          </cell>
          <cell r="D184" t="str">
            <v>U</v>
          </cell>
          <cell r="E184" t="str">
            <v>St Mary's Road (Cheonga Road)</v>
          </cell>
          <cell r="F184" t="str">
            <v>Urban</v>
          </cell>
          <cell r="G184">
            <v>19</v>
          </cell>
          <cell r="H184">
            <v>2</v>
          </cell>
          <cell r="I184" t="str">
            <v>R</v>
          </cell>
          <cell r="J184" t="str">
            <v>ZOMBA CITY</v>
          </cell>
          <cell r="K184" t="str">
            <v>C</v>
          </cell>
          <cell r="L184">
            <v>0</v>
          </cell>
          <cell r="W184">
            <v>65</v>
          </cell>
          <cell r="X184" t="str">
            <v>SA</v>
          </cell>
          <cell r="Y184">
            <v>150</v>
          </cell>
          <cell r="Z184" t="str">
            <v>GR</v>
          </cell>
          <cell r="AA184">
            <v>150</v>
          </cell>
          <cell r="AB184" t="str">
            <v>GR</v>
          </cell>
          <cell r="AC184">
            <v>7</v>
          </cell>
          <cell r="AD184" t="str">
            <v>MC</v>
          </cell>
          <cell r="AE184">
            <v>0</v>
          </cell>
          <cell r="AF184">
            <v>0</v>
          </cell>
          <cell r="AG184">
            <v>0</v>
          </cell>
          <cell r="AH184">
            <v>0</v>
          </cell>
          <cell r="AI184">
            <v>0</v>
          </cell>
          <cell r="AJ184">
            <v>0</v>
          </cell>
          <cell r="AK184">
            <v>0</v>
          </cell>
          <cell r="AL184">
            <v>0</v>
          </cell>
          <cell r="AM184">
            <v>2</v>
          </cell>
          <cell r="AN184" t="str">
            <v>never resealed</v>
          </cell>
          <cell r="BO184" t="str">
            <v>RS 171</v>
          </cell>
          <cell r="BP184">
            <v>2</v>
          </cell>
          <cell r="BQ184">
            <v>3</v>
          </cell>
          <cell r="BR184" t="str">
            <v>R</v>
          </cell>
          <cell r="BS184" t="str">
            <v>C</v>
          </cell>
          <cell r="BT184">
            <v>0</v>
          </cell>
          <cell r="BU184" t="str">
            <v>SA</v>
          </cell>
          <cell r="BV184" t="str">
            <v/>
          </cell>
          <cell r="BW184">
            <v>2</v>
          </cell>
          <cell r="BX184">
            <v>10</v>
          </cell>
          <cell r="BY184" t="str">
            <v xml:space="preserve"> </v>
          </cell>
          <cell r="BZ184">
            <v>1</v>
          </cell>
          <cell r="CA184">
            <v>7</v>
          </cell>
          <cell r="CB184">
            <v>1.3580000000000001</v>
          </cell>
          <cell r="CC184">
            <v>7.6195440917716066</v>
          </cell>
          <cell r="CD184">
            <v>95</v>
          </cell>
          <cell r="CE184">
            <v>57</v>
          </cell>
          <cell r="CF184">
            <v>42</v>
          </cell>
          <cell r="CG184">
            <v>53</v>
          </cell>
          <cell r="CH184">
            <v>15</v>
          </cell>
          <cell r="CI184">
            <v>34.5</v>
          </cell>
          <cell r="CJ184">
            <v>0.22999999999999998</v>
          </cell>
          <cell r="CK184">
            <v>10</v>
          </cell>
          <cell r="CL184">
            <v>42</v>
          </cell>
          <cell r="CM184">
            <v>0.46471538461538459</v>
          </cell>
          <cell r="CN184">
            <v>0.46471538461538459</v>
          </cell>
          <cell r="CO184">
            <v>0</v>
          </cell>
          <cell r="CP184">
            <v>0</v>
          </cell>
          <cell r="CQ184">
            <v>8.0842594763869915</v>
          </cell>
          <cell r="CR184">
            <v>50</v>
          </cell>
          <cell r="CS184">
            <v>1</v>
          </cell>
          <cell r="CT184">
            <v>0</v>
          </cell>
          <cell r="CU184">
            <v>0</v>
          </cell>
          <cell r="CV184">
            <v>33</v>
          </cell>
          <cell r="CW184">
            <v>33</v>
          </cell>
          <cell r="CX184" t="str">
            <v xml:space="preserve"> </v>
          </cell>
          <cell r="CY184">
            <v>3</v>
          </cell>
          <cell r="CZ184">
            <v>3</v>
          </cell>
          <cell r="DA184">
            <v>2</v>
          </cell>
          <cell r="DB184">
            <v>134</v>
          </cell>
          <cell r="DC184">
            <v>67</v>
          </cell>
          <cell r="DD184">
            <v>37</v>
          </cell>
          <cell r="DE184">
            <v>7</v>
          </cell>
          <cell r="DF184">
            <v>20</v>
          </cell>
          <cell r="DG184">
            <v>3</v>
          </cell>
          <cell r="DH184">
            <v>2</v>
          </cell>
          <cell r="DI184">
            <v>2</v>
          </cell>
        </row>
        <row r="185">
          <cell r="A185" t="str">
            <v>RS 843</v>
          </cell>
          <cell r="B185">
            <v>172</v>
          </cell>
          <cell r="C185" t="str">
            <v>S</v>
          </cell>
          <cell r="D185" t="str">
            <v>U</v>
          </cell>
          <cell r="E185" t="str">
            <v>Chancellor College Road (M1 to end bitumen)</v>
          </cell>
          <cell r="F185" t="str">
            <v>Urban</v>
          </cell>
          <cell r="G185">
            <v>20</v>
          </cell>
          <cell r="H185">
            <v>2.6</v>
          </cell>
          <cell r="I185" t="str">
            <v>R</v>
          </cell>
          <cell r="J185" t="str">
            <v>ZOMBA CITY</v>
          </cell>
          <cell r="K185" t="str">
            <v>C</v>
          </cell>
          <cell r="L185">
            <v>0</v>
          </cell>
          <cell r="W185">
            <v>60</v>
          </cell>
          <cell r="X185" t="str">
            <v>SA</v>
          </cell>
          <cell r="Y185">
            <v>150</v>
          </cell>
          <cell r="Z185" t="str">
            <v>GR</v>
          </cell>
          <cell r="AA185">
            <v>150</v>
          </cell>
          <cell r="AB185" t="str">
            <v>GR</v>
          </cell>
          <cell r="AC185">
            <v>7</v>
          </cell>
          <cell r="AD185" t="str">
            <v>MC</v>
          </cell>
          <cell r="AE185">
            <v>0</v>
          </cell>
          <cell r="AF185">
            <v>0</v>
          </cell>
          <cell r="AG185">
            <v>0</v>
          </cell>
          <cell r="AH185">
            <v>0</v>
          </cell>
          <cell r="AI185">
            <v>0</v>
          </cell>
          <cell r="AJ185">
            <v>0</v>
          </cell>
          <cell r="AK185">
            <v>0</v>
          </cell>
          <cell r="AL185">
            <v>0</v>
          </cell>
          <cell r="AM185">
            <v>2</v>
          </cell>
          <cell r="AN185" t="str">
            <v>never resealed</v>
          </cell>
          <cell r="BO185" t="str">
            <v>RS 843</v>
          </cell>
          <cell r="BP185">
            <v>2.6</v>
          </cell>
          <cell r="BQ185">
            <v>6</v>
          </cell>
          <cell r="BR185" t="str">
            <v>R</v>
          </cell>
          <cell r="BS185" t="str">
            <v>C</v>
          </cell>
          <cell r="BT185">
            <v>0</v>
          </cell>
          <cell r="BU185" t="str">
            <v>SA</v>
          </cell>
          <cell r="BV185" t="str">
            <v/>
          </cell>
          <cell r="BW185">
            <v>2</v>
          </cell>
          <cell r="BX185">
            <v>10</v>
          </cell>
          <cell r="BY185" t="str">
            <v xml:space="preserve"> </v>
          </cell>
          <cell r="BZ185">
            <v>1</v>
          </cell>
          <cell r="CA185">
            <v>7</v>
          </cell>
          <cell r="CB185">
            <v>1.3580000000000001</v>
          </cell>
          <cell r="CC185">
            <v>6.8274964809384171</v>
          </cell>
          <cell r="CD185">
            <v>50</v>
          </cell>
          <cell r="CE185">
            <v>5</v>
          </cell>
          <cell r="CF185">
            <v>0</v>
          </cell>
          <cell r="CG185">
            <v>50</v>
          </cell>
          <cell r="CH185">
            <v>5</v>
          </cell>
          <cell r="CI185">
            <v>1.3</v>
          </cell>
          <cell r="CJ185">
            <v>4.3333333333333331E-3</v>
          </cell>
          <cell r="CK185">
            <v>4.3333333333333331E-3</v>
          </cell>
          <cell r="CL185">
            <v>0</v>
          </cell>
          <cell r="CM185">
            <v>1.6799999999999999E-3</v>
          </cell>
          <cell r="CN185">
            <v>1.6799999999999999E-3</v>
          </cell>
          <cell r="CO185">
            <v>0</v>
          </cell>
          <cell r="CP185">
            <v>0</v>
          </cell>
          <cell r="CQ185">
            <v>6.8291764809384174</v>
          </cell>
          <cell r="CR185">
            <v>0</v>
          </cell>
          <cell r="CS185">
            <v>1</v>
          </cell>
          <cell r="CT185">
            <v>0</v>
          </cell>
          <cell r="CU185">
            <v>0</v>
          </cell>
          <cell r="CV185">
            <v>38</v>
          </cell>
          <cell r="CW185">
            <v>38</v>
          </cell>
          <cell r="CX185" t="str">
            <v xml:space="preserve"> </v>
          </cell>
          <cell r="CY185">
            <v>1.2</v>
          </cell>
          <cell r="CZ185">
            <v>1.3</v>
          </cell>
          <cell r="DA185">
            <v>1.2</v>
          </cell>
          <cell r="DB185">
            <v>141</v>
          </cell>
          <cell r="DC185">
            <v>71</v>
          </cell>
          <cell r="DD185">
            <v>39</v>
          </cell>
          <cell r="DE185">
            <v>8</v>
          </cell>
          <cell r="DF185">
            <v>21</v>
          </cell>
          <cell r="DG185">
            <v>3</v>
          </cell>
          <cell r="DH185">
            <v>2</v>
          </cell>
          <cell r="DI185">
            <v>2</v>
          </cell>
        </row>
        <row r="186">
          <cell r="A186" t="str">
            <v>RS 173</v>
          </cell>
          <cell r="B186">
            <v>173</v>
          </cell>
          <cell r="C186" t="str">
            <v>S</v>
          </cell>
          <cell r="D186" t="str">
            <v>U</v>
          </cell>
          <cell r="E186" t="str">
            <v>Parliament Road</v>
          </cell>
          <cell r="F186" t="str">
            <v>Urban</v>
          </cell>
          <cell r="G186">
            <v>21</v>
          </cell>
          <cell r="H186">
            <v>2</v>
          </cell>
          <cell r="I186" t="str">
            <v>R</v>
          </cell>
          <cell r="J186" t="str">
            <v>ZOMBA CITY</v>
          </cell>
          <cell r="K186" t="str">
            <v>C</v>
          </cell>
          <cell r="L186">
            <v>0</v>
          </cell>
          <cell r="W186">
            <v>58</v>
          </cell>
          <cell r="X186" t="str">
            <v>SA</v>
          </cell>
          <cell r="Y186">
            <v>150</v>
          </cell>
          <cell r="Z186" t="str">
            <v>GR</v>
          </cell>
          <cell r="AA186">
            <v>150</v>
          </cell>
          <cell r="AB186" t="str">
            <v>GR</v>
          </cell>
          <cell r="AC186">
            <v>7</v>
          </cell>
          <cell r="AD186" t="str">
            <v>MC</v>
          </cell>
          <cell r="AE186">
            <v>98</v>
          </cell>
          <cell r="AF186" t="str">
            <v>AO</v>
          </cell>
          <cell r="AG186" t="str">
            <v>AC</v>
          </cell>
          <cell r="AH186">
            <v>25</v>
          </cell>
          <cell r="AI186">
            <v>0</v>
          </cell>
          <cell r="AJ186">
            <v>0</v>
          </cell>
          <cell r="AK186">
            <v>0</v>
          </cell>
          <cell r="AL186">
            <v>0</v>
          </cell>
          <cell r="AM186">
            <v>6</v>
          </cell>
          <cell r="AN186" t="str">
            <v>AO 1998</v>
          </cell>
          <cell r="BO186" t="str">
            <v>RS 173</v>
          </cell>
          <cell r="BP186">
            <v>2</v>
          </cell>
          <cell r="BQ186">
            <v>6</v>
          </cell>
          <cell r="BR186" t="str">
            <v>R</v>
          </cell>
          <cell r="BS186" t="str">
            <v>A</v>
          </cell>
          <cell r="BT186">
            <v>0</v>
          </cell>
          <cell r="BU186" t="str">
            <v>AC</v>
          </cell>
          <cell r="BV186" t="str">
            <v>SA</v>
          </cell>
          <cell r="BW186">
            <v>6</v>
          </cell>
          <cell r="BX186">
            <v>40</v>
          </cell>
          <cell r="BY186">
            <v>10</v>
          </cell>
          <cell r="BZ186">
            <v>1</v>
          </cell>
          <cell r="CA186">
            <v>7</v>
          </cell>
          <cell r="CB186">
            <v>1.9100000000000001</v>
          </cell>
          <cell r="CC186">
            <v>7.3099011730205294</v>
          </cell>
          <cell r="CD186" t="str">
            <v>being overlaid 1998</v>
          </cell>
          <cell r="CE186">
            <v>0</v>
          </cell>
          <cell r="CF186">
            <v>0</v>
          </cell>
          <cell r="CG186">
            <v>0</v>
          </cell>
          <cell r="CH186">
            <v>0</v>
          </cell>
          <cell r="CI186">
            <v>0</v>
          </cell>
          <cell r="CJ186">
            <v>0</v>
          </cell>
          <cell r="CK186">
            <v>0</v>
          </cell>
          <cell r="CL186">
            <v>0</v>
          </cell>
          <cell r="CM186">
            <v>0</v>
          </cell>
          <cell r="CN186">
            <v>0</v>
          </cell>
          <cell r="CO186">
            <v>0</v>
          </cell>
          <cell r="CP186">
            <v>0</v>
          </cell>
          <cell r="CQ186">
            <v>0</v>
          </cell>
          <cell r="CR186">
            <v>0</v>
          </cell>
          <cell r="CS186">
            <v>0</v>
          </cell>
          <cell r="CT186">
            <v>0</v>
          </cell>
          <cell r="CU186">
            <v>0</v>
          </cell>
          <cell r="CV186">
            <v>0</v>
          </cell>
          <cell r="CW186">
            <v>40</v>
          </cell>
          <cell r="CX186">
            <v>80</v>
          </cell>
          <cell r="CY186">
            <v>1</v>
          </cell>
          <cell r="CZ186">
            <v>1</v>
          </cell>
          <cell r="DA186">
            <v>1</v>
          </cell>
          <cell r="DB186">
            <v>179</v>
          </cell>
          <cell r="DC186">
            <v>90</v>
          </cell>
          <cell r="DD186">
            <v>49</v>
          </cell>
          <cell r="DE186">
            <v>9</v>
          </cell>
          <cell r="DF186">
            <v>26</v>
          </cell>
          <cell r="DG186">
            <v>3</v>
          </cell>
          <cell r="DH186">
            <v>2</v>
          </cell>
          <cell r="DI186">
            <v>2</v>
          </cell>
        </row>
        <row r="187">
          <cell r="A187" t="str">
            <v>RS 176</v>
          </cell>
          <cell r="B187">
            <v>176</v>
          </cell>
          <cell r="C187" t="str">
            <v>S</v>
          </cell>
          <cell r="D187" t="str">
            <v>U</v>
          </cell>
          <cell r="E187" t="str">
            <v>Kuchawe Road (up road)</v>
          </cell>
          <cell r="F187" t="str">
            <v>Urban</v>
          </cell>
          <cell r="G187">
            <v>22</v>
          </cell>
          <cell r="H187">
            <v>15</v>
          </cell>
          <cell r="I187" t="str">
            <v>H</v>
          </cell>
          <cell r="J187" t="str">
            <v>ZOMBA CITY &amp; ZOMBA</v>
          </cell>
          <cell r="K187" t="str">
            <v>C</v>
          </cell>
          <cell r="L187">
            <v>0</v>
          </cell>
          <cell r="W187">
            <v>68</v>
          </cell>
          <cell r="X187" t="str">
            <v>SA</v>
          </cell>
          <cell r="Y187">
            <v>150</v>
          </cell>
          <cell r="Z187" t="str">
            <v>SB</v>
          </cell>
          <cell r="AA187">
            <v>150</v>
          </cell>
          <cell r="AB187" t="str">
            <v>GR</v>
          </cell>
          <cell r="AC187">
            <v>15</v>
          </cell>
          <cell r="AD187" t="str">
            <v>VR</v>
          </cell>
          <cell r="AE187">
            <v>0</v>
          </cell>
          <cell r="AF187">
            <v>0</v>
          </cell>
          <cell r="AG187">
            <v>0</v>
          </cell>
          <cell r="AH187">
            <v>0</v>
          </cell>
          <cell r="AI187">
            <v>0</v>
          </cell>
          <cell r="AJ187">
            <v>0</v>
          </cell>
          <cell r="AK187">
            <v>0</v>
          </cell>
          <cell r="AL187">
            <v>0</v>
          </cell>
          <cell r="AM187">
            <v>2</v>
          </cell>
          <cell r="AN187" t="str">
            <v>reseal 1998</v>
          </cell>
          <cell r="BO187" t="str">
            <v>RS 176</v>
          </cell>
          <cell r="BP187">
            <v>15</v>
          </cell>
          <cell r="BQ187">
            <v>5.5</v>
          </cell>
          <cell r="BR187" t="str">
            <v>H</v>
          </cell>
          <cell r="BS187" t="str">
            <v>C</v>
          </cell>
          <cell r="BT187">
            <v>0</v>
          </cell>
          <cell r="BU187" t="str">
            <v>SA</v>
          </cell>
          <cell r="BV187" t="str">
            <v/>
          </cell>
          <cell r="BW187">
            <v>2</v>
          </cell>
          <cell r="BX187">
            <v>10</v>
          </cell>
          <cell r="BY187" t="str">
            <v xml:space="preserve"> </v>
          </cell>
          <cell r="BZ187">
            <v>1</v>
          </cell>
          <cell r="CA187">
            <v>15</v>
          </cell>
          <cell r="CB187">
            <v>1.508</v>
          </cell>
          <cell r="CC187">
            <v>9.5457000217226007</v>
          </cell>
          <cell r="CD187">
            <v>90</v>
          </cell>
          <cell r="CE187">
            <v>60</v>
          </cell>
          <cell r="CF187">
            <v>45</v>
          </cell>
          <cell r="CG187">
            <v>45</v>
          </cell>
          <cell r="CH187">
            <v>15</v>
          </cell>
          <cell r="CI187">
            <v>4.5</v>
          </cell>
          <cell r="CJ187">
            <v>1.6363636363636365E-2</v>
          </cell>
          <cell r="CK187">
            <v>10</v>
          </cell>
          <cell r="CL187">
            <v>45</v>
          </cell>
          <cell r="CM187">
            <v>0.40387272727272727</v>
          </cell>
          <cell r="CN187">
            <v>0.40387272727272727</v>
          </cell>
          <cell r="CO187">
            <v>0</v>
          </cell>
          <cell r="CP187">
            <v>0</v>
          </cell>
          <cell r="CQ187">
            <v>9.9495727489953278</v>
          </cell>
          <cell r="CR187">
            <v>25</v>
          </cell>
          <cell r="CS187">
            <v>1</v>
          </cell>
          <cell r="CT187">
            <v>0</v>
          </cell>
          <cell r="CU187">
            <v>0</v>
          </cell>
          <cell r="CV187">
            <v>30</v>
          </cell>
          <cell r="CW187">
            <v>30</v>
          </cell>
          <cell r="CX187" t="str">
            <v xml:space="preserve"> </v>
          </cell>
          <cell r="CY187">
            <v>2</v>
          </cell>
          <cell r="CZ187">
            <v>2</v>
          </cell>
          <cell r="DA187">
            <v>1.5</v>
          </cell>
          <cell r="DB187">
            <v>200</v>
          </cell>
          <cell r="DC187">
            <v>103</v>
          </cell>
          <cell r="DD187">
            <v>8</v>
          </cell>
          <cell r="DE187">
            <v>5</v>
          </cell>
          <cell r="DF187">
            <v>9</v>
          </cell>
          <cell r="DG187">
            <v>5</v>
          </cell>
          <cell r="DH187">
            <v>3</v>
          </cell>
          <cell r="DI187">
            <v>11</v>
          </cell>
        </row>
        <row r="188">
          <cell r="A188" t="str">
            <v>RS 146</v>
          </cell>
          <cell r="B188">
            <v>146</v>
          </cell>
          <cell r="C188" t="str">
            <v>N</v>
          </cell>
          <cell r="D188" t="str">
            <v>U</v>
          </cell>
          <cell r="E188" t="str">
            <v>Chimaliro Road</v>
          </cell>
          <cell r="F188" t="str">
            <v>Urban</v>
          </cell>
          <cell r="G188">
            <v>25</v>
          </cell>
          <cell r="H188">
            <v>10</v>
          </cell>
          <cell r="I188" t="str">
            <v>R</v>
          </cell>
          <cell r="J188" t="str">
            <v>MZUZU CITY</v>
          </cell>
          <cell r="K188" t="str">
            <v>C</v>
          </cell>
          <cell r="L188">
            <v>0</v>
          </cell>
          <cell r="W188">
            <v>85</v>
          </cell>
          <cell r="X188" t="str">
            <v>DS</v>
          </cell>
          <cell r="Y188">
            <v>150</v>
          </cell>
          <cell r="Z188" t="str">
            <v>GR</v>
          </cell>
          <cell r="AA188">
            <v>100</v>
          </cell>
          <cell r="AB188" t="str">
            <v>GR</v>
          </cell>
          <cell r="AC188">
            <v>5</v>
          </cell>
          <cell r="AD188" t="str">
            <v>AM</v>
          </cell>
          <cell r="AE188">
            <v>0</v>
          </cell>
          <cell r="AF188">
            <v>0</v>
          </cell>
          <cell r="AG188">
            <v>0</v>
          </cell>
          <cell r="AH188">
            <v>0</v>
          </cell>
          <cell r="AI188">
            <v>0</v>
          </cell>
          <cell r="AJ188">
            <v>0</v>
          </cell>
          <cell r="AK188">
            <v>0</v>
          </cell>
          <cell r="AL188">
            <v>0</v>
          </cell>
          <cell r="AM188">
            <v>1</v>
          </cell>
          <cell r="AN188" t="str">
            <v>never resealed</v>
          </cell>
          <cell r="BO188" t="str">
            <v>RS 146</v>
          </cell>
          <cell r="BP188">
            <v>10</v>
          </cell>
          <cell r="BQ188">
            <v>6.7</v>
          </cell>
          <cell r="BR188" t="str">
            <v>R</v>
          </cell>
          <cell r="BS188" t="str">
            <v>C</v>
          </cell>
          <cell r="BT188">
            <v>0</v>
          </cell>
          <cell r="BU188" t="str">
            <v>DS</v>
          </cell>
          <cell r="BV188" t="str">
            <v/>
          </cell>
          <cell r="BW188">
            <v>1</v>
          </cell>
          <cell r="BX188">
            <v>15</v>
          </cell>
          <cell r="BY188" t="str">
            <v xml:space="preserve"> </v>
          </cell>
          <cell r="BZ188">
            <v>1</v>
          </cell>
          <cell r="CA188">
            <v>5</v>
          </cell>
          <cell r="CB188">
            <v>1.077</v>
          </cell>
          <cell r="CC188">
            <v>3.5</v>
          </cell>
          <cell r="CD188">
            <v>0</v>
          </cell>
          <cell r="CE188">
            <v>0</v>
          </cell>
          <cell r="CF188">
            <v>0</v>
          </cell>
          <cell r="CG188">
            <v>0</v>
          </cell>
          <cell r="CH188">
            <v>0</v>
          </cell>
          <cell r="CI188">
            <v>30</v>
          </cell>
          <cell r="CJ188">
            <v>8.9552238805970144E-2</v>
          </cell>
          <cell r="CK188">
            <v>8.9552238805970144E-2</v>
          </cell>
          <cell r="CL188">
            <v>0</v>
          </cell>
          <cell r="CM188">
            <v>3.4718714121699197E-2</v>
          </cell>
          <cell r="CN188">
            <v>3.4718714121699197E-2</v>
          </cell>
          <cell r="CO188">
            <v>0</v>
          </cell>
          <cell r="CP188">
            <v>0</v>
          </cell>
          <cell r="CQ188">
            <v>3.5347187141216994</v>
          </cell>
          <cell r="CR188">
            <v>0</v>
          </cell>
          <cell r="CS188">
            <v>1</v>
          </cell>
          <cell r="CT188">
            <v>0</v>
          </cell>
          <cell r="CU188">
            <v>0</v>
          </cell>
          <cell r="CV188">
            <v>13</v>
          </cell>
          <cell r="CW188">
            <v>13</v>
          </cell>
          <cell r="CX188" t="str">
            <v xml:space="preserve"> </v>
          </cell>
          <cell r="CY188">
            <v>2</v>
          </cell>
          <cell r="CZ188">
            <v>2</v>
          </cell>
          <cell r="DA188">
            <v>2</v>
          </cell>
          <cell r="DB188">
            <v>780</v>
          </cell>
          <cell r="DC188">
            <v>390</v>
          </cell>
          <cell r="DD188">
            <v>211</v>
          </cell>
          <cell r="DE188">
            <v>39</v>
          </cell>
          <cell r="DF188">
            <v>114</v>
          </cell>
          <cell r="DG188">
            <v>12</v>
          </cell>
          <cell r="DH188">
            <v>8</v>
          </cell>
          <cell r="DI188">
            <v>8</v>
          </cell>
        </row>
        <row r="189">
          <cell r="A189" t="str">
            <v>RS 147</v>
          </cell>
          <cell r="B189">
            <v>147</v>
          </cell>
          <cell r="C189" t="str">
            <v>N</v>
          </cell>
          <cell r="D189" t="str">
            <v>U</v>
          </cell>
          <cell r="E189" t="str">
            <v>Roundabout (Kamuzu Ave.) - Mzirawaingwe</v>
          </cell>
          <cell r="F189" t="str">
            <v>Urban</v>
          </cell>
          <cell r="G189">
            <v>26</v>
          </cell>
          <cell r="H189">
            <v>2.5</v>
          </cell>
          <cell r="I189" t="str">
            <v>R</v>
          </cell>
          <cell r="J189" t="str">
            <v>MZUZU CITY</v>
          </cell>
          <cell r="K189" t="str">
            <v>C</v>
          </cell>
          <cell r="L189" t="str">
            <v xml:space="preserve">Length changed </v>
          </cell>
          <cell r="W189">
            <v>73</v>
          </cell>
          <cell r="X189" t="str">
            <v>DS</v>
          </cell>
          <cell r="Y189">
            <v>150</v>
          </cell>
          <cell r="Z189" t="str">
            <v>GR</v>
          </cell>
          <cell r="AA189">
            <v>100</v>
          </cell>
          <cell r="AB189" t="str">
            <v>GR</v>
          </cell>
          <cell r="AC189">
            <v>5</v>
          </cell>
          <cell r="AD189" t="str">
            <v>AM</v>
          </cell>
          <cell r="AE189">
            <v>0</v>
          </cell>
          <cell r="AF189">
            <v>0</v>
          </cell>
          <cell r="AG189">
            <v>0</v>
          </cell>
          <cell r="AH189">
            <v>0</v>
          </cell>
          <cell r="AI189">
            <v>0</v>
          </cell>
          <cell r="AJ189">
            <v>0</v>
          </cell>
          <cell r="AK189">
            <v>0</v>
          </cell>
          <cell r="AL189">
            <v>0</v>
          </cell>
          <cell r="AM189">
            <v>1</v>
          </cell>
          <cell r="AN189" t="str">
            <v>never resealed</v>
          </cell>
          <cell r="BO189" t="str">
            <v>RS 147</v>
          </cell>
          <cell r="BP189">
            <v>2.5</v>
          </cell>
          <cell r="BQ189">
            <v>6.7</v>
          </cell>
          <cell r="BR189" t="str">
            <v>R</v>
          </cell>
          <cell r="BS189" t="str">
            <v>C</v>
          </cell>
          <cell r="BT189">
            <v>0</v>
          </cell>
          <cell r="BU189" t="str">
            <v>DS</v>
          </cell>
          <cell r="BV189" t="str">
            <v/>
          </cell>
          <cell r="BW189">
            <v>1</v>
          </cell>
          <cell r="BX189">
            <v>15</v>
          </cell>
          <cell r="BY189" t="str">
            <v xml:space="preserve"> </v>
          </cell>
          <cell r="BZ189">
            <v>1</v>
          </cell>
          <cell r="CA189">
            <v>5</v>
          </cell>
          <cell r="CB189">
            <v>1.077</v>
          </cell>
          <cell r="CC189">
            <v>3.6</v>
          </cell>
          <cell r="CD189">
            <v>90</v>
          </cell>
          <cell r="CE189">
            <v>72</v>
          </cell>
          <cell r="CF189">
            <v>57</v>
          </cell>
          <cell r="CG189">
            <v>33</v>
          </cell>
          <cell r="CH189">
            <v>15</v>
          </cell>
          <cell r="CI189">
            <v>0.4</v>
          </cell>
          <cell r="CJ189">
            <v>1.1940298507462689E-3</v>
          </cell>
          <cell r="CK189">
            <v>10</v>
          </cell>
          <cell r="CL189">
            <v>57</v>
          </cell>
          <cell r="CM189">
            <v>0.47752789896670489</v>
          </cell>
          <cell r="CN189">
            <v>0.47752789896670489</v>
          </cell>
          <cell r="CO189">
            <v>0</v>
          </cell>
          <cell r="CP189">
            <v>0</v>
          </cell>
          <cell r="CQ189">
            <v>4.0775278989667054</v>
          </cell>
          <cell r="CR189">
            <v>0</v>
          </cell>
          <cell r="CS189">
            <v>1</v>
          </cell>
          <cell r="CT189">
            <v>0</v>
          </cell>
          <cell r="CU189">
            <v>0</v>
          </cell>
          <cell r="CV189">
            <v>25</v>
          </cell>
          <cell r="CW189">
            <v>25</v>
          </cell>
          <cell r="CX189" t="str">
            <v xml:space="preserve"> </v>
          </cell>
          <cell r="CY189">
            <v>2.5</v>
          </cell>
          <cell r="CZ189">
            <v>2</v>
          </cell>
          <cell r="DA189">
            <v>2.5</v>
          </cell>
          <cell r="DB189">
            <v>1117</v>
          </cell>
          <cell r="DC189">
            <v>559</v>
          </cell>
          <cell r="DD189">
            <v>302</v>
          </cell>
          <cell r="DE189">
            <v>56</v>
          </cell>
          <cell r="DF189">
            <v>162</v>
          </cell>
          <cell r="DG189">
            <v>17</v>
          </cell>
          <cell r="DH189">
            <v>12</v>
          </cell>
          <cell r="DI189">
            <v>12</v>
          </cell>
        </row>
        <row r="190">
          <cell r="A190" t="str">
            <v>RS 849</v>
          </cell>
          <cell r="B190" t="str">
            <v>n.a.</v>
          </cell>
          <cell r="C190" t="str">
            <v>N</v>
          </cell>
          <cell r="D190" t="str">
            <v>U</v>
          </cell>
          <cell r="E190" t="str">
            <v>Viphya Drive (Kamuzu Ave. to Mazuzu Hotel)</v>
          </cell>
          <cell r="F190" t="str">
            <v>Urban</v>
          </cell>
          <cell r="G190">
            <v>27</v>
          </cell>
          <cell r="H190">
            <v>0.5</v>
          </cell>
          <cell r="I190">
            <v>0</v>
          </cell>
          <cell r="J190" t="str">
            <v>MZUZU CITY</v>
          </cell>
          <cell r="K190" t="str">
            <v>C</v>
          </cell>
          <cell r="L190" t="str">
            <v>New section part of origional RS 148</v>
          </cell>
          <cell r="W190">
            <v>73</v>
          </cell>
          <cell r="X190" t="str">
            <v>DS</v>
          </cell>
          <cell r="Y190">
            <v>150</v>
          </cell>
          <cell r="Z190" t="str">
            <v>GR</v>
          </cell>
          <cell r="AA190">
            <v>100</v>
          </cell>
          <cell r="AB190" t="str">
            <v>GR</v>
          </cell>
          <cell r="AC190">
            <v>5</v>
          </cell>
          <cell r="AD190" t="str">
            <v>AM</v>
          </cell>
          <cell r="AE190">
            <v>0</v>
          </cell>
          <cell r="AF190">
            <v>0</v>
          </cell>
          <cell r="AG190">
            <v>0</v>
          </cell>
          <cell r="AH190">
            <v>0</v>
          </cell>
          <cell r="AI190">
            <v>0</v>
          </cell>
          <cell r="AJ190">
            <v>0</v>
          </cell>
          <cell r="AK190">
            <v>0</v>
          </cell>
          <cell r="AL190">
            <v>0</v>
          </cell>
          <cell r="AM190">
            <v>1</v>
          </cell>
          <cell r="AN190" t="str">
            <v>never resealed</v>
          </cell>
          <cell r="BO190" t="str">
            <v>RS 849</v>
          </cell>
          <cell r="BP190">
            <v>0.5</v>
          </cell>
          <cell r="BQ190">
            <v>4</v>
          </cell>
          <cell r="BR190" t="str">
            <v>R</v>
          </cell>
          <cell r="BS190" t="str">
            <v>C</v>
          </cell>
          <cell r="BT190">
            <v>0</v>
          </cell>
          <cell r="BU190" t="str">
            <v>DS</v>
          </cell>
          <cell r="BV190" t="str">
            <v/>
          </cell>
          <cell r="BW190">
            <v>1</v>
          </cell>
          <cell r="BX190">
            <v>15</v>
          </cell>
          <cell r="BY190" t="str">
            <v xml:space="preserve"> </v>
          </cell>
          <cell r="BZ190">
            <v>1</v>
          </cell>
          <cell r="CA190">
            <v>5</v>
          </cell>
          <cell r="CB190">
            <v>1.077</v>
          </cell>
          <cell r="CC190">
            <v>3.7</v>
          </cell>
          <cell r="CD190">
            <v>70</v>
          </cell>
          <cell r="CE190">
            <v>45</v>
          </cell>
          <cell r="CF190">
            <v>30</v>
          </cell>
          <cell r="CG190">
            <v>40</v>
          </cell>
          <cell r="CH190">
            <v>15</v>
          </cell>
          <cell r="CI190">
            <v>8</v>
          </cell>
          <cell r="CJ190">
            <v>0.04</v>
          </cell>
          <cell r="CK190">
            <v>10</v>
          </cell>
          <cell r="CL190">
            <v>30</v>
          </cell>
          <cell r="CM190">
            <v>0.31356923076923071</v>
          </cell>
          <cell r="CN190">
            <v>0.31356923076923071</v>
          </cell>
          <cell r="CO190">
            <v>0</v>
          </cell>
          <cell r="CP190">
            <v>0</v>
          </cell>
          <cell r="CQ190">
            <v>4.0135692307692308</v>
          </cell>
          <cell r="CR190">
            <v>0</v>
          </cell>
          <cell r="CS190">
            <v>1</v>
          </cell>
          <cell r="CT190">
            <v>0</v>
          </cell>
          <cell r="CU190">
            <v>0</v>
          </cell>
          <cell r="CV190">
            <v>25</v>
          </cell>
          <cell r="CW190">
            <v>25</v>
          </cell>
          <cell r="CX190" t="str">
            <v xml:space="preserve"> </v>
          </cell>
          <cell r="CY190">
            <v>1</v>
          </cell>
          <cell r="CZ190">
            <v>1</v>
          </cell>
          <cell r="DA190">
            <v>3</v>
          </cell>
          <cell r="DB190">
            <v>184</v>
          </cell>
          <cell r="DC190">
            <v>92</v>
          </cell>
          <cell r="DD190">
            <v>50</v>
          </cell>
          <cell r="DE190">
            <v>10</v>
          </cell>
          <cell r="DF190">
            <v>27</v>
          </cell>
          <cell r="DG190">
            <v>3</v>
          </cell>
          <cell r="DH190">
            <v>2</v>
          </cell>
          <cell r="DI190">
            <v>2</v>
          </cell>
        </row>
        <row r="191">
          <cell r="A191" t="str">
            <v>RS 149</v>
          </cell>
          <cell r="B191">
            <v>149</v>
          </cell>
          <cell r="C191" t="str">
            <v>N</v>
          </cell>
          <cell r="D191" t="str">
            <v>U</v>
          </cell>
          <cell r="E191" t="str">
            <v>Airport Road (Mzuzu)</v>
          </cell>
          <cell r="F191" t="str">
            <v>Urban</v>
          </cell>
          <cell r="G191">
            <v>28</v>
          </cell>
          <cell r="H191">
            <v>3</v>
          </cell>
          <cell r="I191" t="str">
            <v>R</v>
          </cell>
          <cell r="J191" t="str">
            <v>MZUZU CITY</v>
          </cell>
          <cell r="K191" t="str">
            <v>C</v>
          </cell>
          <cell r="L191">
            <v>0</v>
          </cell>
          <cell r="W191">
            <v>73</v>
          </cell>
          <cell r="X191" t="str">
            <v>DS</v>
          </cell>
          <cell r="Y191">
            <v>150</v>
          </cell>
          <cell r="Z191" t="str">
            <v>GR</v>
          </cell>
          <cell r="AA191">
            <v>100</v>
          </cell>
          <cell r="AB191" t="str">
            <v>GR</v>
          </cell>
          <cell r="AC191">
            <v>5</v>
          </cell>
          <cell r="AD191" t="str">
            <v>AM</v>
          </cell>
          <cell r="AE191">
            <v>0</v>
          </cell>
          <cell r="AF191">
            <v>0</v>
          </cell>
          <cell r="AG191">
            <v>0</v>
          </cell>
          <cell r="AH191">
            <v>0</v>
          </cell>
          <cell r="AI191">
            <v>0</v>
          </cell>
          <cell r="AJ191">
            <v>0</v>
          </cell>
          <cell r="AK191">
            <v>0</v>
          </cell>
          <cell r="AL191">
            <v>0</v>
          </cell>
          <cell r="AM191">
            <v>1</v>
          </cell>
          <cell r="AN191" t="str">
            <v>never resealed</v>
          </cell>
          <cell r="BO191" t="str">
            <v>RS 149</v>
          </cell>
          <cell r="BP191">
            <v>3</v>
          </cell>
          <cell r="BQ191">
            <v>5.5</v>
          </cell>
          <cell r="BR191" t="str">
            <v>R</v>
          </cell>
          <cell r="BS191" t="str">
            <v>C</v>
          </cell>
          <cell r="BT191">
            <v>0</v>
          </cell>
          <cell r="BU191" t="str">
            <v>DS</v>
          </cell>
          <cell r="BV191" t="str">
            <v/>
          </cell>
          <cell r="BW191">
            <v>1</v>
          </cell>
          <cell r="BX191">
            <v>15</v>
          </cell>
          <cell r="BY191" t="str">
            <v xml:space="preserve"> </v>
          </cell>
          <cell r="BZ191">
            <v>1</v>
          </cell>
          <cell r="CA191">
            <v>5</v>
          </cell>
          <cell r="CB191">
            <v>1.077</v>
          </cell>
          <cell r="CC191">
            <v>3.5</v>
          </cell>
          <cell r="CD191">
            <v>0</v>
          </cell>
          <cell r="CE191">
            <v>0</v>
          </cell>
          <cell r="CF191">
            <v>0</v>
          </cell>
          <cell r="CG191">
            <v>0</v>
          </cell>
          <cell r="CH191">
            <v>0</v>
          </cell>
          <cell r="CI191">
            <v>30</v>
          </cell>
          <cell r="CJ191">
            <v>0.1090909090909091</v>
          </cell>
          <cell r="CK191">
            <v>0.1090909090909091</v>
          </cell>
          <cell r="CL191">
            <v>0</v>
          </cell>
          <cell r="CM191">
            <v>4.2293706293706296E-2</v>
          </cell>
          <cell r="CN191">
            <v>4.2293706293706296E-2</v>
          </cell>
          <cell r="CO191">
            <v>0</v>
          </cell>
          <cell r="CP191">
            <v>0</v>
          </cell>
          <cell r="CQ191">
            <v>3.5422937062937061</v>
          </cell>
          <cell r="CR191">
            <v>0</v>
          </cell>
          <cell r="CS191">
            <v>2</v>
          </cell>
          <cell r="CT191">
            <v>5</v>
          </cell>
          <cell r="CU191">
            <v>2</v>
          </cell>
          <cell r="CV191">
            <v>25</v>
          </cell>
          <cell r="CW191">
            <v>25</v>
          </cell>
          <cell r="CX191" t="str">
            <v xml:space="preserve"> </v>
          </cell>
          <cell r="CY191">
            <v>1</v>
          </cell>
          <cell r="CZ191">
            <v>2</v>
          </cell>
          <cell r="DA191">
            <v>2</v>
          </cell>
          <cell r="DB191">
            <v>300</v>
          </cell>
          <cell r="DC191">
            <v>150</v>
          </cell>
          <cell r="DD191">
            <v>81</v>
          </cell>
          <cell r="DE191">
            <v>15</v>
          </cell>
          <cell r="DF191">
            <v>44</v>
          </cell>
          <cell r="DG191">
            <v>5</v>
          </cell>
          <cell r="DH191">
            <v>3</v>
          </cell>
          <cell r="DI191">
            <v>3</v>
          </cell>
        </row>
        <row r="192">
          <cell r="A192" t="str">
            <v>RS 151</v>
          </cell>
          <cell r="B192">
            <v>151</v>
          </cell>
          <cell r="C192" t="str">
            <v>N</v>
          </cell>
          <cell r="D192" t="str">
            <v>U</v>
          </cell>
          <cell r="E192" t="str">
            <v>Marine-Works</v>
          </cell>
          <cell r="F192" t="str">
            <v>Urban</v>
          </cell>
          <cell r="G192">
            <v>29</v>
          </cell>
          <cell r="H192">
            <v>2</v>
          </cell>
          <cell r="I192" t="str">
            <v>F</v>
          </cell>
          <cell r="J192" t="str">
            <v>KARONGA TOWN</v>
          </cell>
          <cell r="K192" t="str">
            <v>C</v>
          </cell>
          <cell r="L192">
            <v>0</v>
          </cell>
          <cell r="W192">
            <v>73</v>
          </cell>
          <cell r="X192" t="str">
            <v>ST</v>
          </cell>
          <cell r="Y192">
            <v>150</v>
          </cell>
          <cell r="Z192" t="str">
            <v>GR</v>
          </cell>
          <cell r="AA192">
            <v>100</v>
          </cell>
          <cell r="AB192" t="str">
            <v>GR</v>
          </cell>
          <cell r="AC192">
            <v>5</v>
          </cell>
          <cell r="AD192" t="str">
            <v>JW</v>
          </cell>
          <cell r="AE192">
            <v>0</v>
          </cell>
          <cell r="AF192">
            <v>0</v>
          </cell>
          <cell r="AG192">
            <v>0</v>
          </cell>
          <cell r="AH192">
            <v>0</v>
          </cell>
          <cell r="AI192">
            <v>0</v>
          </cell>
          <cell r="AJ192">
            <v>0</v>
          </cell>
          <cell r="AK192">
            <v>0</v>
          </cell>
          <cell r="AL192">
            <v>0</v>
          </cell>
          <cell r="AM192">
            <v>1</v>
          </cell>
          <cell r="AN192" t="str">
            <v>never resealed</v>
          </cell>
          <cell r="BO192" t="str">
            <v>RS 151</v>
          </cell>
          <cell r="BP192">
            <v>2</v>
          </cell>
          <cell r="BQ192" t="str">
            <v>n.a.</v>
          </cell>
          <cell r="BR192" t="str">
            <v>F</v>
          </cell>
          <cell r="BS192" t="str">
            <v>X</v>
          </cell>
          <cell r="BT192">
            <v>90</v>
          </cell>
          <cell r="BU192" t="str">
            <v>ST</v>
          </cell>
          <cell r="BV192" t="str">
            <v/>
          </cell>
          <cell r="BW192">
            <v>1</v>
          </cell>
          <cell r="BX192">
            <v>10</v>
          </cell>
          <cell r="BY192" t="str">
            <v xml:space="preserve"> </v>
          </cell>
          <cell r="BZ192">
            <v>1</v>
          </cell>
          <cell r="CA192">
            <v>5</v>
          </cell>
          <cell r="CB192">
            <v>0.90800000000000003</v>
          </cell>
          <cell r="CC192" t="str">
            <v>bitumen surface removed</v>
          </cell>
          <cell r="CD192">
            <v>0</v>
          </cell>
          <cell r="CE192">
            <v>0</v>
          </cell>
          <cell r="CF192">
            <v>0</v>
          </cell>
          <cell r="CG192">
            <v>0</v>
          </cell>
          <cell r="CH192">
            <v>0</v>
          </cell>
          <cell r="CI192">
            <v>0</v>
          </cell>
          <cell r="CJ192">
            <v>0</v>
          </cell>
          <cell r="CK192">
            <v>0</v>
          </cell>
          <cell r="CL192">
            <v>0</v>
          </cell>
          <cell r="CM192">
            <v>0</v>
          </cell>
          <cell r="CN192">
            <v>0</v>
          </cell>
          <cell r="CO192">
            <v>0</v>
          </cell>
          <cell r="CP192">
            <v>0</v>
          </cell>
          <cell r="CQ192">
            <v>0</v>
          </cell>
          <cell r="CR192">
            <v>0</v>
          </cell>
          <cell r="CS192">
            <v>0</v>
          </cell>
          <cell r="CT192">
            <v>0</v>
          </cell>
          <cell r="CU192">
            <v>0</v>
          </cell>
          <cell r="CV192" t="str">
            <v>n.a</v>
          </cell>
          <cell r="CW192" t="str">
            <v>n.a.</v>
          </cell>
          <cell r="CX192">
            <v>0</v>
          </cell>
          <cell r="CY192" t="str">
            <v>n.a.</v>
          </cell>
          <cell r="CZ192" t="str">
            <v>n.a.</v>
          </cell>
          <cell r="DA192">
            <v>1</v>
          </cell>
          <cell r="DB192">
            <v>171</v>
          </cell>
          <cell r="DC192">
            <v>86</v>
          </cell>
          <cell r="DD192">
            <v>47</v>
          </cell>
          <cell r="DE192">
            <v>9</v>
          </cell>
          <cell r="DF192">
            <v>25</v>
          </cell>
          <cell r="DG192">
            <v>3</v>
          </cell>
          <cell r="DH192">
            <v>2</v>
          </cell>
          <cell r="DI192">
            <v>2</v>
          </cell>
        </row>
        <row r="193">
          <cell r="A193" t="str">
            <v>RS 152</v>
          </cell>
          <cell r="B193">
            <v>152</v>
          </cell>
          <cell r="C193" t="str">
            <v>N</v>
          </cell>
          <cell r="D193" t="str">
            <v>U</v>
          </cell>
          <cell r="E193" t="str">
            <v>D.C. Office - Old Market - Hall - Mufwa</v>
          </cell>
          <cell r="F193" t="str">
            <v>Urban</v>
          </cell>
          <cell r="G193">
            <v>30</v>
          </cell>
          <cell r="H193">
            <v>3</v>
          </cell>
          <cell r="I193" t="str">
            <v>F</v>
          </cell>
          <cell r="J193" t="str">
            <v>KARONGA TOWN</v>
          </cell>
          <cell r="K193" t="str">
            <v>C</v>
          </cell>
          <cell r="L193">
            <v>0</v>
          </cell>
          <cell r="W193">
            <v>75</v>
          </cell>
          <cell r="X193" t="str">
            <v>DS</v>
          </cell>
          <cell r="Y193">
            <v>150</v>
          </cell>
          <cell r="Z193" t="str">
            <v>GR</v>
          </cell>
          <cell r="AA193">
            <v>100</v>
          </cell>
          <cell r="AB193" t="str">
            <v>GR</v>
          </cell>
          <cell r="AC193">
            <v>5</v>
          </cell>
          <cell r="AD193" t="str">
            <v>AM</v>
          </cell>
          <cell r="AE193">
            <v>98</v>
          </cell>
          <cell r="AF193" t="str">
            <v>RC</v>
          </cell>
          <cell r="AG193" t="str">
            <v>ST</v>
          </cell>
          <cell r="AH193">
            <v>10</v>
          </cell>
          <cell r="AI193">
            <v>0</v>
          </cell>
          <cell r="AJ193">
            <v>0</v>
          </cell>
          <cell r="AK193">
            <v>0</v>
          </cell>
          <cell r="AL193">
            <v>0</v>
          </cell>
          <cell r="AM193">
            <v>1</v>
          </cell>
          <cell r="AN193">
            <v>0</v>
          </cell>
          <cell r="BO193" t="str">
            <v>RS 152</v>
          </cell>
          <cell r="BP193">
            <v>3</v>
          </cell>
          <cell r="BQ193" t="str">
            <v>n.a.</v>
          </cell>
          <cell r="BR193" t="str">
            <v>F</v>
          </cell>
          <cell r="BS193" t="str">
            <v>C</v>
          </cell>
          <cell r="BT193">
            <v>0</v>
          </cell>
          <cell r="BU193" t="str">
            <v>ST</v>
          </cell>
          <cell r="BV193" t="str">
            <v/>
          </cell>
          <cell r="BW193">
            <v>1</v>
          </cell>
          <cell r="BX193">
            <v>10</v>
          </cell>
          <cell r="BY193" t="str">
            <v xml:space="preserve"> </v>
          </cell>
          <cell r="BZ193">
            <v>1</v>
          </cell>
          <cell r="CA193">
            <v>5</v>
          </cell>
          <cell r="CB193">
            <v>1.254</v>
          </cell>
          <cell r="CC193" t="str">
            <v>being reconstructed 1998</v>
          </cell>
          <cell r="CD193">
            <v>0</v>
          </cell>
          <cell r="CE193">
            <v>0</v>
          </cell>
          <cell r="CF193">
            <v>0</v>
          </cell>
          <cell r="CG193">
            <v>0</v>
          </cell>
          <cell r="CH193">
            <v>0</v>
          </cell>
          <cell r="CI193">
            <v>0</v>
          </cell>
          <cell r="CJ193">
            <v>0</v>
          </cell>
          <cell r="CK193">
            <v>0</v>
          </cell>
          <cell r="CL193">
            <v>0</v>
          </cell>
          <cell r="CM193">
            <v>0</v>
          </cell>
          <cell r="CN193">
            <v>0</v>
          </cell>
          <cell r="CO193">
            <v>0</v>
          </cell>
          <cell r="CP193">
            <v>0</v>
          </cell>
          <cell r="CQ193">
            <v>0</v>
          </cell>
          <cell r="CR193">
            <v>0</v>
          </cell>
          <cell r="CS193">
            <v>0</v>
          </cell>
          <cell r="CT193">
            <v>0</v>
          </cell>
          <cell r="CU193">
            <v>0</v>
          </cell>
          <cell r="CV193" t="str">
            <v>n.a</v>
          </cell>
          <cell r="CW193" t="str">
            <v>n.a.</v>
          </cell>
          <cell r="CX193">
            <v>0</v>
          </cell>
          <cell r="CY193" t="str">
            <v>n.a.</v>
          </cell>
          <cell r="CZ193" t="str">
            <v>n.a.</v>
          </cell>
          <cell r="DA193">
            <v>1</v>
          </cell>
          <cell r="DB193">
            <v>294</v>
          </cell>
          <cell r="DC193">
            <v>147</v>
          </cell>
          <cell r="DD193">
            <v>80</v>
          </cell>
          <cell r="DE193">
            <v>15</v>
          </cell>
          <cell r="DF193">
            <v>43</v>
          </cell>
          <cell r="DG193">
            <v>5</v>
          </cell>
          <cell r="DH193">
            <v>3</v>
          </cell>
          <cell r="DI193">
            <v>3</v>
          </cell>
        </row>
        <row r="194">
          <cell r="A194" t="str">
            <v>RS 139</v>
          </cell>
          <cell r="B194">
            <v>139</v>
          </cell>
          <cell r="C194" t="str">
            <v>S</v>
          </cell>
          <cell r="D194" t="str">
            <v>T</v>
          </cell>
          <cell r="E194" t="str">
            <v xml:space="preserve">Balaka Loop </v>
          </cell>
          <cell r="F194" t="str">
            <v>Urban</v>
          </cell>
          <cell r="G194">
            <v>31</v>
          </cell>
          <cell r="H194">
            <v>1.5</v>
          </cell>
          <cell r="I194" t="str">
            <v>F</v>
          </cell>
          <cell r="J194" t="str">
            <v>BALAKA TOWN</v>
          </cell>
          <cell r="K194">
            <v>8</v>
          </cell>
          <cell r="L194">
            <v>0</v>
          </cell>
          <cell r="W194">
            <v>71</v>
          </cell>
          <cell r="X194" t="str">
            <v>SA</v>
          </cell>
          <cell r="Y194">
            <v>125</v>
          </cell>
          <cell r="Z194" t="str">
            <v>SB</v>
          </cell>
          <cell r="AA194">
            <v>150</v>
          </cell>
          <cell r="AB194" t="str">
            <v>GR</v>
          </cell>
          <cell r="AC194">
            <v>14</v>
          </cell>
          <cell r="AD194" t="str">
            <v>VR</v>
          </cell>
          <cell r="AE194">
            <v>98</v>
          </cell>
          <cell r="AF194" t="str">
            <v>RC</v>
          </cell>
          <cell r="AG194" t="str">
            <v>ST</v>
          </cell>
          <cell r="AH194">
            <v>10</v>
          </cell>
          <cell r="AI194">
            <v>0</v>
          </cell>
          <cell r="AJ194">
            <v>0</v>
          </cell>
          <cell r="AK194">
            <v>0</v>
          </cell>
          <cell r="AL194">
            <v>0</v>
          </cell>
          <cell r="AM194">
            <v>1</v>
          </cell>
          <cell r="AN194">
            <v>0</v>
          </cell>
          <cell r="BO194" t="str">
            <v>RS 139</v>
          </cell>
          <cell r="BP194">
            <v>1.5</v>
          </cell>
          <cell r="BQ194" t="str">
            <v>n.a.</v>
          </cell>
          <cell r="BR194" t="str">
            <v>F</v>
          </cell>
          <cell r="BS194" t="str">
            <v>C</v>
          </cell>
          <cell r="BT194">
            <v>0</v>
          </cell>
          <cell r="BU194" t="str">
            <v>ST</v>
          </cell>
          <cell r="BV194" t="str">
            <v/>
          </cell>
          <cell r="BW194">
            <v>1</v>
          </cell>
          <cell r="BX194">
            <v>10</v>
          </cell>
          <cell r="BY194" t="str">
            <v xml:space="preserve"> </v>
          </cell>
          <cell r="BZ194">
            <v>1</v>
          </cell>
          <cell r="CA194">
            <v>14</v>
          </cell>
          <cell r="CB194">
            <v>1.6850000000000001</v>
          </cell>
          <cell r="CC194" t="str">
            <v>being reconstructed 1998</v>
          </cell>
          <cell r="CD194">
            <v>0</v>
          </cell>
          <cell r="CE194">
            <v>0</v>
          </cell>
          <cell r="CF194">
            <v>0</v>
          </cell>
          <cell r="CG194">
            <v>0</v>
          </cell>
          <cell r="CH194">
            <v>0</v>
          </cell>
          <cell r="CI194">
            <v>0</v>
          </cell>
          <cell r="CJ194">
            <v>0</v>
          </cell>
          <cell r="CK194">
            <v>0</v>
          </cell>
          <cell r="CL194">
            <v>0</v>
          </cell>
          <cell r="CM194">
            <v>0</v>
          </cell>
          <cell r="CN194">
            <v>0</v>
          </cell>
          <cell r="CO194">
            <v>0</v>
          </cell>
          <cell r="CP194">
            <v>0</v>
          </cell>
          <cell r="CQ194">
            <v>0</v>
          </cell>
          <cell r="CR194">
            <v>0</v>
          </cell>
          <cell r="CS194">
            <v>0</v>
          </cell>
          <cell r="CT194">
            <v>0</v>
          </cell>
          <cell r="CU194">
            <v>0</v>
          </cell>
          <cell r="CV194" t="str">
            <v>n.a</v>
          </cell>
          <cell r="CW194" t="str">
            <v>n.a.</v>
          </cell>
          <cell r="CX194">
            <v>0</v>
          </cell>
          <cell r="CY194" t="str">
            <v>n.a.</v>
          </cell>
          <cell r="CZ194" t="str">
            <v>n.a.</v>
          </cell>
          <cell r="DA194">
            <v>1</v>
          </cell>
          <cell r="DB194">
            <v>600</v>
          </cell>
          <cell r="DC194">
            <v>282</v>
          </cell>
          <cell r="DD194">
            <v>156</v>
          </cell>
          <cell r="DE194">
            <v>45</v>
          </cell>
          <cell r="DF194">
            <v>69</v>
          </cell>
          <cell r="DG194">
            <v>12</v>
          </cell>
          <cell r="DH194">
            <v>6</v>
          </cell>
          <cell r="DI194">
            <v>30</v>
          </cell>
        </row>
        <row r="195">
          <cell r="A195" t="str">
            <v>RS 160</v>
          </cell>
          <cell r="B195">
            <v>160</v>
          </cell>
          <cell r="C195" t="str">
            <v>C</v>
          </cell>
          <cell r="D195" t="str">
            <v>U</v>
          </cell>
          <cell r="E195" t="str">
            <v>Dedza Loop (M1 to Dedza)</v>
          </cell>
          <cell r="F195" t="str">
            <v>Urban</v>
          </cell>
          <cell r="G195">
            <v>32</v>
          </cell>
          <cell r="H195">
            <v>5.4</v>
          </cell>
          <cell r="I195" t="str">
            <v>R</v>
          </cell>
          <cell r="J195" t="str">
            <v>DEDZA TOWN</v>
          </cell>
          <cell r="K195">
            <v>7</v>
          </cell>
          <cell r="L195">
            <v>0</v>
          </cell>
          <cell r="W195">
            <v>78</v>
          </cell>
          <cell r="X195" t="str">
            <v>SA</v>
          </cell>
          <cell r="Y195">
            <v>125</v>
          </cell>
          <cell r="Z195" t="str">
            <v>SB</v>
          </cell>
          <cell r="AA195">
            <v>150</v>
          </cell>
          <cell r="AB195" t="str">
            <v>GR</v>
          </cell>
          <cell r="AC195">
            <v>4</v>
          </cell>
          <cell r="AD195" t="str">
            <v>VR</v>
          </cell>
          <cell r="AE195">
            <v>0</v>
          </cell>
          <cell r="AF195">
            <v>0</v>
          </cell>
          <cell r="AG195">
            <v>0</v>
          </cell>
          <cell r="AH195">
            <v>0</v>
          </cell>
          <cell r="AI195">
            <v>0</v>
          </cell>
          <cell r="AJ195">
            <v>0</v>
          </cell>
          <cell r="AK195">
            <v>0</v>
          </cell>
          <cell r="AL195">
            <v>0</v>
          </cell>
          <cell r="AM195">
            <v>2</v>
          </cell>
          <cell r="AN195" t="str">
            <v>never resealed</v>
          </cell>
          <cell r="BO195" t="str">
            <v>RS 160</v>
          </cell>
          <cell r="BP195">
            <v>5.4</v>
          </cell>
          <cell r="BQ195">
            <v>5.5</v>
          </cell>
          <cell r="BR195" t="str">
            <v>R</v>
          </cell>
          <cell r="BS195" t="str">
            <v>C</v>
          </cell>
          <cell r="BT195">
            <v>0</v>
          </cell>
          <cell r="BU195" t="str">
            <v>SA</v>
          </cell>
          <cell r="BV195" t="str">
            <v/>
          </cell>
          <cell r="BW195">
            <v>2</v>
          </cell>
          <cell r="BX195">
            <v>10</v>
          </cell>
          <cell r="BY195" t="str">
            <v xml:space="preserve"> </v>
          </cell>
          <cell r="BZ195">
            <v>1</v>
          </cell>
          <cell r="CA195">
            <v>4</v>
          </cell>
          <cell r="CB195">
            <v>1.508</v>
          </cell>
          <cell r="CC195">
            <v>5</v>
          </cell>
          <cell r="CD195">
            <v>95</v>
          </cell>
          <cell r="CE195">
            <v>63</v>
          </cell>
          <cell r="CF195">
            <v>48</v>
          </cell>
          <cell r="CG195">
            <v>47</v>
          </cell>
          <cell r="CH195">
            <v>15</v>
          </cell>
          <cell r="CI195">
            <v>750</v>
          </cell>
          <cell r="CJ195">
            <v>2.7272727272727271</v>
          </cell>
          <cell r="CK195">
            <v>10</v>
          </cell>
          <cell r="CL195">
            <v>48</v>
          </cell>
          <cell r="CM195">
            <v>1.4476083916083917</v>
          </cell>
          <cell r="CN195">
            <v>1.4476083916083917</v>
          </cell>
          <cell r="CO195">
            <v>0</v>
          </cell>
          <cell r="CP195">
            <v>0</v>
          </cell>
          <cell r="CQ195">
            <v>6.4476083916083917</v>
          </cell>
          <cell r="CR195">
            <v>40</v>
          </cell>
          <cell r="CS195">
            <v>1</v>
          </cell>
          <cell r="CT195">
            <v>0</v>
          </cell>
          <cell r="CU195">
            <v>0</v>
          </cell>
          <cell r="CV195">
            <v>20</v>
          </cell>
          <cell r="CW195">
            <v>20</v>
          </cell>
          <cell r="CX195" t="str">
            <v xml:space="preserve"> </v>
          </cell>
          <cell r="CY195">
            <v>3</v>
          </cell>
          <cell r="CZ195">
            <v>3</v>
          </cell>
          <cell r="DA195">
            <v>2.2999999999999998</v>
          </cell>
          <cell r="DB195">
            <v>134</v>
          </cell>
          <cell r="DC195">
            <v>67</v>
          </cell>
          <cell r="DD195">
            <v>37</v>
          </cell>
          <cell r="DE195">
            <v>7</v>
          </cell>
          <cell r="DF195">
            <v>20</v>
          </cell>
          <cell r="DG195">
            <v>3</v>
          </cell>
          <cell r="DH195">
            <v>2</v>
          </cell>
          <cell r="DI195">
            <v>2</v>
          </cell>
        </row>
        <row r="196">
          <cell r="A196" t="str">
            <v>RS 611</v>
          </cell>
          <cell r="B196">
            <v>433</v>
          </cell>
          <cell r="C196" t="str">
            <v>C</v>
          </cell>
          <cell r="D196" t="str">
            <v>T</v>
          </cell>
          <cell r="E196" t="str">
            <v>Dedza - Kapesi</v>
          </cell>
          <cell r="F196" t="str">
            <v>Urban</v>
          </cell>
          <cell r="G196">
            <v>33</v>
          </cell>
          <cell r="H196">
            <v>5.4</v>
          </cell>
          <cell r="I196" t="str">
            <v>H</v>
          </cell>
          <cell r="J196" t="str">
            <v>DEDZA TOWN</v>
          </cell>
          <cell r="K196">
            <v>6</v>
          </cell>
          <cell r="L196" t="str">
            <v>Changed from T372 to Urban, to Trunk &amp; to Kepiri</v>
          </cell>
          <cell r="W196">
            <v>78</v>
          </cell>
          <cell r="X196" t="str">
            <v>SA</v>
          </cell>
          <cell r="Y196">
            <v>125</v>
          </cell>
          <cell r="Z196" t="str">
            <v>SB</v>
          </cell>
          <cell r="AA196">
            <v>150</v>
          </cell>
          <cell r="AB196" t="str">
            <v>GR</v>
          </cell>
          <cell r="AC196">
            <v>4</v>
          </cell>
          <cell r="AD196" t="str">
            <v>VR</v>
          </cell>
          <cell r="AE196">
            <v>0</v>
          </cell>
          <cell r="AF196">
            <v>0</v>
          </cell>
          <cell r="AG196">
            <v>0</v>
          </cell>
          <cell r="AH196">
            <v>0</v>
          </cell>
          <cell r="AI196">
            <v>0</v>
          </cell>
          <cell r="AJ196">
            <v>0</v>
          </cell>
          <cell r="AK196">
            <v>0</v>
          </cell>
          <cell r="AL196">
            <v>0</v>
          </cell>
          <cell r="AM196">
            <v>2</v>
          </cell>
          <cell r="AN196" t="str">
            <v>never resealed</v>
          </cell>
          <cell r="BO196" t="str">
            <v>RS 611</v>
          </cell>
          <cell r="BP196">
            <v>5.4</v>
          </cell>
          <cell r="BQ196">
            <v>5.5</v>
          </cell>
          <cell r="BR196" t="str">
            <v>R</v>
          </cell>
          <cell r="BS196" t="str">
            <v>C</v>
          </cell>
          <cell r="BT196">
            <v>0</v>
          </cell>
          <cell r="BU196" t="str">
            <v>SA</v>
          </cell>
          <cell r="BV196" t="str">
            <v/>
          </cell>
          <cell r="BW196">
            <v>2</v>
          </cell>
          <cell r="BX196">
            <v>10</v>
          </cell>
          <cell r="BY196" t="str">
            <v xml:space="preserve"> </v>
          </cell>
          <cell r="BZ196">
            <v>1</v>
          </cell>
          <cell r="CA196">
            <v>4</v>
          </cell>
          <cell r="CB196">
            <v>1.508</v>
          </cell>
          <cell r="CC196">
            <v>5</v>
          </cell>
          <cell r="CD196">
            <v>95</v>
          </cell>
          <cell r="CE196">
            <v>63</v>
          </cell>
          <cell r="CF196">
            <v>48</v>
          </cell>
          <cell r="CG196">
            <v>47</v>
          </cell>
          <cell r="CH196">
            <v>15</v>
          </cell>
          <cell r="CI196">
            <v>600</v>
          </cell>
          <cell r="CJ196">
            <v>2.1818181818181821</v>
          </cell>
          <cell r="CK196">
            <v>10</v>
          </cell>
          <cell r="CL196">
            <v>48</v>
          </cell>
          <cell r="CM196">
            <v>1.2415944055944057</v>
          </cell>
          <cell r="CN196">
            <v>1.2415944055944057</v>
          </cell>
          <cell r="CO196">
            <v>0</v>
          </cell>
          <cell r="CP196">
            <v>0</v>
          </cell>
          <cell r="CQ196">
            <v>6.2415944055944053</v>
          </cell>
          <cell r="CR196">
            <v>40</v>
          </cell>
          <cell r="CS196">
            <v>1</v>
          </cell>
          <cell r="CT196">
            <v>0</v>
          </cell>
          <cell r="CU196">
            <v>0</v>
          </cell>
          <cell r="CV196">
            <v>20</v>
          </cell>
          <cell r="CW196">
            <v>20</v>
          </cell>
          <cell r="CX196" t="str">
            <v xml:space="preserve"> </v>
          </cell>
          <cell r="CY196">
            <v>3</v>
          </cell>
          <cell r="CZ196">
            <v>3</v>
          </cell>
          <cell r="DA196">
            <v>2.2999999999999998</v>
          </cell>
          <cell r="DB196">
            <v>500</v>
          </cell>
          <cell r="DC196">
            <v>235</v>
          </cell>
          <cell r="DD196">
            <v>130</v>
          </cell>
          <cell r="DE196">
            <v>38</v>
          </cell>
          <cell r="DF196">
            <v>58</v>
          </cell>
          <cell r="DG196">
            <v>10</v>
          </cell>
          <cell r="DH196">
            <v>5</v>
          </cell>
          <cell r="DI196">
            <v>25</v>
          </cell>
        </row>
        <row r="197">
          <cell r="A197" t="str">
            <v>RS 651</v>
          </cell>
          <cell r="B197">
            <v>473</v>
          </cell>
          <cell r="C197" t="str">
            <v>C</v>
          </cell>
          <cell r="D197" t="str">
            <v>F</v>
          </cell>
          <cell r="E197" t="str">
            <v>Bayani - Zingilizi</v>
          </cell>
          <cell r="F197" t="str">
            <v>T395</v>
          </cell>
          <cell r="G197">
            <v>4</v>
          </cell>
          <cell r="H197">
            <v>8.1</v>
          </cell>
          <cell r="I197" t="str">
            <v>R</v>
          </cell>
          <cell r="J197" t="str">
            <v>NTCHEU</v>
          </cell>
          <cell r="K197">
            <v>8</v>
          </cell>
          <cell r="L197" t="str">
            <v>Changed designation from T394 to T395</v>
          </cell>
        </row>
        <row r="198">
          <cell r="A198" t="str">
            <v>Count</v>
          </cell>
          <cell r="B198">
            <v>194</v>
          </cell>
          <cell r="C198">
            <v>0</v>
          </cell>
          <cell r="D198">
            <v>0</v>
          </cell>
          <cell r="E198" t="str">
            <v>Total length</v>
          </cell>
          <cell r="F198">
            <v>2520.1000000000004</v>
          </cell>
          <cell r="G198">
            <v>0</v>
          </cell>
          <cell r="H198">
            <v>0</v>
          </cell>
          <cell r="I198" t="str">
            <v>km</v>
          </cell>
          <cell r="J198" t="str">
            <v>km</v>
          </cell>
          <cell r="K198">
            <v>8</v>
          </cell>
          <cell r="L198" t="str">
            <v>Changed designation from T394 to T395</v>
          </cell>
        </row>
      </sheetData>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 xml:space="preserve">Table A2 - Road Sections (as given in Terms of Reference) Not Used In The Study </v>
          </cell>
        </row>
      </sheetData>
      <sheetData sheetId="15">
        <row r="1">
          <cell r="A1" t="str">
            <v xml:space="preserve">Table A2 - Road Sections (as given in Terms of Reference) Not Used In The Study </v>
          </cell>
        </row>
      </sheetData>
      <sheetData sheetId="16">
        <row r="1">
          <cell r="A1" t="str">
            <v xml:space="preserve">Table A2 - Road Sections (as given in Terms of Reference) Not Used In The Study </v>
          </cell>
        </row>
      </sheetData>
      <sheetData sheetId="17">
        <row r="1">
          <cell r="A1" t="str">
            <v xml:space="preserve">Table A2 - Road Sections (as given in Terms of Reference) Not Used In The Study </v>
          </cell>
        </row>
      </sheetData>
      <sheetData sheetId="18">
        <row r="1">
          <cell r="A1" t="str">
            <v xml:space="preserve">Table A2 - Road Sections (as given in Terms of Reference) Not Used In The Study </v>
          </cell>
        </row>
      </sheetData>
      <sheetData sheetId="19">
        <row r="1">
          <cell r="A1">
            <v>0</v>
          </cell>
        </row>
      </sheetData>
      <sheetData sheetId="20">
        <row r="1">
          <cell r="A1">
            <v>0</v>
          </cell>
        </row>
      </sheetData>
      <sheetData sheetId="21">
        <row r="1">
          <cell r="A1" t="str">
            <v xml:space="preserve">Table A2 - Road Sections (as given in Terms of Reference) Not Used In The Study </v>
          </cell>
        </row>
      </sheetData>
      <sheetData sheetId="22">
        <row r="1">
          <cell r="A1">
            <v>0</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sheetData sheetId="75"/>
      <sheetData sheetId="76"/>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Part-B"/>
      <sheetName val="Part-A"/>
      <sheetName val="Lead"/>
      <sheetName val="Data-Road "/>
      <sheetName val="DATA-CD "/>
      <sheetName val="transport"/>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cover"/>
      <sheetName val="gen"/>
      <sheetName val="DET CD"/>
      <sheetName val="EST CD"/>
      <sheetName val="DATA-CD "/>
      <sheetName val="Lead"/>
      <sheetName val="DET ROAD"/>
      <sheetName val="EST RAOD"/>
      <sheetName val="Data-Road "/>
      <sheetName val="PART A"/>
      <sheetName val="Part-B"/>
      <sheetName val="EWR"/>
      <sheetName val="DESIGN"/>
      <sheetName val="RR"/>
      <sheetName val="transpor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Lead statement ss5"/>
      <sheetName val="Lead"/>
      <sheetName val="DATA_PRG"/>
      <sheetName val="Sheet1"/>
      <sheetName val="abs road"/>
      <sheetName val="coverpage"/>
      <sheetName val="Road data"/>
      <sheetName val="DATA"/>
      <sheetName val="MTC-estimate"/>
      <sheetName val="Cover"/>
      <sheetName val="rdamdata"/>
      <sheetName val="Detail In Door Stad"/>
      <sheetName val="IDCCALHYD_GOO"/>
      <sheetName val="Bitumen trunk"/>
      <sheetName val="Feeder"/>
      <sheetName val="R99 etc"/>
      <sheetName val="Trunk unpaved"/>
      <sheetName val="R_Det"/>
      <sheetName val="leads"/>
      <sheetName val="RMR"/>
      <sheetName val="ssr-rates"/>
      <sheetName val="Specification report"/>
      <sheetName val="final abstract"/>
      <sheetName val="mlead"/>
      <sheetName val="Material"/>
      <sheetName val="Labour"/>
      <sheetName val="DATA-BASE"/>
      <sheetName val="DATA-ABSTRACT"/>
      <sheetName val="Main sheet"/>
      <sheetName val="PH data-16-17"/>
      <sheetName val="Bld up to 3F"/>
      <sheetName val="C-Mat-16-17-"/>
      <sheetName val="labour&amp; Hire-16-17"/>
      <sheetName val="General"/>
      <sheetName val="Buildings"/>
      <sheetName val="Process"/>
      <sheetName val="Sheet2"/>
      <sheetName val="Plant &amp;  Machinery"/>
      <sheetName val="BM-HOOP"/>
      <sheetName val="maya"/>
      <sheetName val="m"/>
      <sheetName val="MRATES"/>
      <sheetName val="other rates"/>
      <sheetName val="labour &amp; Hire-21-22"/>
      <sheetName val="SSR-Irri, R&amp;B, PH-21-22"/>
      <sheetName val="Bld.SoR-21-22"/>
      <sheetName val="labour &amp; Hire-22-23"/>
      <sheetName val="Bld.SoR-22-23"/>
      <sheetName val="SSR-Irri, R&amp;B, PH-22-23"/>
      <sheetName val="Sanitary SSR-22-23"/>
      <sheetName val="DATA SHEET FOR 2014-15"/>
      <sheetName val="HDPE"/>
      <sheetName val="DI"/>
      <sheetName val="pvc"/>
      <sheetName val="hdpe_basic"/>
      <sheetName val="pvc_basic"/>
      <sheetName val="Elc.Stnd.Data-21-22"/>
      <sheetName val="C-Mat-22-23"/>
      <sheetName val="Habcodes"/>
      <sheetName val="Levels"/>
      <sheetName val="wh_data"/>
      <sheetName val="wh_data_R"/>
      <sheetName val="CPHEEO"/>
      <sheetName val="input"/>
      <sheetName val="Lead  RATES"/>
      <sheetName val="Rates-May-14"/>
    </sheetNames>
    <sheetDataSet>
      <sheetData sheetId="0" refreshError="1"/>
      <sheetData sheetId="1" refreshError="1"/>
      <sheetData sheetId="2" refreshError="1"/>
      <sheetData sheetId="3" refreshError="1"/>
      <sheetData sheetId="4" refreshError="1">
        <row r="2">
          <cell r="F2">
            <v>100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
      <sheetName val="m1"/>
      <sheetName val="est"/>
      <sheetName val="she"/>
      <sheetName val="m4"/>
      <sheetName val="abs road"/>
      <sheetName val="RMR"/>
      <sheetName val="R_Det"/>
      <sheetName val="Road data"/>
      <sheetName val="maya"/>
      <sheetName val="LEAD"/>
      <sheetName val="r"/>
      <sheetName val="Bitumen trunk"/>
      <sheetName val="Feeder"/>
      <sheetName val="R99 etc"/>
      <sheetName val="Trunk unpaved"/>
      <sheetName val="Lead statement ss5"/>
      <sheetName val="GF SB Ok "/>
      <sheetName val="Habcodes"/>
      <sheetName val="coverpage"/>
      <sheetName val="DATA_PRG"/>
      <sheetName val="leads"/>
      <sheetName val="Detail In Door Stad"/>
      <sheetName val="mlead"/>
      <sheetName val="MTC-estimate"/>
      <sheetName val="rdamdata"/>
      <sheetName val="lead-st"/>
      <sheetName val="Material"/>
      <sheetName val="nodes"/>
      <sheetName val="int-Dia"/>
      <sheetName val="habs-list"/>
      <sheetName val="Sheet9"/>
      <sheetName val="detls"/>
      <sheetName val="Plant &amp;  Machinery"/>
      <sheetName val="Labour"/>
      <sheetName val="Rates"/>
      <sheetName val="Aug,02"/>
      <sheetName val="Lead (2)"/>
      <sheetName val="Spicification Report "/>
      <sheetName val="Bitumen_trunk"/>
      <sheetName val="R99_etc"/>
      <sheetName val="Trunk_unpaved"/>
      <sheetName val="abs_road"/>
      <sheetName val="Road_data"/>
      <sheetName val="Lead_statement_ss5"/>
      <sheetName val="Bitumen_trunk1"/>
      <sheetName val="R99_etc1"/>
      <sheetName val="Trunk_unpaved1"/>
      <sheetName val="abs_road1"/>
      <sheetName val="Road_data1"/>
      <sheetName val="Lead_statement_ss51"/>
      <sheetName val="Specification report"/>
      <sheetName val="stone"/>
      <sheetName val="data existing_do not delete"/>
      <sheetName val="boredetails"/>
      <sheetName val="Data"/>
      <sheetName val="Abs"/>
      <sheetName val="Work_sheet"/>
      <sheetName val="HDPE"/>
      <sheetName val="DI"/>
      <sheetName val="pvc"/>
      <sheetName val="hdpe_basic"/>
      <sheetName val="pvc_basic"/>
      <sheetName val="SC-1"/>
      <sheetName val="other rates"/>
      <sheetName val="MS D&amp;W"/>
      <sheetName val="Datas-17"/>
      <sheetName val="General"/>
      <sheetName val="_5wgdhabfinal00_01"/>
      <sheetName val="AV-BWSC&amp;MS"/>
      <sheetName val="AV_AC"/>
      <sheetName val="di_Gate_AC"/>
      <sheetName val="Digate-BWSCP-MS"/>
      <sheetName val="DI_gate_di"/>
      <sheetName val="MRATES"/>
      <sheetName val="Sheet1"/>
      <sheetName val="Sheet2"/>
      <sheetName val="Levels"/>
      <sheetName val="Lead statement"/>
      <sheetName val="SSR 2010-11 Rates"/>
      <sheetName val="v"/>
      <sheetName val="Gen Abs"/>
      <sheetName val="Data-Road "/>
      <sheetName val="Hire"/>
      <sheetName val="60-70"/>
      <sheetName val="80-100"/>
      <sheetName val="Emulsion MS"/>
      <sheetName val=" HSD"/>
      <sheetName val="Bill-12"/>
      <sheetName val="Pop"/>
      <sheetName val="Summary- Flyovers"/>
      <sheetName val="Lead."/>
      <sheetName val="basdat"/>
      <sheetName val="road working"/>
      <sheetName val="#REF"/>
      <sheetName val="MRMECADAMoad data"/>
      <sheetName val="Cover"/>
      <sheetName val="DATA-CD "/>
      <sheetName val="DATA-BASE"/>
      <sheetName val="DATA-ABSTRACT"/>
      <sheetName val="MRoad data"/>
    </sheetNames>
    <sheetDataSet>
      <sheetData sheetId="0" refreshError="1">
        <row r="2">
          <cell r="A2" t="str">
            <v>Name of work: BT to road from Chennavaram to Mallavaram (via) Vutukuru.</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m"/>
      <sheetName val="rates"/>
      <sheetName val="MTC-estimate"/>
      <sheetName val="Gen Abs"/>
      <sheetName val="other rates"/>
      <sheetName val="v"/>
      <sheetName val="leads"/>
      <sheetName val="data existing_do not delete"/>
      <sheetName val="maya"/>
      <sheetName val="ewst"/>
      <sheetName val="Levels"/>
      <sheetName val="bundqty"/>
      <sheetName val="r"/>
      <sheetName val="AV-HDPE"/>
      <sheetName val="Di_gate-HDPE"/>
      <sheetName val="Ghanapur to Suraram jn. det"/>
      <sheetName val="Bridge Data 2005-06"/>
      <sheetName val="Data.F8.BTR"/>
      <sheetName val="One_vent_Pipe"/>
      <sheetName val="Four_vents"/>
      <sheetName val="two_vents"/>
      <sheetName val="One_vent_"/>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_vent_Pipe1"/>
      <sheetName val="Four_vents1"/>
      <sheetName val="two_vents1"/>
      <sheetName val="One_vent_1"/>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segments-details"/>
      <sheetName val="int-Dia-hdpe"/>
      <sheetName val="int-Dia-pvc"/>
      <sheetName val="c-data"/>
      <sheetName val="GF Columns"/>
      <sheetName val="Road data"/>
      <sheetName val="PANEL ANNEXURE"/>
      <sheetName val="PM&amp;GM"/>
      <sheetName val="AV-PVC"/>
      <sheetName val="DI gate-DI"/>
      <sheetName val="DIgate_PVC "/>
      <sheetName val="PVC"/>
      <sheetName val="abs road"/>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banilad"/>
      <sheetName val="Mactan"/>
      <sheetName val="Mandaue"/>
      <sheetName val="Bitumen trunk"/>
      <sheetName val="Feeder"/>
      <sheetName val="R99 etc"/>
      <sheetName val="Trunk unpaved"/>
      <sheetName val="AV-DI"/>
      <sheetName val="DI"/>
      <sheetName val="scour-DI-CI"/>
      <sheetName val="scour-pvc-hdpe-psc-bwsc"/>
      <sheetName val="MRATES"/>
      <sheetName val="Det. Secty bld"/>
      <sheetName val="QTY"/>
      <sheetName val="SUMP1420KL@HW"/>
      <sheetName val="DATA-BASE"/>
      <sheetName val="DATA-ABSTRACT"/>
      <sheetName val="boredetails"/>
      <sheetName val="Sheet9"/>
      <sheetName val="EDWise"/>
      <sheetName val="Weightage-Sub Sht"/>
      <sheetName val="Rates SSR 2008-09"/>
      <sheetName val="GBW"/>
      <sheetName val="m1"/>
      <sheetName val="Mp-team 1"/>
      <sheetName val="beam-reinft"/>
      <sheetName val="Drawing status"/>
      <sheetName val="R_Det"/>
      <sheetName val="Road Detail Est."/>
      <sheetName val="hdpe weights"/>
      <sheetName val="PVC weights"/>
      <sheetName val="index"/>
      <sheetName val="C.R G.F"/>
      <sheetName val="C.D.Abs.Est."/>
      <sheetName val="MASTER"/>
      <sheetName val="RMR"/>
      <sheetName val="t_prsr"/>
      <sheetName val="id"/>
      <sheetName val="wh"/>
      <sheetName val="DATA_PRG"/>
      <sheetName val="AC"/>
      <sheetName val="AV-BWSC&amp;MS"/>
      <sheetName val="AV_AC"/>
      <sheetName val="di_Gate_AC"/>
      <sheetName val="Digate-BWSCP-MS"/>
      <sheetName val="DI_gate_di"/>
      <sheetName val="HDPE"/>
      <sheetName val="Pop"/>
      <sheetName val="rdamdata"/>
      <sheetName val="Boq"/>
      <sheetName val="TBAL9697 -group wise  sdpl"/>
      <sheetName val="STAFFSCHED "/>
      <sheetName val="data_existing_do_not_delete"/>
      <sheetName val="GF_Columns"/>
      <sheetName val="cert"/>
      <sheetName val="stone"/>
      <sheetName val="ABS"/>
      <sheetName val="sectorwise"/>
      <sheetName val="11.Habitations"/>
      <sheetName val="Lead statement ss5"/>
      <sheetName val="water-hammar-strenght"/>
      <sheetName val="Iocount"/>
      <sheetName val="Quarry"/>
      <sheetName val="Line"/>
      <sheetName val="BTR"/>
      <sheetName val="CRUST"/>
      <sheetName val="QDTS"/>
      <sheetName val="FORM7"/>
      <sheetName val="GM&amp;PM EST- final "/>
      <sheetName val="DI-AV-HDPE- Final "/>
      <sheetName val="DI_scour-DI-final"/>
      <sheetName val="DI_scour-pvc-hdpe-psc-bwsc"/>
      <sheetName val="DI SV on DI-final "/>
      <sheetName val="DI Sluice_HDPE"/>
      <sheetName val="pumping main"/>
      <sheetName val="DATA SHEET"/>
      <sheetName val="l"/>
      <sheetName val="#REF"/>
      <sheetName val="labour rates"/>
      <sheetName val="int-Dia"/>
      <sheetName val="mlead"/>
      <sheetName val="BWSCPlt"/>
      <sheetName val="CI"/>
      <sheetName val="G.R.P"/>
      <sheetName val="BM-HOOP"/>
      <sheetName val="PSC REVISED"/>
      <sheetName val="LABOUR RATE"/>
      <sheetName val="Material Rate"/>
      <sheetName val="Abs_CD_2"/>
      <sheetName val="coverpage"/>
      <sheetName val="road est"/>
      <sheetName val="ECV"/>
      <sheetName val="ABST SANITARY"/>
      <sheetName val="ABST CIVIL"/>
      <sheetName val="Input"/>
      <sheetName val="Road-NF"/>
      <sheetName val="SC-1"/>
      <sheetName val="Datas"/>
      <sheetName val="Estimate "/>
      <sheetName val="AutoOpen Stub Data"/>
      <sheetName val="mbr"/>
      <sheetName val="Main sheet"/>
      <sheetName val="20kL-design-final"/>
      <sheetName val="Nspt-smp-final-ORIGINAL"/>
      <sheetName val="GN-ST-10"/>
      <sheetName val="PRECAST lightconc-II"/>
      <sheetName val="ssr-rates"/>
      <sheetName val="hdpe_basic"/>
      <sheetName val="pvc_bas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69">
          <cell r="D69">
            <v>50.5</v>
          </cell>
        </row>
      </sheetData>
      <sheetData sheetId="12" refreshError="1"/>
      <sheetData sheetId="13" refreshError="1"/>
      <sheetData sheetId="14" refreshError="1">
        <row r="4">
          <cell r="G4">
            <v>196</v>
          </cell>
        </row>
        <row r="23">
          <cell r="G23">
            <v>600</v>
          </cell>
        </row>
        <row r="30">
          <cell r="G30">
            <v>30</v>
          </cell>
        </row>
        <row r="31">
          <cell r="G31">
            <v>30</v>
          </cell>
        </row>
        <row r="53">
          <cell r="G53">
            <v>234</v>
          </cell>
        </row>
      </sheetData>
      <sheetData sheetId="15" refreshError="1">
        <row r="3">
          <cell r="D3">
            <v>156</v>
          </cell>
        </row>
        <row r="15">
          <cell r="D15">
            <v>137</v>
          </cell>
        </row>
        <row r="18">
          <cell r="D18">
            <v>137</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sheetData sheetId="86"/>
      <sheetData sheetId="87"/>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refreshError="1"/>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refreshError="1"/>
      <sheetData sheetId="209" refreshError="1"/>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Lead"/>
      <sheetName val="MTC-estimate"/>
      <sheetName val="AV-HDPE"/>
      <sheetName val="Di_gate-HDPE"/>
      <sheetName val="PM&amp;GM"/>
      <sheetName val="AV-DI"/>
      <sheetName val="AV-PVC"/>
      <sheetName val="DI"/>
      <sheetName val="DI gate-DI"/>
      <sheetName val="DIgate_PVC "/>
      <sheetName val="PVC"/>
      <sheetName val="scour-DI-CI"/>
      <sheetName val="scour-pvc-hdpe-psc-bwsc"/>
      <sheetName val="NEW "/>
      <sheetName val="Sheet9"/>
      <sheetName val="Bill-12"/>
      <sheetName val="r"/>
      <sheetName val="rdamdata"/>
      <sheetName val="lead-st"/>
      <sheetName val="leads"/>
      <sheetName val="Specification report"/>
      <sheetName val="Bridge Data 2005-06"/>
      <sheetName val="boredetails"/>
      <sheetName val="Pop"/>
      <sheetName val="Plant_&amp;__Machinery"/>
      <sheetName val="Summary_of_Rates"/>
      <sheetName val="Basic_Approach"/>
      <sheetName val="Plant_&amp;__Machinery1"/>
      <sheetName val="Summary_of_Rates1"/>
      <sheetName val="Basic_Approach1"/>
      <sheetName val="ESTIMATE"/>
      <sheetName val="DATA"/>
      <sheetName val="data rough"/>
      <sheetName val="v"/>
      <sheetName val="other rates"/>
      <sheetName val="m"/>
      <sheetName val="Back_Cal_for OMC"/>
      <sheetName val="RMR"/>
      <sheetName val="abs road"/>
      <sheetName val="Levels"/>
      <sheetName val="t_prsr"/>
      <sheetName val="id"/>
      <sheetName val="wh"/>
      <sheetName val="LABOUR RATE"/>
      <sheetName val="Material Rate"/>
      <sheetName val="Usage"/>
      <sheetName val="Common "/>
      <sheetName val="General"/>
      <sheetName val="MRATES"/>
      <sheetName val="Data-ELSR"/>
      <sheetName val=" Data -Valves"/>
      <sheetName val="DATA_PRG"/>
      <sheetName val="HDPE"/>
      <sheetName val="AV-BWSC&amp;MS"/>
      <sheetName val="AV_AC"/>
      <sheetName val="di_Gate_AC"/>
      <sheetName val="Digate-BWSCP-MS"/>
      <sheetName val="DI_gate_di"/>
      <sheetName val="pumping main"/>
      <sheetName val="Sheet3"/>
      <sheetName val="Lead statement ss5"/>
      <sheetName val="MRoad data"/>
      <sheetName val="int-Dia-pvc"/>
      <sheetName val="pvc_basic"/>
      <sheetName val="Global factors"/>
      <sheetName val="nandipet intra"/>
      <sheetName val="ABST SANITARY"/>
      <sheetName val="ABST CIVIL"/>
      <sheetName val="0000000000000"/>
      <sheetName val="l"/>
      <sheetName val="Rates"/>
      <sheetName val="Convey"/>
      <sheetName val="materials"/>
      <sheetName val="Plant _  Machinery"/>
      <sheetName val="PRECAST lightconc-II"/>
      <sheetName val="GN-ST-10"/>
      <sheetName val="Linked Lead"/>
      <sheetName val="MHNO_LEV"/>
      <sheetName val="final abstract"/>
      <sheetName val="ABS"/>
      <sheetName val="Lead(4380)"/>
      <sheetName val="cert"/>
      <sheetName val="Sheet1 (2)"/>
      <sheetName val="maya"/>
      <sheetName val="BOQ (2)"/>
      <sheetName val="mlead"/>
      <sheetName val="RMR-p"/>
      <sheetName val="11.Habitations"/>
      <sheetName val="Lookup"/>
      <sheetName val="Data_Bit_I"/>
      <sheetName val="Road data"/>
      <sheetName val="habs-list"/>
      <sheetName val="nodes"/>
      <sheetName val="Plant_&amp;__Machinery5"/>
      <sheetName val="Summary_of_Rates5"/>
      <sheetName val="Basic_Approach5"/>
      <sheetName val="Plant_&amp;__Machinery3"/>
      <sheetName val="Summary_of_Rates3"/>
      <sheetName val="Basic_Approach3"/>
      <sheetName val="Plant_&amp;__Machinery2"/>
      <sheetName val="Summary_of_Rates2"/>
      <sheetName val="Basic_Approach2"/>
      <sheetName val="Plant_&amp;__Machinery4"/>
      <sheetName val="Summary_of_Rates4"/>
      <sheetName val="Basic_Approach4"/>
      <sheetName val="Data_Base"/>
      <sheetName val="detls"/>
      <sheetName val="ssr-rates"/>
      <sheetName val="bundqty"/>
      <sheetName val="RCC-Rates"/>
      <sheetName val="hdpe_basic"/>
      <sheetName val="Ghanapur to Suraram jn. det"/>
      <sheetName val="R_Det"/>
      <sheetName val="C-data"/>
      <sheetName val="Data.F8.BTR"/>
      <sheetName val="Bitumen trunk"/>
      <sheetName val="Feeder"/>
      <sheetName val="R99 etc"/>
      <sheetName val="Trunk unpaved"/>
      <sheetName val="ELE "/>
      <sheetName val="Valves"/>
      <sheetName val="MS Rates"/>
      <sheetName val="SC-1"/>
    </sheetNames>
    <sheetDataSet>
      <sheetData sheetId="0" refreshError="1"/>
      <sheetData sheetId="1" refreshError="1"/>
      <sheetData sheetId="2" refreshError="1">
        <row r="4">
          <cell r="G4">
            <v>196</v>
          </cell>
        </row>
        <row r="51">
          <cell r="G51">
            <v>754</v>
          </cell>
        </row>
      </sheetData>
      <sheetData sheetId="3" refreshError="1"/>
      <sheetData sheetId="4" refreshError="1">
        <row r="89">
          <cell r="D89"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sheetName val="Sheet3"/>
      <sheetName val="Sheet1"/>
      <sheetName val="soma est"/>
      <sheetName val="data"/>
      <sheetName val="lead"/>
      <sheetName val="trialpit"/>
      <sheetName val="r"/>
      <sheetName val="l"/>
      <sheetName val="m"/>
    </sheetNames>
    <sheetDataSet>
      <sheetData sheetId="0"/>
      <sheetData sheetId="1"/>
      <sheetData sheetId="2"/>
      <sheetData sheetId="3"/>
      <sheetData sheetId="4"/>
      <sheetData sheetId="5" refreshError="1">
        <row r="16">
          <cell r="L16">
            <v>973.85</v>
          </cell>
        </row>
        <row r="18">
          <cell r="L18">
            <v>238.70000000000002</v>
          </cell>
        </row>
      </sheetData>
      <sheetData sheetId="6"/>
      <sheetData sheetId="7" refreshError="1"/>
      <sheetData sheetId="8" refreshError="1"/>
      <sheetData sheetId="9"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sheetName val="Sheet3"/>
      <sheetName val="Sheet1"/>
      <sheetName val="soma est"/>
      <sheetName val="data"/>
      <sheetName val="lead"/>
      <sheetName val="trialpit"/>
    </sheetNames>
    <sheetDataSet>
      <sheetData sheetId="0"/>
      <sheetData sheetId="1"/>
      <sheetData sheetId="2"/>
      <sheetData sheetId="3"/>
      <sheetData sheetId="4"/>
      <sheetData sheetId="5">
        <row r="16">
          <cell r="L16">
            <v>973.85</v>
          </cell>
        </row>
        <row r="18">
          <cell r="L18">
            <v>238.70000000000002</v>
          </cell>
        </row>
      </sheetData>
      <sheetData sheetId="6"/>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3"/>
      <sheetName val="ssr common"/>
      <sheetName val="Sheet4"/>
      <sheetName val="leads"/>
      <sheetName val="Sheet11"/>
      <sheetName val="PL"/>
      <sheetName val="Sheet10"/>
      <sheetName val="master lead"/>
      <sheetName val="Sheet5"/>
      <sheetName val="conveyance common"/>
      <sheetName val="Sheet6"/>
      <sheetName val="handling common"/>
      <sheetName val="labour charges 2005-06"/>
      <sheetName val="Sheet2"/>
      <sheetName val="Sheet7"/>
      <sheetName val="data existing_do not delete"/>
      <sheetName val="Sheet8"/>
      <sheetName val="background data"/>
      <sheetName val="Rotary bore well source"/>
      <sheetName val="Sheet9"/>
      <sheetName val="ohsr verticals 20 9.55 "/>
      <sheetName val="verticals jointing 20kl 9.55"/>
      <sheetName val="lead 20kl ohsr"/>
      <sheetName val="data 20kl ohsr"/>
      <sheetName val="vc 150mm 20kl ohsr"/>
      <sheetName val="20kl ohsr item wise"/>
      <sheetName val="master data"/>
      <sheetName val="lpm inlet relation"/>
      <sheetName val="ohsr litre rate estimate"/>
      <sheetName val="ohsr vertical specials data"/>
      <sheetName val="ohsr verticals jointing"/>
      <sheetName val="ohsr litre rate data"/>
      <sheetName val="lead vc ohsr"/>
      <sheetName val="data vc ohsr"/>
      <sheetName val="vc ohsr"/>
      <sheetName val="lead vc pipe line"/>
      <sheetName val="data vc pipe line"/>
      <sheetName val="vc 150 pipe line estimate"/>
      <sheetName val="pipe line sub estimate"/>
      <sheetName val="pvc pipe line data"/>
      <sheetName val="std flange dimensions"/>
      <sheetName val="lead_pipe lines"/>
      <sheetName val="pvc pipes rates dgs d formula"/>
      <sheetName val="general abstract"/>
      <sheetName val="cover page"/>
      <sheetName val="pvc pipe details"/>
      <sheetName val="hydraulic designs"/>
      <sheetName val="Filter point"/>
      <sheetName val="pedestal "/>
      <sheetName val="pumpset submersible"/>
      <sheetName val="Sheet1"/>
      <sheetName val="c"/>
      <sheetName val="co"/>
      <sheetName val="con"/>
      <sheetName val="common conveyance"/>
      <sheetName val="ssr "/>
      <sheetName val="Hleads"/>
      <sheetName val="Haleads"/>
      <sheetName val="Hableads"/>
      <sheetName val="Hab leads"/>
      <sheetName val="lead"/>
      <sheetName val="data existing_do not delet"/>
      <sheetName val="data existing_do not dele"/>
      <sheetName val="data existing_do not del"/>
      <sheetName val="data existing_do not de"/>
      <sheetName val="data existing_do not d"/>
      <sheetName val="data existing_do not "/>
      <sheetName val="data existing_do not"/>
      <sheetName val="data existing_do no"/>
      <sheetName val="data existing_do n"/>
      <sheetName val="data existing_do "/>
      <sheetName val="data existing_do"/>
      <sheetName val="data existing_d"/>
      <sheetName val="data existing_"/>
      <sheetName val="data existing"/>
      <sheetName val="data existin"/>
      <sheetName val="data existi"/>
      <sheetName val="data exist"/>
      <sheetName val="data exis"/>
      <sheetName val="data exi"/>
      <sheetName val="data ex"/>
      <sheetName val="data e"/>
      <sheetName val="data "/>
      <sheetName val="data"/>
      <sheetName val="data1"/>
      <sheetName val="ata1"/>
      <sheetName val="dat"/>
      <sheetName val="da"/>
      <sheetName val="d"/>
      <sheetName val=""/>
      <sheetName val="master lead1"/>
      <sheetName val="master ead1"/>
      <sheetName val="maste Lead1"/>
      <sheetName val="mast Lead1"/>
      <sheetName val="mas Lead1"/>
      <sheetName val="ma Lead1"/>
      <sheetName val="m Lead1"/>
      <sheetName val=" Lead1"/>
      <sheetName val="maste lead"/>
      <sheetName val="mast lead"/>
      <sheetName val="mas lead"/>
      <sheetName val="ma lead"/>
      <sheetName val="m lead"/>
      <sheetName val=" lead"/>
      <sheetName val="cover pag"/>
      <sheetName val="cover pa"/>
      <sheetName val="cover p"/>
      <sheetName val="cover "/>
      <sheetName val="cover"/>
      <sheetName val="cove"/>
      <sheetName val="cov"/>
      <sheetName val="master leadO"/>
      <sheetName val="master lead-O"/>
      <sheetName val="maste Lead-O"/>
      <sheetName val="mast Lead-O"/>
      <sheetName val="mas Lead-O"/>
      <sheetName val="ma Lead-O"/>
      <sheetName val="m Lead-O"/>
      <sheetName val=" Lead-O"/>
      <sheetName val="Plant &amp;  Machinery"/>
      <sheetName val="r"/>
      <sheetName val="MTC-estimate"/>
      <sheetName val="Gen Abs"/>
      <sheetName val="other rates"/>
      <sheetName val="m"/>
      <sheetName val="Bridge Data 2005-06"/>
      <sheetName val="Specification report"/>
      <sheetName val="Material"/>
      <sheetName val="banilad"/>
      <sheetName val="Mactan"/>
      <sheetName val="Mandaue"/>
      <sheetName val="Data.F8.BTR"/>
      <sheetName val="Bitumen trunk"/>
      <sheetName val="Feeder"/>
      <sheetName val="R99 etc"/>
      <sheetName val="Trunk unpaved"/>
      <sheetName val="Rates SSR 2008-09"/>
      <sheetName val="Work_sheet"/>
      <sheetName val="RMR"/>
      <sheetName val="coverpage"/>
      <sheetName val="R_Det"/>
      <sheetName val="Road data"/>
      <sheetName val="2006-07 estimate"/>
      <sheetName val="Lead statement"/>
      <sheetName val="Labour"/>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abs road"/>
      <sheetName val="rdamdata"/>
      <sheetName val="lead-st"/>
      <sheetName val="Works - Quote Sheet"/>
      <sheetName val="TOP SLAB-beams"/>
      <sheetName val="DATA_PRG"/>
      <sheetName val="AV-HDPE"/>
      <sheetName val="Di_gate-HDPE"/>
      <sheetName val="analysis"/>
      <sheetName val="Bed Class"/>
      <sheetName val="t_prsr"/>
      <sheetName val="id"/>
      <sheetName val="Cd"/>
      <sheetName val="wh"/>
      <sheetName val="v"/>
      <sheetName val="C.R G.F"/>
      <sheetName val="pvc_basic"/>
      <sheetName val="HDPE"/>
      <sheetName val="#REF"/>
      <sheetName val="SSR"/>
      <sheetName val="MASTER"/>
      <sheetName val="SUMP1420KL@HW"/>
      <sheetName val="Levels"/>
      <sheetName val="BM-HOOP"/>
      <sheetName val="maya"/>
      <sheetName val="Basicrates"/>
      <sheetName val="DATA SHEET FOR 2016-17"/>
      <sheetName val="Class IV Qtr. Ele"/>
      <sheetName val="DI"/>
      <sheetName val="pvc"/>
      <sheetName val="hdpe_basic"/>
      <sheetName val="C-data"/>
      <sheetName val="GN-ST-10"/>
      <sheetName val="Estimate "/>
      <sheetName val="Nspt-smp-final-ORIGINAL"/>
      <sheetName val="Data_Base"/>
      <sheetName val="p&amp;m"/>
      <sheetName val="Boq Block A"/>
      <sheetName val="Staff Acco."/>
      <sheetName val="Legal Risk Analysis"/>
      <sheetName val="GF SB Ok "/>
      <sheetName val="mlead"/>
      <sheetName val="ewst"/>
      <sheetName val="boredetails"/>
      <sheetName val="hdpe weights"/>
      <sheetName val="PVC weights"/>
      <sheetName val="index"/>
      <sheetName val="SOR 2011  2012 FOR DATAS"/>
      <sheetName val="_5wgdhabfinal00_01"/>
      <sheetName val="CI"/>
      <sheetName val="G.R.P"/>
      <sheetName val="PSC REVISED"/>
      <sheetName val="MRATES"/>
      <sheetName val="Suppl-data"/>
      <sheetName val="ssr_common"/>
      <sheetName val="master_lead"/>
      <sheetName val="conveyance_common"/>
      <sheetName val="handling_common"/>
      <sheetName val="labour_charges_2005-06"/>
      <sheetName val="data_existing_do_not_delete"/>
      <sheetName val="background_data"/>
      <sheetName val="Rotary_bore_well_source"/>
      <sheetName val="ohsr_verticals_20_9_55_"/>
      <sheetName val="verticals_jointing_20kl_9_55"/>
      <sheetName val="lead_20kl_ohsr"/>
      <sheetName val="data_20kl_ohsr"/>
      <sheetName val="vc_150mm_20kl_ohsr"/>
      <sheetName val="20kl_ohsr_item_wise"/>
      <sheetName val="master_data"/>
      <sheetName val="lpm_inlet_relation"/>
      <sheetName val="ohsr_litre_rate_estimate"/>
      <sheetName val="ohsr_vertical_specials_data"/>
      <sheetName val="ohsr_verticals_jointing"/>
      <sheetName val="ohsr_litre_rate_data"/>
      <sheetName val="lead_vc_ohsr"/>
      <sheetName val="data_vc_ohsr"/>
      <sheetName val="vc_ohsr"/>
      <sheetName val="lead_vc_pipe_line"/>
      <sheetName val="data_vc_pipe_line"/>
      <sheetName val="vc_150_pipe_line_estimate"/>
      <sheetName val="pipe_line_sub_estimate"/>
      <sheetName val="pvc_pipe_line_data"/>
      <sheetName val="std_flange_dimensions"/>
      <sheetName val="lead_pipe_lines"/>
      <sheetName val="pvc_pipes_rates_dgs_d_formula"/>
      <sheetName val="general_abstract"/>
      <sheetName val="cover_page"/>
      <sheetName val="pvc_pipe_details"/>
      <sheetName val="hydraulic_designs"/>
      <sheetName val="Filter_point"/>
      <sheetName val="pedestal_"/>
      <sheetName val="pumpset_submersible"/>
      <sheetName val="common_conveyance"/>
      <sheetName val="ssr_"/>
      <sheetName val="Hab_leads"/>
      <sheetName val="data_existing_do_not_delet"/>
      <sheetName val="data_existing_do_not_dele"/>
      <sheetName val="data_existing_do_not_del"/>
      <sheetName val="data_existing_do_not_de"/>
      <sheetName val="data_existing_do_not_d"/>
      <sheetName val="data_existing_do_not_"/>
      <sheetName val="data_existing_do_not"/>
      <sheetName val="data_existing_do_no"/>
      <sheetName val="data_existing_do_n"/>
      <sheetName val="data_existing_do_"/>
      <sheetName val="data_existing_do"/>
      <sheetName val="data_existing_d"/>
      <sheetName val="data_existing_"/>
      <sheetName val="data_existing"/>
      <sheetName val="data_existin"/>
      <sheetName val="data_existi"/>
      <sheetName val="data_exist"/>
      <sheetName val="data_exis"/>
      <sheetName val="data_exi"/>
      <sheetName val="data_ex"/>
      <sheetName val="data_e"/>
      <sheetName val="data_"/>
      <sheetName val="master_lead1"/>
      <sheetName val="master_ead1"/>
      <sheetName val="maste_Lead1"/>
      <sheetName val="mast_Lead1"/>
      <sheetName val="mas_Lead1"/>
      <sheetName val="ma_Lead1"/>
      <sheetName val="m_Lead1"/>
      <sheetName val="_Lead1"/>
      <sheetName val="maste_lead"/>
      <sheetName val="mast_lead"/>
      <sheetName val="mas_lead"/>
      <sheetName val="ma_lead"/>
      <sheetName val="m_lead"/>
      <sheetName val="_lead"/>
      <sheetName val="cover_pag"/>
      <sheetName val="cover_pa"/>
      <sheetName val="cover_p"/>
      <sheetName val="cover_"/>
      <sheetName val="master_leadO"/>
      <sheetName val="master_lead-O"/>
      <sheetName val="maste_Lead-O"/>
      <sheetName val="mast_Lead-O"/>
      <sheetName val="mas_Lead-O"/>
      <sheetName val="ma_Lead-O"/>
      <sheetName val="m_Lead-O"/>
      <sheetName val="_Lead-O"/>
      <sheetName val="Bridge_Data_2005-06"/>
      <sheetName val="ssr_common1"/>
      <sheetName val="master_lead2"/>
      <sheetName val="conveyance_common1"/>
      <sheetName val="handling_common1"/>
      <sheetName val="labour_charges_2005-061"/>
      <sheetName val="Total_Demands"/>
      <sheetName val="QTY-CRUST-SR"/>
      <sheetName val="CROSS-SECTION"/>
      <sheetName val="QTY-CRUST-MCW"/>
      <sheetName val="SSR 2016-17 Rates"/>
      <sheetName val="DATA-CD "/>
      <sheetName val="Staff Acco_"/>
      <sheetName val="segments-details"/>
      <sheetName val="int-Dia-hdpe"/>
      <sheetName val="habs-list"/>
      <sheetName val="int-Dia-pv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2">
          <cell r="D2" t="str">
            <v>cc(1:2:4)</v>
          </cell>
          <cell r="I2" t="str">
            <v>Clayey &amp; Loamy soils</v>
          </cell>
        </row>
        <row r="3">
          <cell r="D3" t="str">
            <v>cc(1:3:6)</v>
          </cell>
          <cell r="I3" t="str">
            <v>Hard Gravelly soils</v>
          </cell>
        </row>
        <row r="4">
          <cell r="D4" t="str">
            <v>cc(1:4:8)</v>
          </cell>
          <cell r="I4" t="str">
            <v>Mixture of Gravel &amp; Soft disintegrated rocky soils</v>
          </cell>
        </row>
        <row r="5">
          <cell r="D5" t="str">
            <v>cc(1:5:10)</v>
          </cell>
          <cell r="I5" t="str">
            <v>Soft disintegrated soils removed by pick axes and crow bars</v>
          </cell>
        </row>
        <row r="6">
          <cell r="D6" t="str">
            <v>cc(1:5:8)</v>
          </cell>
          <cell r="I6" t="str">
            <v>Stone matrix soils</v>
          </cell>
        </row>
        <row r="7">
          <cell r="D7" t="str">
            <v>cc(1:6:10)</v>
          </cell>
          <cell r="I7" t="str">
            <v>Hard disintegrated soils removed by pick axes and crow bars</v>
          </cell>
        </row>
        <row r="8">
          <cell r="I8" t="str">
            <v>Hard disintegrated rock requiring partial blasting</v>
          </cell>
        </row>
        <row r="9">
          <cell r="I9" t="str">
            <v>Soils requiring chiselling,wedging and benching</v>
          </cell>
        </row>
        <row r="14">
          <cell r="D14" t="str">
            <v>8mm</v>
          </cell>
          <cell r="F14" t="str">
            <v>RCC(1:2:4)</v>
          </cell>
          <cell r="G14" t="str">
            <v>RCC(1:2:4)</v>
          </cell>
        </row>
        <row r="15">
          <cell r="D15" t="str">
            <v>12mm</v>
          </cell>
          <cell r="F15" t="str">
            <v>RCC(1:1.5:3)</v>
          </cell>
          <cell r="G15" t="str">
            <v>RCC(1:1.5:3)</v>
          </cell>
        </row>
        <row r="16">
          <cell r="D16" t="str">
            <v>20mm</v>
          </cell>
          <cell r="G16" t="str">
            <v>VRCC(1:2:4)</v>
          </cell>
        </row>
        <row r="17">
          <cell r="G17" t="str">
            <v>VRCC(1:1.5:3)</v>
          </cell>
        </row>
        <row r="20">
          <cell r="D20" t="str">
            <v>Scaffolding for Ist Floor</v>
          </cell>
          <cell r="E20" t="str">
            <v>Lift charges bet Basement &amp; Ist Floor</v>
          </cell>
          <cell r="G20" t="str">
            <v>VCC(1:1.5:3)</v>
          </cell>
        </row>
        <row r="21">
          <cell r="D21" t="str">
            <v>Scaffolding for IInd Floor</v>
          </cell>
          <cell r="E21" t="str">
            <v>Lift charges bet Ist &amp; IInd Floor</v>
          </cell>
          <cell r="G21" t="str">
            <v>VCC(1:2:4)</v>
          </cell>
        </row>
        <row r="22">
          <cell r="D22" t="str">
            <v>Scaffolding for IIIrd Floor</v>
          </cell>
          <cell r="E22" t="str">
            <v>Lift charges bet IInd &amp; IIIrd Floor</v>
          </cell>
          <cell r="G22" t="str">
            <v>VCC(1:3:6)</v>
          </cell>
        </row>
        <row r="23">
          <cell r="G23" t="str">
            <v>VCC(1:4:8)</v>
          </cell>
        </row>
        <row r="24">
          <cell r="G24" t="str">
            <v>VCC(1:5:10)</v>
          </cell>
        </row>
        <row r="25">
          <cell r="G25" t="str">
            <v>VCC(1:5:8)</v>
          </cell>
        </row>
        <row r="26">
          <cell r="D26" t="str">
            <v>Teak wood</v>
          </cell>
          <cell r="G26" t="str">
            <v>VCC(1:6:10)</v>
          </cell>
        </row>
        <row r="27">
          <cell r="A27" t="str">
            <v>0.00-4.00m</v>
          </cell>
          <cell r="D27" t="str">
            <v>Country wood</v>
          </cell>
        </row>
        <row r="28">
          <cell r="A28" t="str">
            <v>4.00-6.00m</v>
          </cell>
        </row>
        <row r="29">
          <cell r="A29" t="str">
            <v>6.00-8.00m</v>
          </cell>
        </row>
        <row r="30">
          <cell r="A30" t="str">
            <v>8.00-10.00m</v>
          </cell>
        </row>
        <row r="31">
          <cell r="A31" t="str">
            <v>10.00-12.00m</v>
          </cell>
        </row>
        <row r="32">
          <cell r="A32" t="str">
            <v>12.00-14.00m</v>
          </cell>
        </row>
        <row r="33">
          <cell r="A33" t="str">
            <v>14.00-16.00m</v>
          </cell>
          <cell r="E33" t="str">
            <v>1.67 X 2.44</v>
          </cell>
        </row>
        <row r="34">
          <cell r="A34" t="str">
            <v>16.00-18.00m</v>
          </cell>
          <cell r="E34" t="str">
            <v>1.52 X 2.44</v>
          </cell>
        </row>
        <row r="35">
          <cell r="A35" t="str">
            <v>18.00-20.00m</v>
          </cell>
          <cell r="E35" t="str">
            <v>1.37 X 2.44</v>
          </cell>
        </row>
        <row r="36">
          <cell r="A36" t="str">
            <v>20.00-22.00m</v>
          </cell>
          <cell r="E36" t="str">
            <v>1.68 X 2.28</v>
          </cell>
        </row>
        <row r="37">
          <cell r="A37" t="str">
            <v>22.00-24.00m</v>
          </cell>
          <cell r="E37" t="str">
            <v>1.52 X 2.28</v>
          </cell>
        </row>
        <row r="38">
          <cell r="A38" t="str">
            <v>24.00-26.00m</v>
          </cell>
          <cell r="E38" t="str">
            <v>1.37 X 2.28</v>
          </cell>
        </row>
        <row r="39">
          <cell r="A39" t="str">
            <v>26.00-28.00m</v>
          </cell>
          <cell r="E39" t="str">
            <v>1.22 X 2.28</v>
          </cell>
        </row>
        <row r="40">
          <cell r="A40" t="str">
            <v>28.00-30.00m</v>
          </cell>
          <cell r="E40" t="str">
            <v>1.06 X 2.28</v>
          </cell>
        </row>
        <row r="41">
          <cell r="E41" t="str">
            <v>1.68 X 2.13</v>
          </cell>
        </row>
        <row r="42">
          <cell r="E42" t="str">
            <v>1.52 X 2.13</v>
          </cell>
        </row>
        <row r="43">
          <cell r="A43" t="str">
            <v>0.00-5.00m</v>
          </cell>
          <cell r="E43" t="str">
            <v>1.37 X 2.13</v>
          </cell>
        </row>
        <row r="44">
          <cell r="A44" t="str">
            <v>5.00-8.00m</v>
          </cell>
          <cell r="E44" t="str">
            <v>1.22 X 2.13</v>
          </cell>
        </row>
        <row r="45">
          <cell r="A45" t="str">
            <v>8.00-11.00m</v>
          </cell>
          <cell r="E45" t="str">
            <v>1.06 X 2.13</v>
          </cell>
        </row>
        <row r="46">
          <cell r="A46" t="str">
            <v>11.00-14.00m</v>
          </cell>
          <cell r="E46" t="str">
            <v>1.68 X 1.98</v>
          </cell>
        </row>
        <row r="47">
          <cell r="A47" t="str">
            <v>14.00-17.00m</v>
          </cell>
          <cell r="E47" t="str">
            <v>1.52 X 1.98</v>
          </cell>
        </row>
        <row r="48">
          <cell r="A48" t="str">
            <v>17.00-20.00m</v>
          </cell>
          <cell r="E48" t="str">
            <v>1.37 X 1.98</v>
          </cell>
        </row>
        <row r="49">
          <cell r="A49" t="str">
            <v>20.00-23.00m</v>
          </cell>
          <cell r="E49" t="str">
            <v>1.22 X 1.98</v>
          </cell>
        </row>
        <row r="50">
          <cell r="A50" t="str">
            <v>23.00-26.00m</v>
          </cell>
          <cell r="E50" t="str">
            <v>1.06 X 1.98</v>
          </cell>
        </row>
        <row r="51">
          <cell r="A51" t="str">
            <v>26.00-29.00m</v>
          </cell>
        </row>
        <row r="52">
          <cell r="A52" t="str">
            <v>29.00-32.00m</v>
          </cell>
        </row>
        <row r="53">
          <cell r="A53" t="str">
            <v>32.00-35.00m</v>
          </cell>
        </row>
        <row r="54">
          <cell r="A54" t="str">
            <v>35.00-38.00m</v>
          </cell>
        </row>
        <row r="57">
          <cell r="A57" t="str">
            <v>0.00-2.00M</v>
          </cell>
        </row>
        <row r="58">
          <cell r="A58" t="str">
            <v>2.00-3.00M</v>
          </cell>
        </row>
        <row r="59">
          <cell r="A59" t="str">
            <v>3.00-4.00M</v>
          </cell>
        </row>
        <row r="60">
          <cell r="A60" t="str">
            <v>4.00-5.00M</v>
          </cell>
        </row>
        <row r="61">
          <cell r="A61" t="str">
            <v>5.00-6.00M</v>
          </cell>
        </row>
        <row r="62">
          <cell r="A62" t="str">
            <v>6.00-7.00M</v>
          </cell>
        </row>
        <row r="63">
          <cell r="A63" t="str">
            <v>7.00-8.00M</v>
          </cell>
        </row>
        <row r="64">
          <cell r="A64" t="str">
            <v>8.00-9.00M</v>
          </cell>
        </row>
        <row r="65">
          <cell r="A65" t="str">
            <v>9.00-10.00M</v>
          </cell>
        </row>
        <row r="66">
          <cell r="A66" t="str">
            <v>10.00-11.00M</v>
          </cell>
        </row>
        <row r="67">
          <cell r="A67" t="str">
            <v>11.00-12.00M</v>
          </cell>
        </row>
        <row r="68">
          <cell r="A68" t="str">
            <v>12.00-13.00M</v>
          </cell>
        </row>
        <row r="69">
          <cell r="A69" t="str">
            <v>13.00-14.00M</v>
          </cell>
        </row>
        <row r="70">
          <cell r="A70" t="str">
            <v>14.00-15.00M</v>
          </cell>
        </row>
        <row r="73">
          <cell r="A73" t="str">
            <v>Sand for filling</v>
          </cell>
          <cell r="B73" t="str">
            <v>20mm HBG metal</v>
          </cell>
        </row>
        <row r="74">
          <cell r="A74" t="str">
            <v>Sand for filling</v>
          </cell>
          <cell r="B74" t="str">
            <v>20mm HBG metal</v>
          </cell>
        </row>
        <row r="75">
          <cell r="A75" t="str">
            <v>Sand for mortar</v>
          </cell>
          <cell r="B75" t="str">
            <v>40mm HBG Metal</v>
          </cell>
        </row>
        <row r="78">
          <cell r="A78" t="str">
            <v>(1:2)</v>
          </cell>
        </row>
        <row r="79">
          <cell r="A79" t="str">
            <v>(1:3)</v>
          </cell>
        </row>
        <row r="80">
          <cell r="A80" t="str">
            <v>(1:4)</v>
          </cell>
        </row>
        <row r="81">
          <cell r="A81" t="str">
            <v>(1:5)</v>
          </cell>
        </row>
        <row r="82">
          <cell r="A82" t="str">
            <v>(1:6)</v>
          </cell>
        </row>
        <row r="83">
          <cell r="A83" t="str">
            <v>(1:8)</v>
          </cell>
        </row>
        <row r="84">
          <cell r="A84" t="str">
            <v>(1:10)</v>
          </cell>
        </row>
        <row r="88">
          <cell r="A88" t="str">
            <v>Between Basement &amp; Ist Floor</v>
          </cell>
        </row>
        <row r="89">
          <cell r="A89" t="str">
            <v>Between Ist &amp; IInd Floor</v>
          </cell>
        </row>
        <row r="90">
          <cell r="A90" t="str">
            <v>Between IInd &amp; IIIrd Floor</v>
          </cell>
        </row>
        <row r="91">
          <cell r="A91" t="str">
            <v>Between IIIrd &amp; IVrth Floor</v>
          </cell>
        </row>
        <row r="94">
          <cell r="A94" t="str">
            <v>Below Ground Level</v>
          </cell>
        </row>
        <row r="95">
          <cell r="A95" t="str">
            <v>Above Ground Level</v>
          </cell>
        </row>
        <row r="98">
          <cell r="A98">
            <v>0.6</v>
          </cell>
        </row>
        <row r="99">
          <cell r="A99">
            <v>0.8</v>
          </cell>
        </row>
        <row r="100">
          <cell r="A100">
            <v>1</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Lead statement ss5"/>
      <sheetName val="leads"/>
      <sheetName val="Lead_statement_ss5"/>
      <sheetName val="rdamdata"/>
      <sheetName val="other rates"/>
      <sheetName val="Lead"/>
      <sheetName val="MTC-estimate"/>
      <sheetName val="Gen Abs"/>
      <sheetName val="maya"/>
      <sheetName val="data existing_do not delete"/>
      <sheetName val="coverpage"/>
      <sheetName val="Road data"/>
      <sheetName val="DATA_PRG"/>
      <sheetName val="Labour"/>
      <sheetName val="Material"/>
      <sheetName val="Plant &amp;  Machinery"/>
      <sheetName val="Data_Base"/>
      <sheetName val="Data"/>
      <sheetName val="Work_sheet"/>
      <sheetName val="Sheet1"/>
      <sheetName val="SUMP1420KL@HW"/>
      <sheetName val="Sheet2"/>
      <sheetName val="t_prsr"/>
      <sheetName val="id"/>
      <sheetName val="MRATES"/>
      <sheetName val="Admin"/>
      <sheetName val="PUMP_DATA"/>
      <sheetName val="wh"/>
      <sheetName val="Lead  RATES"/>
      <sheetName val="Levels"/>
      <sheetName val="inWords"/>
      <sheetName val="TOP SLAB-beams"/>
      <sheetName val="Bed Fall"/>
      <sheetName val="RCC Pier Checking"/>
      <sheetName val="T-BEAM (longitudinal)"/>
      <sheetName val="DECK SLAB DESIGN"/>
      <sheetName val="IRC TABLES"/>
      <sheetName val="m"/>
      <sheetName val="segments-details"/>
      <sheetName val="int-Dia-hdpe"/>
      <sheetName val="habs-list"/>
      <sheetName val="int-Dia-pvc"/>
      <sheetName val="OSWI Qlfy"/>
      <sheetName val="AEOS Qlfy"/>
      <sheetName val="HDPE"/>
      <sheetName val="DI"/>
      <sheetName val="pvc"/>
      <sheetName val="CONVEYANCE  (2)"/>
      <sheetName val="Lead_statement_ss51"/>
      <sheetName val="other_rates"/>
      <sheetName val="Plant_&amp;__Machinery"/>
      <sheetName val="Lead_statement_ss52"/>
      <sheetName val="other_rates1"/>
      <sheetName val="Plant_&amp;__Machinery1"/>
      <sheetName val="drains-data"/>
      <sheetName val="CC Rd Data"/>
      <sheetName val="GSB"/>
      <sheetName val="ALL ABSTRACT"/>
      <sheetName val="Medchal LEAD"/>
      <sheetName val="INDEX"/>
      <sheetName val="BoreWell"/>
      <sheetName val="Council hall"/>
      <sheetName val="Transport Shed"/>
      <sheetName val="Compost Plat"/>
      <sheetName val="Security Room"/>
      <sheetName val="Office Room"/>
      <sheetName val="Waste Receiving Platform"/>
      <sheetName val="DRCC Sheds"/>
      <sheetName val="C&amp;D Shed"/>
      <sheetName val="Compost Platform"/>
      <sheetName val="Compost Screening Storage Shed"/>
      <sheetName val="Est-Drain "/>
      <sheetName val="Drain section"/>
      <sheetName val="Mechanical Equipment"/>
      <sheetName val="Building Data"/>
      <sheetName val="Gate &amp; Chain link fencQty Civil"/>
      <sheetName val="Electrical &amp; Plumbing"/>
      <sheetName val="C-data"/>
      <sheetName val="SHEDS STEEL QTY"/>
      <sheetName val="Mortars,"/>
      <sheetName val="data-Bld-20-21"/>
      <sheetName val="Input"/>
      <sheetName val="Civil SSR"/>
      <sheetName val="datas-CC Drain"/>
      <sheetName val="WS SSR"/>
      <sheetName val="WS Data"/>
      <sheetName val="conveyance"/>
      <sheetName val="ELE-INT"/>
      <sheetName val="ELE-ANALYSIS"/>
      <sheetName val="QUANTITY SHEET"/>
      <sheetName val="240 Meter Yard"/>
      <sheetName val="steel(240M Yard)"/>
      <sheetName val="Est-elec"/>
      <sheetName val="Est-plumbing"/>
      <sheetName val="Dismantling"/>
      <sheetName val="Datas-Dismantling"/>
      <sheetName val="Rates"/>
      <sheetName val="hdpe_basic"/>
      <sheetName val="pvc_basic"/>
      <sheetName val="SSR 2015-16"/>
      <sheetName val="abst"/>
      <sheetName val="design"/>
      <sheetName val="Main sheet"/>
      <sheetName val="Data.F8.BTR"/>
      <sheetName val="Data-Road "/>
      <sheetName val="DATA-CD "/>
      <sheetName val="650kL-design-final"/>
      <sheetName val="SSR 2016-17"/>
      <sheetName val="Det esti"/>
      <sheetName val="Cover"/>
      <sheetName val="Sheet5"/>
      <sheetName val="basdat"/>
      <sheetName val="Rate"/>
      <sheetName val="DATA-BASE"/>
      <sheetName val="DATA-ABSTRACT"/>
      <sheetName val="Bill-12"/>
    </sheetNames>
    <sheetDataSet>
      <sheetData sheetId="0" refreshError="1"/>
      <sheetData sheetId="1" refreshError="1"/>
      <sheetData sheetId="2" refreshError="1"/>
      <sheetData sheetId="3" refreshError="1"/>
      <sheetData sheetId="4" refreshError="1">
        <row r="2">
          <cell r="F2">
            <v>100</v>
          </cell>
        </row>
        <row r="29">
          <cell r="F29">
            <v>44</v>
          </cell>
        </row>
      </sheetData>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row r="48">
          <cell r="F48">
            <v>10</v>
          </cell>
        </row>
      </sheetData>
      <sheetData sheetId="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leads"/>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row r="48">
          <cell r="F48">
            <v>10</v>
          </cell>
        </row>
      </sheetData>
      <sheetData sheetId="5" refreshError="1"/>
      <sheetData sheetId="6"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ECIFICATION"/>
      <sheetName val="SHADIKHANA_ESTT"/>
      <sheetName val="DATA_PRG"/>
      <sheetName val="DATA_COPY"/>
      <sheetName val="DATA_PRG _NO_SEIG"/>
      <sheetName val="SA"/>
      <sheetName val="SHEDULE-A"/>
      <sheetName val="segments-details"/>
      <sheetName val="int-Dia-hdpe"/>
      <sheetName val="habs-list"/>
      <sheetName val="int-Dia-pvc"/>
      <sheetName val="C.C. Road"/>
      <sheetName val="SHE-A(CC Road)"/>
      <sheetName val="Cladding"/>
      <sheetName val="SHE-A(Cladding)"/>
      <sheetName val="Dism-Dormi"/>
      <sheetName val="SHE-A(Dis-Dor)"/>
      <sheetName val="Dis-Office, Library"/>
      <sheetName val="SHE-A(Dis-Lib)"/>
      <sheetName val="Drilling-RJC"/>
      <sheetName val="SHE-A(Dril-Kmm)"/>
      <sheetName val="Drilling-NKP"/>
      <sheetName val="SHE-A(Dril-NKP)"/>
      <sheetName val="LEAD"/>
      <sheetName val="C-data"/>
      <sheetName val="E- DATA "/>
      <sheetName val="WS-DATA"/>
      <sheetName val="Civil"/>
      <sheetName val="Ele"/>
      <sheetName val="GEN-ABS"/>
      <sheetName val="SHE-A"/>
      <sheetName val="Conv"/>
      <sheetName val="Basic Data"/>
      <sheetName val="Joinary"/>
      <sheetName val="data existing_do not delete"/>
      <sheetName val="v"/>
      <sheetName val="Material"/>
      <sheetName val="r"/>
      <sheetName val="MRATES"/>
      <sheetName val="C page"/>
      <sheetName val="El Data1"/>
      <sheetName val="C. Wall"/>
      <sheetName val="G-ABS"/>
      <sheetName val="BOQ"/>
      <sheetName val="load1"/>
      <sheetName val="details1"/>
      <sheetName val="data1"/>
      <sheetName val="load"/>
      <sheetName val="details"/>
      <sheetName val="BidRequirement"/>
      <sheetName val="Note"/>
      <sheetName val="obd data"/>
      <sheetName val="Bridge Data 2005-06"/>
      <sheetName val="nodes"/>
      <sheetName val="int-Dia"/>
      <sheetName val="Cover"/>
      <sheetName val="Specification report"/>
      <sheetName val="DATA-BASE"/>
      <sheetName val="DATA-ABSTRACT"/>
      <sheetName val="GROUND FLOOR"/>
      <sheetName val="Lead statement"/>
      <sheetName val="GF SB Ok "/>
      <sheetName val="Sheet1"/>
      <sheetName val="BWSCPlt"/>
      <sheetName val="CI"/>
      <sheetName val="DI"/>
      <sheetName val="G.R.P"/>
      <sheetName val="HDPE"/>
      <sheetName val="PSC REVISED"/>
      <sheetName val="pvc"/>
      <sheetName val="pvc_basic"/>
      <sheetName val="Work_sheet"/>
      <sheetName val="Main sheet"/>
      <sheetName val="Road data"/>
      <sheetName val="data"/>
      <sheetName val="DataInput"/>
      <sheetName val="DataInput-1"/>
      <sheetName val="Leads"/>
      <sheetName val="DI Rate Analysis"/>
      <sheetName val="Economic RisingMain  Ph-I"/>
      <sheetName val="conveyance"/>
      <sheetName val="Input"/>
      <sheetName val="Civil SSR"/>
      <sheetName val="WS SSR"/>
      <sheetName val="Joinery"/>
      <sheetName val="WS Data"/>
      <sheetName val="GA"/>
      <sheetName val="CVL-ABCD"/>
      <sheetName val="WS-ABCD"/>
      <sheetName val="SUM"/>
      <sheetName val="ABS-CVL-MC"/>
      <sheetName val="MC -WS-Abs"/>
      <sheetName val="MC-Stilt"/>
      <sheetName val="MC-GF"/>
      <sheetName val="MC-FF"/>
      <sheetName val="MC-SF"/>
      <sheetName val="MC-TF"/>
      <sheetName val="MC-Terrace"/>
      <sheetName val="MC-WS-Det "/>
      <sheetName val="SUM-BH"/>
      <sheetName val="ABS-CVL-BH"/>
      <sheetName val="ABS-WS-BH"/>
      <sheetName val="Boys Hos-Stilt"/>
      <sheetName val="Boys Hos-GF"/>
      <sheetName val="Boys-Typ (1 -4)"/>
      <sheetName val="Boys-fifth floor"/>
      <sheetName val="Boys Terrace "/>
      <sheetName val="BH-WS"/>
      <sheetName val="SUM-GH"/>
      <sheetName val="ABS-CVL-GH "/>
      <sheetName val="ABS-WS-GH"/>
      <sheetName val="GH-Stilt "/>
      <sheetName val="GH-GF"/>
      <sheetName val="GH-1st &amp; 2nd"/>
      <sheetName val="GH-3rd"/>
      <sheetName val="GHl-4th "/>
      <sheetName val="GH-5th"/>
      <sheetName val="GH-Terrace"/>
      <sheetName val="GH-WS"/>
      <sheetName val="SUM-TS"/>
      <sheetName val="ABS-CVL-TS"/>
      <sheetName val="Abs-WS-TS"/>
      <sheetName val="TS-Stilt"/>
      <sheetName val="TS-Typical"/>
      <sheetName val="TS-8th"/>
      <sheetName val="TS-Terrace  "/>
      <sheetName val="TS-WS "/>
      <sheetName val="SUM-NTS"/>
      <sheetName val="ABS-CVL-NTS"/>
      <sheetName val="ABS-WS-NTS"/>
      <sheetName val="NTS-Stilt"/>
      <sheetName val="NTS-TYP"/>
      <sheetName val="NTS-Terrace"/>
      <sheetName val="NTS-WS"/>
      <sheetName val="SUM-NQ"/>
      <sheetName val="ABS-CVL-NQ"/>
      <sheetName val="ABS-WS-NQ"/>
      <sheetName val="NQ-Stilt"/>
      <sheetName val="NQ-GF"/>
      <sheetName val="NQ-Typical "/>
      <sheetName val="NQ-Terrace "/>
      <sheetName val="NQ-WS"/>
      <sheetName val="CIVL-ABS(Canteen) "/>
      <sheetName val="Canteen-ABS-WS "/>
      <sheetName val="Canteen GF"/>
      <sheetName val="Canteen-WS-Det  "/>
      <sheetName val="ABS-CVL-Kitchen &amp; Dining"/>
      <sheetName val="KIT-ABS-WS"/>
      <sheetName val="Kitchen"/>
      <sheetName val="Kitchen-WS-Det"/>
      <sheetName val="ABS-Security"/>
      <sheetName val="SEC-ABS-WS"/>
      <sheetName val="Security"/>
      <sheetName val="SEC-WS-Det"/>
      <sheetName val="ABS-(site)"/>
      <sheetName val="Retaining wall"/>
      <sheetName val="M.C ROAD"/>
      <sheetName val="M.C SITE "/>
      <sheetName val="Abs-sump 5.0 lit &amp; Pump)"/>
      <sheetName val="Sump(5.0 Lack Litr &amp; Pump"/>
      <sheetName val="t_prsr"/>
      <sheetName val="id"/>
      <sheetName val=" "/>
      <sheetName val="EST 17-18 Final (2)"/>
      <sheetName val="BOQ Est-WS "/>
      <sheetName val="BOQ Est-Civil"/>
      <sheetName val="Est-Civil"/>
      <sheetName val="Est-WS"/>
      <sheetName val="EST 17-18 Final"/>
      <sheetName val="Qualification"/>
      <sheetName val="RMR"/>
      <sheetName val="Road Detail Est."/>
      <sheetName val="Labour"/>
      <sheetName val="0000000000000"/>
      <sheetName val="Civil Works"/>
      <sheetName val="m"/>
      <sheetName val="Abs Estimate CIVIL (2)"/>
      <sheetName val="gen"/>
      <sheetName val="Civil (2)"/>
      <sheetName val="coverpage"/>
      <sheetName val="Nspt-smp-final-ORIGINAL"/>
      <sheetName val="Data rough"/>
      <sheetName val="Common "/>
      <sheetName val="PH data"/>
      <sheetName val="PS1"/>
      <sheetName val="labour rates"/>
      <sheetName val="Sheet1 (2)"/>
      <sheetName val="Data.F8.BTR"/>
      <sheetName val="Plant &amp;  Machinery"/>
      <sheetName val="Data o"/>
      <sheetName val="Sheet2"/>
      <sheetName val="electrical data 4"/>
      <sheetName val="Building Data gst (2)"/>
      <sheetName val="Houseing"/>
      <sheetName val="Housing Embaded Taxes"/>
      <sheetName val="Infra (2)"/>
      <sheetName val="Infra"/>
      <sheetName val="Infra Embaded Taxes"/>
      <sheetName val="Sump &amp; ST (2)"/>
      <sheetName val="B Datas"/>
      <sheetName val="Building Data gst"/>
      <sheetName val="Sewer"/>
      <sheetName val="Sewer Lines"/>
      <sheetName val="data-HDPE &amp; PVC pipes (2)"/>
      <sheetName val="Electrical (2)"/>
      <sheetName val="Tax statement"/>
      <sheetName val="Valves"/>
      <sheetName val="data-Chamber-1"/>
      <sheetName val="data-RWHS"/>
      <sheetName val="MH-est (2)"/>
      <sheetName val="A"/>
      <sheetName val="Water Supply"/>
      <sheetName val="AA"/>
      <sheetName val="Electrical"/>
      <sheetName val="Sanitary"/>
      <sheetName val="Building Data"/>
      <sheetName val="Sump &amp; ST"/>
      <sheetName val="data-HDPE &amp; PVC pipes"/>
      <sheetName val="RC-Bore wells-1"/>
      <sheetName val="RC-Bore wells-3"/>
      <sheetName val="RC-Bore wells-2"/>
      <sheetName val="drains Data"/>
      <sheetName val="CC Roads Data"/>
      <sheetName val="drains-data-GHMC-16-17"/>
      <sheetName val="Ele. DATA"/>
      <sheetName val="Lead- 16-17"/>
      <sheetName val="PH data-16-17"/>
      <sheetName val="data-Lowering"/>
      <sheetName val="data-MH"/>
      <sheetName val="MH-est"/>
      <sheetName val="CI Spe."/>
      <sheetName val="Taxes"/>
      <sheetName val="BOQ+ final"/>
      <sheetName val="ws-09-ahmedguda"/>
      <sheetName val="D.pochampally"/>
      <sheetName val="fire fighting"/>
      <sheetName val="Sheet3"/>
      <sheetName val="ABSTRACT"/>
      <sheetName val="upto"/>
      <sheetName val="Sheet9"/>
      <sheetName val="labour coeff"/>
      <sheetName val="p&amp;m"/>
      <sheetName val="TBAL9697 -group wise  sdpl"/>
      <sheetName val="Staff Acco."/>
      <sheetName val="dBase"/>
      <sheetName val="GF Columns"/>
      <sheetName val="Lookup"/>
      <sheetName val="Estimate "/>
      <sheetName val="abs road"/>
      <sheetName val="R_Det"/>
      <sheetName val="mlead"/>
      <sheetName val="HDPE-pipe-rates"/>
      <sheetName val="pvc-pipe-rates"/>
      <sheetName val="mas_hab"/>
      <sheetName val="RATES"/>
      <sheetName val="m1"/>
      <sheetName val="final abstract"/>
      <sheetName val="SubAnlysis"/>
      <sheetName val="DATA_PRG__NO_SEIG"/>
      <sheetName val="C_C__Road"/>
      <sheetName val="SHE-A(CC_Road)"/>
      <sheetName val="Dis-Office,_Library"/>
      <sheetName val="E-_DATA_"/>
      <sheetName val="Basic_Data"/>
      <sheetName val="C_page"/>
      <sheetName val="El_Data1"/>
      <sheetName val="C__Wall"/>
      <sheetName val="obd_data"/>
      <sheetName val="Bridge_Data_2005-06"/>
      <sheetName val="Specification_report"/>
      <sheetName val="GROUND_FLOOR"/>
      <sheetName val="Lead_statement"/>
      <sheetName val="GF_SB_Ok_"/>
      <sheetName val="G_R_P"/>
      <sheetName val="PSC_REVISED"/>
      <sheetName val="data_existing_do_not_delete"/>
      <sheetName val="Road_data"/>
      <sheetName val="Civil_SSR"/>
      <sheetName val="WS_SSR"/>
      <sheetName val="WS_Data"/>
      <sheetName val="MC_-WS-Abs"/>
      <sheetName val="MC-WS-Det_"/>
      <sheetName val="Boys_Hos-Stilt"/>
      <sheetName val="Boys_Hos-GF"/>
      <sheetName val="Boys-Typ_(1_-4)"/>
      <sheetName val="Boys-fifth_floor"/>
      <sheetName val="Boys_Terrace_"/>
      <sheetName val="ABS-CVL-GH_"/>
      <sheetName val="GH-Stilt_"/>
      <sheetName val="GH-1st_&amp;_2nd"/>
      <sheetName val="GHl-4th_"/>
      <sheetName val="TS-Terrace__"/>
      <sheetName val="TS-WS_"/>
      <sheetName val="NQ-Typical_"/>
      <sheetName val="NQ-Terrace_"/>
      <sheetName val="CIVL-ABS(Canteen)_"/>
      <sheetName val="Canteen-ABS-WS_"/>
      <sheetName val="Canteen_GF"/>
      <sheetName val="Canteen-WS-Det__"/>
      <sheetName val="ABS-CVL-Kitchen_&amp;_Dining"/>
      <sheetName val="Retaining_wall"/>
      <sheetName val="M_C_ROAD"/>
      <sheetName val="M_C_SITE_"/>
      <sheetName val="Abs-sump_5_0_lit_&amp;_Pump)"/>
      <sheetName val="Sump(5_0_Lack_Litr_&amp;_Pump"/>
      <sheetName val="_"/>
      <sheetName val="EST_17-18_Final_(2)"/>
      <sheetName val="BOQ_Est-WS_"/>
      <sheetName val="BOQ_Est-Civil"/>
      <sheetName val="EST_17-18_Final"/>
      <sheetName val="Road_Detail_Est_"/>
      <sheetName val="Main_sheet"/>
      <sheetName val="Abs_Estimate_CIVIL_(2)"/>
      <sheetName val="Civil_Works"/>
      <sheetName val="Civil_(2)"/>
      <sheetName val="PH_data"/>
      <sheetName val="DI_Rate_Analysis"/>
      <sheetName val="Economic_RisingMain__Ph-I"/>
      <sheetName val="Data_rough"/>
      <sheetName val="Common_"/>
      <sheetName val="ELE-data"/>
      <sheetName val="D&amp;W DATA 1"/>
      <sheetName val="ABS WITH PS CHAGES"/>
      <sheetName val="GRILL DATA"/>
      <sheetName val="Grill data 2"/>
      <sheetName val="Girls New Toilet Block"/>
      <sheetName val="DRINKING WATER"/>
      <sheetName val="Major Repairs"/>
      <sheetName val="Boys toilets rep"/>
      <sheetName val="boys toilets rep "/>
      <sheetName val="SUMP"/>
      <sheetName val="PATHWAY"/>
      <sheetName val="Head room"/>
      <sheetName val="Electrification"/>
      <sheetName val="students furniture"/>
      <sheetName val="staff furniture"/>
      <sheetName val="Library furniture"/>
      <sheetName val="computer lab furniture"/>
      <sheetName val="Dining Dismantling"/>
      <sheetName val="Dining hall furniture "/>
      <sheetName val="Green Chalk boards"/>
      <sheetName val="Paintings"/>
      <sheetName val="C wall ARH"/>
      <sheetName val="C wall raising"/>
      <sheetName val="Fencing"/>
      <sheetName val="MD"/>
      <sheetName val="kitchen conversion"/>
      <sheetName val="ACR's 4 nos- SF"/>
      <sheetName val="RCC TANK DATA"/>
      <sheetName val="CC road data"/>
      <sheetName val="W&amp;S"/>
      <sheetName val="ABS-CVL-SEC"/>
      <sheetName val="ABS-WS-SEC"/>
      <sheetName val="ABS-ELE-SEC"/>
      <sheetName val="Security-GF "/>
      <sheetName val="Ws-Det-Security"/>
      <sheetName val="girls 2 units"/>
      <sheetName val="boys 2 units"/>
      <sheetName val="new girls toilet"/>
      <sheetName val="G.TOILET W.S"/>
      <sheetName val="G.toil elec"/>
      <sheetName val="new boys toilet"/>
      <sheetName val="B.Toilet w.s"/>
      <sheetName val="B.toilet elec"/>
      <sheetName val="toilet repairs"/>
      <sheetName val="kitchen shed"/>
      <sheetName val="Dining hall"/>
      <sheetName val="Dining electrical"/>
      <sheetName val="Dining hall (2)"/>
      <sheetName val="PVC_dia"/>
      <sheetName val=" data sheet "/>
      <sheetName val="DP"/>
      <sheetName val="hdpe-rates"/>
      <sheetName val="hdpe weights"/>
      <sheetName val="ssr-rates"/>
      <sheetName val="pvc-rates"/>
      <sheetName val="PVC weights"/>
      <sheetName val="detls"/>
      <sheetName val="Detailed"/>
      <sheetName val="ewst"/>
      <sheetName val="AV-HDPE"/>
      <sheetName val="Di_gate-HDPE"/>
      <sheetName val="water-hammar-strenght"/>
      <sheetName val="bundqty"/>
      <sheetName val="Abs"/>
      <sheetName val="Estimate_"/>
      <sheetName val="Plant_&amp;__Machinery"/>
      <sheetName val="abs_road"/>
      <sheetName val="labour_rates"/>
      <sheetName val="Staff_Acco_"/>
      <sheetName val="Data_F8_BTR"/>
      <sheetName val="DATA_PRG__NO_SEIG1"/>
      <sheetName val="C_C__Road1"/>
      <sheetName val="SHE-A(CC_Road)1"/>
      <sheetName val="Dis-Office,_Library1"/>
      <sheetName val="E-_DATA_1"/>
      <sheetName val="Basic_Data1"/>
      <sheetName val="Specification_report1"/>
      <sheetName val="GROUND_FLOOR1"/>
      <sheetName val="Lead_statement1"/>
      <sheetName val="GF_SB_Ok_1"/>
      <sheetName val="G_R_P1"/>
      <sheetName val="PSC_REVISED1"/>
      <sheetName val="C_page1"/>
      <sheetName val="El_Data11"/>
      <sheetName val="C__Wall1"/>
      <sheetName val="obd_data1"/>
      <sheetName val="Bridge_Data_2005-061"/>
      <sheetName val="_1"/>
      <sheetName val="Road_Detail_Est_1"/>
      <sheetName val="Road_data1"/>
      <sheetName val="data_existing_do_not_delete1"/>
      <sheetName val="Civil_SSR1"/>
      <sheetName val="WS_SSR1"/>
      <sheetName val="WS_Data1"/>
      <sheetName val="MC_-WS-Abs1"/>
      <sheetName val="MC-WS-Det_1"/>
      <sheetName val="Boys_Hos-Stilt1"/>
      <sheetName val="Boys_Hos-GF1"/>
      <sheetName val="Boys-Typ_(1_-4)1"/>
      <sheetName val="Boys-fifth_floor1"/>
      <sheetName val="Boys_Terrace_1"/>
      <sheetName val="ABS-CVL-GH_1"/>
      <sheetName val="GH-Stilt_1"/>
      <sheetName val="GH-1st_&amp;_2nd1"/>
      <sheetName val="GHl-4th_1"/>
      <sheetName val="TS-Terrace__1"/>
      <sheetName val="TS-WS_1"/>
      <sheetName val="NQ-Typical_1"/>
      <sheetName val="NQ-Terrace_1"/>
      <sheetName val="CIVL-ABS(Canteen)_1"/>
      <sheetName val="Canteen-ABS-WS_1"/>
      <sheetName val="Canteen_GF1"/>
      <sheetName val="Canteen-WS-Det__1"/>
      <sheetName val="ABS-CVL-Kitchen_&amp;_Dining1"/>
      <sheetName val="Retaining_wall1"/>
      <sheetName val="M_C_ROAD1"/>
      <sheetName val="M_C_SITE_1"/>
      <sheetName val="Abs-sump_5_0_lit_&amp;_Pump)1"/>
      <sheetName val="Sump(5_0_Lack_Litr_&amp;_Pump1"/>
      <sheetName val="EST_17-18_Final_(2)1"/>
      <sheetName val="BOQ_Est-WS_1"/>
      <sheetName val="BOQ_Est-Civil1"/>
      <sheetName val="EST_17-18_Final1"/>
      <sheetName val="Estimate_1"/>
      <sheetName val="Main_sheet1"/>
      <sheetName val="Civil_Works1"/>
      <sheetName val="Abs_Estimate_CIVIL_(2)1"/>
      <sheetName val="Civil_(2)1"/>
      <sheetName val="Plant_&amp;__Machinery1"/>
      <sheetName val="abs_road1"/>
      <sheetName val="DI_Rate_Analysis1"/>
      <sheetName val="Economic_RisingMain__Ph-I1"/>
      <sheetName val="Data_rough1"/>
      <sheetName val="Common_1"/>
      <sheetName val="labour_rates1"/>
      <sheetName val="Usage"/>
      <sheetName val="General"/>
      <sheetName val="Sheet5"/>
      <sheetName val="Lead statement ss5"/>
      <sheetName val="Data well"/>
      <sheetName val="12"/>
      <sheetName val="2A"/>
      <sheetName val="2B"/>
      <sheetName val="2C"/>
      <sheetName val="2D"/>
      <sheetName val="2E"/>
      <sheetName val="2F"/>
      <sheetName val="2G"/>
      <sheetName val="2H"/>
      <sheetName val="3A"/>
      <sheetName val="3B"/>
      <sheetName val="4"/>
      <sheetName val="7A"/>
      <sheetName val="7B"/>
      <sheetName val="8A"/>
      <sheetName val="8B"/>
      <sheetName val="9A"/>
      <sheetName val="9B"/>
      <sheetName val="9C"/>
      <sheetName val="9D"/>
      <sheetName val="9E"/>
      <sheetName val="9F"/>
      <sheetName val="9G"/>
      <sheetName val="9H"/>
      <sheetName val="9I"/>
      <sheetName val="9J"/>
      <sheetName val="9K"/>
      <sheetName val="Data_Bit_I"/>
      <sheetName val="maya"/>
    </sheetNames>
    <sheetDataSet>
      <sheetData sheetId="0" refreshError="1"/>
      <sheetData sheetId="1" refreshError="1"/>
      <sheetData sheetId="2" refreshError="1">
        <row r="4">
          <cell r="B4" t="str">
            <v>KOLLAPUR</v>
          </cell>
        </row>
        <row r="5">
          <cell r="H5">
            <v>7.5</v>
          </cell>
        </row>
        <row r="86">
          <cell r="H86">
            <v>769.6</v>
          </cell>
        </row>
        <row r="159">
          <cell r="H159">
            <v>2155.15</v>
          </cell>
        </row>
        <row r="166">
          <cell r="H166">
            <v>2355.15</v>
          </cell>
        </row>
        <row r="173">
          <cell r="H173">
            <v>2255.15</v>
          </cell>
        </row>
        <row r="180">
          <cell r="H180">
            <v>90</v>
          </cell>
        </row>
        <row r="211">
          <cell r="H211">
            <v>1085.3500000000001</v>
          </cell>
        </row>
        <row r="296">
          <cell r="H296">
            <v>486.45000000000005</v>
          </cell>
        </row>
        <row r="317">
          <cell r="H317">
            <v>1362.5</v>
          </cell>
        </row>
        <row r="328">
          <cell r="H328">
            <v>132.15</v>
          </cell>
        </row>
        <row r="345">
          <cell r="H345">
            <v>376.8</v>
          </cell>
        </row>
        <row r="351">
          <cell r="H351">
            <v>70</v>
          </cell>
        </row>
        <row r="366">
          <cell r="F366">
            <v>3455</v>
          </cell>
        </row>
        <row r="371">
          <cell r="F371">
            <v>2170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sheetData sheetId="307"/>
      <sheetData sheetId="308"/>
      <sheetData sheetId="309"/>
      <sheetData sheetId="310"/>
      <sheetData sheetId="311"/>
      <sheetData sheetId="312"/>
      <sheetData sheetId="313"/>
      <sheetData sheetId="314"/>
      <sheetData sheetId="315"/>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VER_SHEET"/>
      <sheetName val="ANNEX"/>
      <sheetName val="checkslip"/>
      <sheetName val="ann2"/>
      <sheetName val="anne_II"/>
      <sheetName val="otherworks"/>
      <sheetName val="works-list"/>
      <sheetName val="trafic"/>
      <sheetName val="PD"/>
      <sheetName val="P_REPORT"/>
      <sheetName val="SPECIFICATION"/>
      <sheetName val="BREAKUPS"/>
      <sheetName val="ABS"/>
      <sheetName val="ESTT_MOST"/>
      <sheetName val="CD_ABS"/>
      <sheetName val="m"/>
      <sheetName val="M2"/>
      <sheetName val="M2 (2)"/>
      <sheetName val="M3"/>
      <sheetName val="m1"/>
      <sheetName val="pho"/>
      <sheetName val="Lead_Chart"/>
      <sheetName val="LBL"/>
      <sheetName val="OGPC_DATA"/>
      <sheetName val="R"/>
      <sheetName val="CC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18">
          <cell r="C18">
            <v>18109.62</v>
          </cell>
        </row>
      </sheetData>
      <sheetData sheetId="26"/>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User-Instructions"/>
      <sheetName val="INPUT-SHEET"/>
      <sheetName val="COVER"/>
      <sheetName val="SPR"/>
      <sheetName val="TRAFF-Count-ESAL-Cal"/>
      <sheetName val="SP-72 DESIGN"/>
      <sheetName val="SP-72-CHART"/>
      <sheetName val="Gen Abs"/>
      <sheetName val="Det esti"/>
      <sheetName val="Data-Road "/>
      <sheetName val="Road-furniture"/>
      <sheetName val="MTC-ABS"/>
      <sheetName val="MTC-estimate"/>
      <sheetName val="LEAD"/>
      <sheetName val="DATA-CD"/>
      <sheetName val="Road Furniture-Data"/>
      <sheetName val="Mtc-data"/>
      <sheetName val="CD Abs"/>
      <sheetName val="1v_600_PC"/>
      <sheetName val="1v_900_PC"/>
      <sheetName val="1v_1000_PC"/>
      <sheetName val="2v_600_PC"/>
      <sheetName val="2v_900_PC"/>
      <sheetName val="2v_1000_PC"/>
      <sheetName val="sc_1v_2m"/>
      <sheetName val="sc_1v_3m"/>
      <sheetName val="sc_2v_3m"/>
      <sheetName val="sc_2v_5m"/>
      <sheetName val="RD"/>
      <sheetName val="3v_600_RDVENTS"/>
      <sheetName val="CC_WC"/>
      <sheetName val="Retaining-wall"/>
      <sheetName val="Drains"/>
      <sheetName val="Seig_Cal"/>
      <sheetName val="Schedule-A"/>
      <sheetName val="temp-ws"/>
      <sheetName val="other rates"/>
      <sheetName val="Hire"/>
      <sheetName val="Conv"/>
      <sheetName val="NP3 pipes"/>
      <sheetName val="NP3 collars"/>
      <sheetName val="MTC-Table"/>
      <sheetName val="Cd-qty-ws-temp"/>
      <sheetName val="cc road part 4"/>
      <sheetName val="Retaining-wall 0.144"/>
      <sheetName val="Retaining-wall 0.620"/>
      <sheetName val="Retaining-wall 1.28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6">
          <cell r="C6">
            <v>6200</v>
          </cell>
          <cell r="I6">
            <v>60</v>
          </cell>
        </row>
        <row r="7">
          <cell r="C7">
            <v>5075</v>
          </cell>
          <cell r="I7">
            <v>10.3</v>
          </cell>
        </row>
        <row r="8">
          <cell r="C8">
            <v>1125</v>
          </cell>
          <cell r="I8">
            <v>10</v>
          </cell>
        </row>
        <row r="9">
          <cell r="C9">
            <v>1000</v>
          </cell>
          <cell r="I9">
            <v>0</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sheetName val="Taps"/>
      <sheetName val="CR"/>
      <sheetName val="Sheet1"/>
      <sheetName val="MRATES"/>
      <sheetName val="BOXCELL"/>
      <sheetName val="BOXCULVERT"/>
      <sheetName val="Cut Fill"/>
      <sheetName val="FORM5"/>
      <sheetName val="Habitation"/>
      <sheetName val="Rate"/>
      <sheetName val="Maintenance"/>
      <sheetName val="Population"/>
      <sheetName val="Proforma B"/>
      <sheetName val="RET "/>
      <sheetName val="TOE"/>
      <sheetName val="Traffic"/>
      <sheetName val="Tree_Enu"/>
      <sheetName val="MTC-estimate"/>
      <sheetName val="data existing_do not delete"/>
      <sheetName val="Data"/>
      <sheetName val="r"/>
      <sheetName val="BWSCPlt"/>
      <sheetName val="CI"/>
      <sheetName val="DI"/>
      <sheetName val="G.R.P"/>
      <sheetName val="HDPE"/>
      <sheetName val="PSC REVISED"/>
      <sheetName val="pvc"/>
      <sheetName val="maya"/>
      <sheetName val="Abs"/>
      <sheetName val="Lead"/>
      <sheetName val="Labour"/>
      <sheetName val="Material"/>
      <sheetName val="Plant &amp;  Machinery"/>
      <sheetName val="t_prsr"/>
      <sheetName val="id"/>
      <sheetName val="C-data"/>
      <sheetName val="pvc_basic"/>
      <sheetName val="Lead statement"/>
      <sheetName val="GROUND FLOOR"/>
      <sheetName val="Legal Risk Analysis"/>
      <sheetName val="Bitumen trunk"/>
      <sheetName val="Feeder"/>
      <sheetName val="R99 etc"/>
      <sheetName val="Trunk unpaved"/>
      <sheetName val="Bridge Data 2005-06"/>
      <sheetName val="BALAN1"/>
      <sheetName val="lead-st"/>
      <sheetName val="rdamdata"/>
      <sheetName val="v"/>
      <sheetName val="0000000000000"/>
      <sheetName val="DATA_PRG"/>
      <sheetName val="hdpe_basic"/>
      <sheetName val="abs road"/>
      <sheetName val="RMR"/>
      <sheetName val="R_Det"/>
      <sheetName val="Road data"/>
      <sheetName val="Levels"/>
      <sheetName val="DATA-BASE"/>
      <sheetName val="DATA-ABSTRACT"/>
      <sheetName val="Staff Acco."/>
      <sheetName val="leads"/>
      <sheetName val="inWords"/>
      <sheetName val="segments-details"/>
      <sheetName val="int-Dia-hdpe"/>
      <sheetName val="int-Dia-pvc"/>
      <sheetName val="Usage"/>
      <sheetName val="General"/>
      <sheetName val="Common "/>
      <sheetName val="wh_data_R"/>
      <sheetName val="wh_data"/>
      <sheetName val="CPHEEO"/>
      <sheetName val="input"/>
      <sheetName val="TBAL9697 -group wise  sdpl"/>
      <sheetName val="p&amp;m"/>
      <sheetName val="Work_sheet"/>
      <sheetName val="gen"/>
      <sheetName val="Road Detail Est."/>
      <sheetName val="Intput"/>
      <sheetName val="Well"/>
      <sheetName val="Load"/>
      <sheetName val="BTR"/>
      <sheetName val="GenAbst"/>
      <sheetName val="Rates"/>
      <sheetName val="mlead"/>
      <sheetName val="other rates"/>
      <sheetName val="Line"/>
      <sheetName val="Specification"/>
      <sheetName val="sand"/>
      <sheetName val="Boq Block A"/>
      <sheetName val="Cut_Fill"/>
      <sheetName val="Proforma_B"/>
      <sheetName val="RET_"/>
      <sheetName val="G_R_P"/>
      <sheetName val="PSC_REVISED"/>
      <sheetName val="Plant_&amp;__Machinery"/>
      <sheetName val="data_existing_do_not_delete"/>
      <sheetName val="Lead_statement"/>
      <sheetName val="GROUND_FLOOR"/>
      <sheetName val="Legal_Risk_Analysis"/>
      <sheetName val="Bitumen_trunk"/>
      <sheetName val="R99_etc"/>
      <sheetName val="Trunk_unpaved"/>
      <sheetName val="Bridge_Data_2005-06"/>
      <sheetName val="BTR (2)"/>
      <sheetName val="Specification report"/>
      <sheetName val="Data.F8.BTR"/>
      <sheetName val="Gen Info"/>
      <sheetName val="basdat"/>
      <sheetName val="pvc-pipe-rates"/>
      <sheetName val="coverpage"/>
      <sheetName val="PUMP_DATA"/>
      <sheetName val="BOQ"/>
      <sheetName val="G.O MS 35"/>
      <sheetName val="CC"/>
      <sheetName val="Materials"/>
      <sheetName val="QTY"/>
      <sheetName val="procurement"/>
      <sheetName val="Gen_Abs"/>
      <sheetName val="Global factors"/>
      <sheetName val="final abstract"/>
      <sheetName val="Sheet2"/>
    </sheetNames>
    <sheetDataSet>
      <sheetData sheetId="0"/>
      <sheetData sheetId="1"/>
      <sheetData sheetId="2"/>
      <sheetData sheetId="3" refreshError="1">
        <row r="19">
          <cell r="A19" t="str">
            <v>C.C (1:3:6) Mix  using 40mm  H.B.G metal including cost &amp; conveyance of all materials and labour charges seigniorage charges etc complete.</v>
          </cell>
        </row>
        <row r="20">
          <cell r="A20">
            <v>0</v>
          </cell>
        </row>
        <row r="21">
          <cell r="A21" t="str">
            <v xml:space="preserve">C.C (1:3:6) Mix using 20mm  H.B.G metal including cost &amp; conveyance of all materials and labour charges seigniorage charges etc complete.  </v>
          </cell>
        </row>
        <row r="22">
          <cell r="A22">
            <v>0</v>
          </cell>
        </row>
        <row r="98">
          <cell r="B98" t="str">
            <v>63MM dia PVC Saddle</v>
          </cell>
        </row>
        <row r="99">
          <cell r="B99" t="str">
            <v>75MM dia PVC Saddle</v>
          </cell>
        </row>
        <row r="100">
          <cell r="B100" t="str">
            <v>90MM dia PVC Saddle</v>
          </cell>
        </row>
        <row r="101">
          <cell r="B101" t="str">
            <v>110MM  dia PVC Saddle</v>
          </cell>
        </row>
        <row r="102">
          <cell r="B102" t="str">
            <v>180MM  dia PVC Saddle</v>
          </cell>
        </row>
        <row r="120">
          <cell r="B120" t="str">
            <v>GI Pipe</v>
          </cell>
        </row>
        <row r="121">
          <cell r="B121" t="str">
            <v>15mm dia GI Pipe B-class</v>
          </cell>
        </row>
        <row r="122">
          <cell r="B122" t="str">
            <v>20mm dia GI Pipe B-class</v>
          </cell>
        </row>
        <row r="123">
          <cell r="B123" t="str">
            <v>25mm dia GI Pipe B-class</v>
          </cell>
        </row>
        <row r="124">
          <cell r="B124" t="str">
            <v>40mm dia GI Pipe B-class</v>
          </cell>
        </row>
        <row r="125">
          <cell r="B125" t="str">
            <v>50mm dia GI Pipe B-class</v>
          </cell>
        </row>
        <row r="126">
          <cell r="B126" t="str">
            <v>65mm dia GI Pipe B-class</v>
          </cell>
        </row>
        <row r="127">
          <cell r="B127" t="str">
            <v>80mm dia GI Pipe B-class</v>
          </cell>
        </row>
        <row r="128">
          <cell r="B128" t="str">
            <v>100mm dia GI Pipe B-class</v>
          </cell>
        </row>
        <row r="129">
          <cell r="B129" t="str">
            <v>125mm dia GI Pipe B-class</v>
          </cell>
        </row>
        <row r="130">
          <cell r="B130" t="str">
            <v>GI Union</v>
          </cell>
        </row>
        <row r="131">
          <cell r="B131" t="str">
            <v>15mm dia GI Heavy Union</v>
          </cell>
        </row>
        <row r="132">
          <cell r="B132" t="str">
            <v>20mm dia GI Heavy Union</v>
          </cell>
        </row>
        <row r="133">
          <cell r="B133" t="str">
            <v>25mm dia GI Heavy Union</v>
          </cell>
        </row>
        <row r="134">
          <cell r="B134" t="str">
            <v>40mm dia GI Heavy Union</v>
          </cell>
        </row>
        <row r="135">
          <cell r="B135" t="str">
            <v>50mm dia GI Heavy Union</v>
          </cell>
        </row>
        <row r="136">
          <cell r="B136" t="str">
            <v>65mm dia GI Heavy Union</v>
          </cell>
        </row>
        <row r="137">
          <cell r="B137" t="str">
            <v>80mm dia GI Heavy Union</v>
          </cell>
        </row>
        <row r="138">
          <cell r="B138" t="str">
            <v>100mm dia GI Heavy Union</v>
          </cell>
        </row>
        <row r="139">
          <cell r="B139" t="str">
            <v>GI Elbow</v>
          </cell>
        </row>
        <row r="140">
          <cell r="B140" t="str">
            <v>15mm dia GI Elbow</v>
          </cell>
        </row>
        <row r="141">
          <cell r="B141" t="str">
            <v>20mm dia GI Elbow</v>
          </cell>
        </row>
        <row r="142">
          <cell r="B142" t="str">
            <v>25mm dia GI Elbow</v>
          </cell>
        </row>
        <row r="143">
          <cell r="B143" t="str">
            <v>40mm dia GI Elbow</v>
          </cell>
        </row>
        <row r="144">
          <cell r="B144" t="str">
            <v>50mm dia GI Elbow</v>
          </cell>
        </row>
        <row r="145">
          <cell r="B145" t="str">
            <v>65mm dia GI Elbow</v>
          </cell>
        </row>
        <row r="146">
          <cell r="B146" t="str">
            <v>80mm dia GI Elbow</v>
          </cell>
        </row>
        <row r="147">
          <cell r="B147" t="str">
            <v>100mm dia GI Elbow</v>
          </cell>
        </row>
        <row r="148">
          <cell r="B148" t="str">
            <v>125mm dia GI Elbow</v>
          </cell>
        </row>
        <row r="149">
          <cell r="B149" t="str">
            <v>GI Cooupling</v>
          </cell>
        </row>
        <row r="150">
          <cell r="B150" t="str">
            <v>15mm dia GI Coupling</v>
          </cell>
        </row>
        <row r="151">
          <cell r="B151" t="str">
            <v>20mm dia GI Coupling</v>
          </cell>
        </row>
        <row r="152">
          <cell r="B152" t="str">
            <v>25mm dia GI Coupling</v>
          </cell>
        </row>
        <row r="153">
          <cell r="B153" t="str">
            <v>40mm dia GI Coupling</v>
          </cell>
        </row>
        <row r="154">
          <cell r="B154" t="str">
            <v>50mm dia GI Coupling</v>
          </cell>
        </row>
        <row r="155">
          <cell r="B155" t="str">
            <v>65mm dia GI Coupling</v>
          </cell>
        </row>
        <row r="156">
          <cell r="B156" t="str">
            <v>80mm dia GI Coupling</v>
          </cell>
        </row>
        <row r="157">
          <cell r="B157" t="str">
            <v>100mm dia GI Coupling</v>
          </cell>
        </row>
        <row r="158">
          <cell r="B158" t="str">
            <v>125mm dia GI Coupling</v>
          </cell>
        </row>
        <row r="159">
          <cell r="B159" t="str">
            <v>GI Nipple</v>
          </cell>
        </row>
        <row r="160">
          <cell r="B160" t="str">
            <v>15mm dia GI Nipple</v>
          </cell>
        </row>
        <row r="161">
          <cell r="B161" t="str">
            <v>20mm dia GI Nipple</v>
          </cell>
        </row>
        <row r="162">
          <cell r="B162" t="str">
            <v>25mm dia GI Nipple</v>
          </cell>
        </row>
        <row r="163">
          <cell r="B163" t="str">
            <v>40mm dia GI Nipple</v>
          </cell>
        </row>
        <row r="164">
          <cell r="B164" t="str">
            <v>50mm dia GI Nipple</v>
          </cell>
        </row>
        <row r="165">
          <cell r="B165" t="str">
            <v>65mm dia GI Nipple</v>
          </cell>
        </row>
        <row r="166">
          <cell r="B166" t="str">
            <v>80mm dia GI Nipple</v>
          </cell>
        </row>
        <row r="167">
          <cell r="B167" t="str">
            <v>100mm dia GI Nipple</v>
          </cell>
        </row>
        <row r="168">
          <cell r="B168" t="str">
            <v>125mm dia GI Nipple</v>
          </cell>
        </row>
        <row r="169">
          <cell r="B169" t="str">
            <v>GI Bend</v>
          </cell>
        </row>
        <row r="170">
          <cell r="B170" t="str">
            <v>15mm dia GI Bend</v>
          </cell>
        </row>
        <row r="171">
          <cell r="B171" t="str">
            <v>20mm dia GI Bend</v>
          </cell>
        </row>
        <row r="172">
          <cell r="B172" t="str">
            <v>25mm dia GI Bend</v>
          </cell>
        </row>
        <row r="173">
          <cell r="B173" t="str">
            <v>40mm dia GI Bend</v>
          </cell>
        </row>
        <row r="174">
          <cell r="B174" t="str">
            <v>50mm dia GI Bend</v>
          </cell>
        </row>
        <row r="175">
          <cell r="B175" t="str">
            <v>65mm dia GI Bend</v>
          </cell>
        </row>
        <row r="176">
          <cell r="B176" t="str">
            <v>80mm dia GI Bend</v>
          </cell>
        </row>
        <row r="177">
          <cell r="B177" t="str">
            <v>100mm dia GI Bend</v>
          </cell>
        </row>
        <row r="178">
          <cell r="B178" t="str">
            <v>125mm dia GI Bend</v>
          </cell>
        </row>
        <row r="179">
          <cell r="B179" t="str">
            <v>GI equal Tee</v>
          </cell>
        </row>
        <row r="180">
          <cell r="B180" t="str">
            <v>15mm dia GI equal T</v>
          </cell>
        </row>
        <row r="181">
          <cell r="B181" t="str">
            <v>20mm dia GI equal T</v>
          </cell>
        </row>
        <row r="182">
          <cell r="B182" t="str">
            <v>25mm dia GI equal T</v>
          </cell>
        </row>
        <row r="183">
          <cell r="B183" t="str">
            <v>40mm dia GI equal T</v>
          </cell>
        </row>
        <row r="184">
          <cell r="B184" t="str">
            <v>50mm dia GI equal T</v>
          </cell>
        </row>
        <row r="185">
          <cell r="B185" t="str">
            <v>65mm dia GI equal T</v>
          </cell>
        </row>
        <row r="186">
          <cell r="B186" t="str">
            <v>80mm dia GI equal T</v>
          </cell>
        </row>
        <row r="187">
          <cell r="B187" t="str">
            <v>100mm dia GI equal T</v>
          </cell>
        </row>
        <row r="188">
          <cell r="B188" t="str">
            <v>125mm dia GI equal T</v>
          </cell>
        </row>
        <row r="189">
          <cell r="B189" t="str">
            <v>CI Dummy</v>
          </cell>
        </row>
        <row r="190">
          <cell r="B190" t="str">
            <v>15mm dia CI Dummy</v>
          </cell>
        </row>
        <row r="191">
          <cell r="B191" t="str">
            <v>20mm dia CI Dummy</v>
          </cell>
        </row>
        <row r="192">
          <cell r="B192" t="str">
            <v>25mm dia CI Dummy</v>
          </cell>
        </row>
        <row r="193">
          <cell r="B193" t="str">
            <v>40mm dia CI Dummy</v>
          </cell>
        </row>
        <row r="194">
          <cell r="B194" t="str">
            <v>50mm dia CI Dummy</v>
          </cell>
        </row>
        <row r="195">
          <cell r="B195" t="str">
            <v>65mm dia CI Dummy</v>
          </cell>
        </row>
        <row r="196">
          <cell r="B196" t="str">
            <v>80mm dia CI Dummy</v>
          </cell>
        </row>
        <row r="197">
          <cell r="B197" t="str">
            <v>100mm dia CI Dummy</v>
          </cell>
        </row>
        <row r="198">
          <cell r="B198" t="str">
            <v>125mm dia CI Dummy</v>
          </cell>
        </row>
        <row r="199">
          <cell r="B199" t="str">
            <v>CI Foot Valve</v>
          </cell>
        </row>
        <row r="200">
          <cell r="B200" t="str">
            <v>50mm dia CI Foot valve</v>
          </cell>
        </row>
        <row r="201">
          <cell r="B201" t="str">
            <v>65mm dia CI Foot valve</v>
          </cell>
        </row>
        <row r="202">
          <cell r="B202" t="str">
            <v>80mm dia CI Foot valve</v>
          </cell>
        </row>
        <row r="203">
          <cell r="B203" t="str">
            <v>100mm dia CI Foot valve</v>
          </cell>
        </row>
        <row r="204">
          <cell r="B204" t="str">
            <v>CI Check valve</v>
          </cell>
        </row>
        <row r="205">
          <cell r="B205" t="str">
            <v>50mm dia CI Check valve</v>
          </cell>
        </row>
        <row r="206">
          <cell r="B206" t="str">
            <v>65mm dia CI Check valve</v>
          </cell>
        </row>
        <row r="207">
          <cell r="B207" t="str">
            <v>80mm dia CI Check valve</v>
          </cell>
        </row>
        <row r="208">
          <cell r="B208" t="str">
            <v>100mm dia CI Check valve</v>
          </cell>
        </row>
        <row r="209">
          <cell r="B209" t="str">
            <v>125mm dia CI Check valve</v>
          </cell>
        </row>
        <row r="210">
          <cell r="B210" t="str">
            <v>GM GATE VALVE</v>
          </cell>
        </row>
        <row r="211">
          <cell r="B211" t="str">
            <v>15mm dia GM Gate valve</v>
          </cell>
        </row>
        <row r="212">
          <cell r="B212" t="str">
            <v>20mm dia GM Gate valve</v>
          </cell>
        </row>
        <row r="213">
          <cell r="B213" t="str">
            <v>25mm dia GM Gate valve</v>
          </cell>
        </row>
        <row r="214">
          <cell r="B214" t="str">
            <v>40mm dia GM Gate valve</v>
          </cell>
        </row>
        <row r="215">
          <cell r="B215" t="str">
            <v>50mm dia GM Gate valve</v>
          </cell>
        </row>
        <row r="216">
          <cell r="B216" t="str">
            <v>65mm dia GM Gate valve</v>
          </cell>
        </row>
        <row r="217">
          <cell r="B217" t="str">
            <v>80mm dia GM Gate valve</v>
          </cell>
        </row>
        <row r="218">
          <cell r="B218" t="str">
            <v>100mm dia GM Gate valve</v>
          </cell>
        </row>
        <row r="219">
          <cell r="B219" t="str">
            <v>GI Reduced Tees</v>
          </cell>
        </row>
        <row r="220">
          <cell r="B220" t="str">
            <v>50 x 50 x 25mm dia GI reduced Tee</v>
          </cell>
        </row>
        <row r="221">
          <cell r="B221" t="str">
            <v>65 x 65 x 50mm dia GI reduced Tee</v>
          </cell>
        </row>
        <row r="222">
          <cell r="B222" t="str">
            <v>80 x 80 x 50mm dia GI reduced Tee</v>
          </cell>
        </row>
        <row r="223">
          <cell r="B223" t="str">
            <v>80 x 80 x 65mm dia GI reduced Tee</v>
          </cell>
        </row>
        <row r="224">
          <cell r="B224" t="str">
            <v>100 x 100 x 80mm dia GI reduced Tee</v>
          </cell>
        </row>
        <row r="225">
          <cell r="B225" t="str">
            <v>125 x 125 x 100mm dia GI reduced Tee</v>
          </cell>
        </row>
        <row r="226">
          <cell r="B226" t="str">
            <v>GI Reducers</v>
          </cell>
        </row>
        <row r="227">
          <cell r="B227" t="str">
            <v>40 X 20mm dia GI Reducer</v>
          </cell>
        </row>
        <row r="228">
          <cell r="B228" t="str">
            <v>65 X 50mm dia GI Reducer</v>
          </cell>
        </row>
        <row r="229">
          <cell r="B229" t="str">
            <v>80 X 50mm dia GI Reducer</v>
          </cell>
        </row>
        <row r="230">
          <cell r="B230" t="str">
            <v>80 X 65mm dia GI Reducer</v>
          </cell>
        </row>
        <row r="231">
          <cell r="B231" t="str">
            <v>100 X 50mm dia GI Reducer</v>
          </cell>
        </row>
        <row r="232">
          <cell r="B232" t="str">
            <v>100 X 65mm dia GI Reducer</v>
          </cell>
        </row>
        <row r="233">
          <cell r="B233" t="str">
            <v>100 X 80mm dia GI Reducer</v>
          </cell>
        </row>
        <row r="234">
          <cell r="B234" t="str">
            <v>125 X 80mm dia GI Reducer</v>
          </cell>
        </row>
        <row r="235">
          <cell r="B235" t="str">
            <v>Others</v>
          </cell>
        </row>
        <row r="236">
          <cell r="B236" t="str">
            <v>C&amp; S of  900mm diaRCC rings</v>
          </cell>
        </row>
        <row r="237">
          <cell r="B237" t="str">
            <v>C&amp; S of  750mm diaRCC rings</v>
          </cell>
        </row>
        <row r="238">
          <cell r="B238" t="str">
            <v>C&amp; S of  750mm diaRCC rings</v>
          </cell>
        </row>
        <row r="239">
          <cell r="B239" t="str">
            <v>20mm dia GI Ferrule</v>
          </cell>
        </row>
        <row r="240">
          <cell r="B240" t="str">
            <v>20mm dia GI Waste not Tap</v>
          </cell>
        </row>
        <row r="241">
          <cell r="B241" t="str">
            <v>L/C for fixing of Public Taps</v>
          </cell>
        </row>
        <row r="242">
          <cell r="B242" t="str">
            <v>25 x 20mm dia GI Elbow</v>
          </cell>
        </row>
        <row r="243">
          <cell r="B243" t="str">
            <v>40 x 25mm dia GI reducer</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C Bill Covering Letter"/>
      <sheetName val="Cover"/>
      <sheetName val="Spicification Report "/>
      <sheetName val="Community Hall "/>
      <sheetName val="Sheet1"/>
      <sheetName val="Modal Estimate "/>
      <sheetName val="Elec Estimate"/>
      <sheetName val="Sanitory Estimate"/>
      <sheetName val="Septic tank"/>
      <sheetName val="Bore &amp; Pumpset"/>
      <sheetName val="Furniture "/>
      <sheetName val="20 TNs Detailed Est "/>
      <sheetName val="Bar Bending Schedule"/>
      <sheetName val="Flush Door  Shutter Country"/>
      <sheetName val=" Doors window- Country 2.0- 1.2"/>
      <sheetName val="Datas  Side wall "/>
      <sheetName val="Calculations"/>
      <sheetName val="Sheet2"/>
      <sheetName val="Lead"/>
      <sheetName val="Datas"/>
      <sheetName val="Ele data "/>
      <sheetName val="Sanitary&amp;water supply DATA "/>
      <sheetName val=" Doors window-Country Wood "/>
      <sheetName val=" Doors and windows "/>
      <sheetName val="Conveyance"/>
      <sheetName val="Sheet3"/>
      <sheetName val=" Doors window- Country  -2.0 m"/>
    </sheetNames>
    <sheetDataSet>
      <sheetData sheetId="0"/>
      <sheetData sheetId="1">
        <row r="63">
          <cell r="B63" t="str">
            <v>Asst.Exe.Engineer.PR</v>
          </cell>
        </row>
        <row r="131">
          <cell r="N131" t="str">
            <v>1st and Part</v>
          </cell>
        </row>
        <row r="132">
          <cell r="N132" t="str">
            <v>2nd and Part</v>
          </cell>
        </row>
        <row r="133">
          <cell r="N133" t="str">
            <v>3rd and Part</v>
          </cell>
        </row>
        <row r="134">
          <cell r="N134" t="str">
            <v>4th and Part</v>
          </cell>
        </row>
        <row r="135">
          <cell r="N135" t="str">
            <v>5th and Part</v>
          </cell>
        </row>
        <row r="136">
          <cell r="N136" t="str">
            <v>6th and Part</v>
          </cell>
        </row>
        <row r="137">
          <cell r="N137" t="str">
            <v>7th and Part</v>
          </cell>
        </row>
        <row r="138">
          <cell r="N138" t="str">
            <v>8th and Part</v>
          </cell>
        </row>
        <row r="139">
          <cell r="N139" t="str">
            <v>9th and Part</v>
          </cell>
        </row>
        <row r="140">
          <cell r="N140" t="str">
            <v>10th and Part</v>
          </cell>
        </row>
        <row r="141">
          <cell r="N141" t="str">
            <v>1st and Final</v>
          </cell>
        </row>
        <row r="142">
          <cell r="N142" t="str">
            <v>2nd and Final</v>
          </cell>
        </row>
        <row r="143">
          <cell r="N143" t="str">
            <v>3rd and Final</v>
          </cell>
        </row>
        <row r="144">
          <cell r="N144" t="str">
            <v>4th and Final</v>
          </cell>
        </row>
        <row r="145">
          <cell r="N145" t="str">
            <v>5th and Final</v>
          </cell>
        </row>
        <row r="146">
          <cell r="N146" t="str">
            <v>6th and Final</v>
          </cell>
        </row>
        <row r="147">
          <cell r="N147" t="str">
            <v>7th and Final</v>
          </cell>
        </row>
        <row r="148">
          <cell r="N148" t="str">
            <v>8th and Final</v>
          </cell>
        </row>
        <row r="149">
          <cell r="N149" t="str">
            <v>9th and Final</v>
          </cell>
        </row>
        <row r="150">
          <cell r="N150" t="str">
            <v>10th and Final</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85">
          <cell r="G285">
            <v>4825.32</v>
          </cell>
        </row>
      </sheetData>
      <sheetData sheetId="20">
        <row r="45">
          <cell r="D45" t="str">
            <v>Wiring with 2 runs of 14/0.3mm (1.0 Sq.mm) Fire Retardant (FR) P.V.C. insulated flexible copper cable (ISI MARK) in existing pipe with 6A switch, Ceiling rose and 3mm thick hylam sheet covering to switch control box including all labour charges etc., comp</v>
          </cell>
        </row>
      </sheetData>
      <sheetData sheetId="21"/>
      <sheetData sheetId="22">
        <row r="26">
          <cell r="C26" t="str">
            <v>Supply and fixing of  Salwood Door double shutter  fully panelled door of size 1.20 x 2.10M with frame made of well seasoned Sal Wood scantlings of size 100 x 75mm and shutter made of side rails 100mm X 32mm, top rail 100 mmX32 mm, bottom rail 100mmX 32 m</v>
          </cell>
        </row>
      </sheetData>
      <sheetData sheetId="23"/>
      <sheetData sheetId="24"/>
      <sheetData sheetId="25"/>
      <sheetData sheetId="26">
        <row r="98">
          <cell r="C98" t="str">
            <v>Supply and fixing of fully panelled  Window  frame and shutters of size 1.20 x 1.35 mt with country wood frame of size 75x100mm and S/F of 4 Nos. MS Hold fasts, incl. all labour charges such as making window frame and shutters and fiXing   10 Nos.of  12 m</v>
          </cell>
        </row>
      </sheetData>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CD-DATA"/>
      <sheetName val="F7-1v1000-0 (3)"/>
      <sheetName val="DATA"/>
      <sheetName val="F6-Estt"/>
      <sheetName val="ABST(PART B) "/>
      <sheetName val="F6-Gnrl Abstrt"/>
      <sheetName val="Cover-MEstt."/>
      <sheetName val="Road Detail Est."/>
      <sheetName val="Road data"/>
      <sheetName val="F7-1v1000-0_(3)"/>
      <sheetName val="ABST(PART_B)_"/>
      <sheetName val="F6-Gnrl_Abstrt"/>
      <sheetName val="Cover-MEstt_"/>
      <sheetName val="detls"/>
      <sheetName val="r"/>
      <sheetName val="Levels"/>
      <sheetName val="cert"/>
      <sheetName val="R_ad Detail Est."/>
      <sheetName val="F7-1v1000-0_(3)1"/>
      <sheetName val="ABST(PART_B)_1"/>
      <sheetName val="F6-Gnrl_Abstrt1"/>
      <sheetName val="Cover-MEstt_1"/>
      <sheetName val="Road_Detail_Est_"/>
      <sheetName val="Road_data"/>
      <sheetName val="rdamdata"/>
      <sheetName val="Specification"/>
      <sheetName val="pvc-pipe-rates"/>
      <sheetName val="leads"/>
      <sheetName val="lead-st"/>
      <sheetName val="_Yamanapalli to Mahamutharam (M"/>
      <sheetName val=" data sheet "/>
      <sheetName val="t_prsr"/>
      <sheetName val="wh"/>
      <sheetName val="int-Dia-pvc"/>
      <sheetName val="Input"/>
      <sheetName val="Plant &amp;  Machinery"/>
      <sheetName val="Rate"/>
      <sheetName val="PVC_dia"/>
      <sheetName val="RMR"/>
      <sheetName val="Material"/>
      <sheetName val="Labour"/>
      <sheetName val="sch"/>
      <sheetName val="ssr-rates"/>
      <sheetName val="0000000000000"/>
      <sheetName val="R_Det"/>
      <sheetName val="MRATES"/>
      <sheetName val="l"/>
      <sheetName val="Bitumen trunk"/>
      <sheetName val="Feeder"/>
      <sheetName val="R99 etc"/>
      <sheetName val="Trunk unpaved"/>
      <sheetName val="quarry"/>
      <sheetName val="maya"/>
      <sheetName val="LEAD STATEMENT"/>
      <sheetName val="m1"/>
      <sheetName val="1-Pop Proj"/>
      <sheetName val="1V of 2m slab"/>
      <sheetName val="2V of 3.0Mslab"/>
      <sheetName val="Cd"/>
      <sheetName val="Cs"/>
      <sheetName val="CPIPE"/>
      <sheetName val="THK"/>
      <sheetName val="CPIPE 1"/>
      <sheetName val="CABLE DATA"/>
      <sheetName val="coverpage"/>
      <sheetName val="temp-SDData (2)"/>
      <sheetName val="Sheet1"/>
      <sheetName val="BWSCPlt"/>
      <sheetName val="CI"/>
      <sheetName val="DI"/>
      <sheetName val="G.R.P"/>
      <sheetName val="HDPE"/>
      <sheetName val="PSC REVISED"/>
      <sheetName val="pvc"/>
      <sheetName val="DATA SHEET"/>
      <sheetName val="PVC weights"/>
      <sheetName val="sand"/>
      <sheetName val="stone"/>
      <sheetName val="index"/>
      <sheetName val="pvc-rates"/>
      <sheetName val="1V800"/>
      <sheetName val="Sheet2"/>
      <sheetName val="F7-1v1000-0_(3)2"/>
      <sheetName val="ABST(PART_B)_2"/>
      <sheetName val="F6-Gnrl_Abstrt2"/>
      <sheetName val="Cover-MEstt_2"/>
      <sheetName val="Road_Detail_Est_1"/>
      <sheetName val="Road_data1"/>
      <sheetName val="R_ad_Detail_Est_"/>
      <sheetName val="Plant_&amp;__Machinery"/>
      <sheetName val="F7-1v1000-0_(3)3"/>
      <sheetName val="ABST(PART_B)_3"/>
      <sheetName val="F6-Gnrl_Abstrt3"/>
      <sheetName val="Cover-MEstt_3"/>
      <sheetName val="Road_Detail_Est_2"/>
      <sheetName val="Road_data2"/>
      <sheetName val="R_ad_Detail_Est_1"/>
      <sheetName val="Plant_&amp;__Machinery1"/>
      <sheetName val="RECAPITULATION"/>
      <sheetName val="final abstract"/>
      <sheetName val="BOQ_Direct_selling cost"/>
      <sheetName val="Rate analysis"/>
      <sheetName val="R/ad Detail Est."/>
      <sheetName val="[Yamanapalli to Mahamutharam (M"/>
      <sheetName val="R/ad_Detail_Est_"/>
      <sheetName val="R/ad_Detail_Est_1"/>
      <sheetName val="_Yamanapalli_to_Mahamutharam__2"/>
      <sheetName val="Common "/>
      <sheetName val="Boq"/>
      <sheetName val="Line"/>
      <sheetName val="Data_Renuals"/>
      <sheetName val="v"/>
      <sheetName val="R_Det esst"/>
      <sheetName val="CD_All_No_"/>
      <sheetName val="GA"/>
      <sheetName val="m"/>
      <sheetName val="Rising Main"/>
      <sheetName val="COVER"/>
      <sheetName val="DATA_PRG"/>
      <sheetName val="LEAD.2014-15 West"/>
      <sheetName val="MTC-estimate"/>
      <sheetName val="_Yamanapalli_to_Mahamutharam__3"/>
      <sheetName val="Road-furniture "/>
      <sheetName val="Data.F8.BTR"/>
      <sheetName val="WORDS"/>
      <sheetName val="WATER-HAMMER"/>
      <sheetName val="hdpe weights"/>
      <sheetName val="Nspt-smp-final-ORIGINAL"/>
      <sheetName val="Cable-data"/>
      <sheetName val="Sorted"/>
      <sheetName val="water-hammar-strenght"/>
      <sheetName val="Estt"/>
      <sheetName val="Analy"/>
      <sheetName val="HDPE-pipe-rates"/>
      <sheetName val="id"/>
      <sheetName val="Lead Distance"/>
      <sheetName val="HS 1"/>
      <sheetName val="wh_data"/>
      <sheetName val="wh_data_R"/>
      <sheetName val="CPHEEO"/>
      <sheetName val="JAWAHAR-hyd-original"/>
      <sheetName val="LEAD (2)"/>
      <sheetName val="mas_hab"/>
      <sheetName val="habs-details"/>
      <sheetName val="int-Dia"/>
      <sheetName val="habs-list"/>
      <sheetName val="BOXCELL"/>
      <sheetName val="BOXCULVERT"/>
      <sheetName val="Cut Fill"/>
      <sheetName val="FORM5"/>
      <sheetName val="Habitation"/>
      <sheetName val="Maintenance"/>
      <sheetName val="Proforma B"/>
      <sheetName val="RET "/>
      <sheetName val="TOE"/>
      <sheetName val="Traffic"/>
      <sheetName val="hdpe_basic"/>
      <sheetName val="pvc_basic"/>
      <sheetName val="Gen Abs"/>
      <sheetName val="other rates"/>
      <sheetName val="DATA-CD"/>
      <sheetName val="C-data"/>
      <sheetName val="mlead"/>
      <sheetName val="abs road"/>
      <sheetName val="_Yamanapalli_to_Mahamutharam__4"/>
      <sheetName val="_Yamanapalli_to_Mahamutharam__5"/>
      <sheetName val="_Yamanapalli_to_Mahamutharam__6"/>
      <sheetName val="Iocount"/>
      <sheetName val="GROUND FLOOR"/>
      <sheetName val="Usage"/>
      <sheetName val="Staff Acco."/>
      <sheetName val="well-cap"/>
      <sheetName val="p&amp;m"/>
      <sheetName val="Specification report"/>
      <sheetName val="_Yamanapalli_to_Mahamutharam__7"/>
      <sheetName val="_Yamanapalli_to_Mahamutharam__8"/>
      <sheetName val="pop"/>
      <sheetName val="MRoad data"/>
      <sheetName val="Data "/>
      <sheetName val="PM&amp;GM"/>
      <sheetName val="abs"/>
      <sheetName val="CBL_SIZE"/>
      <sheetName val="Load List"/>
      <sheetName val="CBL_OD"/>
      <sheetName val="_Yamanapalli_to_Mahamutharam__9"/>
      <sheetName val="_Yamanapalli_to_Mahamutharam_10"/>
      <sheetName val="_Yamanapalli_to_Mahamutharam_11"/>
      <sheetName val="Analysis-NH-Roads"/>
      <sheetName val="TBAL9697 -group wise  sdpl"/>
      <sheetName val="_Yamanapalli_to_Mahamutharam_12"/>
      <sheetName val="_Yamanapalli_to_Mahamutharam_13"/>
      <sheetName val="_Yamanapalli_to_Mahamutharam_14"/>
      <sheetName val="Lead statement ss5"/>
      <sheetName val="_Yamanapalli_to_Mahamutharam_15"/>
      <sheetName val="_Yamanapalli_to_Mahamutharam_16"/>
      <sheetName val="_Yamanapalli_to_Mahamutharam_17"/>
      <sheetName val="_Yamanapalli_to_Mahamutharam_18"/>
      <sheetName val="_Yamanapalli_to_Mahamutharam_19"/>
      <sheetName val="_Yamanapalli_to_Mahamutharam_20"/>
      <sheetName val="data existing_do not delete"/>
      <sheetName val="_Yamanapalli_to_Mahamutharam_21"/>
      <sheetName val="_Yamanapalli_to_Mahamutharam_22"/>
      <sheetName val="_Yamanapalli_to_Mahamutharam_23"/>
      <sheetName val="_Yamanapalli_to_Mahamutharam_24"/>
      <sheetName val="_Yamanapalli_to_Mahamutharam_25"/>
      <sheetName val="_Yamanapalli_to_Mahamutharam_26"/>
      <sheetName val="_Yamanapalli_to_Mahamutharam_27"/>
      <sheetName val="_Yamanapalli_to_Mahamutharam_28"/>
      <sheetName val="_Yamanapalli_to_Mahamutharam_29"/>
      <sheetName val="_Yamanapalli_to_Mahamutharam_30"/>
      <sheetName val="_Yamanapalli_to_Mahamutharam_31"/>
      <sheetName val="_Yamanapalli_to_Mahamutharam_32"/>
      <sheetName val="_Yamanapalli_to_Mahamutharam_33"/>
      <sheetName val="_Yamanapalli_to_Mahamutharam_34"/>
      <sheetName val="_Yamanapalli_to_Mahamutharam_35"/>
      <sheetName val="_Yamanapalli_to_Mahamutharam_36"/>
      <sheetName val="_Yamanapalli_to_Mahamutharam_37"/>
      <sheetName val="_Yamanapalli_to_Mahamutharam_38"/>
      <sheetName val="_Yamanapalli_to_Mahamutharam_39"/>
      <sheetName val="_Yamanapalli_to_Mahamutharam_40"/>
      <sheetName val="_Yamanapalli_to_Mahamutharam_41"/>
      <sheetName val="_Yamanapalli_to_Mahamutharam_42"/>
      <sheetName val="_Yamanapalli_to_Mahamutharam_43"/>
      <sheetName val="_Yamanapalli_to_Mahamutharam_44"/>
      <sheetName val="_Yamanapalli_to_Mahamutharam_45"/>
      <sheetName val="_Yamanapalli_to_Mahamutharam_46"/>
      <sheetName val="_Yamanapalli_to_Mahamutharam_47"/>
      <sheetName val="_Yamanapalli_to_Mahamutharam_48"/>
      <sheetName val="_Yamanapalli_to_Mahamutharam_49"/>
      <sheetName val="_Yamanapalli_to_Mahamutharam_50"/>
      <sheetName val="_Yamanapalli_to_Mahamutharam_51"/>
      <sheetName val="_Yamanapalli_to_Mahamutharam_52"/>
      <sheetName val="_Yamanapalli_to_Mahamutharam_53"/>
      <sheetName val="_Yamanapalli_to_Mahamutharam_54"/>
      <sheetName val="_Yamanapalli_to_Mahamutharam_55"/>
      <sheetName val="_Yamanapalli_to_Mahamutharam_56"/>
      <sheetName val="_Yamanapalli_to_Mahamutharam_57"/>
      <sheetName val="_Yamanapalli_to_Mahamutharam_58"/>
      <sheetName val="_Yamanapalli_to_Mahamutharam_59"/>
      <sheetName val="_Yamanapalli_to_Mahamutharam_60"/>
      <sheetName val="_Yamanapalli_to_Mahamutharam_61"/>
      <sheetName val="_Yamanapalli_to_Mahamutharam_62"/>
      <sheetName val="_Yamanapalli_to_Mahamutharam_63"/>
      <sheetName val="_Yamanapalli_to_Mahamutharam_64"/>
      <sheetName val="_Yamanapalli_to_Mahamutharam_65"/>
      <sheetName val="_Yamanapalli_to_Mahamutharam_66"/>
      <sheetName val="_Yamanapalli_to_Mahamutharam_67"/>
      <sheetName val="_Yamanapalli_to_Mahamutharam_68"/>
      <sheetName val="_Yamanapalli_to_Mahamutharam_69"/>
      <sheetName val="_Yamanapalli_to_Mahamutharam_70"/>
      <sheetName val="_Yamanapalli_to_Mahamutharam_71"/>
      <sheetName val="_Yamanapalli_to_Mahamutharam_72"/>
      <sheetName val="_Yamanapalli_to_Mahamutharam_73"/>
      <sheetName val="_Yamanapalli_to_Mahamutharam_74"/>
      <sheetName val="_Yamanapalli_to_Mahamutharam_75"/>
      <sheetName val="_Yamanapalli_to_Mahamutharam_76"/>
      <sheetName val="_Yamanapalli_to_Mahamutharam_77"/>
      <sheetName val="C&amp;S monthwise"/>
      <sheetName val="General"/>
      <sheetName val="Lead 09-10"/>
      <sheetName val="PUMP_DATA"/>
      <sheetName val="Sheet1 (2)"/>
      <sheetName val="ewst"/>
      <sheetName val="int-Dia-hdpe"/>
      <sheetName val="11.habitations"/>
      <sheetName val="AV-HDPE"/>
      <sheetName val="Di_gate-HDPE"/>
      <sheetName val="AV_AC"/>
      <sheetName val="di_Gate_AC"/>
      <sheetName val="Digate-BWSCP-MS"/>
      <sheetName val="DI_gate_di"/>
      <sheetName val="DATA-BASE"/>
      <sheetName val="DATA-ABSTRACT"/>
      <sheetName val="nodes"/>
      <sheetName val="Data-ELSR"/>
      <sheetName val="_Yamanapalli_to_Mahamutharam_78"/>
      <sheetName val="_Yamanapalli_to_Mahamutharam_79"/>
      <sheetName val="_Yamanapalli_to_Mahamutharam_80"/>
      <sheetName val="_Yamanapalli_to_Mahamutharam_81"/>
      <sheetName val="_Yamanapalli_to_Mahamutharam_82"/>
      <sheetName val="_Yamanapalli_to_Mahamutharam_83"/>
      <sheetName val="_Yamanapalli_to_Mahamutharam_84"/>
      <sheetName val="_Yamanapalli_to_Mahamutharam_85"/>
      <sheetName val="_Yamanapalli_to_Mahamutharam_86"/>
      <sheetName val="_Yamanapalli_to_Mahamutharam_87"/>
      <sheetName val="_Yamanapalli_to_Mahamutharam_88"/>
      <sheetName val="_Yamanapalli_to_Mahamutharam_89"/>
      <sheetName val="_Yamanapalli_to_Mahamutharam_90"/>
      <sheetName val="_Yamanapalli_to_Mahamutharam_91"/>
      <sheetName val="_Yamanapalli_to_Mahamutharam_92"/>
      <sheetName val="_Yamanapalli_to_Mahamutharam_93"/>
      <sheetName val="_Yamanapalli_to_Mahamutharam_94"/>
      <sheetName val="_Yamanapalli_to_Mahamutharam_95"/>
      <sheetName val="_Yamanapalli_to_Mahamutharam_96"/>
      <sheetName val="_Yamanapalli_to_Mahamutharam_97"/>
      <sheetName val="_Yamanapalli_to_Mahamutharam_98"/>
      <sheetName val="_Yamanapalli_to_Mahamutharam_99"/>
      <sheetName val="_Yamanapalli_to_Mahamuthara_100"/>
      <sheetName val="_Yamanapalli_to_Mahamuthara_101"/>
      <sheetName val="_Yamanapalli_to_Mahamuthara_102"/>
      <sheetName val="_Yamanapalli_to_Mahamuthara_103"/>
      <sheetName val="_Yamanapalli_to_Mahamuthara_104"/>
      <sheetName val="_Yamanapalli_to_Mahamuthara_105"/>
      <sheetName val="_Yamanapalli_to_Mahamuthara_106"/>
      <sheetName val="_Yamanapalli_to_Mahamuthara_107"/>
      <sheetName val="_Yamanapalli_to_Mahamuthara_108"/>
      <sheetName val="_Yamanapalli_to_Mahamuthara_109"/>
      <sheetName val="_Yamanapalli_to_Mahamuthara_110"/>
      <sheetName val="_Yamanapalli_to_Mahamuthara_111"/>
      <sheetName val="_Yamanapalli_to_Mahamuthara_112"/>
      <sheetName val="_Yamanapalli_to_Mahamuthara_113"/>
      <sheetName val="_Yamanapalli_to_Mahamuthara_114"/>
      <sheetName val="_Yamanapalli_to_Mahamuthara_115"/>
      <sheetName val="_Yamanapalli_to_Mahamuthara_116"/>
      <sheetName val="_Yamanapalli_to_Mahamuthara_117"/>
      <sheetName val="_Yamanapalli_to_Mahamuthara_118"/>
      <sheetName val="_Yamanapalli_to_Mahamuthara_119"/>
      <sheetName val="_Yamanapalli_to_Mahamuthara_120"/>
      <sheetName val="_Yamanapalli_to_Mahamuthara_121"/>
      <sheetName val="_Yamanapalli_to_Mahamuthara_122"/>
      <sheetName val="_Yamanapalli_to_Mahamuthara_123"/>
      <sheetName val="_Yamanapalli_to_Mahamuthara_124"/>
      <sheetName val="_Yamanapalli_to_Mahamuthara_125"/>
      <sheetName val="_Yamanapalli_to_Mahamuthara_126"/>
      <sheetName val="_Yamanapalli_to_Mahamuthara_127"/>
      <sheetName val="_Yamanapalli_to_Mahamuthara_128"/>
      <sheetName val="_Yamanapalli_to_Mahamuthara_129"/>
      <sheetName val="_Yamanapalli_to_Mahamuthara_130"/>
      <sheetName val="_Yamanapalli_to_Mahamuthara_131"/>
      <sheetName val="_Yamanapalli_to_Mahamuthara_132"/>
      <sheetName val="_Yamanapalli_to_Mahamuthara_133"/>
      <sheetName val="_Yamanapalli_to_Mahamuthara_134"/>
      <sheetName val="_Yamanapalli_to_Mahamuthara_135"/>
      <sheetName val="_Yamanapalli_to_Mahamuthara_136"/>
      <sheetName val="_Yamanapalli_to_Mahamuthara_137"/>
      <sheetName val="_Yamanapalli_to_Mahamuthara_138"/>
      <sheetName val="_Yamanapalli_to_Mahamuthara_139"/>
      <sheetName val="_Yamanapalli_to_Mahamuthara_140"/>
      <sheetName val="_Yamanapalli_to_Mahamuthara_141"/>
      <sheetName val="_Yamanapalli_to_Mahamuthara_142"/>
      <sheetName val="_Yamanapalli_to_Mahamuthara_143"/>
      <sheetName val="_Yamanapalli_to_Mahamuthara_144"/>
      <sheetName val="_Yamanapalli_to_Mahamuthara_145"/>
      <sheetName val="_Yamanapalli_to_Mahamuthara_146"/>
      <sheetName val="_Yamanapalli_to_Mahamuthara_147"/>
      <sheetName val="_Yamanapalli_to_Mahamuthara_148"/>
      <sheetName val="_Yamanapalli_to_Mahamuthara_149"/>
      <sheetName val="_Yamanapalli_to_Mahamuthara_150"/>
      <sheetName val="_Yamanapalli_to_Mahamuthara_151"/>
      <sheetName val="_Yamanapalli_to_Mahamuthara_152"/>
      <sheetName val="_Yamanapalli_to_Mahamuthara_153"/>
      <sheetName val="_Yamanapalli_to_Mahamuthara_154"/>
      <sheetName val="_Yamanapalli_to_Mahamuthara_155"/>
      <sheetName val="_Yamanapalli_to_Mahamuthara_156"/>
      <sheetName val="_Yamanapalli_to_Mahamuthara_157"/>
      <sheetName val="_Yamanapalli_to_Mahamuthara_158"/>
      <sheetName val="_Yamanapalli_to_Mahamuthara_159"/>
      <sheetName val="_Yamanapalli_to_Mahamuthara_160"/>
      <sheetName val="_Yamanapalli_to_Mahamuthara_161"/>
      <sheetName val="lead charges"/>
      <sheetName val="Basic Data"/>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sheetData sheetId="113"/>
      <sheetData sheetId="114"/>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1000000000000"/>
      <sheetName val="certificates"/>
      <sheetName val="coverpage"/>
      <sheetName val="Spn report"/>
      <sheetName val="Sheet5"/>
      <sheetName val="BTR"/>
      <sheetName val="RMR"/>
      <sheetName val="Sheet2"/>
      <sheetName val="Sheet1"/>
      <sheetName val="Road data"/>
      <sheetName val="Lead"/>
      <sheetName val="r"/>
      <sheetName val="Rates"/>
      <sheetName val="detls"/>
    </sheetNames>
    <sheetDataSet>
      <sheetData sheetId="0" refreshError="1"/>
      <sheetData sheetId="1" refreshError="1"/>
      <sheetData sheetId="2" refreshError="1"/>
      <sheetData sheetId="3" refreshError="1">
        <row r="27">
          <cell r="E27" t="str">
            <v>Khammam</v>
          </cell>
        </row>
      </sheetData>
      <sheetData sheetId="4" refreshError="1"/>
      <sheetData sheetId="5" refreshError="1"/>
      <sheetData sheetId="6" refreshError="1"/>
      <sheetData sheetId="7" refreshError="1"/>
      <sheetData sheetId="8" refreshError="1"/>
      <sheetData sheetId="9" refreshError="1"/>
      <sheetData sheetId="10" refreshError="1">
        <row r="42">
          <cell r="J42">
            <v>131</v>
          </cell>
        </row>
        <row r="71">
          <cell r="J71">
            <v>916</v>
          </cell>
        </row>
        <row r="99">
          <cell r="J99">
            <v>1014</v>
          </cell>
        </row>
        <row r="126">
          <cell r="J126">
            <v>1125</v>
          </cell>
        </row>
        <row r="158">
          <cell r="J158">
            <v>25.5</v>
          </cell>
        </row>
        <row r="183">
          <cell r="J183">
            <v>4.8</v>
          </cell>
        </row>
        <row r="222">
          <cell r="J222">
            <v>4546</v>
          </cell>
        </row>
        <row r="240">
          <cell r="J240">
            <v>233</v>
          </cell>
        </row>
        <row r="251">
          <cell r="J251">
            <v>41.8</v>
          </cell>
        </row>
        <row r="301">
          <cell r="J301">
            <v>2002</v>
          </cell>
        </row>
        <row r="311">
          <cell r="J311">
            <v>1895</v>
          </cell>
        </row>
        <row r="376">
          <cell r="J376">
            <v>356</v>
          </cell>
        </row>
        <row r="408">
          <cell r="J408">
            <v>2696</v>
          </cell>
        </row>
        <row r="440">
          <cell r="J440">
            <v>3184</v>
          </cell>
        </row>
        <row r="594">
          <cell r="J594">
            <v>4305</v>
          </cell>
        </row>
        <row r="624">
          <cell r="J624">
            <v>4707</v>
          </cell>
        </row>
        <row r="653">
          <cell r="J653">
            <v>3173</v>
          </cell>
        </row>
        <row r="700">
          <cell r="J700">
            <v>33820</v>
          </cell>
        </row>
        <row r="733">
          <cell r="J733">
            <v>66</v>
          </cell>
        </row>
      </sheetData>
      <sheetData sheetId="11" refreshError="1"/>
      <sheetData sheetId="12" refreshError="1"/>
      <sheetData sheetId="13" refreshError="1"/>
      <sheetData sheetId="14"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PAGE"/>
      <sheetName val="ABS"/>
      <sheetName val="sp"/>
      <sheetName val="CR_Main bldg (2)"/>
      <sheetName val="detailed dt18.6.2010 (2)"/>
      <sheetName val="cover-page"/>
      <sheetName val="Modi_Generic"/>
      <sheetName val="Cover"/>
      <sheetName val="Generic "/>
      <sheetName val="Spicification Report "/>
      <sheetName val="Lead"/>
      <sheetName val="Datas"/>
      <sheetName val="Ele data"/>
      <sheetName val="san data"/>
      <sheetName val="L"/>
      <sheetName val="PUMP_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36">
          <cell r="H36">
            <v>224</v>
          </cell>
        </row>
        <row r="37">
          <cell r="H37">
            <v>206</v>
          </cell>
        </row>
        <row r="38">
          <cell r="H38">
            <v>170</v>
          </cell>
        </row>
        <row r="41">
          <cell r="H41">
            <v>4.5999999999999996</v>
          </cell>
        </row>
      </sheetData>
      <sheetData sheetId="11" refreshError="1"/>
      <sheetData sheetId="12" refreshError="1"/>
      <sheetData sheetId="13" refreshError="1"/>
      <sheetData sheetId="14" refreshError="1"/>
      <sheetData sheetId="15"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DATA"/>
      <sheetName val="CD"/>
      <sheetName val="CD_All_No_"/>
      <sheetName val="v"/>
      <sheetName val="r"/>
      <sheetName val="PUMP_DATA"/>
      <sheetName val="coverpage"/>
      <sheetName val="Road data"/>
      <sheetName val="LEAD S 10-11"/>
      <sheetName val="maya"/>
      <sheetName val="Material"/>
      <sheetName val="Plant &amp;  Machinery"/>
      <sheetName val="Buildings"/>
      <sheetName val="segments-details"/>
      <sheetName val="int-Dia-hdpe"/>
      <sheetName val="habs-list"/>
      <sheetName val="int-Dia-pvc"/>
      <sheetName val="abs road"/>
      <sheetName val="R_Det"/>
      <sheetName val="PH data"/>
      <sheetName val="BWSCPlt"/>
      <sheetName val="CI"/>
      <sheetName val="DI"/>
      <sheetName val="G.R.P"/>
      <sheetName val="HDPE"/>
      <sheetName val="PSC REVISED"/>
      <sheetName val="pvc"/>
      <sheetName val="RMR"/>
      <sheetName val="Data o"/>
      <sheetName val=" data sheet "/>
      <sheetName val="ABS"/>
      <sheetName val="Data_Base"/>
      <sheetName val="Intro"/>
      <sheetName val="data existing_do not delete"/>
      <sheetName val="MRATES"/>
      <sheetName val="Lead statement"/>
      <sheetName val="rdamdata"/>
      <sheetName val="Rates"/>
      <sheetName val="lead charges"/>
      <sheetName val="Main sheet"/>
      <sheetName val="Main"/>
      <sheetName val="ESTIMATE"/>
      <sheetName val="Lead statement ss5"/>
      <sheetName val="leads"/>
      <sheetName val="Work_sheet"/>
      <sheetName val="CD_Data"/>
      <sheetName val="DATA SHEET FOR 2012 - 13"/>
      <sheetName val="DATA SHEET"/>
      <sheetName val="Detailed"/>
      <sheetName val="Levels"/>
      <sheetName val="CPHEEO"/>
      <sheetName val="wh_data_R"/>
      <sheetName val="0000000000000"/>
      <sheetName val="mlead"/>
      <sheetName val="12"/>
      <sheetName val="2A"/>
      <sheetName val="2B"/>
      <sheetName val="2C"/>
      <sheetName val="2D"/>
      <sheetName val="2E"/>
      <sheetName val="2F"/>
      <sheetName val="2G"/>
      <sheetName val="2H"/>
      <sheetName val="3A"/>
      <sheetName val="3B"/>
      <sheetName val="4"/>
      <sheetName val="7A"/>
      <sheetName val="7B"/>
      <sheetName val="8A"/>
      <sheetName val="8B"/>
      <sheetName val="9A"/>
      <sheetName val="9B"/>
      <sheetName val="9C"/>
      <sheetName val="9D"/>
      <sheetName val="9E"/>
      <sheetName val="9F"/>
      <sheetName val="9G"/>
      <sheetName val="9H"/>
      <sheetName val="9I"/>
      <sheetName val="9J"/>
      <sheetName val="9K"/>
      <sheetName val="DATA-BASE"/>
      <sheetName val="DATA-ABSTRACT"/>
      <sheetName val="hdpe_basic"/>
      <sheetName val="pvc_basic"/>
      <sheetName val="Basic Data"/>
      <sheetName val="C-data"/>
      <sheetName val="m"/>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gramme "/>
      <sheetName val="LEAD  CHART 2013-14"/>
      <sheetName val="ABSRACT "/>
      <sheetName val="SPECIFICATION REPORT"/>
      <sheetName val="Sheet2"/>
      <sheetName val="SEIGNROAGE CHARGES  "/>
      <sheetName val="ESTIMATE "/>
      <sheetName val="LEAD CHART ( 2013 - 14 )"/>
      <sheetName val="data"/>
      <sheetName val="DATA SHEET FOR 2012 - 13"/>
      <sheetName val=" DOOR DATA SHEET  2012-13"/>
      <sheetName val="WORK EXECUTIVE MEMBER"/>
      <sheetName val="Nomination Covering Letter "/>
      <sheetName val="Nomination Proposals"/>
      <sheetName val="MEMORANDAM"/>
      <sheetName val="AGREEMENT"/>
      <sheetName val=" SCHEDULE"/>
      <sheetName val="Tender Schedule "/>
      <sheetName val="SUPPLEMENTARY AGREEMENT "/>
      <sheetName val="DD Covering Letter "/>
      <sheetName val="Estimate Covering Letter "/>
      <sheetName val="Workdone Specification Report "/>
      <sheetName val="WORKDONE ESTIMATE"/>
      <sheetName val="COMPARATIVE STATEMENT "/>
      <sheetName val="COMPLITION REPORT "/>
      <sheetName val="CC BILLS"/>
      <sheetName val="CC BILLS COVERING LETTER"/>
      <sheetName val="MP MEMORANDAM"/>
      <sheetName val="MP Agreement "/>
      <sheetName val="CERTIFICATE"/>
      <sheetName val="MOVEMENT SLIP "/>
      <sheetName val="LUMP SUM CONTRACTOR "/>
      <sheetName val="PART- LUMP SUM CONTRACTOR"/>
      <sheetName val="LINE SPECIFICATION REPORT"/>
      <sheetName val="LINE ESTIMATE"/>
      <sheetName val="Sheet1"/>
      <sheetName val="Le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gramme "/>
      <sheetName val="SSR 2015-16"/>
      <sheetName val="ABSRACT "/>
      <sheetName val="LEAD  CHART 2015-16"/>
      <sheetName val="COVERPAGE"/>
      <sheetName val="SPECIFICATION REPORT"/>
      <sheetName val="ESTIMATE "/>
      <sheetName val="WORK EXECUTIVE MEMBER"/>
      <sheetName val="Building  Input Data Sheet"/>
      <sheetName val="ESTIMATE 10.00"/>
      <sheetName val="COMPARATIVE STATEMENT "/>
      <sheetName val="SEIGNROAGE CHARGES  "/>
      <sheetName val="LEAD CHART ( 2015-16)"/>
      <sheetName val="DATA SHEET FOR 2015-16"/>
      <sheetName val=" DOOR DATA SHEET  2015-16"/>
      <sheetName val="Nomination Covering Letter "/>
      <sheetName val="NOMINATION PROCEEDINGS"/>
      <sheetName val="Nomination Proposals"/>
      <sheetName val="MEMORANDAM"/>
      <sheetName val="AGREEMENT"/>
      <sheetName val=" SCHEDULE"/>
      <sheetName val="Tender Schedule "/>
      <sheetName val="SUPPLEMENTARY AGREEMENT "/>
      <sheetName val="DD Covering Letter "/>
      <sheetName val="Estimate Covering Letter "/>
      <sheetName val="Workdone Specification Report "/>
      <sheetName val="WORKDONE ESTIMATE"/>
      <sheetName val="COMPLITION REPORT "/>
      <sheetName val="CC BILLS"/>
      <sheetName val="CC BILLS COVERING LETTER"/>
      <sheetName val="FINAL BILL CERTIFICATE"/>
      <sheetName val="PART BILL CERTIFICATE "/>
      <sheetName val="MOVEMENT SLIP "/>
      <sheetName val="LUMP SUM CONTRACTOR "/>
      <sheetName val="PART- LUMP SUM CONTRACTOR"/>
      <sheetName val="LINE SPECIFICATION REPORT"/>
      <sheetName val="LINE ESTIMATE"/>
      <sheetName val="Sheet1"/>
      <sheetName val="Sheet2"/>
      <sheetName val="Sheet3"/>
      <sheetName val="LEAD S 10-11"/>
      <sheetName val="DATA SHEET FOR 2012 - 13"/>
    </sheetNames>
    <sheetDataSet>
      <sheetData sheetId="0"/>
      <sheetData sheetId="1" refreshError="1">
        <row r="173">
          <cell r="F173">
            <v>459.3</v>
          </cell>
        </row>
        <row r="233">
          <cell r="F233">
            <v>162.6</v>
          </cell>
        </row>
        <row r="5217">
          <cell r="B5217" t="str">
            <v>80 mm dia</v>
          </cell>
        </row>
        <row r="5218">
          <cell r="B5218" t="str">
            <v>100 mm dia</v>
          </cell>
        </row>
        <row r="5219">
          <cell r="B5219" t="str">
            <v>150 mm dia</v>
          </cell>
        </row>
        <row r="5220">
          <cell r="B5220" t="str">
            <v>200 mm dia</v>
          </cell>
        </row>
        <row r="5221">
          <cell r="B5221" t="str">
            <v>225 mm dia</v>
          </cell>
        </row>
        <row r="5222">
          <cell r="B5222" t="str">
            <v>250 mm dia</v>
          </cell>
        </row>
        <row r="5223">
          <cell r="B5223" t="str">
            <v>300 mm dia</v>
          </cell>
        </row>
        <row r="5224">
          <cell r="B5224" t="str">
            <v>350 mm dia</v>
          </cell>
        </row>
        <row r="5225">
          <cell r="B5225" t="str">
            <v>400 mm dia</v>
          </cell>
        </row>
        <row r="5226">
          <cell r="B5226" t="str">
            <v>450 mm dia</v>
          </cell>
        </row>
        <row r="5227">
          <cell r="B5227" t="str">
            <v>500 mm dia</v>
          </cell>
        </row>
        <row r="5228">
          <cell r="B5228" t="str">
            <v>600 mm dia</v>
          </cell>
        </row>
        <row r="5229">
          <cell r="B5229" t="str">
            <v>700 mm dia</v>
          </cell>
        </row>
        <row r="5230">
          <cell r="B5230" t="str">
            <v>800 mm dia</v>
          </cell>
        </row>
        <row r="5231">
          <cell r="B5231" t="str">
            <v>900 mm dia</v>
          </cell>
        </row>
        <row r="5232">
          <cell r="B5232" t="str">
            <v>1000 mm dia</v>
          </cell>
        </row>
        <row r="5233">
          <cell r="B5233" t="str">
            <v>1100 mm dia</v>
          </cell>
        </row>
        <row r="5234">
          <cell r="B5234" t="str">
            <v>1200 mm dia</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efreshError="1"/>
      <sheetData sheetId="41"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User-Instructions"/>
      <sheetName val="INPUT-SHEET"/>
      <sheetName val="COVER"/>
      <sheetName val="SPR"/>
      <sheetName val="TRAFF-Count-ESAL-Cal"/>
      <sheetName val="SP-72 DESIGN"/>
      <sheetName val="SP-72-CHART"/>
      <sheetName val="Gen Abs"/>
      <sheetName val="Det esti"/>
      <sheetName val="CD Abs"/>
      <sheetName val="Road-furniture"/>
      <sheetName val="MTC-ABS"/>
      <sheetName val="MTC-estimate"/>
      <sheetName val="LEAD"/>
      <sheetName val="Data-Road "/>
      <sheetName val="DATA-CD"/>
      <sheetName val="Road Furniture-Data"/>
      <sheetName val="Mtc-data"/>
      <sheetName val="1v_600_PC"/>
      <sheetName val="1v_900_PC"/>
      <sheetName val="1v_1000_PC"/>
      <sheetName val="2v_600_PC"/>
      <sheetName val="2v_900_PC"/>
      <sheetName val="2v_1000_PC"/>
      <sheetName val="sc_1v_2m"/>
      <sheetName val="sc_1v_3m"/>
      <sheetName val="sc_2v_3m"/>
      <sheetName val="sc_2v_5m"/>
      <sheetName val="RD"/>
      <sheetName val="3v_600_RDVENTS"/>
      <sheetName val="CC_WC"/>
      <sheetName val="Retaining-wall"/>
      <sheetName val="Drains"/>
      <sheetName val="Seig_Cal"/>
      <sheetName val="Schedule-A"/>
      <sheetName val="temp-ws"/>
      <sheetName val="other rates"/>
      <sheetName val="Hire"/>
      <sheetName val="Conv"/>
      <sheetName val="NP3 pipes"/>
      <sheetName val="NP3 collars"/>
      <sheetName val="MTC-Table"/>
      <sheetName val="Cd-qty-ws"/>
    </sheetNames>
    <sheetDataSet>
      <sheetData sheetId="0"/>
      <sheetData sheetId="1"/>
      <sheetData sheetId="2"/>
      <sheetData sheetId="3"/>
      <sheetData sheetId="4"/>
      <sheetData sheetId="5"/>
      <sheetData sheetId="6"/>
      <sheetData sheetId="7"/>
      <sheetData sheetId="8"/>
      <sheetData sheetId="9">
        <row r="5">
          <cell r="D5">
            <v>135</v>
          </cell>
        </row>
      </sheetData>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04-05"/>
      <sheetName val="Lead"/>
      <sheetName val="sub-data "/>
      <sheetName val="Data.F8.BTR"/>
      <sheetName val="F6-Estt"/>
      <sheetName val="sub estt"/>
      <sheetName val="Labour"/>
      <sheetName val="Machinery"/>
      <sheetName val="Sheet1"/>
      <sheetName val="Data_F8_BTR"/>
      <sheetName val="lead-st"/>
      <sheetName val="rdamdata"/>
      <sheetName val="Cover-MEstt_"/>
      <sheetName val="ABST(PART_B)_"/>
      <sheetName val="F6-Gnrl_Abstrt"/>
      <sheetName val="sub-data_"/>
      <sheetName val="sub_estt"/>
      <sheetName val="Work_sheet"/>
      <sheetName val="r"/>
      <sheetName val="Common "/>
      <sheetName val="Cover-MEstt_1"/>
      <sheetName val="ABST(PART_B)_1"/>
      <sheetName val="F6-Gnrl_Abstrt1"/>
      <sheetName val="sub-data_1"/>
      <sheetName val="Data_F8_BTR1"/>
      <sheetName val="sub_estt1"/>
      <sheetName val="Common_"/>
      <sheetName val="Material"/>
      <sheetName val="Plant &amp;  Machinery"/>
      <sheetName val="Lead statement ss5"/>
      <sheetName val="MRATES"/>
      <sheetName val="PUMP_DATA"/>
      <sheetName val="DATA_PRG"/>
      <sheetName val="m"/>
      <sheetName val="Lead statement"/>
      <sheetName val="F6-Est4"/>
      <sheetName val="segments-details"/>
      <sheetName val="int-Dia-hdpe"/>
      <sheetName val="habs-list"/>
      <sheetName val="int-Dia-pvc"/>
      <sheetName val="CI"/>
      <sheetName val="DI"/>
      <sheetName val="G.R.P"/>
      <sheetName val="HDPE"/>
      <sheetName val="PSC REVISED"/>
      <sheetName val="pvc"/>
      <sheetName val="nodes"/>
      <sheetName val="int-Dia"/>
      <sheetName val="JAWAHAR-hyd-original"/>
      <sheetName val="coverpage"/>
      <sheetName val="Road data"/>
      <sheetName val="BWSCPlt"/>
      <sheetName val="maya"/>
      <sheetName val="leads"/>
      <sheetName val="v"/>
      <sheetName val="LS"/>
      <sheetName val="DATA"/>
      <sheetName val="mlead"/>
      <sheetName val="abs road"/>
      <sheetName val="R_Det"/>
      <sheetName val="Works"/>
      <sheetName val="RMR"/>
      <sheetName val="General"/>
      <sheetName val="t_prsr"/>
      <sheetName val="id"/>
      <sheetName val="wh_data"/>
      <sheetName val="wh_data_R"/>
      <sheetName val="CPHEEO"/>
      <sheetName val="input"/>
      <sheetName val="Class IV Qtr. Ele"/>
      <sheetName val="Levels"/>
      <sheetName val="GROUND FLOOR"/>
      <sheetName val="DATA_ENTRY"/>
      <sheetName val="sub-dapa "/>
      <sheetName val="Plant 㫨  Machinery"/>
      <sheetName val="Bitumen trunk"/>
      <sheetName val="Feeder"/>
      <sheetName val="R99 etc"/>
      <sheetName val="Trunk unpaved"/>
      <sheetName val="Cover"/>
      <sheetName val="Rate"/>
      <sheetName val="PM&amp;GM"/>
      <sheetName val="AV-PVC"/>
      <sheetName val="DI gate-DI"/>
      <sheetName val="DIgate_PVC "/>
      <sheetName val="sg-clay(d)"/>
      <sheetName val="DATA-BASE"/>
      <sheetName val="DATA-ABSTRACT"/>
      <sheetName val="SUMP1420KL@HW"/>
      <sheetName val="Sheet2"/>
      <sheetName val="CPI"/>
      <sheetName val="WPI C"/>
      <sheetName val="WPI all"/>
      <sheetName val="WPI HM"/>
      <sheetName val="WPI S"/>
      <sheetName val="Bridge Data 2005-06"/>
      <sheetName val="SPT vs PHI"/>
      <sheetName val="SSR 2015-16"/>
      <sheetName val="DATA SHEET FOR 2012 - 13"/>
      <sheetName val="Main sheet"/>
      <sheetName val="Rates"/>
      <sheetName val="Sheet9"/>
      <sheetName val="Data 07-08 "/>
      <sheetName val="ABS"/>
      <sheetName val="Nspt-smp-final-ORIGINAL"/>
      <sheetName val="Sorted"/>
      <sheetName val="ESTIMATE"/>
      <sheetName val="Avenue Plantation "/>
      <sheetName val="farmyard"/>
      <sheetName val="In put soft"/>
      <sheetName val="softscape data "/>
      <sheetName val="est input"/>
      <sheetName val="C-data  2)"/>
      <sheetName val="conveyance "/>
      <sheetName val="Civil SoR"/>
      <sheetName val="WS SoR "/>
      <sheetName val="C-data  for sub est"/>
      <sheetName val="Chain link mesh "/>
      <sheetName val="MS Grill CW"/>
      <sheetName val=" SS Gate (2)"/>
      <sheetName val=" Barbed wire (2)"/>
      <sheetName val="Genera Abstract Estimate "/>
      <sheetName val="Joinery"/>
      <sheetName val="WS Data"/>
      <sheetName val="Entrance Arch ( H )"/>
      <sheetName val="Entrance Arch ( CH )"/>
      <sheetName val="Soft Scape"/>
      <sheetName val="1.Hard Scape "/>
      <sheetName val="2"/>
      <sheetName val="Sliding Gate"/>
      <sheetName val="Boundary Wall"/>
      <sheetName val="Toilet 5X3m"/>
      <sheetName val="Shower Area 4X1.5m"/>
      <sheetName val="Cremains Room 5X5m"/>
      <sheetName val="Office Room 6X6m"/>
      <sheetName val="Security Room 3X3m"/>
      <sheetName val="Store Room 6X5.7m"/>
      <sheetName val="Mortury 6X6m"/>
      <sheetName val="Pre Ritual Area 8X8m"/>
      <sheetName val="Post Ritual Area 6X5m"/>
      <sheetName val="Electric Crematorioum 15X15m"/>
      <sheetName val="Conventional Crematorium6.2X5.2"/>
      <sheetName val="Office cum Security Room 7X4m"/>
      <sheetName val="Chain link mesh fencing "/>
      <sheetName val="Data-ELSR"/>
      <sheetName val="zone-8"/>
      <sheetName val="MHNO_LEV"/>
      <sheetName val=" Data -Valves"/>
      <sheetName val="Specification"/>
      <sheetName val="Cover-MEstt_2"/>
      <sheetName val="ABST(PART_B)_2"/>
      <sheetName val="F6-Gnrl_Abstrt2"/>
      <sheetName val="sub-data_2"/>
      <sheetName val="Data_F8_BTR2"/>
      <sheetName val="sub_estt2"/>
      <sheetName val="Common_1"/>
      <sheetName val="Lead_statement_ss5"/>
      <sheetName val="G_R_P"/>
      <sheetName val="PSC_REVISED"/>
      <sheetName val="Plant_&amp;__Machinery"/>
      <sheetName val="Cover-MEstt_3"/>
      <sheetName val="ABST(PART_B)_3"/>
      <sheetName val="F6-Gnrl_Abstrt3"/>
      <sheetName val="sub-data_3"/>
      <sheetName val="Data_F8_BTR3"/>
      <sheetName val="sub_estt3"/>
      <sheetName val="Common_2"/>
      <sheetName val="Lead_statement_ss51"/>
      <sheetName val="G_R_P1"/>
      <sheetName val="PSC_REVISED1"/>
      <sheetName val="Plant_&amp;__Machinery1"/>
      <sheetName val="hdpe_basic"/>
      <sheetName val="pvc_basic"/>
      <sheetName val="Mortars"/>
      <sheetName val="bundqty"/>
      <sheetName val="gen"/>
      <sheetName val="Lead_statement"/>
      <sheetName val="Road_data"/>
      <sheetName val="abs_road"/>
      <sheetName val="Class_IV_Qtr__Ele"/>
      <sheetName val="m1"/>
      <sheetName val="hdpe weights"/>
      <sheetName val="data existing_do not delete"/>
      <sheetName val="Rd.Est"/>
      <sheetName val="1V800"/>
      <sheetName val="Data rough"/>
      <sheetName val="Lead Distance"/>
      <sheetName val="Boq"/>
      <sheetName val="TBAL9697 -group wise  sdpl"/>
      <sheetName val="Process"/>
      <sheetName val="Specification report"/>
      <sheetName val="MRoad data"/>
      <sheetName val="habs-details"/>
      <sheetName val="hab-details"/>
      <sheetName val="detls"/>
      <sheetName val="WATER-HAMMER"/>
      <sheetName val="20kL-design-final"/>
      <sheetName val="wh"/>
      <sheetName val="co_5"/>
      <sheetName val="hdpe-rates"/>
      <sheetName val="pvc-rates"/>
      <sheetName val="AV-HDPE"/>
      <sheetName val="Di_gate-HDPE"/>
      <sheetName val="AV-BWSC&amp;MS"/>
      <sheetName val="AV_AC"/>
      <sheetName val="di_Gate_AC"/>
      <sheetName val="Digate-BWSCP-MS"/>
      <sheetName val="DI_gate_di"/>
      <sheetName val="LEAD (2)"/>
      <sheetName val="water-hammar-strenght"/>
      <sheetName val="FORM7"/>
      <sheetName val="LOCAL RATES"/>
      <sheetName val="TOP SLAB-beams"/>
      <sheetName val="PVC weights"/>
      <sheetName val="index"/>
      <sheetName val="Global factors"/>
      <sheetName val="Z1_DATA"/>
      <sheetName val="BM-HOOP"/>
      <sheetName val="Iocount"/>
      <sheetName val="ewst"/>
      <sheetName val="INPUT-DATA"/>
      <sheetName val="DL CAL"/>
      <sheetName val="SSR 2014-15 Rates"/>
      <sheetName val="Flanged Beams"/>
      <sheetName val="Rectangular Beam"/>
      <sheetName val="not req 3"/>
      <sheetName val="ultmom"/>
      <sheetName val="dlvoid"/>
      <sheetName val="final abstract"/>
      <sheetName val="Valves"/>
      <sheetName val="MS Rates"/>
      <sheetName val="detail'02"/>
      <sheetName val="Detail In Door Stad"/>
      <sheetName val="_5wgdhabfinal00_01"/>
      <sheetName val="Elect."/>
      <sheetName val="l"/>
      <sheetName val="Data well"/>
      <sheetName val="DATA SHEET FOR 2014-15"/>
      <sheetName val="other rates"/>
      <sheetName val="p&amp;m"/>
      <sheetName val="Convey"/>
      <sheetName val="C.D.Abs.Est."/>
      <sheetName val="crop water req.(Kh)  "/>
      <sheetName val="Bund"/>
      <sheetName val="SSR 2010-11 Rates"/>
      <sheetName val="Formulas"/>
      <sheetName val="SITE OVERHEADS"/>
      <sheetName val="BALAN1"/>
      <sheetName val="BTR"/>
      <sheetName val="Line"/>
      <sheetName val="conc-foot-gradeslab"/>
      <sheetName val="ssr-rates"/>
      <sheetName val="1-Pop Proj"/>
      <sheetName val="sand"/>
      <sheetName val="stone"/>
      <sheetName val="Hyd_Stmt"/>
      <sheetName val="pop"/>
      <sheetName val="C-data"/>
      <sheetName val="data-WC"/>
      <sheetName val="SSR 2016-17"/>
      <sheetName val="Sheet3"/>
      <sheetName val="MTC-estimate"/>
      <sheetName val="Gen Abs"/>
      <sheetName val="DATA-CD"/>
      <sheetName val="Quarry"/>
      <sheetName val="CRUST"/>
      <sheetName val="QDTS"/>
      <sheetName val="nandipet intra"/>
      <sheetName val="AV-DI"/>
      <sheetName val="scour-DI-CI"/>
      <sheetName val="scour-pvc-hdpe-psc-bwsc"/>
      <sheetName val="Bill_amt_qty_cc_1"/>
      <sheetName val="dump"/>
      <sheetName val="BS8007"/>
      <sheetName val="D2_CO"/>
      <sheetName val="Habcodes"/>
      <sheetName val="#REF"/>
      <sheetName val="checked"/>
      <sheetName val="Detailed"/>
      <sheetName val="Road_data1"/>
      <sheetName val="abs_road1"/>
      <sheetName val="Class_IV_Qtr__Ele1"/>
      <sheetName val="Lead_statement1"/>
      <sheetName val="GROUND_FLOOR"/>
      <sheetName val="Bridge_Data_2005-06"/>
      <sheetName val="Data_07-08_"/>
      <sheetName val="DI_gate-DI"/>
      <sheetName val="DIgate_PVC_"/>
      <sheetName val="Bitumen_trunk"/>
      <sheetName val="R99_etc"/>
      <sheetName val="Trunk_unpaved"/>
      <sheetName val="sub-dapa_"/>
      <sheetName val="Plant_㫨__Machinery"/>
      <sheetName val="Avenue_Plantation_"/>
      <sheetName val="In_put_soft"/>
      <sheetName val="softscape_data_"/>
      <sheetName val="est_input"/>
      <sheetName val="C-data__2)"/>
      <sheetName val="conveyance_"/>
      <sheetName val="Civil_SoR"/>
      <sheetName val="WS_SoR_"/>
      <sheetName val="C-data__for_sub_est"/>
      <sheetName val="Chain_link_mesh_"/>
      <sheetName val="MS_Grill_CW"/>
      <sheetName val="_SS_Gate_(2)"/>
      <sheetName val="_Barbed_wire_(2)"/>
      <sheetName val="Genera_Abstract_Estimate_"/>
      <sheetName val="WS_Data"/>
      <sheetName val="Entrance_Arch_(_H_)"/>
      <sheetName val="Entrance_Arch_(_CH_)"/>
      <sheetName val="Soft_Scape"/>
      <sheetName val="1_Hard_Scape_"/>
      <sheetName val="Sliding_Gate"/>
      <sheetName val="Boundary_Wall"/>
      <sheetName val="Toilet_5X3m"/>
      <sheetName val="Shower_Area_4X1_5m"/>
      <sheetName val="Cremains_Room_5X5m"/>
      <sheetName val="Office_Room_6X6m"/>
      <sheetName val="Security_Room_3X3m"/>
      <sheetName val="Store_Room_6X5_7m"/>
      <sheetName val="Mortury_6X6m"/>
      <sheetName val="Pre_Ritual_Area_8X8m"/>
      <sheetName val="Post_Ritual_Area_6X5m"/>
      <sheetName val="Electric_Crematorioum_15X15m"/>
      <sheetName val="Conventional_Crematorium6_2X5_2"/>
      <sheetName val="Office_cum_Security_Room_7X4m"/>
      <sheetName val="Chain_link_mesh_fencing_"/>
      <sheetName val="SPT_vs_PHI"/>
      <sheetName val="WPI_C"/>
      <sheetName val="WPI_all"/>
      <sheetName val="WPI_HM"/>
      <sheetName val="WPI_S"/>
      <sheetName val="SSR_2015-16"/>
      <sheetName val="DATA_SHEET_FOR_2012_-_13"/>
      <sheetName val="Main_sheet"/>
      <sheetName val="_Data_-Valves"/>
      <sheetName val="Relig-place"/>
      <sheetName val="basdat"/>
      <sheetName val="Data-2010-11"/>
      <sheetName val="foundation(V)"/>
      <sheetName val="Main"/>
      <sheetName val="TCS_Schedule (2)"/>
      <sheetName val="137-140"/>
      <sheetName val="141-142"/>
      <sheetName val="ElectricalSSR"/>
      <sheetName val="Earthwork MCW"/>
      <sheetName val="TCS Proposed"/>
      <sheetName val="Road data-TDR"/>
      <sheetName val="factors"/>
      <sheetName val="sup dat"/>
      <sheetName val="PLAN_FEB97"/>
      <sheetName val="MRMECADAMoad data"/>
      <sheetName val="Road Detail Est."/>
      <sheetName val="1000000000000"/>
      <sheetName val="Drains Est"/>
      <sheetName val=" DOOR DATA SHEET  2016-17"/>
      <sheetName val="Abs_CD_2"/>
      <sheetName val="road est"/>
      <sheetName val="ECV"/>
      <sheetName val="PVC_dia"/>
      <sheetName val="0000000000000"/>
      <sheetName val="Structure Bills Qty"/>
      <sheetName val="Watersoft (2)"/>
      <sheetName val="Chapter 4"/>
      <sheetName val="LEAD S 10-11"/>
      <sheetName val="Staff Acco."/>
      <sheetName val="WPI CM"/>
      <sheetName val="Aug,02"/>
      <sheetName val="GM&amp;PM WE1 EST"/>
      <sheetName val="BWSCP"/>
      <sheetName val="CC Road"/>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dpc cost"/>
      <sheetName val="SUMMERY"/>
      <sheetName val="Census_of_India_2001"/>
      <sheetName val="Admin"/>
      <sheetName val="FACE"/>
      <sheetName val="PH data"/>
      <sheetName val="HYDRAULICS"/>
      <sheetName val="Check List"/>
      <sheetName val="Recovery"/>
      <sheetName val="rate analysis "/>
      <sheetName val="(4)F-81 Exp.side"/>
      <sheetName val="Designs"/>
      <sheetName val="BASE_ALL"/>
      <sheetName val="WTP-Pr"/>
      <sheetName val="Data base"/>
      <sheetName val="Av.G Level"/>
      <sheetName val="E6"/>
      <sheetName val="E8"/>
      <sheetName val="E11"/>
      <sheetName val="QUOT_1"/>
      <sheetName val="STAMT"/>
      <sheetName val="JACKWELL"/>
      <sheetName val="tab1&amp;2"/>
      <sheetName val="Form_E6"/>
      <sheetName val="LLEGADA"/>
      <sheetName val="N- Ward Codes"/>
      <sheetName val="NEW "/>
      <sheetName val="LABOUR RATE"/>
      <sheetName val="Material Rate"/>
      <sheetName val="Pier Design(with offset)"/>
      <sheetName val="HDPE-pipe-rates"/>
      <sheetName val="pvc-pipe-rates"/>
      <sheetName val="EDWise"/>
      <sheetName val="1"/>
      <sheetName val="3"/>
      <sheetName val="4"/>
      <sheetName val="dist dump"/>
      <sheetName val="New33KVSS_E3"/>
      <sheetName val="Prop aug of Ex 33KVSS_E3a"/>
      <sheetName val="agl-pump-sets"/>
      <sheetName val="EG"/>
      <sheetName val="pump-sets(AI)"/>
      <sheetName val="per-capita"/>
      <sheetName val="towns&amp;villages"/>
      <sheetName val="Addl.40"/>
      <sheetName val="bricks"/>
      <sheetName val="Table 4"/>
      <sheetName val="Table 5"/>
      <sheetName val="Table 2"/>
      <sheetName val="Table 27"/>
      <sheetName val="Bill-12"/>
      <sheetName val="Mp-team 1"/>
      <sheetName val="Bed Class"/>
      <sheetName val="Cd"/>
      <sheetName val="ww-march-02"/>
      <sheetName val="Data_Base"/>
      <sheetName val="Bed Fall"/>
      <sheetName val="Title"/>
      <sheetName val="Ventway Calculations"/>
      <sheetName val="temp-SDData (2)"/>
      <sheetName val="dBase"/>
      <sheetName val="inWords"/>
      <sheetName val="DCI-STR"/>
      <sheetName val="Elc.data-20-21"/>
      <sheetName val="C-Mat"/>
      <sheetName val="labour &amp; Hire-20-21"/>
      <sheetName val="Electrical SSR 2020-21"/>
      <sheetName val="abst"/>
      <sheetName val="design"/>
      <sheetName val="Summary- Flyovers"/>
      <sheetName val="mtc esti"/>
      <sheetName val="cert"/>
      <sheetName val="labour rates"/>
      <sheetName val="Schedule"/>
      <sheetName val="office"/>
      <sheetName val="Lab"/>
      <sheetName val="Material&amp;equipment"/>
      <sheetName val="Data-2011-12"/>
      <sheetName val="SPECS"/>
      <sheetName val="Meas.-Hotel Part"/>
      <sheetName val="Usage "/>
      <sheetName val="Usage"/>
      <sheetName val="Lead  RATES"/>
      <sheetName val="COLUMN"/>
      <sheetName val="upa"/>
      <sheetName val="GF SB Ok "/>
      <sheetName val="Cover-MEstt_4"/>
      <sheetName val="ABST(PART_B)_4"/>
      <sheetName val="F6-Gnrl_Abstrt4"/>
      <sheetName val="sub-data_4"/>
      <sheetName val="Data_F8_BTR4"/>
      <sheetName val="sub_estt4"/>
      <sheetName val="Common_3"/>
      <sheetName val="Plant_&amp;__Machinery2"/>
      <sheetName val="Lead_statement_ss52"/>
      <sheetName val="Lead_statement2"/>
      <sheetName val="Road_data2"/>
      <sheetName val="abs_road2"/>
      <sheetName val="Class_IV_Qtr__Ele2"/>
      <sheetName val="GROUND_FLOOR1"/>
      <sheetName val="G_R_P2"/>
      <sheetName val="PSC_REVISED2"/>
      <sheetName val="Avenue_Plantation_1"/>
      <sheetName val="In_put_soft1"/>
      <sheetName val="softscape_data_1"/>
      <sheetName val="est_input1"/>
      <sheetName val="C-data__2)1"/>
      <sheetName val="conveyance_1"/>
      <sheetName val="Civil_SoR1"/>
      <sheetName val="WS_SoR_1"/>
      <sheetName val="C-data__for_sub_est1"/>
      <sheetName val="Chain_link_mesh_1"/>
      <sheetName val="MS_Grill_CW1"/>
      <sheetName val="_SS_Gate_(2)1"/>
      <sheetName val="_Barbed_wire_(2)1"/>
      <sheetName val="Genera_Abstract_Estimate_1"/>
      <sheetName val="WS_Data1"/>
      <sheetName val="Entrance_Arch_(_H_)1"/>
      <sheetName val="Entrance_Arch_(_CH_)1"/>
      <sheetName val="Soft_Scape1"/>
      <sheetName val="1_Hard_Scape_1"/>
      <sheetName val="Sliding_Gate1"/>
      <sheetName val="Boundary_Wall1"/>
      <sheetName val="Toilet_5X3m1"/>
      <sheetName val="Shower_Area_4X1_5m1"/>
      <sheetName val="Cremains_Room_5X5m1"/>
      <sheetName val="Office_Room_6X6m1"/>
      <sheetName val="Security_Room_3X3m1"/>
      <sheetName val="Store_Room_6X5_7m1"/>
      <sheetName val="Mortury_6X6m1"/>
      <sheetName val="Pre_Ritual_Area_8X8m1"/>
      <sheetName val="Post_Ritual_Area_6X5m1"/>
      <sheetName val="Electric_Crematorioum_15X15m1"/>
      <sheetName val="Conventional_Crematorium6_2X5_1"/>
      <sheetName val="Office_cum_Security_Room_7X4m1"/>
      <sheetName val="Chain_link_mesh_fencing_1"/>
      <sheetName val="Bridge_Data_2005-061"/>
      <sheetName val="DI_gate-DI1"/>
      <sheetName val="DIgate_PVC_1"/>
      <sheetName val="Bitumen_trunk1"/>
      <sheetName val="R99_etc1"/>
      <sheetName val="Trunk_unpaved1"/>
      <sheetName val="sub-dapa_1"/>
      <sheetName val="Plant_㫨__Machinery1"/>
      <sheetName val="Data_07-08_1"/>
      <sheetName val="SSR_2015-161"/>
      <sheetName val="DATA_SHEET_FOR_2012_-_131"/>
      <sheetName val="Main_sheet1"/>
      <sheetName val="_Data_-Valves1"/>
      <sheetName val="SPT_vs_PHI1"/>
      <sheetName val="WPI_C1"/>
      <sheetName val="WPI_all1"/>
      <sheetName val="WPI_HM1"/>
      <sheetName val="WPI_S1"/>
      <sheetName val="DL_CAL"/>
      <sheetName val="Specification_report"/>
      <sheetName val="SSR_2014-15_Rates"/>
      <sheetName val="Flanged_Beams"/>
      <sheetName val="Rectangular_Beam"/>
      <sheetName val="not_req_3"/>
      <sheetName val="final_abstract"/>
      <sheetName val="TBAL9697_-group_wise__sdpl"/>
      <sheetName val="Data_rough"/>
      <sheetName val="Lead_Distance"/>
      <sheetName val="MS_Rates"/>
      <sheetName val="LEAD_(2)"/>
      <sheetName val="LOCAL_RATES"/>
      <sheetName val="TOP_SLAB-beams"/>
      <sheetName val="hdpe_weights"/>
      <sheetName val="data_existing_do_not_delete"/>
      <sheetName val="PVC_weights"/>
      <sheetName val="Global_factors"/>
      <sheetName val="Rd_Est"/>
      <sheetName val="MRoad_data"/>
      <sheetName val="crop_water_req_(Kh)__"/>
      <sheetName val="Detail_In_Door_Stad"/>
      <sheetName val="1-Pop_Proj"/>
      <sheetName val="Elect_"/>
      <sheetName val="nandipet_intra"/>
      <sheetName val="C_D_Abs_Est_"/>
      <sheetName val="SSR_2010-11_Rates"/>
      <sheetName val="Data_well"/>
      <sheetName val="other_rates"/>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refreshError="1"/>
      <sheetData sheetId="148" refreshError="1"/>
      <sheetData sheetId="149"/>
      <sheetData sheetId="150" refreshError="1"/>
      <sheetData sheetId="151" refreshError="1"/>
      <sheetData sheetId="152"/>
      <sheetData sheetId="153"/>
      <sheetData sheetId="154"/>
      <sheetData sheetId="155"/>
      <sheetData sheetId="156"/>
      <sheetData sheetId="157"/>
      <sheetData sheetId="158"/>
      <sheetData sheetId="159"/>
      <sheetData sheetId="160" refreshError="1"/>
      <sheetData sheetId="161" refreshError="1"/>
      <sheetData sheetId="162"/>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sheetData sheetId="179"/>
      <sheetData sheetId="180"/>
      <sheetData sheetId="181"/>
      <sheetData sheetId="182"/>
      <sheetData sheetId="183" refreshError="1"/>
      <sheetData sheetId="184" refreshError="1"/>
      <sheetData sheetId="185" refreshError="1"/>
      <sheetData sheetId="186"/>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
      <sheetName val="m1"/>
      <sheetName val="est"/>
      <sheetName val="she"/>
      <sheetName val="m4"/>
      <sheetName val="Lead statement ss5"/>
      <sheetName val="rdamdata"/>
      <sheetName val="lead-st"/>
      <sheetName val="SSR 2015-16"/>
      <sheetName val="Data.F8.BTR"/>
      <sheetName val="maya"/>
      <sheetName val="LEADS"/>
    </sheetNames>
    <sheetDataSet>
      <sheetData sheetId="0" refreshError="1">
        <row r="2">
          <cell r="A2" t="str">
            <v>Name of work: BT to road from Chennavaram to Mallavaram (via) Vutukuru.</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FORMAS"/>
      <sheetName val="CHECK-SLIP"/>
      <sheetName val="DESIGN NORMS"/>
      <sheetName val="DESIGN CALUCULATIONS"/>
      <sheetName val="ABSTRACT-DESIGN CALUCULATIONS"/>
      <sheetName val="GRAVITY MAIN"/>
      <sheetName val="PUMPING MAIN"/>
      <sheetName val="PUMP SETS DESIGN"/>
      <sheetName val="GENERAL-ABSTRACT"/>
      <sheetName val="COMPONENTS"/>
      <sheetName val="DATA-ABSTRACT"/>
      <sheetName val="SSR(Buildings)"/>
      <sheetName val="SSR(PH)"/>
      <sheetName val="SSR(I&amp;CAD)"/>
      <sheetName val="PVC-Rates"/>
      <sheetName val="Labour charges"/>
      <sheetName val="Labour charges(detl)"/>
      <sheetName val="LEAD STATEMENT"/>
      <sheetName val="OHSR(Detail)"/>
      <sheetName val="DUMMY_EST"/>
      <sheetName val="DATA-LIST"/>
      <sheetName val="DATA SHEET"/>
      <sheetName val="DATA OHSR"/>
      <sheetName val="DATA AC PIPES"/>
      <sheetName val="DATA PVC PIPES"/>
      <sheetName val="BORE WELL"/>
      <sheetName val="SS TANK(HOMO)"/>
      <sheetName val="SS FILTERS"/>
      <sheetName val="SS TANK(HET)"/>
      <sheetName val="SS FILTERS(SQM)"/>
      <sheetName val="OHSR"/>
      <sheetName val="TRANSMISSION MAINS"/>
      <sheetName val="PUMP SETS"/>
      <sheetName val="WEIR CHAMBER"/>
      <sheetName val="PUMP HOUSE"/>
      <sheetName val="PUMP HOUSE(SQM)"/>
      <sheetName val="CW SUMP"/>
      <sheetName val="RWW_PH"/>
      <sheetName val="RAW WATER WELL"/>
      <sheetName val="VALVE PIT"/>
      <sheetName val="FLOW-DIAGRAM"/>
      <sheetName val="DATA-BASE"/>
      <sheetName val="TRANS.MAINS.LEVELS"/>
      <sheetName val="SSF(INT.CONS)"/>
      <sheetName val="DATA_ABSTRACT"/>
      <sheetName val="DATA_BASE"/>
      <sheetName val="Labour"/>
      <sheetName val="Material"/>
      <sheetName val="Plant &amp;  Machinery"/>
      <sheetName val="m"/>
      <sheetName val="Data.F8.BTR"/>
      <sheetName val="DESIGN_NORMS"/>
      <sheetName val="DESIGN_CALUCULATIONS"/>
      <sheetName val="ABSTRACT-DESIGN_CALUCULATIONS"/>
      <sheetName val="GRAVITY_MAIN"/>
      <sheetName val="PUMPING_MAIN"/>
      <sheetName val="PUMP_SETS_DESIGN"/>
      <sheetName val="Labour_charges"/>
      <sheetName val="Labour_charges(detl)"/>
      <sheetName val="LEAD_STATEMENT"/>
      <sheetName val="DATA_SHEET"/>
      <sheetName val="DATA_OHSR"/>
      <sheetName val="DATA_AC_PIPES"/>
      <sheetName val="DATA_PVC_PIPES"/>
      <sheetName val="BORE_WELL"/>
      <sheetName val="SS_TANK(HOMO)"/>
      <sheetName val="SS_FILTERS"/>
      <sheetName val="SS_TANK(HET)"/>
      <sheetName val="SS_FILTERS(SQM)"/>
      <sheetName val="TRANSMISSION_MAINS"/>
      <sheetName val="PUMP_SETS"/>
      <sheetName val="WEIR_CHAMBER"/>
      <sheetName val="PUMP_HOUSE"/>
      <sheetName val="PUMP_HOUSE(SQM)"/>
      <sheetName val="CW_SUMP"/>
      <sheetName val="RAW_WATER_WELL"/>
      <sheetName val="VALVE_PIT"/>
      <sheetName val="TRANS_MAINS_LEVELS"/>
      <sheetName val="SSF(INT_CONS)"/>
      <sheetName val="DESIGN_NORMS1"/>
      <sheetName val="DESIGN_CALUCULATIONS1"/>
      <sheetName val="ABSTRACT-DESIGN_CALUCULATIONS1"/>
      <sheetName val="GRAVITY_MAIN1"/>
      <sheetName val="PUMPING_MAIN1"/>
      <sheetName val="PUMP_SETS_DESIGN1"/>
      <sheetName val="Labour_charges1"/>
      <sheetName val="Labour_charges(detl)1"/>
      <sheetName val="LEAD_STATEMENT1"/>
      <sheetName val="DATA_SHEET1"/>
      <sheetName val="DATA_OHSR1"/>
      <sheetName val="DATA_AC_PIPES1"/>
      <sheetName val="DATA_PVC_PIPES1"/>
      <sheetName val="BORE_WELL1"/>
      <sheetName val="SS_TANK(HOMO)1"/>
      <sheetName val="SS_FILTERS1"/>
      <sheetName val="SS_TANK(HET)1"/>
      <sheetName val="SS_FILTERS(SQM)1"/>
      <sheetName val="TRANSMISSION_MAINS1"/>
      <sheetName val="PUMP_SETS1"/>
      <sheetName val="WEIR_CHAMBER1"/>
      <sheetName val="PUMP_HOUSE1"/>
      <sheetName val="PUMP_HOUSE(SQM)1"/>
      <sheetName val="CW_SUMP1"/>
      <sheetName val="RAW_WATER_WELL1"/>
      <sheetName val="VALVE_PIT1"/>
      <sheetName val="TRANS_MAINS_LEVELS1"/>
      <sheetName val="SSF(INT_CONS)1"/>
      <sheetName val="Common "/>
      <sheetName val="DESIGN_NORMS2"/>
      <sheetName val="DESIGN_CALUCULATIONS2"/>
      <sheetName val="ABSTRACT-DESIGN_CALUCULATIONS2"/>
      <sheetName val="GRAVITY_MAIN2"/>
      <sheetName val="PUMPING_MAIN2"/>
      <sheetName val="PUMP_SETS_DESIGN2"/>
      <sheetName val="Labour_charges2"/>
      <sheetName val="Labour_charges(detl)2"/>
      <sheetName val="LEAD_STATEMENT2"/>
      <sheetName val="DATA_SHEET2"/>
      <sheetName val="DATA_OHSR2"/>
      <sheetName val="DATA_AC_PIPES2"/>
      <sheetName val="DATA_PVC_PIPES2"/>
      <sheetName val="BORE_WELL2"/>
      <sheetName val="SS_TANK(HOMO)2"/>
      <sheetName val="SS_FILTERS2"/>
      <sheetName val="SS_TANK(HET)2"/>
      <sheetName val="SS_FILTERS(SQM)2"/>
      <sheetName val="TRANSMISSION_MAINS2"/>
      <sheetName val="PUMP_SETS2"/>
      <sheetName val="WEIR_CHAMBER2"/>
      <sheetName val="PUMP_HOUSE2"/>
      <sheetName val="PUMP_HOUSE(SQM)2"/>
      <sheetName val="CW_SUMP2"/>
      <sheetName val="RAW_WATER_WELL2"/>
      <sheetName val="VALVE_PIT2"/>
      <sheetName val="TRANS_MAINS_LEVELS2"/>
      <sheetName val="SSF(INT_CONS)2"/>
      <sheetName val="Plant_&amp;__Machinery"/>
      <sheetName val="Common_"/>
      <sheetName val="Data_F8_BTR"/>
      <sheetName val="Sheet3"/>
      <sheetName val="AV-HDPE"/>
      <sheetName val="Di_gate-HDPE"/>
      <sheetName val="Sheet1"/>
      <sheetName val="BWSCPlt"/>
      <sheetName val="CI"/>
      <sheetName val="DI"/>
      <sheetName val="G.R.P"/>
      <sheetName val="HDPE"/>
      <sheetName val="PSC REVISED"/>
      <sheetName val="pvc"/>
      <sheetName val="Bitumen trunk"/>
      <sheetName val="Feeder"/>
      <sheetName val="R99 etc"/>
      <sheetName val="Trunk unpaved"/>
      <sheetName val="segments-details"/>
      <sheetName val="int-Dia-hdpe"/>
      <sheetName val="habs-list"/>
      <sheetName val="Plant_&amp;__Machi.ery"/>
      <sheetName val="DATA_PRG"/>
      <sheetName val="PUMP_DATA"/>
      <sheetName val="r"/>
      <sheetName val="Lead"/>
      <sheetName val="nodes"/>
      <sheetName val="v"/>
      <sheetName val="pop"/>
      <sheetName val="ssr-rates"/>
      <sheetName val="Class IV Qtr. Ele"/>
      <sheetName val="data"/>
      <sheetName val="leads"/>
      <sheetName val="rdamdata"/>
      <sheetName val="int-Dia"/>
      <sheetName val="JAWAHAR-hyd-original"/>
      <sheetName val="Rate"/>
      <sheetName val="Work_sheet"/>
      <sheetName val="Bridge Data 2005-06"/>
      <sheetName val="GF SB Ok "/>
      <sheetName val="lead-st"/>
      <sheetName val="sup dat"/>
      <sheetName val="Sheet2"/>
      <sheetName val="MRATES"/>
      <sheetName val="pvc_basic"/>
      <sheetName val="SSR(I㫨CAD)"/>
      <sheetName val="Plant 㫨  Machinery"/>
      <sheetName val="Plant_㫨__Machinery"/>
      <sheetName val="Plant_㫨__Machi.ery"/>
      <sheetName val="0000000000000"/>
      <sheetName val="cert"/>
      <sheetName val="data existing_do not delete"/>
      <sheetName val="DATA_ENTRY"/>
      <sheetName val="maya"/>
      <sheetName val="RAFT"/>
      <sheetName val="scour depth"/>
      <sheetName val="SUMP1420KL@HW"/>
      <sheetName val="Lead statement ss5"/>
      <sheetName val="CS "/>
      <sheetName val="八幡"/>
      <sheetName val="Civil Boq"/>
      <sheetName val="THK"/>
      <sheetName val="sg-clay(d)"/>
      <sheetName val="Usage"/>
      <sheetName val="General"/>
      <sheetName val="DISCOUNT"/>
      <sheetName val="box-12"/>
      <sheetName val="DATAS"/>
      <sheetName val="SR"/>
      <sheetName val="bom"/>
      <sheetName val="Abs"/>
      <sheetName val="Rates"/>
      <sheetName val="Road data"/>
      <sheetName val="RMR"/>
      <sheetName val="CPI"/>
      <sheetName val="WPI C"/>
      <sheetName val="WPI all"/>
      <sheetName val="WPI CM"/>
      <sheetName val="WPI S"/>
      <sheetName val="SSR 2015-16"/>
      <sheetName val="t_prsr"/>
      <sheetName val="id"/>
      <sheetName val="wh"/>
      <sheetName val="DATA SHEET FOR 2012 - 13"/>
      <sheetName val="l"/>
      <sheetName val="_5wgdhabfinal00_01"/>
      <sheetName val="hdpe_basic"/>
      <sheetName val="1V800"/>
      <sheetName val="zone-8"/>
      <sheetName val="MHNO_LEV"/>
      <sheetName val="Main sheet"/>
      <sheetName val="bundqty"/>
      <sheetName val="Estimate copy"/>
      <sheetName val="coverpage"/>
      <sheetName val="VALVE_PITU"/>
      <sheetName val="int-Dia-pvc"/>
      <sheetName val="Cover"/>
      <sheetName val="Data-ELSR"/>
      <sheetName val="Analy_7-10"/>
      <sheetName val="stone"/>
      <sheetName val="Relig-place"/>
      <sheetName val="Specification"/>
      <sheetName val="BM-HOOP"/>
      <sheetName val="CPIPE"/>
      <sheetName val="Delivery mains"/>
      <sheetName val="Road Detail Est."/>
      <sheetName val="GEN_abstrct"/>
      <sheetName val="p&amp;m"/>
      <sheetName val="Hyd_Stmt"/>
      <sheetName val="co_5"/>
      <sheetName val="PVC weights"/>
      <sheetName val="hdpe weights"/>
      <sheetName val="index"/>
      <sheetName val=" data sheet "/>
      <sheetName val="wh_data"/>
      <sheetName val="CPHEEO"/>
      <sheetName val="wh_data_R"/>
      <sheetName val="input"/>
      <sheetName val="ESTIMATE"/>
      <sheetName val="Z1_DATA"/>
      <sheetName val="Convey -16-17"/>
      <sheetName val="dBase"/>
      <sheetName val="DESIGN_NORMS3"/>
      <sheetName val="DESIGN_CALUCULATIONS3"/>
      <sheetName val="ABSTRACT-DESIGN_CALUCULATIONS3"/>
      <sheetName val="GRAVITY_MAIN3"/>
      <sheetName val="PUMPING_MAIN3"/>
      <sheetName val="PUMP_SETS_DESIGN3"/>
      <sheetName val="Labour_charges3"/>
      <sheetName val="Labour_charges(detl)3"/>
      <sheetName val="LEAD_STATEMENT3"/>
      <sheetName val="DATA_SHEET3"/>
      <sheetName val="DATA_OHSR3"/>
      <sheetName val="DATA_AC_PIPES3"/>
      <sheetName val="DATA_PVC_PIPES3"/>
      <sheetName val="BORE_WELL3"/>
      <sheetName val="SS_TANK(HOMO)3"/>
      <sheetName val="SS_FILTERS3"/>
      <sheetName val="SS_TANK(HET)3"/>
      <sheetName val="SS_FILTERS(SQM)3"/>
      <sheetName val="TRANSMISSION_MAINS3"/>
      <sheetName val="PUMP_SETS3"/>
      <sheetName val="WEIR_CHAMBER3"/>
      <sheetName val="PUMP_HOUSE3"/>
      <sheetName val="PUMP_HOUSE(SQM)3"/>
      <sheetName val="CW_SUMP3"/>
      <sheetName val="RAW_WATER_WELL3"/>
      <sheetName val="VALVE_PIT3"/>
      <sheetName val="TRANS_MAINS_LEVELS3"/>
      <sheetName val="SSF(INT_CONS)3"/>
      <sheetName val="Plant_&amp;__Machinery1"/>
      <sheetName val="Data_F8_BTR1"/>
      <sheetName val="Common_1"/>
      <sheetName val="Class_IV_Qtr__Ele"/>
      <sheetName val="G_R_P"/>
      <sheetName val="PSC_REVISED"/>
      <sheetName val="DESIGN_NORMS4"/>
      <sheetName val="DESIGN_CALUCULATIONS4"/>
      <sheetName val="ABSTRACT-DESIGN_CALUCULATIONS4"/>
      <sheetName val="GRAVITY_MAIN4"/>
      <sheetName val="PUMPING_MAIN4"/>
      <sheetName val="PUMP_SETS_DESIGN4"/>
      <sheetName val="Labour_charges4"/>
      <sheetName val="Labour_charges(detl)4"/>
      <sheetName val="LEAD_STATEMENT4"/>
      <sheetName val="DATA_SHEET4"/>
      <sheetName val="DATA_OHSR4"/>
      <sheetName val="DATA_AC_PIPES4"/>
      <sheetName val="DATA_PVC_PIPES4"/>
      <sheetName val="BORE_WELL4"/>
      <sheetName val="SS_TANK(HOMO)4"/>
      <sheetName val="SS_FILTERS4"/>
      <sheetName val="SS_TANK(HET)4"/>
      <sheetName val="SS_FILTERS(SQM)4"/>
      <sheetName val="TRANSMISSION_MAINS4"/>
      <sheetName val="PUMP_SETS4"/>
      <sheetName val="WEIR_CHAMBER4"/>
      <sheetName val="PUMP_HOUSE4"/>
      <sheetName val="PUMP_HOUSE(SQM)4"/>
      <sheetName val="CW_SUMP4"/>
      <sheetName val="RAW_WATER_WELL4"/>
      <sheetName val="VALVE_PIT4"/>
      <sheetName val="TRANS_MAINS_LEVELS4"/>
      <sheetName val="SSF(INT_CONS)4"/>
      <sheetName val="Plant_&amp;__Machinery2"/>
      <sheetName val="Data_F8_BTR2"/>
      <sheetName val="Common_2"/>
      <sheetName val="Class_IV_Qtr__Ele1"/>
      <sheetName val="G_R_P1"/>
      <sheetName val="PSC_REVISED1"/>
      <sheetName val="Meas.-Hotel Part"/>
      <sheetName val="mlead"/>
      <sheetName val="inWords"/>
      <sheetName val="ewst"/>
      <sheetName val="Data rough"/>
      <sheetName val="abs road"/>
      <sheetName val="Data Main sheet"/>
      <sheetName val="Lead Distance"/>
      <sheetName val="Levels"/>
      <sheetName val="Sheet9"/>
      <sheetName val="Iocount"/>
      <sheetName val="water-hammar-strenght"/>
      <sheetName val="Nspt-smp-final-ORIGINAL"/>
      <sheetName val="LABOUR RATE"/>
      <sheetName val="Material Rate"/>
      <sheetName val="Bed Class"/>
      <sheetName val="Cd"/>
      <sheetName val="habs-details"/>
      <sheetName val="GM&amp;PM WE1 EST"/>
      <sheetName val="BWSCP"/>
      <sheetName val="LOCAL RATES"/>
      <sheetName val="sand"/>
      <sheetName val="WATER-HAMMER"/>
      <sheetName val="hdpe-rates"/>
      <sheetName val="HDPE-pipe-rates"/>
      <sheetName val="pvc-pipe-rates"/>
      <sheetName val="C-data"/>
      <sheetName val="Staff Acco."/>
      <sheetName val="DI gate-DI"/>
      <sheetName val="PM&amp;GM"/>
      <sheetName val="DIgate_PVC "/>
      <sheetName val="2014"/>
      <sheetName val="3405-2014"/>
      <sheetName val="Qty"/>
      <sheetName val="Data o"/>
      <sheetName val="PH-Data"/>
      <sheetName val="MRoad data"/>
      <sheetName val="Macro1"/>
      <sheetName val="sheet5"/>
      <sheetName val="AV_AC"/>
      <sheetName val="di_Gate_AC"/>
      <sheetName val="Digate-BWSCP-MS"/>
      <sheetName val="DI_gate_di"/>
      <sheetName val="C.D.Abs.Est."/>
      <sheetName val="VALV"/>
      <sheetName val="DATA SHEET FOR 2014-15"/>
      <sheetName val="R_Det"/>
      <sheetName val="MTC-estimate"/>
      <sheetName val="Gen Abs"/>
      <sheetName val="other rates"/>
      <sheetName val="Convey"/>
      <sheetName val="detls"/>
      <sheetName val="Table12"/>
      <sheetName val="Table9"/>
      <sheetName val="11.Habitations"/>
      <sheetName val="SSR 2016-17"/>
      <sheetName val="Detailed"/>
      <sheetName val="FT-05-02IsoBOM"/>
      <sheetName val="Admin"/>
      <sheetName val="WPI HM"/>
      <sheetName val="GA-Paderu"/>
      <sheetName val="conc-foot-gradeslab"/>
      <sheetName val="LEAD S 10-11"/>
      <sheetName val="Global factors"/>
      <sheetName val="BS8007"/>
      <sheetName val="BALAN1"/>
      <sheetName val="m1"/>
      <sheetName val="TBAL9697 -group wise  sdpl"/>
      <sheetName val="Quarry"/>
      <sheetName val="Line"/>
      <sheetName val="BTR"/>
      <sheetName val="CRUST"/>
      <sheetName val="QDTS"/>
      <sheetName val="Abs_CD_2"/>
      <sheetName val="road est"/>
      <sheetName val="ECV"/>
      <sheetName val="AV-DI"/>
      <sheetName val="AV-PVC"/>
      <sheetName val="scour-DI-CI"/>
      <sheetName val="scour-pvc-hdpe-psc-bwsc"/>
      <sheetName val="Analy"/>
      <sheetName val="Master data"/>
      <sheetName val="analysis"/>
      <sheetName val="factors"/>
      <sheetName val="Habcodes"/>
      <sheetName val="FORM7"/>
      <sheetName val="Census_of_India_2001"/>
      <sheetName val="UT_Design"/>
      <sheetName val="MRMECADAMoad data"/>
      <sheetName val="Road data-TDR"/>
      <sheetName val="Sorted"/>
      <sheetName val="desing crust"/>
      <sheetName val="abst"/>
      <sheetName val="design"/>
      <sheetName val="Mortars"/>
      <sheetName val="Lead  RATES"/>
      <sheetName val="zone-2"/>
      <sheetName val="mas_hab"/>
      <sheetName val="s"/>
      <sheetName val="TOP SLAB-beams"/>
      <sheetName val="Addl. DN"/>
      <sheetName val="650kL-design-final"/>
      <sheetName val="AV_GRP ms bwsc"/>
      <sheetName val="GM&amp;PM EST"/>
      <sheetName val="HS final-2"/>
      <sheetName val="rate analysis "/>
      <sheetName val="Main"/>
      <sheetName val="CT"/>
      <sheetName val="PT"/>
      <sheetName val="Pier Design(with offset)"/>
      <sheetName val="(4)F-81 Exp.side"/>
      <sheetName val="PH data"/>
      <sheetName val="FACE"/>
      <sheetName val="DataInput"/>
      <sheetName val="DataInput-1"/>
      <sheetName val="DI Rate Analysis"/>
      <sheetName val="Economic RisingMain  Ph-I"/>
      <sheetName val=" Data -Valves"/>
      <sheetName val="INPUT-DATA"/>
      <sheetName val="Designs"/>
      <sheetName val="HYDRAULICS"/>
      <sheetName val="Check List"/>
      <sheetName val="Recovery"/>
      <sheetName val="cap-cwr_top"/>
      <sheetName val="CC Road"/>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Rates2"/>
      <sheetName val="STAMT"/>
      <sheetName val="DREV"/>
      <sheetName val="CREV"/>
      <sheetName val="Av.G Level"/>
      <sheetName val="kC"/>
      <sheetName val="Scheme Area Details_Block__ C2"/>
      <sheetName val="Consumption"/>
      <sheetName val="tab1&amp;2"/>
      <sheetName val="1-Pop Proj"/>
      <sheetName val="travel_per"/>
      <sheetName val="Cs"/>
      <sheetName val="Flanged Beams"/>
      <sheetName val="Rectangular Beam"/>
      <sheetName val="Material "/>
      <sheetName val="Rates-May-14"/>
      <sheetName val="vermi det"/>
      <sheetName val="SubAnlysis"/>
      <sheetName val="DOC-Register"/>
      <sheetName val="Table 4"/>
      <sheetName val="Table 5"/>
      <sheetName val="Table 2"/>
      <sheetName val="Table 27"/>
      <sheetName val="Inventory"/>
      <sheetName val="TrCarr"/>
      <sheetName val="SPT vs PHI"/>
      <sheetName val="airvalve-AC PN 1.60"/>
      <sheetName val="Soft-sluice-AC,GRP PN 1.6"/>
      <sheetName val="soft-sluice-BWSC-MS"/>
      <sheetName val="DI sluice valve"/>
      <sheetName val="Valves"/>
      <sheetName val="MS Rates"/>
      <sheetName val="D2_CO"/>
      <sheetName val="DESIGN_NORMS5"/>
      <sheetName val="DESIGN_CALUCULATIONS5"/>
      <sheetName val="ABSTRACT-DESIGN_CALUCULATIONS5"/>
      <sheetName val="GRAVITY_MAIN5"/>
      <sheetName val="PUMPING_MAIN5"/>
      <sheetName val="PUMP_SETS_DESIGN5"/>
      <sheetName val="Labour_charges5"/>
      <sheetName val="Labour_charges(detl)5"/>
      <sheetName val="LEAD_STATEMENT5"/>
      <sheetName val="DATA_SHEET5"/>
      <sheetName val="DATA_OHSR5"/>
      <sheetName val="DATA_AC_PIPES5"/>
      <sheetName val="DATA_PVC_PIPES5"/>
      <sheetName val="BORE_WELL5"/>
      <sheetName val="SS_TANK(HOMO)5"/>
      <sheetName val="SS_FILTERS5"/>
      <sheetName val="SS_TANK(HET)5"/>
      <sheetName val="SS_FILTERS(SQM)5"/>
      <sheetName val="TRANSMISSION_MAINS5"/>
      <sheetName val="PUMP_SETS5"/>
      <sheetName val="WEIR_CHAMBER5"/>
      <sheetName val="PUMP_HOUSE5"/>
      <sheetName val="PUMP_HOUSE(SQM)5"/>
      <sheetName val="CW_SUMP5"/>
      <sheetName val="RAW_WATER_WELL5"/>
      <sheetName val="VALVE_PIT5"/>
      <sheetName val="TRANS_MAINS_LEVELS5"/>
      <sheetName val="SSF(INT_CONS)5"/>
      <sheetName val="Plant_&amp;__Machinery3"/>
      <sheetName val="Data_F8_BTR3"/>
      <sheetName val="Common_3"/>
      <sheetName val="G_R_P2"/>
      <sheetName val="PSC_REVISED2"/>
      <sheetName val="Plant_&amp;__Machi_ery"/>
      <sheetName val="Bitumen_trunk"/>
      <sheetName val="R99_etc"/>
      <sheetName val="Trunk_unpaved"/>
      <sheetName val="Class_IV_Qtr__Ele2"/>
      <sheetName val="Bridge_Data_2005-06"/>
      <sheetName val="GF_SB_Ok_"/>
      <sheetName val="sup_dat"/>
      <sheetName val="Plant_㫨__Machinery1"/>
      <sheetName val="Plant_㫨__Machi_ery"/>
      <sheetName val="Lead_statement_ss5"/>
      <sheetName val="Civil_Boq"/>
      <sheetName val="Road_data"/>
      <sheetName val="data_existing_do_not_delete"/>
      <sheetName val="CS_"/>
      <sheetName val="SSR_2015-16"/>
      <sheetName val="DATA_SHEET_FOR_2012_-_13"/>
      <sheetName val="PVC_weights"/>
      <sheetName val="Main_sheet"/>
      <sheetName val="Convey_-16-17"/>
      <sheetName val="Delivery_mains"/>
      <sheetName val="Road_Detail_Est_"/>
      <sheetName val="Data_rough"/>
      <sheetName val="scour_depth"/>
      <sheetName val="hdpe_weights"/>
      <sheetName val="_data_sheet_"/>
      <sheetName val="Lead_Distance"/>
      <sheetName val="Estimate_copy"/>
      <sheetName val="GM&amp;PM_WE1_EST"/>
      <sheetName val="Data_Main_sheet"/>
      <sheetName val="abs_road"/>
      <sheetName val="Staff_Acco_"/>
      <sheetName val="LOCAL_RATES"/>
      <sheetName val="DI_gate-DI"/>
      <sheetName val="DIgate_PVC_"/>
      <sheetName val="WPI_C"/>
      <sheetName val="WPI_all"/>
      <sheetName val="WPI_CM"/>
      <sheetName val="WPI_S"/>
    </sheetNames>
    <sheetDataSet>
      <sheetData sheetId="0">
        <row r="11">
          <cell r="A11" t="str">
            <v>Thickness</v>
          </cell>
        </row>
      </sheetData>
      <sheetData sheetId="1">
        <row r="6">
          <cell r="I6" t="str">
            <v>DIA</v>
          </cell>
        </row>
      </sheetData>
      <sheetData sheetId="2"/>
      <sheetData sheetId="3"/>
      <sheetData sheetId="4"/>
      <sheetData sheetId="5"/>
      <sheetData sheetId="6"/>
      <sheetData sheetId="7"/>
      <sheetData sheetId="8"/>
      <sheetData sheetId="9"/>
      <sheetData sheetId="10" refreshError="1">
        <row r="11">
          <cell r="A11" t="str">
            <v>Thickness</v>
          </cell>
          <cell r="B11" t="str">
            <v>Rate</v>
          </cell>
        </row>
        <row r="12">
          <cell r="A12">
            <v>7.4999999999999997E-2</v>
          </cell>
          <cell r="B12">
            <v>4024.05</v>
          </cell>
        </row>
        <row r="13">
          <cell r="A13">
            <v>0.1</v>
          </cell>
          <cell r="B13">
            <v>3711.75</v>
          </cell>
        </row>
      </sheetData>
      <sheetData sheetId="11"/>
      <sheetData sheetId="12">
        <row r="11">
          <cell r="A11" t="str">
            <v>Thickness</v>
          </cell>
        </row>
      </sheetData>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row r="6">
          <cell r="I6" t="str">
            <v>DIA</v>
          </cell>
          <cell r="J6" t="str">
            <v xml:space="preserve">THICKNESS </v>
          </cell>
          <cell r="K6" t="str">
            <v>OFF SET</v>
          </cell>
          <cell r="L6" t="str">
            <v>LEAN CONCRETE OFF SET</v>
          </cell>
          <cell r="M6" t="str">
            <v>THICKNESS</v>
          </cell>
          <cell r="N6" t="str">
            <v>RISE</v>
          </cell>
          <cell r="O6" t="str">
            <v>RADIUS OF CURVATURE</v>
          </cell>
          <cell r="P6" t="str">
            <v>OUTSIDE PROJECTION FOR FLAT SLABS</v>
          </cell>
          <cell r="Q6" t="str">
            <v>WIDTH</v>
          </cell>
          <cell r="R6" t="str">
            <v>HEIGHT</v>
          </cell>
          <cell r="S6" t="str">
            <v>Qty of Steel</v>
          </cell>
          <cell r="T6" t="str">
            <v>Side Wall Thickness</v>
          </cell>
        </row>
        <row r="7">
          <cell r="I7" t="str">
            <v>3A</v>
          </cell>
          <cell r="J7">
            <v>0.2</v>
          </cell>
          <cell r="K7">
            <v>0.15</v>
          </cell>
          <cell r="L7">
            <v>0.2</v>
          </cell>
          <cell r="M7">
            <v>0.1</v>
          </cell>
          <cell r="N7">
            <v>0</v>
          </cell>
          <cell r="O7">
            <v>8</v>
          </cell>
          <cell r="P7">
            <v>0.15</v>
          </cell>
          <cell r="Q7" t="str">
            <v>N.A.</v>
          </cell>
          <cell r="R7" t="str">
            <v>N.A.</v>
          </cell>
          <cell r="S7">
            <v>0</v>
          </cell>
          <cell r="T7">
            <v>0.15</v>
          </cell>
        </row>
        <row r="8">
          <cell r="I8" t="str">
            <v>3B</v>
          </cell>
          <cell r="J8">
            <v>0.15</v>
          </cell>
          <cell r="K8">
            <v>0.15</v>
          </cell>
          <cell r="L8">
            <v>0.2</v>
          </cell>
          <cell r="M8">
            <v>0.1</v>
          </cell>
          <cell r="N8">
            <v>0</v>
          </cell>
          <cell r="O8">
            <v>8</v>
          </cell>
          <cell r="P8">
            <v>0.15</v>
          </cell>
          <cell r="Q8" t="str">
            <v>N.A.</v>
          </cell>
          <cell r="R8" t="str">
            <v>N.A.</v>
          </cell>
          <cell r="S8">
            <v>0</v>
          </cell>
          <cell r="T8">
            <v>0.15</v>
          </cell>
        </row>
        <row r="9">
          <cell r="I9" t="str">
            <v>4A</v>
          </cell>
          <cell r="J9">
            <v>0.25</v>
          </cell>
          <cell r="K9">
            <v>0.3</v>
          </cell>
          <cell r="L9">
            <v>0.2</v>
          </cell>
          <cell r="M9">
            <v>0.1</v>
          </cell>
          <cell r="N9">
            <v>0</v>
          </cell>
          <cell r="O9">
            <v>8</v>
          </cell>
          <cell r="P9">
            <v>0.15</v>
          </cell>
          <cell r="Q9" t="str">
            <v>N.A.</v>
          </cell>
          <cell r="R9" t="str">
            <v>N.A.</v>
          </cell>
          <cell r="S9">
            <v>0</v>
          </cell>
          <cell r="T9">
            <v>0.15</v>
          </cell>
        </row>
        <row r="10">
          <cell r="I10" t="str">
            <v>4B</v>
          </cell>
          <cell r="J10">
            <v>0.15</v>
          </cell>
          <cell r="K10">
            <v>0.15</v>
          </cell>
          <cell r="L10">
            <v>0.2</v>
          </cell>
          <cell r="M10">
            <v>0.1</v>
          </cell>
          <cell r="N10">
            <v>0</v>
          </cell>
          <cell r="O10">
            <v>8</v>
          </cell>
          <cell r="P10">
            <v>0.15</v>
          </cell>
          <cell r="Q10" t="str">
            <v>N.A.</v>
          </cell>
          <cell r="R10" t="str">
            <v>N.A.</v>
          </cell>
          <cell r="S10">
            <v>0</v>
          </cell>
          <cell r="T10">
            <v>0.15</v>
          </cell>
        </row>
        <row r="11">
          <cell r="I11" t="str">
            <v>5A</v>
          </cell>
          <cell r="J11">
            <v>0.25</v>
          </cell>
          <cell r="K11">
            <v>0.45</v>
          </cell>
          <cell r="L11">
            <v>0.2</v>
          </cell>
          <cell r="M11">
            <v>7.4999999999999997E-2</v>
          </cell>
          <cell r="N11">
            <v>1</v>
          </cell>
          <cell r="O11">
            <v>3.62</v>
          </cell>
          <cell r="P11" t="str">
            <v>N.A.</v>
          </cell>
          <cell r="Q11">
            <v>0.2</v>
          </cell>
          <cell r="R11">
            <v>0.15</v>
          </cell>
          <cell r="S11">
            <v>1350</v>
          </cell>
          <cell r="T11">
            <v>0.15</v>
          </cell>
        </row>
        <row r="12">
          <cell r="I12" t="str">
            <v>5B</v>
          </cell>
          <cell r="J12">
            <v>0.15</v>
          </cell>
          <cell r="K12">
            <v>0.15</v>
          </cell>
          <cell r="L12">
            <v>0.2</v>
          </cell>
          <cell r="M12">
            <v>7.4999999999999997E-2</v>
          </cell>
          <cell r="N12">
            <v>1</v>
          </cell>
          <cell r="O12">
            <v>3.62</v>
          </cell>
          <cell r="P12" t="str">
            <v>N.A.</v>
          </cell>
          <cell r="Q12">
            <v>0.2</v>
          </cell>
          <cell r="R12">
            <v>0.15</v>
          </cell>
          <cell r="S12">
            <v>1200</v>
          </cell>
          <cell r="T12">
            <v>0.15</v>
          </cell>
        </row>
        <row r="13">
          <cell r="I13" t="str">
            <v>6A</v>
          </cell>
          <cell r="J13">
            <v>0.3</v>
          </cell>
          <cell r="K13">
            <v>0.3</v>
          </cell>
          <cell r="L13">
            <v>0.2</v>
          </cell>
          <cell r="M13">
            <v>7.4999999999999997E-2</v>
          </cell>
          <cell r="N13">
            <v>1.1299999999999999</v>
          </cell>
          <cell r="O13">
            <v>4.54</v>
          </cell>
          <cell r="P13" t="str">
            <v>N.A.</v>
          </cell>
          <cell r="Q13">
            <v>0.2</v>
          </cell>
          <cell r="R13">
            <v>0.15</v>
          </cell>
          <cell r="S13">
            <v>1400</v>
          </cell>
          <cell r="T13">
            <v>0.15</v>
          </cell>
        </row>
        <row r="14">
          <cell r="I14" t="str">
            <v>6B</v>
          </cell>
          <cell r="J14">
            <v>0.15</v>
          </cell>
          <cell r="K14">
            <v>0.15</v>
          </cell>
          <cell r="L14">
            <v>0.2</v>
          </cell>
          <cell r="M14">
            <v>7.4999999999999997E-2</v>
          </cell>
          <cell r="N14">
            <v>1.1299999999999999</v>
          </cell>
          <cell r="O14">
            <v>4.54</v>
          </cell>
          <cell r="P14" t="str">
            <v>N.A.</v>
          </cell>
          <cell r="Q14">
            <v>0.2</v>
          </cell>
          <cell r="R14">
            <v>0.15</v>
          </cell>
          <cell r="S14">
            <v>1225</v>
          </cell>
          <cell r="T14">
            <v>0.15</v>
          </cell>
        </row>
        <row r="15">
          <cell r="I15" t="str">
            <v>7A</v>
          </cell>
          <cell r="J15">
            <v>0.3</v>
          </cell>
          <cell r="K15">
            <v>0.45</v>
          </cell>
          <cell r="L15">
            <v>0.2</v>
          </cell>
          <cell r="M15">
            <v>7.4999999999999997E-2</v>
          </cell>
          <cell r="N15">
            <v>1.1299999999999999</v>
          </cell>
          <cell r="O15">
            <v>6</v>
          </cell>
          <cell r="P15" t="str">
            <v>N.A.</v>
          </cell>
          <cell r="Q15">
            <v>0.2</v>
          </cell>
          <cell r="R15">
            <v>0.15</v>
          </cell>
          <cell r="S15">
            <v>1500</v>
          </cell>
          <cell r="T15">
            <v>0.15</v>
          </cell>
        </row>
        <row r="16">
          <cell r="I16" t="str">
            <v>7B</v>
          </cell>
          <cell r="J16">
            <v>0.15</v>
          </cell>
          <cell r="K16">
            <v>0.15</v>
          </cell>
          <cell r="L16">
            <v>0.2</v>
          </cell>
          <cell r="M16">
            <v>7.4999999999999997E-2</v>
          </cell>
          <cell r="N16">
            <v>1.1299999999999999</v>
          </cell>
          <cell r="O16">
            <v>6</v>
          </cell>
          <cell r="P16" t="str">
            <v>N.A.</v>
          </cell>
          <cell r="Q16">
            <v>0.2</v>
          </cell>
          <cell r="R16">
            <v>0.15</v>
          </cell>
          <cell r="S16">
            <v>1250</v>
          </cell>
          <cell r="T16">
            <v>0.15</v>
          </cell>
        </row>
        <row r="17">
          <cell r="I17" t="str">
            <v>8A</v>
          </cell>
          <cell r="J17">
            <v>0.3</v>
          </cell>
          <cell r="K17">
            <v>0.6</v>
          </cell>
          <cell r="L17">
            <v>0.2</v>
          </cell>
          <cell r="M17">
            <v>7.4999999999999997E-2</v>
          </cell>
          <cell r="N17">
            <v>1.6</v>
          </cell>
          <cell r="O17">
            <v>5.8</v>
          </cell>
          <cell r="P17" t="str">
            <v>N.A.</v>
          </cell>
          <cell r="Q17">
            <v>0.2</v>
          </cell>
          <cell r="R17">
            <v>0.15</v>
          </cell>
          <cell r="S17">
            <v>1800</v>
          </cell>
          <cell r="T17">
            <v>0.15</v>
          </cell>
        </row>
        <row r="18">
          <cell r="I18" t="str">
            <v>8B</v>
          </cell>
          <cell r="J18">
            <v>0.15</v>
          </cell>
          <cell r="K18">
            <v>0.15</v>
          </cell>
          <cell r="L18">
            <v>0.2</v>
          </cell>
          <cell r="M18">
            <v>7.4999999999999997E-2</v>
          </cell>
          <cell r="N18">
            <v>1.6</v>
          </cell>
          <cell r="O18">
            <v>5.8</v>
          </cell>
          <cell r="P18" t="str">
            <v>N.A.</v>
          </cell>
          <cell r="Q18">
            <v>0.2</v>
          </cell>
          <cell r="R18">
            <v>0.15</v>
          </cell>
          <cell r="S18">
            <v>1650</v>
          </cell>
          <cell r="T18">
            <v>0.15</v>
          </cell>
        </row>
        <row r="19">
          <cell r="I19" t="str">
            <v>10A</v>
          </cell>
          <cell r="J19">
            <v>0.3</v>
          </cell>
          <cell r="K19">
            <v>0.6</v>
          </cell>
          <cell r="L19">
            <v>0.2</v>
          </cell>
          <cell r="M19">
            <v>0.1</v>
          </cell>
          <cell r="N19">
            <v>1.8</v>
          </cell>
          <cell r="O19">
            <v>8.0500000000000007</v>
          </cell>
          <cell r="P19" t="str">
            <v>N.A.</v>
          </cell>
          <cell r="Q19">
            <v>0.2</v>
          </cell>
          <cell r="R19">
            <v>0.15</v>
          </cell>
          <cell r="S19">
            <v>2200</v>
          </cell>
          <cell r="T19">
            <v>0.15</v>
          </cell>
        </row>
        <row r="20">
          <cell r="I20" t="str">
            <v>10B</v>
          </cell>
          <cell r="J20">
            <v>0.15</v>
          </cell>
          <cell r="K20">
            <v>0.15</v>
          </cell>
          <cell r="L20">
            <v>0.2</v>
          </cell>
          <cell r="M20">
            <v>0.1</v>
          </cell>
          <cell r="N20">
            <v>1.8</v>
          </cell>
          <cell r="O20">
            <v>8.0500000000000007</v>
          </cell>
          <cell r="P20" t="str">
            <v>N.A.</v>
          </cell>
          <cell r="Q20">
            <v>0.2</v>
          </cell>
          <cell r="R20">
            <v>0.15</v>
          </cell>
          <cell r="S20">
            <v>2000</v>
          </cell>
          <cell r="T20">
            <v>0.15</v>
          </cell>
        </row>
        <row r="21">
          <cell r="I21" t="str">
            <v>12A</v>
          </cell>
          <cell r="J21">
            <v>0</v>
          </cell>
          <cell r="K21">
            <v>0</v>
          </cell>
          <cell r="L21">
            <v>0</v>
          </cell>
          <cell r="M21">
            <v>0</v>
          </cell>
          <cell r="N21">
            <v>0</v>
          </cell>
          <cell r="O21">
            <v>0</v>
          </cell>
          <cell r="P21">
            <v>0</v>
          </cell>
          <cell r="Q21">
            <v>0</v>
          </cell>
          <cell r="R21">
            <v>0</v>
          </cell>
          <cell r="S21">
            <v>4500</v>
          </cell>
        </row>
        <row r="22">
          <cell r="I22" t="str">
            <v>12B</v>
          </cell>
          <cell r="J22">
            <v>0.3</v>
          </cell>
          <cell r="K22">
            <v>0.1</v>
          </cell>
          <cell r="L22">
            <v>0.15</v>
          </cell>
          <cell r="M22">
            <v>0.1</v>
          </cell>
          <cell r="N22">
            <v>2</v>
          </cell>
          <cell r="O22">
            <v>10</v>
          </cell>
          <cell r="P22">
            <v>0</v>
          </cell>
          <cell r="Q22">
            <v>0.45</v>
          </cell>
          <cell r="R22">
            <v>0.35</v>
          </cell>
          <cell r="S22">
            <v>4100</v>
          </cell>
          <cell r="T22">
            <v>0.2</v>
          </cell>
        </row>
      </sheetData>
      <sheetData sheetId="42"/>
      <sheetData sheetId="43">
        <row r="6">
          <cell r="I6" t="str">
            <v>DIA</v>
          </cell>
        </row>
      </sheetData>
      <sheetData sheetId="44"/>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sheetData sheetId="257" refreshError="1"/>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DATA-BASE"/>
      <sheetName val="DATA-ABSTRACT"/>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 val="abs_(2)akoli"/>
      <sheetName val="Cd_nam"/>
      <sheetName val="cd_namnoor_1"/>
      <sheetName val="ewcal_(2)-akoli"/>
      <sheetName val="abs_(2)ko"/>
      <sheetName val="ewcal-korta_(2)"/>
      <sheetName val="Data.F8.BTR"/>
      <sheetName val="r"/>
      <sheetName val="abs_(2)akoli1"/>
      <sheetName val="Cd_nam1"/>
      <sheetName val="cd_namnoor_11"/>
      <sheetName val="ewcal_(2)-akoli1"/>
      <sheetName val="abs_(2)ko1"/>
      <sheetName val="ewcal-korta_(2)1"/>
      <sheetName val="Data_F8_BTR"/>
      <sheetName val="HDPE"/>
      <sheetName val="DI"/>
      <sheetName val="pvc"/>
      <sheetName val="pvc_basic"/>
      <sheetName val="hdpe_basic"/>
      <sheetName val="data existing_do not delete"/>
      <sheetName val="DATA-BASE"/>
      <sheetName val="DATA-ABSTRACT"/>
      <sheetName val="segments-details"/>
      <sheetName val="int-Dia-hdpe"/>
      <sheetName val="habs-list"/>
      <sheetName val="int-Dia-pvc"/>
      <sheetName val="Common "/>
      <sheetName val="maya"/>
      <sheetName val="Sheet1"/>
      <sheetName val="coverpage"/>
      <sheetName val="Road data"/>
      <sheetName val="leads"/>
      <sheetName val="Work_sheet"/>
      <sheetName val="t_prsr"/>
      <sheetName val="id"/>
      <sheetName val="GN_ST_10"/>
      <sheetName val="GN-ST-10"/>
      <sheetName val="Usage"/>
      <sheetName val="General"/>
      <sheetName val="Cover"/>
      <sheetName val="MRATES"/>
      <sheetName val="m"/>
      <sheetName val="rdamdata"/>
      <sheetName val="Levels"/>
      <sheetName val="Lead statement"/>
      <sheetName val="Material"/>
      <sheetName val="Works"/>
      <sheetName val="RMR"/>
      <sheetName val="Class IV Qtr. Ele"/>
      <sheetName val="GF SB Ok "/>
      <sheetName val="Specification report"/>
      <sheetName val="Sheet1 (2)"/>
      <sheetName val="Bitumen trunk"/>
      <sheetName val="Feeder"/>
      <sheetName val="R99 etc"/>
      <sheetName val="Trunk unpaved"/>
      <sheetName val="BWSCPlt"/>
      <sheetName val="CI"/>
      <sheetName val="G.R.P"/>
      <sheetName val="PSC REVISED"/>
      <sheetName val="lead-st"/>
      <sheetName val="Analy_7-10"/>
      <sheetName val="DataInput"/>
      <sheetName val="DataInput-1"/>
      <sheetName val="DI Rate Analysis"/>
      <sheetName val="cover-Akoly"/>
      <sheetName val="cover-oorta"/>
      <sheetName val="ewcal-korti_(2)1"/>
      <sheetName val="int-Diá-pvc"/>
      <sheetName val="Lead statement ss5"/>
      <sheetName val="SUMP1420KL@HW"/>
      <sheetName val="Sheet2"/>
      <sheetName val="Compound wall  Ok"/>
      <sheetName val="MRMECADAMoad data"/>
      <sheetName val="ewst"/>
      <sheetName val="DATA_PRG"/>
      <sheetName val="Plant &amp;  Machinery"/>
      <sheetName val="Labour"/>
      <sheetName val="HDPE-pipe-rates"/>
      <sheetName val="pvc-pipe-rates"/>
      <sheetName val="m1"/>
      <sheetName val="v"/>
      <sheetName val="Rate"/>
      <sheetName val="Abs"/>
      <sheetName val="Process"/>
      <sheetName val="Design"/>
      <sheetName val="stone"/>
      <sheetName val="sg-clay(d)"/>
      <sheetName val="Main sheet"/>
      <sheetName val="abs_(2)akoli2"/>
      <sheetName val="Cd_nam2"/>
      <sheetName val="cd_namnoor_12"/>
      <sheetName val="ewcal_(2)-akoli2"/>
      <sheetName val="abs_(2)ko2"/>
      <sheetName val="ewcal-korta_(2)2"/>
      <sheetName val="Data_F8_BTR1"/>
      <sheetName val="data_existing_do_not_delete"/>
      <sheetName val="Road_data"/>
      <sheetName val="Common_"/>
      <sheetName val="abs_(2)akoli3"/>
      <sheetName val="Cd_nam3"/>
      <sheetName val="cd_namnoor_13"/>
      <sheetName val="ewcal_(2)-akoli3"/>
      <sheetName val="abs_(2)ko3"/>
      <sheetName val="ewcal-korta_(2)3"/>
      <sheetName val="Data_F8_BTR2"/>
      <sheetName val="data_existing_do_not_delete1"/>
      <sheetName val="Road_data1"/>
      <sheetName val="Common_1"/>
      <sheetName val="Design of two-way slab"/>
      <sheetName val="Av.G Level"/>
      <sheetName val="R_Det"/>
      <sheetName val="Sheet9"/>
      <sheetName val="Data-ELSR"/>
      <sheetName val=" Data -Valves"/>
      <sheetName val="MRoad data"/>
      <sheetName val="Convey"/>
      <sheetName val="p&amp;m"/>
      <sheetName val="Boq (Main Building)"/>
      <sheetName val="RATES"/>
      <sheetName val="PUMP_DATA"/>
      <sheetName val="PRECAST lightconc-II"/>
      <sheetName val="Rates SSR 2008-09"/>
      <sheetName val="zone-8"/>
      <sheetName val="MHNO_LEV"/>
      <sheetName val="moments-table(tri)"/>
      <sheetName val="Lookup"/>
      <sheetName val="Abs PMRL"/>
      <sheetName val="sch"/>
      <sheetName val="Data rough"/>
      <sheetName val="pop"/>
      <sheetName val="HS 30.04.2015.Final"/>
      <sheetName val="0000000000000"/>
      <sheetName val="Staff Acco."/>
      <sheetName val="water-hammar-strenght"/>
      <sheetName val="detls"/>
      <sheetName val="nodes"/>
      <sheetName val="int-Dia"/>
      <sheetName val="JAWAHAR-hyd-original"/>
      <sheetName val="pumping main"/>
      <sheetName val="hdpe weights"/>
      <sheetName val="PVC weights"/>
      <sheetName val=" data sheet "/>
      <sheetName val="HS 1"/>
      <sheetName val="wh_data"/>
      <sheetName val="wh_data_R"/>
      <sheetName val="CPHEEO"/>
      <sheetName val="input"/>
      <sheetName val="ssr-rates"/>
      <sheetName val="hdpe_rates"/>
      <sheetName val="hdpe_wt-r"/>
      <sheetName val="pvc-rates"/>
      <sheetName val="index"/>
      <sheetName val="Main"/>
      <sheetName val="dlvoid"/>
      <sheetName val="slab"/>
      <sheetName val="Sheet3"/>
      <sheetName val="HPs HPs"/>
      <sheetName val="C-data"/>
      <sheetName val="mlead"/>
      <sheetName val="abs road"/>
      <sheetName val="BS8007"/>
      <sheetName val="LOCAL RATES"/>
      <sheetName val="GM&amp;PM WE1 EST"/>
      <sheetName val="BWSCP"/>
      <sheetName val="Detailed"/>
      <sheetName val="AV_GRP ms bwsc"/>
      <sheetName val="BTR"/>
      <sheetName val="GenAbst"/>
      <sheetName val="51"/>
      <sheetName val="DATA-2005-06"/>
      <sheetName val="TBAL9697 -group wise  sdpl"/>
      <sheetName val="RAFT"/>
      <sheetName val="scour depth"/>
      <sheetName val="Boq"/>
      <sheetName val="Road data-TDR"/>
      <sheetName val="Summary"/>
      <sheetName val="boredetails"/>
      <sheetName val="Valves"/>
      <sheetName val="MS Rates"/>
      <sheetName val="MTC-estimate"/>
      <sheetName val="joinery data"/>
      <sheetName val="ESTIMATE"/>
      <sheetName val="hdpe-rates"/>
      <sheetName val="CS "/>
      <sheetName val="wh"/>
      <sheetName val="ultmom"/>
      <sheetName val="CPI"/>
      <sheetName val="WPI C"/>
      <sheetName val="WPI all"/>
      <sheetName val="WPI HM"/>
      <sheetName val="WPI S"/>
      <sheetName val="Z1_DATA"/>
      <sheetName val="nandipet intra"/>
      <sheetName val="Challan"/>
      <sheetName val="dump"/>
      <sheetName val="SSR 2014-15 Rates"/>
      <sheetName val="Data_Base"/>
      <sheetName val="Factory_rates"/>
      <sheetName val="Specification"/>
      <sheetName val="quarry"/>
      <sheetName val="zone-2"/>
      <sheetName val="Line"/>
      <sheetName val="CRUST"/>
      <sheetName val="QDTS"/>
      <sheetName val="_5wgdhabfinal00_01"/>
      <sheetName val="Master data"/>
      <sheetName val="TCS_Schedule (2)"/>
      <sheetName val="PM&amp;GM"/>
      <sheetName val="AV-PVC"/>
      <sheetName val="DI gate-DI"/>
      <sheetName val="DIgate_PVC "/>
      <sheetName val="Data_Bit_I"/>
      <sheetName val="GF_SB_Ok_"/>
      <sheetName val="Specification_report"/>
      <sheetName val="Compound_wall__Ok"/>
      <sheetName val="Bitumen_trunk"/>
      <sheetName val="R99_etc"/>
      <sheetName val="Trunk_unpaved"/>
      <sheetName val="Class_IV_Qtr__Ele"/>
      <sheetName val="Lead_statement"/>
      <sheetName val="G_R_P"/>
      <sheetName val="PSC_REVISED"/>
      <sheetName val="Sheet1_(2)"/>
      <sheetName val="Lead_statement_ss5"/>
      <sheetName val="DI_Rate_Analysis"/>
      <sheetName val="MRMECADAMoad_data"/>
      <sheetName val="Main_sheet"/>
      <sheetName val="sup dat"/>
      <sheetName val="title"/>
      <sheetName val="pier design"/>
      <sheetName val="CC Road"/>
      <sheetName val="Masonry"/>
      <sheetName val="C.D.Abs.Est."/>
      <sheetName val="road est"/>
      <sheetName val="LIST"/>
      <sheetName val="Mp-team 1"/>
      <sheetName val="Bridge Data 2005-06"/>
      <sheetName val="Road Detail Est."/>
      <sheetName val="Road"/>
      <sheetName val="Rate Analysis"/>
      <sheetName val="Habcodes"/>
      <sheetName val="final abstract"/>
      <sheetName val="ITB COST"/>
      <sheetName val="Economic RisingMain  Ph-I"/>
      <sheetName val="Nspt-smp-final-ORIGINAL"/>
      <sheetName val="co_5"/>
      <sheetName val="mas_hab"/>
      <sheetName val="AV-HDPE"/>
      <sheetName val="Di_gate-HDPE"/>
      <sheetName val="TOP SLAB-beams"/>
      <sheetName val="1-Pop Proj"/>
      <sheetName val="11.Habitations"/>
      <sheetName val="l"/>
      <sheetName val="rate analysis "/>
      <sheetName val="Census_of_India_2001"/>
      <sheetName val="Sheet3-1"/>
      <sheetName val="Admin"/>
      <sheetName val="DOC-Register"/>
      <sheetName val="Condition survey"/>
      <sheetName val="Pier Design(with offset)"/>
      <sheetName val="Mortars"/>
      <sheetName val="HYDRAULICS"/>
      <sheetName val="(4)F-81 Exp.side"/>
      <sheetName val="Check List"/>
      <sheetName val="Recovery"/>
      <sheetName val="Relig-place"/>
      <sheetName val="FACE"/>
      <sheetName val="INPUT-DATA"/>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WTP-Pr"/>
      <sheetName val="BALAN1"/>
      <sheetName val="Designs"/>
      <sheetName val="DREV"/>
      <sheetName val="CREV"/>
      <sheetName val="PH data"/>
      <sheetName val="kC"/>
      <sheetName val="Form_E6"/>
      <sheetName val="E8"/>
      <sheetName val="E11"/>
      <sheetName val="Consumption"/>
      <sheetName val="Area Sheet NO 1"/>
      <sheetName val="QTY"/>
      <sheetName val="LABOUR RATE"/>
      <sheetName val="Material Rate"/>
      <sheetName val="N- Ward Codes"/>
      <sheetName val="not req 3"/>
      <sheetName val="bricks"/>
      <sheetName val="Data Road Rev"/>
      <sheetName val="Civil Boq"/>
      <sheetName val="Addl.40"/>
      <sheetName val="A"/>
      <sheetName val="int dia"/>
      <sheetName val="Elc.Stnd.Data-20-21"/>
      <sheetName val="CD"/>
      <sheetName val="CD_All_No_"/>
      <sheetName val="Inventory"/>
      <sheetName val="MATERIALS"/>
      <sheetName val="(Road-Project)"/>
      <sheetName val="FT-05-02IsoBOM"/>
      <sheetName val="AV-BWSC&amp;MS"/>
      <sheetName val="AV_AC"/>
      <sheetName val="AV-DI"/>
      <sheetName val="di_Gate_AC"/>
      <sheetName val="Digate-BWSCP-MS"/>
      <sheetName val="DI_gate_di"/>
      <sheetName val="scour-DI-CI"/>
      <sheetName val="scour-pvc-hdpe-psc-bwsc"/>
      <sheetName val="PVC_dia"/>
      <sheetName val="Estimate "/>
      <sheetName val="bom"/>
      <sheetName val="D1_CO"/>
      <sheetName val="other rates"/>
      <sheetName val="clvrt_data"/>
      <sheetName val="IDCCALHYD_GOO"/>
      <sheetName val="Part-A, Detailed Estimate, NR"/>
      <sheetName val="refer"/>
      <sheetName val="pt-cw"/>
      <sheetName val="Cost of O &amp; O"/>
      <sheetName val="Total Sec Wise for 12-2007"/>
      <sheetName val="dist dump"/>
      <sheetName val="Abs_CD_2"/>
      <sheetName val="ECV"/>
      <sheetName val="Buildings"/>
      <sheetName val="Irrigation"/>
      <sheetName val="Hire"/>
      <sheetName val="Conveyance"/>
      <sheetName val="MRates R "/>
      <sheetName val="abs_(2)akoli4"/>
      <sheetName val="Cd_nam4"/>
      <sheetName val="cd_namnoor_14"/>
      <sheetName val="ewcal_(2)-akoli4"/>
      <sheetName val="abs_(2)ko4"/>
      <sheetName val="ewcal-korta_(2)4"/>
      <sheetName val="Data_F8_BTR3"/>
      <sheetName val="Common_2"/>
      <sheetName val="data_existing_do_not_delete2"/>
      <sheetName val="GF_SB_Ok_1"/>
      <sheetName val="Specification_report1"/>
      <sheetName val="Lead_statement1"/>
      <sheetName val="Class_IV_Qtr__Ele1"/>
      <sheetName val="Sheet1_(2)1"/>
      <sheetName val="Road_data2"/>
      <sheetName val="Bitumen_trunk1"/>
      <sheetName val="R99_etc1"/>
      <sheetName val="Trunk_unpaved1"/>
      <sheetName val="Compound_wall__Ok1"/>
      <sheetName val="G_R_P1"/>
      <sheetName val="PSC_REVISED1"/>
      <sheetName val="DI_Rate_Analysis1"/>
      <sheetName val="Main_sheet1"/>
      <sheetName val="Lead_statement_ss51"/>
      <sheetName val="PRECAST_lightconc-II"/>
      <sheetName val="Design_of_two-way_slab"/>
      <sheetName val="Data_rough"/>
      <sheetName val="Staff_Acco_"/>
      <sheetName val="MRMECADAMoad_data1"/>
      <sheetName val="Boq_(Main_Building)"/>
      <sheetName val="HPs_HPs"/>
      <sheetName val="Plant_&amp;__Machinery"/>
      <sheetName val="Abs_PMRL"/>
      <sheetName val="Rates_SSR_2008-09"/>
      <sheetName val="Av_G_Level"/>
      <sheetName val="PVC_weights"/>
      <sheetName val="HS_30_04_2015_Final"/>
      <sheetName val="pumping_main"/>
      <sheetName val="hdpe_weights"/>
      <sheetName val="_data_sheet_"/>
      <sheetName val="HS_1"/>
      <sheetName val="_Data_-Valves"/>
      <sheetName val="MRoad_data"/>
      <sheetName val="abs_road"/>
      <sheetName val="GM&amp;PM_WE1_EST"/>
      <sheetName val="AV_GRP_ms_bwsc"/>
      <sheetName val="MS_Rates"/>
      <sheetName val="LOCAL_RATES"/>
      <sheetName val="CS_"/>
      <sheetName val="WPI_C"/>
      <sheetName val="WPI_all"/>
      <sheetName val="WPI_HM"/>
      <sheetName val="WPI_S"/>
      <sheetName val="nandipet_intra"/>
      <sheetName val="scour_depth"/>
      <sheetName val="SSR_2014-15_Rates"/>
      <sheetName val="joinery_data"/>
      <sheetName val="TBAL9697_-group_wise__sdpl"/>
      <sheetName val="Road_data-TDR"/>
      <sheetName val="pier_design"/>
      <sheetName val="road_est"/>
      <sheetName val="CC_Road"/>
      <sheetName val="Bridge_Data_2005-06"/>
      <sheetName val="Master_data"/>
      <sheetName val="TCS_Schedule_(2)"/>
      <sheetName val="sectorwise"/>
      <sheetName val="SubAnlysis"/>
      <sheetName val="Quote Sheet"/>
      <sheetName val="RCC,Ret. Wall"/>
      <sheetName val="cal"/>
      <sheetName val="Costing"/>
      <sheetName val="Name List"/>
      <sheetName val="Tender Summary"/>
      <sheetName val="Proforma -II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sheetData sheetId="97"/>
      <sheetData sheetId="98" refreshError="1"/>
      <sheetData sheetId="99" refreshError="1"/>
      <sheetData sheetId="100"/>
      <sheetData sheetId="101" refreshError="1"/>
      <sheetData sheetId="102" refreshError="1"/>
      <sheetData sheetId="103" refreshError="1"/>
      <sheetData sheetId="104"/>
      <sheetData sheetId="105" refreshError="1"/>
      <sheetData sheetId="106" refreshError="1"/>
      <sheetData sheetId="107"/>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m"/>
      <sheetName val="data"/>
      <sheetName val="Sheet1"/>
      <sheetName val="Labour"/>
      <sheetName val="Material"/>
      <sheetName val="Plant &amp;  Machinery"/>
      <sheetName val="Lead"/>
      <sheetName val="LEADS"/>
      <sheetName val="Road data"/>
      <sheetName val="pvc-pipe-rates"/>
      <sheetName val="Specification"/>
      <sheetName val="ssr-rates"/>
      <sheetName val="Lead statement"/>
      <sheetName val="data existing_do not delete"/>
      <sheetName val="Data_Renuals"/>
      <sheetName val="ABS"/>
      <sheetName val="sand"/>
      <sheetName val="stone"/>
      <sheetName val="MRATES"/>
      <sheetName val="0000000000000"/>
      <sheetName val="segments-details"/>
      <sheetName val="int-Dia-hdpe"/>
      <sheetName val="habs-list"/>
      <sheetName val="int-Dia-pvc"/>
      <sheetName val="Data_Base"/>
      <sheetName val="rdamdata"/>
      <sheetName val="Lead statement ss5"/>
      <sheetName val="DATA-BASE"/>
      <sheetName val="DATA-ABSTRACT"/>
      <sheetName val="maya"/>
      <sheetName val="Sorted"/>
      <sheetName val="Work_sheet"/>
      <sheetName val="Data o"/>
      <sheetName val="wh_data"/>
      <sheetName val="wh_data_R"/>
      <sheetName val="CPHEEO"/>
      <sheetName val="input"/>
      <sheetName val="coverpage"/>
      <sheetName val="PVC weights"/>
      <sheetName val=" data sheet "/>
      <sheetName val="temp-SDData (2)"/>
      <sheetName val="Road Detail Est."/>
      <sheetName val="Sheet3"/>
      <sheetName val="Attributes"/>
      <sheetName val="Common "/>
      <sheetName val="LEAD S 10-11"/>
      <sheetName val="p&amp;m"/>
      <sheetName val="Data.F8.BTR"/>
      <sheetName val="detls"/>
      <sheetName val="Sheet2"/>
      <sheetName val="Data rough"/>
      <sheetName val="Lookup"/>
      <sheetName val="mas_hab"/>
      <sheetName val="pvc"/>
      <sheetName val="pop"/>
      <sheetName val="RAFT"/>
      <sheetName val="scour depth"/>
      <sheetName val="DATA SHEET FOR 2012 - 13"/>
      <sheetName val="Rates"/>
      <sheetName val="other rates"/>
      <sheetName val="quarry"/>
      <sheetName val="data1"/>
      <sheetName val="RM"/>
      <sheetName val="SLAB  DATA"/>
      <sheetName val="bldg"/>
      <sheetName val="Data-ELSR"/>
      <sheetName val="Part-A"/>
      <sheetName val="RMR"/>
      <sheetName val="HDPE"/>
      <sheetName val="DI"/>
      <sheetName val="Specification report"/>
      <sheetName val="GROUND FLOOR"/>
      <sheetName val="GA"/>
      <sheetName val="C-data"/>
      <sheetName val="Civil SSR"/>
      <sheetName val="WS Data"/>
      <sheetName val="ST"/>
      <sheetName val="Sump"/>
      <sheetName val="Process"/>
      <sheetName val="m lead"/>
      <sheetName val="SPECS"/>
      <sheetName val="CD Data"/>
      <sheetName val="Cover"/>
      <sheetName val="MRoad data"/>
      <sheetName val="Convey"/>
      <sheetName val="id"/>
      <sheetName val="SSR"/>
      <sheetName val="Road data "/>
      <sheetName val="Sheet9"/>
      <sheetName val="Bridge Data 2005-06"/>
      <sheetName val="road est"/>
      <sheetName val="sup dat"/>
      <sheetName val="pvc_basic"/>
      <sheetName val="FINAL LEAD"/>
      <sheetName val="select items_PMW"/>
      <sheetName val="Main sheet"/>
      <sheetName val="Proforma -II "/>
      <sheetName val="C.R G.F"/>
      <sheetName val="DATA_PRG"/>
      <sheetName val="Basicrates"/>
      <sheetName val="C.D.Abs.Est."/>
      <sheetName val="Dn SLRB (R2)"/>
      <sheetName val="Data_"/>
      <sheetName val="Sheet1 (2)"/>
      <sheetName val="cert"/>
      <sheetName val="Plant_&amp;__Machinery"/>
      <sheetName val="Road_data"/>
      <sheetName val="Lead_statement"/>
      <sheetName val="data_existing_do_not_delete"/>
      <sheetName val="Plant_&amp;__Machinery1"/>
      <sheetName val="Road_data1"/>
      <sheetName val="Lead_statement1"/>
      <sheetName val="data_existing_do_not_delete1"/>
      <sheetName val="CFForecast detail"/>
      <sheetName val="DI Rate Analysis"/>
      <sheetName val="Economic RisingMain  Ph-I"/>
      <sheetName val="mlead"/>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dlvoid"/>
      <sheetName val="slab"/>
      <sheetName val="DL CAL"/>
      <sheetName val="1V800"/>
      <sheetName val="materials"/>
      <sheetName val="Bill-12"/>
      <sheetName val="Aug,02"/>
      <sheetName val="MTC-estimate"/>
      <sheetName val="pt-cw"/>
      <sheetName val="Summary"/>
      <sheetName val="RA-markate"/>
      <sheetName val="road safety datas"/>
      <sheetName val="section"/>
      <sheetName val="int-Dia"/>
      <sheetName val="nodes"/>
      <sheetName val="JAWAHAR-hyd-original"/>
      <sheetName val="RF"/>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Conveyance"/>
      <sheetName val="sectorwise"/>
      <sheetName val="t_prsr"/>
      <sheetName val="wh"/>
      <sheetName val="Sub -  Analysis"/>
      <sheetName val="Levels"/>
      <sheetName val="Data-2010-11"/>
      <sheetName val="sept-plan"/>
      <sheetName val="BOQ"/>
      <sheetName val="PUMP_DATA"/>
      <sheetName val="FINAL DATA"/>
      <sheetName val="Road data.PS"/>
      <sheetName val="Road data  PH"/>
      <sheetName val="GF SB Ok "/>
      <sheetName val="Design"/>
      <sheetName val="51"/>
      <sheetName val="Hydraulic Design (Pipe)"/>
      <sheetName val="abs road"/>
      <sheetName val="R_Det"/>
      <sheetName val="Note"/>
      <sheetName val="FIRST"/>
      <sheetName val="DATA-CD "/>
      <sheetName val="SSR 2015-16"/>
      <sheetName val="dbl-airvalve-PVC"/>
      <sheetName val="DFjoints"/>
      <sheetName val="airvalve(AC)"/>
      <sheetName val="Bitumen trunk"/>
      <sheetName val="Feeder"/>
      <sheetName val="R99 etc"/>
      <sheetName val="Trunk unpave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tr"/>
      <sheetName val="ew-cal"/>
      <sheetName val="ann-b"/>
      <sheetName val="Abstrct "/>
      <sheetName val="est"/>
      <sheetName val="Lead"/>
      <sheetName val="Data"/>
      <sheetName val="she"/>
      <sheetName val="Part A"/>
      <sheetName val="Material"/>
      <sheetName val="Plant &amp;  Machinery"/>
      <sheetName val="DATA-BASE"/>
      <sheetName val="DATA-ABSTRACT"/>
      <sheetName val="Lead statement ss5"/>
      <sheetName val="v"/>
      <sheetName val="r"/>
      <sheetName val="Abstrct_"/>
      <sheetName val="Part_A"/>
      <sheetName val="Abstr#t "/>
      <sheetName val="m"/>
      <sheetName val="Labour"/>
      <sheetName val="Sheet1"/>
      <sheetName val="LEADS"/>
      <sheetName val="ewst"/>
      <sheetName val="C.D.Abs.Est."/>
      <sheetName val="pvc-pipe-rates"/>
      <sheetName val="maya"/>
      <sheetName val="Lead statement"/>
      <sheetName val="DATA_PRG"/>
      <sheetName val="segments-details"/>
      <sheetName val="int-Dia-hdpe"/>
      <sheetName val="habs-list"/>
      <sheetName val="int-Dia-pvc"/>
      <sheetName val="MRATES"/>
      <sheetName val="detls"/>
      <sheetName val="Bridge Data 2005-06"/>
      <sheetName val="coverpage"/>
      <sheetName val="Road data"/>
      <sheetName val="RMR"/>
      <sheetName val="MRoad data"/>
      <sheetName val="Bitumen trunk"/>
      <sheetName val="Feeder"/>
      <sheetName val="R99 etc"/>
      <sheetName val="Trunk unpaved"/>
      <sheetName val="GROUND FLOOR"/>
      <sheetName val="Levels"/>
      <sheetName val="Data.F8.BTR"/>
      <sheetName val="Boq"/>
      <sheetName val="Input"/>
      <sheetName val="abs road"/>
      <sheetName val="TS memo"/>
      <sheetName val="m1"/>
      <sheetName val="Common "/>
      <sheetName val="RAFT"/>
      <sheetName val="scour depth"/>
      <sheetName val="Abstrct_1"/>
      <sheetName val="Part_A1"/>
      <sheetName val="Plant_&amp;__Machinery"/>
      <sheetName val="Lead_statement_ss5"/>
      <sheetName val="Abstr#t_"/>
      <sheetName val="Abstrct_2"/>
      <sheetName val="Part_A2"/>
      <sheetName val="Plant_&amp;__Machinery1"/>
      <sheetName val="Lead_statement_ss51"/>
      <sheetName val="Abstr#t_1"/>
      <sheetName val="SALIENT"/>
      <sheetName val="CPIPE2"/>
      <sheetName val="CD Data"/>
      <sheetName val="Rate analysis-civil"/>
      <sheetName val="CD_Data"/>
      <sheetName val="Road Detail Est."/>
      <sheetName val="data existing_do not delete"/>
      <sheetName val="pvc_basic"/>
      <sheetName val="HDPE"/>
      <sheetName val="nodes"/>
      <sheetName val="int-Dia"/>
      <sheetName val="Convey"/>
      <sheetName val="0000000000000"/>
      <sheetName val="Rates"/>
      <sheetName val="Pop"/>
      <sheetName val="EDWise"/>
      <sheetName val="Bill-12"/>
      <sheetName val="rdamdata"/>
      <sheetName val="banilad"/>
      <sheetName val="Mactan"/>
      <sheetName val="Mandaue"/>
      <sheetName val="p&amp;m"/>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Sheet2"/>
      <sheetName val="Estimate "/>
      <sheetName val="SubAnalysis"/>
      <sheetName val="cert"/>
      <sheetName val="WATER-HAMMER"/>
      <sheetName val="lead-st"/>
      <sheetName val="C-data"/>
      <sheetName val="mlead"/>
      <sheetName val="R_Det"/>
      <sheetName val="Main sheet"/>
      <sheetName val="GF Columns"/>
      <sheetName val="Quarry"/>
      <sheetName val="Lead Distance"/>
      <sheetName val="DATA-2005-06"/>
      <sheetName val="PH data"/>
      <sheetName val="Mix Design"/>
      <sheetName val="PUMP_DATA"/>
      <sheetName val="Work_sheet"/>
      <sheetName val="Habcodes"/>
      <sheetName val="wh_data"/>
      <sheetName val="wh_data_R"/>
      <sheetName val="CPHEEO"/>
      <sheetName val="Process"/>
      <sheetName val="Data-2011-12"/>
      <sheetName val="ultmom"/>
      <sheetName val="foundation(V)"/>
      <sheetName val="Specification report"/>
      <sheetName val="Data rough"/>
      <sheetName val="MTC-estimate"/>
      <sheetName val="other rates"/>
      <sheetName val="ITB COST"/>
      <sheetName val="Watersoft (2)"/>
      <sheetName val="Sheet3"/>
      <sheetName val="ABS"/>
      <sheetName val="MRMECADAMoad data"/>
      <sheetName val="bom"/>
      <sheetName val="Staff Acco."/>
      <sheetName val="Summary"/>
      <sheetName val="Lead_statement"/>
      <sheetName val="Bridge_Data_2005-06"/>
      <sheetName val="MRoad_data"/>
      <sheetName val="Bitumen_trunk"/>
      <sheetName val="R99_etc"/>
      <sheetName val="Trunk_unpaved"/>
      <sheetName val="GROUND_FLOOR"/>
      <sheetName val="Data_F8_BTR"/>
      <sheetName val="abs_road"/>
      <sheetName val="Road_data"/>
      <sheetName val="TS_memo"/>
      <sheetName val="C_D_Abs_Est_"/>
      <sheetName val="CD_Data1"/>
      <sheetName val="Common_"/>
      <sheetName val="Iocount"/>
      <sheetName val="SUMP1420KL@HW"/>
      <sheetName val="Flanged Beams"/>
      <sheetName val="Rectangular Beam"/>
      <sheetName val="BWSCPlt"/>
      <sheetName val="CI"/>
      <sheetName val="DI"/>
      <sheetName val="G.R.P"/>
      <sheetName val="PSC REVISED"/>
      <sheetName val="pvc"/>
      <sheetName val="id"/>
      <sheetName val="Lead  RATES"/>
      <sheetName val="final abstract"/>
      <sheetName val="DL CAL"/>
      <sheetName val="not req 3"/>
      <sheetName val="51"/>
      <sheetName val="Basicrates"/>
      <sheetName val="Data_Bit_I"/>
      <sheetName val="Lead 19-20"/>
      <sheetName val="Sheet1 (2)"/>
      <sheetName val="Programme"/>
      <sheetName val="Relig-place"/>
      <sheetName val="stone"/>
      <sheetName val="index"/>
      <sheetName val="mas_hab"/>
      <sheetName val="ssr-rates"/>
      <sheetName val="hdpe_rates"/>
      <sheetName val="hdpe_wt-r"/>
      <sheetName val="pvc-rates"/>
      <sheetName val="PVC weights"/>
      <sheetName val="water-hammar-strenght"/>
      <sheetName val="BM-HOOP"/>
      <sheetName val="AV-HDPE"/>
      <sheetName val="Di_gate-HDPE"/>
      <sheetName val="Lead_Distance"/>
      <sheetName val="CS "/>
      <sheetName val="sg-clay(d)"/>
      <sheetName val="DATA SHEET"/>
      <sheetName val="Summary- Flyovers"/>
      <sheetName val="Mp-team 1"/>
      <sheetName val="Nspt-smp-final-ORIGINAL"/>
      <sheetName val="DISCOUNT"/>
      <sheetName val="Factory_rates"/>
      <sheetName val="Specification"/>
      <sheetName val="Data_Base"/>
      <sheetName val="DET R"/>
      <sheetName val="Sorted"/>
      <sheetName val="data1"/>
      <sheetName val="C.D.Data (Morth)"/>
      <sheetName val="DET-ABS(toilet&amp;residence of ju)"/>
      <sheetName val="GUNTUR"/>
      <sheetName val="List (2)"/>
      <sheetName val="hdpe-rates"/>
      <sheetName val="Usage"/>
      <sheetName val="Cover"/>
      <sheetName val="hdpe_basic"/>
      <sheetName val="t_prsr"/>
      <sheetName val="wh"/>
      <sheetName val="PIPES BASIC RATES"/>
      <sheetName val="Data Road"/>
      <sheetName val="ROAD-Lead"/>
      <sheetName val="Global factors"/>
      <sheetName val="Design"/>
      <sheetName val="factors"/>
      <sheetName val="IDCCALHYD_GOO"/>
      <sheetName val="Abstrct_3"/>
      <sheetName val="Part_A3"/>
      <sheetName val="Plant_&amp;__Machinery2"/>
      <sheetName val="Lead_statement_ss52"/>
      <sheetName val="Abstr#t_2"/>
      <sheetName val="Bridge_Data_2005-061"/>
      <sheetName val="Lead_statement1"/>
      <sheetName val="MRoad_data1"/>
      <sheetName val="Bitumen_trunk1"/>
      <sheetName val="R99_etc1"/>
      <sheetName val="Trunk_unpaved1"/>
      <sheetName val="Data_F8_BTR1"/>
      <sheetName val="GROUND_FLOOR1"/>
      <sheetName val="abs_road1"/>
      <sheetName val="Road_data1"/>
      <sheetName val="TS_memo1"/>
      <sheetName val="C_D_Abs_Est_1"/>
      <sheetName val="Main_sheet"/>
      <sheetName val="CD_Data2"/>
      <sheetName val="scour_depth"/>
      <sheetName val="Common_1"/>
      <sheetName val="Road_Detail_Est_"/>
      <sheetName val="data_existing_do_not_delete"/>
      <sheetName val="Rate_analysis-civil"/>
      <sheetName val="PH_data"/>
      <sheetName val="GF_Columns"/>
      <sheetName val="Estimate_"/>
      <sheetName val="Mix_Design"/>
      <sheetName val="Specification_report"/>
      <sheetName val="PVC_weights"/>
      <sheetName val="Data_rough"/>
      <sheetName val="G_R_P"/>
      <sheetName val="PSC_REVISED"/>
      <sheetName val="other_rates"/>
      <sheetName val="ITB_COST"/>
      <sheetName val="Watersoft_(2)"/>
      <sheetName val="Staff_Acco_"/>
      <sheetName val="Flanged_Beams"/>
      <sheetName val="Rectangular_Beam"/>
      <sheetName val="final_abstract"/>
      <sheetName val="DL_CAL"/>
      <sheetName val="mtc esti"/>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sheetData sheetId="238"/>
      <sheetData sheetId="239"/>
      <sheetData sheetId="240"/>
      <sheetData sheetId="241"/>
      <sheetData sheetId="242"/>
      <sheetData sheetId="243"/>
      <sheetData sheetId="244"/>
      <sheetData sheetId="245"/>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Bitumen trunk"/>
      <sheetName val="Feeder"/>
      <sheetName val="R99 etc"/>
      <sheetName val="Trunk unpaved"/>
      <sheetName val="rdamdata"/>
      <sheetName val="detls"/>
      <sheetName val="data-WC"/>
      <sheetName val="DATA-BASE"/>
      <sheetName val="DATA-ABSTRACT"/>
      <sheetName val="data existing_do not delete"/>
      <sheetName val="leads"/>
      <sheetName val="coverpage"/>
      <sheetName val="Road data"/>
      <sheetName val="MRATES"/>
      <sheetName val="r"/>
      <sheetName val="RMR"/>
      <sheetName val="t_prsr"/>
      <sheetName val="id"/>
      <sheetName val="Estimate 10.00 Lakhs "/>
      <sheetName val="mlead"/>
      <sheetName val="abs road"/>
      <sheetName val="R_Det"/>
      <sheetName val="lead-st"/>
      <sheetName val="segments-details"/>
      <sheetName val="int-Dia-hdpe"/>
      <sheetName val="int-Dia-pvc"/>
      <sheetName val="Common "/>
      <sheetName val="v"/>
      <sheetName val="ewst"/>
      <sheetName val="Specification report"/>
      <sheetName val="wh_data_R"/>
      <sheetName val="Sheet5"/>
      <sheetName val="Staff Acco."/>
      <sheetName val="Rates"/>
      <sheetName val="m"/>
      <sheetName val="maya"/>
      <sheetName val="One_vent_Pipe"/>
      <sheetName val="Four_vents"/>
      <sheetName val="two_vents"/>
      <sheetName val="One_vent_"/>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_vent_Pipe1"/>
      <sheetName val="Four_vents1"/>
      <sheetName val="two_vents1"/>
      <sheetName val="One_vent_1"/>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One_vent_Pipe5"/>
      <sheetName val="Four_vents5"/>
      <sheetName val="two_vents5"/>
      <sheetName val="One_vent_5"/>
      <sheetName val="Plant_&amp;__Machinery5"/>
      <sheetName val="Lead_statement_(2)5"/>
      <sheetName val="Lead_statement5"/>
      <sheetName val="Summary_of_Rates5"/>
      <sheetName val="Basic_Approach5"/>
      <sheetName val="Lead_(2)5"/>
      <sheetName val="Data_(2)5"/>
      <sheetName val="6_5%_(2)5"/>
      <sheetName val="est_(2)5"/>
      <sheetName val="Abstract_(2)5"/>
      <sheetName val="key_(2)5"/>
      <sheetName val="pro-B_(2)5"/>
      <sheetName val="est__(mord)5"/>
      <sheetName val="est(old)_5"/>
      <sheetName val="6_5%5"/>
      <sheetName val="One_vent_Pipe3"/>
      <sheetName val="Four_vents3"/>
      <sheetName val="two_vents3"/>
      <sheetName val="One_vent_3"/>
      <sheetName val="Plant_&amp;__Machinery3"/>
      <sheetName val="Lead_statement_(2)3"/>
      <sheetName val="Lead_statement3"/>
      <sheetName val="Summary_of_Rates3"/>
      <sheetName val="Basic_Approach3"/>
      <sheetName val="Lead_(2)3"/>
      <sheetName val="Data_(2)3"/>
      <sheetName val="6_5%_(2)3"/>
      <sheetName val="est_(2)3"/>
      <sheetName val="Abstract_(2)3"/>
      <sheetName val="key_(2)3"/>
      <sheetName val="pro-B_(2)3"/>
      <sheetName val="est__(mord)3"/>
      <sheetName val="est(old)_3"/>
      <sheetName val="6_5%3"/>
      <sheetName val="One_vent_Pipe2"/>
      <sheetName val="Four_vents2"/>
      <sheetName val="two_vents2"/>
      <sheetName val="One_vent_2"/>
      <sheetName val="Plant_&amp;__Machinery2"/>
      <sheetName val="Lead_statement_(2)2"/>
      <sheetName val="Lead_statement2"/>
      <sheetName val="Summary_of_Rates2"/>
      <sheetName val="Basic_Approach2"/>
      <sheetName val="Lead_(2)2"/>
      <sheetName val="Data_(2)2"/>
      <sheetName val="6_5%_(2)2"/>
      <sheetName val="est_(2)2"/>
      <sheetName val="Abstract_(2)2"/>
      <sheetName val="key_(2)2"/>
      <sheetName val="pro-B_(2)2"/>
      <sheetName val="est__(mord)2"/>
      <sheetName val="est(old)_2"/>
      <sheetName val="6_5%2"/>
      <sheetName val="One_vent_Pipe4"/>
      <sheetName val="Four_vents4"/>
      <sheetName val="two_vents4"/>
      <sheetName val="One_vent_4"/>
      <sheetName val="Plant_&amp;__Machinery4"/>
      <sheetName val="Lead_statement_(2)4"/>
      <sheetName val="Lead_statement4"/>
      <sheetName val="Summary_of_Rates4"/>
      <sheetName val="Basic_Approach4"/>
      <sheetName val="Lead_(2)4"/>
      <sheetName val="Data_(2)4"/>
      <sheetName val="6_5%_(2)4"/>
      <sheetName val="est_(2)4"/>
      <sheetName val="Abstract_(2)4"/>
      <sheetName val="key_(2)4"/>
      <sheetName val="pro-B_(2)4"/>
      <sheetName val="est__(mord)4"/>
      <sheetName val="est(old)_4"/>
      <sheetName val="6_5%4"/>
      <sheetName val="HDPE"/>
      <sheetName val="DI"/>
      <sheetName val="pvc"/>
      <sheetName val="hdpe_basic"/>
      <sheetName val="pvc_basic"/>
      <sheetName val="final abstract"/>
      <sheetName val="p&amp;m"/>
      <sheetName val="Levels"/>
      <sheetName val="pvc-pipe-rates"/>
      <sheetName val="wh"/>
      <sheetName val="m1"/>
      <sheetName val="Sheet1 (2)"/>
      <sheetName val="Lead statement ss5"/>
      <sheetName val="RAFT"/>
      <sheetName val="scour depth"/>
      <sheetName val="SUMP1420KL@HW"/>
      <sheetName val="Bill-12"/>
      <sheetName val="Bitumen_trunk"/>
      <sheetName val="R99_etc"/>
      <sheetName val="Trunk_unpaved"/>
      <sheetName val="Bitumen_trunk1"/>
      <sheetName val="R99_etc1"/>
      <sheetName val="Trunk_unpaved1"/>
      <sheetName val="Data.F8.BTR"/>
      <sheetName val="C.D.Abs.Est."/>
      <sheetName val="boredetails"/>
      <sheetName val="GF SB Ok "/>
      <sheetName val="inWords"/>
      <sheetName val="Data o"/>
      <sheetName val="Usage "/>
      <sheetName val="Data_Base"/>
      <sheetName val="Input"/>
      <sheetName val="Plant &amp;  Machiner"/>
      <sheetName val="Line"/>
      <sheetName val="Iocount"/>
      <sheetName val="DATA SHEET FOR 2014-15"/>
      <sheetName val="General"/>
      <sheetName val="60-70"/>
      <sheetName val="80-100"/>
      <sheetName val="Emulsion MS"/>
      <sheetName val=" HSD"/>
      <sheetName val="BM-HOOP"/>
      <sheetName val="DATA SHEET FOR 2012 - 13"/>
      <sheetName val="quarry"/>
      <sheetName val="WATER-HAMMER"/>
      <sheetName val="SSR 2016-17 Rates"/>
      <sheetName val="ABS"/>
      <sheetName val="Nspt-smp-final-ORIGINAL"/>
      <sheetName val="sectorwise"/>
      <sheetName val="CS "/>
      <sheetName val="Work_sheet"/>
      <sheetName val="SSR 2015-16"/>
      <sheetName val="DATA_PRG"/>
      <sheetName val="labour coeff"/>
      <sheetName val="dBase"/>
      <sheetName val="SubAnalysis"/>
      <sheetName val="data_existing_do_not_delete"/>
      <sheetName val="Estimate_10_00_Lakhs_"/>
      <sheetName val="abs_road"/>
      <sheetName val="Road_data"/>
      <sheetName val="Specification_report"/>
      <sheetName val="Common_"/>
      <sheetName val="One_vent_Pipe6"/>
      <sheetName val="Four_vents6"/>
      <sheetName val="two_vents6"/>
      <sheetName val="One_vent_6"/>
      <sheetName val="Plant_&amp;__Machinery6"/>
      <sheetName val="Lead_statement_(2)6"/>
      <sheetName val="Lead_statement6"/>
      <sheetName val="Summary_of_Rates6"/>
      <sheetName val="Basic_Approach6"/>
      <sheetName val="Lead_(2)6"/>
      <sheetName val="Data_(2)6"/>
      <sheetName val="6_5%_(2)6"/>
      <sheetName val="est_(2)6"/>
      <sheetName val="Abstract_(2)6"/>
      <sheetName val="key_(2)6"/>
      <sheetName val="pro-B_(2)6"/>
      <sheetName val="est__(mord)6"/>
      <sheetName val="est(old)_6"/>
      <sheetName val="6_5%6"/>
      <sheetName val="Abs_PMRL"/>
      <sheetName val="basdat"/>
      <sheetName val="Masonry"/>
      <sheetName val="LOCAL RATES"/>
      <sheetName val="Main"/>
      <sheetName val="GN-ST-10"/>
      <sheetName val="sg-clay(d)"/>
      <sheetName val="Design of two-way slab"/>
      <sheetName val="INPUT-DATA"/>
      <sheetName val="slab"/>
      <sheetName val="basic-data"/>
      <sheetName val="HDPE-pipe-rates"/>
      <sheetName val="other rates"/>
      <sheetName val=" data sheet "/>
      <sheetName val="CPI"/>
      <sheetName val="WPI C"/>
      <sheetName val="WPI all"/>
      <sheetName val="WPI HM"/>
      <sheetName val="WPI S"/>
      <sheetName val="hdpe weights"/>
      <sheetName val="PVC weights"/>
      <sheetName val="index"/>
      <sheetName val="SSR 2010-11 Rates"/>
      <sheetName val="DISCOUNT"/>
      <sheetName val="Rates SSR 2008-09"/>
      <sheetName val="Bridge Data 2005-06"/>
      <sheetName val="Road Detail Est."/>
      <sheetName val="L040"/>
      <sheetName val="habs-list"/>
      <sheetName val="bundqty"/>
      <sheetName val="Lead (Final)"/>
      <sheetName val="Specification"/>
      <sheetName val="C-data"/>
      <sheetName val="XXXXX"/>
      <sheetName val="PIPE_CULVERT-MODEL"/>
      <sheetName val="APPROCH-ROAD-CD-WELL-FNDN-ITEMS"/>
      <sheetName val="Road-NF"/>
      <sheetName val="Gen Abs-2ndNF"/>
      <sheetName val="TS-memo"/>
      <sheetName val="Bridge Est"/>
      <sheetName val="GS comp"/>
      <sheetName val="Gen Abs"/>
      <sheetName val="Cover"/>
      <sheetName val="SPR"/>
      <sheetName val="Bridge-ESTT"/>
      <sheetName val="bridge est comp"/>
      <sheetName val="RW 2 Sub est"/>
      <sheetName val="Approch-BT-CC-Road-Estt"/>
      <sheetName val="Hire"/>
      <sheetName val="Conv"/>
      <sheetName val="SLAB_CULVERTS-MODEL"/>
      <sheetName val="CD-Works-Gen Abs"/>
      <sheetName val="Road_Furniture"/>
      <sheetName val="RSI-ESTT"/>
      <sheetName val="MTC-ABS"/>
      <sheetName val="MTC-estimate"/>
      <sheetName val="Data Roads-Filter-1"/>
      <sheetName val="DATA-CD-Filter-3"/>
      <sheetName val="Sei-Charges-Master"/>
      <sheetName val="Bridge-Datas-4"/>
      <sheetName val="Bridge-Well foundation data-5"/>
      <sheetName val="Road Furniture-Data-6"/>
      <sheetName val="Data New Tech-Filter-2"/>
      <sheetName val="User-Instructions"/>
      <sheetName val="TRAFF-COUNT"/>
      <sheetName val="CRUST-CD-RSI-DETAILS"/>
      <sheetName val="Periodic_Mtc_Estt"/>
      <sheetName val="Google-Map"/>
      <sheetName val="MTC-Table"/>
      <sheetName val="Drains"/>
      <sheetName val="1v_600_PC"/>
      <sheetName val="2v_600_PC"/>
      <sheetName val="3v_600_PC"/>
      <sheetName val="1v_900_PC"/>
      <sheetName val="2v_900_PC"/>
      <sheetName val="3v_900_PC"/>
      <sheetName val="1v_1000_PC"/>
      <sheetName val="Schedule-A-Filter"/>
      <sheetName val="Schedule-A (Part-B)"/>
      <sheetName val="temp-calculations"/>
      <sheetName val="2v_1000_PC"/>
      <sheetName val="3v_1000_PC"/>
      <sheetName val="SC-1"/>
      <sheetName val="SC-2"/>
      <sheetName val="SC-3"/>
      <sheetName val="SC-4"/>
      <sheetName val="SC-5"/>
      <sheetName val="SC-6"/>
      <sheetName val="SC-7"/>
      <sheetName val="SC-8"/>
      <sheetName val="SC-9"/>
      <sheetName val="RD_1"/>
      <sheetName val="RD_2"/>
      <sheetName val="RD_3"/>
      <sheetName val="3v_600_RDVENTS"/>
      <sheetName val="3v_900_RDVENTS"/>
      <sheetName val="3v_1000_RDVENTS"/>
      <sheetName val="RCCPipes"/>
      <sheetName val="CC_WC"/>
      <sheetName val="Retaining-wall_1"/>
      <sheetName val="Retaining-wall_2"/>
      <sheetName val="Retaining-wall_3"/>
      <sheetName val="450-mmDia_Pipes_Crossings"/>
      <sheetName val="FORM7"/>
      <sheetName val="BWSCPlt"/>
      <sheetName val="CI"/>
      <sheetName val="G.R.P"/>
      <sheetName val="PSC REVISED"/>
      <sheetName val="beam-reinft-IIInd floor"/>
      <sheetName val="Lookup"/>
      <sheetName val="Data_Bit_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109">
          <cell r="D109">
            <v>48.6</v>
          </cell>
        </row>
        <row r="110">
          <cell r="D110">
            <v>18</v>
          </cell>
        </row>
        <row r="111">
          <cell r="D111">
            <v>3</v>
          </cell>
        </row>
        <row r="113">
          <cell r="D113">
            <v>4304.08</v>
          </cell>
        </row>
        <row r="114">
          <cell r="D114">
            <v>3301.82</v>
          </cell>
        </row>
        <row r="117">
          <cell r="D117">
            <v>918.77</v>
          </cell>
        </row>
      </sheetData>
      <sheetData sheetId="12" refreshError="1"/>
      <sheetData sheetId="13" refreshError="1"/>
      <sheetData sheetId="14" refreshError="1"/>
      <sheetData sheetId="15" refreshError="1">
        <row r="3">
          <cell r="D3">
            <v>156</v>
          </cell>
        </row>
        <row r="5">
          <cell r="D5">
            <v>137</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sheetData sheetId="101" refreshError="1"/>
      <sheetData sheetId="102" refreshError="1"/>
      <sheetData sheetId="103" refreshError="1"/>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sheetData sheetId="275"/>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Data"/>
      <sheetName val="Leads"/>
      <sheetName val="I.R.P"/>
      <sheetName val="open well"/>
      <sheetName val="ringwell"/>
      <sheetName val="bwell"/>
      <sheetName val="Lead"/>
      <sheetName val="coverpage"/>
      <sheetName val="Road data"/>
      <sheetName val="boredetails"/>
      <sheetName val="DATA-BASE"/>
      <sheetName val="DATA-ABSTRACT"/>
      <sheetName val="r"/>
      <sheetName val="Labour"/>
      <sheetName val="Material"/>
      <sheetName val="Abs"/>
      <sheetName val="Plant &amp;  Machinery"/>
      <sheetName val="data existing_do not delete"/>
      <sheetName val="Bitumen trunk"/>
      <sheetName val="Feeder"/>
      <sheetName val="R99 etc"/>
      <sheetName val="Trunk unpaved"/>
      <sheetName val="v"/>
      <sheetName val="Data.F8.BTR"/>
      <sheetName val="Lead statement ss5"/>
      <sheetName val="Lead statement"/>
      <sheetName val="census91"/>
      <sheetName val="m"/>
      <sheetName val="Fill this out first..."/>
      <sheetName val="Usage"/>
      <sheetName val="Common "/>
      <sheetName val="General"/>
      <sheetName val="segments-details"/>
      <sheetName val="int-Dia-hdpe"/>
      <sheetName val="int-Dia-pvc"/>
      <sheetName val="PVC_dia"/>
      <sheetName val="labour coeff"/>
      <sheetName val="Data rough"/>
      <sheetName val="maya"/>
      <sheetName val="DATA_PRG"/>
      <sheetName val="M30"/>
      <sheetName val="MRATES"/>
      <sheetName val="rdamdata"/>
      <sheetName val="MTC-estimate"/>
      <sheetName val="QTY"/>
      <sheetName val="Sheet9"/>
      <sheetName val="Nspt-smp-final-ORIGINAL"/>
      <sheetName val="I_R_P"/>
      <sheetName val="open_well"/>
      <sheetName val="I_R_P1"/>
      <sheetName val="open_well1"/>
      <sheetName val="ACS(1)"/>
      <sheetName val="FAS-C(4)"/>
      <sheetName val="CCTV(old)"/>
      <sheetName val="CD Data"/>
      <sheetName val="Lead-1"/>
      <sheetName val="Staff Acco."/>
      <sheetName val="Sheet2"/>
      <sheetName val="pvc_basic"/>
      <sheetName val="gen"/>
      <sheetName val="GF SB Ok "/>
      <sheetName val="Labour Charges"/>
      <sheetName val="lead-st"/>
      <sheetName val="BWSCPlt"/>
      <sheetName val="CI"/>
      <sheetName val="DI"/>
      <sheetName val="G.R.P"/>
      <sheetName val="HDPE"/>
      <sheetName val="PSC REVISED"/>
      <sheetName val="pvc"/>
      <sheetName val="Habcodes"/>
      <sheetName val="Rates"/>
      <sheetName val="lead charges"/>
      <sheetName val="mlead"/>
      <sheetName val="abs road"/>
      <sheetName val="RMR"/>
      <sheetName val="R_Det"/>
      <sheetName val="detls"/>
      <sheetName val="wh_data_R"/>
      <sheetName val="SSR 2015-16"/>
      <sheetName val="nodes"/>
      <sheetName val="int-Dia"/>
      <sheetName val="habs-list"/>
      <sheetName val="Watersoft (2)"/>
      <sheetName val="PM&amp;GM"/>
      <sheetName val="AV-DI"/>
      <sheetName val="AV-PVC"/>
      <sheetName val="DIgate_PVC "/>
      <sheetName val="scour-DI-CI"/>
      <sheetName val="scour-pvc-hdpe-psc-bwsc"/>
      <sheetName val="11.Habitations"/>
      <sheetName val="BM-HOOP"/>
      <sheetName val="137-140"/>
      <sheetName val="141-142"/>
      <sheetName val="ElectricalSSR"/>
      <sheetName val="l"/>
      <sheetName val="Levels"/>
      <sheetName val="0000000000000"/>
      <sheetName val="Dayworks Bill"/>
      <sheetName val="Bills of Quantities"/>
      <sheetName val="DataInput"/>
      <sheetName val="DataInput-1"/>
      <sheetName val="DI Rate Analysis"/>
      <sheetName val="Economic RisingMain  Ph-I"/>
      <sheetName val="C-data"/>
      <sheetName val="hdpe_basic"/>
      <sheetName val="Schedule-A"/>
      <sheetName val="hab-details"/>
      <sheetName val="f8LEAD"/>
      <sheetName val="3405-2014"/>
      <sheetName val="SSR 2016-17"/>
      <sheetName val="Mtc-Abs"/>
      <sheetName val="Estimate "/>
      <sheetName val="m1"/>
    </sheetNames>
    <sheetDataSet>
      <sheetData sheetId="0" refreshError="1"/>
      <sheetData sheetId="1" refreshError="1"/>
      <sheetData sheetId="2" refreshError="1">
        <row r="9">
          <cell r="Q9">
            <v>171.75</v>
          </cell>
        </row>
        <row r="36">
          <cell r="Q36">
            <v>395.375</v>
          </cell>
        </row>
        <row r="39">
          <cell r="Q39">
            <v>1061.97</v>
          </cell>
        </row>
      </sheetData>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User-Instructions"/>
      <sheetName val="INPUT-SHEET"/>
      <sheetName val="COVER"/>
      <sheetName val="SPR"/>
      <sheetName val="TRAFF-Count-ESAL-Cal"/>
      <sheetName val="SP-72 DESIGN(1)"/>
      <sheetName val="SP-72 (2)"/>
      <sheetName val="Gen Abs"/>
      <sheetName val="Det esti"/>
      <sheetName val="CD Abs"/>
      <sheetName val="Road-furniture"/>
      <sheetName val="MTC-ABS"/>
      <sheetName val="MTC-estimate"/>
      <sheetName val="LEAD"/>
      <sheetName val="Data-Road "/>
      <sheetName val="DATA-CD"/>
      <sheetName val="Road Furniture-Data"/>
      <sheetName val="Mtc-data"/>
      <sheetName val="1v_600_PC"/>
      <sheetName val="1v_900_PC"/>
      <sheetName val="1v_1000_PC"/>
      <sheetName val="2v_600_PC"/>
      <sheetName val="2v_900_PC"/>
      <sheetName val="2v_1000_PC"/>
      <sheetName val="sc_1v_2m"/>
      <sheetName val="sc_1v_3m"/>
      <sheetName val="sc_2v_5m"/>
      <sheetName val="sc_2v_3m"/>
      <sheetName val="RD"/>
      <sheetName val="3v_600_RDVENTS"/>
      <sheetName val="CC_WC"/>
      <sheetName val="Retaining-wall"/>
      <sheetName val="Drains"/>
      <sheetName val="Seig_Cal"/>
      <sheetName val="Schedule-A"/>
      <sheetName val="temp-ws"/>
      <sheetName val="other rates"/>
      <sheetName val="Hire"/>
      <sheetName val="Conv"/>
      <sheetName val="NP3 pipes"/>
      <sheetName val="NP3 collars"/>
      <sheetName val="MTC-Table"/>
      <sheetName val="Cd-qty-ws"/>
      <sheetName val="Sheet1"/>
      <sheetName val="Bitumen trunk"/>
      <sheetName val="Feeder"/>
      <sheetName val="R99 etc"/>
      <sheetName val="Trunk unpaved"/>
      <sheetName val="Labour"/>
      <sheetName val="Materi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47">
          <cell r="K47">
            <v>0.13614999999999999</v>
          </cell>
        </row>
        <row r="53">
          <cell r="D53" t="str">
            <v>PR ,SD,Wanaparthy-II</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CD-DATA"/>
      <sheetName val="F7-1v1000-0 (3)"/>
      <sheetName val="DATA"/>
      <sheetName val="F6-Estt"/>
      <sheetName val="ABST(PART B) "/>
      <sheetName val="F6-Gnrl Abstrt"/>
      <sheetName val="Cover-MEstt."/>
      <sheetName val="Specification"/>
      <sheetName val="v"/>
      <sheetName val="leads"/>
      <sheetName val="r"/>
      <sheetName val="Labour"/>
      <sheetName val=" data sheet "/>
      <sheetName val="sectorwise"/>
      <sheetName val="F7-1v1000-0_(3)"/>
      <sheetName val="ABST(PART_B)_"/>
      <sheetName val="F6-Gnrl_Abstrt"/>
      <sheetName val="Cover-MEstt_"/>
      <sheetName val="Road Detail Est."/>
      <sheetName val="Road data"/>
      <sheetName val="detls"/>
      <sheetName val="Levels"/>
      <sheetName val="maya"/>
      <sheetName val="Sheet3"/>
      <sheetName val="Material"/>
      <sheetName val="Plant &amp;  Machinery"/>
      <sheetName val="stone"/>
      <sheetName val="index"/>
      <sheetName val="FF WRK"/>
      <sheetName val="ABS"/>
      <sheetName val="GF SB Ok "/>
      <sheetName val="HYDcal"/>
      <sheetName val="nodes"/>
      <sheetName val="MRATES"/>
      <sheetName val="t_prsr"/>
      <sheetName val="Lookup"/>
      <sheetName val="ESTIMATE"/>
      <sheetName val="Data_Bit_I"/>
      <sheetName val="DISCOUNT"/>
      <sheetName val="MTC-estimate"/>
      <sheetName val="Main"/>
      <sheetName val="m"/>
      <sheetName val="Gen Abs"/>
      <sheetName val="Specification report"/>
      <sheetName val="lead-st"/>
      <sheetName val="MRoad data"/>
      <sheetName val="F7-1v1000-0_(3)1"/>
      <sheetName val="ABST(PART_B)_1"/>
      <sheetName val="F6-Gnrl_Abstrt1"/>
      <sheetName val="Cover-MEstt_1"/>
      <sheetName val="Road_Detail_Est_"/>
      <sheetName val="Road_data"/>
      <sheetName val="F7-1v1000-0_(3)2"/>
      <sheetName val="ABST(PART_B)_2"/>
      <sheetName val="F6-Gnrl_Abstrt2"/>
      <sheetName val="Cover-MEstt_2"/>
      <sheetName val="Road_Detail_Est_1"/>
      <sheetName val="Road_data1"/>
      <sheetName val="sand"/>
      <sheetName val="Input"/>
      <sheetName val="DI"/>
      <sheetName val="Sheet9"/>
      <sheetName val="Sheet1 (2)"/>
      <sheetName val="m1"/>
      <sheetName val="Nspt-smp-final-ORIGINAL"/>
      <sheetName val="cover (2)"/>
      <sheetName val="Sheet2"/>
      <sheetName val="labour coeff"/>
      <sheetName val="pvc_basic"/>
      <sheetName val="data existing_do not delete"/>
      <sheetName val="HP"/>
      <sheetName val="boredetails"/>
      <sheetName val="HYD PARTI"/>
      <sheetName val="11.Habitations"/>
      <sheetName val="pvc-pipe-rates"/>
      <sheetName val="rdamdata"/>
      <sheetName val="Bill_amt_qty_cc_1"/>
      <sheetName val="1V800"/>
      <sheetName val="other rates"/>
      <sheetName val="mlead"/>
      <sheetName val="Bitumen trunk"/>
      <sheetName val="Feeder"/>
      <sheetName val="R99 etc"/>
      <sheetName val="Trunk unpaved"/>
      <sheetName val="final abstract"/>
      <sheetName val="abs road"/>
      <sheetName val="Data.F8.BTR"/>
      <sheetName val="DATA-BASE"/>
      <sheetName val="DATA-ABSTRACT"/>
      <sheetName val="BALAN1"/>
      <sheetName val="Specification_report"/>
      <sheetName val="GF_SB_Ok_"/>
      <sheetName val="Data_Base"/>
      <sheetName val="Annex- 6 - Delinator"/>
      <sheetName val="General"/>
      <sheetName val="BWSCPlt"/>
      <sheetName val="CI"/>
      <sheetName val="G.R.P"/>
      <sheetName val="HDPE"/>
      <sheetName val="PSC REVISED"/>
      <sheetName val="pvc"/>
      <sheetName val="Sheet1"/>
      <sheetName val="Data o"/>
      <sheetName val="0000000000000"/>
      <sheetName val="DATA_PRG"/>
      <sheetName val="bldg"/>
      <sheetName val="ewst"/>
      <sheetName val="Mactan"/>
      <sheetName val="Mandaue"/>
      <sheetName val="Abutment "/>
      <sheetName val="Cover"/>
      <sheetName val="Iocount"/>
      <sheetName val="l"/>
      <sheetName val="wh"/>
      <sheetName val="Note"/>
      <sheetName val="C-data"/>
      <sheetName val="Lead statement ss5"/>
      <sheetName val="Rates"/>
      <sheetName val="RMR"/>
      <sheetName val="coverpage"/>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sheetName val="PumpHouse1.50X1.20"/>
      <sheetName val="PumpHouse1.20X0.90"/>
      <sheetName val="Sheet1"/>
      <sheetName val="maya"/>
      <sheetName val="PumpHouse 0.90X0.90"/>
      <sheetName val="CR"/>
      <sheetName val="GF SB Ok "/>
      <sheetName val="Leads"/>
      <sheetName val="LEAD"/>
      <sheetName val="MTC-estimate"/>
      <sheetName val="r"/>
      <sheetName val="Specification report"/>
      <sheetName val="Data"/>
      <sheetName val="FF WRK"/>
      <sheetName val="Labour"/>
      <sheetName val="Material"/>
      <sheetName val="Plant &amp;  Machinery"/>
      <sheetName val="DATA_PRG"/>
      <sheetName val="Abs"/>
      <sheetName val="m1"/>
      <sheetName val="RMR"/>
      <sheetName val="Road data"/>
      <sheetName val="Sheet9"/>
      <sheetName val="segments-details"/>
      <sheetName val="int-Dia-hdpe"/>
      <sheetName val="habs-list"/>
      <sheetName val="int-Dia-pvc"/>
      <sheetName val="final abstract"/>
      <sheetName val="Cover"/>
      <sheetName val="Common "/>
      <sheetName val="labour coeff"/>
      <sheetName val="DATA-BASE"/>
      <sheetName val="DATA-ABSTRACT"/>
      <sheetName val="Lead statement"/>
      <sheetName val="Sheet2"/>
      <sheetName val="detls"/>
      <sheetName val="Ind_plumb_det"/>
      <sheetName val="Data rough"/>
      <sheetName val="hdpe weights"/>
      <sheetName val="PVC weights"/>
      <sheetName val="Lead statement ss5"/>
      <sheetName val="HP"/>
      <sheetName val="v"/>
      <sheetName val="m"/>
      <sheetName val="Sheet5"/>
      <sheetName val="Bridge Data 2005-06"/>
      <sheetName val="Usage"/>
      <sheetName val="General"/>
      <sheetName val="MRATES"/>
      <sheetName val="data existing_do not delete"/>
      <sheetName val="C-data"/>
      <sheetName val="stone"/>
      <sheetName val="index"/>
      <sheetName val="rdamdata"/>
      <sheetName val="Levels"/>
      <sheetName val="Nspt-smp-final-ORIGINAL"/>
      <sheetName val="ssr-rates"/>
      <sheetName val="Bitumen trunk"/>
      <sheetName val="Feeder"/>
      <sheetName val="R99 etc"/>
      <sheetName val="Trunk unpaved"/>
      <sheetName val="HDPE"/>
      <sheetName val="DI"/>
      <sheetName val="pvc"/>
      <sheetName val="ewst"/>
      <sheetName val="Data.F8.BTR"/>
      <sheetName val="pvc_basic"/>
      <sheetName val="PumpHouse1_50X1_20"/>
      <sheetName val="PumpHouse1_20X0_90"/>
      <sheetName val="PumpHouse_0_90X0_90"/>
      <sheetName val="Specification_report"/>
      <sheetName val="PumpHouse1_50X1_201"/>
      <sheetName val="PumpHouse1_20X0_901"/>
      <sheetName val="PumpHouse_0_90X0_901"/>
      <sheetName val="Specification_report1"/>
      <sheetName val="PUMP_DATA"/>
      <sheetName val="Rates"/>
      <sheetName val="0000000000000"/>
      <sheetName val="Main"/>
      <sheetName val="Global factors"/>
    </sheetNames>
    <sheetDataSet>
      <sheetData sheetId="0"/>
      <sheetData sheetId="1"/>
      <sheetData sheetId="2"/>
      <sheetData sheetId="3"/>
      <sheetData sheetId="4" refreshError="1">
        <row r="69">
          <cell r="A69" t="str">
            <v xml:space="preserve">Earth work excation and depositing on bank with initial lead and lift in loamy and clayee soils as per ss301 for foundations </v>
          </cell>
        </row>
        <row r="70">
          <cell r="A70" t="str">
            <v xml:space="preserve">Earth work excation for ISOLATED works and depositing on bank with initial lead and lift in loamy and clayee soils as per ss301 for foundations </v>
          </cell>
        </row>
        <row r="71">
          <cell r="A71" t="str">
            <v>Labour Charges</v>
          </cell>
        </row>
        <row r="72">
          <cell r="A72" t="str">
            <v>C.C (1:6:10 ) Mix for Foundation Concrete to ISOLATED works using 40mm H.B.Q metal including cost &amp; conveyance of materials and labour charges seigniorage charges etc complete .</v>
          </cell>
        </row>
        <row r="73">
          <cell r="A73">
            <v>0</v>
          </cell>
        </row>
        <row r="74">
          <cell r="A74" t="str">
            <v>C.C (1:4:8 ) Mix for Foundation Concrete to ISOLATED works using 40mm H.B.G metal including cost &amp; conveyance of materials and labour charges seigniorage charges etc complete .</v>
          </cell>
        </row>
        <row r="75">
          <cell r="A75" t="str">
            <v>Country brick Masonary in CM(1:6)Mix for Superstructure including  cost &amp; conveyance of all materials labour charges,seigniorage chargec,curing etc complete .</v>
          </cell>
        </row>
        <row r="76">
          <cell r="A76" t="str">
            <v xml:space="preserve">Country brick Masonary in CM(1:6)Mix for foundation &amp; basement to VALVE CHAMBERS including  cost &amp; conveyance of all materials labour charges,seigniorage chargec,curing etc complete. </v>
          </cell>
        </row>
        <row r="77">
          <cell r="A77" t="str">
            <v xml:space="preserve">C.C (1:2:4) Mix using 20mm  H.B.G metal including cost &amp; conveyance of all materials and labour charges seigniorage charges etc complete for R.C.C items </v>
          </cell>
        </row>
        <row r="78">
          <cell r="A78" t="str">
            <v>Country brick Masonary in CM(1:6)Mix for Superstructure to VALVE CHABERS including  cost &amp; conveyance of all materials labour charges,seigniorage chargec,curing etc complete .</v>
          </cell>
        </row>
        <row r="79">
          <cell r="A79">
            <v>0</v>
          </cell>
        </row>
        <row r="80">
          <cell r="A80" t="str">
            <v>C.C.(1:2:4)mix</v>
          </cell>
        </row>
        <row r="81">
          <cell r="A81">
            <v>0</v>
          </cell>
        </row>
        <row r="82">
          <cell r="A82" t="str">
            <v>R.C.C.(1:2:4) mix for Side walls to VALVE CHAMBERS using 20mm HBG chips with necessary Qty of steel per 1 cum of concrete including C &amp; C of all materials and labour charges seig charges, centering , curing etc complete but excluding cost of steel and fab</v>
          </cell>
        </row>
        <row r="83">
          <cell r="A83" t="str">
            <v>Sand for mortor</v>
          </cell>
        </row>
        <row r="84">
          <cell r="A84" t="str">
            <v>R.C.C.(1:2:4) mix for Cover slab to VALVE CHAMBERS using 20mm HBG chips with necessary Qty of steel per 1 cum of concrete including C &amp; C of all materials and labour charges seig charges, centering , curing etc complete but excluding cost of steel and fab</v>
          </cell>
        </row>
        <row r="85">
          <cell r="A85" t="str">
            <v>Sand for mortor</v>
          </cell>
        </row>
        <row r="86">
          <cell r="A86" t="str">
            <v>R.C.C.(1:2:4) mix for Bottom slab to VALVE CHAMBERS using 20mm HBG chips with necessary Qty of steel per 1 cum of concrete including C &amp; C of all materials and labour charges seig charges, centering , curing etc complete but excluding cost of steel and fa</v>
          </cell>
        </row>
        <row r="87">
          <cell r="A87" t="str">
            <v>C.C (1:3:6) Mix  using 40mm  H.B.G metal including cost &amp; conveyance of all materials and labour charges seigniorage charges etc complete.</v>
          </cell>
        </row>
        <row r="88">
          <cell r="A88">
            <v>0</v>
          </cell>
        </row>
        <row r="89">
          <cell r="A89" t="str">
            <v xml:space="preserve">C.C (1:3:6) Mix using 20mm  H.B.G metal including cost &amp; conveyance of all materials and labour charges seigniorage charges etc complete.  </v>
          </cell>
        </row>
        <row r="90">
          <cell r="A90">
            <v>0</v>
          </cell>
        </row>
        <row r="91">
          <cell r="A91">
            <v>0</v>
          </cell>
        </row>
        <row r="92">
          <cell r="A92" t="str">
            <v>Labour Charges</v>
          </cell>
        </row>
        <row r="93">
          <cell r="A93">
            <v>0</v>
          </cell>
        </row>
        <row r="94">
          <cell r="A94">
            <v>0</v>
          </cell>
        </row>
        <row r="95">
          <cell r="A95">
            <v>0</v>
          </cell>
        </row>
        <row r="96">
          <cell r="A96" t="str">
            <v xml:space="preserve">Sanding filling in foundation and basement for ISOLATED works including cost &amp; conveyance of all materials and labour charges seig charges , wtering and tamping etc, complete  </v>
          </cell>
        </row>
        <row r="97">
          <cell r="A97">
            <v>0</v>
          </cell>
        </row>
        <row r="98">
          <cell r="A98">
            <v>0</v>
          </cell>
        </row>
      </sheetData>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leads"/>
      <sheetName val="maya"/>
      <sheetName val="Levels"/>
      <sheetName val="DATA-BASE"/>
      <sheetName val="DATA-ABSTRACT"/>
      <sheetName val="Cover-MEstt_"/>
      <sheetName val="ABST(PART_B)_"/>
      <sheetName val="F6-Gnrl_Abstrt"/>
      <sheetName val="Data_F8_BTR"/>
      <sheetName val="sub-data_-no_full"/>
      <sheetName val="Diff_stmnt_(2)"/>
      <sheetName val="rdamdata"/>
      <sheetName val="m"/>
      <sheetName val="Lead statement ss5"/>
      <sheetName val="DATA"/>
      <sheetName val="Plant &amp;  Machinery"/>
      <sheetName val="Material"/>
      <sheetName val="data existing_do not delete"/>
      <sheetName val="coverpage"/>
      <sheetName val="Road data"/>
      <sheetName val="v"/>
      <sheetName val="r"/>
      <sheetName val="HDPE-pipe-rates"/>
      <sheetName val="pvc-pipe-rates"/>
      <sheetName val="DISCHARGE"/>
      <sheetName val="3V 6mt "/>
      <sheetName val="lead-st"/>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C-data"/>
      <sheetName val="maya"/>
      <sheetName val="Lead"/>
      <sheetName val="leads"/>
      <sheetName val="r"/>
      <sheetName val="l"/>
      <sheetName val="pvc_basic"/>
      <sheetName val="Data.F8.BTR"/>
      <sheetName val="civ data"/>
      <sheetName val="LEAD (2)"/>
      <sheetName val="other rates (2)"/>
      <sheetName val="data"/>
      <sheetName val="IIDP caste Rural I"/>
      <sheetName val="Plant _  Machinery"/>
      <sheetName val="DATA-BASE"/>
      <sheetName val="DATA-ABSTRACT"/>
      <sheetName val="ABS"/>
      <sheetName val="HDPE"/>
      <sheetName val="DI"/>
      <sheetName val="pvc"/>
      <sheetName val="hdpe_basic"/>
      <sheetName val="HDPE-pipe-rates"/>
      <sheetName val="pvc-pipe-rates"/>
      <sheetName val="m"/>
      <sheetName val="rdamdata"/>
      <sheetName val="quarry"/>
      <sheetName val="HP"/>
      <sheetName val="MRATES"/>
      <sheetName val="lable I"/>
      <sheetName val="data-Bld-20-21"/>
      <sheetName val="Main"/>
      <sheetName val="GF SB Ok "/>
      <sheetName val="RAFT"/>
      <sheetName val="0000000000000"/>
      <sheetName val="stone"/>
      <sheetName val="index"/>
      <sheetName val="v"/>
      <sheetName val="data existing_do not delete"/>
      <sheetName val="Rates"/>
      <sheetName val="Cover"/>
      <sheetName val="Data_Bit_I"/>
    </sheetNames>
    <sheetDataSet>
      <sheetData sheetId="0"/>
      <sheetData sheetId="1"/>
      <sheetData sheetId="2" refreshError="1">
        <row r="4">
          <cell r="G4" t="str">
            <v>Input Rate</v>
          </cell>
        </row>
        <row r="13">
          <cell r="G13" t="str">
            <v>Input Rate</v>
          </cell>
        </row>
      </sheetData>
      <sheetData sheetId="3" refreshError="1">
        <row r="5">
          <cell r="D5">
            <v>137</v>
          </cell>
        </row>
      </sheetData>
      <sheetData sheetId="4" refreshError="1">
        <row r="130">
          <cell r="D130">
            <v>26000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 val="0000000000000"/>
      <sheetName val="XXXXXXXXXXXXX"/>
      <sheetName val="XXXXXXXXXXXX0"/>
      <sheetName val="Leadstatement "/>
      <sheetName val="exe"/>
      <sheetName val="insp"/>
      <sheetName val="sp"/>
      <sheetName val="Sheet3"/>
      <sheetName val="sub-est"/>
      <sheetName val="ann-b"/>
      <sheetName val="EWCal"/>
      <sheetName val="Sheet4"/>
      <sheetName val="COR.EST"/>
      <sheetName val="Abstrct-Part A"/>
      <sheetName val="Lead"/>
      <sheetName val="r"/>
      <sheetName val="Leads"/>
      <sheetName val="Data_Base"/>
      <sheetName val="maya"/>
      <sheetName val="Factory_rates"/>
      <sheetName val="lead-st"/>
      <sheetName val="rdamdata"/>
      <sheetName val="DATA-BASE"/>
      <sheetName val="Labour"/>
      <sheetName val="Material"/>
      <sheetName val="Levels"/>
      <sheetName val="Plant_&amp;__Machinery"/>
      <sheetName val="quarry"/>
      <sheetName val="v"/>
      <sheetName val="DATA-ABSTRACT"/>
      <sheetName val="Plant &amp;  Machinery"/>
      <sheetName val="Bridge Data 2005-06"/>
      <sheetName val="Common "/>
      <sheetName val="sup dat"/>
      <sheetName val="Abstrct "/>
      <sheetName val="Abstrct  CD works"/>
      <sheetName val="est"/>
      <sheetName val="Slab cul-2m span 1"/>
      <sheetName val="Slab cul-3m span 2"/>
      <sheetName val="Slab cul-2m span 3"/>
      <sheetName val="Slab cul-2m span 4"/>
      <sheetName val="CC over pitching"/>
      <sheetName val="Data CD"/>
      <sheetName val="Lead Statement"/>
      <sheetName val="package summary"/>
      <sheetName val="Nindugerla"/>
      <sheetName val="cc pavement(b)"/>
      <sheetName val="foundations (b)"/>
      <sheetName val="est  (mord)"/>
      <sheetName val="Check Slip"/>
      <sheetName val="Sub Estiamte (2)"/>
      <sheetName val="Field Data"/>
      <sheetName val="Field Data (2)"/>
      <sheetName val="Field Data (3)"/>
      <sheetName val="3day Count"/>
      <sheetName val="Gen. Abstract"/>
      <sheetName val="Sheet2"/>
      <sheetName val="in Put sheet"/>
      <sheetName val="Part-A"/>
      <sheetName val="other rates"/>
      <sheetName val="RMR"/>
      <sheetName val="clvrt_data"/>
      <sheetName val="Sheet9"/>
      <sheetName val="Plant_㫨__Machinery"/>
      <sheetName val="Plant 㫨  Machinery"/>
      <sheetName val="data existing_do not delete"/>
      <sheetName val="l"/>
      <sheetName val="HDPE"/>
      <sheetName val="DI"/>
      <sheetName val="pvc"/>
      <sheetName val="hdpe_basic"/>
      <sheetName val="pvc_basic"/>
      <sheetName val="Fie,d Data"/>
      <sheetName val="final abstract"/>
      <sheetName val="Estimate "/>
      <sheetName val="Data.F8.BTR"/>
      <sheetName val="hdpe-rates"/>
      <sheetName val="hdpe weights"/>
      <sheetName val="ssr-rates"/>
      <sheetName val="pvc-rates"/>
      <sheetName val="PVC weights"/>
      <sheetName val="Class IV Qtr. Ele"/>
      <sheetName val="MRATES"/>
      <sheetName val="DATA_ENTRY"/>
      <sheetName val="BTLeads"/>
      <sheetName val="GF SB Ok "/>
      <sheetName val="GN_ST_10"/>
      <sheetName val="pvc-pipe-rates"/>
      <sheetName val="LEAD S 10-11"/>
      <sheetName val="Gen Abs"/>
      <sheetName val="CD_Data"/>
      <sheetName val="Nspt-smp-final-ORIGINAL"/>
      <sheetName val="Work_sheet"/>
      <sheetName val="Sheet1 (2)"/>
      <sheetName val="GN-ST-10"/>
      <sheetName val="habs-list"/>
      <sheetName val="nodes"/>
      <sheetName val="Bitumen trunk"/>
      <sheetName val="R99 etc"/>
      <sheetName val="Trunk unpaved"/>
      <sheetName val="mas_hab"/>
      <sheetName val="sch"/>
      <sheetName val="entitlements"/>
      <sheetName val="Rates2"/>
      <sheetName val="Rates"/>
      <sheetName val="Specification report"/>
      <sheetName val="fnote"/>
      <sheetName val="int-Dia"/>
      <sheetName val="Usage"/>
      <sheetName val="General"/>
      <sheetName val="PRECAST lightconc-II"/>
      <sheetName val="detls"/>
      <sheetName val="mlead"/>
      <sheetName val="abs road"/>
      <sheetName val="road est"/>
      <sheetName val="Road data"/>
      <sheetName val="water-hammar-strenght"/>
      <sheetName val="AV-HDPE"/>
      <sheetName val="Di_gate-HDPE"/>
      <sheetName val="index"/>
      <sheetName val="LOCAL RATES"/>
      <sheetName val="Usage "/>
      <sheetName val="BTR"/>
      <sheetName val="Line"/>
      <sheetName val="dlvoid"/>
      <sheetName val="ESTIMATE"/>
      <sheetName val="hdpe_rates"/>
      <sheetName val="hdpe_wt-r"/>
      <sheetName val="Rate"/>
      <sheetName val="DATA_PRG"/>
      <sheetName val="Data rough"/>
      <sheetName val="Habcodes"/>
      <sheetName val="Door&amp;Window data"/>
      <sheetName val="Sheet5"/>
      <sheetName val="segments-details"/>
      <sheetName val="Main sheet"/>
      <sheetName val="QDTS"/>
      <sheetName val="Conv. 13-14"/>
      <sheetName val="GEN-ABS Del"/>
      <sheetName val="1V800"/>
      <sheetName val="sand"/>
      <sheetName val="stone"/>
      <sheetName val="Road Detail Est."/>
      <sheetName val="Rates SSR 2008-09"/>
      <sheetName val="Detailed"/>
      <sheetName val="id"/>
      <sheetName val="Cover"/>
      <sheetName val="Cover page  for Lead "/>
      <sheetName val="V.N.Pur 0.60MPGF"/>
      <sheetName val="B.W. BC COMMUNITY HALL"/>
      <sheetName val="AWB YALAL"/>
      <sheetName val="DOULAPUR "/>
      <sheetName val="Modal Estimate 2"/>
      <sheetName val="Modal Estimate "/>
      <sheetName val=" Ramp"/>
      <sheetName val="PS KOKAT"/>
      <sheetName val="Elec Estimate"/>
      <sheetName val="Sanitory Estimate"/>
      <sheetName val="Septic tank"/>
      <sheetName val="Bore &amp; Pumpset"/>
      <sheetName val="Furniture "/>
      <sheetName val="20 TNs Detailed Est "/>
      <sheetName val="Bar Bending Schedule"/>
      <sheetName val="Flush Door  Shutter Country"/>
      <sheetName val=" Compound wall  "/>
      <sheetName val="Datas"/>
      <sheetName val="Datas  Side wall "/>
      <sheetName val="Veternory  Desponsory  BLDG"/>
      <sheetName val="Rural Live stock"/>
      <sheetName val="Ele data "/>
      <sheetName val="Sanitary&amp;water supply DATA "/>
      <sheetName val=" Doors window- Country 2.0- 1.2"/>
      <sheetName val=" Doors window- Sal Wood "/>
      <sheetName val=" Doors window- Teak 17-18"/>
      <sheetName val=" Doors window- Country "/>
      <sheetName val=" Doors window- Country  -2.0 m"/>
      <sheetName val=" Doors and windows "/>
      <sheetName val="Conveyance"/>
      <sheetName val="MRoad data"/>
      <sheetName val="QTY"/>
      <sheetName val="BM-HOOP"/>
      <sheetName val="COVERPAGE"/>
      <sheetName val="CRUST"/>
      <sheetName val="Masonry"/>
      <sheetName val="C.D.Abs.Est."/>
      <sheetName val="Convey"/>
      <sheetName val="GBW"/>
      <sheetName val="Boq"/>
      <sheetName val="Suppl-data"/>
      <sheetName val="Main"/>
      <sheetName val="PUMP_DATA"/>
      <sheetName val="GM&amp;PM EST- final "/>
      <sheetName val="SSR"/>
      <sheetName val="RAM"/>
      <sheetName val="Data-all"/>
      <sheetName val="ewst"/>
      <sheetName val="int-dia-hdpe"/>
      <sheetName val="SCHEDULE"/>
      <sheetName val="Database"/>
      <sheetName val="schedule nos"/>
      <sheetName val="Summary"/>
      <sheetName val="JAWAHAR-hyd-original"/>
      <sheetName val="Pop"/>
      <sheetName val="DATA SHEET"/>
      <sheetName val="Lead statement ss5"/>
      <sheetName val="datas slabs, beams"/>
      <sheetName val="VKB-Sump-20-Kotalguda-wd"/>
      <sheetName val="VKB-60-12.95-Burgply-wd"/>
      <sheetName val="VKB60-12.95-Brgply-Specials"/>
      <sheetName val="steel price variation"/>
      <sheetName val="DI Wt"/>
      <sheetName val="VKB-60-30-Enkepally-we4"/>
      <sheetName val="ESSR"/>
      <sheetName val="tax sheet"/>
      <sheetName val="Steel &amp; PV"/>
      <sheetName val="CEMENT - PV"/>
      <sheetName val="Watersoft (2)"/>
      <sheetName val="HDPE-pipe-rates"/>
      <sheetName val="sectorwise"/>
      <sheetName val="R_Det"/>
      <sheetName val="Input Sheet"/>
      <sheetName val="cover page"/>
      <sheetName val="Specification Repoer"/>
      <sheetName val="DETAILED ESTIMATE (2)"/>
      <sheetName val="Data (2)"/>
      <sheetName val="DETAILED ESTIMATE"/>
      <sheetName val="detailed dt22.10.2014"/>
      <sheetName val="PSet(1Ph)"/>
      <sheetName val="comparative"/>
      <sheetName val="seigniorage"/>
      <sheetName val="electrification"/>
      <sheetName val="ELEC datas"/>
      <sheetName val="san data"/>
      <sheetName val="SEIGNORAGE"/>
      <sheetName val="SCHEDULE."/>
      <sheetName val="Est (2)"/>
      <sheetName val="report"/>
      <sheetName val="C-data"/>
      <sheetName val="Lead  RATES"/>
      <sheetName val="CI"/>
      <sheetName val="basic-data"/>
      <sheetName val="Data o"/>
      <sheetName val="Sump_cal"/>
      <sheetName val="pumping main"/>
      <sheetName val="co_5"/>
      <sheetName val="Material "/>
      <sheetName val="Rates-May-14"/>
      <sheetName val="DATA HM KM NB"/>
      <sheetName val="M5 900"/>
      <sheetName val="M7"/>
      <sheetName val="A.O.R."/>
      <sheetName val="Leadstatement_"/>
      <sheetName val="COR_EST"/>
      <sheetName val="Abstrct-Part_A"/>
      <sheetName val="Bridge_Data_2005-06"/>
      <sheetName val="Plant_&amp;__Machinery1"/>
      <sheetName val="Abstrct_"/>
      <sheetName val="Abstrct__CD_works"/>
      <sheetName val="Slab_cul-2m_span_1"/>
      <sheetName val="Slab_cul-3m_span_2"/>
      <sheetName val="Slab_cul-2m_span_3"/>
      <sheetName val="Slab_cul-2m_span_4"/>
      <sheetName val="CC_over_pitching"/>
      <sheetName val="Data_CD"/>
      <sheetName val="Lead_Statement"/>
      <sheetName val="package_summary"/>
      <sheetName val="cc_pavement(b)"/>
      <sheetName val="foundations_(b)"/>
      <sheetName val="est__(mord)"/>
      <sheetName val="Check_Slip"/>
      <sheetName val="Sub_Estiamte_(2)"/>
      <sheetName val="Field_Data"/>
      <sheetName val="Field_Data_(2)"/>
      <sheetName val="Field_Data_(3)"/>
      <sheetName val="3day_Count"/>
      <sheetName val="Gen__Abstract"/>
      <sheetName val="sup_dat"/>
      <sheetName val="Common_"/>
      <sheetName val="Specification_report"/>
      <sheetName val="Sheet1_(2)"/>
      <sheetName val="Class_IV_Qtr__Ele"/>
      <sheetName val="data_existing_do_not_delete"/>
      <sheetName val="other_rates"/>
      <sheetName val="in_Put_sheet"/>
      <sheetName val="Bitumen_trunk"/>
      <sheetName val="R99_etc"/>
      <sheetName val="Trunk_unpaved"/>
      <sheetName val="final_abstract"/>
      <sheetName val="Data_F8_BTR"/>
      <sheetName val="PRECAST_lightconc-II"/>
      <sheetName val="Plant_㫨__Machinery1"/>
      <sheetName val="Estimate_"/>
      <sheetName val="Conv__13-14"/>
      <sheetName val="GEN-ABS_Del"/>
      <sheetName val="Road_data"/>
      <sheetName val="Fie,d_Data"/>
      <sheetName val="hdpe_weights"/>
      <sheetName val="PVC_weights"/>
      <sheetName val="GF_SB_Ok_"/>
      <sheetName val="LEAD_S_10-11"/>
      <sheetName val="Gen_Abs"/>
      <sheetName val="Road_Detail_Est_"/>
      <sheetName val="Rates_SSR_2008-09"/>
      <sheetName val="Data_Bit_I"/>
      <sheetName val="leads-11-12"/>
      <sheetName val="PVC_dia"/>
      <sheetName val="Conveayance charges"/>
      <sheetName val="Hire"/>
      <sheetName val="SSR 2010-11 Rates"/>
      <sheetName val="TBAL9697 -group wise  sdpl"/>
      <sheetName val="Variables"/>
      <sheetName val="t_prsr"/>
      <sheetName val="wh"/>
      <sheetName val="calcul"/>
      <sheetName val="slab"/>
      <sheetName val="Staff Acco."/>
      <sheetName val="Feeder"/>
      <sheetName val="P "/>
      <sheetName val="InputData"/>
      <sheetName val="Spec"/>
      <sheetName val="evaluate"/>
      <sheetName val="_5wgdhabfinal00_01"/>
      <sheetName val="section"/>
      <sheetName val="BOQ Distribution"/>
      <sheetName val="iocount"/>
      <sheetName val="boredetails"/>
      <sheetName val="Sorted"/>
      <sheetName val="int-Dia-pvc"/>
      <sheetName val="BWSCPlt"/>
      <sheetName val="G.R.P"/>
      <sheetName val="PSC REVISED"/>
      <sheetName val="Lead- Input sheet "/>
      <sheetName val="FORM7"/>
      <sheetName val="wh_data_R"/>
      <sheetName val="#REF"/>
      <sheetName val="zone-8"/>
      <sheetName val="MHNO_LEV"/>
      <sheetName val="hyperstatic-3"/>
      <sheetName val="Stability"/>
      <sheetName val="LEAD LOOKUP"/>
      <sheetName val="20KL-12m"/>
      <sheetName val="ABS.C.D."/>
      <sheetName val="RF"/>
      <sheetName val="Data-ELSR"/>
      <sheetName val="Mortars"/>
      <sheetName val=" Data -Valves"/>
      <sheetName val="leads-c"/>
      <sheetName val="IDCCALHYD_GOO"/>
      <sheetName val="Input"/>
      <sheetName val="p&amp;m"/>
      <sheetName val="GA"/>
      <sheetName val="Dn LF Sluice"/>
      <sheetName val="Global factors"/>
      <sheetName val="SUMP1420KL@HW"/>
      <sheetName val="ultmom"/>
      <sheetName val="INPUT-DATA"/>
      <sheetName val="Flanged Beams"/>
      <sheetName val="SALIENT"/>
      <sheetName val="Rectangular Beam"/>
      <sheetName val="TOP SLAB-beams"/>
      <sheetName val="GM&amp;PM WE1 EST"/>
      <sheetName val="airvalve-AC PN 1.60"/>
      <sheetName val="Soft-sluice-AC,GRP PN 1.6"/>
      <sheetName val="soft-sluice-BWSC-MS"/>
      <sheetName val="DI sluice valve"/>
      <sheetName val="PS1"/>
      <sheetName val="Design"/>
      <sheetName val="DET R"/>
      <sheetName val="c.d.data (morth)"/>
      <sheetName val="rd.det.est"/>
      <sheetName val="rd.data"/>
      <sheetName val="mlead "/>
      <sheetName val="cert"/>
      <sheetName val="data-WC"/>
      <sheetName val="cover (2)"/>
      <sheetName val="Ghanapur to Suraram jn. det"/>
      <sheetName val="Basicrates"/>
      <sheetName val="Rd.Est"/>
      <sheetName val="civ data"/>
      <sheetName val="Mp-team 1"/>
      <sheetName val="Leads Entry"/>
      <sheetName val="Results"/>
      <sheetName val="ssr-rates-pipes"/>
      <sheetName val="Data chokanpally"/>
      <sheetName val="Ellis &amp; WS&amp;S"/>
      <sheetName val="Drip mould &amp; Elevation"/>
      <sheetName val="Trussess"/>
      <sheetName val="WATER-HAMMER"/>
      <sheetName val="MRMECADAMoad data"/>
      <sheetName val="Lookup"/>
      <sheetName val="Estt"/>
      <sheetName val="conc-foot-gradeslab"/>
      <sheetName val="Legal Risk Analysis"/>
      <sheetName val="TBAL9697_-group_wise__sdpl"/>
      <sheetName val="abs_road"/>
      <sheetName val="Lead__RATES"/>
      <sheetName val="Input_Sheet"/>
      <sheetName val="cover_page"/>
      <sheetName val="Specification_Repoer"/>
      <sheetName val="DETAILED_ESTIMATE_(2)"/>
      <sheetName val="Data_(2)"/>
      <sheetName val="DETAILED_ESTIMATE"/>
      <sheetName val="detailed_dt22_10_2014"/>
      <sheetName val="septic_tank"/>
      <sheetName val="ELEC_datas"/>
      <sheetName val="san_data"/>
      <sheetName val="SCHEDULE_"/>
      <sheetName val="Est_(2)"/>
      <sheetName val="PRICE BID"/>
      <sheetName val="11.Habitations"/>
      <sheetName val="well"/>
      <sheetName val="Rate Analysis"/>
      <sheetName val="SPT vs PHI"/>
      <sheetName val="EDWise"/>
      <sheetName val="Proj info- dump1"/>
      <sheetName val="PR-houdump"/>
      <sheetName val="temp-SDData (2)"/>
      <sheetName val="Circular Column"/>
      <sheetName val="Rising Main"/>
      <sheetName val="CPHEEO"/>
      <sheetName val="wh_data"/>
      <sheetName val="LIST"/>
      <sheetName val="Area Sheet NO 1"/>
      <sheetName val="HYDRAULICS"/>
      <sheetName val="FIRST"/>
      <sheetName val="STAMT"/>
      <sheetName val="Ene"/>
      <sheetName val="CODE BOOK REFERENCE"/>
      <sheetName val="Eg-2"/>
      <sheetName val="Eg-3"/>
      <sheetName val="Sheet11"/>
      <sheetName val="Sheet3-1"/>
      <sheetName val="JACKWELL"/>
      <sheetName val="Waterhammer"/>
      <sheetName val="Design of two-way slab"/>
      <sheetName val="DataInput"/>
      <sheetName val="DataInput-1"/>
      <sheetName val="DI Rate Analysis"/>
      <sheetName val="Economic RisingMain  Ph-I"/>
      <sheetName val="DESBASTE"/>
      <sheetName val="Eg-1"/>
      <sheetName val="Eg-4"/>
      <sheetName val="(4)F-81 Exp.side"/>
      <sheetName val="Relig-place"/>
      <sheetName val="PH data"/>
      <sheetName val="Leads 08-09"/>
      <sheetName val="ABSTRACT"/>
      <sheetName val="E6"/>
      <sheetName val="E8"/>
      <sheetName val="E11"/>
      <sheetName val="QUOT_1"/>
      <sheetName val="Sheet6"/>
      <sheetName val="Census_of_India_2001"/>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Pier Design(with offset)"/>
      <sheetName val="DI-AV-HDPE- Final "/>
      <sheetName val="DI_scour-DI-final"/>
      <sheetName val="DI_scour-pvc-hdpe-psc-bwsc"/>
      <sheetName val="DI SV on DI-final "/>
      <sheetName val="DI Sluice_HDPE"/>
      <sheetName val="D1_CO"/>
      <sheetName val="VATTEM_PALEM_BT_ROAD_15KM'S"/>
      <sheetName val="IIDP caste Rural I"/>
      <sheetName val="Material-Det"/>
      <sheetName val="ww-march-02"/>
      <sheetName val="zone-2"/>
      <sheetName val="FdnDes_Soil"/>
      <sheetName val="DVALUE"/>
      <sheetName val="THK"/>
      <sheetName val="FORM-16"/>
      <sheetName val="Data_rough"/>
      <sheetName val="Door&amp;Window_data"/>
      <sheetName val="Lead_statement_ss5"/>
      <sheetName val="GM&amp;PM_EST-_final_"/>
      <sheetName val="schedule_nos"/>
      <sheetName val="DATA_SHEET"/>
      <sheetName val="Main_sheet"/>
      <sheetName val="datas_slabs,_beams"/>
      <sheetName val="VKB-60-12_95-Burgply-wd"/>
      <sheetName val="VKB60-12_95-Brgply-Specials"/>
      <sheetName val="steel_price_variation"/>
      <sheetName val="DI_Wt"/>
      <sheetName val="tax_sheet"/>
      <sheetName val="Steel_&amp;_PV"/>
      <sheetName val="CEMENT_-_PV"/>
      <sheetName val="Watersoft_(2)"/>
      <sheetName val="G_R_P"/>
      <sheetName val="PSC_REVISED"/>
      <sheetName val="pumping_main"/>
      <sheetName val="MRoad_data"/>
      <sheetName val="Cover_page__for_Lead_"/>
      <sheetName val="V_N_Pur_0_60MPGF"/>
      <sheetName val="B_W__BC_COMMUNITY_HALL"/>
      <sheetName val="AWB_YALAL"/>
      <sheetName val="DOULAPUR_"/>
      <sheetName val="Modal_Estimate_2"/>
      <sheetName val="Modal_Estimate_"/>
      <sheetName val="_Ramp"/>
      <sheetName val="PS_KOKAT"/>
      <sheetName val="Elec_Estimate"/>
      <sheetName val="Sanitory_Estimate"/>
      <sheetName val="Bore_&amp;_Pumpset"/>
      <sheetName val="Furniture_"/>
      <sheetName val="20_TNs_Detailed_Est_"/>
      <sheetName val="Bar_Bending_Schedule"/>
      <sheetName val="Flush_Door__Shutter_Country"/>
      <sheetName val="_Compound_wall__"/>
      <sheetName val="Datas__Side_wall_"/>
      <sheetName val="Veternory__Desponsory__BLDG"/>
      <sheetName val="Rural_Live_stock"/>
      <sheetName val="Ele_data_"/>
      <sheetName val="Sanitary&amp;water_supply_DATA_"/>
      <sheetName val="_Doors_window-_Country_2_0-_1_2"/>
      <sheetName val="_Doors_window-_Sal_Wood_"/>
      <sheetName val="_Doors_window-_Teak_17-18"/>
      <sheetName val="_Doors_window-_Country_"/>
      <sheetName val="_Doors_window-_Country__-2_0_m"/>
      <sheetName val="_Doors_and_windows_"/>
      <sheetName val="LOCAL_RATES"/>
      <sheetName val="Usage_"/>
      <sheetName val="C_D_Abs_Est_"/>
      <sheetName val="road_est"/>
      <sheetName val="LEAD_LOOKUP"/>
      <sheetName val="RAFT"/>
      <sheetName val="ABUT"/>
      <sheetName val="ManpowerStat"/>
      <sheetName val="DOC-Register"/>
      <sheetName val="FT-05-02IsoBOM"/>
      <sheetName val="Abs_CD_2"/>
      <sheetName val="ECV"/>
      <sheetName val="works"/>
      <sheetName val="Gen.Abs."/>
      <sheetName val="D2_CO"/>
      <sheetName val="Cd"/>
      <sheetName val="Cs"/>
      <sheetName val="CPIPE"/>
      <sheetName val="CPIPE 1"/>
      <sheetName val="Analy_7-10"/>
      <sheetName val="BWSCP"/>
      <sheetName val="60kl-OHSR1-Price variation"/>
      <sheetName val="60KL-OHSR1-Embedded"/>
      <sheetName val="Abstract Final "/>
      <sheetName val="20kL-design-final"/>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cell r="D149" t="str">
            <v>Bijnepally</v>
          </cell>
        </row>
      </sheetData>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refreshError="1"/>
      <sheetData sheetId="65" refreshError="1"/>
      <sheetData sheetId="66" refreshError="1"/>
      <sheetData sheetId="67" refreshError="1"/>
      <sheetData sheetId="68" refreshError="1"/>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Hystmnt (2)"/>
      <sheetName val="Sheet2"/>
      <sheetName val="title"/>
      <sheetName val="spec"/>
      <sheetName val="need"/>
      <sheetName val="design"/>
      <sheetName val="estimate"/>
      <sheetName val="estPM"/>
      <sheetName val="distrib"/>
      <sheetName val="VC99"/>
      <sheetName val="VC96"/>
      <sheetName val="SP"/>
      <sheetName val="Pumproom"/>
      <sheetName val="ltrt"/>
      <sheetName val="pipe_data"/>
      <sheetName val="SPData"/>
      <sheetName val="hs"/>
      <sheetName val="pps"/>
      <sheetName val="map"/>
      <sheetName val="m_est"/>
      <sheetName val="feature"/>
      <sheetName val="glance"/>
      <sheetName val="master"/>
      <sheetName val="exec"/>
      <sheetName val="LBD"/>
      <sheetName val="CR"/>
      <sheetName val="00000"/>
      <sheetName val="AAAAAAAAAAAAA"/>
      <sheetName val="Revised rates(SSR 2014-15)"/>
      <sheetName val="ew OG"/>
      <sheetName val="ew-DiMs"/>
      <sheetName val="PVC"/>
      <sheetName val="HDPE"/>
      <sheetName val="AC"/>
      <sheetName val="DI"/>
      <sheetName val="CI"/>
      <sheetName val="GRP"/>
      <sheetName val="BWSCP"/>
      <sheetName val="MS data"/>
      <sheetName val="MS "/>
      <sheetName val="PSC"/>
      <sheetName val="MS"/>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Sheet1"/>
      <sheetName val="PVC weights"/>
      <sheetName val="leads"/>
      <sheetName val="PSC -pv"/>
      <sheetName val="GRP-pv"/>
      <sheetName val="index"/>
      <sheetName val="GAJWEL SEC EST"/>
      <sheetName val="Sheet6"/>
      <sheetName val="MRATES"/>
      <sheetName val="DataInput"/>
      <sheetName val="DataInput-1"/>
      <sheetName val="DI Rate Analysis"/>
      <sheetName val="Economic RisingMain  Ph-I"/>
      <sheetName val="rdamdata"/>
      <sheetName val="lead-st"/>
      <sheetName val="t_prsr"/>
      <sheetName val="id"/>
      <sheetName val="wh"/>
      <sheetName val="Hystmnt_(2)"/>
      <sheetName val="Global factors"/>
      <sheetName val="C-data"/>
      <sheetName val="Data rough"/>
      <sheetName val="maya"/>
      <sheetName val="Specification report"/>
      <sheetName val="DATA_PRG"/>
      <sheetName val="Data.F8.BTR"/>
      <sheetName val="Plant &amp;  Machinery"/>
      <sheetName val="Labour"/>
      <sheetName val="Material"/>
      <sheetName val="DATA-BASE"/>
      <sheetName val="detls"/>
      <sheetName val="DATA-ABSTRACT"/>
      <sheetName val="Di_gate-HDPE"/>
      <sheetName val="PUMP_DATA"/>
      <sheetName val="segments-details"/>
      <sheetName val="int-Dia-hdpe"/>
      <sheetName val="habs-list"/>
      <sheetName val="BWSCPlt"/>
      <sheetName val="G.R.P"/>
      <sheetName val="PSC REVISED"/>
      <sheetName val="sand"/>
      <sheetName val="stone"/>
      <sheetName val="Sheet9"/>
      <sheetName val="WATER-HAMMER"/>
      <sheetName val="m"/>
      <sheetName val="int-Dia"/>
      <sheetName val="nodes"/>
      <sheetName val="pvc_basic"/>
      <sheetName val="SUMP1420KL@HW"/>
      <sheetName val="GF SB Ok "/>
      <sheetName val="boredetails"/>
      <sheetName val="BM-HOOP"/>
      <sheetName val="census91"/>
      <sheetName val="hdpe_basic"/>
      <sheetName val="Common "/>
      <sheetName val="Lead"/>
      <sheetName val="Lead statement ss5"/>
      <sheetName val="Habcodes"/>
      <sheetName val="RAFT"/>
      <sheetName val="Basicdata-f"/>
      <sheetName val="Scour-f"/>
      <sheetName val="ABS"/>
      <sheetName val="AV-HDPE"/>
      <sheetName val="3405-2014"/>
      <sheetName val="Main sheet"/>
      <sheetName val="Watersoft (2)"/>
      <sheetName val="Revised rates(SSR 2015-16)"/>
      <sheetName val="Sump_cal"/>
      <sheetName val="11.Habitations"/>
      <sheetName val="water-hammar-strenght"/>
      <sheetName val="SSR 2014-15 Rates"/>
      <sheetName val="Lead statement"/>
      <sheetName val="FF WRK"/>
      <sheetName val="Works"/>
      <sheetName val="RMR"/>
      <sheetName val="General"/>
      <sheetName val="Estimate "/>
      <sheetName val="p&amp;m"/>
      <sheetName val="GA"/>
      <sheetName val="table"/>
      <sheetName val="SEGMENTS-nodes"/>
      <sheetName val="wh_data"/>
      <sheetName val="wh_data_R"/>
      <sheetName val="CPHEEO"/>
      <sheetName val="input"/>
      <sheetName val="v"/>
      <sheetName val="ww-march-02"/>
      <sheetName val="Staff Acco."/>
      <sheetName val="Part-A"/>
      <sheetName val="Data-2010-11"/>
      <sheetName val="data existing_do not delete"/>
      <sheetName val="sg-clay(d)"/>
      <sheetName val="Analy_7-10"/>
      <sheetName val="CABLE"/>
      <sheetName val="number"/>
      <sheetName val="zone-8"/>
      <sheetName val="MHNO_LEV"/>
      <sheetName val="Sheet3"/>
      <sheetName val="Sheet1 (2)"/>
      <sheetName val="wt of CID joint"/>
      <sheetName val="AC DAta"/>
      <sheetName val="Pipe Pilne MAch"/>
      <sheetName val="Sheet4"/>
      <sheetName val="Indurhty"/>
      <sheetName val="Indurhty 2016-17"/>
      <sheetName val="RAtes"/>
      <sheetName val="Sheet5"/>
      <sheetName val="Rate"/>
      <sheetName val="Wall W3"/>
      <sheetName val="final abstract"/>
      <sheetName val="Design of two-way slab"/>
      <sheetName val="Data Road"/>
      <sheetName val="Hystmnt_(2)1"/>
      <sheetName val="Revised_rates(SSR_2014-15)"/>
      <sheetName val="ew_OG"/>
      <sheetName val="MS_data"/>
      <sheetName val="MS_"/>
      <sheetName val="DI_Weights"/>
      <sheetName val="Wt_of_HDPE"/>
      <sheetName val="hdpe_weights"/>
      <sheetName val="PVC_weights"/>
      <sheetName val="PSC_-pv"/>
      <sheetName val="GAJWEL_SEC_EST"/>
      <sheetName val="Global_factors"/>
      <sheetName val="Specification_report"/>
      <sheetName val="DI_Rate_Analysis"/>
      <sheetName val="Economic_RisingMain__Ph-I"/>
      <sheetName val="Hystmnt_(2)2"/>
      <sheetName val="Revised_rates(SSR_2014-15)1"/>
      <sheetName val="ew_OG1"/>
      <sheetName val="MS_data1"/>
      <sheetName val="MS_1"/>
      <sheetName val="DI_Weights1"/>
      <sheetName val="Wt_of_HDPE1"/>
      <sheetName val="hdpe_weights1"/>
      <sheetName val="PVC_weights1"/>
      <sheetName val="PSC_-pv1"/>
      <sheetName val="GAJWEL_SEC_EST1"/>
      <sheetName val="Global_factors1"/>
      <sheetName val="Specification_report1"/>
      <sheetName val="DI_Rate_Analysis1"/>
      <sheetName val="Economic_RisingMain__Ph-I1"/>
      <sheetName val="Work_sheet"/>
      <sheetName val="POP"/>
      <sheetName val="Cover"/>
      <sheetName val="Levels"/>
      <sheetName val="JAWAHAR-hyd-original"/>
      <sheetName val="Data_rough"/>
      <sheetName val="Data_F8_BTR"/>
      <sheetName val="Plant_&amp;__Machinery"/>
      <sheetName val="GF_SB_Ok_"/>
      <sheetName val="HDPE-pipe-rates"/>
      <sheetName val="pvc-pipe-rates"/>
      <sheetName val="Nspt-smp-final-ORIGINAL"/>
      <sheetName val="Data_Base"/>
      <sheetName val="r"/>
      <sheetName val="HS final-2"/>
      <sheetName val="int-dia-pvc"/>
      <sheetName val="_5wgdhabfinal00_01"/>
      <sheetName val="직매22kv"/>
      <sheetName val="Data-2011-12"/>
      <sheetName val="Comp OHSR EST-1"/>
      <sheetName val="Abstract"/>
      <sheetName val="Comp HDPE"/>
      <sheetName val="Comp OFC"/>
      <sheetName val="Comp HH"/>
      <sheetName val="Rate Calc-1"/>
      <sheetName val="OHSR-1 RC EST"/>
      <sheetName val="SSR 17-18"/>
      <sheetName val="GM&amp;PM EST- final "/>
      <sheetName val="SPC"/>
      <sheetName val="Pipe line"/>
      <sheetName val="DATA SHEET (6)"/>
      <sheetName val="Lead ST (3)"/>
      <sheetName val="DATA SHEET (7)"/>
      <sheetName val="Intro"/>
      <sheetName val="dlvoid"/>
      <sheetName val="REL"/>
      <sheetName val="Iocount"/>
      <sheetName val="clvrt_data"/>
      <sheetName val="m1"/>
      <sheetName val="labour rates"/>
      <sheetName val="ewst"/>
      <sheetName val="FORM7"/>
      <sheetName val="I-CO"/>
      <sheetName val="leads-c"/>
      <sheetName val=" data sheet "/>
      <sheetName val="coverpage"/>
      <sheetName val="Process"/>
      <sheetName val="ssr-rates"/>
      <sheetName val="epm-tsb"/>
      <sheetName val="id_whmr"/>
      <sheetName val="0000000000000"/>
      <sheetName val="l"/>
      <sheetName val="PVC_dia"/>
      <sheetName val="Data_"/>
      <sheetName val="Cul_detail"/>
      <sheetName val="CD Data"/>
      <sheetName val="mas_hab"/>
      <sheetName val="LEAD (2)"/>
      <sheetName val="economic PM"/>
      <sheetName val="PM&amp;GM"/>
      <sheetName val="DI gate-DI"/>
      <sheetName val="DIgate_PVC "/>
      <sheetName val="DetEst"/>
      <sheetName val="Bitumen trunk"/>
      <sheetName val="Feeder"/>
      <sheetName val="R99 etc"/>
      <sheetName val="Trunk unpaved"/>
      <sheetName val="INPUT SHEET"/>
      <sheetName val="RES-PLANNING"/>
      <sheetName val="Macro1"/>
      <sheetName val="AV-BWSC&amp;MS"/>
      <sheetName val="AV_AC"/>
      <sheetName val="pumping main"/>
      <sheetName val="LABOUR RATE"/>
      <sheetName val="Material Rate"/>
      <sheetName val="di_Gate_AC"/>
      <sheetName val="Digate-BWSCP-MS"/>
      <sheetName val="DI_gate_di"/>
      <sheetName val="mlead"/>
      <sheetName val="1V800"/>
      <sheetName val="Road data"/>
      <sheetName val="DISCOUNT"/>
      <sheetName val="PRECAST lightconc-II"/>
      <sheetName val="Bridge Data 2005-06"/>
      <sheetName val="Common_"/>
      <sheetName val="G_R_P"/>
      <sheetName val="PSC_REVISED"/>
      <sheetName val="Watersoft_(2)"/>
      <sheetName val="Lead_statement_ss5"/>
      <sheetName val="SSR_2014-15_Rates"/>
      <sheetName val="Lead_statement"/>
      <sheetName val="FF_WRK"/>
      <sheetName val="Estimate_"/>
      <sheetName val="Main_sheet"/>
      <sheetName val="Revised_rates(SSR_2015-16)"/>
      <sheetName val="11_Habitations"/>
      <sheetName val="final_abstract"/>
      <sheetName val="Staff_Acco_"/>
      <sheetName val="Sheet1_(2)"/>
      <sheetName val="wt_of_CID_joint"/>
      <sheetName val="AC_DAta"/>
      <sheetName val="Pipe_Pilne_MAch"/>
      <sheetName val="Indurhty_2016-17"/>
      <sheetName val="data_existing_do_not_delete"/>
      <sheetName val="Wall_W3"/>
      <sheetName val="sup dat"/>
      <sheetName val="SLAB  DATA"/>
      <sheetName val="Qty"/>
      <sheetName val="quarry"/>
      <sheetName val="Road Detail Est."/>
      <sheetName val="lable I"/>
      <sheetName val="bundqty"/>
      <sheetName val="ITB COST"/>
      <sheetName val="Lead  RATES"/>
      <sheetName val="other rates"/>
      <sheetName val="MRoad data"/>
      <sheetName val="TOP SLAB-beams"/>
      <sheetName val="Output"/>
      <sheetName val="Sector Estimate _ Mylapur"/>
      <sheetName val="sheeet7"/>
      <sheetName val="CT"/>
      <sheetName val="PT"/>
      <sheetName val="SILICATE"/>
      <sheetName val="VCH-SLC"/>
      <sheetName val="Supplier"/>
      <sheetName val="MTC-estimate"/>
      <sheetName val="DI_sluice_PVC"/>
      <sheetName val="General Abs"/>
      <sheetName val="R_Det"/>
      <sheetName val="DsnConcept"/>
      <sheetName val="PANEL ANNEXURE"/>
    </sheetNames>
    <sheetDataSet>
      <sheetData sheetId="0" refreshError="1"/>
      <sheetData sheetId="1" refreshError="1"/>
      <sheetData sheetId="2" refreshError="1">
        <row r="1">
          <cell r="A1" t="str">
            <v>Dia of Pipe(PVC)</v>
          </cell>
          <cell r="B1" t="str">
            <v>Interal Dia</v>
          </cell>
        </row>
        <row r="2">
          <cell r="A2">
            <v>63</v>
          </cell>
          <cell r="B2">
            <v>59.2</v>
          </cell>
        </row>
        <row r="3">
          <cell r="A3">
            <v>75</v>
          </cell>
          <cell r="B3">
            <v>70.599999999999994</v>
          </cell>
        </row>
        <row r="4">
          <cell r="A4">
            <v>90</v>
          </cell>
          <cell r="B4">
            <v>84.8</v>
          </cell>
        </row>
        <row r="5">
          <cell r="A5">
            <v>110</v>
          </cell>
          <cell r="B5">
            <v>104</v>
          </cell>
        </row>
        <row r="6">
          <cell r="A6">
            <v>125</v>
          </cell>
          <cell r="B6">
            <v>118.2</v>
          </cell>
        </row>
        <row r="7">
          <cell r="A7">
            <v>140</v>
          </cell>
          <cell r="B7">
            <v>132.4</v>
          </cell>
        </row>
        <row r="8">
          <cell r="A8">
            <v>160</v>
          </cell>
          <cell r="B8">
            <v>151.4</v>
          </cell>
        </row>
        <row r="9">
          <cell r="A9">
            <v>180</v>
          </cell>
          <cell r="B9">
            <v>170.2</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Data.F8.BTR"/>
    </sheetNames>
    <sheetDataSet>
      <sheetData sheetId="0"/>
      <sheetData sheetId="1"/>
      <sheetData sheetId="2">
        <row r="4">
          <cell r="G4" t="str">
            <v>Input Rate</v>
          </cell>
        </row>
        <row r="13">
          <cell r="G13" t="str">
            <v>Input Rate</v>
          </cell>
        </row>
      </sheetData>
      <sheetData sheetId="3">
        <row r="5">
          <cell r="D5">
            <v>137</v>
          </cell>
        </row>
        <row r="19">
          <cell r="D19">
            <v>156</v>
          </cell>
        </row>
      </sheetData>
      <sheetData sheetId="4">
        <row r="47">
          <cell r="D47" t="str">
            <v>Input Rate</v>
          </cell>
        </row>
        <row r="51">
          <cell r="D51">
            <v>2400</v>
          </cell>
        </row>
        <row r="70">
          <cell r="D70" t="str">
            <v>Input Rate</v>
          </cell>
        </row>
        <row r="79">
          <cell r="D79" t="str">
            <v>Input Rate</v>
          </cell>
        </row>
        <row r="126">
          <cell r="D126" t="str">
            <v>Input Rate</v>
          </cell>
        </row>
        <row r="129">
          <cell r="D129">
            <v>27000</v>
          </cell>
        </row>
        <row r="130">
          <cell r="D130">
            <v>26000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Labour"/>
      <sheetName val="Material"/>
      <sheetName val="Plant &amp;  Machinery"/>
      <sheetName val="Lead"/>
      <sheetName val="maya"/>
      <sheetName val="section"/>
      <sheetName val="DATA"/>
      <sheetName val="leads"/>
      <sheetName val="sup dat"/>
      <sheetName val="Abs"/>
      <sheetName val="Sheet2"/>
      <sheetName val="MRATES"/>
      <sheetName val="quarry"/>
      <sheetName val="int-Dia"/>
      <sheetName val="habs-list"/>
      <sheetName val="nodes"/>
      <sheetName val="JAWAHAR-hyd-original"/>
      <sheetName val="Road Detail Est."/>
      <sheetName val="Road data"/>
      <sheetName val="Data.F8.BTR"/>
      <sheetName val="RF"/>
      <sheetName val="coverpage"/>
      <sheetName val="DATA_PRG"/>
      <sheetName val="C-data"/>
      <sheetName val="rdamdata"/>
      <sheetName val="Lookup"/>
      <sheetName val="RMR"/>
      <sheetName val="Lead statement ss5"/>
      <sheetName val="m"/>
      <sheetName val="pvc_basic"/>
      <sheetName val="Aug,02"/>
      <sheetName val="0000000000000"/>
      <sheetName val="wh_data_R"/>
      <sheetName val="DATA SHEET FOR 2012 - 13"/>
      <sheetName val="Estimate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ECI"/>
      <sheetName val="estt"/>
      <sheetName val="Cover"/>
      <sheetName val="SPC"/>
      <sheetName val="BILL"/>
      <sheetName val="ABSTRACT"/>
      <sheetName val="SCHEDULE"/>
      <sheetName val="SUPPL BOND"/>
      <sheetName val="Completion"/>
      <sheetName val="Compartive"/>
      <sheetName val="Rajanagaram Gram Chavidi"/>
      <sheetName val="SPC (2)"/>
      <sheetName val="Nayeerahmins BLDG WE"/>
      <sheetName val="Nayeerahmins BLDG ESt"/>
      <sheetName val="Datas (2)"/>
      <sheetName val="Lead (2)"/>
      <sheetName val=" Doors window- Country  (2)"/>
      <sheetName val="Datas"/>
      <sheetName val="Elec Estimate"/>
      <sheetName val="Sanitory Estimate"/>
      <sheetName val="Septic tank"/>
      <sheetName val="Bore &amp; Pumpset"/>
      <sheetName val="Furniture "/>
      <sheetName val="20 TNs Detailed Est "/>
      <sheetName val="Bar Bending Schedule"/>
      <sheetName val="Lead"/>
      <sheetName val=" Ramp"/>
      <sheetName val="Sanitary&amp;water supply DATA "/>
      <sheetName val="Ele data "/>
      <sheetName val="Flush Door  Shutter Country"/>
      <sheetName val=" Doors window- Country 2.0- 1.2"/>
      <sheetName val=" Doors window- Country "/>
      <sheetName val=" Doors window- Sal"/>
      <sheetName val=" Doors and windows "/>
      <sheetName val="Conveyance"/>
      <sheetName val="v"/>
    </sheetNames>
    <sheetDataSet>
      <sheetData sheetId="0" refreshError="1"/>
      <sheetData sheetId="1">
        <row r="74">
          <cell r="B74" t="str">
            <v>RCC M- 20 Nominal mix (Cement:fine aggregate: coarse aggregate) corresponding to Table 9 of IS 456 using 20mm size graded machine crushed hard granite metal (coarse aggregate) from approved quarry including cost and conveyance of all materials like cement</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XXXXXXXXXXXXX"/>
      <sheetName val="XXXXXXXXXXXX0"/>
      <sheetName val="prof-B"/>
      <sheetName val="traffic"/>
      <sheetName val="Pro-C"/>
      <sheetName val="design"/>
      <sheetName val="est "/>
      <sheetName val="Data"/>
      <sheetName val="Lead"/>
      <sheetName val="LS"/>
      <sheetName val="CS"/>
      <sheetName val="ABS"/>
      <sheetName val="Data.F8.BTR"/>
      <sheetName val="Labour"/>
      <sheetName val="Material"/>
      <sheetName val="Plant &amp;  Machinery"/>
      <sheetName val="v"/>
      <sheetName val="Sheet2"/>
      <sheetName val="estt"/>
      <sheetName val="ABS.C.D."/>
      <sheetName val="Machine"/>
      <sheetName val="int-Dia"/>
      <sheetName val="habs-list"/>
      <sheetName val="nodes"/>
      <sheetName val="PH data"/>
      <sheetName val="sup dat"/>
      <sheetName val="Data o"/>
      <sheetName val="Leads"/>
      <sheetName val="MTC-estimate"/>
      <sheetName val="Proforma -II "/>
      <sheetName val="coverpage"/>
      <sheetName val="HDPE"/>
      <sheetName val="DI"/>
      <sheetName val="pvc"/>
      <sheetName val="hdpe_basic"/>
      <sheetName val="pvc_basic"/>
      <sheetName val="maya"/>
      <sheetName val="r"/>
      <sheetName val="MRATES"/>
      <sheetName val="Data rough"/>
      <sheetName val="m"/>
      <sheetName val="Bill_amt_qty_cc_1"/>
      <sheetName val="hdpe weights"/>
      <sheetName val="Sheet9"/>
      <sheetName val="QTY"/>
      <sheetName val="detls"/>
      <sheetName val="Sheet5"/>
      <sheetName val="DATA-BASE"/>
      <sheetName val="DATA-ABSTRACT"/>
      <sheetName val="RMR"/>
      <sheetName val="Gen Abs"/>
      <sheetName val="other rates"/>
      <sheetName val="dlvoid"/>
      <sheetName val="HP"/>
      <sheetName val="JAWAHAR-hyd-original"/>
      <sheetName val="WATER-HAMMER"/>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leads"/>
      <sheetName val="v"/>
      <sheetName val="Data.F8.BTR"/>
      <sheetName val="estt"/>
      <sheetName val="ABS"/>
      <sheetName val="RMR"/>
      <sheetName val="Proforma -II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3">
          <cell r="D3">
            <v>156</v>
          </cell>
        </row>
        <row r="17">
          <cell r="D17">
            <v>106</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m"/>
      <sheetName val="leads"/>
      <sheetName val="cert"/>
      <sheetName val="id"/>
      <sheetName val="Nspt-smp-final-ORIGINAL"/>
      <sheetName val="detls"/>
      <sheetName val="Data_Renuals"/>
      <sheetName val="Data_Base"/>
      <sheetName val="Data.F8.BTR"/>
      <sheetName val="hdpe weights"/>
      <sheetName val="PVC weights"/>
      <sheetName val="index"/>
      <sheetName val="RMR"/>
      <sheetName val="Road data"/>
      <sheetName val="SUMP1420KL@HW"/>
      <sheetName val="General"/>
      <sheetName val="v"/>
      <sheetName val="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13">
          <cell r="D113">
            <v>4304.08</v>
          </cell>
        </row>
        <row r="117">
          <cell r="D117">
            <v>918.77</v>
          </cell>
        </row>
      </sheetData>
      <sheetData sheetId="12" refreshError="1"/>
      <sheetData sheetId="13" refreshError="1"/>
      <sheetData sheetId="14" refreshError="1"/>
      <sheetData sheetId="15" refreshError="1">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TES"/>
      <sheetName val="Sheet3"/>
      <sheetName val="Gen Abst"/>
      <sheetName val="Estimate"/>
      <sheetName val="Lead charges 07-08"/>
      <sheetName val="Sheet5"/>
      <sheetName val="Sheet4"/>
      <sheetName val="Sheet2"/>
      <sheetName val="Sheet1"/>
      <sheetName val="Data_Renuals"/>
      <sheetName val="Sheet6"/>
      <sheetName val="Sheet7"/>
      <sheetName val="Data_patch work"/>
      <sheetName val="Material"/>
      <sheetName val="Labour"/>
      <sheetName val="detls"/>
      <sheetName val="Data"/>
      <sheetName val="t_prsr"/>
      <sheetName val="wh"/>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RATES"/>
    </sheetNames>
    <sheetDataSet>
      <sheetData sheetId="0"/>
      <sheetData sheetId="1"/>
      <sheetData sheetId="2">
        <row r="4">
          <cell r="G4" t="str">
            <v>Input Rate</v>
          </cell>
        </row>
        <row r="13">
          <cell r="G13" t="str">
            <v>Input Rate</v>
          </cell>
        </row>
      </sheetData>
      <sheetData sheetId="3">
        <row r="5">
          <cell r="D5">
            <v>137</v>
          </cell>
        </row>
        <row r="19">
          <cell r="D19">
            <v>156</v>
          </cell>
        </row>
      </sheetData>
      <sheetData sheetId="4">
        <row r="47">
          <cell r="D47" t="str">
            <v>Input Rate</v>
          </cell>
        </row>
        <row r="51">
          <cell r="D51">
            <v>2400</v>
          </cell>
        </row>
        <row r="70">
          <cell r="D70" t="str">
            <v>Input Rate</v>
          </cell>
        </row>
        <row r="79">
          <cell r="D79" t="str">
            <v>Input Rate</v>
          </cell>
        </row>
        <row r="126">
          <cell r="D126" t="str">
            <v>Input Rate</v>
          </cell>
        </row>
        <row r="130">
          <cell r="D130">
            <v>26000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Sheet3"/>
      <sheetName val="Chapter-13"/>
      <sheetName val="Chapter-14"/>
      <sheetName val="Chapter-15"/>
      <sheetName val="Summary"/>
      <sheetName val="Abbreviations"/>
      <sheetName val="Sheet2"/>
      <sheetName val="Lead statement"/>
      <sheetName val="Chapter-12"/>
      <sheetName val="Data"/>
      <sheetName val="Plant_&amp;__Machinery"/>
      <sheetName val="Summary_of_Rates"/>
      <sheetName val="Basic_Approach"/>
      <sheetName val="t_prsr"/>
      <sheetName val="id"/>
      <sheetName val="Road data"/>
      <sheetName val="data existing_do not delete"/>
      <sheetName val="Data.F8.BTR"/>
      <sheetName val="v"/>
      <sheetName val="concrete"/>
      <sheetName val="GF Columns"/>
      <sheetName val="m"/>
      <sheetName val="Sheet9"/>
    </sheetNames>
    <sheetDataSet>
      <sheetData sheetId="0"/>
      <sheetData sheetId="1"/>
      <sheetData sheetId="2"/>
      <sheetData sheetId="3" refreshError="1"/>
      <sheetData sheetId="4" refreshError="1">
        <row r="3">
          <cell r="D3" t="str">
            <v>Input Rate</v>
          </cell>
        </row>
        <row r="73">
          <cell r="D73"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OOL-SCHEDULE (2)"/>
      <sheetName val="school Bldg (2)"/>
      <sheetName val="school Bldg (4)"/>
      <sheetName val="school Bldg (3)"/>
      <sheetName val="school Bldg"/>
      <sheetName val="SREEPUR (2)"/>
      <sheetName val="Sheet 1"/>
      <sheetName val="BT.UMAMAHESHWARAM."/>
      <sheetName val="UPPUNUNTHALA"/>
      <sheetName val="SREEPUR"/>
      <sheetName val="PEDDAMUDDUNOOR"/>
      <sheetName val="THUDUKURTHY"/>
      <sheetName val="UPPL"/>
      <sheetName val="MCB-telk"/>
      <sheetName val="Sheet2"/>
      <sheetName val="Sheet9"/>
      <sheetName val="Sheet8"/>
      <sheetName val="Sheet3"/>
      <sheetName val="Sheet1"/>
      <sheetName val="Sheet5"/>
      <sheetName val="BJP2SR"/>
      <sheetName val="Sheet4"/>
      <sheetName val="KDR"/>
      <sheetName val="Sheet10"/>
      <sheetName val="Sheet6"/>
      <sheetName val="SUB-DVN"/>
      <sheetName val="zpgf-2.50"/>
      <sheetName val="zpgf-5.20"/>
      <sheetName val="Sheet7"/>
      <sheetName val="sh-b"/>
      <sheetName val="Sh-c"/>
      <sheetName val="sh-d"/>
      <sheetName val="Sheet10 (2)"/>
      <sheetName val="Material"/>
      <sheetName val="Labour"/>
      <sheetName val="SCHOOL-SCHEDULE_(2)"/>
      <sheetName val="school_Bldg_(2)"/>
      <sheetName val="school_Bldg_(4)"/>
      <sheetName val="school_Bldg_(3)"/>
      <sheetName val="school_Bldg"/>
      <sheetName val="SREEPUR_(2)"/>
      <sheetName val="Sheet_1"/>
      <sheetName val="BT_UMAMAHESHWARAM_"/>
      <sheetName val="zpgf-2_50"/>
      <sheetName val="zpgf-5_20"/>
      <sheetName val="Sheet10_(2)"/>
      <sheetName val="Bridge Data 2005-06"/>
      <sheetName val="RMR"/>
      <sheetName val="0000000000000"/>
      <sheetName val="t_prsr"/>
      <sheetName val="id"/>
      <sheetName val="Plant &amp;  Machinery"/>
      <sheetName val="GF SB Ok "/>
      <sheetName val="hdpe-rates"/>
      <sheetName val="hdpe weights"/>
      <sheetName val="ssr-rates"/>
      <sheetName val="pvc-rates"/>
      <sheetName val="PVC weights"/>
      <sheetName val="MRATES"/>
      <sheetName val="Iocount"/>
      <sheetName val="m"/>
      <sheetName val="Levels"/>
      <sheetName val="r"/>
      <sheetName val="Lead statement"/>
      <sheetName val="leads"/>
      <sheetName val="Dormitory"/>
      <sheetName val="Lead"/>
      <sheetName val="m1"/>
      <sheetName val="DATA"/>
      <sheetName val="HDPE-pipe-rates"/>
      <sheetName val="pvc-pipe-rates"/>
      <sheetName val="Road data"/>
      <sheetName val="MRoad data"/>
      <sheetName val="wh_data"/>
      <sheetName val="wh_data_R"/>
      <sheetName val="CPHEEO"/>
      <sheetName val="input"/>
      <sheetName val="Specification"/>
      <sheetName val="Boq"/>
      <sheetName val="labour coeff"/>
      <sheetName val="ewst"/>
      <sheetName val="Lead-2014-15"/>
      <sheetName val="GROUND FLOOR"/>
      <sheetName val="Summary"/>
      <sheetName val="C-data"/>
      <sheetName val="coverpage"/>
      <sheetName val="Class IV Qtr. Ele"/>
      <sheetName val="sup dat"/>
      <sheetName val="Road Detail Est."/>
      <sheetName val="Main sheet"/>
      <sheetName val="HDPE"/>
      <sheetName val="DI"/>
      <sheetName val="pvc"/>
      <sheetName val="hdpe_basic"/>
      <sheetName val="pvc_basic"/>
      <sheetName val="PVC_dia"/>
      <sheetName val="detls"/>
      <sheetName val="materials"/>
      <sheetName val="Variables_x"/>
      <sheetName val="wh"/>
      <sheetName val="bundqty"/>
      <sheetName val="Mp-team 1"/>
      <sheetName val="DISCOUNT"/>
      <sheetName val="C.D.Abs.Est."/>
      <sheetName val="Specification report"/>
      <sheetName val="Data.F8.BTR"/>
      <sheetName val="data existing_do not delete"/>
      <sheetName val="SCHOOL-SCHEDULE_(2)1"/>
      <sheetName val="school_Bldg_(2)1"/>
      <sheetName val="school_Bldg_(4)1"/>
      <sheetName val="school_Bldg_(3)1"/>
      <sheetName val="school_Bldg1"/>
      <sheetName val="SREEPUR_(2)1"/>
      <sheetName val="Sheet_11"/>
      <sheetName val="BT_UMAMAHESHWARAM_1"/>
      <sheetName val="zpgf-2_501"/>
      <sheetName val="zpgf-5_201"/>
      <sheetName val="Sheet10_(2)1"/>
      <sheetName val="Bridge_Data_2005-06"/>
      <sheetName val="GF_SB_Ok_"/>
      <sheetName val="hdpe_weights"/>
      <sheetName val="PVC_weights"/>
      <sheetName val="Plant_&amp;__Machinery"/>
      <sheetName val="Lead_statement"/>
      <sheetName val="Road_data"/>
      <sheetName val="GROUND_FLOOR"/>
      <sheetName val="MRoad_data"/>
      <sheetName val="sup_dat"/>
      <sheetName val="Class_IV_Qtr__Ele"/>
      <sheetName val="Road_Detail_Est_"/>
      <sheetName val="Main_sheet"/>
      <sheetName val="C_D_Abs_Est_"/>
      <sheetName val="Specification_report"/>
      <sheetName val="Data_F8_BTR"/>
      <sheetName val="SCHOOL-SCHEDULE_(2)2"/>
      <sheetName val="school_Bldg_(2)2"/>
      <sheetName val="school_Bldg_(4)2"/>
      <sheetName val="school_Bldg_(3)2"/>
      <sheetName val="school_Bldg2"/>
      <sheetName val="SREEPUR_(2)2"/>
      <sheetName val="Sheet_12"/>
      <sheetName val="BT_UMAMAHESHWARAM_2"/>
      <sheetName val="zpgf-2_502"/>
      <sheetName val="zpgf-5_202"/>
      <sheetName val="Sheet10_(2)2"/>
      <sheetName val="Bridge_Data_2005-061"/>
      <sheetName val="GF_SB_Ok_1"/>
      <sheetName val="hdpe_weights1"/>
      <sheetName val="PVC_weights1"/>
      <sheetName val="Plant_&amp;__Machinery1"/>
      <sheetName val="Lead_statement1"/>
      <sheetName val="Road_data1"/>
      <sheetName val="GROUND_FLOOR1"/>
      <sheetName val="MRoad_data1"/>
      <sheetName val="sup_dat1"/>
      <sheetName val="R_Det"/>
      <sheetName val="Sheet1 (2)"/>
      <sheetName val="Cost 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refreshError="1"/>
      <sheetData sheetId="156" refreshError="1"/>
      <sheetData sheetId="157"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joduck_SK_1"/>
      <sheetName val="ewst"/>
      <sheetName val="bund"/>
      <sheetName val="Sheet3"/>
      <sheetName val="Plant &amp;  Machinery"/>
      <sheetName val="Material"/>
      <sheetName val="Labour"/>
      <sheetName val="cert"/>
      <sheetName val="Leads"/>
      <sheetName val="m"/>
      <sheetName val="v"/>
      <sheetName val="RMR"/>
      <sheetName val="Road data"/>
      <sheetName val="DATA-BASE"/>
      <sheetName val="DATA-ABSTRACT"/>
      <sheetName val="water-hammar-strenght"/>
      <sheetName val="Lead"/>
      <sheetName val="Sheet9"/>
      <sheetName val="maya"/>
      <sheetName val="r"/>
      <sheetName val="coverpage"/>
      <sheetName val="sectorwise"/>
      <sheetName val="Data.F8.BTR"/>
      <sheetName val="segments-details"/>
      <sheetName val="int-Dia-hdpe"/>
      <sheetName val="habs-list"/>
      <sheetName val="data existing_do not delete"/>
      <sheetName val="Data"/>
      <sheetName val="id"/>
      <sheetName val="MRATES"/>
      <sheetName val="MRoad data"/>
      <sheetName val="0000000000000"/>
      <sheetName val="table"/>
      <sheetName val="Plant_&amp;__Machinery"/>
      <sheetName val="Plant_&amp;__Machinery1"/>
      <sheetName val="Road Detail Est."/>
      <sheetName val="Sheet1"/>
      <sheetName val="detls"/>
      <sheetName val="Nspt-smp-final-ORIGINAL"/>
      <sheetName val="HDPE-pipe-rates"/>
      <sheetName val="pvc-pipe-rates"/>
      <sheetName val="BTR"/>
      <sheetName val="QTY"/>
      <sheetName val="ABS"/>
      <sheetName val="Pop"/>
      <sheetName val="Detailed"/>
      <sheetName val="Sheet2"/>
      <sheetName val="Lead statement ss5"/>
      <sheetName val="RATES"/>
      <sheetName val="m1"/>
      <sheetName val="SUMP1420KL@HW"/>
      <sheetName val="Cover"/>
      <sheetName val="bundqty"/>
      <sheetName val="rdamdata"/>
      <sheetName val="PUMP_DATA"/>
      <sheetName val="CI"/>
      <sheetName val="DI"/>
      <sheetName val="G.R.P"/>
      <sheetName val="HDPE"/>
      <sheetName val="PSC REVISED"/>
      <sheetName val="pvc"/>
      <sheetName val="Boq"/>
      <sheetName val="OH"/>
      <sheetName val="Basic Rates"/>
      <sheetName val="GBW"/>
      <sheetName val="Data_Base"/>
      <sheetName val="RCC,Ret. Wall"/>
      <sheetName val="ssr-rates"/>
      <sheetName val="Usage"/>
      <sheetName val="Levels"/>
      <sheetName val="t_prsr"/>
      <sheetName val="wh"/>
      <sheetName val="wh_data_R"/>
      <sheetName val="clvrt_data"/>
      <sheetName val="AV-HDPE"/>
      <sheetName val="Di_gate-HDPE"/>
      <sheetName val="DATA_PRG"/>
      <sheetName val="Main sheet"/>
      <sheetName val="Gen Abs"/>
      <sheetName val="bricks"/>
      <sheetName val="PVC_dia"/>
      <sheetName val="mas_hab"/>
      <sheetName val="3405-2014"/>
      <sheetName val="BWSCPlt"/>
      <sheetName val="Road_data"/>
      <sheetName val="RAFT"/>
      <sheetName val="Sheet5"/>
      <sheetName val="l"/>
      <sheetName val="BM-HOOP"/>
      <sheetName val="THK"/>
      <sheetName val="Data rough"/>
      <sheetName val="Watersoft (2)"/>
      <sheetName val="bom"/>
      <sheetName val="WATER-HAMMER"/>
      <sheetName val="hdpe-rates"/>
      <sheetName val="pvc-rates"/>
      <sheetName val="int-Dia"/>
      <sheetName val="Bitumen trunk"/>
      <sheetName val="AV-BWSC&amp;MS"/>
      <sheetName val="AV_AC"/>
      <sheetName val="di_Gate_AC"/>
      <sheetName val="Digate-BWSCP-MS"/>
      <sheetName val="DI_gate_di"/>
      <sheetName val="Feeder"/>
      <sheetName val="R99 etc"/>
      <sheetName val="Trunk unpaved"/>
      <sheetName val="zone-8"/>
      <sheetName val="MHNO_LEV"/>
      <sheetName val="PM&amp;GM"/>
      <sheetName val="AV-PVC"/>
      <sheetName val="DI gate-DI"/>
      <sheetName val="LABOUR RATE"/>
      <sheetName val="Material Rate"/>
      <sheetName val="Background"/>
      <sheetName val="C-data"/>
      <sheetName val="SPT vs PHI"/>
      <sheetName val="labour rates"/>
      <sheetName val="Lead  RATES"/>
      <sheetName val="_5wgdhabfinal00_01"/>
      <sheetName val="11.Habitations"/>
      <sheetName val="3. Elemental Summary"/>
      <sheetName val="works"/>
      <sheetName val="Data_Renuals"/>
      <sheetName val="mlead"/>
    </sheetNames>
    <sheetDataSet>
      <sheetData sheetId="0" refreshError="1"/>
      <sheetData sheetId="1" refreshError="1">
        <row r="13">
          <cell r="E13">
            <v>0.1</v>
          </cell>
          <cell r="F13">
            <v>4.5999999999999996</v>
          </cell>
          <cell r="G13">
            <v>1.38</v>
          </cell>
          <cell r="H13">
            <v>0</v>
          </cell>
          <cell r="I13">
            <v>0</v>
          </cell>
          <cell r="J13">
            <v>1.02</v>
          </cell>
          <cell r="K13">
            <v>0</v>
          </cell>
          <cell r="L13">
            <v>0</v>
          </cell>
          <cell r="M13">
            <v>0</v>
          </cell>
          <cell r="N13">
            <v>0.5</v>
          </cell>
          <cell r="O13">
            <v>0</v>
          </cell>
          <cell r="P13">
            <v>0</v>
          </cell>
          <cell r="Q13">
            <v>0</v>
          </cell>
          <cell r="R13">
            <v>0.1</v>
          </cell>
        </row>
        <row r="14">
          <cell r="E14">
            <v>0.2</v>
          </cell>
          <cell r="F14">
            <v>5</v>
          </cell>
          <cell r="G14">
            <v>1.5</v>
          </cell>
          <cell r="H14">
            <v>0</v>
          </cell>
          <cell r="I14">
            <v>0</v>
          </cell>
          <cell r="J14">
            <v>1.5</v>
          </cell>
          <cell r="K14">
            <v>0</v>
          </cell>
          <cell r="L14">
            <v>0</v>
          </cell>
          <cell r="M14">
            <v>0</v>
          </cell>
          <cell r="N14">
            <v>0.5</v>
          </cell>
          <cell r="O14">
            <v>0</v>
          </cell>
          <cell r="P14">
            <v>0</v>
          </cell>
          <cell r="Q14">
            <v>0</v>
          </cell>
          <cell r="R14">
            <v>0.2</v>
          </cell>
        </row>
        <row r="15">
          <cell r="E15">
            <v>0.3</v>
          </cell>
          <cell r="F15">
            <v>5.4</v>
          </cell>
          <cell r="G15">
            <v>1.62</v>
          </cell>
          <cell r="H15">
            <v>0</v>
          </cell>
          <cell r="I15">
            <v>0</v>
          </cell>
          <cell r="J15">
            <v>2.02</v>
          </cell>
          <cell r="K15">
            <v>0</v>
          </cell>
          <cell r="L15">
            <v>0</v>
          </cell>
          <cell r="M15">
            <v>0</v>
          </cell>
          <cell r="N15">
            <v>0.5</v>
          </cell>
          <cell r="O15">
            <v>0</v>
          </cell>
          <cell r="P15">
            <v>0</v>
          </cell>
          <cell r="Q15">
            <v>0</v>
          </cell>
          <cell r="R15">
            <v>0.3</v>
          </cell>
        </row>
        <row r="16">
          <cell r="E16">
            <v>0.4</v>
          </cell>
          <cell r="F16">
            <v>5.8</v>
          </cell>
          <cell r="G16">
            <v>1.74</v>
          </cell>
          <cell r="H16">
            <v>0</v>
          </cell>
          <cell r="I16">
            <v>0</v>
          </cell>
          <cell r="J16">
            <v>2.58</v>
          </cell>
          <cell r="K16">
            <v>0</v>
          </cell>
          <cell r="L16">
            <v>0</v>
          </cell>
          <cell r="M16">
            <v>0</v>
          </cell>
          <cell r="N16">
            <v>0.5</v>
          </cell>
          <cell r="O16">
            <v>0</v>
          </cell>
          <cell r="P16">
            <v>0</v>
          </cell>
          <cell r="Q16">
            <v>0</v>
          </cell>
          <cell r="R16">
            <v>0.4</v>
          </cell>
        </row>
        <row r="17">
          <cell r="E17">
            <v>0.5</v>
          </cell>
          <cell r="F17">
            <v>6.2</v>
          </cell>
          <cell r="G17">
            <v>1.86</v>
          </cell>
          <cell r="H17">
            <v>0</v>
          </cell>
          <cell r="I17">
            <v>0</v>
          </cell>
          <cell r="J17">
            <v>3.18</v>
          </cell>
          <cell r="K17">
            <v>0</v>
          </cell>
          <cell r="L17">
            <v>0</v>
          </cell>
          <cell r="M17">
            <v>0</v>
          </cell>
          <cell r="N17">
            <v>0.5</v>
          </cell>
          <cell r="O17">
            <v>0</v>
          </cell>
          <cell r="P17">
            <v>0</v>
          </cell>
          <cell r="Q17">
            <v>0</v>
          </cell>
          <cell r="R17">
            <v>0.5</v>
          </cell>
        </row>
        <row r="18">
          <cell r="E18">
            <v>0.6</v>
          </cell>
          <cell r="F18">
            <v>6.6</v>
          </cell>
          <cell r="G18">
            <v>1.98</v>
          </cell>
          <cell r="H18">
            <v>0</v>
          </cell>
          <cell r="I18">
            <v>0</v>
          </cell>
          <cell r="J18">
            <v>3.82</v>
          </cell>
          <cell r="K18">
            <v>0</v>
          </cell>
          <cell r="L18">
            <v>0</v>
          </cell>
          <cell r="M18">
            <v>0</v>
          </cell>
          <cell r="N18">
            <v>0.5</v>
          </cell>
          <cell r="O18">
            <v>0</v>
          </cell>
          <cell r="P18">
            <v>0</v>
          </cell>
          <cell r="Q18">
            <v>0</v>
          </cell>
          <cell r="R18">
            <v>0.6</v>
          </cell>
        </row>
        <row r="19">
          <cell r="E19">
            <v>0.7</v>
          </cell>
          <cell r="F19">
            <v>7</v>
          </cell>
          <cell r="G19">
            <v>2.1</v>
          </cell>
          <cell r="H19">
            <v>0</v>
          </cell>
          <cell r="I19">
            <v>0</v>
          </cell>
          <cell r="J19">
            <v>4.5</v>
          </cell>
          <cell r="K19">
            <v>0</v>
          </cell>
          <cell r="L19">
            <v>0</v>
          </cell>
          <cell r="M19">
            <v>0</v>
          </cell>
          <cell r="N19">
            <v>0.5</v>
          </cell>
          <cell r="O19">
            <v>0</v>
          </cell>
          <cell r="P19">
            <v>0</v>
          </cell>
          <cell r="Q19">
            <v>0</v>
          </cell>
          <cell r="R19">
            <v>0.7</v>
          </cell>
        </row>
        <row r="20">
          <cell r="E20">
            <v>0.8</v>
          </cell>
          <cell r="F20">
            <v>7.4</v>
          </cell>
          <cell r="G20">
            <v>2.2200000000000002</v>
          </cell>
          <cell r="H20">
            <v>0</v>
          </cell>
          <cell r="I20">
            <v>0</v>
          </cell>
          <cell r="J20">
            <v>5.22</v>
          </cell>
          <cell r="K20">
            <v>0</v>
          </cell>
          <cell r="L20">
            <v>0</v>
          </cell>
          <cell r="M20">
            <v>0</v>
          </cell>
          <cell r="N20">
            <v>0.5</v>
          </cell>
          <cell r="O20">
            <v>0</v>
          </cell>
          <cell r="P20">
            <v>0</v>
          </cell>
          <cell r="Q20">
            <v>0</v>
          </cell>
          <cell r="R20">
            <v>0.8</v>
          </cell>
        </row>
        <row r="21">
          <cell r="E21">
            <v>0.9</v>
          </cell>
          <cell r="F21">
            <v>7.8</v>
          </cell>
          <cell r="G21">
            <v>2.34</v>
          </cell>
          <cell r="H21">
            <v>0</v>
          </cell>
          <cell r="I21">
            <v>0</v>
          </cell>
          <cell r="J21">
            <v>5.98</v>
          </cell>
          <cell r="K21">
            <v>0</v>
          </cell>
          <cell r="L21">
            <v>0</v>
          </cell>
          <cell r="M21">
            <v>0</v>
          </cell>
          <cell r="N21">
            <v>0.5</v>
          </cell>
          <cell r="O21">
            <v>0</v>
          </cell>
          <cell r="P21">
            <v>0</v>
          </cell>
          <cell r="Q21">
            <v>0</v>
          </cell>
          <cell r="R21">
            <v>0.9</v>
          </cell>
        </row>
        <row r="22">
          <cell r="E22">
            <v>1</v>
          </cell>
          <cell r="F22">
            <v>8.1999999999999993</v>
          </cell>
          <cell r="G22">
            <v>2.46</v>
          </cell>
          <cell r="H22">
            <v>0</v>
          </cell>
          <cell r="I22">
            <v>0</v>
          </cell>
          <cell r="J22">
            <v>6.78</v>
          </cell>
          <cell r="K22">
            <v>0</v>
          </cell>
          <cell r="L22">
            <v>0</v>
          </cell>
          <cell r="M22">
            <v>0</v>
          </cell>
          <cell r="N22">
            <v>0.5</v>
          </cell>
          <cell r="O22">
            <v>0</v>
          </cell>
          <cell r="P22">
            <v>0</v>
          </cell>
          <cell r="Q22">
            <v>0</v>
          </cell>
          <cell r="R22">
            <v>1</v>
          </cell>
        </row>
        <row r="23">
          <cell r="E23">
            <v>1.1000000000000001</v>
          </cell>
          <cell r="F23">
            <v>8.6</v>
          </cell>
          <cell r="G23">
            <v>2.58</v>
          </cell>
          <cell r="H23">
            <v>0</v>
          </cell>
          <cell r="I23">
            <v>0</v>
          </cell>
          <cell r="J23">
            <v>7.62</v>
          </cell>
          <cell r="K23">
            <v>0</v>
          </cell>
          <cell r="L23">
            <v>0</v>
          </cell>
          <cell r="M23">
            <v>0</v>
          </cell>
          <cell r="N23">
            <v>0.5</v>
          </cell>
          <cell r="O23">
            <v>0</v>
          </cell>
          <cell r="P23">
            <v>0</v>
          </cell>
          <cell r="Q23">
            <v>0</v>
          </cell>
          <cell r="R23">
            <v>1.1000000000000001</v>
          </cell>
        </row>
        <row r="24">
          <cell r="E24">
            <v>1.2</v>
          </cell>
          <cell r="F24">
            <v>9</v>
          </cell>
          <cell r="G24">
            <v>2.7</v>
          </cell>
          <cell r="H24">
            <v>0</v>
          </cell>
          <cell r="I24">
            <v>0</v>
          </cell>
          <cell r="J24">
            <v>8.5</v>
          </cell>
          <cell r="K24">
            <v>0</v>
          </cell>
          <cell r="L24">
            <v>0</v>
          </cell>
          <cell r="M24">
            <v>0</v>
          </cell>
          <cell r="N24">
            <v>0.5</v>
          </cell>
          <cell r="O24">
            <v>0</v>
          </cell>
          <cell r="P24">
            <v>0</v>
          </cell>
          <cell r="Q24">
            <v>0</v>
          </cell>
          <cell r="R24">
            <v>1.2</v>
          </cell>
        </row>
        <row r="25">
          <cell r="E25">
            <v>1.3</v>
          </cell>
          <cell r="F25">
            <v>9.4</v>
          </cell>
          <cell r="G25">
            <v>2.82</v>
          </cell>
          <cell r="H25">
            <v>0</v>
          </cell>
          <cell r="I25">
            <v>0</v>
          </cell>
          <cell r="J25">
            <v>9.42</v>
          </cell>
          <cell r="K25">
            <v>0</v>
          </cell>
          <cell r="L25">
            <v>0</v>
          </cell>
          <cell r="M25">
            <v>0</v>
          </cell>
          <cell r="N25">
            <v>0.5</v>
          </cell>
          <cell r="O25">
            <v>0</v>
          </cell>
          <cell r="P25">
            <v>0</v>
          </cell>
          <cell r="Q25">
            <v>0</v>
          </cell>
          <cell r="R25">
            <v>1.3</v>
          </cell>
        </row>
        <row r="26">
          <cell r="E26">
            <v>1.4</v>
          </cell>
          <cell r="F26">
            <v>9.8000000000000007</v>
          </cell>
          <cell r="G26">
            <v>2.94</v>
          </cell>
          <cell r="H26">
            <v>1.98</v>
          </cell>
          <cell r="I26">
            <v>0</v>
          </cell>
          <cell r="J26">
            <v>10.38</v>
          </cell>
          <cell r="K26">
            <v>0</v>
          </cell>
          <cell r="L26">
            <v>0</v>
          </cell>
          <cell r="M26">
            <v>0</v>
          </cell>
          <cell r="N26">
            <v>0.5</v>
          </cell>
          <cell r="O26">
            <v>0</v>
          </cell>
          <cell r="P26">
            <v>0</v>
          </cell>
          <cell r="Q26">
            <v>0</v>
          </cell>
          <cell r="R26">
            <v>1.4</v>
          </cell>
        </row>
        <row r="27">
          <cell r="E27">
            <v>1.5</v>
          </cell>
          <cell r="F27">
            <v>10.199999999999999</v>
          </cell>
          <cell r="G27">
            <v>3.48</v>
          </cell>
          <cell r="H27">
            <v>1.98</v>
          </cell>
          <cell r="I27">
            <v>0</v>
          </cell>
          <cell r="J27">
            <v>9.09</v>
          </cell>
          <cell r="K27">
            <v>1.57</v>
          </cell>
          <cell r="L27">
            <v>1.1100000000000001</v>
          </cell>
          <cell r="M27">
            <v>0</v>
          </cell>
          <cell r="N27">
            <v>0.47</v>
          </cell>
          <cell r="O27">
            <v>0</v>
          </cell>
          <cell r="P27">
            <v>0</v>
          </cell>
          <cell r="Q27">
            <v>0</v>
          </cell>
          <cell r="R27">
            <v>1.5</v>
          </cell>
        </row>
        <row r="28">
          <cell r="E28">
            <v>1.6</v>
          </cell>
          <cell r="F28">
            <v>10.6</v>
          </cell>
          <cell r="G28">
            <v>3.6</v>
          </cell>
          <cell r="H28">
            <v>1.98</v>
          </cell>
          <cell r="I28">
            <v>0</v>
          </cell>
          <cell r="J28">
            <v>10</v>
          </cell>
          <cell r="K28">
            <v>1.64</v>
          </cell>
          <cell r="L28">
            <v>1.17</v>
          </cell>
          <cell r="M28">
            <v>0</v>
          </cell>
          <cell r="N28">
            <v>0.47</v>
          </cell>
          <cell r="O28">
            <v>0</v>
          </cell>
          <cell r="P28">
            <v>0</v>
          </cell>
          <cell r="Q28">
            <v>0</v>
          </cell>
          <cell r="R28">
            <v>1.6</v>
          </cell>
        </row>
        <row r="29">
          <cell r="E29">
            <v>1.7</v>
          </cell>
          <cell r="F29">
            <v>11</v>
          </cell>
          <cell r="G29">
            <v>3.72</v>
          </cell>
          <cell r="H29">
            <v>1.98</v>
          </cell>
          <cell r="I29">
            <v>0</v>
          </cell>
          <cell r="J29">
            <v>10.95</v>
          </cell>
          <cell r="K29">
            <v>1.7</v>
          </cell>
          <cell r="L29">
            <v>1.24</v>
          </cell>
          <cell r="M29">
            <v>0</v>
          </cell>
          <cell r="N29">
            <v>0.47</v>
          </cell>
          <cell r="O29">
            <v>0</v>
          </cell>
          <cell r="P29">
            <v>0</v>
          </cell>
          <cell r="Q29">
            <v>0</v>
          </cell>
          <cell r="R29">
            <v>1.7</v>
          </cell>
        </row>
        <row r="30">
          <cell r="E30">
            <v>1.8</v>
          </cell>
          <cell r="F30">
            <v>11.4</v>
          </cell>
          <cell r="G30">
            <v>3.84</v>
          </cell>
          <cell r="H30">
            <v>1.98</v>
          </cell>
          <cell r="I30">
            <v>0</v>
          </cell>
          <cell r="J30">
            <v>11.93</v>
          </cell>
          <cell r="K30">
            <v>1.77</v>
          </cell>
          <cell r="L30">
            <v>1.31</v>
          </cell>
          <cell r="M30">
            <v>0</v>
          </cell>
          <cell r="N30">
            <v>0.47</v>
          </cell>
          <cell r="O30">
            <v>0</v>
          </cell>
          <cell r="P30">
            <v>0</v>
          </cell>
          <cell r="Q30">
            <v>0</v>
          </cell>
          <cell r="R30">
            <v>1.8</v>
          </cell>
        </row>
        <row r="31">
          <cell r="E31">
            <v>1.9</v>
          </cell>
          <cell r="F31">
            <v>11.8</v>
          </cell>
          <cell r="G31">
            <v>3.96</v>
          </cell>
          <cell r="H31">
            <v>1.98</v>
          </cell>
          <cell r="I31">
            <v>0</v>
          </cell>
          <cell r="J31">
            <v>12.95</v>
          </cell>
          <cell r="K31">
            <v>1.84</v>
          </cell>
          <cell r="L31">
            <v>1.38</v>
          </cell>
          <cell r="M31">
            <v>0</v>
          </cell>
          <cell r="N31">
            <v>0.47</v>
          </cell>
          <cell r="O31">
            <v>0</v>
          </cell>
          <cell r="P31">
            <v>0</v>
          </cell>
          <cell r="Q31">
            <v>0</v>
          </cell>
          <cell r="R31">
            <v>1.9</v>
          </cell>
        </row>
        <row r="32">
          <cell r="E32">
            <v>2</v>
          </cell>
          <cell r="F32">
            <v>12.2</v>
          </cell>
          <cell r="G32">
            <v>4.08</v>
          </cell>
          <cell r="H32">
            <v>1.98</v>
          </cell>
          <cell r="I32">
            <v>0</v>
          </cell>
          <cell r="J32">
            <v>14.03</v>
          </cell>
          <cell r="K32">
            <v>1.9</v>
          </cell>
          <cell r="L32">
            <v>1.44</v>
          </cell>
          <cell r="M32">
            <v>0</v>
          </cell>
          <cell r="N32">
            <v>0.47</v>
          </cell>
          <cell r="O32">
            <v>0</v>
          </cell>
          <cell r="P32">
            <v>0</v>
          </cell>
          <cell r="Q32">
            <v>0</v>
          </cell>
          <cell r="R32">
            <v>2</v>
          </cell>
        </row>
        <row r="33">
          <cell r="E33">
            <v>2.1</v>
          </cell>
          <cell r="F33">
            <v>12.6</v>
          </cell>
          <cell r="G33">
            <v>4.2</v>
          </cell>
          <cell r="H33">
            <v>1.98</v>
          </cell>
          <cell r="I33">
            <v>0</v>
          </cell>
          <cell r="J33">
            <v>15.13</v>
          </cell>
          <cell r="K33">
            <v>1.97</v>
          </cell>
          <cell r="L33">
            <v>1.51</v>
          </cell>
          <cell r="M33">
            <v>0</v>
          </cell>
          <cell r="N33">
            <v>0.47</v>
          </cell>
          <cell r="O33">
            <v>0</v>
          </cell>
          <cell r="P33">
            <v>0</v>
          </cell>
          <cell r="Q33">
            <v>0</v>
          </cell>
          <cell r="R33">
            <v>2.1</v>
          </cell>
        </row>
        <row r="34">
          <cell r="E34">
            <v>2.2000000000000002</v>
          </cell>
          <cell r="F34">
            <v>13</v>
          </cell>
          <cell r="G34">
            <v>4.32</v>
          </cell>
          <cell r="H34">
            <v>1.978</v>
          </cell>
          <cell r="I34">
            <v>0</v>
          </cell>
          <cell r="J34">
            <v>16.27</v>
          </cell>
          <cell r="K34">
            <v>2.04</v>
          </cell>
          <cell r="L34">
            <v>1.58</v>
          </cell>
          <cell r="M34">
            <v>0</v>
          </cell>
          <cell r="N34">
            <v>0.47</v>
          </cell>
          <cell r="O34">
            <v>0</v>
          </cell>
          <cell r="P34">
            <v>0</v>
          </cell>
          <cell r="Q34">
            <v>0</v>
          </cell>
          <cell r="R34">
            <v>2.2000000000000002</v>
          </cell>
        </row>
        <row r="35">
          <cell r="E35">
            <v>2.2999999999999998</v>
          </cell>
          <cell r="F35">
            <v>13.4</v>
          </cell>
          <cell r="G35">
            <v>4.4400000000000004</v>
          </cell>
          <cell r="H35">
            <v>1.98</v>
          </cell>
          <cell r="I35">
            <v>0</v>
          </cell>
          <cell r="J35">
            <v>17.47</v>
          </cell>
          <cell r="K35">
            <v>2.1</v>
          </cell>
          <cell r="L35">
            <v>1.64</v>
          </cell>
          <cell r="M35">
            <v>0</v>
          </cell>
          <cell r="N35">
            <v>0.47</v>
          </cell>
          <cell r="O35">
            <v>0</v>
          </cell>
          <cell r="P35">
            <v>0</v>
          </cell>
          <cell r="Q35">
            <v>0</v>
          </cell>
          <cell r="R35">
            <v>2.2999999999999998</v>
          </cell>
        </row>
        <row r="36">
          <cell r="E36">
            <v>2.4</v>
          </cell>
          <cell r="F36">
            <v>13.8</v>
          </cell>
          <cell r="G36">
            <v>4.5599999999999996</v>
          </cell>
          <cell r="H36">
            <v>1.98</v>
          </cell>
          <cell r="I36">
            <v>0</v>
          </cell>
          <cell r="J36">
            <v>18.690000000000001</v>
          </cell>
          <cell r="K36">
            <v>2.17</v>
          </cell>
          <cell r="L36">
            <v>1.71</v>
          </cell>
          <cell r="M36">
            <v>0</v>
          </cell>
          <cell r="N36">
            <v>0.47</v>
          </cell>
          <cell r="O36">
            <v>0</v>
          </cell>
          <cell r="P36">
            <v>0</v>
          </cell>
          <cell r="Q36">
            <v>0</v>
          </cell>
          <cell r="R36">
            <v>2.4</v>
          </cell>
        </row>
        <row r="37">
          <cell r="E37">
            <v>2.5</v>
          </cell>
          <cell r="F37">
            <v>14.2</v>
          </cell>
          <cell r="G37">
            <v>4.68</v>
          </cell>
          <cell r="H37">
            <v>1.98</v>
          </cell>
          <cell r="I37">
            <v>0</v>
          </cell>
          <cell r="J37">
            <v>19.95</v>
          </cell>
          <cell r="K37">
            <v>2.2400000000000002</v>
          </cell>
          <cell r="L37">
            <v>1.78</v>
          </cell>
          <cell r="M37">
            <v>0</v>
          </cell>
          <cell r="N37">
            <v>0.47</v>
          </cell>
          <cell r="O37">
            <v>0</v>
          </cell>
          <cell r="P37">
            <v>0</v>
          </cell>
          <cell r="Q37">
            <v>0</v>
          </cell>
          <cell r="R37">
            <v>2.5</v>
          </cell>
        </row>
        <row r="38">
          <cell r="E38">
            <v>2.6</v>
          </cell>
          <cell r="F38">
            <v>14.6</v>
          </cell>
          <cell r="G38">
            <v>4.8</v>
          </cell>
          <cell r="H38">
            <v>1.98</v>
          </cell>
          <cell r="I38">
            <v>0</v>
          </cell>
          <cell r="J38">
            <v>21.25</v>
          </cell>
          <cell r="K38">
            <v>2.31</v>
          </cell>
          <cell r="L38">
            <v>1.85</v>
          </cell>
          <cell r="M38">
            <v>0</v>
          </cell>
          <cell r="N38">
            <v>0.47</v>
          </cell>
          <cell r="O38">
            <v>0</v>
          </cell>
          <cell r="P38">
            <v>0</v>
          </cell>
          <cell r="Q38">
            <v>0</v>
          </cell>
          <cell r="R38">
            <v>2.6</v>
          </cell>
        </row>
        <row r="39">
          <cell r="E39">
            <v>2.7</v>
          </cell>
          <cell r="F39">
            <v>15</v>
          </cell>
          <cell r="G39">
            <v>4.92</v>
          </cell>
          <cell r="H39">
            <v>1.98</v>
          </cell>
          <cell r="I39">
            <v>0</v>
          </cell>
          <cell r="J39">
            <v>22.61</v>
          </cell>
          <cell r="K39">
            <v>2.37</v>
          </cell>
          <cell r="L39">
            <v>1.91</v>
          </cell>
          <cell r="M39">
            <v>0</v>
          </cell>
          <cell r="N39">
            <v>0.47</v>
          </cell>
          <cell r="O39">
            <v>0</v>
          </cell>
          <cell r="P39">
            <v>0</v>
          </cell>
          <cell r="Q39">
            <v>0</v>
          </cell>
          <cell r="R39">
            <v>2.7</v>
          </cell>
        </row>
        <row r="40">
          <cell r="E40">
            <v>2.8</v>
          </cell>
          <cell r="F40">
            <v>15.4</v>
          </cell>
          <cell r="G40">
            <v>5.04</v>
          </cell>
          <cell r="H40">
            <v>2.16</v>
          </cell>
          <cell r="I40">
            <v>0</v>
          </cell>
          <cell r="J40">
            <v>24.1</v>
          </cell>
          <cell r="K40">
            <v>2.44</v>
          </cell>
          <cell r="L40">
            <v>1.98</v>
          </cell>
          <cell r="M40">
            <v>0</v>
          </cell>
          <cell r="N40">
            <v>0.47</v>
          </cell>
          <cell r="O40">
            <v>0</v>
          </cell>
          <cell r="P40">
            <v>0</v>
          </cell>
          <cell r="Q40">
            <v>0</v>
          </cell>
          <cell r="R40">
            <v>2.8</v>
          </cell>
        </row>
        <row r="41">
          <cell r="E41">
            <v>2.9</v>
          </cell>
          <cell r="F41">
            <v>15.8</v>
          </cell>
          <cell r="G41">
            <v>5.16</v>
          </cell>
          <cell r="H41">
            <v>2.35</v>
          </cell>
          <cell r="I41">
            <v>0</v>
          </cell>
          <cell r="J41">
            <v>25.41</v>
          </cell>
          <cell r="K41">
            <v>2.5099999999999998</v>
          </cell>
          <cell r="L41">
            <v>2.0499999999999998</v>
          </cell>
          <cell r="M41">
            <v>0</v>
          </cell>
          <cell r="N41">
            <v>0.47</v>
          </cell>
          <cell r="O41">
            <v>0</v>
          </cell>
          <cell r="P41">
            <v>0</v>
          </cell>
          <cell r="Q41">
            <v>0</v>
          </cell>
          <cell r="R41">
            <v>2.9</v>
          </cell>
        </row>
        <row r="42">
          <cell r="E42">
            <v>3</v>
          </cell>
          <cell r="F42">
            <v>16.2</v>
          </cell>
          <cell r="G42">
            <v>5.28</v>
          </cell>
          <cell r="H42">
            <v>2.5299999999999998</v>
          </cell>
          <cell r="I42">
            <v>0</v>
          </cell>
          <cell r="J42">
            <v>26.89</v>
          </cell>
          <cell r="K42">
            <v>2.57</v>
          </cell>
          <cell r="L42">
            <v>2.11</v>
          </cell>
          <cell r="M42">
            <v>0</v>
          </cell>
          <cell r="N42">
            <v>0.47</v>
          </cell>
          <cell r="O42">
            <v>0</v>
          </cell>
          <cell r="P42">
            <v>0</v>
          </cell>
          <cell r="Q42">
            <v>0</v>
          </cell>
          <cell r="R42">
            <v>3</v>
          </cell>
        </row>
        <row r="43">
          <cell r="E43">
            <v>3.1</v>
          </cell>
          <cell r="F43">
            <v>16.600000000000001</v>
          </cell>
          <cell r="G43">
            <v>5.4</v>
          </cell>
          <cell r="H43">
            <v>2.72</v>
          </cell>
          <cell r="I43">
            <v>0</v>
          </cell>
          <cell r="J43">
            <v>28.39</v>
          </cell>
          <cell r="K43">
            <v>2.64</v>
          </cell>
          <cell r="L43">
            <v>2.1800000000000002</v>
          </cell>
          <cell r="M43">
            <v>0</v>
          </cell>
          <cell r="N43">
            <v>0.47</v>
          </cell>
          <cell r="O43">
            <v>0</v>
          </cell>
          <cell r="P43">
            <v>0</v>
          </cell>
          <cell r="Q43">
            <v>0</v>
          </cell>
          <cell r="R43">
            <v>3.1</v>
          </cell>
        </row>
        <row r="44">
          <cell r="E44">
            <v>3.2</v>
          </cell>
          <cell r="F44">
            <v>17</v>
          </cell>
          <cell r="G44">
            <v>5.52</v>
          </cell>
          <cell r="H44">
            <v>2.91</v>
          </cell>
          <cell r="I44">
            <v>0</v>
          </cell>
          <cell r="J44">
            <v>29.93</v>
          </cell>
          <cell r="K44">
            <v>2.71</v>
          </cell>
          <cell r="L44">
            <v>2.25</v>
          </cell>
          <cell r="M44">
            <v>0</v>
          </cell>
          <cell r="N44">
            <v>0.47</v>
          </cell>
          <cell r="O44">
            <v>0</v>
          </cell>
          <cell r="P44">
            <v>0</v>
          </cell>
          <cell r="Q44">
            <v>0</v>
          </cell>
          <cell r="R44">
            <v>3.2</v>
          </cell>
        </row>
        <row r="45">
          <cell r="E45">
            <v>3.3</v>
          </cell>
          <cell r="F45">
            <v>17.399999999999999</v>
          </cell>
          <cell r="G45">
            <v>5.64</v>
          </cell>
          <cell r="H45">
            <v>3.11</v>
          </cell>
          <cell r="I45">
            <v>0</v>
          </cell>
          <cell r="J45">
            <v>31.53</v>
          </cell>
          <cell r="K45">
            <v>2.77</v>
          </cell>
          <cell r="L45">
            <v>2.31</v>
          </cell>
          <cell r="M45">
            <v>0</v>
          </cell>
          <cell r="N45">
            <v>0.47</v>
          </cell>
          <cell r="O45">
            <v>0</v>
          </cell>
          <cell r="P45">
            <v>0</v>
          </cell>
          <cell r="Q45">
            <v>0</v>
          </cell>
          <cell r="R45">
            <v>3.3</v>
          </cell>
        </row>
        <row r="46">
          <cell r="E46">
            <v>3.4</v>
          </cell>
          <cell r="F46">
            <v>17.8</v>
          </cell>
          <cell r="G46">
            <v>5.76</v>
          </cell>
          <cell r="H46">
            <v>3.03</v>
          </cell>
          <cell r="I46">
            <v>0</v>
          </cell>
          <cell r="J46">
            <v>33.15</v>
          </cell>
          <cell r="K46">
            <v>2.84</v>
          </cell>
          <cell r="L46">
            <v>2.38</v>
          </cell>
          <cell r="M46">
            <v>0</v>
          </cell>
          <cell r="N46">
            <v>0.47</v>
          </cell>
          <cell r="O46">
            <v>0</v>
          </cell>
          <cell r="P46">
            <v>0</v>
          </cell>
          <cell r="Q46">
            <v>0</v>
          </cell>
          <cell r="R46">
            <v>3.4</v>
          </cell>
        </row>
        <row r="47">
          <cell r="E47">
            <v>3.5</v>
          </cell>
          <cell r="F47">
            <v>18</v>
          </cell>
          <cell r="G47">
            <v>7.82</v>
          </cell>
          <cell r="H47">
            <v>3.5</v>
          </cell>
          <cell r="I47">
            <v>0</v>
          </cell>
          <cell r="J47">
            <v>29.63</v>
          </cell>
          <cell r="K47">
            <v>2.91</v>
          </cell>
          <cell r="L47">
            <v>2.4500000000000002</v>
          </cell>
          <cell r="M47">
            <v>2.64</v>
          </cell>
          <cell r="N47">
            <v>0.47</v>
          </cell>
          <cell r="O47">
            <v>2.64</v>
          </cell>
          <cell r="P47">
            <v>0.38</v>
          </cell>
          <cell r="Q47">
            <v>1.01</v>
          </cell>
          <cell r="R47">
            <v>3.05</v>
          </cell>
        </row>
        <row r="48">
          <cell r="E48">
            <v>3.6</v>
          </cell>
          <cell r="F48">
            <v>18.399999999999999</v>
          </cell>
          <cell r="G48">
            <v>7.94</v>
          </cell>
          <cell r="H48">
            <v>3.7</v>
          </cell>
          <cell r="I48">
            <v>0</v>
          </cell>
          <cell r="J48">
            <v>31.17</v>
          </cell>
          <cell r="K48">
            <v>2.98</v>
          </cell>
          <cell r="L48">
            <v>2.52</v>
          </cell>
          <cell r="M48">
            <v>2.64</v>
          </cell>
          <cell r="N48">
            <v>0.47</v>
          </cell>
          <cell r="O48">
            <v>2.8</v>
          </cell>
          <cell r="P48">
            <v>0.38</v>
          </cell>
          <cell r="Q48">
            <v>1.01</v>
          </cell>
          <cell r="R48">
            <v>3.15</v>
          </cell>
        </row>
        <row r="49">
          <cell r="E49">
            <v>3.7</v>
          </cell>
          <cell r="F49">
            <v>18.8</v>
          </cell>
          <cell r="G49">
            <v>8.06</v>
          </cell>
          <cell r="H49">
            <v>3.91</v>
          </cell>
          <cell r="I49">
            <v>0</v>
          </cell>
          <cell r="J49">
            <v>32.78</v>
          </cell>
          <cell r="K49">
            <v>3.04</v>
          </cell>
          <cell r="L49">
            <v>2.58</v>
          </cell>
          <cell r="M49">
            <v>2.64</v>
          </cell>
          <cell r="N49">
            <v>0.47</v>
          </cell>
          <cell r="O49">
            <v>2.95</v>
          </cell>
          <cell r="P49">
            <v>0.38</v>
          </cell>
          <cell r="Q49">
            <v>1.01</v>
          </cell>
          <cell r="R49">
            <v>3.25</v>
          </cell>
        </row>
        <row r="50">
          <cell r="E50">
            <v>3.8</v>
          </cell>
          <cell r="F50">
            <v>19.2</v>
          </cell>
          <cell r="G50">
            <v>8.18</v>
          </cell>
          <cell r="H50">
            <v>4.1100000000000003</v>
          </cell>
          <cell r="I50">
            <v>0</v>
          </cell>
          <cell r="J50">
            <v>34.4</v>
          </cell>
          <cell r="K50">
            <v>3.11</v>
          </cell>
          <cell r="L50">
            <v>2.65</v>
          </cell>
          <cell r="M50">
            <v>2.64</v>
          </cell>
          <cell r="N50">
            <v>0.47</v>
          </cell>
          <cell r="O50">
            <v>3.11</v>
          </cell>
          <cell r="P50">
            <v>0.38</v>
          </cell>
          <cell r="Q50">
            <v>1.01</v>
          </cell>
          <cell r="R50">
            <v>3.35</v>
          </cell>
        </row>
        <row r="51">
          <cell r="E51">
            <v>3.9</v>
          </cell>
          <cell r="F51">
            <v>19.600000000000001</v>
          </cell>
          <cell r="G51">
            <v>8.3000000000000007</v>
          </cell>
          <cell r="H51">
            <v>4.32</v>
          </cell>
          <cell r="I51">
            <v>0</v>
          </cell>
          <cell r="J51">
            <v>36.06</v>
          </cell>
          <cell r="K51">
            <v>3.18</v>
          </cell>
          <cell r="L51">
            <v>2.72</v>
          </cell>
          <cell r="M51">
            <v>2.64</v>
          </cell>
          <cell r="N51">
            <v>0.47</v>
          </cell>
          <cell r="O51">
            <v>3.27</v>
          </cell>
          <cell r="P51">
            <v>0.38</v>
          </cell>
          <cell r="Q51">
            <v>1.01</v>
          </cell>
          <cell r="R51">
            <v>3.45</v>
          </cell>
        </row>
        <row r="52">
          <cell r="E52">
            <v>4</v>
          </cell>
          <cell r="F52">
            <v>20</v>
          </cell>
          <cell r="G52">
            <v>8.42</v>
          </cell>
          <cell r="H52">
            <v>4.53</v>
          </cell>
          <cell r="I52">
            <v>0</v>
          </cell>
          <cell r="J52">
            <v>37.79</v>
          </cell>
          <cell r="K52">
            <v>3.24</v>
          </cell>
          <cell r="L52">
            <v>2.78</v>
          </cell>
          <cell r="M52">
            <v>2.64</v>
          </cell>
          <cell r="N52">
            <v>0.47</v>
          </cell>
          <cell r="O52">
            <v>3.42</v>
          </cell>
          <cell r="P52">
            <v>0.38</v>
          </cell>
          <cell r="Q52">
            <v>1.01</v>
          </cell>
          <cell r="R52">
            <v>3.55</v>
          </cell>
        </row>
        <row r="53">
          <cell r="E53">
            <v>4.0999999999999996</v>
          </cell>
          <cell r="F53">
            <v>20.399999999999999</v>
          </cell>
          <cell r="G53">
            <v>8.5399999999999991</v>
          </cell>
          <cell r="H53">
            <v>4.75</v>
          </cell>
          <cell r="I53">
            <v>0</v>
          </cell>
          <cell r="J53">
            <v>39.53</v>
          </cell>
          <cell r="K53">
            <v>3.31</v>
          </cell>
          <cell r="L53">
            <v>2.85</v>
          </cell>
          <cell r="M53">
            <v>2.64</v>
          </cell>
          <cell r="N53">
            <v>0.47</v>
          </cell>
          <cell r="O53">
            <v>3.58</v>
          </cell>
          <cell r="P53">
            <v>0.38</v>
          </cell>
          <cell r="Q53">
            <v>1.01</v>
          </cell>
          <cell r="R53">
            <v>3.65</v>
          </cell>
        </row>
        <row r="54">
          <cell r="E54">
            <v>4.2</v>
          </cell>
          <cell r="F54">
            <v>20.8</v>
          </cell>
          <cell r="G54">
            <v>8.66</v>
          </cell>
          <cell r="H54">
            <v>4.96</v>
          </cell>
          <cell r="I54">
            <v>0</v>
          </cell>
          <cell r="J54">
            <v>41.31</v>
          </cell>
          <cell r="K54">
            <v>3.38</v>
          </cell>
          <cell r="L54">
            <v>2.92</v>
          </cell>
          <cell r="M54">
            <v>2.64</v>
          </cell>
          <cell r="N54">
            <v>0.47</v>
          </cell>
          <cell r="O54">
            <v>3.74</v>
          </cell>
          <cell r="P54">
            <v>0.38</v>
          </cell>
          <cell r="Q54">
            <v>1.01</v>
          </cell>
          <cell r="R54">
            <v>3.75</v>
          </cell>
        </row>
        <row r="55">
          <cell r="E55">
            <v>4.3</v>
          </cell>
          <cell r="F55">
            <v>21.2</v>
          </cell>
          <cell r="G55">
            <v>8.7799999999999994</v>
          </cell>
          <cell r="H55">
            <v>5.18</v>
          </cell>
          <cell r="I55">
            <v>0</v>
          </cell>
          <cell r="J55">
            <v>43.13</v>
          </cell>
          <cell r="K55">
            <v>3.45</v>
          </cell>
          <cell r="L55">
            <v>2.99</v>
          </cell>
          <cell r="M55">
            <v>2.64</v>
          </cell>
          <cell r="N55">
            <v>0.47</v>
          </cell>
          <cell r="O55">
            <v>3.9</v>
          </cell>
          <cell r="P55">
            <v>0.38</v>
          </cell>
          <cell r="Q55">
            <v>1.01</v>
          </cell>
          <cell r="R55">
            <v>3.85</v>
          </cell>
        </row>
        <row r="56">
          <cell r="E56">
            <v>4.4000000000000004</v>
          </cell>
          <cell r="F56">
            <v>21.6</v>
          </cell>
          <cell r="G56">
            <v>8.9</v>
          </cell>
          <cell r="H56">
            <v>5.4</v>
          </cell>
          <cell r="I56">
            <v>0</v>
          </cell>
          <cell r="J56">
            <v>45.02</v>
          </cell>
          <cell r="K56">
            <v>3.51</v>
          </cell>
          <cell r="L56">
            <v>3.05</v>
          </cell>
          <cell r="M56">
            <v>2.64</v>
          </cell>
          <cell r="N56">
            <v>0.47</v>
          </cell>
          <cell r="O56">
            <v>4.05</v>
          </cell>
          <cell r="P56">
            <v>0.38</v>
          </cell>
          <cell r="Q56">
            <v>1.01</v>
          </cell>
          <cell r="R56">
            <v>3.95</v>
          </cell>
        </row>
        <row r="57">
          <cell r="E57">
            <v>4.5</v>
          </cell>
          <cell r="F57">
            <v>22</v>
          </cell>
          <cell r="G57">
            <v>9.02</v>
          </cell>
          <cell r="H57">
            <v>5.63</v>
          </cell>
          <cell r="I57">
            <v>0</v>
          </cell>
          <cell r="J57">
            <v>46.92</v>
          </cell>
          <cell r="K57">
            <v>3.58</v>
          </cell>
          <cell r="L57">
            <v>3.12</v>
          </cell>
          <cell r="M57">
            <v>2.64</v>
          </cell>
          <cell r="N57">
            <v>0.47</v>
          </cell>
          <cell r="O57">
            <v>4.21</v>
          </cell>
          <cell r="P57">
            <v>0.38</v>
          </cell>
          <cell r="Q57">
            <v>1.01</v>
          </cell>
          <cell r="R57">
            <v>4.05</v>
          </cell>
        </row>
        <row r="58">
          <cell r="E58">
            <v>4.5999999999999996</v>
          </cell>
          <cell r="F58">
            <v>22.4</v>
          </cell>
          <cell r="G58">
            <v>9.14</v>
          </cell>
          <cell r="H58">
            <v>5.85</v>
          </cell>
          <cell r="I58">
            <v>0</v>
          </cell>
          <cell r="J58">
            <v>48.86</v>
          </cell>
          <cell r="K58">
            <v>3.65</v>
          </cell>
          <cell r="L58">
            <v>3.19</v>
          </cell>
          <cell r="M58">
            <v>2.64</v>
          </cell>
          <cell r="N58">
            <v>0.47</v>
          </cell>
          <cell r="O58">
            <v>4.37</v>
          </cell>
          <cell r="P58">
            <v>0.38</v>
          </cell>
          <cell r="Q58">
            <v>1.01</v>
          </cell>
          <cell r="R58">
            <v>4.1500000000000004</v>
          </cell>
        </row>
        <row r="59">
          <cell r="E59">
            <v>4.7</v>
          </cell>
          <cell r="F59">
            <v>22.8</v>
          </cell>
          <cell r="G59">
            <v>9.26</v>
          </cell>
          <cell r="H59">
            <v>6.08</v>
          </cell>
          <cell r="I59">
            <v>0</v>
          </cell>
          <cell r="J59">
            <v>50.86</v>
          </cell>
          <cell r="K59">
            <v>3.71</v>
          </cell>
          <cell r="L59">
            <v>3.25</v>
          </cell>
          <cell r="M59">
            <v>2.64</v>
          </cell>
          <cell r="N59">
            <v>0.47</v>
          </cell>
          <cell r="O59">
            <v>4.53</v>
          </cell>
          <cell r="P59">
            <v>0.38</v>
          </cell>
          <cell r="Q59">
            <v>1.01</v>
          </cell>
          <cell r="R59">
            <v>4.25</v>
          </cell>
        </row>
        <row r="60">
          <cell r="E60">
            <v>4.8</v>
          </cell>
          <cell r="F60">
            <v>23.2</v>
          </cell>
          <cell r="G60">
            <v>9.3800000000000008</v>
          </cell>
          <cell r="H60">
            <v>6.31</v>
          </cell>
          <cell r="I60">
            <v>0</v>
          </cell>
          <cell r="J60">
            <v>52.89</v>
          </cell>
          <cell r="K60">
            <v>3.78</v>
          </cell>
          <cell r="L60">
            <v>3.32</v>
          </cell>
          <cell r="M60">
            <v>2.64</v>
          </cell>
          <cell r="N60">
            <v>0.47</v>
          </cell>
          <cell r="O60">
            <v>4.68</v>
          </cell>
          <cell r="P60">
            <v>0.38</v>
          </cell>
          <cell r="Q60">
            <v>1.01</v>
          </cell>
          <cell r="R60">
            <v>4.3499999999999996</v>
          </cell>
        </row>
        <row r="61">
          <cell r="E61">
            <v>4.9000000000000004</v>
          </cell>
          <cell r="F61">
            <v>23.6</v>
          </cell>
          <cell r="G61">
            <v>9.5</v>
          </cell>
          <cell r="H61">
            <v>6.55</v>
          </cell>
          <cell r="I61">
            <v>0</v>
          </cell>
          <cell r="J61">
            <v>54.95</v>
          </cell>
          <cell r="K61">
            <v>3.85</v>
          </cell>
          <cell r="L61">
            <v>3.39</v>
          </cell>
          <cell r="M61">
            <v>2.64</v>
          </cell>
          <cell r="N61">
            <v>0.47</v>
          </cell>
          <cell r="O61">
            <v>4.84</v>
          </cell>
          <cell r="P61">
            <v>0.38</v>
          </cell>
          <cell r="Q61">
            <v>1.01</v>
          </cell>
          <cell r="R61">
            <v>4.45</v>
          </cell>
        </row>
        <row r="62">
          <cell r="E62">
            <v>5</v>
          </cell>
          <cell r="F62">
            <v>24</v>
          </cell>
          <cell r="G62">
            <v>9.6199999999999992</v>
          </cell>
          <cell r="H62">
            <v>6.78</v>
          </cell>
          <cell r="I62">
            <v>0</v>
          </cell>
          <cell r="J62">
            <v>57.05</v>
          </cell>
          <cell r="K62">
            <v>3.92</v>
          </cell>
          <cell r="L62">
            <v>3.46</v>
          </cell>
          <cell r="M62">
            <v>2.64</v>
          </cell>
          <cell r="N62">
            <v>0.47</v>
          </cell>
          <cell r="O62">
            <v>5</v>
          </cell>
          <cell r="P62">
            <v>0.38</v>
          </cell>
          <cell r="Q62">
            <v>1.01</v>
          </cell>
          <cell r="R62">
            <v>4.55</v>
          </cell>
        </row>
        <row r="63">
          <cell r="E63">
            <v>5.0999999999999996</v>
          </cell>
          <cell r="F63">
            <v>24.4</v>
          </cell>
          <cell r="G63">
            <v>9.74</v>
          </cell>
          <cell r="H63">
            <v>7.01</v>
          </cell>
          <cell r="I63">
            <v>0</v>
          </cell>
          <cell r="J63">
            <v>59.21</v>
          </cell>
          <cell r="K63">
            <v>3.98</v>
          </cell>
          <cell r="L63">
            <v>3.52</v>
          </cell>
          <cell r="M63">
            <v>2.64</v>
          </cell>
          <cell r="N63">
            <v>0.47</v>
          </cell>
          <cell r="O63">
            <v>5.16</v>
          </cell>
          <cell r="P63">
            <v>0.38</v>
          </cell>
          <cell r="Q63">
            <v>1.01</v>
          </cell>
          <cell r="R63">
            <v>4.6500000000000004</v>
          </cell>
        </row>
        <row r="64">
          <cell r="E64">
            <v>5.2</v>
          </cell>
          <cell r="F64">
            <v>24.8</v>
          </cell>
          <cell r="G64">
            <v>9.86</v>
          </cell>
          <cell r="H64">
            <v>7.26</v>
          </cell>
          <cell r="I64">
            <v>0</v>
          </cell>
          <cell r="J64">
            <v>61.4</v>
          </cell>
          <cell r="K64">
            <v>4.05</v>
          </cell>
          <cell r="L64">
            <v>3.59</v>
          </cell>
          <cell r="M64">
            <v>2.64</v>
          </cell>
          <cell r="N64">
            <v>0.47</v>
          </cell>
          <cell r="O64">
            <v>5.31</v>
          </cell>
          <cell r="P64">
            <v>0.38</v>
          </cell>
          <cell r="Q64">
            <v>1.01</v>
          </cell>
          <cell r="R64">
            <v>4.75</v>
          </cell>
        </row>
        <row r="65">
          <cell r="E65">
            <v>5.3</v>
          </cell>
          <cell r="F65">
            <v>25.2</v>
          </cell>
          <cell r="G65">
            <v>9.98</v>
          </cell>
          <cell r="H65">
            <v>7.51</v>
          </cell>
          <cell r="I65">
            <v>0</v>
          </cell>
          <cell r="J65">
            <v>63.62</v>
          </cell>
          <cell r="K65">
            <v>4.12</v>
          </cell>
          <cell r="L65">
            <v>3.66</v>
          </cell>
          <cell r="M65">
            <v>2.64</v>
          </cell>
          <cell r="N65">
            <v>0.47</v>
          </cell>
          <cell r="O65">
            <v>5.47</v>
          </cell>
          <cell r="P65">
            <v>0.38</v>
          </cell>
          <cell r="Q65">
            <v>1.01</v>
          </cell>
          <cell r="R65">
            <v>4.8499999999999996</v>
          </cell>
        </row>
        <row r="66">
          <cell r="E66">
            <v>5.4</v>
          </cell>
          <cell r="F66">
            <v>25.6</v>
          </cell>
          <cell r="G66">
            <v>10.1</v>
          </cell>
          <cell r="H66">
            <v>7.75</v>
          </cell>
          <cell r="I66">
            <v>0</v>
          </cell>
          <cell r="J66">
            <v>65.89</v>
          </cell>
          <cell r="K66">
            <v>4.1900000000000004</v>
          </cell>
          <cell r="L66">
            <v>3.72</v>
          </cell>
          <cell r="M66">
            <v>2.64</v>
          </cell>
          <cell r="N66">
            <v>0.47</v>
          </cell>
          <cell r="O66">
            <v>5.63</v>
          </cell>
          <cell r="P66">
            <v>0.38</v>
          </cell>
          <cell r="Q66">
            <v>1.01</v>
          </cell>
          <cell r="R66">
            <v>4.95</v>
          </cell>
        </row>
        <row r="67">
          <cell r="E67">
            <v>5.5</v>
          </cell>
          <cell r="F67">
            <v>26</v>
          </cell>
          <cell r="G67">
            <v>10.220000000000001</v>
          </cell>
          <cell r="H67">
            <v>8</v>
          </cell>
          <cell r="I67">
            <v>0</v>
          </cell>
          <cell r="J67">
            <v>68.2</v>
          </cell>
          <cell r="K67">
            <v>4.25</v>
          </cell>
          <cell r="L67">
            <v>3.79</v>
          </cell>
          <cell r="M67">
            <v>2.64</v>
          </cell>
          <cell r="N67">
            <v>0.47</v>
          </cell>
          <cell r="O67">
            <v>5.79</v>
          </cell>
          <cell r="P67">
            <v>0.38</v>
          </cell>
          <cell r="Q67">
            <v>1.01</v>
          </cell>
          <cell r="R67">
            <v>5.05</v>
          </cell>
        </row>
        <row r="68">
          <cell r="E68">
            <v>5.6</v>
          </cell>
          <cell r="F68">
            <v>26.4</v>
          </cell>
          <cell r="G68">
            <v>10.34</v>
          </cell>
          <cell r="H68">
            <v>8.25</v>
          </cell>
          <cell r="I68">
            <v>0</v>
          </cell>
          <cell r="J68">
            <v>70.55</v>
          </cell>
          <cell r="K68">
            <v>4.32</v>
          </cell>
          <cell r="L68">
            <v>3.86</v>
          </cell>
          <cell r="M68">
            <v>2.64</v>
          </cell>
          <cell r="N68">
            <v>0.47</v>
          </cell>
          <cell r="O68">
            <v>5.94</v>
          </cell>
          <cell r="P68">
            <v>0.38</v>
          </cell>
          <cell r="Q68">
            <v>1.01</v>
          </cell>
          <cell r="R68">
            <v>5.15</v>
          </cell>
        </row>
        <row r="69">
          <cell r="E69">
            <v>5.7</v>
          </cell>
          <cell r="F69">
            <v>26.8</v>
          </cell>
          <cell r="G69">
            <v>10.46</v>
          </cell>
          <cell r="H69">
            <v>8.51</v>
          </cell>
          <cell r="I69">
            <v>0</v>
          </cell>
          <cell r="J69">
            <v>72.95</v>
          </cell>
          <cell r="K69">
            <v>4.38</v>
          </cell>
          <cell r="L69">
            <v>3.92</v>
          </cell>
          <cell r="M69">
            <v>2.64</v>
          </cell>
          <cell r="N69">
            <v>0.47</v>
          </cell>
          <cell r="O69">
            <v>6.1</v>
          </cell>
          <cell r="P69">
            <v>0.38</v>
          </cell>
          <cell r="Q69">
            <v>1.01</v>
          </cell>
          <cell r="R69">
            <v>5.25</v>
          </cell>
        </row>
        <row r="70">
          <cell r="E70">
            <v>5.8</v>
          </cell>
          <cell r="F70">
            <v>27.2</v>
          </cell>
          <cell r="G70">
            <v>10.58</v>
          </cell>
          <cell r="H70">
            <v>8.76</v>
          </cell>
          <cell r="I70">
            <v>0</v>
          </cell>
          <cell r="J70">
            <v>75.37</v>
          </cell>
          <cell r="K70">
            <v>4.45</v>
          </cell>
          <cell r="L70">
            <v>3.99</v>
          </cell>
          <cell r="M70">
            <v>2.64</v>
          </cell>
          <cell r="N70">
            <v>0.47</v>
          </cell>
          <cell r="O70">
            <v>6.26</v>
          </cell>
          <cell r="P70">
            <v>0.38</v>
          </cell>
          <cell r="Q70">
            <v>1.01</v>
          </cell>
          <cell r="R70">
            <v>5.35</v>
          </cell>
        </row>
        <row r="71">
          <cell r="E71">
            <v>5.9</v>
          </cell>
          <cell r="F71">
            <v>27.6</v>
          </cell>
          <cell r="G71">
            <v>10.7</v>
          </cell>
          <cell r="H71">
            <v>9.02</v>
          </cell>
          <cell r="I71">
            <v>0</v>
          </cell>
          <cell r="J71">
            <v>77.83</v>
          </cell>
          <cell r="K71">
            <v>4.5199999999999996</v>
          </cell>
          <cell r="L71">
            <v>4.0599999999999996</v>
          </cell>
          <cell r="M71">
            <v>2.64</v>
          </cell>
          <cell r="N71">
            <v>0.47</v>
          </cell>
          <cell r="O71">
            <v>6.42</v>
          </cell>
          <cell r="P71">
            <v>0.38</v>
          </cell>
          <cell r="Q71">
            <v>1.01</v>
          </cell>
          <cell r="R71">
            <v>5.45</v>
          </cell>
        </row>
        <row r="72">
          <cell r="E72">
            <v>6</v>
          </cell>
          <cell r="F72">
            <v>28</v>
          </cell>
          <cell r="G72">
            <v>10.82</v>
          </cell>
          <cell r="H72">
            <v>9.2799999999999994</v>
          </cell>
          <cell r="I72">
            <v>0</v>
          </cell>
          <cell r="J72">
            <v>80.34</v>
          </cell>
          <cell r="K72">
            <v>4.59</v>
          </cell>
          <cell r="L72">
            <v>4.13</v>
          </cell>
          <cell r="M72">
            <v>2.64</v>
          </cell>
          <cell r="N72">
            <v>0.47</v>
          </cell>
          <cell r="O72">
            <v>6.57</v>
          </cell>
          <cell r="P72">
            <v>0.38</v>
          </cell>
          <cell r="Q72">
            <v>1.01</v>
          </cell>
          <cell r="R72">
            <v>5.55</v>
          </cell>
        </row>
        <row r="73">
          <cell r="E73">
            <v>6.1</v>
          </cell>
          <cell r="F73">
            <v>28.4</v>
          </cell>
          <cell r="G73">
            <v>10.94</v>
          </cell>
          <cell r="H73">
            <v>9.5500000000000007</v>
          </cell>
          <cell r="I73">
            <v>0</v>
          </cell>
          <cell r="J73">
            <v>82.9</v>
          </cell>
          <cell r="K73">
            <v>4.6500000000000004</v>
          </cell>
          <cell r="L73">
            <v>4.1900000000000004</v>
          </cell>
          <cell r="M73">
            <v>2.64</v>
          </cell>
          <cell r="N73">
            <v>0.47</v>
          </cell>
          <cell r="O73">
            <v>6.73</v>
          </cell>
          <cell r="P73">
            <v>0.38</v>
          </cell>
          <cell r="Q73">
            <v>1.01</v>
          </cell>
          <cell r="R73">
            <v>5.65</v>
          </cell>
        </row>
        <row r="74">
          <cell r="E74">
            <v>6.2</v>
          </cell>
          <cell r="F74">
            <v>28.8</v>
          </cell>
          <cell r="G74">
            <v>11.06</v>
          </cell>
          <cell r="H74">
            <v>9.81</v>
          </cell>
          <cell r="I74">
            <v>0</v>
          </cell>
          <cell r="J74">
            <v>85.48</v>
          </cell>
          <cell r="K74">
            <v>4.72</v>
          </cell>
          <cell r="L74">
            <v>4.26</v>
          </cell>
          <cell r="M74">
            <v>2.64</v>
          </cell>
          <cell r="N74">
            <v>0.47</v>
          </cell>
          <cell r="O74">
            <v>6.89</v>
          </cell>
          <cell r="P74">
            <v>0.38</v>
          </cell>
          <cell r="Q74">
            <v>1.01</v>
          </cell>
          <cell r="R74">
            <v>5.75</v>
          </cell>
        </row>
        <row r="75">
          <cell r="E75">
            <v>6.3</v>
          </cell>
          <cell r="F75">
            <v>29.2</v>
          </cell>
          <cell r="G75">
            <v>11.18</v>
          </cell>
          <cell r="H75">
            <v>10.08</v>
          </cell>
          <cell r="I75">
            <v>0</v>
          </cell>
          <cell r="J75">
            <v>88.1</v>
          </cell>
          <cell r="K75">
            <v>4.79</v>
          </cell>
          <cell r="L75">
            <v>4.33</v>
          </cell>
          <cell r="M75">
            <v>2.64</v>
          </cell>
          <cell r="N75">
            <v>0.47</v>
          </cell>
          <cell r="O75">
            <v>7.05</v>
          </cell>
          <cell r="P75">
            <v>0.38</v>
          </cell>
          <cell r="Q75">
            <v>1.01</v>
          </cell>
          <cell r="R75">
            <v>5.85</v>
          </cell>
        </row>
        <row r="76">
          <cell r="E76">
            <v>6.4</v>
          </cell>
          <cell r="F76">
            <v>29.6</v>
          </cell>
          <cell r="G76">
            <v>11.3</v>
          </cell>
          <cell r="H76">
            <v>10.35</v>
          </cell>
          <cell r="I76">
            <v>0</v>
          </cell>
          <cell r="J76">
            <v>90.79</v>
          </cell>
          <cell r="K76">
            <v>4.8499999999999996</v>
          </cell>
          <cell r="L76">
            <v>4.3899999999999997</v>
          </cell>
          <cell r="M76">
            <v>2.64</v>
          </cell>
          <cell r="N76">
            <v>0.47</v>
          </cell>
          <cell r="O76">
            <v>7.2</v>
          </cell>
          <cell r="P76">
            <v>0.38</v>
          </cell>
          <cell r="Q76">
            <v>1.01</v>
          </cell>
          <cell r="R76">
            <v>5.95</v>
          </cell>
        </row>
        <row r="77">
          <cell r="E77">
            <v>6.5</v>
          </cell>
          <cell r="F77">
            <v>30</v>
          </cell>
          <cell r="G77">
            <v>11.42</v>
          </cell>
          <cell r="H77">
            <v>10.63</v>
          </cell>
          <cell r="I77">
            <v>0</v>
          </cell>
          <cell r="J77">
            <v>93.5</v>
          </cell>
          <cell r="K77">
            <v>4.92</v>
          </cell>
          <cell r="L77">
            <v>4.46</v>
          </cell>
          <cell r="M77">
            <v>2.64</v>
          </cell>
          <cell r="N77">
            <v>0.47</v>
          </cell>
          <cell r="O77">
            <v>7.36</v>
          </cell>
          <cell r="P77">
            <v>0.38</v>
          </cell>
          <cell r="Q77">
            <v>1.01</v>
          </cell>
          <cell r="R77">
            <v>6.05</v>
          </cell>
        </row>
        <row r="78">
          <cell r="E78">
            <v>6.6</v>
          </cell>
          <cell r="F78">
            <v>30.4</v>
          </cell>
          <cell r="G78">
            <v>11.54</v>
          </cell>
          <cell r="H78">
            <v>10.9</v>
          </cell>
          <cell r="I78">
            <v>0</v>
          </cell>
          <cell r="J78">
            <v>96.23</v>
          </cell>
          <cell r="K78">
            <v>4.99</v>
          </cell>
          <cell r="L78">
            <v>4.53</v>
          </cell>
          <cell r="M78">
            <v>2.64</v>
          </cell>
          <cell r="N78">
            <v>0.47</v>
          </cell>
          <cell r="O78">
            <v>7.52</v>
          </cell>
          <cell r="P78">
            <v>0.38</v>
          </cell>
          <cell r="Q78">
            <v>1.01</v>
          </cell>
          <cell r="R78">
            <v>6.15</v>
          </cell>
        </row>
        <row r="79">
          <cell r="E79">
            <v>6.7</v>
          </cell>
          <cell r="F79">
            <v>30.8</v>
          </cell>
          <cell r="G79">
            <v>11.66</v>
          </cell>
          <cell r="H79">
            <v>11.18</v>
          </cell>
          <cell r="I79">
            <v>0</v>
          </cell>
          <cell r="J79">
            <v>99.01</v>
          </cell>
          <cell r="K79">
            <v>5.0599999999999996</v>
          </cell>
          <cell r="L79">
            <v>4.5999999999999996</v>
          </cell>
          <cell r="M79">
            <v>2.64</v>
          </cell>
          <cell r="N79">
            <v>0.47</v>
          </cell>
          <cell r="O79">
            <v>7.68</v>
          </cell>
          <cell r="P79">
            <v>0.38</v>
          </cell>
          <cell r="Q79">
            <v>1.01</v>
          </cell>
          <cell r="R79">
            <v>6.25</v>
          </cell>
        </row>
        <row r="80">
          <cell r="E80">
            <v>6.8</v>
          </cell>
          <cell r="F80">
            <v>31.2</v>
          </cell>
          <cell r="G80">
            <v>11.78</v>
          </cell>
          <cell r="H80">
            <v>11.46</v>
          </cell>
          <cell r="I80">
            <v>0</v>
          </cell>
          <cell r="J80">
            <v>101.86</v>
          </cell>
          <cell r="K80">
            <v>5.12</v>
          </cell>
          <cell r="L80">
            <v>4.66</v>
          </cell>
          <cell r="M80">
            <v>2.64</v>
          </cell>
          <cell r="N80">
            <v>0.47</v>
          </cell>
          <cell r="O80">
            <v>7.83</v>
          </cell>
          <cell r="P80">
            <v>0.38</v>
          </cell>
          <cell r="Q80">
            <v>1.01</v>
          </cell>
          <cell r="R80">
            <v>6.35</v>
          </cell>
        </row>
        <row r="81">
          <cell r="E81">
            <v>6.9</v>
          </cell>
          <cell r="F81">
            <v>31.6</v>
          </cell>
          <cell r="G81">
            <v>11.9</v>
          </cell>
          <cell r="H81">
            <v>11.75</v>
          </cell>
          <cell r="I81">
            <v>0</v>
          </cell>
          <cell r="J81">
            <v>104.72</v>
          </cell>
          <cell r="K81">
            <v>5.19</v>
          </cell>
          <cell r="L81">
            <v>4.7300000000000004</v>
          </cell>
          <cell r="M81">
            <v>2.64</v>
          </cell>
          <cell r="N81">
            <v>0.47</v>
          </cell>
          <cell r="O81">
            <v>7.99</v>
          </cell>
          <cell r="P81">
            <v>0.38</v>
          </cell>
          <cell r="Q81">
            <v>1.01</v>
          </cell>
          <cell r="R81">
            <v>6.45</v>
          </cell>
        </row>
        <row r="82">
          <cell r="E82">
            <v>7</v>
          </cell>
          <cell r="F82">
            <v>32</v>
          </cell>
          <cell r="G82">
            <v>12.02</v>
          </cell>
          <cell r="H82">
            <v>12.03</v>
          </cell>
          <cell r="I82">
            <v>0</v>
          </cell>
          <cell r="J82">
            <v>107.62</v>
          </cell>
          <cell r="K82">
            <v>5.26</v>
          </cell>
          <cell r="L82">
            <v>4.8</v>
          </cell>
          <cell r="M82">
            <v>2.64</v>
          </cell>
          <cell r="N82">
            <v>0.47</v>
          </cell>
          <cell r="O82">
            <v>8.15</v>
          </cell>
          <cell r="P82">
            <v>0.38</v>
          </cell>
          <cell r="Q82">
            <v>1.01</v>
          </cell>
          <cell r="R82">
            <v>6.55</v>
          </cell>
        </row>
        <row r="83">
          <cell r="E83">
            <v>7.1</v>
          </cell>
          <cell r="F83">
            <v>32.4</v>
          </cell>
          <cell r="G83">
            <v>12.14</v>
          </cell>
          <cell r="H83">
            <v>12.32</v>
          </cell>
          <cell r="I83">
            <v>0</v>
          </cell>
          <cell r="J83">
            <v>110.58</v>
          </cell>
          <cell r="K83">
            <v>5.32</v>
          </cell>
          <cell r="L83">
            <v>4.8600000000000003</v>
          </cell>
          <cell r="M83">
            <v>2.64</v>
          </cell>
          <cell r="N83">
            <v>0.47</v>
          </cell>
          <cell r="O83">
            <v>8.31</v>
          </cell>
          <cell r="P83">
            <v>0.38</v>
          </cell>
          <cell r="Q83">
            <v>1.01</v>
          </cell>
          <cell r="R83">
            <v>6.65</v>
          </cell>
        </row>
        <row r="84">
          <cell r="E84">
            <v>7.2</v>
          </cell>
          <cell r="F84">
            <v>32.799999999999997</v>
          </cell>
          <cell r="G84">
            <v>12.26</v>
          </cell>
          <cell r="H84">
            <v>12.61</v>
          </cell>
          <cell r="I84">
            <v>0</v>
          </cell>
          <cell r="J84">
            <v>113.57</v>
          </cell>
          <cell r="K84">
            <v>5.39</v>
          </cell>
          <cell r="L84">
            <v>4.93</v>
          </cell>
          <cell r="M84">
            <v>2.64</v>
          </cell>
          <cell r="N84">
            <v>0.47</v>
          </cell>
          <cell r="O84">
            <v>8.4600000000000009</v>
          </cell>
          <cell r="P84">
            <v>0.38</v>
          </cell>
          <cell r="Q84">
            <v>1.01</v>
          </cell>
          <cell r="R84">
            <v>6.75</v>
          </cell>
        </row>
        <row r="85">
          <cell r="E85">
            <v>7.3</v>
          </cell>
          <cell r="F85">
            <v>33.200000000000003</v>
          </cell>
          <cell r="G85">
            <v>12.38</v>
          </cell>
          <cell r="H85">
            <v>12.91</v>
          </cell>
          <cell r="I85">
            <v>0</v>
          </cell>
          <cell r="J85">
            <v>116.59</v>
          </cell>
          <cell r="K85">
            <v>5.46</v>
          </cell>
          <cell r="L85">
            <v>5</v>
          </cell>
          <cell r="M85">
            <v>2.64</v>
          </cell>
          <cell r="N85">
            <v>0.47</v>
          </cell>
          <cell r="O85">
            <v>8.6199999999999992</v>
          </cell>
          <cell r="P85">
            <v>0.38</v>
          </cell>
          <cell r="Q85">
            <v>1.01</v>
          </cell>
          <cell r="R85">
            <v>6.85</v>
          </cell>
        </row>
        <row r="86">
          <cell r="E86">
            <v>7.4</v>
          </cell>
          <cell r="F86">
            <v>33.6</v>
          </cell>
          <cell r="G86">
            <v>12.5</v>
          </cell>
          <cell r="H86">
            <v>13.2</v>
          </cell>
          <cell r="I86">
            <v>0</v>
          </cell>
          <cell r="J86">
            <v>119.65</v>
          </cell>
          <cell r="K86">
            <v>5.53</v>
          </cell>
          <cell r="L86">
            <v>5.07</v>
          </cell>
          <cell r="M86">
            <v>2.64</v>
          </cell>
          <cell r="N86">
            <v>0.47</v>
          </cell>
          <cell r="O86">
            <v>8.7799999999999994</v>
          </cell>
          <cell r="P86">
            <v>0.38</v>
          </cell>
          <cell r="Q86">
            <v>1.01</v>
          </cell>
          <cell r="R86">
            <v>6.95</v>
          </cell>
        </row>
        <row r="87">
          <cell r="E87">
            <v>7.5</v>
          </cell>
          <cell r="F87">
            <v>34</v>
          </cell>
          <cell r="G87">
            <v>12.62</v>
          </cell>
          <cell r="H87">
            <v>13.54</v>
          </cell>
          <cell r="I87">
            <v>34.97</v>
          </cell>
          <cell r="J87">
            <v>82.87</v>
          </cell>
          <cell r="K87">
            <v>5.59</v>
          </cell>
          <cell r="L87">
            <v>5.13</v>
          </cell>
          <cell r="M87">
            <v>2.64</v>
          </cell>
          <cell r="N87">
            <v>0.47</v>
          </cell>
          <cell r="O87">
            <v>13.87</v>
          </cell>
          <cell r="P87">
            <v>0.38</v>
          </cell>
          <cell r="Q87">
            <v>1.01</v>
          </cell>
          <cell r="R87">
            <v>7.05</v>
          </cell>
        </row>
        <row r="88">
          <cell r="E88">
            <v>7.6</v>
          </cell>
          <cell r="F88">
            <v>34.4</v>
          </cell>
          <cell r="G88">
            <v>12.74</v>
          </cell>
          <cell r="H88">
            <v>13.8</v>
          </cell>
          <cell r="I88">
            <v>35.840000000000003</v>
          </cell>
          <cell r="J88">
            <v>85.07</v>
          </cell>
          <cell r="K88">
            <v>5.66</v>
          </cell>
          <cell r="L88">
            <v>5.2</v>
          </cell>
          <cell r="M88">
            <v>2.64</v>
          </cell>
          <cell r="N88">
            <v>0.47</v>
          </cell>
          <cell r="O88">
            <v>14.1</v>
          </cell>
          <cell r="P88">
            <v>0.38</v>
          </cell>
          <cell r="Q88">
            <v>1.01</v>
          </cell>
          <cell r="R88">
            <v>7.15</v>
          </cell>
        </row>
        <row r="89">
          <cell r="E89">
            <v>7.7</v>
          </cell>
          <cell r="F89">
            <v>34.799999999999997</v>
          </cell>
          <cell r="G89">
            <v>12.86</v>
          </cell>
          <cell r="H89">
            <v>14.11</v>
          </cell>
          <cell r="I89">
            <v>36.729999999999997</v>
          </cell>
          <cell r="J89">
            <v>87.28</v>
          </cell>
          <cell r="K89">
            <v>5.73</v>
          </cell>
          <cell r="L89">
            <v>5.27</v>
          </cell>
          <cell r="M89">
            <v>2.64</v>
          </cell>
          <cell r="N89">
            <v>0.47</v>
          </cell>
          <cell r="O89">
            <v>14.34</v>
          </cell>
          <cell r="P89">
            <v>0.38</v>
          </cell>
          <cell r="Q89">
            <v>1.01</v>
          </cell>
          <cell r="R89">
            <v>7.25</v>
          </cell>
        </row>
        <row r="90">
          <cell r="E90">
            <v>7.8</v>
          </cell>
          <cell r="F90">
            <v>35.200000000000003</v>
          </cell>
          <cell r="G90">
            <v>12.98</v>
          </cell>
          <cell r="H90">
            <v>14.41</v>
          </cell>
          <cell r="I90">
            <v>37.619999999999997</v>
          </cell>
          <cell r="J90">
            <v>89.56</v>
          </cell>
          <cell r="K90">
            <v>5.79</v>
          </cell>
          <cell r="L90">
            <v>5.33</v>
          </cell>
          <cell r="M90">
            <v>2.64</v>
          </cell>
          <cell r="N90">
            <v>0.47</v>
          </cell>
          <cell r="O90">
            <v>14.57</v>
          </cell>
          <cell r="P90">
            <v>0.38</v>
          </cell>
          <cell r="Q90">
            <v>1.01</v>
          </cell>
          <cell r="R90">
            <v>7.35</v>
          </cell>
        </row>
        <row r="91">
          <cell r="E91">
            <v>7.9</v>
          </cell>
          <cell r="F91">
            <v>35.6</v>
          </cell>
          <cell r="G91">
            <v>13.1</v>
          </cell>
          <cell r="H91">
            <v>14.72</v>
          </cell>
          <cell r="I91">
            <v>38.53</v>
          </cell>
          <cell r="J91">
            <v>91.83</v>
          </cell>
          <cell r="K91">
            <v>5.86</v>
          </cell>
          <cell r="L91">
            <v>5.4</v>
          </cell>
          <cell r="M91">
            <v>2.64</v>
          </cell>
          <cell r="N91">
            <v>0.47</v>
          </cell>
          <cell r="O91">
            <v>14.81</v>
          </cell>
          <cell r="P91">
            <v>0.38</v>
          </cell>
          <cell r="Q91">
            <v>1.01</v>
          </cell>
          <cell r="R91">
            <v>7.45</v>
          </cell>
        </row>
        <row r="92">
          <cell r="E92">
            <v>8</v>
          </cell>
          <cell r="F92">
            <v>36</v>
          </cell>
          <cell r="G92">
            <v>13.22</v>
          </cell>
          <cell r="H92">
            <v>15.03</v>
          </cell>
          <cell r="I92">
            <v>39.44</v>
          </cell>
          <cell r="J92">
            <v>94.15</v>
          </cell>
          <cell r="K92">
            <v>5.93</v>
          </cell>
          <cell r="L92">
            <v>5.47</v>
          </cell>
          <cell r="M92">
            <v>2.64</v>
          </cell>
          <cell r="N92">
            <v>0.47</v>
          </cell>
          <cell r="O92">
            <v>15.04</v>
          </cell>
          <cell r="P92">
            <v>0.38</v>
          </cell>
          <cell r="Q92">
            <v>1.01</v>
          </cell>
          <cell r="R92">
            <v>7.55</v>
          </cell>
        </row>
        <row r="93">
          <cell r="E93">
            <v>8.1</v>
          </cell>
          <cell r="F93">
            <v>36.4</v>
          </cell>
          <cell r="G93">
            <v>13.34</v>
          </cell>
          <cell r="H93">
            <v>15.35</v>
          </cell>
          <cell r="I93">
            <v>40.369999999999997</v>
          </cell>
          <cell r="J93">
            <v>96.48</v>
          </cell>
          <cell r="K93">
            <v>6</v>
          </cell>
          <cell r="L93">
            <v>5.54</v>
          </cell>
          <cell r="M93">
            <v>2.64</v>
          </cell>
          <cell r="N93">
            <v>0.47</v>
          </cell>
          <cell r="O93">
            <v>15.28</v>
          </cell>
          <cell r="P93">
            <v>0.38</v>
          </cell>
          <cell r="Q93">
            <v>1.01</v>
          </cell>
          <cell r="R93">
            <v>7.65</v>
          </cell>
        </row>
        <row r="94">
          <cell r="E94">
            <v>8.1999999999999993</v>
          </cell>
          <cell r="F94">
            <v>36.799999999999997</v>
          </cell>
          <cell r="G94">
            <v>13.46</v>
          </cell>
          <cell r="H94">
            <v>15.66</v>
          </cell>
          <cell r="I94">
            <v>41.3</v>
          </cell>
          <cell r="J94">
            <v>98.88</v>
          </cell>
          <cell r="K94">
            <v>6.06</v>
          </cell>
          <cell r="L94">
            <v>5.6</v>
          </cell>
          <cell r="M94">
            <v>2.64</v>
          </cell>
          <cell r="N94">
            <v>0.47</v>
          </cell>
          <cell r="O94">
            <v>15.51</v>
          </cell>
          <cell r="P94">
            <v>0.38</v>
          </cell>
          <cell r="Q94">
            <v>1.01</v>
          </cell>
          <cell r="R94">
            <v>7.75</v>
          </cell>
        </row>
        <row r="95">
          <cell r="E95">
            <v>8.3000000000000007</v>
          </cell>
          <cell r="F95">
            <v>37.200000000000003</v>
          </cell>
          <cell r="G95">
            <v>13.58</v>
          </cell>
          <cell r="H95">
            <v>15.98</v>
          </cell>
          <cell r="I95">
            <v>42.25</v>
          </cell>
          <cell r="J95">
            <v>101.27</v>
          </cell>
          <cell r="K95">
            <v>6.13</v>
          </cell>
          <cell r="L95">
            <v>5.67</v>
          </cell>
          <cell r="M95">
            <v>2.64</v>
          </cell>
          <cell r="N95">
            <v>0.47</v>
          </cell>
          <cell r="O95">
            <v>15.75</v>
          </cell>
          <cell r="P95">
            <v>0.38</v>
          </cell>
          <cell r="Q95">
            <v>1.01</v>
          </cell>
          <cell r="R95">
            <v>7.85</v>
          </cell>
        </row>
        <row r="96">
          <cell r="E96">
            <v>8.4</v>
          </cell>
          <cell r="F96">
            <v>37.6</v>
          </cell>
          <cell r="G96">
            <v>13.7</v>
          </cell>
          <cell r="H96">
            <v>16.3</v>
          </cell>
          <cell r="I96">
            <v>43.2</v>
          </cell>
          <cell r="J96">
            <v>103.71</v>
          </cell>
          <cell r="K96">
            <v>6.2</v>
          </cell>
          <cell r="L96">
            <v>5.74</v>
          </cell>
          <cell r="M96">
            <v>2.64</v>
          </cell>
          <cell r="N96">
            <v>0.47</v>
          </cell>
          <cell r="O96">
            <v>15.98</v>
          </cell>
          <cell r="P96">
            <v>0.38</v>
          </cell>
          <cell r="Q96">
            <v>1.01</v>
          </cell>
          <cell r="R96">
            <v>7.95</v>
          </cell>
        </row>
        <row r="97">
          <cell r="E97">
            <v>8.5</v>
          </cell>
          <cell r="F97">
            <v>38</v>
          </cell>
          <cell r="G97">
            <v>13.82</v>
          </cell>
          <cell r="H97">
            <v>16.63</v>
          </cell>
          <cell r="I97">
            <v>44.17</v>
          </cell>
          <cell r="J97">
            <v>106.18</v>
          </cell>
          <cell r="K97">
            <v>6.26</v>
          </cell>
          <cell r="L97">
            <v>5.8</v>
          </cell>
          <cell r="M97">
            <v>2.64</v>
          </cell>
          <cell r="N97">
            <v>0.47</v>
          </cell>
          <cell r="O97">
            <v>16.22</v>
          </cell>
          <cell r="P97">
            <v>0.38</v>
          </cell>
          <cell r="Q97">
            <v>1.01</v>
          </cell>
          <cell r="R97">
            <v>8.0500000000000007</v>
          </cell>
        </row>
        <row r="98">
          <cell r="E98">
            <v>8.6</v>
          </cell>
          <cell r="F98">
            <v>38.4</v>
          </cell>
          <cell r="G98">
            <v>13.94</v>
          </cell>
          <cell r="H98">
            <v>16.95</v>
          </cell>
          <cell r="I98">
            <v>45.15</v>
          </cell>
          <cell r="J98">
            <v>108.67</v>
          </cell>
          <cell r="K98">
            <v>6.33</v>
          </cell>
          <cell r="L98">
            <v>5.84</v>
          </cell>
          <cell r="M98">
            <v>2.64</v>
          </cell>
          <cell r="N98">
            <v>0.47</v>
          </cell>
          <cell r="O98">
            <v>16.45</v>
          </cell>
          <cell r="P98">
            <v>0.38</v>
          </cell>
          <cell r="Q98">
            <v>1.01</v>
          </cell>
          <cell r="R98">
            <v>8.15</v>
          </cell>
        </row>
        <row r="99">
          <cell r="E99">
            <v>8.6999999999999993</v>
          </cell>
          <cell r="F99">
            <v>38.799999999999997</v>
          </cell>
          <cell r="G99">
            <v>14.06</v>
          </cell>
          <cell r="H99">
            <v>17.25</v>
          </cell>
          <cell r="I99">
            <v>46.13</v>
          </cell>
          <cell r="J99">
            <v>111.19</v>
          </cell>
          <cell r="K99">
            <v>6.4</v>
          </cell>
          <cell r="L99">
            <v>5.94</v>
          </cell>
          <cell r="M99">
            <v>2.64</v>
          </cell>
          <cell r="N99">
            <v>0.47</v>
          </cell>
          <cell r="O99">
            <v>16.690000000000001</v>
          </cell>
          <cell r="P99">
            <v>0.38</v>
          </cell>
          <cell r="Q99">
            <v>1.01</v>
          </cell>
          <cell r="R99">
            <v>8.25</v>
          </cell>
        </row>
        <row r="100">
          <cell r="E100">
            <v>8.8000000000000007</v>
          </cell>
          <cell r="F100">
            <v>39.200000000000003</v>
          </cell>
          <cell r="G100">
            <v>14.18</v>
          </cell>
          <cell r="H100">
            <v>17.61</v>
          </cell>
          <cell r="I100">
            <v>47.12</v>
          </cell>
          <cell r="J100">
            <v>113.69</v>
          </cell>
          <cell r="K100">
            <v>6.46</v>
          </cell>
          <cell r="L100">
            <v>6</v>
          </cell>
          <cell r="M100">
            <v>2.64</v>
          </cell>
          <cell r="N100">
            <v>0.47</v>
          </cell>
          <cell r="O100">
            <v>16.920000000000002</v>
          </cell>
          <cell r="P100">
            <v>0.38</v>
          </cell>
          <cell r="Q100">
            <v>1.01</v>
          </cell>
          <cell r="R100">
            <v>8.35</v>
          </cell>
        </row>
        <row r="101">
          <cell r="E101">
            <v>8.9</v>
          </cell>
          <cell r="F101">
            <v>39.6</v>
          </cell>
          <cell r="G101">
            <v>14.3</v>
          </cell>
          <cell r="H101">
            <v>17.95</v>
          </cell>
          <cell r="I101">
            <v>48.13</v>
          </cell>
          <cell r="J101">
            <v>116.34</v>
          </cell>
          <cell r="K101">
            <v>6.53</v>
          </cell>
          <cell r="L101">
            <v>6.07</v>
          </cell>
          <cell r="M101">
            <v>2.64</v>
          </cell>
          <cell r="N101">
            <v>0.47</v>
          </cell>
          <cell r="O101">
            <v>17.16</v>
          </cell>
          <cell r="P101">
            <v>0.38</v>
          </cell>
          <cell r="Q101">
            <v>1.01</v>
          </cell>
          <cell r="R101">
            <v>8.4499999999999993</v>
          </cell>
        </row>
        <row r="102">
          <cell r="E102">
            <v>9</v>
          </cell>
          <cell r="F102">
            <v>40</v>
          </cell>
          <cell r="G102">
            <v>14.42</v>
          </cell>
          <cell r="H102">
            <v>18.28</v>
          </cell>
          <cell r="I102">
            <v>49.14</v>
          </cell>
          <cell r="J102">
            <v>18.96</v>
          </cell>
          <cell r="K102">
            <v>6.6</v>
          </cell>
          <cell r="L102">
            <v>6.14</v>
          </cell>
          <cell r="M102">
            <v>2.64</v>
          </cell>
          <cell r="N102">
            <v>0.47</v>
          </cell>
          <cell r="O102">
            <v>17.39</v>
          </cell>
          <cell r="P102">
            <v>0.38</v>
          </cell>
          <cell r="Q102">
            <v>1.01</v>
          </cell>
          <cell r="R102">
            <v>8.5500000000000007</v>
          </cell>
        </row>
        <row r="103">
          <cell r="E103">
            <v>9.1</v>
          </cell>
          <cell r="F103">
            <v>40.4</v>
          </cell>
          <cell r="G103">
            <v>14.54</v>
          </cell>
          <cell r="H103">
            <v>18.64</v>
          </cell>
          <cell r="I103">
            <v>50.17</v>
          </cell>
          <cell r="J103">
            <v>121.59</v>
          </cell>
          <cell r="K103">
            <v>6.67</v>
          </cell>
          <cell r="L103">
            <v>6.21</v>
          </cell>
          <cell r="M103">
            <v>2.64</v>
          </cell>
          <cell r="N103">
            <v>0.47</v>
          </cell>
          <cell r="O103">
            <v>17.63</v>
          </cell>
          <cell r="P103">
            <v>0.38</v>
          </cell>
          <cell r="Q103">
            <v>1.01</v>
          </cell>
          <cell r="R103">
            <v>8.65</v>
          </cell>
        </row>
        <row r="104">
          <cell r="E104">
            <v>9.1999999999999993</v>
          </cell>
          <cell r="F104">
            <v>40.799999999999997</v>
          </cell>
          <cell r="G104">
            <v>14.66</v>
          </cell>
          <cell r="H104">
            <v>18.96</v>
          </cell>
          <cell r="I104">
            <v>51.2</v>
          </cell>
          <cell r="J104">
            <v>124.29</v>
          </cell>
          <cell r="K104">
            <v>6.73</v>
          </cell>
          <cell r="L104">
            <v>6.27</v>
          </cell>
          <cell r="M104">
            <v>2.64</v>
          </cell>
          <cell r="N104">
            <v>0.47</v>
          </cell>
          <cell r="O104">
            <v>17.86</v>
          </cell>
          <cell r="P104">
            <v>0.38</v>
          </cell>
          <cell r="Q104">
            <v>1.01</v>
          </cell>
          <cell r="R104">
            <v>8.7499999999999893</v>
          </cell>
        </row>
        <row r="105">
          <cell r="E105">
            <v>9.3000000000000007</v>
          </cell>
          <cell r="F105">
            <v>41.2</v>
          </cell>
          <cell r="G105">
            <v>14.78</v>
          </cell>
          <cell r="H105">
            <v>19.309999999999999</v>
          </cell>
          <cell r="I105">
            <v>52.25</v>
          </cell>
          <cell r="J105">
            <v>126.98</v>
          </cell>
          <cell r="K105">
            <v>6.8</v>
          </cell>
          <cell r="L105">
            <v>6.34</v>
          </cell>
          <cell r="M105">
            <v>2.64</v>
          </cell>
          <cell r="N105">
            <v>0.47</v>
          </cell>
          <cell r="O105">
            <v>18.100000000000001</v>
          </cell>
          <cell r="P105">
            <v>0.38</v>
          </cell>
          <cell r="Q105">
            <v>1.01</v>
          </cell>
          <cell r="R105">
            <v>8.8499999999999908</v>
          </cell>
        </row>
        <row r="106">
          <cell r="E106">
            <v>9.4</v>
          </cell>
          <cell r="F106">
            <v>41.6</v>
          </cell>
          <cell r="G106">
            <v>14.9</v>
          </cell>
          <cell r="H106">
            <v>19.649999999999999</v>
          </cell>
          <cell r="I106">
            <v>53.3</v>
          </cell>
          <cell r="J106">
            <v>129.72</v>
          </cell>
          <cell r="K106">
            <v>6.87</v>
          </cell>
          <cell r="L106">
            <v>6.41</v>
          </cell>
          <cell r="M106">
            <v>2.64</v>
          </cell>
          <cell r="N106">
            <v>0.47</v>
          </cell>
          <cell r="O106">
            <v>18.329999999999998</v>
          </cell>
          <cell r="P106">
            <v>0.38</v>
          </cell>
          <cell r="Q106">
            <v>1.01</v>
          </cell>
          <cell r="R106">
            <v>8.9499999999999904</v>
          </cell>
        </row>
        <row r="107">
          <cell r="E107">
            <v>9.5</v>
          </cell>
          <cell r="F107">
            <v>42</v>
          </cell>
          <cell r="G107">
            <v>15.02</v>
          </cell>
          <cell r="H107">
            <v>20.2</v>
          </cell>
          <cell r="I107">
            <v>54.37</v>
          </cell>
          <cell r="J107">
            <v>132.49</v>
          </cell>
          <cell r="K107">
            <v>6.93</v>
          </cell>
          <cell r="L107">
            <v>6.47</v>
          </cell>
          <cell r="M107">
            <v>2.64</v>
          </cell>
          <cell r="N107">
            <v>0.47</v>
          </cell>
          <cell r="O107">
            <v>18.57</v>
          </cell>
          <cell r="P107">
            <v>0.38</v>
          </cell>
          <cell r="Q107">
            <v>1.01</v>
          </cell>
          <cell r="R107">
            <v>9.0499999999999901</v>
          </cell>
        </row>
        <row r="108">
          <cell r="E108">
            <v>9.6</v>
          </cell>
          <cell r="F108">
            <v>42.4</v>
          </cell>
          <cell r="G108">
            <v>15.14</v>
          </cell>
          <cell r="H108">
            <v>20.350000000000001</v>
          </cell>
          <cell r="I108">
            <v>55.44</v>
          </cell>
          <cell r="J108">
            <v>135.29</v>
          </cell>
          <cell r="K108">
            <v>7</v>
          </cell>
          <cell r="L108">
            <v>6.54</v>
          </cell>
          <cell r="M108">
            <v>2.64</v>
          </cell>
          <cell r="N108">
            <v>0.47</v>
          </cell>
          <cell r="O108">
            <v>18.8</v>
          </cell>
          <cell r="P108">
            <v>0.38</v>
          </cell>
          <cell r="Q108">
            <v>1.01</v>
          </cell>
          <cell r="R108">
            <v>9.1499999999999897</v>
          </cell>
        </row>
        <row r="109">
          <cell r="E109">
            <v>9.6999999999999993</v>
          </cell>
          <cell r="F109">
            <v>42.8</v>
          </cell>
          <cell r="G109">
            <v>15.26</v>
          </cell>
          <cell r="H109">
            <v>20.71</v>
          </cell>
          <cell r="I109">
            <v>56.53</v>
          </cell>
          <cell r="J109">
            <v>138.1</v>
          </cell>
          <cell r="K109">
            <v>7.07</v>
          </cell>
          <cell r="L109">
            <v>6.61</v>
          </cell>
          <cell r="M109">
            <v>2.64</v>
          </cell>
          <cell r="N109">
            <v>0.47</v>
          </cell>
          <cell r="O109">
            <v>19.04</v>
          </cell>
          <cell r="P109">
            <v>0.38</v>
          </cell>
          <cell r="Q109">
            <v>1.01</v>
          </cell>
          <cell r="R109">
            <v>9.2499999999999893</v>
          </cell>
        </row>
        <row r="110">
          <cell r="E110">
            <v>9.8000000000000007</v>
          </cell>
          <cell r="F110">
            <v>43.2</v>
          </cell>
          <cell r="G110">
            <v>15.38</v>
          </cell>
          <cell r="H110">
            <v>21.06</v>
          </cell>
          <cell r="I110">
            <v>57.62</v>
          </cell>
          <cell r="J110">
            <v>140.96</v>
          </cell>
          <cell r="K110">
            <v>7.14</v>
          </cell>
          <cell r="L110">
            <v>6.68</v>
          </cell>
          <cell r="M110">
            <v>2.64</v>
          </cell>
          <cell r="N110">
            <v>0.47</v>
          </cell>
          <cell r="O110">
            <v>19.27</v>
          </cell>
          <cell r="P110">
            <v>0.38</v>
          </cell>
          <cell r="Q110">
            <v>1.01</v>
          </cell>
          <cell r="R110">
            <v>9.3499999999999908</v>
          </cell>
        </row>
        <row r="111">
          <cell r="E111">
            <v>9.9</v>
          </cell>
          <cell r="F111">
            <v>43.6</v>
          </cell>
          <cell r="G111">
            <v>15.5</v>
          </cell>
          <cell r="H111">
            <v>21.42</v>
          </cell>
          <cell r="I111">
            <v>58.73</v>
          </cell>
          <cell r="J111">
            <v>143.85</v>
          </cell>
          <cell r="K111">
            <v>7.2</v>
          </cell>
          <cell r="L111">
            <v>6.74</v>
          </cell>
          <cell r="M111">
            <v>2.64</v>
          </cell>
          <cell r="N111">
            <v>0.47</v>
          </cell>
          <cell r="O111">
            <v>19.510000000000002</v>
          </cell>
          <cell r="P111">
            <v>0.38</v>
          </cell>
          <cell r="Q111">
            <v>1.01</v>
          </cell>
          <cell r="R111">
            <v>9.4499999999999904</v>
          </cell>
        </row>
        <row r="112">
          <cell r="E112">
            <v>10</v>
          </cell>
          <cell r="F112">
            <v>44</v>
          </cell>
          <cell r="G112">
            <v>15.62</v>
          </cell>
          <cell r="H112">
            <v>21.78</v>
          </cell>
          <cell r="I112">
            <v>59.84</v>
          </cell>
          <cell r="J112">
            <v>146.77000000000001</v>
          </cell>
          <cell r="K112">
            <v>7.27</v>
          </cell>
          <cell r="L112">
            <v>6.81</v>
          </cell>
          <cell r="M112">
            <v>2.64</v>
          </cell>
          <cell r="N112">
            <v>0.47</v>
          </cell>
          <cell r="O112">
            <v>19.739999999999998</v>
          </cell>
          <cell r="P112">
            <v>0.38</v>
          </cell>
          <cell r="Q112">
            <v>1.01</v>
          </cell>
          <cell r="R112">
            <v>9.5499999999999901</v>
          </cell>
        </row>
        <row r="113">
          <cell r="E113">
            <v>10.1</v>
          </cell>
          <cell r="F113">
            <v>44.4</v>
          </cell>
          <cell r="G113">
            <v>15.74</v>
          </cell>
          <cell r="H113">
            <v>22.15</v>
          </cell>
          <cell r="I113">
            <v>60.97</v>
          </cell>
          <cell r="J113">
            <v>149.69999999999999</v>
          </cell>
          <cell r="K113">
            <v>7.34</v>
          </cell>
          <cell r="L113">
            <v>6.88</v>
          </cell>
          <cell r="M113">
            <v>2.64</v>
          </cell>
          <cell r="N113">
            <v>0.47</v>
          </cell>
          <cell r="O113">
            <v>19.98</v>
          </cell>
          <cell r="P113">
            <v>0.38</v>
          </cell>
          <cell r="Q113">
            <v>1.01</v>
          </cell>
          <cell r="R113">
            <v>9.6499999999999897</v>
          </cell>
        </row>
        <row r="114">
          <cell r="E114">
            <v>10.199999999999999</v>
          </cell>
          <cell r="F114">
            <v>44.8</v>
          </cell>
          <cell r="G114">
            <v>15.86</v>
          </cell>
          <cell r="H114">
            <v>22.51</v>
          </cell>
          <cell r="I114">
            <v>62.1</v>
          </cell>
          <cell r="J114">
            <v>152.69999999999999</v>
          </cell>
          <cell r="K114">
            <v>7.4</v>
          </cell>
          <cell r="L114">
            <v>6.94</v>
          </cell>
          <cell r="M114">
            <v>2.64</v>
          </cell>
          <cell r="N114">
            <v>0.47</v>
          </cell>
          <cell r="O114">
            <v>20.21</v>
          </cell>
          <cell r="P114">
            <v>0.38</v>
          </cell>
          <cell r="Q114">
            <v>1.01</v>
          </cell>
          <cell r="R114">
            <v>9.7499999999999893</v>
          </cell>
        </row>
        <row r="115">
          <cell r="E115">
            <v>10.3</v>
          </cell>
          <cell r="F115">
            <v>45.2</v>
          </cell>
          <cell r="G115">
            <v>15.98</v>
          </cell>
          <cell r="H115">
            <v>22.88</v>
          </cell>
          <cell r="I115">
            <v>63.25</v>
          </cell>
          <cell r="J115">
            <v>155.69</v>
          </cell>
          <cell r="K115">
            <v>7.47</v>
          </cell>
          <cell r="L115">
            <v>7.01</v>
          </cell>
          <cell r="M115">
            <v>2.64</v>
          </cell>
          <cell r="N115">
            <v>0.47</v>
          </cell>
          <cell r="O115">
            <v>20.45</v>
          </cell>
          <cell r="P115">
            <v>0.38</v>
          </cell>
          <cell r="Q115">
            <v>1.01</v>
          </cell>
          <cell r="R115">
            <v>9.8499999999999908</v>
          </cell>
        </row>
        <row r="116">
          <cell r="E116">
            <v>10.4</v>
          </cell>
          <cell r="F116">
            <v>45.6</v>
          </cell>
          <cell r="G116">
            <v>16.100000000000001</v>
          </cell>
          <cell r="H116">
            <v>23.25</v>
          </cell>
          <cell r="I116">
            <v>64.400000000000006</v>
          </cell>
          <cell r="J116">
            <v>158.72999999999999</v>
          </cell>
          <cell r="K116">
            <v>7.54</v>
          </cell>
          <cell r="L116">
            <v>7.08</v>
          </cell>
          <cell r="M116">
            <v>2.64</v>
          </cell>
          <cell r="N116">
            <v>0.47</v>
          </cell>
          <cell r="O116">
            <v>20.68</v>
          </cell>
          <cell r="P116">
            <v>0.38</v>
          </cell>
          <cell r="Q116">
            <v>1.01</v>
          </cell>
          <cell r="R116">
            <v>9.9499999999999904</v>
          </cell>
        </row>
        <row r="117">
          <cell r="E117">
            <v>10.5</v>
          </cell>
          <cell r="F117">
            <v>45.7</v>
          </cell>
          <cell r="G117">
            <v>16.13</v>
          </cell>
          <cell r="H117">
            <v>23.63</v>
          </cell>
          <cell r="I117">
            <v>65.67</v>
          </cell>
          <cell r="J117">
            <v>161.29</v>
          </cell>
          <cell r="K117">
            <v>7.6</v>
          </cell>
          <cell r="L117">
            <v>7.15</v>
          </cell>
          <cell r="M117">
            <v>3.75</v>
          </cell>
          <cell r="N117">
            <v>0.47</v>
          </cell>
          <cell r="O117">
            <v>20.11</v>
          </cell>
          <cell r="P117">
            <v>0.38</v>
          </cell>
          <cell r="Q117">
            <v>1.01</v>
          </cell>
          <cell r="R117">
            <v>9.9</v>
          </cell>
        </row>
        <row r="118">
          <cell r="E118">
            <v>10.6</v>
          </cell>
          <cell r="F118">
            <v>46.3</v>
          </cell>
          <cell r="G118">
            <v>16.309999999999999</v>
          </cell>
          <cell r="H118">
            <v>24</v>
          </cell>
          <cell r="I118">
            <v>66.739999999999995</v>
          </cell>
          <cell r="J118">
            <v>164.55</v>
          </cell>
          <cell r="K118">
            <v>7.72</v>
          </cell>
          <cell r="L118">
            <v>7.26</v>
          </cell>
          <cell r="M118">
            <v>3.75</v>
          </cell>
          <cell r="N118">
            <v>0.47</v>
          </cell>
          <cell r="O118">
            <v>20.34</v>
          </cell>
          <cell r="P118">
            <v>0.38</v>
          </cell>
          <cell r="Q118">
            <v>1.01</v>
          </cell>
          <cell r="R118">
            <v>10</v>
          </cell>
        </row>
        <row r="119">
          <cell r="E119">
            <v>10.7</v>
          </cell>
          <cell r="F119">
            <v>46.75</v>
          </cell>
          <cell r="G119">
            <v>16.45</v>
          </cell>
          <cell r="H119">
            <v>24.38</v>
          </cell>
          <cell r="I119">
            <v>67.930000000000007</v>
          </cell>
          <cell r="J119">
            <v>167.67</v>
          </cell>
          <cell r="K119">
            <v>7.8</v>
          </cell>
          <cell r="L119">
            <v>7.34</v>
          </cell>
          <cell r="M119">
            <v>3.75</v>
          </cell>
          <cell r="N119">
            <v>0.47</v>
          </cell>
          <cell r="O119">
            <v>20.58</v>
          </cell>
          <cell r="P119">
            <v>0.38</v>
          </cell>
          <cell r="Q119">
            <v>1.01</v>
          </cell>
          <cell r="R119">
            <v>10.1</v>
          </cell>
        </row>
        <row r="120">
          <cell r="E120">
            <v>10.8</v>
          </cell>
          <cell r="F120">
            <v>47.2</v>
          </cell>
          <cell r="G120">
            <v>16.579999999999998</v>
          </cell>
          <cell r="H120">
            <v>24.76</v>
          </cell>
          <cell r="I120">
            <v>69.12</v>
          </cell>
          <cell r="J120">
            <v>170.84</v>
          </cell>
          <cell r="K120">
            <v>7.88</v>
          </cell>
          <cell r="L120">
            <v>7.43</v>
          </cell>
          <cell r="M120">
            <v>3.75</v>
          </cell>
          <cell r="N120">
            <v>0.47</v>
          </cell>
          <cell r="O120">
            <v>20.81</v>
          </cell>
          <cell r="P120">
            <v>0.38</v>
          </cell>
          <cell r="Q120">
            <v>1.01</v>
          </cell>
          <cell r="R120">
            <v>10.199999999999999</v>
          </cell>
        </row>
        <row r="121">
          <cell r="E121">
            <v>10.9</v>
          </cell>
          <cell r="F121">
            <v>47.65</v>
          </cell>
          <cell r="G121">
            <v>16.72</v>
          </cell>
          <cell r="H121">
            <v>25.15</v>
          </cell>
          <cell r="I121">
            <v>70.33</v>
          </cell>
          <cell r="J121">
            <v>174.02</v>
          </cell>
          <cell r="K121">
            <v>7.97</v>
          </cell>
          <cell r="L121">
            <v>7.51</v>
          </cell>
          <cell r="M121">
            <v>3.75</v>
          </cell>
          <cell r="N121">
            <v>0.47</v>
          </cell>
          <cell r="O121">
            <v>21.05</v>
          </cell>
          <cell r="P121">
            <v>0.38</v>
          </cell>
          <cell r="Q121">
            <v>1.01</v>
          </cell>
          <cell r="R121">
            <v>10.3</v>
          </cell>
        </row>
        <row r="122">
          <cell r="E122">
            <v>11</v>
          </cell>
          <cell r="F122">
            <v>48.1</v>
          </cell>
          <cell r="G122">
            <v>16.850000000000001</v>
          </cell>
          <cell r="H122">
            <v>25.52</v>
          </cell>
          <cell r="I122">
            <v>71.540000000000006</v>
          </cell>
          <cell r="J122">
            <v>177.26</v>
          </cell>
          <cell r="K122">
            <v>8.0500000000000007</v>
          </cell>
          <cell r="L122">
            <v>7.59</v>
          </cell>
          <cell r="M122">
            <v>3.75</v>
          </cell>
          <cell r="N122">
            <v>0.47</v>
          </cell>
          <cell r="O122">
            <v>21.28</v>
          </cell>
          <cell r="P122">
            <v>0.38</v>
          </cell>
          <cell r="Q122">
            <v>1.01</v>
          </cell>
          <cell r="R122">
            <v>10.4</v>
          </cell>
        </row>
        <row r="123">
          <cell r="E123">
            <v>11.1</v>
          </cell>
          <cell r="F123">
            <v>48.55</v>
          </cell>
          <cell r="G123">
            <v>16.989999999999998</v>
          </cell>
          <cell r="H123">
            <v>25.92</v>
          </cell>
          <cell r="I123">
            <v>72.77</v>
          </cell>
          <cell r="J123">
            <v>180.5</v>
          </cell>
          <cell r="K123">
            <v>8.1300000000000008</v>
          </cell>
          <cell r="L123">
            <v>7.67</v>
          </cell>
          <cell r="M123">
            <v>3.75</v>
          </cell>
          <cell r="N123">
            <v>0.47</v>
          </cell>
          <cell r="O123">
            <v>21.52</v>
          </cell>
          <cell r="P123">
            <v>0.38</v>
          </cell>
          <cell r="Q123">
            <v>1.01</v>
          </cell>
          <cell r="R123">
            <v>10.5</v>
          </cell>
        </row>
        <row r="124">
          <cell r="E124">
            <v>11.2</v>
          </cell>
          <cell r="F124">
            <v>49</v>
          </cell>
          <cell r="G124">
            <v>17.12</v>
          </cell>
          <cell r="H124">
            <v>26.31</v>
          </cell>
          <cell r="I124">
            <v>74</v>
          </cell>
          <cell r="J124">
            <v>183.8</v>
          </cell>
          <cell r="K124">
            <v>8.2100000000000009</v>
          </cell>
          <cell r="L124">
            <v>7.75</v>
          </cell>
          <cell r="M124">
            <v>3.75</v>
          </cell>
          <cell r="N124">
            <v>0.47</v>
          </cell>
          <cell r="O124">
            <v>21.75</v>
          </cell>
          <cell r="P124">
            <v>0.38</v>
          </cell>
          <cell r="Q124">
            <v>1.01</v>
          </cell>
          <cell r="R124">
            <v>10.6</v>
          </cell>
        </row>
        <row r="125">
          <cell r="E125">
            <v>11.3</v>
          </cell>
          <cell r="F125">
            <v>49.45</v>
          </cell>
          <cell r="G125">
            <v>17.25</v>
          </cell>
          <cell r="H125">
            <v>26.71</v>
          </cell>
          <cell r="I125">
            <v>75.25</v>
          </cell>
          <cell r="J125">
            <v>187.11</v>
          </cell>
          <cell r="K125">
            <v>8.2899999999999991</v>
          </cell>
          <cell r="L125">
            <v>7.83</v>
          </cell>
          <cell r="M125">
            <v>3.75</v>
          </cell>
          <cell r="N125">
            <v>0.47</v>
          </cell>
          <cell r="O125">
            <v>21.79</v>
          </cell>
          <cell r="P125">
            <v>0.38</v>
          </cell>
          <cell r="Q125">
            <v>1.01</v>
          </cell>
          <cell r="R125">
            <v>10.7</v>
          </cell>
        </row>
        <row r="126">
          <cell r="E126">
            <v>11.4</v>
          </cell>
          <cell r="F126">
            <v>49.9</v>
          </cell>
          <cell r="G126">
            <v>17.39</v>
          </cell>
          <cell r="H126">
            <v>27.1</v>
          </cell>
          <cell r="I126">
            <v>76.5</v>
          </cell>
          <cell r="J126">
            <v>190.47</v>
          </cell>
          <cell r="K126">
            <v>8.3699999999999992</v>
          </cell>
          <cell r="L126">
            <v>7.91</v>
          </cell>
          <cell r="M126">
            <v>3.75</v>
          </cell>
          <cell r="N126">
            <v>0.47</v>
          </cell>
          <cell r="O126">
            <v>22.22</v>
          </cell>
          <cell r="P126">
            <v>0.38</v>
          </cell>
          <cell r="Q126">
            <v>1.01</v>
          </cell>
          <cell r="R126">
            <v>10.8</v>
          </cell>
        </row>
        <row r="127">
          <cell r="E127">
            <v>11.5</v>
          </cell>
          <cell r="F127">
            <v>50.35</v>
          </cell>
          <cell r="G127">
            <v>17.53</v>
          </cell>
          <cell r="H127">
            <v>27.5</v>
          </cell>
          <cell r="I127">
            <v>77.77</v>
          </cell>
          <cell r="J127">
            <v>193.83</v>
          </cell>
          <cell r="K127">
            <v>8.4499999999999993</v>
          </cell>
          <cell r="L127">
            <v>7.99</v>
          </cell>
          <cell r="M127">
            <v>3.75</v>
          </cell>
          <cell r="N127">
            <v>0.47</v>
          </cell>
          <cell r="O127">
            <v>22.46</v>
          </cell>
          <cell r="P127">
            <v>0.38</v>
          </cell>
          <cell r="Q127">
            <v>1.01</v>
          </cell>
          <cell r="R127">
            <v>10.9</v>
          </cell>
        </row>
        <row r="128">
          <cell r="E128">
            <v>11.6</v>
          </cell>
          <cell r="F128">
            <v>50.8</v>
          </cell>
          <cell r="G128">
            <v>17.66</v>
          </cell>
          <cell r="H128">
            <v>26.9</v>
          </cell>
          <cell r="I128">
            <v>79.040000000000006</v>
          </cell>
          <cell r="J128">
            <v>197.25</v>
          </cell>
          <cell r="K128">
            <v>8.5299999999999994</v>
          </cell>
          <cell r="L128">
            <v>8.07</v>
          </cell>
          <cell r="M128">
            <v>3.75</v>
          </cell>
          <cell r="N128">
            <v>0.47</v>
          </cell>
          <cell r="O128">
            <v>22.69</v>
          </cell>
          <cell r="P128">
            <v>0.38</v>
          </cell>
          <cell r="Q128">
            <v>1.01</v>
          </cell>
          <cell r="R128">
            <v>11</v>
          </cell>
        </row>
        <row r="129">
          <cell r="E129">
            <v>11.7</v>
          </cell>
          <cell r="F129">
            <v>51.25</v>
          </cell>
          <cell r="G129">
            <v>17.8</v>
          </cell>
          <cell r="H129">
            <v>28.31</v>
          </cell>
          <cell r="I129">
            <v>80.33</v>
          </cell>
          <cell r="J129">
            <v>200.68</v>
          </cell>
          <cell r="K129">
            <v>8.61</v>
          </cell>
          <cell r="L129">
            <v>8.15</v>
          </cell>
          <cell r="M129">
            <v>3.75</v>
          </cell>
          <cell r="N129">
            <v>0.47</v>
          </cell>
          <cell r="O129">
            <v>22.93</v>
          </cell>
          <cell r="P129">
            <v>0.38</v>
          </cell>
          <cell r="Q129">
            <v>1.01</v>
          </cell>
          <cell r="R129">
            <v>11.1</v>
          </cell>
        </row>
        <row r="130">
          <cell r="E130">
            <v>11.8</v>
          </cell>
          <cell r="F130">
            <v>51.7</v>
          </cell>
          <cell r="G130">
            <v>17.93</v>
          </cell>
          <cell r="H130">
            <v>28.71</v>
          </cell>
          <cell r="I130">
            <v>81.62</v>
          </cell>
          <cell r="J130">
            <v>204.19</v>
          </cell>
          <cell r="K130">
            <v>8.69</v>
          </cell>
          <cell r="L130">
            <v>8.23</v>
          </cell>
          <cell r="M130">
            <v>3.75</v>
          </cell>
          <cell r="N130">
            <v>0.47</v>
          </cell>
          <cell r="O130">
            <v>23.16</v>
          </cell>
          <cell r="P130">
            <v>0.38</v>
          </cell>
          <cell r="Q130">
            <v>1.01</v>
          </cell>
          <cell r="R130">
            <v>11.2</v>
          </cell>
        </row>
        <row r="131">
          <cell r="E131">
            <v>11.9</v>
          </cell>
          <cell r="F131">
            <v>52.15</v>
          </cell>
          <cell r="G131">
            <v>18.07</v>
          </cell>
          <cell r="H131">
            <v>29.12</v>
          </cell>
          <cell r="I131">
            <v>82.93</v>
          </cell>
          <cell r="J131">
            <v>207.73</v>
          </cell>
          <cell r="K131">
            <v>8.77</v>
          </cell>
          <cell r="L131">
            <v>7.31</v>
          </cell>
          <cell r="M131">
            <v>3.75</v>
          </cell>
          <cell r="N131">
            <v>0.47</v>
          </cell>
          <cell r="O131">
            <v>23.4</v>
          </cell>
          <cell r="P131">
            <v>0.38</v>
          </cell>
          <cell r="Q131">
            <v>1.01</v>
          </cell>
          <cell r="R131">
            <v>11.3</v>
          </cell>
        </row>
        <row r="132">
          <cell r="E132">
            <v>12</v>
          </cell>
          <cell r="F132">
            <v>52.6</v>
          </cell>
          <cell r="G132">
            <v>18.2</v>
          </cell>
          <cell r="H132">
            <v>29.53</v>
          </cell>
          <cell r="I132">
            <v>84.24</v>
          </cell>
          <cell r="J132">
            <v>211.22</v>
          </cell>
          <cell r="K132">
            <v>8.85</v>
          </cell>
          <cell r="L132">
            <v>8.39</v>
          </cell>
          <cell r="M132">
            <v>3.75</v>
          </cell>
          <cell r="N132">
            <v>0.47</v>
          </cell>
          <cell r="O132">
            <v>23.63</v>
          </cell>
          <cell r="P132">
            <v>0.38</v>
          </cell>
          <cell r="Q132">
            <v>1.01</v>
          </cell>
          <cell r="R132">
            <v>11.4</v>
          </cell>
        </row>
        <row r="133">
          <cell r="E133">
            <v>12.1</v>
          </cell>
          <cell r="F133">
            <v>53.05</v>
          </cell>
          <cell r="G133">
            <v>18.34</v>
          </cell>
          <cell r="H133">
            <v>29.95</v>
          </cell>
          <cell r="I133">
            <v>85.57</v>
          </cell>
          <cell r="J133">
            <v>214.9</v>
          </cell>
          <cell r="K133">
            <v>8.94</v>
          </cell>
          <cell r="L133">
            <v>8.48</v>
          </cell>
          <cell r="M133">
            <v>3.75</v>
          </cell>
          <cell r="N133">
            <v>0.47</v>
          </cell>
          <cell r="O133">
            <v>23.87</v>
          </cell>
          <cell r="P133">
            <v>0.38</v>
          </cell>
          <cell r="Q133">
            <v>1.01</v>
          </cell>
          <cell r="R133">
            <v>11.5</v>
          </cell>
        </row>
        <row r="134">
          <cell r="E134">
            <v>12.2</v>
          </cell>
          <cell r="F134">
            <v>53.5</v>
          </cell>
          <cell r="G134">
            <v>18.47</v>
          </cell>
          <cell r="H134">
            <v>30.36</v>
          </cell>
          <cell r="I134">
            <v>86.9</v>
          </cell>
          <cell r="J134">
            <v>218.56</v>
          </cell>
          <cell r="K134">
            <v>9.02</v>
          </cell>
          <cell r="L134">
            <v>8.56</v>
          </cell>
          <cell r="M134">
            <v>3.75</v>
          </cell>
          <cell r="N134">
            <v>0.47</v>
          </cell>
          <cell r="O134">
            <v>24.1</v>
          </cell>
          <cell r="P134">
            <v>0.38</v>
          </cell>
          <cell r="Q134">
            <v>1.01</v>
          </cell>
          <cell r="R134">
            <v>11.6</v>
          </cell>
        </row>
        <row r="135">
          <cell r="E135">
            <v>12.3</v>
          </cell>
          <cell r="F135">
            <v>53.95</v>
          </cell>
          <cell r="G135">
            <v>18.61</v>
          </cell>
          <cell r="H135">
            <v>30.78</v>
          </cell>
          <cell r="I135">
            <v>88.25</v>
          </cell>
          <cell r="J135">
            <v>222.23</v>
          </cell>
          <cell r="K135">
            <v>9.1</v>
          </cell>
          <cell r="L135">
            <v>8.64</v>
          </cell>
          <cell r="M135">
            <v>3.75</v>
          </cell>
          <cell r="N135">
            <v>0.47</v>
          </cell>
          <cell r="O135">
            <v>24.34</v>
          </cell>
          <cell r="P135">
            <v>0.38</v>
          </cell>
          <cell r="Q135">
            <v>1.01</v>
          </cell>
          <cell r="R135">
            <v>11.7</v>
          </cell>
        </row>
        <row r="136">
          <cell r="E136">
            <v>12.4</v>
          </cell>
          <cell r="F136">
            <v>54.4</v>
          </cell>
          <cell r="G136">
            <v>18.739999999999998</v>
          </cell>
          <cell r="H136">
            <v>31.2</v>
          </cell>
          <cell r="I136">
            <v>89.6</v>
          </cell>
          <cell r="J136">
            <v>225.96</v>
          </cell>
          <cell r="K136">
            <v>9.18</v>
          </cell>
          <cell r="L136">
            <v>8.7200000000000006</v>
          </cell>
          <cell r="M136">
            <v>3.75</v>
          </cell>
          <cell r="N136">
            <v>0.47</v>
          </cell>
          <cell r="O136">
            <v>24.57</v>
          </cell>
          <cell r="P136">
            <v>0.38</v>
          </cell>
          <cell r="Q136">
            <v>1.01</v>
          </cell>
          <cell r="R136">
            <v>11.8</v>
          </cell>
        </row>
        <row r="137">
          <cell r="E137">
            <v>12.5</v>
          </cell>
          <cell r="F137">
            <v>54.85</v>
          </cell>
          <cell r="G137">
            <v>18.88</v>
          </cell>
          <cell r="H137">
            <v>31.63</v>
          </cell>
          <cell r="I137">
            <v>90.97</v>
          </cell>
          <cell r="J137">
            <v>229.71</v>
          </cell>
          <cell r="K137">
            <v>9.26</v>
          </cell>
          <cell r="L137">
            <v>8.8000000000000007</v>
          </cell>
          <cell r="M137">
            <v>3.75</v>
          </cell>
          <cell r="N137">
            <v>0.47</v>
          </cell>
          <cell r="O137">
            <v>24.81</v>
          </cell>
          <cell r="P137">
            <v>0.38</v>
          </cell>
          <cell r="Q137">
            <v>1.01</v>
          </cell>
          <cell r="R137">
            <v>11.9</v>
          </cell>
        </row>
        <row r="138">
          <cell r="E138">
            <v>12.6</v>
          </cell>
          <cell r="F138">
            <v>55.3</v>
          </cell>
          <cell r="G138">
            <v>19.010000000000002</v>
          </cell>
          <cell r="H138">
            <v>32.049999999999997</v>
          </cell>
          <cell r="I138">
            <v>92.34</v>
          </cell>
          <cell r="J138">
            <v>233.5</v>
          </cell>
          <cell r="K138">
            <v>9.34</v>
          </cell>
          <cell r="L138">
            <v>8.8800000000000008</v>
          </cell>
          <cell r="M138">
            <v>3.75</v>
          </cell>
          <cell r="N138">
            <v>0.47</v>
          </cell>
          <cell r="O138">
            <v>25.04</v>
          </cell>
          <cell r="P138">
            <v>0.38</v>
          </cell>
          <cell r="Q138">
            <v>1.01</v>
          </cell>
          <cell r="R138">
            <v>12</v>
          </cell>
        </row>
        <row r="139">
          <cell r="E139">
            <v>12.7</v>
          </cell>
          <cell r="F139">
            <v>55.75</v>
          </cell>
          <cell r="G139">
            <v>19.149999999999999</v>
          </cell>
          <cell r="H139">
            <v>32.479999999999997</v>
          </cell>
          <cell r="I139">
            <v>93.73</v>
          </cell>
          <cell r="J139">
            <v>237.32</v>
          </cell>
          <cell r="K139">
            <v>9.42</v>
          </cell>
          <cell r="L139">
            <v>8.9600000000000009</v>
          </cell>
          <cell r="M139">
            <v>3.75</v>
          </cell>
          <cell r="N139">
            <v>0.47</v>
          </cell>
          <cell r="O139">
            <v>25.28</v>
          </cell>
          <cell r="P139">
            <v>0.38</v>
          </cell>
          <cell r="Q139">
            <v>1.01</v>
          </cell>
          <cell r="R139">
            <v>12.1</v>
          </cell>
        </row>
        <row r="140">
          <cell r="E140">
            <v>12.8</v>
          </cell>
          <cell r="F140">
            <v>56.2</v>
          </cell>
          <cell r="G140">
            <v>19.28</v>
          </cell>
          <cell r="H140">
            <v>32.909999999999997</v>
          </cell>
          <cell r="I140">
            <v>95.12</v>
          </cell>
          <cell r="J140">
            <v>241.18</v>
          </cell>
          <cell r="K140">
            <v>9.5</v>
          </cell>
          <cell r="L140">
            <v>9.0399999999999991</v>
          </cell>
          <cell r="M140">
            <v>3.75</v>
          </cell>
          <cell r="N140">
            <v>0.47</v>
          </cell>
          <cell r="O140">
            <v>25.51</v>
          </cell>
          <cell r="P140">
            <v>0.38</v>
          </cell>
          <cell r="Q140">
            <v>1.01</v>
          </cell>
          <cell r="R140">
            <v>12.2</v>
          </cell>
        </row>
        <row r="141">
          <cell r="E141">
            <v>12.9</v>
          </cell>
          <cell r="F141">
            <v>56.65</v>
          </cell>
          <cell r="G141">
            <v>19.420000000000002</v>
          </cell>
          <cell r="H141">
            <v>33.35</v>
          </cell>
          <cell r="I141">
            <v>96.53</v>
          </cell>
          <cell r="J141">
            <v>245.07</v>
          </cell>
          <cell r="K141">
            <v>9.58</v>
          </cell>
          <cell r="L141">
            <v>9.1199999999999992</v>
          </cell>
          <cell r="M141">
            <v>3.75</v>
          </cell>
          <cell r="N141">
            <v>0.47</v>
          </cell>
          <cell r="O141">
            <v>25.75</v>
          </cell>
          <cell r="P141">
            <v>0.38</v>
          </cell>
          <cell r="Q141">
            <v>1.01</v>
          </cell>
          <cell r="R141">
            <v>12.3</v>
          </cell>
        </row>
        <row r="142">
          <cell r="E142">
            <v>13</v>
          </cell>
          <cell r="F142">
            <v>57.1</v>
          </cell>
          <cell r="G142">
            <v>19.55</v>
          </cell>
          <cell r="H142">
            <v>33.78</v>
          </cell>
          <cell r="I142">
            <v>97.94</v>
          </cell>
          <cell r="J142">
            <v>249</v>
          </cell>
          <cell r="K142">
            <v>9.66</v>
          </cell>
          <cell r="L142">
            <v>9.1999999999999993</v>
          </cell>
          <cell r="M142">
            <v>3.75</v>
          </cell>
          <cell r="N142">
            <v>0.47</v>
          </cell>
          <cell r="O142">
            <v>25.98</v>
          </cell>
          <cell r="P142">
            <v>0.38</v>
          </cell>
          <cell r="Q142">
            <v>1.01</v>
          </cell>
          <cell r="R142">
            <v>12.4</v>
          </cell>
        </row>
        <row r="143">
          <cell r="E143">
            <v>13.1</v>
          </cell>
          <cell r="F143">
            <v>57.55</v>
          </cell>
          <cell r="G143">
            <v>19.690000000000001</v>
          </cell>
          <cell r="H143">
            <v>34.22</v>
          </cell>
          <cell r="I143">
            <v>99.37</v>
          </cell>
          <cell r="J143">
            <v>252.96</v>
          </cell>
          <cell r="K143">
            <v>9.74</v>
          </cell>
          <cell r="L143">
            <v>9.2799999999999994</v>
          </cell>
          <cell r="M143">
            <v>3.75</v>
          </cell>
          <cell r="N143">
            <v>0.47</v>
          </cell>
          <cell r="O143">
            <v>26.22</v>
          </cell>
          <cell r="P143">
            <v>0.38</v>
          </cell>
          <cell r="Q143">
            <v>1.01</v>
          </cell>
          <cell r="R143">
            <v>12.5</v>
          </cell>
        </row>
        <row r="144">
          <cell r="E144">
            <v>13.2</v>
          </cell>
          <cell r="F144">
            <v>58</v>
          </cell>
          <cell r="G144">
            <v>19.82</v>
          </cell>
          <cell r="H144">
            <v>34.659999999999997</v>
          </cell>
          <cell r="I144">
            <v>100.8</v>
          </cell>
          <cell r="J144">
            <v>256.95999999999998</v>
          </cell>
          <cell r="K144">
            <v>9.82</v>
          </cell>
          <cell r="L144">
            <v>9.36</v>
          </cell>
          <cell r="M144">
            <v>3.75</v>
          </cell>
          <cell r="N144">
            <v>0.47</v>
          </cell>
          <cell r="O144">
            <v>26.45</v>
          </cell>
          <cell r="P144">
            <v>0.38</v>
          </cell>
          <cell r="Q144">
            <v>1.01</v>
          </cell>
          <cell r="R144">
            <v>12.6</v>
          </cell>
        </row>
        <row r="145">
          <cell r="E145">
            <v>13.3</v>
          </cell>
          <cell r="F145">
            <v>58.45</v>
          </cell>
          <cell r="G145">
            <v>19.96</v>
          </cell>
          <cell r="H145">
            <v>35.11</v>
          </cell>
          <cell r="I145">
            <v>102.25</v>
          </cell>
          <cell r="J145">
            <v>260.97000000000003</v>
          </cell>
          <cell r="K145">
            <v>9.91</v>
          </cell>
          <cell r="L145">
            <v>9.4499999999999993</v>
          </cell>
          <cell r="M145">
            <v>3.75</v>
          </cell>
          <cell r="N145">
            <v>0.47</v>
          </cell>
          <cell r="O145">
            <v>26.69</v>
          </cell>
          <cell r="P145">
            <v>0.38</v>
          </cell>
          <cell r="Q145">
            <v>1.01</v>
          </cell>
          <cell r="R145">
            <v>12.7</v>
          </cell>
        </row>
        <row r="146">
          <cell r="E146">
            <v>13.4</v>
          </cell>
          <cell r="F146">
            <v>58.9</v>
          </cell>
          <cell r="G146">
            <v>20.09</v>
          </cell>
          <cell r="H146">
            <v>35.549999999999997</v>
          </cell>
          <cell r="I146">
            <v>103.7</v>
          </cell>
          <cell r="J146">
            <v>265.04000000000002</v>
          </cell>
          <cell r="K146">
            <v>9.99</v>
          </cell>
          <cell r="L146">
            <v>9.5299999999999994</v>
          </cell>
          <cell r="M146">
            <v>3.75</v>
          </cell>
          <cell r="N146">
            <v>0.47</v>
          </cell>
          <cell r="O146">
            <v>26.92</v>
          </cell>
          <cell r="P146">
            <v>0.38</v>
          </cell>
          <cell r="Q146">
            <v>1.01</v>
          </cell>
          <cell r="R146">
            <v>12.8</v>
          </cell>
        </row>
        <row r="147">
          <cell r="E147">
            <v>13.5</v>
          </cell>
          <cell r="F147">
            <v>59.35</v>
          </cell>
          <cell r="G147">
            <v>20.23</v>
          </cell>
          <cell r="H147">
            <v>36</v>
          </cell>
          <cell r="I147">
            <v>105.17</v>
          </cell>
          <cell r="J147">
            <v>269.13</v>
          </cell>
          <cell r="K147">
            <v>10.07</v>
          </cell>
          <cell r="L147">
            <v>9.61</v>
          </cell>
          <cell r="M147">
            <v>3.75</v>
          </cell>
          <cell r="N147">
            <v>0.47</v>
          </cell>
          <cell r="O147">
            <v>27.16</v>
          </cell>
          <cell r="P147">
            <v>0.38</v>
          </cell>
          <cell r="Q147">
            <v>1.01</v>
          </cell>
          <cell r="R147">
            <v>12.9</v>
          </cell>
        </row>
        <row r="148">
          <cell r="E148">
            <v>13.600000000000099</v>
          </cell>
          <cell r="F148">
            <v>59.8</v>
          </cell>
          <cell r="G148">
            <v>20.36</v>
          </cell>
          <cell r="H148">
            <v>36.450000000000003</v>
          </cell>
          <cell r="I148">
            <v>106.64</v>
          </cell>
          <cell r="J148">
            <v>273.27999999999997</v>
          </cell>
          <cell r="K148">
            <v>10.15</v>
          </cell>
          <cell r="L148">
            <v>9.69</v>
          </cell>
          <cell r="M148">
            <v>3.75</v>
          </cell>
          <cell r="N148">
            <v>0.47</v>
          </cell>
          <cell r="O148">
            <v>27.39</v>
          </cell>
          <cell r="P148">
            <v>0.38</v>
          </cell>
          <cell r="Q148">
            <v>1.01</v>
          </cell>
          <cell r="R148">
            <v>13</v>
          </cell>
        </row>
        <row r="149">
          <cell r="E149">
            <v>13.700000000000101</v>
          </cell>
          <cell r="F149">
            <v>60.25</v>
          </cell>
          <cell r="G149">
            <v>20.5</v>
          </cell>
          <cell r="H149">
            <v>36.909999999999997</v>
          </cell>
          <cell r="I149">
            <v>108.13</v>
          </cell>
          <cell r="J149">
            <v>277.45</v>
          </cell>
          <cell r="K149">
            <v>10.23</v>
          </cell>
          <cell r="L149">
            <v>9.77</v>
          </cell>
          <cell r="M149">
            <v>3.75</v>
          </cell>
          <cell r="N149">
            <v>0.47</v>
          </cell>
          <cell r="O149">
            <v>27.63</v>
          </cell>
          <cell r="P149">
            <v>0.38</v>
          </cell>
          <cell r="Q149">
            <v>1.01</v>
          </cell>
          <cell r="R149">
            <v>13.1</v>
          </cell>
        </row>
        <row r="150">
          <cell r="E150">
            <v>13.8000000000001</v>
          </cell>
          <cell r="F150">
            <v>60.7</v>
          </cell>
          <cell r="G150">
            <v>20.63</v>
          </cell>
          <cell r="H150">
            <v>37.36</v>
          </cell>
          <cell r="I150">
            <v>109.62</v>
          </cell>
          <cell r="J150">
            <v>281.66000000000003</v>
          </cell>
          <cell r="K150">
            <v>10.31</v>
          </cell>
          <cell r="L150">
            <v>9.85</v>
          </cell>
          <cell r="M150">
            <v>3.75</v>
          </cell>
          <cell r="N150">
            <v>0.47</v>
          </cell>
          <cell r="O150">
            <v>27.86</v>
          </cell>
          <cell r="P150">
            <v>0.38</v>
          </cell>
          <cell r="Q150">
            <v>1.01</v>
          </cell>
          <cell r="R150">
            <v>13.2</v>
          </cell>
        </row>
        <row r="151">
          <cell r="E151">
            <v>13.9000000000001</v>
          </cell>
          <cell r="F151">
            <v>61.15</v>
          </cell>
          <cell r="G151">
            <v>20.77</v>
          </cell>
          <cell r="H151">
            <v>37.82</v>
          </cell>
          <cell r="I151">
            <v>111.13</v>
          </cell>
          <cell r="J151">
            <v>285.89999999999998</v>
          </cell>
          <cell r="K151">
            <v>10.39</v>
          </cell>
          <cell r="L151">
            <v>9.93</v>
          </cell>
          <cell r="M151">
            <v>3.75</v>
          </cell>
          <cell r="N151">
            <v>0.47</v>
          </cell>
          <cell r="O151">
            <v>28.1</v>
          </cell>
          <cell r="P151">
            <v>0.38</v>
          </cell>
          <cell r="Q151">
            <v>1.01</v>
          </cell>
          <cell r="R151">
            <v>13.3</v>
          </cell>
        </row>
        <row r="152">
          <cell r="E152">
            <v>14.000000000000099</v>
          </cell>
          <cell r="F152">
            <v>61.6</v>
          </cell>
          <cell r="G152">
            <v>20.9</v>
          </cell>
          <cell r="H152">
            <v>38.28</v>
          </cell>
          <cell r="I152">
            <v>112.64</v>
          </cell>
          <cell r="J152">
            <v>290.18</v>
          </cell>
          <cell r="K152">
            <v>10.47</v>
          </cell>
          <cell r="L152">
            <v>10.01</v>
          </cell>
          <cell r="M152">
            <v>3.75</v>
          </cell>
          <cell r="N152">
            <v>0.47</v>
          </cell>
          <cell r="O152">
            <v>28.33</v>
          </cell>
          <cell r="P152">
            <v>0.38</v>
          </cell>
          <cell r="Q152">
            <v>1.01</v>
          </cell>
          <cell r="R152">
            <v>13.4</v>
          </cell>
        </row>
        <row r="153">
          <cell r="E153">
            <v>14.100000000000099</v>
          </cell>
          <cell r="F153">
            <v>62.05</v>
          </cell>
          <cell r="G153">
            <v>21.04</v>
          </cell>
          <cell r="H153">
            <v>38.75</v>
          </cell>
          <cell r="I153">
            <v>114.17</v>
          </cell>
          <cell r="J153">
            <v>294.56</v>
          </cell>
          <cell r="K153">
            <v>10.55</v>
          </cell>
          <cell r="L153">
            <v>10.09</v>
          </cell>
          <cell r="M153">
            <v>3.75</v>
          </cell>
          <cell r="N153">
            <v>0.47</v>
          </cell>
          <cell r="O153">
            <v>28.57</v>
          </cell>
          <cell r="P153">
            <v>0.38</v>
          </cell>
          <cell r="Q153">
            <v>1.01</v>
          </cell>
          <cell r="R153">
            <v>13.5</v>
          </cell>
        </row>
        <row r="154">
          <cell r="E154">
            <v>14.200000000000101</v>
          </cell>
          <cell r="F154">
            <v>62.3</v>
          </cell>
          <cell r="G154">
            <v>21.17</v>
          </cell>
          <cell r="H154">
            <v>39.21</v>
          </cell>
          <cell r="I154">
            <v>115.7</v>
          </cell>
          <cell r="J154">
            <v>298.83999999999997</v>
          </cell>
          <cell r="K154">
            <v>10.63</v>
          </cell>
          <cell r="L154">
            <v>10.17</v>
          </cell>
          <cell r="M154">
            <v>3.75</v>
          </cell>
          <cell r="N154">
            <v>0.47</v>
          </cell>
          <cell r="O154">
            <v>28.8</v>
          </cell>
          <cell r="P154">
            <v>0.38</v>
          </cell>
          <cell r="Q154">
            <v>1.01</v>
          </cell>
          <cell r="R154">
            <v>13.6</v>
          </cell>
        </row>
        <row r="155">
          <cell r="E155">
            <v>14.3000000000001</v>
          </cell>
          <cell r="F155">
            <v>62.95</v>
          </cell>
          <cell r="G155">
            <v>21.31</v>
          </cell>
          <cell r="H155">
            <v>39.68</v>
          </cell>
          <cell r="I155">
            <v>117.25</v>
          </cell>
          <cell r="J155">
            <v>303.22000000000003</v>
          </cell>
          <cell r="K155">
            <v>10.71</v>
          </cell>
          <cell r="L155">
            <v>10.25</v>
          </cell>
          <cell r="M155">
            <v>3.75</v>
          </cell>
          <cell r="N155">
            <v>0.47</v>
          </cell>
          <cell r="O155">
            <v>29.04</v>
          </cell>
          <cell r="P155">
            <v>0.38</v>
          </cell>
          <cell r="Q155">
            <v>1.01</v>
          </cell>
          <cell r="R155">
            <v>13.7</v>
          </cell>
        </row>
        <row r="156">
          <cell r="E156">
            <v>14.4000000000001</v>
          </cell>
          <cell r="F156">
            <v>63.4</v>
          </cell>
          <cell r="G156">
            <v>21.44</v>
          </cell>
          <cell r="H156">
            <v>40.15</v>
          </cell>
          <cell r="I156">
            <v>118.8</v>
          </cell>
          <cell r="J156">
            <v>307.64</v>
          </cell>
          <cell r="K156">
            <v>10.79</v>
          </cell>
          <cell r="L156">
            <v>10.33</v>
          </cell>
          <cell r="M156">
            <v>3.75</v>
          </cell>
          <cell r="N156">
            <v>0.47</v>
          </cell>
          <cell r="O156">
            <v>29.27</v>
          </cell>
          <cell r="P156">
            <v>0.38</v>
          </cell>
          <cell r="Q156">
            <v>1.01</v>
          </cell>
          <cell r="R156">
            <v>13.8</v>
          </cell>
        </row>
        <row r="157">
          <cell r="E157">
            <v>14.500000000000099</v>
          </cell>
          <cell r="F157">
            <v>63.85</v>
          </cell>
          <cell r="G157">
            <v>21.58</v>
          </cell>
          <cell r="H157">
            <v>40.630000000000003</v>
          </cell>
          <cell r="I157">
            <v>120.37</v>
          </cell>
          <cell r="J157">
            <v>312.08999999999997</v>
          </cell>
          <cell r="K157">
            <v>10.87</v>
          </cell>
          <cell r="L157">
            <v>10.41</v>
          </cell>
          <cell r="M157">
            <v>3.75</v>
          </cell>
          <cell r="N157">
            <v>0.47</v>
          </cell>
          <cell r="O157">
            <v>29.51</v>
          </cell>
          <cell r="P157">
            <v>0.38</v>
          </cell>
          <cell r="Q157">
            <v>1.01</v>
          </cell>
          <cell r="R157">
            <v>13.9</v>
          </cell>
        </row>
        <row r="158">
          <cell r="E158">
            <v>14.600000000000099</v>
          </cell>
          <cell r="F158">
            <v>64.3</v>
          </cell>
          <cell r="G158">
            <v>21.71</v>
          </cell>
          <cell r="H158">
            <v>41.1</v>
          </cell>
          <cell r="I158">
            <v>121.94</v>
          </cell>
          <cell r="J158">
            <v>316.56</v>
          </cell>
          <cell r="K158">
            <v>10.96</v>
          </cell>
          <cell r="L158">
            <v>10.5</v>
          </cell>
          <cell r="M158">
            <v>3.75</v>
          </cell>
          <cell r="N158">
            <v>0.47</v>
          </cell>
          <cell r="O158">
            <v>29.74</v>
          </cell>
          <cell r="P158">
            <v>0.38</v>
          </cell>
          <cell r="Q158">
            <v>1.01</v>
          </cell>
          <cell r="R158">
            <v>14</v>
          </cell>
        </row>
        <row r="159">
          <cell r="E159">
            <v>14.700000000000101</v>
          </cell>
          <cell r="F159">
            <v>64.75</v>
          </cell>
          <cell r="G159">
            <v>21.85</v>
          </cell>
          <cell r="H159">
            <v>41.58</v>
          </cell>
          <cell r="I159">
            <v>123.53</v>
          </cell>
          <cell r="J159">
            <v>312.08</v>
          </cell>
          <cell r="K159">
            <v>11.04</v>
          </cell>
          <cell r="L159">
            <v>10.58</v>
          </cell>
          <cell r="M159">
            <v>3.75</v>
          </cell>
          <cell r="N159">
            <v>0.47</v>
          </cell>
          <cell r="O159">
            <v>29.98</v>
          </cell>
          <cell r="P159">
            <v>0.38</v>
          </cell>
          <cell r="Q159">
            <v>1.01</v>
          </cell>
          <cell r="R159">
            <v>14.1</v>
          </cell>
        </row>
        <row r="160">
          <cell r="E160">
            <v>14.8000000000001</v>
          </cell>
          <cell r="F160">
            <v>65.2</v>
          </cell>
          <cell r="G160">
            <v>21.9</v>
          </cell>
          <cell r="H160">
            <v>42.06</v>
          </cell>
          <cell r="I160">
            <v>125.12</v>
          </cell>
          <cell r="J160">
            <v>325.64</v>
          </cell>
          <cell r="K160">
            <v>11.12</v>
          </cell>
          <cell r="L160">
            <v>10.66</v>
          </cell>
          <cell r="M160">
            <v>3.75</v>
          </cell>
          <cell r="N160">
            <v>0.47</v>
          </cell>
          <cell r="O160">
            <v>30.21</v>
          </cell>
          <cell r="P160">
            <v>0.38</v>
          </cell>
          <cell r="Q160">
            <v>1.01</v>
          </cell>
          <cell r="R160">
            <v>14.2</v>
          </cell>
        </row>
        <row r="161">
          <cell r="E161">
            <v>14.9000000000001</v>
          </cell>
          <cell r="F161">
            <v>65.650000000000006</v>
          </cell>
          <cell r="G161">
            <v>22.12</v>
          </cell>
          <cell r="H161">
            <v>42.55</v>
          </cell>
          <cell r="I161">
            <v>126.73</v>
          </cell>
          <cell r="J161">
            <v>330.22</v>
          </cell>
          <cell r="K161">
            <v>11.2</v>
          </cell>
          <cell r="L161">
            <v>10.74</v>
          </cell>
          <cell r="M161">
            <v>3.75</v>
          </cell>
          <cell r="N161">
            <v>0.47</v>
          </cell>
          <cell r="O161">
            <v>30.45</v>
          </cell>
          <cell r="P161">
            <v>0.38</v>
          </cell>
          <cell r="Q161">
            <v>1.01</v>
          </cell>
          <cell r="R161">
            <v>14.3</v>
          </cell>
        </row>
        <row r="162">
          <cell r="E162">
            <v>15.000000000000099</v>
          </cell>
          <cell r="F162">
            <v>66.099999999999994</v>
          </cell>
          <cell r="G162">
            <v>22.25</v>
          </cell>
          <cell r="H162">
            <v>43.03</v>
          </cell>
          <cell r="I162">
            <v>128.34</v>
          </cell>
          <cell r="J162">
            <v>334.86</v>
          </cell>
          <cell r="K162">
            <v>11.28</v>
          </cell>
          <cell r="L162">
            <v>10.82</v>
          </cell>
          <cell r="M162">
            <v>3.75</v>
          </cell>
          <cell r="N162">
            <v>0.47</v>
          </cell>
          <cell r="O162">
            <v>30.68</v>
          </cell>
          <cell r="P162">
            <v>0.38</v>
          </cell>
          <cell r="Q162">
            <v>1.01</v>
          </cell>
          <cell r="R162">
            <v>14.4</v>
          </cell>
        </row>
        <row r="163">
          <cell r="E163">
            <v>15.100000000000099</v>
          </cell>
          <cell r="F163">
            <v>66.55</v>
          </cell>
          <cell r="G163">
            <v>22.39</v>
          </cell>
          <cell r="H163">
            <v>43.52</v>
          </cell>
          <cell r="I163">
            <v>129.97</v>
          </cell>
          <cell r="J163">
            <v>339.52</v>
          </cell>
          <cell r="K163">
            <v>11.36</v>
          </cell>
          <cell r="L163">
            <v>10.9</v>
          </cell>
          <cell r="M163">
            <v>3.75</v>
          </cell>
          <cell r="N163">
            <v>0.47</v>
          </cell>
          <cell r="O163">
            <v>30.92</v>
          </cell>
          <cell r="P163">
            <v>0.38</v>
          </cell>
          <cell r="Q163">
            <v>1.01</v>
          </cell>
          <cell r="R163">
            <v>14.5</v>
          </cell>
        </row>
        <row r="164">
          <cell r="E164">
            <v>15.200000000000101</v>
          </cell>
          <cell r="F164">
            <v>67</v>
          </cell>
          <cell r="G164">
            <v>22.52</v>
          </cell>
          <cell r="H164">
            <v>44.01</v>
          </cell>
          <cell r="I164">
            <v>131.6</v>
          </cell>
          <cell r="J164">
            <v>344.22</v>
          </cell>
          <cell r="K164">
            <v>11.44</v>
          </cell>
          <cell r="L164">
            <v>10.98</v>
          </cell>
          <cell r="M164">
            <v>3.75</v>
          </cell>
          <cell r="N164">
            <v>0.47</v>
          </cell>
          <cell r="O164">
            <v>31.15</v>
          </cell>
          <cell r="P164">
            <v>0.38</v>
          </cell>
          <cell r="Q164">
            <v>1.01</v>
          </cell>
          <cell r="R164">
            <v>14.6</v>
          </cell>
        </row>
        <row r="165">
          <cell r="E165">
            <v>15.3000000000001</v>
          </cell>
          <cell r="F165">
            <v>67.45</v>
          </cell>
          <cell r="G165">
            <v>22.66</v>
          </cell>
          <cell r="H165">
            <v>44.51</v>
          </cell>
          <cell r="I165">
            <v>133.25</v>
          </cell>
          <cell r="J165">
            <v>348.95</v>
          </cell>
          <cell r="K165">
            <v>11.52</v>
          </cell>
          <cell r="L165">
            <v>11.06</v>
          </cell>
          <cell r="M165">
            <v>3.75</v>
          </cell>
          <cell r="N165">
            <v>0.47</v>
          </cell>
          <cell r="O165">
            <v>31.39</v>
          </cell>
          <cell r="P165">
            <v>0.38</v>
          </cell>
          <cell r="Q165">
            <v>1.01</v>
          </cell>
          <cell r="R165">
            <v>14.7</v>
          </cell>
        </row>
        <row r="166">
          <cell r="E166">
            <v>15.4000000000001</v>
          </cell>
          <cell r="F166">
            <v>67.900000000000006</v>
          </cell>
          <cell r="G166">
            <v>22.79</v>
          </cell>
          <cell r="H166">
            <v>45</v>
          </cell>
          <cell r="I166">
            <v>134.9</v>
          </cell>
          <cell r="J166">
            <v>353.72</v>
          </cell>
          <cell r="K166">
            <v>11.6</v>
          </cell>
          <cell r="L166">
            <v>11.14</v>
          </cell>
          <cell r="M166">
            <v>3.75</v>
          </cell>
          <cell r="N166">
            <v>0.47</v>
          </cell>
          <cell r="O166">
            <v>31.62</v>
          </cell>
          <cell r="P166">
            <v>0.38</v>
          </cell>
          <cell r="Q166">
            <v>1.01</v>
          </cell>
          <cell r="R166">
            <v>14.8</v>
          </cell>
        </row>
        <row r="167">
          <cell r="E167">
            <v>15.500000000000099</v>
          </cell>
          <cell r="F167">
            <v>68.349999999999994</v>
          </cell>
          <cell r="G167">
            <v>22.93</v>
          </cell>
          <cell r="H167">
            <v>45.5</v>
          </cell>
          <cell r="I167">
            <v>136.57</v>
          </cell>
          <cell r="J167">
            <v>358.52</v>
          </cell>
          <cell r="K167">
            <v>11.68</v>
          </cell>
          <cell r="L167">
            <v>11.22</v>
          </cell>
          <cell r="M167">
            <v>3.75</v>
          </cell>
          <cell r="N167">
            <v>0.47</v>
          </cell>
          <cell r="O167">
            <v>31.86</v>
          </cell>
          <cell r="P167">
            <v>0.38</v>
          </cell>
          <cell r="Q167">
            <v>1.01</v>
          </cell>
          <cell r="R167">
            <v>14.9</v>
          </cell>
        </row>
        <row r="168">
          <cell r="E168">
            <v>15.600000000000099</v>
          </cell>
          <cell r="F168">
            <v>68.8</v>
          </cell>
          <cell r="G168">
            <v>23.06</v>
          </cell>
          <cell r="H168">
            <v>46</v>
          </cell>
          <cell r="I168">
            <v>138.34</v>
          </cell>
          <cell r="J168">
            <v>363.26</v>
          </cell>
          <cell r="K168">
            <v>11.76</v>
          </cell>
          <cell r="L168">
            <v>11.3</v>
          </cell>
          <cell r="M168">
            <v>3.75</v>
          </cell>
          <cell r="N168">
            <v>0.47</v>
          </cell>
          <cell r="O168">
            <v>32.090000000000003</v>
          </cell>
          <cell r="P168">
            <v>0.38</v>
          </cell>
          <cell r="Q168">
            <v>1.01</v>
          </cell>
          <cell r="R168">
            <v>15</v>
          </cell>
        </row>
        <row r="169">
          <cell r="E169">
            <v>15.700000000000101</v>
          </cell>
          <cell r="F169">
            <v>69.25</v>
          </cell>
          <cell r="G169">
            <v>23.2</v>
          </cell>
          <cell r="H169">
            <v>46.51</v>
          </cell>
          <cell r="I169">
            <v>139.93</v>
          </cell>
          <cell r="J169">
            <v>638.23</v>
          </cell>
          <cell r="K169">
            <v>11.84</v>
          </cell>
          <cell r="L169">
            <v>11.38</v>
          </cell>
          <cell r="M169">
            <v>3.75</v>
          </cell>
          <cell r="N169">
            <v>0.47</v>
          </cell>
          <cell r="O169">
            <v>32.33</v>
          </cell>
          <cell r="P169">
            <v>0.38</v>
          </cell>
          <cell r="Q169">
            <v>1.01</v>
          </cell>
          <cell r="R169">
            <v>15.1</v>
          </cell>
        </row>
        <row r="170">
          <cell r="E170">
            <v>15.8000000000001</v>
          </cell>
          <cell r="F170">
            <v>69.7</v>
          </cell>
          <cell r="G170">
            <v>23.33</v>
          </cell>
          <cell r="H170">
            <v>47.01</v>
          </cell>
          <cell r="I170">
            <v>141.62</v>
          </cell>
          <cell r="J170">
            <v>373.14</v>
          </cell>
          <cell r="K170">
            <v>11.92</v>
          </cell>
          <cell r="L170">
            <v>11.46</v>
          </cell>
          <cell r="M170">
            <v>3.75</v>
          </cell>
          <cell r="N170">
            <v>0.47</v>
          </cell>
          <cell r="O170">
            <v>32.56</v>
          </cell>
          <cell r="P170">
            <v>0.38</v>
          </cell>
          <cell r="Q170">
            <v>1.01</v>
          </cell>
          <cell r="R170">
            <v>15.2</v>
          </cell>
        </row>
        <row r="171">
          <cell r="E171">
            <v>15.9000000000001</v>
          </cell>
          <cell r="F171">
            <v>70.150000000000006</v>
          </cell>
          <cell r="G171">
            <v>23.47</v>
          </cell>
          <cell r="H171">
            <v>47.52</v>
          </cell>
          <cell r="I171">
            <v>143.33000000000001</v>
          </cell>
          <cell r="J171">
            <v>378.05</v>
          </cell>
          <cell r="K171">
            <v>12.01</v>
          </cell>
          <cell r="L171">
            <v>11.55</v>
          </cell>
          <cell r="M171">
            <v>3.75</v>
          </cell>
          <cell r="N171">
            <v>0.47</v>
          </cell>
          <cell r="O171">
            <v>32.799999999999997</v>
          </cell>
          <cell r="P171">
            <v>0.38</v>
          </cell>
          <cell r="Q171">
            <v>1.01</v>
          </cell>
          <cell r="R171">
            <v>15.3</v>
          </cell>
        </row>
        <row r="172">
          <cell r="E172">
            <v>16.000000000000099</v>
          </cell>
          <cell r="F172">
            <v>70.599999999999994</v>
          </cell>
          <cell r="G172">
            <v>23.6</v>
          </cell>
          <cell r="H172">
            <v>48.03</v>
          </cell>
          <cell r="I172">
            <v>145.04</v>
          </cell>
          <cell r="J172">
            <v>383.03</v>
          </cell>
          <cell r="K172">
            <v>12.09</v>
          </cell>
          <cell r="L172">
            <v>11.63</v>
          </cell>
          <cell r="M172">
            <v>3.75</v>
          </cell>
          <cell r="N172">
            <v>0.47</v>
          </cell>
          <cell r="O172">
            <v>33.03</v>
          </cell>
          <cell r="P172">
            <v>0.38</v>
          </cell>
          <cell r="Q172">
            <v>1.01</v>
          </cell>
          <cell r="R172">
            <v>15.4</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_SHEET"/>
      <sheetName val="SPECIFICATION"/>
      <sheetName val="m"/>
      <sheetName val="M2"/>
      <sheetName val="m1"/>
      <sheetName val="ESTT_FINAL"/>
      <sheetName val="LEAD_CHART"/>
      <sheetName val="SCHEDULE_A"/>
      <sheetName val="Sheet9"/>
      <sheetName val="bundqty"/>
      <sheetName val="Data"/>
      <sheetName val="ewst"/>
      <sheetName val="Bridge Data 2005-06"/>
      <sheetName val="leads"/>
      <sheetName val="RMR"/>
      <sheetName val="Road data"/>
      <sheetName val="r"/>
      <sheetName val="GF SB Ok "/>
      <sheetName val="HDPE-pipe-rates"/>
      <sheetName val="pvc-pipe-rates"/>
      <sheetName val="MRATES"/>
      <sheetName val="Labour"/>
      <sheetName val="Material"/>
      <sheetName val="BWSCPlt"/>
      <sheetName val="CI"/>
      <sheetName val="DI"/>
      <sheetName val="G.R.P"/>
      <sheetName val="HDPE"/>
      <sheetName val="PSC REVISED"/>
      <sheetName val="pvc"/>
      <sheetName val="data existing_do not delete"/>
      <sheetName val="Nspt-smp-final-ORIGINAL"/>
      <sheetName val="Plant &amp;  Machinery"/>
      <sheetName val="Main sheet"/>
      <sheetName val="0000000000000"/>
      <sheetName val="DATA-BASE"/>
      <sheetName val="DATA-ABSTRACT"/>
      <sheetName val="Common "/>
      <sheetName val="Mp-team 1"/>
      <sheetName val="Lead"/>
      <sheetName val="wh_data"/>
      <sheetName val="wh_data_R"/>
      <sheetName val="CPHEEO"/>
      <sheetName val="input"/>
      <sheetName val="table"/>
      <sheetName val="GBW"/>
      <sheetName val="water-hammar-strenght"/>
      <sheetName val="MRoad data"/>
      <sheetName val="Road Detail Est."/>
      <sheetName val="Lead statement"/>
      <sheetName val="Levels"/>
      <sheetName val="Bitumen trunk"/>
      <sheetName val="Feeder"/>
      <sheetName val="R99 etc"/>
      <sheetName val="Trunk unpaved"/>
      <sheetName val="C-data"/>
      <sheetName val="Cover"/>
      <sheetName val="Rate Analysis"/>
      <sheetName val="data_prg"/>
      <sheetName val="Sheet1"/>
      <sheetName val="concrete"/>
      <sheetName val="Drawing status-1"/>
      <sheetName val="Notes"/>
      <sheetName val="Boq"/>
      <sheetName val="Rates"/>
      <sheetName val="C &amp; G RHS"/>
      <sheetName val="labour coeff"/>
      <sheetName val="Sheet2"/>
      <sheetName val="Bridge_Data_2005-06"/>
      <sheetName val="Road_data"/>
      <sheetName val="GF_SB_Ok_"/>
      <sheetName val="G_R_P"/>
      <sheetName val="PSC_REVISED"/>
      <sheetName val="data_existing_do_not_delete"/>
      <sheetName val="Plant_&amp;__Machinery"/>
      <sheetName val="Common_"/>
      <sheetName val="Mp-team_1"/>
      <sheetName val="Main_sheet"/>
      <sheetName val="MRoad_data"/>
      <sheetName val="Road_Detail_Est_"/>
      <sheetName val="Lead_statement"/>
      <sheetName val="Rate_Analysis"/>
      <sheetName val="boredetails"/>
      <sheetName val="NGKL_SPLRRM_ ROAD_MODEL"/>
      <sheetName val="Iocount"/>
      <sheetName val="Variables"/>
      <sheetName val="Data.F8.BTR"/>
      <sheetName val="mlead"/>
      <sheetName val="abs road"/>
      <sheetName val="R_Det"/>
      <sheetName val="l"/>
      <sheetName val="Data_Bit_I"/>
      <sheetName val="pvc_basic"/>
      <sheetName val="PVC_dia"/>
      <sheetName val="detls"/>
      <sheetName val="sup dat"/>
      <sheetName val="Sheet1 (2)"/>
      <sheetName val="Sheet3"/>
      <sheetName val="Data o"/>
      <sheetName val="GROUND FLOOR"/>
      <sheetName val="segments-details"/>
      <sheetName val="int-Dia-hdpe"/>
      <sheetName val="habs-list"/>
      <sheetName val="int-Dia-pvc"/>
      <sheetName val="Dormitory"/>
      <sheetName val="Bitumen_trunk"/>
      <sheetName val="R99_etc"/>
      <sheetName val="Trunk_unpaved"/>
      <sheetName val="NGKL_SPLRRM__ROAD_MODEL"/>
      <sheetName val="Data_F8_BTR"/>
      <sheetName val="GROUND_FLOOR"/>
      <sheetName val="sup_dat"/>
      <sheetName val="Bridge_Data_2005-061"/>
      <sheetName val="Road_data1"/>
      <sheetName val="GF_SB_Ok_1"/>
      <sheetName val="Common_1"/>
      <sheetName val="G_R_P1"/>
      <sheetName val="PSC_REVISED1"/>
      <sheetName val="data_existing_do_not_delete1"/>
      <sheetName val="Plant_&amp;__Machinery1"/>
      <sheetName val="Mp-team_11"/>
      <sheetName val="Bitumen_trunk1"/>
      <sheetName val="R99_etc1"/>
      <sheetName val="Trunk_unpaved1"/>
      <sheetName val="Main_sheet1"/>
      <sheetName val="MRoad_data1"/>
      <sheetName val="Road_Detail_Est_1"/>
    </sheetNames>
    <sheetDataSet>
      <sheetData sheetId="0" refreshError="1"/>
      <sheetData sheetId="1" refreshError="1"/>
      <sheetData sheetId="2"/>
      <sheetData sheetId="3"/>
      <sheetData sheetId="4" refreshError="1">
        <row r="9">
          <cell r="D9">
            <v>249.47</v>
          </cell>
        </row>
        <row r="30">
          <cell r="D30">
            <v>101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sheetData sheetId="75"/>
      <sheetData sheetId="76"/>
      <sheetData sheetId="77"/>
      <sheetData sheetId="78"/>
      <sheetData sheetId="79"/>
      <sheetData sheetId="80"/>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leads"/>
      <sheetName val="lead statement"/>
      <sheetName val="data"/>
      <sheetName val="data existing_do not delete"/>
      <sheetName val="pipe line rates"/>
      <sheetName val="platform estimate"/>
      <sheetName val="bore well ori estimate"/>
      <sheetName val="pipe line sub estimate"/>
      <sheetName val="pipe line data"/>
      <sheetName val="pumpset estimate"/>
      <sheetName val="general abstract"/>
      <sheetName val="Sheet3"/>
      <sheetName val="ewst"/>
      <sheetName val="m1"/>
      <sheetName val="bundqty"/>
      <sheetName val="Plant &amp;  Machinery"/>
      <sheetName val="Material"/>
      <sheetName val="Labour"/>
      <sheetName val="RMR"/>
      <sheetName val="Road data"/>
      <sheetName val="hdpe weights"/>
      <sheetName val="PVC weights"/>
      <sheetName val="index"/>
      <sheetName val="GF SB Ok "/>
      <sheetName val="Mp-team 1"/>
      <sheetName val="MRATES"/>
      <sheetName val="Data_Bit_I"/>
      <sheetName val="Sheet1"/>
      <sheetName val="t_prsr"/>
      <sheetName val="id"/>
      <sheetName val="habs-list"/>
      <sheetName val="nodes"/>
      <sheetName val="m"/>
      <sheetName val="Levels"/>
      <sheetName val="Sheet9"/>
      <sheetName val="GBW"/>
      <sheetName val="Detailed"/>
      <sheetName val="Lead"/>
      <sheetName val="0000000000000"/>
      <sheetName val="v"/>
      <sheetName val="OH"/>
      <sheetName val="Basic Rates"/>
      <sheetName val="maya"/>
      <sheetName val="CD Data"/>
      <sheetName val="Rates SSR 2008-09"/>
      <sheetName val="STAFFSCHED "/>
      <sheetName val="Common "/>
      <sheetName val="Boq"/>
      <sheetName val="labour coeff"/>
      <sheetName val="Drawing status-1"/>
      <sheetName val="Notes"/>
      <sheetName val="rates"/>
      <sheetName val="DATA_PRG"/>
      <sheetName val="Nspt-smp-final-ORIGINAL"/>
      <sheetName val="RMR-p"/>
      <sheetName val="abs road"/>
      <sheetName val="R_Det"/>
      <sheetName val="DATA SHEET FOR 2012 - 13"/>
      <sheetName val="r"/>
      <sheetName val="l"/>
      <sheetName val="bom"/>
      <sheetName val="PVC_dia"/>
      <sheetName val="wh"/>
      <sheetName val="hdpe-rates"/>
      <sheetName val="ssr-rates"/>
      <sheetName val="pvc-rates"/>
      <sheetName val="HDPE-pipe-rates"/>
      <sheetName val="pvc-pipe-rates"/>
      <sheetName val="sup dat"/>
      <sheetName val="Bridge Data 2005-06"/>
      <sheetName val="Global factors"/>
      <sheetName val="Cover_page"/>
      <sheetName val="lead_statement"/>
      <sheetName val="data_existing_do_not_delete"/>
      <sheetName val="pipe_line_rates"/>
      <sheetName val="platform_estimate"/>
      <sheetName val="bore_well_ori_estimate"/>
      <sheetName val="pipe_line_sub_estimate"/>
      <sheetName val="pipe_line_data"/>
      <sheetName val="pumpset_estimate"/>
      <sheetName val="general_abstract"/>
      <sheetName val="Plant_&amp;__Machinery"/>
      <sheetName val="Road_data"/>
      <sheetName val="GF_SB_Ok_"/>
      <sheetName val="Mp-team_1"/>
      <sheetName val="Cover_page1"/>
      <sheetName val="lead_statement1"/>
      <sheetName val="data_existing_do_not_delete1"/>
      <sheetName val="pipe_line_rates1"/>
      <sheetName val="platform_estimate1"/>
      <sheetName val="bore_well_ori_estimate1"/>
      <sheetName val="pipe_line_sub_estimate1"/>
      <sheetName val="pipe_line_data1"/>
      <sheetName val="pumpset_estimate1"/>
      <sheetName val="general_abstract1"/>
      <sheetName val="Plant_&amp;__Machinery1"/>
      <sheetName val="Existing"/>
      <sheetName val="MRoad data"/>
      <sheetName val="C-data"/>
      <sheetName val="Sheet2"/>
      <sheetName val="Sheet1 (2)"/>
      <sheetName val="Data o"/>
      <sheetName val="rdamdata"/>
      <sheetName val="water-hammar-strenght"/>
      <sheetName val="ESTIMATE"/>
    </sheetNames>
    <sheetDataSet>
      <sheetData sheetId="0"/>
      <sheetData sheetId="1"/>
      <sheetData sheetId="2"/>
      <sheetData sheetId="3"/>
      <sheetData sheetId="4" refreshError="1">
        <row r="2">
          <cell r="J2">
            <v>28.5</v>
          </cell>
        </row>
        <row r="3">
          <cell r="J3">
            <v>30.5</v>
          </cell>
        </row>
        <row r="4">
          <cell r="J4">
            <v>31.5</v>
          </cell>
        </row>
        <row r="5">
          <cell r="J5">
            <v>36.5</v>
          </cell>
        </row>
        <row r="6">
          <cell r="J6">
            <v>38</v>
          </cell>
        </row>
        <row r="7">
          <cell r="J7">
            <v>49.5</v>
          </cell>
        </row>
        <row r="8">
          <cell r="J8">
            <v>66</v>
          </cell>
        </row>
        <row r="9">
          <cell r="J9">
            <v>342</v>
          </cell>
        </row>
      </sheetData>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ewst"/>
      <sheetName val="m1"/>
      <sheetName val="data existing_do not dele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20">
          <cell r="D120">
            <v>2515.83</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ABS"/>
      <sheetName val="Material"/>
      <sheetName val="data existing_do not delete"/>
      <sheetName val="m"/>
      <sheetName val="Labour"/>
      <sheetName val="PS1"/>
      <sheetName val="Plant &amp;  Machinery"/>
      <sheetName val="Detailed"/>
      <sheetName val="DATA_PRG"/>
      <sheetName val="Rates"/>
      <sheetName val="concrete"/>
      <sheetName val="leads"/>
      <sheetName val="Levels"/>
      <sheetName val="bundqty"/>
      <sheetName val="Data"/>
      <sheetName val="MRATES"/>
      <sheetName val="MRoad data"/>
      <sheetName val="hdpe weights"/>
      <sheetName val="PVC weights"/>
      <sheetName val="index"/>
      <sheetName val="m1"/>
      <sheetName val="ELE "/>
    </sheetNames>
    <sheetDataSet>
      <sheetData sheetId="0" refreshError="1"/>
      <sheetData sheetId="1" refreshError="1"/>
      <sheetData sheetId="2" refreshError="1"/>
      <sheetData sheetId="3" refreshError="1"/>
      <sheetData sheetId="4" refreshError="1">
        <row r="29">
          <cell r="F29">
            <v>44</v>
          </cell>
        </row>
        <row r="30">
          <cell r="F30">
            <v>0.25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r"/>
      <sheetName val="v"/>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3">
          <cell r="G53">
            <v>234</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ctorwise"/>
      <sheetName val="Plant &amp;  Machinery"/>
      <sheetName val="maya"/>
      <sheetName val="enc1"/>
      <sheetName val="enc2"/>
      <sheetName val="enc3"/>
      <sheetName val="enc4"/>
      <sheetName val="enc5"/>
      <sheetName val="enc234"/>
      <sheetName val="ABSTITLE"/>
      <sheetName val="abs312 (3)"/>
      <sheetName val="ridf4 ALL23.3.99"/>
      <sheetName val="TIT_3 (2)"/>
      <sheetName val="sectorwise type2"/>
      <sheetName val="99-2000 "/>
      <sheetName val="98-99"/>
      <sheetName val="97-98"/>
      <sheetName val="Abstractab"/>
      <sheetName val="Abstract"/>
      <sheetName val="encnewgovt"/>
      <sheetName val="ridf2enc"/>
      <sheetName val="ridf3enc"/>
      <sheetName val="ridf4enc"/>
      <sheetName val="LINKED23"/>
      <sheetName val="comprptsENC"/>
      <sheetName val="FINENC"/>
      <sheetName val="T&amp;A_Phy"/>
      <sheetName val="T&amp;A_Fin"/>
      <sheetName val="TIT_abs"/>
      <sheetName val="Sheet3"/>
      <sheetName val="TELE"/>
      <sheetName val="TIT_4"/>
      <sheetName val="abs312 (2)"/>
      <sheetName val="leads"/>
      <sheetName val="Labour"/>
      <sheetName val="Material"/>
      <sheetName val="Sheet1"/>
      <sheetName val="Work_sheet"/>
      <sheetName val="Data"/>
      <sheetName val="r"/>
      <sheetName val="Dormitory"/>
      <sheetName val="General"/>
      <sheetName val="MRATES"/>
      <sheetName val="data existing_do not delete"/>
      <sheetName val="Sweeper Machine"/>
      <sheetName val="Usage "/>
      <sheetName val="detls"/>
      <sheetName val="Nspt-smp-final-ORIGINAL"/>
      <sheetName val="ewst"/>
      <sheetName val="SSR 2016-17"/>
      <sheetName val="Sheet2"/>
      <sheetName val="Sheet9"/>
      <sheetName val="beam-reinft"/>
      <sheetName val="v"/>
      <sheetName val="DATA_PRG"/>
      <sheetName val="abs road"/>
      <sheetName val="R_Det"/>
      <sheetName val="0000000000000"/>
      <sheetName val="cert"/>
      <sheetName val="Rates"/>
      <sheetName val="RMR"/>
      <sheetName val="Road data"/>
      <sheetName val="mlead"/>
      <sheetName val="concrete"/>
      <sheetName val="bundqty"/>
      <sheetName val="Lead"/>
    </sheetNames>
    <sheetDataSet>
      <sheetData sheetId="0" refreshError="1">
        <row r="1">
          <cell r="A1" t="str">
            <v>District</v>
          </cell>
          <cell r="B1" t="str">
            <v>Alloc</v>
          </cell>
          <cell r="C1" t="str">
            <v>expmar99</v>
          </cell>
          <cell r="D1" t="str">
            <v>relmar99</v>
          </cell>
          <cell r="E1" t="str">
            <v>obmar99</v>
          </cell>
          <cell r="F1" t="str">
            <v>Rel</v>
          </cell>
          <cell r="G1" t="str">
            <v>acpExp</v>
          </cell>
          <cell r="H1" t="str">
            <v>Exp1</v>
          </cell>
          <cell r="I1" t="str">
            <v>Expfinal</v>
          </cell>
          <cell r="J1" t="str">
            <v>Bal</v>
          </cell>
          <cell r="K1" t="str">
            <v>totwrks</v>
          </cell>
          <cell r="L1" t="str">
            <v>comp3/99</v>
          </cell>
          <cell r="M1" t="str">
            <v>Works</v>
          </cell>
          <cell r="N1" t="str">
            <v>totest</v>
          </cell>
          <cell r="O1" t="str">
            <v>Bal Est</v>
          </cell>
          <cell r="P1" t="str">
            <v>totcomp</v>
          </cell>
          <cell r="Q1" t="str">
            <v>Comp</v>
          </cell>
          <cell r="R1" t="str">
            <v>Bal</v>
          </cell>
        </row>
        <row r="2">
          <cell r="A2" t="str">
            <v>Srikakulam</v>
          </cell>
          <cell r="B2">
            <v>6.3399564873875507</v>
          </cell>
          <cell r="C2">
            <v>3.3949000000000003</v>
          </cell>
          <cell r="D2">
            <v>3.8</v>
          </cell>
          <cell r="E2">
            <v>0.40509999999999957</v>
          </cell>
          <cell r="F2">
            <v>1.65</v>
          </cell>
          <cell r="G2">
            <v>1.4691000000000001</v>
          </cell>
          <cell r="H2">
            <v>1.0640000000000005</v>
          </cell>
          <cell r="I2">
            <v>1.0640000000000005</v>
          </cell>
          <cell r="J2">
            <v>0.58599999999999941</v>
          </cell>
          <cell r="K2">
            <v>24</v>
          </cell>
          <cell r="L2">
            <v>5</v>
          </cell>
          <cell r="M2">
            <v>19</v>
          </cell>
          <cell r="N2">
            <v>13.037000000000001</v>
          </cell>
          <cell r="O2">
            <v>9.642100000000001</v>
          </cell>
          <cell r="P2">
            <v>7</v>
          </cell>
          <cell r="Q2">
            <v>2</v>
          </cell>
          <cell r="R2">
            <v>17</v>
          </cell>
        </row>
        <row r="3">
          <cell r="A3" t="str">
            <v>Vizianagaram</v>
          </cell>
          <cell r="B3">
            <v>6.5264973504227655</v>
          </cell>
          <cell r="C3">
            <v>2.7987000000000002</v>
          </cell>
          <cell r="D3">
            <v>3.35</v>
          </cell>
          <cell r="E3">
            <v>0.5512999999999999</v>
          </cell>
          <cell r="F3">
            <v>1.25</v>
          </cell>
          <cell r="G3">
            <v>1.4843999999999999</v>
          </cell>
          <cell r="H3">
            <v>0.93310000000000004</v>
          </cell>
          <cell r="I3">
            <v>0.93310000000000004</v>
          </cell>
          <cell r="J3">
            <v>0.31689999999999996</v>
          </cell>
          <cell r="K3">
            <v>23</v>
          </cell>
          <cell r="L3">
            <v>2</v>
          </cell>
          <cell r="M3">
            <v>21</v>
          </cell>
          <cell r="N3">
            <v>12.724500000000001</v>
          </cell>
          <cell r="O3">
            <v>9.9258000000000006</v>
          </cell>
          <cell r="P3">
            <v>5</v>
          </cell>
          <cell r="Q3">
            <v>3</v>
          </cell>
          <cell r="R3">
            <v>18</v>
          </cell>
        </row>
        <row r="4">
          <cell r="A4" t="str">
            <v>Visakhapatnam</v>
          </cell>
          <cell r="B4">
            <v>5.2308372495736588</v>
          </cell>
          <cell r="C4">
            <v>4.8526999999999996</v>
          </cell>
          <cell r="D4">
            <v>4.3</v>
          </cell>
          <cell r="E4">
            <v>-0.55269999999999975</v>
          </cell>
          <cell r="F4">
            <v>1.9</v>
          </cell>
          <cell r="G4">
            <v>1.6009</v>
          </cell>
          <cell r="H4">
            <v>2.1536</v>
          </cell>
          <cell r="I4">
            <v>2.1536</v>
          </cell>
          <cell r="J4">
            <v>-0.25360000000000005</v>
          </cell>
          <cell r="K4">
            <v>17</v>
          </cell>
          <cell r="L4">
            <v>0</v>
          </cell>
          <cell r="M4">
            <v>17</v>
          </cell>
          <cell r="N4">
            <v>12.808</v>
          </cell>
          <cell r="O4">
            <v>7.9553000000000003</v>
          </cell>
          <cell r="P4">
            <v>3</v>
          </cell>
          <cell r="Q4">
            <v>3</v>
          </cell>
          <cell r="R4">
            <v>14</v>
          </cell>
        </row>
        <row r="5">
          <cell r="A5" t="str">
            <v>East Godavari</v>
          </cell>
          <cell r="B5">
            <v>4.4450248230196028</v>
          </cell>
          <cell r="C5">
            <v>3.9397999999999995</v>
          </cell>
          <cell r="D5">
            <v>4.2699999999999996</v>
          </cell>
          <cell r="E5">
            <v>0.33020000000000005</v>
          </cell>
          <cell r="F5">
            <v>0.15</v>
          </cell>
          <cell r="G5">
            <v>0.37359999999999999</v>
          </cell>
          <cell r="H5">
            <v>4.3399999999999939E-2</v>
          </cell>
          <cell r="I5">
            <v>4.3399999999999939E-2</v>
          </cell>
          <cell r="J5">
            <v>0.10660000000000006</v>
          </cell>
          <cell r="K5">
            <v>31</v>
          </cell>
          <cell r="L5">
            <v>16</v>
          </cell>
          <cell r="M5">
            <v>15</v>
          </cell>
          <cell r="N5">
            <v>10.7</v>
          </cell>
          <cell r="O5">
            <v>6.7601999999999993</v>
          </cell>
          <cell r="P5">
            <v>16</v>
          </cell>
          <cell r="Q5">
            <v>0</v>
          </cell>
          <cell r="R5">
            <v>15</v>
          </cell>
        </row>
        <row r="6">
          <cell r="A6" t="str">
            <v>West Godavari</v>
          </cell>
          <cell r="B6">
            <v>6.5109139226683252</v>
          </cell>
          <cell r="C6">
            <v>7.9578999999999995</v>
          </cell>
          <cell r="D6">
            <v>8.6300000000000008</v>
          </cell>
          <cell r="E6">
            <v>0.67210000000000125</v>
          </cell>
          <cell r="F6">
            <v>0.45</v>
          </cell>
          <cell r="G6">
            <v>1.3902000000000001</v>
          </cell>
          <cell r="H6">
            <v>0.71809999999999885</v>
          </cell>
          <cell r="I6">
            <v>0.71809999999999885</v>
          </cell>
          <cell r="J6">
            <v>-0.26809999999999884</v>
          </cell>
          <cell r="K6">
            <v>40</v>
          </cell>
          <cell r="L6">
            <v>21</v>
          </cell>
          <cell r="M6">
            <v>19</v>
          </cell>
          <cell r="N6">
            <v>17.86</v>
          </cell>
          <cell r="O6">
            <v>9.9021000000000008</v>
          </cell>
          <cell r="P6">
            <v>23</v>
          </cell>
          <cell r="Q6">
            <v>2</v>
          </cell>
          <cell r="R6">
            <v>17</v>
          </cell>
        </row>
        <row r="7">
          <cell r="A7" t="str">
            <v>Krishna</v>
          </cell>
          <cell r="B7">
            <v>6.0240139964167332</v>
          </cell>
          <cell r="C7">
            <v>5.8304000000000009</v>
          </cell>
          <cell r="D7">
            <v>6.61</v>
          </cell>
          <cell r="E7">
            <v>0.7795999999999994</v>
          </cell>
          <cell r="F7">
            <v>0.5</v>
          </cell>
          <cell r="G7">
            <v>1.2702</v>
          </cell>
          <cell r="H7">
            <v>0.49060000000000059</v>
          </cell>
          <cell r="I7">
            <v>0.49060000000000059</v>
          </cell>
          <cell r="J7">
            <v>9.3999999999994088E-3</v>
          </cell>
          <cell r="K7">
            <v>29</v>
          </cell>
          <cell r="L7">
            <v>12</v>
          </cell>
          <cell r="M7">
            <v>17</v>
          </cell>
          <cell r="N7">
            <v>14.992000000000001</v>
          </cell>
          <cell r="O7">
            <v>9.1616</v>
          </cell>
          <cell r="P7">
            <v>13</v>
          </cell>
          <cell r="Q7">
            <v>1</v>
          </cell>
          <cell r="R7">
            <v>16</v>
          </cell>
        </row>
        <row r="8">
          <cell r="A8" t="str">
            <v>Guntur</v>
          </cell>
          <cell r="B8">
            <v>11.884106113543091</v>
          </cell>
          <cell r="C8">
            <v>7.6001000000000003</v>
          </cell>
          <cell r="D8">
            <v>6.85</v>
          </cell>
          <cell r="E8">
            <v>-0.75010000000000066</v>
          </cell>
          <cell r="F8">
            <v>2.15</v>
          </cell>
          <cell r="G8">
            <v>2.9051999999999998</v>
          </cell>
          <cell r="H8">
            <v>3.6553000000000004</v>
          </cell>
          <cell r="I8">
            <v>3.6553000000000004</v>
          </cell>
          <cell r="J8">
            <v>-1.5053000000000005</v>
          </cell>
          <cell r="K8">
            <v>50</v>
          </cell>
          <cell r="L8">
            <v>11</v>
          </cell>
          <cell r="M8">
            <v>39</v>
          </cell>
          <cell r="N8">
            <v>25.673999999999999</v>
          </cell>
          <cell r="O8">
            <v>18.073899999999998</v>
          </cell>
          <cell r="P8">
            <v>14</v>
          </cell>
          <cell r="Q8">
            <v>3</v>
          </cell>
          <cell r="R8">
            <v>36</v>
          </cell>
        </row>
        <row r="9">
          <cell r="A9" t="str">
            <v>Prakasam</v>
          </cell>
          <cell r="B9">
            <v>6.4859278359734427</v>
          </cell>
          <cell r="C9">
            <v>4.9009</v>
          </cell>
          <cell r="D9">
            <v>6.1</v>
          </cell>
          <cell r="E9">
            <v>1.1990999999999996</v>
          </cell>
          <cell r="F9">
            <v>0.65</v>
          </cell>
          <cell r="G9">
            <v>1.5345</v>
          </cell>
          <cell r="H9">
            <v>0.33540000000000036</v>
          </cell>
          <cell r="I9">
            <v>0.33540000000000036</v>
          </cell>
          <cell r="J9">
            <v>0.31459999999999966</v>
          </cell>
          <cell r="K9">
            <v>25</v>
          </cell>
          <cell r="L9">
            <v>10</v>
          </cell>
          <cell r="M9">
            <v>15</v>
          </cell>
          <cell r="N9">
            <v>14.765000000000001</v>
          </cell>
          <cell r="O9">
            <v>9.8641000000000005</v>
          </cell>
          <cell r="P9">
            <v>12</v>
          </cell>
          <cell r="Q9">
            <v>2</v>
          </cell>
          <cell r="R9">
            <v>13</v>
          </cell>
        </row>
        <row r="10">
          <cell r="A10" t="str">
            <v>Nellore</v>
          </cell>
          <cell r="B10">
            <v>3.9844260406573611</v>
          </cell>
          <cell r="C10">
            <v>6.7767999999999997</v>
          </cell>
          <cell r="D10">
            <v>7.43</v>
          </cell>
          <cell r="E10">
            <v>0.6532</v>
          </cell>
          <cell r="F10">
            <v>0.65</v>
          </cell>
          <cell r="G10">
            <v>1.0651999999999999</v>
          </cell>
          <cell r="H10">
            <v>0.41199999999999992</v>
          </cell>
          <cell r="I10">
            <v>0.41199999999999992</v>
          </cell>
          <cell r="J10">
            <v>0.2380000000000001</v>
          </cell>
          <cell r="K10">
            <v>33</v>
          </cell>
          <cell r="L10">
            <v>17</v>
          </cell>
          <cell r="M10">
            <v>16</v>
          </cell>
          <cell r="N10">
            <v>12.836500000000001</v>
          </cell>
          <cell r="O10">
            <v>6.0597000000000012</v>
          </cell>
          <cell r="P10">
            <v>20</v>
          </cell>
          <cell r="Q10">
            <v>3</v>
          </cell>
          <cell r="R10">
            <v>13</v>
          </cell>
        </row>
        <row r="11">
          <cell r="A11" t="str">
            <v>Chittoor</v>
          </cell>
          <cell r="B11">
            <v>7.3833228654780658</v>
          </cell>
          <cell r="C11">
            <v>3.9831000000000008</v>
          </cell>
          <cell r="D11">
            <v>5.6</v>
          </cell>
          <cell r="E11">
            <v>1.6168999999999989</v>
          </cell>
          <cell r="F11">
            <v>0.1</v>
          </cell>
          <cell r="G11">
            <v>0.81599999999999995</v>
          </cell>
          <cell r="H11">
            <v>-0.80089999999999895</v>
          </cell>
          <cell r="I11">
            <v>0.4</v>
          </cell>
          <cell r="J11">
            <v>-0.30000000000000004</v>
          </cell>
          <cell r="K11">
            <v>34</v>
          </cell>
          <cell r="L11">
            <v>10</v>
          </cell>
          <cell r="M11">
            <v>24</v>
          </cell>
          <cell r="N11">
            <v>15.212</v>
          </cell>
          <cell r="O11">
            <v>11.228899999999999</v>
          </cell>
          <cell r="P11">
            <v>12</v>
          </cell>
          <cell r="Q11">
            <v>2</v>
          </cell>
          <cell r="R11">
            <v>22</v>
          </cell>
        </row>
        <row r="12">
          <cell r="A12" t="str">
            <v>Cuddapah</v>
          </cell>
          <cell r="B12">
            <v>5.2888970247093976</v>
          </cell>
          <cell r="C12">
            <v>4.974400000000001</v>
          </cell>
          <cell r="D12">
            <v>5.8</v>
          </cell>
          <cell r="E12">
            <v>0.82559999999999878</v>
          </cell>
          <cell r="F12">
            <v>0.2</v>
          </cell>
          <cell r="G12">
            <v>0.43450000000000005</v>
          </cell>
          <cell r="H12">
            <v>-0.39109999999999873</v>
          </cell>
          <cell r="I12">
            <v>0.2</v>
          </cell>
          <cell r="J12">
            <v>0</v>
          </cell>
          <cell r="K12">
            <v>32</v>
          </cell>
          <cell r="L12">
            <v>11</v>
          </cell>
          <cell r="M12">
            <v>21</v>
          </cell>
          <cell r="N12">
            <v>13.017999999999999</v>
          </cell>
          <cell r="O12">
            <v>8.0435999999999979</v>
          </cell>
          <cell r="P12">
            <v>14</v>
          </cell>
          <cell r="Q12">
            <v>3</v>
          </cell>
          <cell r="R12">
            <v>18</v>
          </cell>
        </row>
        <row r="13">
          <cell r="A13" t="str">
            <v>Anantapur</v>
          </cell>
          <cell r="B13">
            <v>8.4452973028702978</v>
          </cell>
          <cell r="C13">
            <v>3.1979999999999995</v>
          </cell>
          <cell r="D13">
            <v>4</v>
          </cell>
          <cell r="E13">
            <v>0.80200000000000049</v>
          </cell>
          <cell r="F13">
            <v>0.5</v>
          </cell>
          <cell r="G13">
            <v>1.3625999999999998</v>
          </cell>
          <cell r="H13">
            <v>0.56059999999999932</v>
          </cell>
          <cell r="I13">
            <v>0.56059999999999932</v>
          </cell>
          <cell r="J13">
            <v>-6.0599999999999321E-2</v>
          </cell>
          <cell r="K13">
            <v>29</v>
          </cell>
          <cell r="L13">
            <v>3</v>
          </cell>
          <cell r="M13">
            <v>26</v>
          </cell>
          <cell r="N13">
            <v>16.042000000000002</v>
          </cell>
          <cell r="O13">
            <v>12.844000000000001</v>
          </cell>
          <cell r="P13">
            <v>6</v>
          </cell>
          <cell r="Q13">
            <v>3</v>
          </cell>
          <cell r="R13">
            <v>23</v>
          </cell>
        </row>
        <row r="14">
          <cell r="A14" t="str">
            <v>Kurnool</v>
          </cell>
          <cell r="B14">
            <v>7.0542955554222964</v>
          </cell>
          <cell r="C14">
            <v>6.0845000000000002</v>
          </cell>
          <cell r="D14">
            <v>7.95</v>
          </cell>
          <cell r="E14">
            <v>1.8654999999999999</v>
          </cell>
          <cell r="F14">
            <v>0</v>
          </cell>
          <cell r="G14">
            <v>2.1309</v>
          </cell>
          <cell r="H14">
            <v>0.26540000000000008</v>
          </cell>
          <cell r="I14">
            <v>0.26540000000000008</v>
          </cell>
          <cell r="J14">
            <v>-0.26540000000000008</v>
          </cell>
          <cell r="K14">
            <v>45</v>
          </cell>
          <cell r="L14">
            <v>21</v>
          </cell>
          <cell r="M14">
            <v>24</v>
          </cell>
          <cell r="N14">
            <v>16.812999999999999</v>
          </cell>
          <cell r="O14">
            <v>10.728499999999999</v>
          </cell>
          <cell r="P14">
            <v>24</v>
          </cell>
          <cell r="Q14">
            <v>3</v>
          </cell>
          <cell r="R14">
            <v>21</v>
          </cell>
        </row>
        <row r="15">
          <cell r="A15" t="str">
            <v>Mahabubnagar</v>
          </cell>
          <cell r="B15">
            <v>7.5731513714994483</v>
          </cell>
          <cell r="C15">
            <v>5.5608999999999993</v>
          </cell>
          <cell r="D15">
            <v>6.83</v>
          </cell>
          <cell r="E15">
            <v>1.2691000000000008</v>
          </cell>
          <cell r="F15">
            <v>0.45</v>
          </cell>
          <cell r="G15">
            <v>1.7105000000000001</v>
          </cell>
          <cell r="H15">
            <v>0.44139999999999935</v>
          </cell>
          <cell r="I15">
            <v>0.44139999999999935</v>
          </cell>
          <cell r="J15">
            <v>8.6000000000006627E-3</v>
          </cell>
          <cell r="K15">
            <v>35</v>
          </cell>
          <cell r="L15">
            <v>9</v>
          </cell>
          <cell r="M15">
            <v>26</v>
          </cell>
          <cell r="N15">
            <v>17.078499999999998</v>
          </cell>
          <cell r="O15">
            <v>11.517599999999998</v>
          </cell>
          <cell r="P15">
            <v>15</v>
          </cell>
          <cell r="Q15">
            <v>6</v>
          </cell>
          <cell r="R15">
            <v>20</v>
          </cell>
        </row>
        <row r="16">
          <cell r="A16" t="str">
            <v>Ranga Reddy</v>
          </cell>
          <cell r="B16">
            <v>4.9360014265740455</v>
          </cell>
          <cell r="C16">
            <v>1.9265999999999999</v>
          </cell>
          <cell r="D16">
            <v>2.6150000000000002</v>
          </cell>
          <cell r="E16">
            <v>0.68840000000000034</v>
          </cell>
          <cell r="F16">
            <v>1.2</v>
          </cell>
          <cell r="G16">
            <v>0.75719999999999998</v>
          </cell>
          <cell r="H16">
            <v>6.8799999999999639E-2</v>
          </cell>
          <cell r="I16">
            <v>6.8799999999999639E-2</v>
          </cell>
          <cell r="J16">
            <v>1.1312000000000002</v>
          </cell>
          <cell r="K16">
            <v>16</v>
          </cell>
          <cell r="L16">
            <v>2</v>
          </cell>
          <cell r="M16">
            <v>14</v>
          </cell>
          <cell r="N16">
            <v>9.4335000000000004</v>
          </cell>
          <cell r="O16">
            <v>7.5069000000000008</v>
          </cell>
          <cell r="P16">
            <v>4</v>
          </cell>
          <cell r="Q16">
            <v>2</v>
          </cell>
          <cell r="R16">
            <v>12</v>
          </cell>
        </row>
        <row r="17">
          <cell r="A17" t="str">
            <v>Nalgonda</v>
          </cell>
          <cell r="B17">
            <v>5.8986232929242561</v>
          </cell>
          <cell r="C17">
            <v>4.3959000000000001</v>
          </cell>
          <cell r="D17">
            <v>5.25</v>
          </cell>
          <cell r="E17">
            <v>0.85409999999999986</v>
          </cell>
          <cell r="F17">
            <v>1.25</v>
          </cell>
          <cell r="G17">
            <v>1.5286999999999999</v>
          </cell>
          <cell r="H17">
            <v>0.67460000000000009</v>
          </cell>
          <cell r="I17">
            <v>0.67460000000000009</v>
          </cell>
          <cell r="J17">
            <v>0.57539999999999991</v>
          </cell>
          <cell r="K17">
            <v>19</v>
          </cell>
          <cell r="L17">
            <v>4</v>
          </cell>
          <cell r="M17">
            <v>15</v>
          </cell>
          <cell r="N17">
            <v>13.366800000000001</v>
          </cell>
          <cell r="O17">
            <v>8.9709000000000003</v>
          </cell>
          <cell r="P17">
            <v>6</v>
          </cell>
          <cell r="Q17">
            <v>2</v>
          </cell>
          <cell r="R17">
            <v>13</v>
          </cell>
        </row>
        <row r="18">
          <cell r="A18" t="str">
            <v>Medak</v>
          </cell>
          <cell r="B18">
            <v>5.0158253982782224</v>
          </cell>
          <cell r="C18">
            <v>3.2407000000000004</v>
          </cell>
          <cell r="D18">
            <v>3.48</v>
          </cell>
          <cell r="E18">
            <v>0.23929999999999962</v>
          </cell>
          <cell r="F18">
            <v>0.7</v>
          </cell>
          <cell r="G18">
            <v>0.49380000000000002</v>
          </cell>
          <cell r="H18">
            <v>0.25450000000000039</v>
          </cell>
          <cell r="I18">
            <v>0.25450000000000039</v>
          </cell>
          <cell r="J18">
            <v>0.44549999999999956</v>
          </cell>
          <cell r="K18">
            <v>25</v>
          </cell>
          <cell r="L18">
            <v>11</v>
          </cell>
          <cell r="M18">
            <v>14</v>
          </cell>
          <cell r="N18">
            <v>10.869000000000002</v>
          </cell>
          <cell r="O18">
            <v>7.6283000000000012</v>
          </cell>
          <cell r="P18">
            <v>12</v>
          </cell>
          <cell r="Q18">
            <v>1</v>
          </cell>
          <cell r="R18">
            <v>13</v>
          </cell>
        </row>
        <row r="19">
          <cell r="A19" t="str">
            <v>Nizamabad</v>
          </cell>
          <cell r="B19">
            <v>5.1235943353648343</v>
          </cell>
          <cell r="C19">
            <v>5.4557999999999991</v>
          </cell>
          <cell r="D19">
            <v>5.2</v>
          </cell>
          <cell r="E19">
            <v>-0.25579999999999892</v>
          </cell>
          <cell r="F19">
            <v>2.15</v>
          </cell>
          <cell r="G19">
            <v>2.5670999999999999</v>
          </cell>
          <cell r="H19">
            <v>2.8228999999999989</v>
          </cell>
          <cell r="I19">
            <v>2.8228999999999989</v>
          </cell>
          <cell r="J19">
            <v>-0.67289999999999894</v>
          </cell>
          <cell r="K19">
            <v>23</v>
          </cell>
          <cell r="L19">
            <v>8</v>
          </cell>
          <cell r="M19">
            <v>15</v>
          </cell>
          <cell r="N19">
            <v>13.247999999999999</v>
          </cell>
          <cell r="O19">
            <v>7.7922000000000002</v>
          </cell>
          <cell r="P19">
            <v>11</v>
          </cell>
          <cell r="Q19">
            <v>3</v>
          </cell>
          <cell r="R19">
            <v>12</v>
          </cell>
        </row>
        <row r="20">
          <cell r="A20" t="str">
            <v>Warangal</v>
          </cell>
          <cell r="B20">
            <v>2.5385206553403421</v>
          </cell>
          <cell r="C20">
            <v>5.0892999999999997</v>
          </cell>
          <cell r="D20">
            <v>4.6349999999999998</v>
          </cell>
          <cell r="E20">
            <v>-0.45429999999999993</v>
          </cell>
          <cell r="F20">
            <v>1</v>
          </cell>
          <cell r="G20">
            <v>0.62909999999999999</v>
          </cell>
          <cell r="H20">
            <v>1.0833999999999999</v>
          </cell>
          <cell r="I20">
            <v>1.0833999999999999</v>
          </cell>
          <cell r="J20">
            <v>-8.3399999999999919E-2</v>
          </cell>
          <cell r="K20">
            <v>18</v>
          </cell>
          <cell r="L20">
            <v>9</v>
          </cell>
          <cell r="M20">
            <v>9</v>
          </cell>
          <cell r="N20">
            <v>8.9499999999999993</v>
          </cell>
          <cell r="O20">
            <v>3.8606999999999996</v>
          </cell>
          <cell r="P20">
            <v>9</v>
          </cell>
          <cell r="Q20">
            <v>0</v>
          </cell>
          <cell r="R20">
            <v>9</v>
          </cell>
        </row>
        <row r="21">
          <cell r="A21" t="str">
            <v>Khammam</v>
          </cell>
          <cell r="B21">
            <v>4.688573415434985</v>
          </cell>
          <cell r="C21">
            <v>2.2549000000000001</v>
          </cell>
          <cell r="D21">
            <v>2.8</v>
          </cell>
          <cell r="E21">
            <v>0.5450999999999997</v>
          </cell>
          <cell r="F21">
            <v>0.8</v>
          </cell>
          <cell r="G21">
            <v>1.0263</v>
          </cell>
          <cell r="H21">
            <v>0.48120000000000029</v>
          </cell>
          <cell r="I21">
            <v>0.48120000000000029</v>
          </cell>
          <cell r="J21">
            <v>0.31879999999999975</v>
          </cell>
          <cell r="K21">
            <v>17</v>
          </cell>
          <cell r="L21">
            <v>4</v>
          </cell>
          <cell r="M21">
            <v>13</v>
          </cell>
          <cell r="N21">
            <v>9.3855000000000004</v>
          </cell>
          <cell r="O21">
            <v>7.1306000000000003</v>
          </cell>
          <cell r="P21">
            <v>6</v>
          </cell>
          <cell r="Q21">
            <v>2</v>
          </cell>
          <cell r="R21">
            <v>11</v>
          </cell>
        </row>
        <row r="22">
          <cell r="A22" t="str">
            <v>Karimnagar</v>
          </cell>
          <cell r="B22">
            <v>0.74820179079228522</v>
          </cell>
          <cell r="C22">
            <v>4.7321</v>
          </cell>
          <cell r="D22">
            <v>4.95</v>
          </cell>
          <cell r="E22">
            <v>0.2179000000000002</v>
          </cell>
          <cell r="F22">
            <v>0.4</v>
          </cell>
          <cell r="G22">
            <v>0.38670000000000004</v>
          </cell>
          <cell r="H22">
            <v>0.16879999999999984</v>
          </cell>
          <cell r="I22">
            <v>0.16879999999999984</v>
          </cell>
          <cell r="J22">
            <v>0.23120000000000018</v>
          </cell>
          <cell r="K22">
            <v>14</v>
          </cell>
          <cell r="L22">
            <v>11</v>
          </cell>
          <cell r="M22">
            <v>3</v>
          </cell>
          <cell r="N22">
            <v>5.87</v>
          </cell>
          <cell r="O22">
            <v>1.1379000000000001</v>
          </cell>
          <cell r="P22">
            <v>13</v>
          </cell>
          <cell r="Q22">
            <v>2</v>
          </cell>
          <cell r="R22">
            <v>1</v>
          </cell>
        </row>
        <row r="23">
          <cell r="A23" t="str">
            <v>Adilabad</v>
          </cell>
          <cell r="B23">
            <v>2.8739917456490023</v>
          </cell>
          <cell r="C23">
            <v>1.7661000000000002</v>
          </cell>
          <cell r="D23">
            <v>1.9</v>
          </cell>
          <cell r="E23">
            <v>0.13389999999999969</v>
          </cell>
          <cell r="F23">
            <v>0.9</v>
          </cell>
          <cell r="G23">
            <v>0.93019999999999992</v>
          </cell>
          <cell r="H23">
            <v>0.79630000000000023</v>
          </cell>
          <cell r="I23">
            <v>0.79630000000000023</v>
          </cell>
          <cell r="J23">
            <v>0.10369999999999979</v>
          </cell>
          <cell r="K23">
            <v>11</v>
          </cell>
          <cell r="L23">
            <v>2</v>
          </cell>
          <cell r="M23">
            <v>9</v>
          </cell>
          <cell r="N23">
            <v>6.1370000000000005</v>
          </cell>
          <cell r="O23">
            <v>4.3709000000000007</v>
          </cell>
          <cell r="P23">
            <v>6</v>
          </cell>
          <cell r="Q23">
            <v>4</v>
          </cell>
          <cell r="R23">
            <v>5</v>
          </cell>
        </row>
      </sheetData>
      <sheetData sheetId="1" refreshError="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Data"/>
      <sheetName val="6.5%"/>
      <sheetName val="10%"/>
      <sheetName val="One vent Pipe"/>
      <sheetName val="Four vents"/>
      <sheetName val="two vents"/>
      <sheetName val="Lead"/>
      <sheetName val="Designs"/>
      <sheetName val="3Vents"/>
      <sheetName val="Abut"/>
      <sheetName val="Pier"/>
      <sheetName val="Speci"/>
      <sheetName val="One vent "/>
      <sheetName val="ewst"/>
      <sheetName val="r"/>
      <sheetName val="sectorwise"/>
      <sheetName val="bundqty"/>
      <sheetName val="ABS"/>
      <sheetName val="Plant _  Machinery"/>
      <sheetName val="maya"/>
      <sheetName val="v"/>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_vent_Pipe"/>
      <sheetName val="Four_vents"/>
      <sheetName val="two_vents"/>
      <sheetName val="One_vent_"/>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One_vent_Pipe1"/>
      <sheetName val="Four_vents1"/>
      <sheetName val="two_vents1"/>
      <sheetName val="One_vent_1"/>
      <sheetName val="Marteru"/>
      <sheetName val="Nspt-smp-final-ORIGINAL"/>
      <sheetName val="Usage "/>
      <sheetName val="Data o"/>
      <sheetName val="beam-reinft"/>
      <sheetName val="MRATES"/>
      <sheetName val="cert"/>
      <sheetName val="Specification"/>
      <sheetName val="leads"/>
      <sheetName val="PRECAST lightconc-II"/>
      <sheetName val="m"/>
      <sheetName val="Dormitory"/>
      <sheetName val="hdpe weights"/>
      <sheetName val="PVC weights"/>
      <sheetName val="index"/>
      <sheetName val="Input"/>
      <sheetName val="DATA-BASE"/>
      <sheetName val="DATA-ABSTRACT"/>
    </sheetNames>
    <sheetDataSet>
      <sheetData sheetId="0" refreshError="1"/>
      <sheetData sheetId="1" refreshError="1"/>
      <sheetData sheetId="2" refreshError="1">
        <row r="4">
          <cell r="G4">
            <v>196</v>
          </cell>
        </row>
        <row r="11">
          <cell r="G11">
            <v>150</v>
          </cell>
        </row>
        <row r="23">
          <cell r="G23">
            <v>600</v>
          </cell>
        </row>
      </sheetData>
      <sheetData sheetId="3" refreshError="1">
        <row r="3">
          <cell r="D3">
            <v>156</v>
          </cell>
        </row>
        <row r="5">
          <cell r="D5">
            <v>137</v>
          </cell>
        </row>
      </sheetData>
      <sheetData sheetId="4" refreshError="1">
        <row r="4">
          <cell r="D4">
            <v>852.89666666666676</v>
          </cell>
        </row>
        <row r="110">
          <cell r="D110">
            <v>18</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refreshError="1"/>
      <sheetData sheetId="133" refreshError="1"/>
      <sheetData sheetId="134"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1000000000000"/>
      <sheetName val="Day1"/>
      <sheetName val="Day2"/>
      <sheetName val="Day3"/>
      <sheetName val="Sheet1 (2)"/>
      <sheetName val="pav-des"/>
      <sheetName val="ccdes"/>
      <sheetName val="key"/>
      <sheetName val="Sheet11"/>
      <sheetName val="Spe"/>
      <sheetName val="cert"/>
      <sheetName val="curve"/>
      <sheetName val="Sheet10"/>
      <sheetName val="Sheet16"/>
      <sheetName val="Sheet15"/>
      <sheetName val="Sheet6"/>
      <sheetName val="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46">
          <cell r="D146">
            <v>0.2</v>
          </cell>
        </row>
      </sheetData>
      <sheetData sheetId="12" refreshError="1"/>
      <sheetData sheetId="13" refreshError="1"/>
      <sheetData sheetId="14" refreshError="1"/>
      <sheetData sheetId="15" refreshError="1">
        <row r="17">
          <cell r="D17">
            <v>106</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c"/>
      <sheetName val="st_est"/>
      <sheetName val="Completion"/>
      <sheetName val="Data"/>
      <sheetName val="Sch"/>
      <sheetName val="Material"/>
      <sheetName val="Labour"/>
      <sheetName val="Plant &amp;  Machinery"/>
      <sheetName val="Sheet1"/>
      <sheetName val="Nspt-smp-final-ORIGINAL"/>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
      <sheetName val="m1"/>
      <sheetName val="est"/>
      <sheetName val="she"/>
      <sheetName val="m4"/>
      <sheetName val="Global factors"/>
      <sheetName val="Plant &amp;  Machinery"/>
      <sheetName val="Material"/>
      <sheetName val="Labour"/>
      <sheetName val="Nspt-smp-final-ORIGINAL"/>
      <sheetName val="Data"/>
      <sheetName val="habs-list"/>
      <sheetName val="int-Dia"/>
      <sheetName val="nodes"/>
      <sheetName val="leads"/>
      <sheetName val="MRATES"/>
      <sheetName val="ewst"/>
    </sheetNames>
    <sheetDataSet>
      <sheetData sheetId="0">
        <row r="2">
          <cell r="A2" t="str">
            <v>Name of work: BT to road from Chennavaram to Mallavaram (via) Vutukuru.</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pm"/>
      <sheetName val="GM"/>
      <sheetName val="SRs"/>
      <sheetName val="SRs-Rev"/>
      <sheetName val="detls"/>
      <sheetName val="Sheet1"/>
      <sheetName val="Global factors"/>
      <sheetName val="HDPE-pipe-rates"/>
      <sheetName val="pvc-pipe-rates"/>
      <sheetName val="id"/>
      <sheetName val="HDPE"/>
      <sheetName val="DI"/>
      <sheetName val="pvc"/>
      <sheetName val="hdpe_basic"/>
      <sheetName val="pvc_basic"/>
      <sheetName val="m"/>
      <sheetName val="Nspt-smp-final-ORIGINAL"/>
      <sheetName val="ww-march-02"/>
      <sheetName val="DATA_PRG"/>
      <sheetName val="Summary"/>
      <sheetName val="Dormitory"/>
      <sheetName val="data existing_do not delete"/>
      <sheetName val="Road data"/>
      <sheetName val="data-WC"/>
      <sheetName val="r"/>
      <sheetName val="MRATES"/>
      <sheetName val="Labour"/>
      <sheetName val="Detailed"/>
      <sheetName val="ESTIMATE"/>
      <sheetName val="m1"/>
      <sheetName val="Sheet2"/>
      <sheetName val="sectorwise"/>
      <sheetName val="General"/>
      <sheetName val="hdpe weights"/>
      <sheetName val="PVC weights"/>
      <sheetName val="index"/>
      <sheetName val="habs-list"/>
      <sheetName val="nodes"/>
      <sheetName val="pop"/>
      <sheetName val="int-Dia"/>
      <sheetName val="LEADS"/>
      <sheetName val="data"/>
      <sheetName val="SSR 2014-15 Rates"/>
      <sheetName val="Lead statement"/>
      <sheetName val="Specification"/>
      <sheetName val="Sheet1 (2)"/>
      <sheetName val="Data_Base"/>
      <sheetName val="ewst"/>
      <sheetName val="Plant &amp;  Machinery"/>
      <sheetName val="Material"/>
      <sheetName val="Sheet6"/>
      <sheetName val="SUMP1420KL@HW"/>
      <sheetName val="Lead"/>
      <sheetName val="Det Est"/>
      <sheetName val="stone"/>
      <sheetName val="0000000000000"/>
      <sheetName val="Abs"/>
      <sheetName val="Rates"/>
      <sheetName val="b asic rates"/>
      <sheetName val="civ data"/>
      <sheetName val="v"/>
      <sheetName val="Rate"/>
      <sheetName val="BOQ"/>
      <sheetName val="economic PM"/>
      <sheetName val="WATER-HAMMER"/>
      <sheetName val="Data rough"/>
      <sheetName val="hdpe-rates"/>
      <sheetName val="pvc-rates"/>
      <sheetName val="Sheet5"/>
      <sheetName val="cpheeo"/>
      <sheetName val="wh_data_r"/>
      <sheetName val="Note"/>
      <sheetName val="Suppl-data"/>
      <sheetName val="9 Col"/>
      <sheetName val="G F  (2)"/>
      <sheetName val="ssr-rates"/>
      <sheetName val="Main sheet"/>
      <sheetName val="water-hammar-strenght"/>
      <sheetName val="_5wgdhabfinal00_01"/>
      <sheetName val="mlead"/>
      <sheetName val="AV-HDPE"/>
      <sheetName val="Di_gate-HDPE"/>
      <sheetName val="Rising Main"/>
      <sheetName val="Lead  RATES"/>
      <sheetName val="quarry"/>
      <sheetName val="maya"/>
      <sheetName val="MRoad data"/>
      <sheetName val="New33KVSS_E3"/>
      <sheetName val="Prop aug of Ex 33KVSS_E3a"/>
      <sheetName val="rdamdata"/>
      <sheetName val="beam-reinft"/>
      <sheetName val="Work_sheet"/>
      <sheetName val="RMR"/>
      <sheetName val="l"/>
      <sheetName val="THK"/>
      <sheetName val="BWSCPlt"/>
      <sheetName val="CI"/>
      <sheetName val="Data.F8.BTR"/>
      <sheetName val="G.R.P"/>
      <sheetName val="BM-HOOP"/>
      <sheetName val="PSC REVISED"/>
      <sheetName val="Bitumen trunk"/>
      <sheetName val="Feeder"/>
      <sheetName val="R99 etc"/>
      <sheetName val="Trunk unpaved"/>
      <sheetName val="LEAD (2)"/>
      <sheetName val="t_prsr"/>
      <sheetName val="wh"/>
      <sheetName val="HS 30.04.2015.Final"/>
      <sheetName val="bom"/>
      <sheetName val="FORM7"/>
      <sheetName val="Levels"/>
      <sheetName val="int-Dia-hdpe"/>
      <sheetName val="int-Dia-pvc"/>
      <sheetName val="Set"/>
      <sheetName val="Relig-place"/>
      <sheetName val="Code"/>
      <sheetName val="D2_CO"/>
      <sheetName val="Z1_DATA"/>
      <sheetName val="MHNO_LEV"/>
      <sheetName val="C-data for paint"/>
      <sheetName val="C-data"/>
      <sheetName val="lead-st"/>
      <sheetName val="457 COMP"/>
      <sheetName val="Habcodes"/>
      <sheetName val="RAFT"/>
      <sheetName val="DATA-BASE"/>
      <sheetName val="DATA-ABSTRACT"/>
      <sheetName val="Global_factors"/>
      <sheetName val="R_Det"/>
      <sheetName val="Data o"/>
      <sheetName val="labour rates"/>
      <sheetName val=" data sheet "/>
      <sheetName val="zone-2"/>
      <sheetName val="Iocount"/>
      <sheetName val="C.D.Abs.Est."/>
      <sheetName val="QTY"/>
      <sheetName val="Line"/>
      <sheetName val="Rates2"/>
      <sheetName val="Civil Boq"/>
      <sheetName val="sand"/>
      <sheetName val="Data_Bit_I"/>
      <sheetName val="Abstract (3)"/>
      <sheetName val="clvrt_data"/>
      <sheetName val="SSR 2015-16 Rates"/>
      <sheetName val="Estt"/>
      <sheetName val="Input"/>
      <sheetName val="coverpage"/>
      <sheetName val="Road data-TDR"/>
      <sheetName val="Cover"/>
      <sheetName val="bundqty"/>
      <sheetName val="Data 2"/>
      <sheetName val="ps1"/>
      <sheetName val="Sheet9"/>
      <sheetName val="Usage "/>
      <sheetName val="data_existing_do_not_delete"/>
      <sheetName val="Global_factors1"/>
      <sheetName val="data_existing_do_not_delete1"/>
      <sheetName val="segments-details"/>
      <sheetName val="Road Detail Est."/>
      <sheetName val="Footings"/>
      <sheetName val="Timesheet"/>
      <sheetName val="Rates SSR 2008-09"/>
      <sheetName val="GN-ST-10"/>
      <sheetName val="Gen.Abs."/>
      <sheetName val="Amortization Table"/>
      <sheetName val="Usage"/>
      <sheetName val="CivilOld"/>
      <sheetName val="PVC_dia"/>
      <sheetName val="AC"/>
      <sheetName val="AV-BWSC&amp;MS"/>
      <sheetName val="AV_AC"/>
      <sheetName val="AV-DI"/>
      <sheetName val="di_Gate_AC"/>
      <sheetName val="Digate-BWSCP-MS"/>
      <sheetName val="DI_gate_di"/>
      <sheetName val="scour-DI-CI"/>
      <sheetName val="scour-pvc-hdpe-psc-bwsc"/>
      <sheetName val="DISCOUNT"/>
      <sheetName val="mas_hab"/>
      <sheetName val="1) Volume - Calculation"/>
      <sheetName val="Common "/>
      <sheetName val="hdpe_weights"/>
      <sheetName val="PVC_weights"/>
      <sheetName val="Road_data"/>
      <sheetName val="economic_PM"/>
      <sheetName val="SSR_2014-15_Rates"/>
      <sheetName val="Lead_statement"/>
      <sheetName val="Sheet1_(2)"/>
      <sheetName val="Data_rough"/>
      <sheetName val="Plant_&amp;__Machinery"/>
      <sheetName val="Rising_Main"/>
      <sheetName val="b_asic_rates"/>
      <sheetName val="G_F__(2)"/>
      <sheetName val="Main_sheet"/>
      <sheetName val="Prop_aug_of_Ex_33KVSS_E3a"/>
      <sheetName val="Data_F8_BTR"/>
      <sheetName val="G_R_P"/>
      <sheetName val="PSC_REVISED"/>
      <sheetName val="Bitumen_trunk"/>
      <sheetName val="R99_etc"/>
      <sheetName val="Trunk_unpaved"/>
      <sheetName val="LEAD_(2)"/>
      <sheetName val="HS_30_04_2015_Final"/>
      <sheetName val="Det_Est"/>
      <sheetName val="civ_data"/>
      <sheetName val="Data_2"/>
      <sheetName val="wh_data"/>
      <sheetName val="OverviewBarmer"/>
      <sheetName val="20kL-design-final"/>
      <sheetName val="Main sheet F"/>
      <sheetName val="Quote Sheet"/>
    </sheetNames>
    <sheetDataSet>
      <sheetData sheetId="0">
        <row r="3">
          <cell r="B3">
            <v>2.5</v>
          </cell>
        </row>
      </sheetData>
      <sheetData sheetId="1"/>
      <sheetData sheetId="2"/>
      <sheetData sheetId="3"/>
      <sheetData sheetId="4"/>
      <sheetData sheetId="5" refreshError="1">
        <row r="3">
          <cell r="B3">
            <v>2.5</v>
          </cell>
          <cell r="C3">
            <v>4</v>
          </cell>
          <cell r="D3">
            <v>6</v>
          </cell>
          <cell r="E3">
            <v>10</v>
          </cell>
          <cell r="F3">
            <v>0</v>
          </cell>
          <cell r="G3">
            <v>2.5</v>
          </cell>
          <cell r="H3">
            <v>4</v>
          </cell>
          <cell r="I3">
            <v>6</v>
          </cell>
          <cell r="J3">
            <v>0</v>
          </cell>
          <cell r="K3">
            <v>10</v>
          </cell>
          <cell r="L3">
            <v>2.5</v>
          </cell>
          <cell r="M3">
            <v>4</v>
          </cell>
          <cell r="N3">
            <v>6</v>
          </cell>
          <cell r="O3">
            <v>10</v>
          </cell>
        </row>
        <row r="4">
          <cell r="A4">
            <v>63</v>
          </cell>
          <cell r="B4">
            <v>2.4</v>
          </cell>
          <cell r="C4">
            <v>3.5</v>
          </cell>
          <cell r="D4">
            <v>4.2</v>
          </cell>
          <cell r="E4">
            <v>6.6</v>
          </cell>
          <cell r="F4">
            <v>0</v>
          </cell>
          <cell r="G4">
            <v>58.2</v>
          </cell>
          <cell r="H4">
            <v>56</v>
          </cell>
          <cell r="I4">
            <v>54.6</v>
          </cell>
          <cell r="J4">
            <v>0</v>
          </cell>
          <cell r="K4">
            <v>49.8</v>
          </cell>
          <cell r="L4">
            <v>0.12077586999999999</v>
          </cell>
          <cell r="M4">
            <v>0.15987581000000001</v>
          </cell>
          <cell r="N4">
            <v>0.18601166999999999</v>
          </cell>
          <cell r="O4">
            <v>0.29011769999999998</v>
          </cell>
        </row>
        <row r="5">
          <cell r="A5">
            <v>75</v>
          </cell>
          <cell r="B5">
            <v>2.7</v>
          </cell>
          <cell r="C5">
            <v>4.2</v>
          </cell>
          <cell r="D5">
            <v>4.9000000000000004</v>
          </cell>
          <cell r="E5">
            <v>7.8</v>
          </cell>
          <cell r="F5">
            <v>0</v>
          </cell>
          <cell r="G5">
            <v>69.599999999999994</v>
          </cell>
          <cell r="H5">
            <v>66.599999999999994</v>
          </cell>
          <cell r="I5">
            <v>65.2</v>
          </cell>
          <cell r="J5">
            <v>0</v>
          </cell>
          <cell r="K5">
            <v>59.4</v>
          </cell>
          <cell r="L5">
            <v>8.1953520000000002E-2</v>
          </cell>
          <cell r="M5">
            <v>0.11352882</v>
          </cell>
          <cell r="N5">
            <v>0.12898462999999999</v>
          </cell>
          <cell r="O5">
            <v>0.20303246</v>
          </cell>
        </row>
        <row r="6">
          <cell r="A6">
            <v>90</v>
          </cell>
          <cell r="B6">
            <v>3.2</v>
          </cell>
          <cell r="C6">
            <v>5</v>
          </cell>
          <cell r="D6">
            <v>5.8</v>
          </cell>
          <cell r="E6">
            <v>9.3000000000000007</v>
          </cell>
          <cell r="F6">
            <v>0</v>
          </cell>
          <cell r="G6">
            <v>83.6</v>
          </cell>
          <cell r="H6">
            <v>80</v>
          </cell>
          <cell r="I6">
            <v>78.400000000000006</v>
          </cell>
          <cell r="J6">
            <v>0</v>
          </cell>
          <cell r="K6">
            <v>71.400000000000006</v>
          </cell>
          <cell r="L6">
            <v>5.6430769999999998E-2</v>
          </cell>
          <cell r="M6">
            <v>7.8339149999999996E-2</v>
          </cell>
          <cell r="N6">
            <v>8.8529919999999998E-2</v>
          </cell>
          <cell r="O6">
            <v>0.13998290999999999</v>
          </cell>
        </row>
        <row r="7">
          <cell r="A7">
            <v>110</v>
          </cell>
          <cell r="B7">
            <v>3.9</v>
          </cell>
          <cell r="C7">
            <v>6</v>
          </cell>
          <cell r="D7">
            <v>7.1</v>
          </cell>
          <cell r="E7">
            <v>11.2</v>
          </cell>
          <cell r="F7">
            <v>0</v>
          </cell>
          <cell r="G7">
            <v>102.2</v>
          </cell>
          <cell r="H7">
            <v>98</v>
          </cell>
          <cell r="I7">
            <v>95.8</v>
          </cell>
          <cell r="J7">
            <v>0</v>
          </cell>
          <cell r="K7">
            <v>87.6</v>
          </cell>
          <cell r="L7">
            <v>3.7702720000000002E-2</v>
          </cell>
          <cell r="M7">
            <v>5.1682600000000002E-2</v>
          </cell>
          <cell r="N7">
            <v>5.9342989999999998E-2</v>
          </cell>
          <cell r="O7">
            <v>9.2181170000000007E-2</v>
          </cell>
        </row>
        <row r="8">
          <cell r="A8">
            <v>125</v>
          </cell>
          <cell r="B8">
            <v>4.4000000000000004</v>
          </cell>
          <cell r="C8">
            <v>6.8</v>
          </cell>
          <cell r="D8">
            <v>8</v>
          </cell>
          <cell r="E8">
            <v>12.8</v>
          </cell>
          <cell r="F8">
            <v>0</v>
          </cell>
          <cell r="G8">
            <v>116.2</v>
          </cell>
          <cell r="H8">
            <v>111.4</v>
          </cell>
          <cell r="I8">
            <v>109</v>
          </cell>
          <cell r="J8">
            <v>0</v>
          </cell>
          <cell r="K8">
            <v>99.4</v>
          </cell>
          <cell r="L8">
            <v>2.9054E-2</v>
          </cell>
          <cell r="M8">
            <v>3.993874E-2</v>
          </cell>
          <cell r="N8">
            <v>4.5624539999999998E-2</v>
          </cell>
          <cell r="O8">
            <v>7.1837349999999994E-2</v>
          </cell>
        </row>
        <row r="9">
          <cell r="A9">
            <v>140</v>
          </cell>
          <cell r="B9">
            <v>4.9000000000000004</v>
          </cell>
          <cell r="C9">
            <v>7.6</v>
          </cell>
          <cell r="D9">
            <v>9</v>
          </cell>
          <cell r="E9">
            <v>14.3</v>
          </cell>
          <cell r="F9">
            <v>0</v>
          </cell>
          <cell r="G9">
            <v>130.19999999999999</v>
          </cell>
          <cell r="H9">
            <v>124.8</v>
          </cell>
          <cell r="I9">
            <v>122</v>
          </cell>
          <cell r="J9">
            <v>0</v>
          </cell>
          <cell r="K9">
            <v>111.4</v>
          </cell>
          <cell r="L9">
            <v>2.307209E-2</v>
          </cell>
          <cell r="M9">
            <v>3.1786050000000003E-2</v>
          </cell>
          <cell r="N9">
            <v>3.6509600000000003E-2</v>
          </cell>
          <cell r="O9">
            <v>5.710875E-2</v>
          </cell>
        </row>
        <row r="10">
          <cell r="A10">
            <v>160</v>
          </cell>
          <cell r="B10">
            <v>5.6</v>
          </cell>
          <cell r="C10">
            <v>8.6</v>
          </cell>
          <cell r="D10">
            <v>10.199999999999999</v>
          </cell>
          <cell r="E10">
            <v>16.3</v>
          </cell>
          <cell r="F10">
            <v>0</v>
          </cell>
          <cell r="G10">
            <v>148.80000000000001</v>
          </cell>
          <cell r="H10">
            <v>142.80000000000001</v>
          </cell>
          <cell r="I10">
            <v>139.6</v>
          </cell>
          <cell r="J10">
            <v>0</v>
          </cell>
          <cell r="K10">
            <v>127.4</v>
          </cell>
          <cell r="L10">
            <v>1.7664570000000001E-2</v>
          </cell>
          <cell r="M10">
            <v>2.4146649999999999E-2</v>
          </cell>
          <cell r="N10">
            <v>2.7754689999999999E-2</v>
          </cell>
          <cell r="O10">
            <v>4.3596910000000003E-2</v>
          </cell>
        </row>
        <row r="11">
          <cell r="A11">
            <v>180</v>
          </cell>
          <cell r="B11">
            <v>6.2</v>
          </cell>
          <cell r="C11">
            <v>9.6999999999999993</v>
          </cell>
          <cell r="D11">
            <v>11.5</v>
          </cell>
          <cell r="E11">
            <v>18.3</v>
          </cell>
          <cell r="F11">
            <v>0</v>
          </cell>
          <cell r="G11">
            <v>167.6</v>
          </cell>
          <cell r="H11">
            <v>160.6</v>
          </cell>
          <cell r="I11">
            <v>157</v>
          </cell>
          <cell r="J11">
            <v>0</v>
          </cell>
          <cell r="K11">
            <v>143.4</v>
          </cell>
          <cell r="L11">
            <v>1.38066E-2</v>
          </cell>
          <cell r="M11">
            <v>1.911763E-2</v>
          </cell>
          <cell r="N11">
            <v>2.1970139999999999E-2</v>
          </cell>
          <cell r="O11">
            <v>3.4369049999999998E-2</v>
          </cell>
        </row>
        <row r="12">
          <cell r="A12">
            <v>200</v>
          </cell>
          <cell r="B12">
            <v>6.9</v>
          </cell>
          <cell r="C12">
            <v>10.7</v>
          </cell>
          <cell r="D12">
            <v>12.7</v>
          </cell>
          <cell r="E12">
            <v>20.3</v>
          </cell>
          <cell r="F12">
            <v>0</v>
          </cell>
          <cell r="G12">
            <v>186.2</v>
          </cell>
          <cell r="H12">
            <v>178.6</v>
          </cell>
          <cell r="I12">
            <v>174.6</v>
          </cell>
          <cell r="J12">
            <v>0</v>
          </cell>
          <cell r="K12">
            <v>159.4</v>
          </cell>
          <cell r="L12">
            <v>1.119555E-2</v>
          </cell>
          <cell r="M12">
            <v>1.5397320000000001E-2</v>
          </cell>
          <cell r="N12">
            <v>1.7703989999999999E-2</v>
          </cell>
          <cell r="O12">
            <v>2.7788529999999999E-2</v>
          </cell>
        </row>
        <row r="13">
          <cell r="A13">
            <v>225</v>
          </cell>
          <cell r="B13">
            <v>7.7</v>
          </cell>
          <cell r="C13">
            <v>12</v>
          </cell>
          <cell r="D13">
            <v>14.3</v>
          </cell>
          <cell r="E13">
            <v>22.8</v>
          </cell>
          <cell r="F13">
            <v>0</v>
          </cell>
          <cell r="G13">
            <v>209.6</v>
          </cell>
          <cell r="H13">
            <v>201</v>
          </cell>
          <cell r="I13">
            <v>196.4</v>
          </cell>
          <cell r="J13">
            <v>0</v>
          </cell>
          <cell r="K13">
            <v>179.4</v>
          </cell>
          <cell r="L13">
            <v>8.7976600000000005E-3</v>
          </cell>
          <cell r="M13">
            <v>1.2136030000000001E-2</v>
          </cell>
          <cell r="N13">
            <v>1.3998689999999999E-2</v>
          </cell>
          <cell r="O13">
            <v>2.1916600000000001E-2</v>
          </cell>
        </row>
        <row r="14">
          <cell r="A14">
            <v>250</v>
          </cell>
          <cell r="B14">
            <v>8.6</v>
          </cell>
          <cell r="C14">
            <v>13.3</v>
          </cell>
          <cell r="D14">
            <v>15.8</v>
          </cell>
          <cell r="E14">
            <v>25.3</v>
          </cell>
          <cell r="F14">
            <v>0</v>
          </cell>
          <cell r="G14">
            <v>232.8</v>
          </cell>
          <cell r="H14">
            <v>223.4</v>
          </cell>
          <cell r="I14">
            <v>218.4</v>
          </cell>
          <cell r="J14">
            <v>0</v>
          </cell>
          <cell r="K14">
            <v>199.4</v>
          </cell>
          <cell r="L14">
            <v>7.1510999999999996E-3</v>
          </cell>
          <cell r="M14">
            <v>9.8109100000000008E-3</v>
          </cell>
          <cell r="N14">
            <v>1.128529E-2</v>
          </cell>
          <cell r="O14">
            <v>1.7726700000000001E-2</v>
          </cell>
        </row>
        <row r="15">
          <cell r="A15">
            <v>280</v>
          </cell>
          <cell r="B15">
            <v>9.6</v>
          </cell>
          <cell r="C15">
            <v>14.9</v>
          </cell>
          <cell r="D15">
            <v>17.7</v>
          </cell>
          <cell r="E15">
            <v>28.3</v>
          </cell>
          <cell r="F15">
            <v>0</v>
          </cell>
          <cell r="G15">
            <v>260.8</v>
          </cell>
          <cell r="H15">
            <v>250.2</v>
          </cell>
          <cell r="I15">
            <v>244.6</v>
          </cell>
          <cell r="J15">
            <v>0</v>
          </cell>
          <cell r="K15">
            <v>223.4</v>
          </cell>
          <cell r="L15">
            <v>5.6880000000000003E-3</v>
          </cell>
          <cell r="M15">
            <v>7.8228499999999992E-3</v>
          </cell>
          <cell r="N15">
            <v>8.9982800000000009E-3</v>
          </cell>
          <cell r="O15">
            <v>1.411185E-2</v>
          </cell>
        </row>
        <row r="16">
          <cell r="A16">
            <v>315</v>
          </cell>
          <cell r="B16">
            <v>10.7</v>
          </cell>
          <cell r="C16">
            <v>16.7</v>
          </cell>
          <cell r="D16">
            <v>20</v>
          </cell>
          <cell r="E16">
            <v>31.8</v>
          </cell>
          <cell r="F16">
            <v>0</v>
          </cell>
          <cell r="G16">
            <v>293.60000000000002</v>
          </cell>
          <cell r="H16">
            <v>281.60000000000002</v>
          </cell>
          <cell r="I16">
            <v>275</v>
          </cell>
          <cell r="J16">
            <v>0</v>
          </cell>
          <cell r="K16">
            <v>251.4</v>
          </cell>
          <cell r="L16">
            <v>4.4609999999999997E-3</v>
          </cell>
          <cell r="M16">
            <v>6.1629600000000003E-3</v>
          </cell>
          <cell r="N16">
            <v>7.13615E-3</v>
          </cell>
          <cell r="O16">
            <v>1.113565E-2</v>
          </cell>
        </row>
        <row r="17">
          <cell r="A17">
            <v>355</v>
          </cell>
          <cell r="B17">
            <v>12.1</v>
          </cell>
          <cell r="C17">
            <v>18.8</v>
          </cell>
          <cell r="D17">
            <v>22.3</v>
          </cell>
          <cell r="E17">
            <v>35.799999999999997</v>
          </cell>
          <cell r="F17">
            <v>0</v>
          </cell>
          <cell r="G17">
            <v>330.8</v>
          </cell>
          <cell r="H17">
            <v>317.39999999999998</v>
          </cell>
          <cell r="I17">
            <v>310.39999999999998</v>
          </cell>
          <cell r="J17">
            <v>0</v>
          </cell>
          <cell r="K17">
            <v>283.39999999999998</v>
          </cell>
          <cell r="L17">
            <v>3.52447E-3</v>
          </cell>
          <cell r="M17">
            <v>4.8482100000000004E-3</v>
          </cell>
          <cell r="N17">
            <v>5.5681400000000001E-3</v>
          </cell>
          <cell r="O17">
            <v>8.7573400000000006E-3</v>
          </cell>
        </row>
        <row r="18">
          <cell r="A18">
            <v>400</v>
          </cell>
          <cell r="B18">
            <v>14.2</v>
          </cell>
          <cell r="C18">
            <v>22.1</v>
          </cell>
          <cell r="D18">
            <v>26.3</v>
          </cell>
          <cell r="E18">
            <v>42.1</v>
          </cell>
          <cell r="F18">
            <v>0</v>
          </cell>
          <cell r="G18">
            <v>371.6</v>
          </cell>
          <cell r="H18">
            <v>355.8</v>
          </cell>
          <cell r="I18">
            <v>347.4</v>
          </cell>
          <cell r="J18">
            <v>0</v>
          </cell>
          <cell r="K18">
            <v>315.8</v>
          </cell>
          <cell r="L18">
            <v>2.8537599999999999E-3</v>
          </cell>
          <cell r="M18">
            <v>3.9485299999999996E-3</v>
          </cell>
          <cell r="N18">
            <v>4.5594399999999997E-3</v>
          </cell>
          <cell r="O18">
            <v>7.2346299999999997E-3</v>
          </cell>
        </row>
      </sheetData>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AAAAAAAAAAAAA"/>
      <sheetName val="ssr-rates"/>
      <sheetName val="Sheet2"/>
      <sheetName val="ew OG"/>
      <sheetName val="ew-DiMs"/>
      <sheetName val="PVC"/>
      <sheetName val="HDPE"/>
      <sheetName val="AC"/>
      <sheetName val="DI"/>
      <sheetName val="CI"/>
      <sheetName val="GRP"/>
      <sheetName val="ms 10 mm"/>
      <sheetName val="ms 8 mm"/>
      <sheetName val="ms 6 mm"/>
      <sheetName val="ms data"/>
      <sheetName val="BWSCP"/>
      <sheetName val="PSC"/>
      <sheetName val="MS"/>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Sheet1"/>
      <sheetName val="PVC weights"/>
      <sheetName val="data"/>
      <sheetName val="leads"/>
      <sheetName val="PSC -pv"/>
      <sheetName val="GRP-pv"/>
      <sheetName val="index"/>
      <sheetName val="HDPE-pipe-rates"/>
      <sheetName val="pvc-pipe-rates"/>
      <sheetName val="m"/>
      <sheetName val="detls"/>
      <sheetName val="Lead"/>
      <sheetName val="m1"/>
      <sheetName val="DATA_PRG"/>
      <sheetName val="0000000000000"/>
      <sheetName val="r"/>
      <sheetName val="9 Col"/>
      <sheetName val="Plant &amp;  Machinery"/>
      <sheetName val="Labour"/>
      <sheetName val="Material"/>
      <sheetName val="PVC_dia"/>
      <sheetName val="MS pipesfinal"/>
      <sheetName val="stone"/>
      <sheetName val="table"/>
      <sheetName val="Rates"/>
      <sheetName val="Road Detail Est."/>
      <sheetName val="Road data"/>
      <sheetName val="int-Dia-pvc"/>
      <sheetName val="water-hammar-strenght"/>
      <sheetName val="t_prsr"/>
      <sheetName val="wh"/>
      <sheetName val="WATER-HAMMER"/>
      <sheetName val="Cage 1X1"/>
      <sheetName val="GA"/>
      <sheetName val="BM-HOOP"/>
      <sheetName val="Habcodes"/>
      <sheetName val="economic PM"/>
      <sheetName val="Nspt-smp-final-ORIGINAL"/>
      <sheetName val="sectorwise"/>
      <sheetName val="v"/>
      <sheetName val="DATA-BASE"/>
      <sheetName val="DATA-ABSTRACT"/>
      <sheetName val="OSWI Qlfy"/>
      <sheetName val="AEOS Qlfy"/>
      <sheetName val="Plant _  Machinery"/>
      <sheetName val="LS_COLOR"/>
      <sheetName val="Quarry"/>
      <sheetName val="ewst"/>
      <sheetName val="habs-list"/>
      <sheetName val="int-Dia"/>
      <sheetName val="nodes"/>
      <sheetName val="data existing_do not delete"/>
      <sheetName val="Sheet3"/>
      <sheetName val="bundqty"/>
      <sheetName val="Global factors"/>
      <sheetName val="1-Pop Proj"/>
      <sheetName val="Data o"/>
      <sheetName val="Main sheet"/>
      <sheetName val="MTC-estimate"/>
      <sheetName val="ABS"/>
      <sheetName val="other rates"/>
      <sheetName val="pvc_basic"/>
      <sheetName val="int-Dia-hdpe"/>
      <sheetName val="Lead statement"/>
      <sheetName val="MRATES"/>
      <sheetName val="coverpage"/>
      <sheetName val="MRoad data"/>
      <sheetName val="BWSCPlt"/>
      <sheetName val="G.R.P"/>
      <sheetName val="PSC REVISED"/>
      <sheetName val="cert"/>
      <sheetName val="Cover"/>
      <sheetName val="zone-2"/>
      <sheetName val="Revised rates(SSR 2015-16)"/>
      <sheetName val="GT DUMP"/>
      <sheetName val="sancdump"/>
      <sheetName val="Lead(4380)"/>
      <sheetName val="Part-A"/>
      <sheetName val="rdamdata"/>
      <sheetName val="sp repOriginal"/>
      <sheetName val="Summary"/>
      <sheetName val="C-data"/>
      <sheetName val="PUMP_DATA"/>
      <sheetName val="DATA SHEET"/>
      <sheetName val="Data_Bit_I"/>
      <sheetName val="Bitumen trunk"/>
      <sheetName val="Feeder"/>
      <sheetName val="R99 etc"/>
      <sheetName val="Trunk unpaved"/>
      <sheetName val="ESTIMATE"/>
      <sheetName val="DATA-2005-06"/>
    </sheetNames>
    <sheetDataSet>
      <sheetData sheetId="0" refreshError="1"/>
      <sheetData sheetId="1" refreshError="1"/>
      <sheetData sheetId="2" refreshError="1"/>
      <sheetData sheetId="3"/>
      <sheetData sheetId="4"/>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row r="1">
          <cell r="B1" t="str">
            <v>Id</v>
          </cell>
          <cell r="C1" t="str">
            <v>Dia</v>
          </cell>
          <cell r="D1" t="str">
            <v>Class</v>
          </cell>
          <cell r="E1" t="str">
            <v>Weight of Pipe (Kgs/mtr)</v>
          </cell>
          <cell r="F1" t="str">
            <v>SSR Rate 08-09</v>
          </cell>
        </row>
        <row r="2">
          <cell r="B2" t="str">
            <v>a11010</v>
          </cell>
          <cell r="C2">
            <v>110</v>
          </cell>
          <cell r="D2">
            <v>10</v>
          </cell>
          <cell r="E2">
            <v>3.1240000000000001</v>
          </cell>
          <cell r="F2">
            <v>377</v>
          </cell>
        </row>
        <row r="3">
          <cell r="B3" t="str">
            <v>a1104</v>
          </cell>
          <cell r="C3">
            <v>110</v>
          </cell>
          <cell r="D3">
            <v>4</v>
          </cell>
          <cell r="E3">
            <v>1.4530000000000001</v>
          </cell>
          <cell r="F3">
            <v>175</v>
          </cell>
        </row>
        <row r="4">
          <cell r="B4" t="str">
            <v>a1106</v>
          </cell>
          <cell r="C4">
            <v>110</v>
          </cell>
          <cell r="D4">
            <v>6</v>
          </cell>
          <cell r="E4">
            <v>2.0670000000000002</v>
          </cell>
          <cell r="F4">
            <v>250</v>
          </cell>
        </row>
        <row r="5">
          <cell r="B5" t="str">
            <v>a1108</v>
          </cell>
          <cell r="C5">
            <v>110</v>
          </cell>
          <cell r="D5">
            <v>8</v>
          </cell>
          <cell r="E5">
            <v>2.6269999999999998</v>
          </cell>
          <cell r="F5">
            <v>317</v>
          </cell>
        </row>
        <row r="6">
          <cell r="B6" t="str">
            <v>a12510</v>
          </cell>
          <cell r="C6">
            <v>125</v>
          </cell>
          <cell r="D6">
            <v>10</v>
          </cell>
          <cell r="E6">
            <v>4.0510000000000002</v>
          </cell>
          <cell r="F6">
            <v>489</v>
          </cell>
        </row>
        <row r="7">
          <cell r="B7" t="str">
            <v>a1254</v>
          </cell>
          <cell r="C7">
            <v>125</v>
          </cell>
          <cell r="D7">
            <v>4</v>
          </cell>
          <cell r="E7">
            <v>1.8640000000000001</v>
          </cell>
          <cell r="F7">
            <v>225</v>
          </cell>
        </row>
        <row r="8">
          <cell r="B8" t="str">
            <v>a1256</v>
          </cell>
          <cell r="C8">
            <v>125</v>
          </cell>
          <cell r="D8">
            <v>6</v>
          </cell>
          <cell r="E8">
            <v>2.6459999999999999</v>
          </cell>
          <cell r="F8">
            <v>320</v>
          </cell>
        </row>
        <row r="9">
          <cell r="B9" t="str">
            <v>a1258</v>
          </cell>
          <cell r="C9">
            <v>125</v>
          </cell>
          <cell r="D9">
            <v>8</v>
          </cell>
          <cell r="E9">
            <v>3.379</v>
          </cell>
          <cell r="F9">
            <v>408</v>
          </cell>
        </row>
        <row r="10">
          <cell r="B10" t="str">
            <v>a14010</v>
          </cell>
          <cell r="C10">
            <v>140</v>
          </cell>
          <cell r="D10">
            <v>10</v>
          </cell>
          <cell r="E10">
            <v>5.08</v>
          </cell>
          <cell r="F10">
            <v>614</v>
          </cell>
        </row>
        <row r="11">
          <cell r="B11" t="str">
            <v>a1404</v>
          </cell>
          <cell r="C11">
            <v>140</v>
          </cell>
          <cell r="D11">
            <v>4</v>
          </cell>
          <cell r="E11">
            <v>2.3079999999999998</v>
          </cell>
          <cell r="F11">
            <v>279</v>
          </cell>
        </row>
        <row r="12">
          <cell r="B12" t="str">
            <v>a1406</v>
          </cell>
          <cell r="C12">
            <v>140</v>
          </cell>
          <cell r="D12">
            <v>6</v>
          </cell>
          <cell r="E12">
            <v>3.3140000000000001</v>
          </cell>
          <cell r="F12">
            <v>400</v>
          </cell>
        </row>
        <row r="13">
          <cell r="B13" t="str">
            <v>a1408</v>
          </cell>
          <cell r="C13">
            <v>140</v>
          </cell>
          <cell r="D13">
            <v>8</v>
          </cell>
          <cell r="E13">
            <v>4.2249999999999996</v>
          </cell>
          <cell r="F13">
            <v>510</v>
          </cell>
        </row>
        <row r="14">
          <cell r="B14" t="str">
            <v>a16010</v>
          </cell>
          <cell r="C14">
            <v>160</v>
          </cell>
          <cell r="D14">
            <v>10</v>
          </cell>
          <cell r="E14">
            <v>6.6219999999999999</v>
          </cell>
          <cell r="F14">
            <v>800</v>
          </cell>
        </row>
        <row r="15">
          <cell r="B15" t="str">
            <v>a1604</v>
          </cell>
          <cell r="C15">
            <v>160</v>
          </cell>
          <cell r="D15">
            <v>4</v>
          </cell>
          <cell r="E15">
            <v>3.024</v>
          </cell>
          <cell r="F15">
            <v>365</v>
          </cell>
        </row>
        <row r="16">
          <cell r="B16" t="str">
            <v>a1606</v>
          </cell>
          <cell r="C16">
            <v>160</v>
          </cell>
          <cell r="D16">
            <v>6</v>
          </cell>
          <cell r="E16">
            <v>4.3230000000000004</v>
          </cell>
          <cell r="F16">
            <v>522</v>
          </cell>
        </row>
        <row r="17">
          <cell r="B17" t="str">
            <v>a1608</v>
          </cell>
          <cell r="C17">
            <v>160</v>
          </cell>
          <cell r="D17">
            <v>8</v>
          </cell>
          <cell r="E17">
            <v>5.5069999999999997</v>
          </cell>
          <cell r="F17">
            <v>665</v>
          </cell>
        </row>
        <row r="18">
          <cell r="B18" t="str">
            <v>a18010</v>
          </cell>
          <cell r="C18">
            <v>180</v>
          </cell>
          <cell r="D18">
            <v>10</v>
          </cell>
          <cell r="E18">
            <v>8.3680000000000003</v>
          </cell>
          <cell r="F18">
            <v>1011</v>
          </cell>
        </row>
        <row r="19">
          <cell r="B19" t="str">
            <v>a1804</v>
          </cell>
          <cell r="C19">
            <v>180</v>
          </cell>
          <cell r="D19">
            <v>4</v>
          </cell>
          <cell r="E19">
            <v>3.8119999999999998</v>
          </cell>
          <cell r="F19">
            <v>460</v>
          </cell>
        </row>
        <row r="20">
          <cell r="B20" t="str">
            <v>a1806</v>
          </cell>
          <cell r="C20">
            <v>180</v>
          </cell>
          <cell r="D20">
            <v>6</v>
          </cell>
          <cell r="E20">
            <v>5.4420000000000002</v>
          </cell>
          <cell r="F20">
            <v>657</v>
          </cell>
        </row>
        <row r="21">
          <cell r="B21" t="str">
            <v>a1808</v>
          </cell>
          <cell r="C21">
            <v>180</v>
          </cell>
          <cell r="D21">
            <v>8</v>
          </cell>
          <cell r="E21">
            <v>6.9809999999999999</v>
          </cell>
          <cell r="F21">
            <v>843</v>
          </cell>
        </row>
        <row r="22">
          <cell r="B22" t="str">
            <v>a20010</v>
          </cell>
          <cell r="C22">
            <v>200</v>
          </cell>
          <cell r="D22">
            <v>10</v>
          </cell>
          <cell r="E22">
            <v>10.317</v>
          </cell>
          <cell r="F22">
            <v>1246</v>
          </cell>
        </row>
        <row r="23">
          <cell r="B23" t="str">
            <v>a2004</v>
          </cell>
          <cell r="C23">
            <v>200</v>
          </cell>
          <cell r="D23">
            <v>4</v>
          </cell>
          <cell r="E23">
            <v>4.6630000000000003</v>
          </cell>
          <cell r="F23">
            <v>563</v>
          </cell>
        </row>
        <row r="24">
          <cell r="B24" t="str">
            <v>a2006</v>
          </cell>
          <cell r="C24">
            <v>200</v>
          </cell>
          <cell r="D24">
            <v>6</v>
          </cell>
          <cell r="E24">
            <v>6.7409999999999997</v>
          </cell>
          <cell r="F24">
            <v>814</v>
          </cell>
        </row>
        <row r="25">
          <cell r="B25" t="str">
            <v>a2008</v>
          </cell>
          <cell r="C25">
            <v>200</v>
          </cell>
          <cell r="D25">
            <v>8</v>
          </cell>
          <cell r="E25">
            <v>8.6050000000000004</v>
          </cell>
          <cell r="F25">
            <v>1039</v>
          </cell>
        </row>
        <row r="26">
          <cell r="B26" t="str">
            <v>a22510</v>
          </cell>
          <cell r="C26">
            <v>225</v>
          </cell>
          <cell r="D26">
            <v>10</v>
          </cell>
          <cell r="E26">
            <v>13.054</v>
          </cell>
          <cell r="F26">
            <v>1624</v>
          </cell>
        </row>
        <row r="27">
          <cell r="B27" t="str">
            <v>a2254</v>
          </cell>
          <cell r="C27">
            <v>225</v>
          </cell>
          <cell r="D27">
            <v>4</v>
          </cell>
          <cell r="E27">
            <v>5.9169999999999998</v>
          </cell>
          <cell r="F27">
            <v>736</v>
          </cell>
        </row>
        <row r="28">
          <cell r="B28" t="str">
            <v>a2256</v>
          </cell>
          <cell r="C28">
            <v>225</v>
          </cell>
          <cell r="D28">
            <v>6</v>
          </cell>
          <cell r="E28">
            <v>8.4960000000000004</v>
          </cell>
          <cell r="F28">
            <v>1057</v>
          </cell>
        </row>
        <row r="29">
          <cell r="B29" t="str">
            <v>a2258</v>
          </cell>
          <cell r="C29">
            <v>225</v>
          </cell>
          <cell r="D29">
            <v>8</v>
          </cell>
          <cell r="E29">
            <v>10.852</v>
          </cell>
          <cell r="F29">
            <v>1350</v>
          </cell>
        </row>
        <row r="30">
          <cell r="B30" t="str">
            <v>a25010</v>
          </cell>
          <cell r="C30">
            <v>250</v>
          </cell>
          <cell r="D30">
            <v>10</v>
          </cell>
          <cell r="E30">
            <v>16.113</v>
          </cell>
          <cell r="F30">
            <v>2005</v>
          </cell>
        </row>
        <row r="31">
          <cell r="B31" t="str">
            <v>a2504</v>
          </cell>
          <cell r="C31">
            <v>250</v>
          </cell>
          <cell r="D31">
            <v>4</v>
          </cell>
          <cell r="E31">
            <v>7.3209999999999997</v>
          </cell>
          <cell r="F31">
            <v>911</v>
          </cell>
        </row>
        <row r="32">
          <cell r="B32" t="str">
            <v>a2506</v>
          </cell>
          <cell r="C32">
            <v>250</v>
          </cell>
          <cell r="D32">
            <v>6</v>
          </cell>
          <cell r="E32">
            <v>10.484999999999999</v>
          </cell>
          <cell r="F32">
            <v>1301</v>
          </cell>
        </row>
        <row r="33">
          <cell r="B33" t="str">
            <v>a2508</v>
          </cell>
          <cell r="C33">
            <v>250</v>
          </cell>
          <cell r="D33">
            <v>8</v>
          </cell>
          <cell r="E33">
            <v>13.420999999999999</v>
          </cell>
          <cell r="F33">
            <v>1670</v>
          </cell>
        </row>
        <row r="34">
          <cell r="B34" t="str">
            <v>a28010</v>
          </cell>
          <cell r="C34">
            <v>280</v>
          </cell>
          <cell r="D34">
            <v>10</v>
          </cell>
          <cell r="E34">
            <v>20.117999999999999</v>
          </cell>
          <cell r="F34">
            <v>2512</v>
          </cell>
        </row>
        <row r="35">
          <cell r="B35" t="str">
            <v>a2804</v>
          </cell>
          <cell r="C35">
            <v>280</v>
          </cell>
          <cell r="D35">
            <v>4</v>
          </cell>
          <cell r="E35">
            <v>9.1170000000000009</v>
          </cell>
          <cell r="F35">
            <v>1135</v>
          </cell>
        </row>
        <row r="36">
          <cell r="B36" t="str">
            <v>a2806</v>
          </cell>
          <cell r="C36">
            <v>280</v>
          </cell>
          <cell r="D36">
            <v>6</v>
          </cell>
          <cell r="E36">
            <v>13.111000000000001</v>
          </cell>
          <cell r="F36">
            <v>1631</v>
          </cell>
        </row>
        <row r="37">
          <cell r="B37" t="str">
            <v>a2808</v>
          </cell>
          <cell r="C37">
            <v>280</v>
          </cell>
          <cell r="D37">
            <v>8</v>
          </cell>
          <cell r="E37">
            <v>16.795000000000002</v>
          </cell>
          <cell r="F37">
            <v>2090</v>
          </cell>
        </row>
        <row r="38">
          <cell r="B38" t="str">
            <v>a31510</v>
          </cell>
          <cell r="C38">
            <v>315</v>
          </cell>
          <cell r="D38">
            <v>10</v>
          </cell>
          <cell r="E38">
            <v>25.541</v>
          </cell>
          <cell r="F38">
            <v>3178</v>
          </cell>
        </row>
        <row r="39">
          <cell r="B39" t="str">
            <v>a3154</v>
          </cell>
          <cell r="C39">
            <v>315</v>
          </cell>
          <cell r="D39">
            <v>4</v>
          </cell>
          <cell r="E39">
            <v>11.598000000000001</v>
          </cell>
          <cell r="F39">
            <v>1443</v>
          </cell>
        </row>
        <row r="40">
          <cell r="B40" t="str">
            <v>a3156</v>
          </cell>
          <cell r="C40">
            <v>315</v>
          </cell>
          <cell r="D40">
            <v>6</v>
          </cell>
          <cell r="E40">
            <v>16.594000000000001</v>
          </cell>
          <cell r="F40">
            <v>2068</v>
          </cell>
        </row>
        <row r="41">
          <cell r="B41" t="str">
            <v>a3158</v>
          </cell>
          <cell r="C41">
            <v>315</v>
          </cell>
          <cell r="D41">
            <v>8</v>
          </cell>
          <cell r="E41">
            <v>21.260999999999999</v>
          </cell>
          <cell r="F41">
            <v>2646</v>
          </cell>
        </row>
        <row r="42">
          <cell r="B42" t="str">
            <v>a6310</v>
          </cell>
          <cell r="C42">
            <v>63</v>
          </cell>
          <cell r="D42">
            <v>10</v>
          </cell>
          <cell r="E42">
            <v>1.044</v>
          </cell>
          <cell r="F42">
            <v>126</v>
          </cell>
        </row>
        <row r="43">
          <cell r="B43" t="str">
            <v>a634</v>
          </cell>
          <cell r="C43">
            <v>63</v>
          </cell>
          <cell r="D43">
            <v>4</v>
          </cell>
          <cell r="E43">
            <v>0.49099999999999999</v>
          </cell>
          <cell r="F43">
            <v>59</v>
          </cell>
        </row>
        <row r="44">
          <cell r="B44" t="str">
            <v>a636</v>
          </cell>
          <cell r="C44">
            <v>63</v>
          </cell>
          <cell r="D44">
            <v>6</v>
          </cell>
          <cell r="E44">
            <v>0.68300000000000005</v>
          </cell>
          <cell r="F44">
            <v>83</v>
          </cell>
        </row>
        <row r="45">
          <cell r="B45" t="str">
            <v>a638</v>
          </cell>
          <cell r="C45">
            <v>63</v>
          </cell>
          <cell r="D45">
            <v>8</v>
          </cell>
          <cell r="E45">
            <v>0.86799999999999999</v>
          </cell>
          <cell r="F45">
            <v>105</v>
          </cell>
        </row>
        <row r="46">
          <cell r="B46" t="str">
            <v>a7510</v>
          </cell>
          <cell r="C46">
            <v>75</v>
          </cell>
          <cell r="D46">
            <v>10</v>
          </cell>
          <cell r="E46">
            <v>1.474</v>
          </cell>
          <cell r="F46">
            <v>178</v>
          </cell>
        </row>
        <row r="47">
          <cell r="B47" t="str">
            <v>a754</v>
          </cell>
          <cell r="C47">
            <v>75</v>
          </cell>
          <cell r="D47">
            <v>4</v>
          </cell>
          <cell r="E47">
            <v>0.67100000000000004</v>
          </cell>
          <cell r="F47">
            <v>81</v>
          </cell>
        </row>
        <row r="48">
          <cell r="B48" t="str">
            <v>a756</v>
          </cell>
          <cell r="C48">
            <v>75</v>
          </cell>
          <cell r="D48">
            <v>6</v>
          </cell>
          <cell r="E48">
            <v>0.97</v>
          </cell>
          <cell r="F48">
            <v>117</v>
          </cell>
        </row>
        <row r="49">
          <cell r="B49" t="str">
            <v>a758</v>
          </cell>
          <cell r="C49">
            <v>75</v>
          </cell>
          <cell r="D49">
            <v>8</v>
          </cell>
          <cell r="E49">
            <v>1.228</v>
          </cell>
          <cell r="F49">
            <v>148</v>
          </cell>
        </row>
        <row r="50">
          <cell r="B50" t="str">
            <v>a9010</v>
          </cell>
          <cell r="C50">
            <v>90</v>
          </cell>
          <cell r="D50">
            <v>10</v>
          </cell>
          <cell r="E50">
            <v>2.1080000000000001</v>
          </cell>
          <cell r="F50">
            <v>255</v>
          </cell>
        </row>
        <row r="51">
          <cell r="B51" t="str">
            <v>a904</v>
          </cell>
          <cell r="C51">
            <v>90</v>
          </cell>
          <cell r="D51">
            <v>4</v>
          </cell>
          <cell r="E51">
            <v>0.97099999999999997</v>
          </cell>
          <cell r="F51">
            <v>117</v>
          </cell>
        </row>
        <row r="52">
          <cell r="B52" t="str">
            <v>a906</v>
          </cell>
          <cell r="C52">
            <v>90</v>
          </cell>
          <cell r="D52">
            <v>6</v>
          </cell>
          <cell r="E52">
            <v>1.3779999999999999</v>
          </cell>
          <cell r="F52">
            <v>166</v>
          </cell>
        </row>
        <row r="53">
          <cell r="B53" t="str">
            <v>a908</v>
          </cell>
          <cell r="C53">
            <v>90</v>
          </cell>
          <cell r="D53">
            <v>8</v>
          </cell>
          <cell r="E53">
            <v>1.756</v>
          </cell>
          <cell r="F53">
            <v>212</v>
          </cell>
        </row>
      </sheetData>
      <sheetData sheetId="30" refreshError="1"/>
      <sheetData sheetId="31" refreshError="1"/>
      <sheetData sheetId="32" refreshError="1">
        <row r="1">
          <cell r="B1" t="str">
            <v>Id</v>
          </cell>
          <cell r="C1" t="str">
            <v>Dia</v>
          </cell>
          <cell r="D1" t="str">
            <v>Class</v>
          </cell>
          <cell r="E1" t="str">
            <v>Weight of Pipe (Kgs/mtr)</v>
          </cell>
          <cell r="F1" t="str">
            <v>SSR08-09</v>
          </cell>
        </row>
        <row r="2">
          <cell r="B2" t="str">
            <v>a11010</v>
          </cell>
          <cell r="C2">
            <v>110</v>
          </cell>
          <cell r="D2">
            <v>10</v>
          </cell>
          <cell r="E2">
            <v>3.0619999999999998</v>
          </cell>
          <cell r="F2">
            <v>223.3</v>
          </cell>
        </row>
        <row r="3">
          <cell r="B3" t="str">
            <v>a1104</v>
          </cell>
          <cell r="C3">
            <v>110</v>
          </cell>
          <cell r="D3">
            <v>4</v>
          </cell>
          <cell r="E3">
            <v>1.323</v>
          </cell>
          <cell r="F3">
            <v>97.3</v>
          </cell>
        </row>
        <row r="4">
          <cell r="B4" t="str">
            <v>a1106</v>
          </cell>
          <cell r="C4">
            <v>110</v>
          </cell>
          <cell r="D4">
            <v>6</v>
          </cell>
          <cell r="E4">
            <v>1.9019999999999999</v>
          </cell>
          <cell r="F4">
            <v>138.1</v>
          </cell>
        </row>
        <row r="5">
          <cell r="B5" t="str">
            <v>a12510</v>
          </cell>
          <cell r="C5">
            <v>125</v>
          </cell>
          <cell r="D5">
            <v>10</v>
          </cell>
          <cell r="E5">
            <v>3.9289999999999998</v>
          </cell>
          <cell r="F5">
            <v>291.8</v>
          </cell>
        </row>
        <row r="6">
          <cell r="B6" t="str">
            <v>a1254</v>
          </cell>
          <cell r="C6">
            <v>125</v>
          </cell>
          <cell r="D6">
            <v>4</v>
          </cell>
          <cell r="E6">
            <v>1.722</v>
          </cell>
          <cell r="F6">
            <v>126.9</v>
          </cell>
        </row>
        <row r="7">
          <cell r="B7" t="str">
            <v>a1256</v>
          </cell>
          <cell r="C7">
            <v>125</v>
          </cell>
          <cell r="D7">
            <v>6</v>
          </cell>
          <cell r="E7">
            <v>2.5110000000000001</v>
          </cell>
          <cell r="F7">
            <v>174.9</v>
          </cell>
        </row>
        <row r="8">
          <cell r="B8" t="str">
            <v>a14010</v>
          </cell>
          <cell r="C8">
            <v>140</v>
          </cell>
          <cell r="D8">
            <v>10</v>
          </cell>
          <cell r="E8">
            <v>4.9050000000000002</v>
          </cell>
          <cell r="F8">
            <v>359.6</v>
          </cell>
        </row>
        <row r="9">
          <cell r="B9" t="str">
            <v>a1404</v>
          </cell>
          <cell r="C9">
            <v>140</v>
          </cell>
          <cell r="D9">
            <v>4</v>
          </cell>
          <cell r="E9">
            <v>2.1440000000000001</v>
          </cell>
          <cell r="F9">
            <v>158.1</v>
          </cell>
        </row>
        <row r="10">
          <cell r="B10" t="str">
            <v>a1406</v>
          </cell>
          <cell r="C10">
            <v>140</v>
          </cell>
          <cell r="D10">
            <v>6</v>
          </cell>
          <cell r="E10">
            <v>3.1160000000000001</v>
          </cell>
          <cell r="F10">
            <v>226.3</v>
          </cell>
        </row>
        <row r="11">
          <cell r="B11" t="str">
            <v>a16010</v>
          </cell>
          <cell r="C11">
            <v>160</v>
          </cell>
          <cell r="D11">
            <v>10</v>
          </cell>
          <cell r="E11">
            <v>6.4139999999999997</v>
          </cell>
          <cell r="F11">
            <v>474.3</v>
          </cell>
        </row>
        <row r="12">
          <cell r="B12" t="str">
            <v>a1604</v>
          </cell>
          <cell r="C12">
            <v>160</v>
          </cell>
          <cell r="D12">
            <v>4</v>
          </cell>
          <cell r="E12">
            <v>2.7989999999999999</v>
          </cell>
          <cell r="F12">
            <v>208.5</v>
          </cell>
        </row>
        <row r="13">
          <cell r="B13" t="str">
            <v>a1606</v>
          </cell>
          <cell r="C13">
            <v>160</v>
          </cell>
          <cell r="D13">
            <v>6</v>
          </cell>
          <cell r="E13">
            <v>4.0119999999999996</v>
          </cell>
          <cell r="F13">
            <v>293.89999999999998</v>
          </cell>
        </row>
        <row r="14">
          <cell r="B14" t="str">
            <v>a18010</v>
          </cell>
          <cell r="C14">
            <v>180</v>
          </cell>
          <cell r="D14">
            <v>10</v>
          </cell>
          <cell r="E14">
            <v>8.0920000000000005</v>
          </cell>
          <cell r="F14">
            <v>607.4</v>
          </cell>
        </row>
        <row r="15">
          <cell r="B15" t="str">
            <v>a1804</v>
          </cell>
          <cell r="C15">
            <v>180</v>
          </cell>
          <cell r="D15">
            <v>4</v>
          </cell>
          <cell r="E15">
            <v>3.581</v>
          </cell>
          <cell r="F15">
            <v>266</v>
          </cell>
        </row>
        <row r="16">
          <cell r="B16" t="str">
            <v>a1806</v>
          </cell>
          <cell r="C16">
            <v>180</v>
          </cell>
          <cell r="D16">
            <v>6</v>
          </cell>
          <cell r="E16">
            <v>5.1340000000000003</v>
          </cell>
          <cell r="F16">
            <v>379.8</v>
          </cell>
        </row>
        <row r="17">
          <cell r="B17" t="str">
            <v>a20010</v>
          </cell>
          <cell r="C17">
            <v>200</v>
          </cell>
          <cell r="D17">
            <v>10</v>
          </cell>
          <cell r="E17">
            <v>10.000999999999999</v>
          </cell>
          <cell r="F17">
            <v>738</v>
          </cell>
        </row>
        <row r="18">
          <cell r="B18" t="str">
            <v>a2004</v>
          </cell>
          <cell r="C18">
            <v>200</v>
          </cell>
          <cell r="D18">
            <v>4</v>
          </cell>
          <cell r="E18">
            <v>4.3310000000000004</v>
          </cell>
          <cell r="F18">
            <v>323.39999999999998</v>
          </cell>
        </row>
        <row r="19">
          <cell r="B19" t="str">
            <v>a2006</v>
          </cell>
          <cell r="C19">
            <v>200</v>
          </cell>
          <cell r="D19">
            <v>6</v>
          </cell>
          <cell r="E19">
            <v>6.351</v>
          </cell>
          <cell r="F19">
            <v>461</v>
          </cell>
        </row>
        <row r="20">
          <cell r="B20" t="str">
            <v>a22510</v>
          </cell>
          <cell r="C20">
            <v>225</v>
          </cell>
          <cell r="D20">
            <v>10</v>
          </cell>
          <cell r="E20">
            <v>12.675000000000001</v>
          </cell>
          <cell r="F20">
            <v>974.4</v>
          </cell>
        </row>
        <row r="21">
          <cell r="B21" t="str">
            <v>a2254</v>
          </cell>
          <cell r="C21">
            <v>225</v>
          </cell>
          <cell r="D21">
            <v>4</v>
          </cell>
          <cell r="E21">
            <v>5.5110000000000001</v>
          </cell>
          <cell r="F21">
            <v>423.7</v>
          </cell>
        </row>
        <row r="22">
          <cell r="B22" t="str">
            <v>a2256</v>
          </cell>
          <cell r="C22">
            <v>225</v>
          </cell>
          <cell r="D22">
            <v>6</v>
          </cell>
          <cell r="E22">
            <v>7.9749999999999996</v>
          </cell>
          <cell r="F22">
            <v>612</v>
          </cell>
        </row>
        <row r="23">
          <cell r="B23" t="str">
            <v>a25010</v>
          </cell>
          <cell r="C23">
            <v>250</v>
          </cell>
          <cell r="D23">
            <v>10</v>
          </cell>
          <cell r="E23">
            <v>15.686</v>
          </cell>
          <cell r="F23">
            <v>1196.7</v>
          </cell>
        </row>
        <row r="24">
          <cell r="B24" t="str">
            <v>a2504</v>
          </cell>
          <cell r="C24">
            <v>250</v>
          </cell>
          <cell r="D24">
            <v>4</v>
          </cell>
          <cell r="E24">
            <v>6.6740000000000004</v>
          </cell>
          <cell r="F24">
            <v>495.2</v>
          </cell>
        </row>
        <row r="25">
          <cell r="B25" t="str">
            <v>a2506</v>
          </cell>
          <cell r="C25">
            <v>250</v>
          </cell>
          <cell r="D25">
            <v>6</v>
          </cell>
          <cell r="E25">
            <v>9.8859999999999992</v>
          </cell>
          <cell r="F25">
            <v>760.2</v>
          </cell>
        </row>
        <row r="26">
          <cell r="B26" t="str">
            <v>a28010</v>
          </cell>
          <cell r="C26">
            <v>280</v>
          </cell>
          <cell r="D26">
            <v>10</v>
          </cell>
          <cell r="E26">
            <v>19.616</v>
          </cell>
          <cell r="F26">
            <v>1515.4</v>
          </cell>
        </row>
        <row r="27">
          <cell r="B27" t="str">
            <v>a2804</v>
          </cell>
          <cell r="C27">
            <v>280</v>
          </cell>
          <cell r="D27">
            <v>4</v>
          </cell>
          <cell r="E27">
            <v>8.4529999999999994</v>
          </cell>
          <cell r="F27">
            <v>650.5</v>
          </cell>
        </row>
        <row r="28">
          <cell r="B28" t="str">
            <v>a2806</v>
          </cell>
          <cell r="C28">
            <v>280</v>
          </cell>
          <cell r="D28">
            <v>6</v>
          </cell>
          <cell r="E28">
            <v>12.404</v>
          </cell>
          <cell r="F28">
            <v>958.3</v>
          </cell>
        </row>
        <row r="29">
          <cell r="B29" t="str">
            <v>a31510</v>
          </cell>
          <cell r="C29">
            <v>315</v>
          </cell>
          <cell r="D29">
            <v>10</v>
          </cell>
          <cell r="E29">
            <v>24.731999999999999</v>
          </cell>
          <cell r="F29">
            <v>1911.7</v>
          </cell>
        </row>
        <row r="30">
          <cell r="B30" t="str">
            <v>a3154</v>
          </cell>
          <cell r="C30">
            <v>315</v>
          </cell>
          <cell r="D30">
            <v>4</v>
          </cell>
          <cell r="E30">
            <v>10.682</v>
          </cell>
          <cell r="F30">
            <v>825.7</v>
          </cell>
        </row>
        <row r="31">
          <cell r="B31" t="str">
            <v>a3156</v>
          </cell>
          <cell r="C31">
            <v>315</v>
          </cell>
          <cell r="D31">
            <v>6</v>
          </cell>
          <cell r="E31">
            <v>15.723000000000001</v>
          </cell>
          <cell r="F31">
            <v>1204</v>
          </cell>
        </row>
        <row r="32">
          <cell r="B32" t="str">
            <v>a6310</v>
          </cell>
          <cell r="C32">
            <v>63</v>
          </cell>
          <cell r="D32">
            <v>10</v>
          </cell>
          <cell r="E32">
            <v>1.01</v>
          </cell>
          <cell r="F32">
            <v>73.5</v>
          </cell>
        </row>
        <row r="33">
          <cell r="B33" t="str">
            <v>a634</v>
          </cell>
          <cell r="C33">
            <v>63</v>
          </cell>
          <cell r="D33">
            <v>4</v>
          </cell>
          <cell r="E33">
            <v>0.46800000000000003</v>
          </cell>
          <cell r="F33">
            <v>33.5</v>
          </cell>
        </row>
        <row r="34">
          <cell r="B34" t="str">
            <v>a636</v>
          </cell>
          <cell r="C34">
            <v>63</v>
          </cell>
          <cell r="D34">
            <v>6</v>
          </cell>
          <cell r="E34">
            <v>0.66600000000000004</v>
          </cell>
          <cell r="F34">
            <v>47.7</v>
          </cell>
        </row>
        <row r="35">
          <cell r="B35" t="str">
            <v>a7510</v>
          </cell>
          <cell r="C35">
            <v>75</v>
          </cell>
          <cell r="D35">
            <v>10</v>
          </cell>
          <cell r="E35">
            <v>1.4390000000000001</v>
          </cell>
          <cell r="F35">
            <v>104.9</v>
          </cell>
        </row>
        <row r="36">
          <cell r="B36" t="str">
            <v>a754</v>
          </cell>
          <cell r="C36">
            <v>75</v>
          </cell>
          <cell r="D36">
            <v>4</v>
          </cell>
          <cell r="E36">
            <v>0.65500000000000003</v>
          </cell>
          <cell r="F36">
            <v>47.8</v>
          </cell>
        </row>
        <row r="37">
          <cell r="B37" t="str">
            <v>a756</v>
          </cell>
          <cell r="C37">
            <v>75</v>
          </cell>
          <cell r="D37">
            <v>6</v>
          </cell>
          <cell r="E37">
            <v>0.92300000000000004</v>
          </cell>
          <cell r="F37">
            <v>66.5</v>
          </cell>
        </row>
        <row r="38">
          <cell r="B38" t="str">
            <v>a9010</v>
          </cell>
          <cell r="C38">
            <v>90</v>
          </cell>
          <cell r="D38">
            <v>10</v>
          </cell>
          <cell r="E38">
            <v>2.032</v>
          </cell>
          <cell r="F38">
            <v>148.69999999999999</v>
          </cell>
        </row>
        <row r="39">
          <cell r="B39" t="str">
            <v>a904</v>
          </cell>
          <cell r="C39">
            <v>90</v>
          </cell>
          <cell r="D39">
            <v>4</v>
          </cell>
          <cell r="E39">
            <v>0.92400000000000004</v>
          </cell>
          <cell r="F39">
            <v>67.400000000000006</v>
          </cell>
        </row>
        <row r="40">
          <cell r="B40" t="str">
            <v>a906</v>
          </cell>
          <cell r="C40">
            <v>90</v>
          </cell>
          <cell r="D40">
            <v>6</v>
          </cell>
          <cell r="E40">
            <v>1.321</v>
          </cell>
          <cell r="F40">
            <v>95.3</v>
          </cell>
        </row>
      </sheetData>
      <sheetData sheetId="33"/>
      <sheetData sheetId="34" refreshError="1"/>
      <sheetData sheetId="35" refreshError="1"/>
      <sheetData sheetId="36" refreshError="1"/>
      <sheetData sheetId="37" refreshError="1">
        <row r="1">
          <cell r="A1" t="str">
            <v>1999-2000</v>
          </cell>
          <cell r="B1" t="str">
            <v>1998-1999</v>
          </cell>
          <cell r="C1" t="str">
            <v>1997-1998</v>
          </cell>
          <cell r="D1" t="str">
            <v>2000-2001</v>
          </cell>
          <cell r="E1" t="str">
            <v>2001-2002</v>
          </cell>
          <cell r="F1" t="str">
            <v>2002-2003</v>
          </cell>
          <cell r="G1" t="str">
            <v>2003-2004</v>
          </cell>
          <cell r="H1" t="str">
            <v>2004-2005</v>
          </cell>
          <cell r="I1" t="str">
            <v>2005-2006</v>
          </cell>
          <cell r="J1" t="str">
            <v>2006-2007</v>
          </cell>
          <cell r="K1" t="str">
            <v>2007-2008</v>
          </cell>
          <cell r="L1" t="str">
            <v>2008-2009</v>
          </cell>
          <cell r="M1" t="str">
            <v>2009-2010</v>
          </cell>
        </row>
        <row r="2">
          <cell r="K2">
            <v>6</v>
          </cell>
          <cell r="L2">
            <v>7</v>
          </cell>
          <cell r="M2">
            <v>8</v>
          </cell>
        </row>
      </sheetData>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m"/>
      <sheetName val="hdpe weights"/>
      <sheetName val="PVC weights"/>
      <sheetName val="index"/>
      <sheetName val="detls"/>
      <sheetName val="HDPE-pipe-rates"/>
      <sheetName val="pvc-pipe-ra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7">
          <cell r="D17">
            <v>689.98</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ewst"/>
      <sheetName val="maya"/>
      <sheetName val="Material"/>
      <sheetName val="ABS"/>
      <sheetName val="m"/>
      <sheetName val="sectorwise"/>
      <sheetName val="Plant &amp;  Machinery"/>
      <sheetName val="r"/>
      <sheetName val="hdpe weights"/>
      <sheetName val="PVC weights"/>
      <sheetName val="index"/>
      <sheetName val="leads"/>
      <sheetName val="DISCOUNT"/>
      <sheetName val="DATA-ABSTRACT"/>
      <sheetName val="Quarry"/>
      <sheetName val="ESTIMATE"/>
      <sheetName val="Sheet2"/>
      <sheetName val="v"/>
      <sheetName val="DATA-CD (New)"/>
      <sheetName val="Data"/>
      <sheetName val="SUMP1420KL@HW"/>
      <sheetName val="Levels"/>
      <sheetName val="HDPE-pipe-rates"/>
      <sheetName val="pvc-pipe-rates"/>
      <sheetName val="Rates SSR 2008-09"/>
      <sheetName val="0000000000000"/>
      <sheetName val="cert"/>
      <sheetName val="Usage"/>
      <sheetName val="DATA-BASE"/>
      <sheetName val="9 Col"/>
      <sheetName val="DATA_PRG"/>
      <sheetName val="Nspt-smp-final-ORIGINAL"/>
      <sheetName val="BM-HOOP"/>
      <sheetName val="detls"/>
      <sheetName val="Data o"/>
      <sheetName val="Lead  RATES"/>
      <sheetName val="labour coeff"/>
      <sheetName val="Lead statement ss5"/>
      <sheetName val="Cover-MEstt_"/>
      <sheetName val="ABST(PART_B)_"/>
      <sheetName val="F6-Gnrl_Abstrt"/>
      <sheetName val="Data_F8_BTR"/>
      <sheetName val="sub-data_-no_full"/>
      <sheetName val="Diff_stmnt_(2)"/>
      <sheetName val="Cover-MEstt_1"/>
      <sheetName val="ABST(PART_B)_1"/>
      <sheetName val="F6-Gnrl_Abstrt1"/>
      <sheetName val="Data_F8_BTR1"/>
      <sheetName val="sub-data_-no_full1"/>
      <sheetName val="Diff_stmnt_(2)1"/>
      <sheetName val="m1"/>
      <sheetName val="Abstract Estmate "/>
      <sheetName val="lead rates SSR"/>
      <sheetName val="RMR"/>
      <sheetName val="ssr-rates"/>
      <sheetName val="Sheet3"/>
      <sheetName val="Sheet1 (2)"/>
      <sheetName val="Bitumen trunk"/>
      <sheetName val="Feeder"/>
      <sheetName val="R99 etc"/>
      <sheetName val="Trunk unpaved"/>
      <sheetName val="Mp-team 1"/>
      <sheetName val="Road Detail Est."/>
      <sheetName val="Road data"/>
      <sheetName val="Calendar"/>
      <sheetName val="MRATES"/>
      <sheetName val="int-Dia-hdpe"/>
      <sheetName val="habs-list"/>
      <sheetName val="int-Dia-pvc"/>
      <sheetName val="segments-details"/>
      <sheetName val="MRoad data"/>
      <sheetName val="PUMP_DATA"/>
      <sheetName val="Sheet9"/>
      <sheetName val="Gen abst (2)"/>
      <sheetName val="abs road"/>
      <sheetName val="R_Det"/>
      <sheetName val="other rates"/>
      <sheetName val="CS "/>
      <sheetName val="labour rates"/>
      <sheetName val="Headings"/>
      <sheetName val="Basement Budget"/>
      <sheetName val="HDPE"/>
      <sheetName val="pvc_basic"/>
      <sheetName val="mlead"/>
      <sheetName val="DI"/>
      <sheetName val="pvc"/>
      <sheetName val="hdpe_basic"/>
      <sheetName val="bundqty"/>
      <sheetName val="Work_sheet"/>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9"/>
      <sheetName val="cc-data"/>
      <sheetName val="CC roads"/>
      <sheetName val="mtt"/>
      <sheetName val="METT.ROADS"/>
      <sheetName val="SIDE DRAIN"/>
      <sheetName val="Sheet1"/>
      <sheetName val="Sheet2"/>
      <sheetName val="Sheet6"/>
      <sheetName val="Sheet3"/>
      <sheetName val="Sheet4"/>
      <sheetName val="Sheet7 (2)"/>
      <sheetName val="Sheet7"/>
      <sheetName val="Sheet10"/>
      <sheetName val="Sheet5"/>
      <sheetName val="Sheet11"/>
      <sheetName val="Sheet1 (2)"/>
      <sheetName val="m"/>
      <sheetName val="Material"/>
      <sheetName val="Iocount"/>
      <sheetName val="Lead"/>
      <sheetName val="CC_roads"/>
      <sheetName val="METT_ROADS"/>
      <sheetName val="SIDE_DRAIN"/>
      <sheetName val="Sheet7_(2)"/>
      <sheetName val="Sheet1_(2)"/>
      <sheetName val="MRATES"/>
      <sheetName val="Nspt-smp-final-ORIGINAL"/>
      <sheetName val="leads"/>
      <sheetName val="ESTIMATE"/>
      <sheetName val="Data"/>
      <sheetName val="Plant &amp;  Machinery"/>
      <sheetName val="r"/>
      <sheetName val="Labour"/>
      <sheetName val="hdpe-rates"/>
      <sheetName val="hdpe weights"/>
      <sheetName val="ssr-rates"/>
      <sheetName val="pvc-rates"/>
      <sheetName val="PVC weights"/>
      <sheetName val="detls"/>
      <sheetName val="Data_Bit_I"/>
      <sheetName val="RMR"/>
      <sheetName val="BWSCPlt"/>
      <sheetName val="CI"/>
      <sheetName val="DI"/>
      <sheetName val="G.R.P"/>
      <sheetName val="HDPE"/>
      <sheetName val="PSC REVISED"/>
      <sheetName val="pvc"/>
      <sheetName val="habs-list"/>
      <sheetName val="nodes"/>
      <sheetName val="Quarry"/>
      <sheetName val="DET R"/>
      <sheetName val="GROUND FLOOR"/>
      <sheetName val="Mp-team 1"/>
      <sheetName val="Data base"/>
      <sheetName val="DISCOUNT"/>
      <sheetName val="int-Dia"/>
      <sheetName val="Lead statement"/>
      <sheetName val="index"/>
      <sheetName val="maya"/>
      <sheetName val="Usage"/>
      <sheetName val="m1"/>
      <sheetName val="int-Dia-hdpe"/>
      <sheetName val="int-Dia-pvc"/>
      <sheetName val="segments-details"/>
      <sheetName val="HDPE-pipe-rates"/>
      <sheetName val="pvc-pipe-rates"/>
      <sheetName val="0000000000000"/>
      <sheetName val="Indices"/>
      <sheetName val="Road data"/>
      <sheetName val="Road Detail Est."/>
      <sheetName val="pvc_basic"/>
      <sheetName val="GF SB Ok "/>
      <sheetName val="GBW"/>
      <sheetName val="Estimate "/>
      <sheetName val="Data.F8.BTR"/>
      <sheetName val="t_prsr"/>
      <sheetName val="id"/>
      <sheetName val="Bridge Data 2005-06"/>
      <sheetName val="CC_roads1"/>
      <sheetName val="METT_ROADS1"/>
      <sheetName val="SIDE_DRAIN1"/>
      <sheetName val="Sheet7_(2)1"/>
      <sheetName val="Sheet1_(2)1"/>
      <sheetName val="Plant_&amp;__Machinery"/>
      <sheetName val="hdpe_weights"/>
      <sheetName val="PVC_weights"/>
      <sheetName val="G_R_P"/>
      <sheetName val="PSC_REVISED"/>
      <sheetName val="Mp-team_1"/>
      <sheetName val="GROUND_FLOOR"/>
      <sheetName val="DET_R"/>
      <sheetName val="Data_base"/>
      <sheetName val="Data_F8_BTR"/>
      <sheetName val="Bridge_Data_2005-06"/>
      <sheetName val="CC_roads2"/>
      <sheetName val="METT_ROADS2"/>
      <sheetName val="SIDE_DRAIN2"/>
      <sheetName val="Sheet7_(2)2"/>
      <sheetName val="Sheet1_(2)2"/>
      <sheetName val="Plant_&amp;__Machinery1"/>
      <sheetName val="hdpe_weights1"/>
      <sheetName val="PVC_weights1"/>
      <sheetName val="G_R_P1"/>
      <sheetName val="PSC_REVISED1"/>
      <sheetName val="Mp-team_11"/>
      <sheetName val="GROUND_FLOOR1"/>
      <sheetName val="DET_R1"/>
      <sheetName val="l"/>
      <sheetName val="data existing_do not dele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refreshError="1"/>
      <sheetData sheetId="108" refreshError="1"/>
      <sheetData sheetId="109" refreshError="1"/>
      <sheetData sheetId="110"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Sheet3"/>
      <sheetName val="Chapter-13"/>
      <sheetName val="Chapter-14"/>
      <sheetName val="Chapter-15"/>
      <sheetName val="Summary"/>
      <sheetName val="Abbreviations"/>
      <sheetName val="Sheet2"/>
      <sheetName val="ewst"/>
      <sheetName val="Sheet5"/>
      <sheetName val="Lead"/>
      <sheetName val="Nspt-smp-final-ORIGINAL"/>
      <sheetName val="L040"/>
      <sheetName val="Data"/>
      <sheetName val="Sheet1 (2)"/>
      <sheetName val="int-Dia-hdpe"/>
      <sheetName val="habs-list"/>
      <sheetName val="int-Dia-pvc"/>
      <sheetName val="segments-details"/>
      <sheetName val="r"/>
      <sheetName val="leads"/>
      <sheetName val="v"/>
      <sheetName val="Work_sheet"/>
      <sheetName val="RAFT"/>
      <sheetName val="scour depth"/>
      <sheetName val="Data.F8.BTR"/>
      <sheetName val="0000000000000"/>
      <sheetName val="cert"/>
      <sheetName val="mlead"/>
      <sheetName val="Data base"/>
      <sheetName val="ESTT"/>
      <sheetName val=" General abs"/>
      <sheetName val="maya"/>
      <sheetName val="m"/>
      <sheetName val="SUMP1420KL@HW"/>
      <sheetName val="NonSSR"/>
      <sheetName val="bundqty"/>
      <sheetName val="DATA_PRG"/>
      <sheetName val="Iocount"/>
      <sheetName val="RMR"/>
      <sheetName val="MRATES"/>
      <sheetName val="MRoad data"/>
      <sheetName val="Plant_&amp;__Machinery"/>
      <sheetName val="Summary_of_Rates"/>
      <sheetName val="Basic_Approach"/>
      <sheetName val="Sheet1_(2)"/>
      <sheetName val="Plant_&amp;__Machinery1"/>
      <sheetName val="Summary_of_Rates1"/>
      <sheetName val="Basic_Approach1"/>
      <sheetName val="Sheet1_(2)1"/>
      <sheetName val="WATER-HAMMER"/>
      <sheetName val="IO LIST"/>
      <sheetName val="Levels"/>
      <sheetName val="Lead statement"/>
      <sheetName val="Rates"/>
      <sheetName val="Road data"/>
      <sheetName val="Convey"/>
      <sheetName val="Common "/>
      <sheetName val="data existing_do not delete"/>
      <sheetName val="Wordsdata"/>
      <sheetName val="FORM7"/>
      <sheetName val="Estimate "/>
      <sheetName val="boredetails"/>
      <sheetName val="3V 6mt "/>
      <sheetName val="Road Detail Est."/>
      <sheetName val="Specification"/>
      <sheetName val="Footings"/>
      <sheetName val="elect."/>
      <sheetName val="Exp"/>
      <sheetName val="Publicbuilding"/>
      <sheetName val="scour_depth"/>
      <sheetName val="Data_F8_BTR"/>
      <sheetName val="Data_Renuals"/>
      <sheetName val="abs road"/>
      <sheetName val="l"/>
      <sheetName val="Road dam"/>
      <sheetName val="3V 1000PC "/>
      <sheetName val="1V 3mt"/>
      <sheetName val="DISCOUNT"/>
      <sheetName val="int-Dia"/>
      <sheetName val="quarry"/>
      <sheetName val="labour &amp; Centering"/>
      <sheetName val="BTR"/>
      <sheetName val="Main sheet"/>
      <sheetName val="lead-st"/>
      <sheetName val="rdamdata"/>
      <sheetName val="nodes"/>
      <sheetName val="DREV"/>
      <sheetName val="CREV"/>
      <sheetName val="C-data"/>
      <sheetName val="1V800"/>
      <sheetName val="Civil-works"/>
      <sheetName val="C.D.Abs.Est."/>
      <sheetName val="sup dat"/>
      <sheetName val="detls"/>
      <sheetName val="HDPE-pipe-rates"/>
      <sheetName val="pvc-pipe-rates"/>
      <sheetName val="R_Det"/>
      <sheetName val="water-hammar-strenght"/>
      <sheetName val="Abs_CD_2"/>
      <sheetName val="coverpage"/>
      <sheetName val="road est"/>
      <sheetName val="ECV"/>
    </sheetNames>
    <sheetDataSet>
      <sheetData sheetId="0">
        <row r="6">
          <cell r="D6">
            <v>156</v>
          </cell>
        </row>
      </sheetData>
      <sheetData sheetId="1">
        <row r="3">
          <cell r="D3" t="str">
            <v>Input Rate</v>
          </cell>
        </row>
      </sheetData>
      <sheetData sheetId="2"/>
      <sheetData sheetId="3" refreshError="1"/>
      <sheetData sheetId="4" refreshError="1">
        <row r="3">
          <cell r="D3" t="str">
            <v>Input Rate</v>
          </cell>
        </row>
        <row r="88">
          <cell r="D8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cert"/>
      <sheetName val="Lead"/>
      <sheetName val="Labour"/>
      <sheetName val="Lead statement ss5"/>
      <sheetName val="maya"/>
      <sheetName val="Material"/>
      <sheetName val="Sheet5"/>
      <sheetName val="Plant &amp;  Machinery"/>
      <sheetName val="Iocount"/>
      <sheetName val="int-Dia"/>
      <sheetName val="habs-list"/>
      <sheetName val="nodes"/>
      <sheetName val="m"/>
      <sheetName val="DATA_PRG"/>
      <sheetName val="SUMP1420KL@HW"/>
      <sheetName val="Sheet1 (2)"/>
      <sheetName val="MRATES"/>
      <sheetName val="Wordsdata"/>
      <sheetName val="detls"/>
      <sheetName val="Sheet3"/>
      <sheetName val="3V 6mt "/>
      <sheetName val="Levels"/>
      <sheetName val="3V 1000PC "/>
      <sheetName val="1V 3mt"/>
      <sheetName val="Road dam"/>
      <sheetName val="hdpe weights"/>
      <sheetName val="PVC weights"/>
      <sheetName val="index"/>
      <sheetName val="Quarry"/>
      <sheetName val="int-Dia-hdpe"/>
      <sheetName val="int-Dia-pvc"/>
      <sheetName val="segments-details"/>
      <sheetName val="ESTT"/>
      <sheetName val="Input"/>
      <sheetName val="Usage"/>
      <sheetName val="87.Gazinagar"/>
      <sheetName val="HDPE-pipe-rates"/>
      <sheetName val="pvc-pipe-rates"/>
      <sheetName val="r"/>
      <sheetName val="CDdata_(2)"/>
      <sheetName val="CDdata_(2)1"/>
      <sheetName val="data existing_do not delete"/>
      <sheetName val="labour coeff"/>
      <sheetName val="Boq"/>
      <sheetName val="MRoad data"/>
      <sheetName val="Basement Budget"/>
      <sheetName val="Indices"/>
      <sheetName val="DISCOUNT"/>
      <sheetName val="ABS"/>
      <sheetName val="Sheet2"/>
      <sheetName val="RMR"/>
      <sheetName val="Sheet1_(2)"/>
      <sheetName val="RATE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sheetData sheetId="4">
        <row r="117">
          <cell r="D117"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18">
          <cell r="D118">
            <v>4581.2</v>
          </cell>
        </row>
      </sheetData>
      <sheetData sheetId="12" refreshError="1"/>
      <sheetData sheetId="13" refreshError="1"/>
      <sheetData sheetId="14" refreshError="1"/>
      <sheetData sheetId="15" refreshError="1">
        <row r="17">
          <cell r="D17">
            <v>106</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Lead statement"/>
      <sheetName val="Conveyance"/>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Chapt%r-2"/>
      <sheetName val="Plant _  Machinery"/>
      <sheetName val="Lead"/>
      <sheetName val="Plant_&amp;__Machinery"/>
      <sheetName val="Lead_statement"/>
      <sheetName val="Summary_of_Rates"/>
      <sheetName val="Basic_Approach"/>
      <sheetName val="Plant_&amp;__Machinery1"/>
      <sheetName val="Lead_statement1"/>
      <sheetName val="Summary_of_Rates1"/>
      <sheetName val="Basic_Approach1"/>
      <sheetName val="ewst"/>
      <sheetName val="m"/>
      <sheetName val="v"/>
      <sheetName val="Plant_&amp;__Machinery2"/>
      <sheetName val="Lead_statement2"/>
      <sheetName val="Summary_of_Rates2"/>
      <sheetName val="Basic_Approach2"/>
      <sheetName val="Plant____Machinery"/>
      <sheetName val="t_prsr"/>
      <sheetName val="wh"/>
      <sheetName val="leads"/>
      <sheetName val="HDPE-pipe-rates"/>
      <sheetName val="pvc-pipe-rates"/>
      <sheetName val="hdpe weights"/>
      <sheetName val="PVC weights"/>
      <sheetName val="index"/>
      <sheetName val="Sheet1 (2)"/>
      <sheetName val="MRATES"/>
      <sheetName val="Common "/>
      <sheetName val="Iocount"/>
      <sheetName val="RMR"/>
      <sheetName val="Sheet5"/>
      <sheetName val="hdpe-rates"/>
      <sheetName val="pvc-rates"/>
      <sheetName val="int-Dia-hdpe"/>
      <sheetName val="int-Dia-pvc"/>
      <sheetName val="DATA_PRG"/>
      <sheetName val="ssr-rates"/>
      <sheetName val="detls"/>
      <sheetName val="r"/>
      <sheetName val="FORM7"/>
      <sheetName val="habs-list"/>
      <sheetName val="nodes"/>
      <sheetName val="Data"/>
      <sheetName val="Plant 㫨  Machinery"/>
      <sheetName val="Plant_㫨__Machinery"/>
      <sheetName val="Plant_㫨__Machinery1"/>
      <sheetName val="Plant_㫨__Machinery2"/>
      <sheetName val="Data.F8.BTR"/>
      <sheetName val="mlead"/>
      <sheetName val="maya"/>
      <sheetName val="Sheet3"/>
      <sheetName val="Specification report"/>
      <sheetName val="data existing_do not delete"/>
      <sheetName val="lable I"/>
      <sheetName val="SSR 2014-15 Rates"/>
      <sheetName val="l"/>
      <sheetName val="PS1"/>
      <sheetName val="Plant_&amp;__Machinery6"/>
      <sheetName val="Lead_statement6"/>
      <sheetName val="Summary_of_Rates6"/>
      <sheetName val="Basic_Approach6"/>
      <sheetName val="Plant____Machinery3"/>
      <sheetName val="Sheet1_(2)2"/>
      <sheetName val="Common_2"/>
      <sheetName val="hdpe_weights2"/>
      <sheetName val="PVC_weights2"/>
      <sheetName val="Plant_&amp;__Machinery4"/>
      <sheetName val="Lead_statement4"/>
      <sheetName val="Summary_of_Rates4"/>
      <sheetName val="Basic_Approach4"/>
      <sheetName val="Plant_&amp;__Machinery3"/>
      <sheetName val="Lead_statement3"/>
      <sheetName val="Summary_of_Rates3"/>
      <sheetName val="Basic_Approach3"/>
      <sheetName val="Plant____Machinery1"/>
      <sheetName val="Sheet1_(2)"/>
      <sheetName val="Common_"/>
      <sheetName val="hdpe_weights"/>
      <sheetName val="PVC_weights"/>
      <sheetName val="Plant_&amp;__Machinery5"/>
      <sheetName val="Lead_statement5"/>
      <sheetName val="Summary_of_Rates5"/>
      <sheetName val="Basic_Approach5"/>
      <sheetName val="Plant____Machinery2"/>
      <sheetName val="Sheet1_(2)1"/>
      <sheetName val="Common_1"/>
      <sheetName val="hdpe_weights1"/>
      <sheetName val="PVC_weights1"/>
      <sheetName val="mas_hab"/>
      <sheetName val="Road data"/>
      <sheetName val="IO LIST"/>
      <sheetName val="coverpage"/>
      <sheetName val="R_Det"/>
      <sheetName val="Rates SSR 2008-09"/>
      <sheetName val="DATA-BASE"/>
      <sheetName val="DATA-ABSTRACT"/>
      <sheetName val="Publicbuilding"/>
      <sheetName val="Nspt-smp-final-ORIGINAL"/>
      <sheetName val="Levels"/>
      <sheetName val="INPUT SHEET"/>
      <sheetName val="RES-PLANNING"/>
      <sheetName val="Macro1"/>
      <sheetName val="0000000000000"/>
      <sheetName val="cert"/>
      <sheetName val="BWSCPlt"/>
      <sheetName val="CI"/>
      <sheetName val="DI"/>
      <sheetName val="G.R.P"/>
      <sheetName val="HDPE"/>
      <sheetName val="PSC REVISED"/>
      <sheetName val="pvc"/>
      <sheetName val="ARRR-ver-1104-Chandegaon"/>
      <sheetName val="Activity No (A) ( 12)  "/>
      <sheetName val="FB - 1L"/>
      <sheetName val="Bitumen trunk"/>
      <sheetName val="Feeder"/>
      <sheetName val="R99 etc"/>
      <sheetName val="Trunk unpaved"/>
      <sheetName val="Main sheet"/>
      <sheetName val="id"/>
      <sheetName val="DISCOUNT"/>
      <sheetName val="Data base"/>
      <sheetName val="PROCTOR"/>
      <sheetName val="covence16-17"/>
      <sheetName val="Alapadu"/>
      <sheetName val="abs road"/>
      <sheetName val="ew OG"/>
      <sheetName val="Revised rates(SSR 2015-16)"/>
      <sheetName val="MRoad data"/>
      <sheetName val="Pop"/>
      <sheetName val="Abs"/>
      <sheetName val="Av.G Level"/>
      <sheetName val="L040"/>
      <sheetName val="economic PM"/>
      <sheetName val="2.0m  slab"/>
      <sheetName val="Specification"/>
      <sheetName val="PRECAST lightconc-II"/>
      <sheetName val="Dn LF Sluice"/>
      <sheetName val="Wordsdata"/>
      <sheetName val="Design"/>
      <sheetName val="SEGMENTS"/>
      <sheetName val="Detailed"/>
      <sheetName val="segments-details"/>
      <sheetName val="I-CO"/>
      <sheetName val="Mp-team 1"/>
      <sheetName val="Rates2"/>
      <sheetName val="Spec"/>
      <sheetName val="Masonry"/>
      <sheetName val="final abstract"/>
      <sheetName val="Set"/>
      <sheetName val="Data 07-08 "/>
      <sheetName val="Indices"/>
      <sheetName val="Gates and Pergola Data"/>
      <sheetName val="Usage"/>
      <sheetName val="Cover sheet"/>
      <sheetName val="GN-ST-10"/>
      <sheetName val="int-Dia"/>
      <sheetName val="hdpe_basic"/>
      <sheetName val="pvc_basic"/>
      <sheetName val="BM-HOOP"/>
      <sheetName val="PM&amp;GM"/>
      <sheetName val="water-hammar-strenght"/>
      <sheetName val=" data sheet "/>
      <sheetName val="TOP SLAB-beams"/>
      <sheetName val="Ward areas"/>
      <sheetName val="labour rates"/>
      <sheetName val="CBL_OD"/>
      <sheetName val="ESTIMATE"/>
      <sheetName val="m1"/>
      <sheetName val="pumping main"/>
      <sheetName val="WATER-HAMMER"/>
      <sheetName val="LABOUR RATE"/>
      <sheetName val="Material Rate"/>
      <sheetName val="Data rough"/>
      <sheetName val="ww-march-02"/>
      <sheetName val="clvrt_data"/>
      <sheetName val="Global factors"/>
      <sheetName val="Data-ELSR"/>
      <sheetName val="newabstract"/>
      <sheetName val="Plant_&amp;__Machinery7"/>
      <sheetName val="Lead_statement7"/>
      <sheetName val="Summary_of_Rates7"/>
      <sheetName val="Basic_Approach7"/>
      <sheetName val="Plant____Machinery4"/>
      <sheetName val="Sheet1_(2)3"/>
      <sheetName val="Common_3"/>
      <sheetName val="hdpe_weights3"/>
      <sheetName val="PVC_weights3"/>
      <sheetName val="Stability"/>
      <sheetName val="Analysis-NH-Roads"/>
      <sheetName val="Road Detail Est."/>
      <sheetName val="hdpe-int-Dia"/>
      <sheetName val="E-Table"/>
      <sheetName val="pvc-int-Dia"/>
      <sheetName val="Rates-May-14"/>
      <sheetName val="Lead statement ss5"/>
      <sheetName val="LOCAL RATES"/>
      <sheetName val="Output"/>
      <sheetName val="Sheet10"/>
      <sheetName val="bmrm lead"/>
      <sheetName val="ccoddad"/>
      <sheetName val="Sheet7"/>
      <sheetName val="Pormalla ccrd"/>
      <sheetName val="Sheet4"/>
      <sheetName val="Sheet6"/>
      <sheetName val="Sheet9"/>
      <sheetName val="bundqty"/>
      <sheetName val="Work_sheet"/>
      <sheetName val="General"/>
      <sheetName val="Data_Bit_I"/>
      <sheetName val="INPUT-DATA"/>
      <sheetName val="sg-clay(d)"/>
      <sheetName val="dlvoid"/>
      <sheetName val="foundation(V)"/>
      <sheetName val="Main"/>
      <sheetName val="Design of two-way slab"/>
      <sheetName val="MTC-estimate"/>
      <sheetName val="Cover"/>
      <sheetName val="Process"/>
      <sheetName val="Mortars"/>
      <sheetName val=" Data -Valves"/>
      <sheetName val="Rd.Det.Est"/>
      <sheetName val="Boq"/>
      <sheetName val="Rate Analysis"/>
      <sheetName val="Road work"/>
      <sheetName val="data_existing_do_not_delete"/>
      <sheetName val="Rates_SSR_2008-09"/>
      <sheetName val="Specification_report"/>
      <sheetName val="G_R_P"/>
      <sheetName val="PSC_REVISED"/>
      <sheetName val="SSR_2014-15_Rates"/>
      <sheetName val="Data_F8_BTR"/>
      <sheetName val="Plant_㫨__Machinery3"/>
      <sheetName val="Road_data"/>
      <sheetName val="IO_LIST"/>
      <sheetName val="Activity_No_(A)_(_12)__"/>
      <sheetName val="PRECAST_lightconc-II"/>
      <sheetName val="Bitumen_trunk"/>
      <sheetName val="R99_etc"/>
      <sheetName val="Trunk_unpaved"/>
      <sheetName val="Main_sheet"/>
      <sheetName val="Av_G_Level"/>
      <sheetName val="Dn_LF_Sluice"/>
      <sheetName val="INPUT_SHEET"/>
      <sheetName val="Data_base"/>
      <sheetName val="FB_-_1L"/>
      <sheetName val="final_abstract"/>
      <sheetName val="lable_I"/>
      <sheetName val="wh_data_R"/>
      <sheetName val="boredetails"/>
      <sheetName val="Gen Abs"/>
      <sheetName val="other rates"/>
      <sheetName val="lead-st"/>
      <sheetName val="ABS.C.D."/>
      <sheetName val="3405-2014"/>
      <sheetName val="3V 6mt "/>
      <sheetName val="Road dam"/>
      <sheetName val="3V 1000PC "/>
      <sheetName val="1V 3mt"/>
      <sheetName val="_5wgdhabfinal00_01"/>
      <sheetName val="RAFT"/>
      <sheetName val="sectorwise"/>
      <sheetName val="Quarry"/>
      <sheetName val="doq-10"/>
      <sheetName val="2. WorkType"/>
      <sheetName val="Rates"/>
      <sheetName val="DI gate-DI"/>
      <sheetName val="DIgate_PVC "/>
      <sheetName val="Sketch"/>
      <sheetName val=""/>
      <sheetName val="SS TANK(HOMO)"/>
      <sheetName val="DATA SHEET"/>
      <sheetName val="stone"/>
      <sheetName val="C-data"/>
      <sheetName val="wh_data"/>
      <sheetName val="CPHEEO"/>
      <sheetName val="input"/>
      <sheetName val="data-WC"/>
      <sheetName val="SLAB  DATA"/>
      <sheetName val="A"/>
      <sheetName val="rdamdata"/>
      <sheetName val="PVC_dia"/>
      <sheetName val="_x0000_A"/>
      <sheetName val="Hyd_Stmt"/>
      <sheetName val="analysis"/>
      <sheetName val="floor slab-RS2"/>
      <sheetName val="Data-2011-12"/>
      <sheetName val="ultmom"/>
      <sheetName val="Staff Acco."/>
      <sheetName val="Annex- 6 - Delinator"/>
      <sheetName val="1V800"/>
      <sheetName val="BTR"/>
      <sheetName val="GenAbst"/>
      <sheetName val="(Road-Project)"/>
      <sheetName val="HDPE Manual"/>
      <sheetName val="Habcodes"/>
      <sheetName val="Data o"/>
      <sheetName val="GUNDLASAGAR"/>
      <sheetName val="Gen Abs (2)"/>
      <sheetName val="Samctioned eestimate"/>
      <sheetName val="working estimate"/>
      <sheetName val="Seiniorage Roads"/>
      <sheetName val="CS"/>
      <sheetName val="CS (2)"/>
      <sheetName val="Line"/>
      <sheetName val="Listing Design 1"/>
      <sheetName val="SEIGNIORAGE CHARGES"/>
      <sheetName val="Seign chrgs"/>
      <sheetName val="WD"/>
      <sheetName val="ZP Building  Estimate "/>
      <sheetName val="WD NEW"/>
      <sheetName val="WD NEW (2)"/>
      <sheetName val="WD NEW (3)"/>
      <sheetName val="Ele data "/>
      <sheetName val="CENTERING"/>
      <sheetName val="MACHINARY"/>
      <sheetName val="TRANSPORT"/>
      <sheetName val="C.D.Abs.Est."/>
      <sheetName val="Inputs"/>
      <sheetName val="HP(9.200)"/>
      <sheetName val="kC"/>
      <sheetName val="prjt"/>
      <sheetName val="Hamlet_Data_2300"/>
      <sheetName val="KEOLARI"/>
      <sheetName val="Lead (Final)"/>
      <sheetName val="Material "/>
      <sheetName val="labour &amp; Centering"/>
      <sheetName val="ABSTRACT"/>
      <sheetName val="(4)F-81 Exp.side"/>
      <sheetName val="New33KVSS_E3"/>
      <sheetName val="Prop aug of Ex 33KVSS_E3a"/>
      <sheetName val="FIRST"/>
      <sheetName val="NALA-LS"/>
      <sheetName val="X-BOX HYD"/>
      <sheetName val="X-TRAIL PIT DETAILS"/>
      <sheetName val="X-BLOCK LEVELS"/>
      <sheetName val="MACRO-BACK UP"/>
      <sheetName val="Side walls (earth)"/>
      <sheetName val="DREV"/>
      <sheetName val="CREV"/>
      <sheetName val="app2"/>
      <sheetName val="Leads 08-09"/>
      <sheetName val="QTY"/>
      <sheetName val="Rising Main"/>
      <sheetName val="ANGAN"/>
      <sheetName val="Rectangular Beam"/>
      <sheetName val="Culverts"/>
      <sheetName val="QUOT_1"/>
      <sheetName val="Scheme Area Details_Block__ C2"/>
      <sheetName val="Analy"/>
      <sheetName val="Form_E6"/>
      <sheetName val="E8"/>
      <sheetName val="E11"/>
      <sheetName val="E6"/>
      <sheetName val="ELE "/>
      <sheetName val="not req 3"/>
      <sheetName val="AV-HDPE"/>
      <sheetName val="Di_gate-HDPE"/>
      <sheetName val="PUMP_DATA"/>
      <sheetName val="DATA SHEET FOR 2012 - 13"/>
      <sheetName val="Suppl-data"/>
      <sheetName val="Basement Budget"/>
      <sheetName val="data sheet for 2014-15"/>
      <sheetName val="road est"/>
      <sheetName val="Line Road"/>
      <sheetName val="Irrigation"/>
      <sheetName val="hfa_complete_report"/>
      <sheetName val="UDA-list"/>
      <sheetName val="EST- Laxmidevipally"/>
      <sheetName val="HS 30.04.2015.Final"/>
      <sheetName val="MRoad_data"/>
      <sheetName val="ew_OG"/>
      <sheetName val="Revised_rates(SSR_2015-16)"/>
      <sheetName val="Mp-team_1"/>
      <sheetName val="economic_PM"/>
      <sheetName val="Gates_and_Pergola_Data"/>
      <sheetName val="_data_sheet_"/>
      <sheetName val="TOP_SLAB-beams"/>
      <sheetName val="Ward_areas"/>
      <sheetName val="labour_rates"/>
      <sheetName val="pumping_main"/>
      <sheetName val="LABOUR_RATE"/>
      <sheetName val="Material_Rate"/>
      <sheetName val="Data_rough"/>
      <sheetName val="LOCAL_RATES"/>
      <sheetName val="Lead_statement_ss5"/>
      <sheetName val="Cover_sheet"/>
      <sheetName val="Design_of_two-way_slab"/>
      <sheetName val="abs_road"/>
      <sheetName val="Data_07-08_"/>
      <sheetName val="2_0m__slab"/>
      <sheetName val="DI_gate-DI"/>
      <sheetName val="DIgate_PVC_"/>
      <sheetName val="Rate"/>
      <sheetName val="Sorted"/>
      <sheetName val="AC"/>
      <sheetName val="AV-BWSC&amp;MS"/>
      <sheetName val="AV_AC"/>
      <sheetName val="AV-DI"/>
      <sheetName val="di_Gate_AC"/>
      <sheetName val="Digate-BWSCP-MS"/>
      <sheetName val="DI_gate_di"/>
      <sheetName val="scour-DI-CI"/>
      <sheetName val="scour-pvc-hdpe-psc-bwsc"/>
      <sheetName val="11.Habitations"/>
      <sheetName val="ZdYO0HQ4GS8I"/>
      <sheetName val="pDMYC3fr1ht"/>
      <sheetName val="Estt"/>
      <sheetName val="sand"/>
      <sheetName val="Mahendra hills"/>
      <sheetName val="co_5"/>
      <sheetName val="DATA-CD "/>
      <sheetName val="Data Road Rev"/>
      <sheetName val="MASTER"/>
      <sheetName val="inpro"/>
      <sheetName val="mdl"/>
      <sheetName val="comp"/>
      <sheetName val="PH Sanctioned"/>
      <sheetName val="DATA-CD (New)"/>
      <sheetName val="_x005f_x0000_A"/>
      <sheetName val="ew OG machine manual"/>
      <sheetName val="Revised rates(SSR 2021-22)"/>
      <sheetName val="ew OG total manual"/>
      <sheetName val="PVC mac"/>
      <sheetName val="Part-A"/>
      <sheetName val="total_demand"/>
      <sheetName val="Hydraulic Design (Pipe)"/>
      <sheetName val="Sent NHO"/>
      <sheetName val="Letter"/>
      <sheetName val="Civil-works"/>
      <sheetName val="Aug,02"/>
      <sheetName val="sup dat"/>
      <sheetName val="BALAN1"/>
      <sheetName val="STAFFSCHED "/>
      <sheetName val="GF Columns"/>
      <sheetName val="Plant_&amp;__Machinery8"/>
      <sheetName val="Lead_statement8"/>
      <sheetName val="Summary_of_Rates8"/>
      <sheetName val="Basic_Approach8"/>
      <sheetName val="Plant____Machinery5"/>
      <sheetName val="Sheet1_(2)4"/>
      <sheetName val="Common_4"/>
      <sheetName val="SSR_2014-15_Rates1"/>
      <sheetName val="hdpe_weights4"/>
      <sheetName val="PVC_weights4"/>
      <sheetName val="Specification_report1"/>
      <sheetName val="data_existing_do_not_delete1"/>
      <sheetName val="Road_data1"/>
      <sheetName val="Rates_SSR_2008-091"/>
      <sheetName val="Data_F8_BTR1"/>
      <sheetName val="Plant_㫨__Machinery4"/>
      <sheetName val="IO_LIST1"/>
      <sheetName val="G_R_P1"/>
      <sheetName val="PSC_REVISED1"/>
      <sheetName val="INPUT_SHEET1"/>
      <sheetName val="Data_base1"/>
      <sheetName val="Main_sheet1"/>
      <sheetName val="Bitumen_trunk1"/>
      <sheetName val="R99_etc1"/>
      <sheetName val="Trunk_unpaved1"/>
      <sheetName val="Activity_No_(A)_(_12)__1"/>
      <sheetName val="Road_Detail_Est_"/>
      <sheetName val="PRECAST_lightconc-II1"/>
      <sheetName val="Av_G_Level1"/>
      <sheetName val="Dn_LF_Sluice1"/>
      <sheetName val="FB_-_1L1"/>
      <sheetName val="final_abstract1"/>
      <sheetName val="lable_I1"/>
      <sheetName val="Global_factors"/>
      <sheetName val="_Data_-Valves"/>
      <sheetName val="Road_work"/>
      <sheetName val="2__WorkType"/>
      <sheetName val="Rd_Det_Est"/>
      <sheetName val="Rate_Analysis"/>
      <sheetName val="bmrm_lead"/>
      <sheetName val="Pormalla_ccrd"/>
      <sheetName val="Line_Road"/>
      <sheetName val="Gen_Abs"/>
      <sheetName val="other_rates"/>
      <sheetName val="floor_slab-RS2"/>
      <sheetName val="ABS_C_D_"/>
      <sheetName val="Staff_Acco_"/>
      <sheetName val="Annex-_6_-_Delinator"/>
      <sheetName val="3V_6mt_"/>
      <sheetName val="Road_dam"/>
      <sheetName val="3V_1000PC_"/>
      <sheetName val="1V_3mt"/>
      <sheetName val="Detailed RD  estimate"/>
      <sheetName val="HP cd 3 Rof 1000"/>
      <sheetName val="1V of 2m slab"/>
      <sheetName val="2V of 3.0Mslab"/>
      <sheetName val="HP cD3rows of 1000mm"/>
      <sheetName val="Costing"/>
      <sheetName val="HPL"/>
      <sheetName val="ssr20506"/>
      <sheetName val="DATAS"/>
    </sheetNames>
    <sheetDataSet>
      <sheetData sheetId="0">
        <row r="6">
          <cell r="G6">
            <v>4082</v>
          </cell>
        </row>
      </sheetData>
      <sheetData sheetId="1">
        <row r="4">
          <cell r="D4">
            <v>137</v>
          </cell>
        </row>
      </sheetData>
      <sheetData sheetId="2" refreshError="1">
        <row r="6">
          <cell r="G6">
            <v>4082</v>
          </cell>
        </row>
        <row r="9">
          <cell r="G9" t="str">
            <v>Input Rate</v>
          </cell>
        </row>
        <row r="15">
          <cell r="G15">
            <v>450</v>
          </cell>
        </row>
        <row r="17">
          <cell r="G17">
            <v>520</v>
          </cell>
        </row>
        <row r="20">
          <cell r="G20">
            <v>50</v>
          </cell>
        </row>
        <row r="25">
          <cell r="G25">
            <v>1128</v>
          </cell>
        </row>
        <row r="28">
          <cell r="G28">
            <v>519</v>
          </cell>
        </row>
        <row r="34">
          <cell r="G34">
            <v>275</v>
          </cell>
        </row>
        <row r="45">
          <cell r="G45">
            <v>200</v>
          </cell>
        </row>
      </sheetData>
      <sheetData sheetId="3" refreshError="1">
        <row r="4">
          <cell r="D4">
            <v>137</v>
          </cell>
        </row>
        <row r="8">
          <cell r="D8">
            <v>137</v>
          </cell>
        </row>
      </sheetData>
      <sheetData sheetId="4"/>
      <sheetData sheetId="5">
        <row r="6">
          <cell r="G6">
            <v>4082</v>
          </cell>
        </row>
      </sheetData>
      <sheetData sheetId="6" refreshError="1">
        <row r="6">
          <cell r="G6">
            <v>4082</v>
          </cell>
        </row>
        <row r="42">
          <cell r="D42">
            <v>13875.8</v>
          </cell>
        </row>
        <row r="43">
          <cell r="D43" t="str">
            <v>Input Rate</v>
          </cell>
        </row>
        <row r="54">
          <cell r="D54" t="str">
            <v>Input Rate</v>
          </cell>
        </row>
        <row r="68">
          <cell r="D68" t="str">
            <v>Input Rate</v>
          </cell>
        </row>
        <row r="96">
          <cell r="D96" t="str">
            <v>Input Rate</v>
          </cell>
        </row>
        <row r="132">
          <cell r="D132" t="str">
            <v>Input Rate</v>
          </cell>
        </row>
        <row r="144">
          <cell r="D144" t="str">
            <v>Input Rate</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ow r="6">
          <cell r="G6">
            <v>4082</v>
          </cell>
        </row>
      </sheetData>
      <sheetData sheetId="44" refreshError="1"/>
      <sheetData sheetId="45"/>
      <sheetData sheetId="46">
        <row r="6">
          <cell r="G6">
            <v>4082</v>
          </cell>
        </row>
      </sheetData>
      <sheetData sheetId="47">
        <row r="6">
          <cell r="G6">
            <v>4082</v>
          </cell>
        </row>
      </sheetData>
      <sheetData sheetId="48">
        <row r="6">
          <cell r="G6">
            <v>4082</v>
          </cell>
        </row>
      </sheetData>
      <sheetData sheetId="49">
        <row r="6">
          <cell r="G6">
            <v>4082</v>
          </cell>
        </row>
      </sheetData>
      <sheetData sheetId="50">
        <row r="6">
          <cell r="G6">
            <v>4082</v>
          </cell>
        </row>
      </sheetData>
      <sheetData sheetId="51">
        <row r="6">
          <cell r="G6">
            <v>4082</v>
          </cell>
        </row>
      </sheetData>
      <sheetData sheetId="52"/>
      <sheetData sheetId="53"/>
      <sheetData sheetId="54" refreshError="1"/>
      <sheetData sheetId="55" refreshError="1"/>
      <sheetData sheetId="56" refreshError="1"/>
      <sheetData sheetId="57" refreshError="1"/>
      <sheetData sheetId="58"/>
      <sheetData sheetId="59"/>
      <sheetData sheetId="60"/>
      <sheetData sheetId="61"/>
      <sheetData sheetId="62"/>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refreshError="1"/>
      <sheetData sheetId="99"/>
      <sheetData sheetId="100"/>
      <sheetData sheetId="101" refreshError="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sheetData sheetId="173" refreshError="1"/>
      <sheetData sheetId="174" refreshError="1"/>
      <sheetData sheetId="175"/>
      <sheetData sheetId="176" refreshError="1"/>
      <sheetData sheetId="177" refreshError="1"/>
      <sheetData sheetId="178" refreshError="1"/>
      <sheetData sheetId="179"/>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sheetData sheetId="445"/>
      <sheetData sheetId="446"/>
      <sheetData sheetId="447"/>
      <sheetData sheetId="448"/>
      <sheetData sheetId="449"/>
      <sheetData sheetId="450"/>
      <sheetData sheetId="451" refreshError="1"/>
      <sheetData sheetId="452" refreshError="1"/>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refreshError="1"/>
      <sheetData sheetId="484"/>
      <sheetData sheetId="485"/>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17">
          <cell r="D17">
            <v>689.98</v>
          </cell>
        </row>
        <row r="18">
          <cell r="D18">
            <v>893.73</v>
          </cell>
        </row>
        <row r="19">
          <cell r="D19">
            <v>562.29999999999995</v>
          </cell>
        </row>
        <row r="45">
          <cell r="D45">
            <v>28100</v>
          </cell>
        </row>
        <row r="46">
          <cell r="D46">
            <v>250</v>
          </cell>
        </row>
        <row r="51">
          <cell r="D51">
            <v>2400</v>
          </cell>
        </row>
        <row r="69">
          <cell r="D69">
            <v>50.5</v>
          </cell>
        </row>
        <row r="70">
          <cell r="D70">
            <v>10</v>
          </cell>
        </row>
        <row r="93">
          <cell r="D93">
            <v>604.79999999999995</v>
          </cell>
        </row>
        <row r="95">
          <cell r="D95">
            <v>5</v>
          </cell>
        </row>
        <row r="109">
          <cell r="D109">
            <v>48.6</v>
          </cell>
        </row>
        <row r="110">
          <cell r="D110">
            <v>18</v>
          </cell>
        </row>
        <row r="111">
          <cell r="D111">
            <v>3</v>
          </cell>
        </row>
        <row r="113">
          <cell r="D113">
            <v>4304.08</v>
          </cell>
        </row>
        <row r="114">
          <cell r="D114">
            <v>3301.82</v>
          </cell>
        </row>
        <row r="115">
          <cell r="D115">
            <v>2729.9849999999997</v>
          </cell>
        </row>
        <row r="117">
          <cell r="D117">
            <v>918.77</v>
          </cell>
        </row>
        <row r="118">
          <cell r="D118">
            <v>4581.2</v>
          </cell>
        </row>
        <row r="119">
          <cell r="D119">
            <v>3381.2</v>
          </cell>
        </row>
        <row r="120">
          <cell r="D120">
            <v>2515.83</v>
          </cell>
        </row>
        <row r="122">
          <cell r="D122">
            <v>732.86</v>
          </cell>
        </row>
        <row r="125">
          <cell r="D125">
            <v>295.8</v>
          </cell>
        </row>
        <row r="126">
          <cell r="D126">
            <v>339.3</v>
          </cell>
        </row>
        <row r="130">
          <cell r="D130">
            <v>27000</v>
          </cell>
        </row>
        <row r="146">
          <cell r="D146">
            <v>0.2</v>
          </cell>
        </row>
      </sheetData>
      <sheetData sheetId="12" refreshError="1"/>
      <sheetData sheetId="13" refreshError="1"/>
      <sheetData sheetId="14" refreshError="1">
        <row r="4">
          <cell r="G4">
            <v>196</v>
          </cell>
        </row>
        <row r="11">
          <cell r="G11">
            <v>150</v>
          </cell>
        </row>
        <row r="13">
          <cell r="G13">
            <v>2400</v>
          </cell>
        </row>
        <row r="23">
          <cell r="G23">
            <v>600</v>
          </cell>
        </row>
        <row r="27">
          <cell r="G27">
            <v>27.87</v>
          </cell>
        </row>
        <row r="30">
          <cell r="G30">
            <v>30</v>
          </cell>
        </row>
        <row r="31">
          <cell r="G31">
            <v>30</v>
          </cell>
        </row>
        <row r="48">
          <cell r="G48">
            <v>223</v>
          </cell>
        </row>
        <row r="53">
          <cell r="G53">
            <v>234</v>
          </cell>
        </row>
      </sheetData>
      <sheetData sheetId="15" refreshError="1">
        <row r="3">
          <cell r="D3">
            <v>156</v>
          </cell>
        </row>
        <row r="5">
          <cell r="D5">
            <v>137</v>
          </cell>
        </row>
        <row r="14">
          <cell r="D14">
            <v>156</v>
          </cell>
        </row>
        <row r="15">
          <cell r="D15">
            <v>137</v>
          </cell>
        </row>
        <row r="16">
          <cell r="D16">
            <v>137</v>
          </cell>
        </row>
        <row r="17">
          <cell r="D17">
            <v>106</v>
          </cell>
        </row>
        <row r="18">
          <cell r="D18">
            <v>137</v>
          </cell>
        </row>
        <row r="19">
          <cell r="D19">
            <v>156</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17">
          <cell r="D17">
            <v>689.98</v>
          </cell>
        </row>
        <row r="18">
          <cell r="D18">
            <v>893.73</v>
          </cell>
        </row>
        <row r="19">
          <cell r="D19">
            <v>562.29999999999995</v>
          </cell>
        </row>
        <row r="45">
          <cell r="D45">
            <v>28100</v>
          </cell>
        </row>
        <row r="46">
          <cell r="D46">
            <v>250</v>
          </cell>
        </row>
        <row r="51">
          <cell r="D51">
            <v>2400</v>
          </cell>
        </row>
        <row r="69">
          <cell r="D69">
            <v>50.5</v>
          </cell>
        </row>
        <row r="70">
          <cell r="D70">
            <v>10</v>
          </cell>
        </row>
        <row r="93">
          <cell r="D93">
            <v>604.79999999999995</v>
          </cell>
        </row>
        <row r="95">
          <cell r="D95">
            <v>5</v>
          </cell>
        </row>
        <row r="109">
          <cell r="D109">
            <v>48.6</v>
          </cell>
        </row>
        <row r="110">
          <cell r="D110">
            <v>18</v>
          </cell>
        </row>
        <row r="111">
          <cell r="D111">
            <v>3</v>
          </cell>
        </row>
        <row r="113">
          <cell r="D113">
            <v>4304.08</v>
          </cell>
        </row>
        <row r="114">
          <cell r="D114">
            <v>3301.82</v>
          </cell>
        </row>
        <row r="115">
          <cell r="D115">
            <v>2729.9849999999997</v>
          </cell>
        </row>
        <row r="117">
          <cell r="D117">
            <v>918.77</v>
          </cell>
        </row>
        <row r="118">
          <cell r="D118">
            <v>4581.2</v>
          </cell>
        </row>
        <row r="119">
          <cell r="D119">
            <v>3381.2</v>
          </cell>
        </row>
        <row r="120">
          <cell r="D120">
            <v>2515.83</v>
          </cell>
        </row>
        <row r="122">
          <cell r="D122">
            <v>732.86</v>
          </cell>
        </row>
        <row r="125">
          <cell r="D125">
            <v>295.8</v>
          </cell>
        </row>
        <row r="126">
          <cell r="D126">
            <v>339.3</v>
          </cell>
        </row>
        <row r="130">
          <cell r="D130">
            <v>27000</v>
          </cell>
        </row>
        <row r="146">
          <cell r="D146">
            <v>0.2</v>
          </cell>
        </row>
      </sheetData>
      <sheetData sheetId="12" refreshError="1"/>
      <sheetData sheetId="13" refreshError="1"/>
      <sheetData sheetId="14" refreshError="1">
        <row r="4">
          <cell r="G4">
            <v>196</v>
          </cell>
        </row>
        <row r="11">
          <cell r="G11">
            <v>150</v>
          </cell>
        </row>
        <row r="13">
          <cell r="G13">
            <v>2400</v>
          </cell>
        </row>
        <row r="23">
          <cell r="G23">
            <v>600</v>
          </cell>
        </row>
        <row r="27">
          <cell r="G27">
            <v>27.87</v>
          </cell>
        </row>
        <row r="30">
          <cell r="G30">
            <v>30</v>
          </cell>
        </row>
        <row r="31">
          <cell r="G31">
            <v>30</v>
          </cell>
        </row>
        <row r="48">
          <cell r="G48">
            <v>223</v>
          </cell>
        </row>
        <row r="53">
          <cell r="G53">
            <v>234</v>
          </cell>
        </row>
      </sheetData>
      <sheetData sheetId="15" refreshError="1">
        <row r="3">
          <cell r="D3">
            <v>156</v>
          </cell>
        </row>
        <row r="5">
          <cell r="D5">
            <v>137</v>
          </cell>
        </row>
        <row r="14">
          <cell r="D14">
            <v>156</v>
          </cell>
        </row>
        <row r="15">
          <cell r="D15">
            <v>137</v>
          </cell>
        </row>
        <row r="16">
          <cell r="D16">
            <v>137</v>
          </cell>
        </row>
        <row r="17">
          <cell r="D17">
            <v>106</v>
          </cell>
        </row>
        <row r="18">
          <cell r="D18">
            <v>137</v>
          </cell>
        </row>
        <row r="19">
          <cell r="D19">
            <v>156</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s>
    <sheetDataSet>
      <sheetData sheetId="0"/>
      <sheetData sheetId="1"/>
      <sheetData sheetId="2">
        <row r="10">
          <cell r="G10">
            <v>692</v>
          </cell>
        </row>
      </sheetData>
      <sheetData sheetId="3" refreshError="1">
        <row r="6">
          <cell r="D6">
            <v>156</v>
          </cell>
        </row>
        <row r="11">
          <cell r="D11">
            <v>156</v>
          </cell>
        </row>
      </sheetData>
      <sheetData sheetId="4" refreshError="1">
        <row r="3">
          <cell r="D3" t="str">
            <v>Input Rate</v>
          </cell>
        </row>
        <row r="47">
          <cell r="D47" t="str">
            <v>Input Rate</v>
          </cell>
        </row>
        <row r="48">
          <cell r="D48" t="str">
            <v>Input Rate</v>
          </cell>
        </row>
        <row r="49">
          <cell r="D49" t="str">
            <v>Input Rate</v>
          </cell>
        </row>
        <row r="50">
          <cell r="D50" t="str">
            <v>Input Rate</v>
          </cell>
        </row>
        <row r="73">
          <cell r="D73" t="str">
            <v>Input Rate</v>
          </cell>
        </row>
        <row r="74">
          <cell r="D74" t="str">
            <v>Input Rate</v>
          </cell>
        </row>
        <row r="79">
          <cell r="D79" t="str">
            <v>Input Rate</v>
          </cell>
        </row>
        <row r="88">
          <cell r="D88" t="str">
            <v>Input Rate</v>
          </cell>
        </row>
        <row r="97">
          <cell r="D97" t="str">
            <v>Input Rate</v>
          </cell>
        </row>
        <row r="102">
          <cell r="D102" t="str">
            <v>Input Rate</v>
          </cell>
        </row>
        <row r="131">
          <cell r="D131" t="str">
            <v>Input Rate</v>
          </cell>
        </row>
        <row r="136">
          <cell r="D136" t="str">
            <v>Input Rate</v>
          </cell>
        </row>
        <row r="137">
          <cell r="D137" t="str">
            <v>Input Rate</v>
          </cell>
        </row>
        <row r="138">
          <cell r="D13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Sheet3"/>
      <sheetName val="Chapter-13"/>
      <sheetName val="Chapter-14"/>
      <sheetName val="Chapter-15"/>
      <sheetName val="Summary"/>
      <sheetName val="Abbreviations"/>
      <sheetName val="Sheet2"/>
      <sheetName val="Lead statement"/>
      <sheetName val="Chapter-12"/>
    </sheetNames>
    <sheetDataSet>
      <sheetData sheetId="0"/>
      <sheetData sheetId="1"/>
      <sheetData sheetId="2"/>
      <sheetData sheetId="3" refreshError="1">
        <row r="6">
          <cell r="D6">
            <v>156</v>
          </cell>
        </row>
        <row r="11">
          <cell r="D11">
            <v>156</v>
          </cell>
        </row>
      </sheetData>
      <sheetData sheetId="4" refreshError="1">
        <row r="3">
          <cell r="D3" t="str">
            <v>Input Rate</v>
          </cell>
        </row>
        <row r="47">
          <cell r="D47" t="str">
            <v>Input Rate</v>
          </cell>
        </row>
        <row r="48">
          <cell r="D48" t="str">
            <v>Input Rate</v>
          </cell>
        </row>
        <row r="49">
          <cell r="D49" t="str">
            <v>Input Rate</v>
          </cell>
        </row>
        <row r="50">
          <cell r="D50" t="str">
            <v>Input Rate</v>
          </cell>
        </row>
        <row r="73">
          <cell r="D73" t="str">
            <v>Input Rate</v>
          </cell>
        </row>
        <row r="74">
          <cell r="D74" t="str">
            <v>Input Rate</v>
          </cell>
        </row>
        <row r="79">
          <cell r="D79" t="str">
            <v>Input Rate</v>
          </cell>
        </row>
        <row r="88">
          <cell r="D88" t="str">
            <v>Input Rate</v>
          </cell>
        </row>
        <row r="97">
          <cell r="D97" t="str">
            <v>Input Rate</v>
          </cell>
        </row>
        <row r="102">
          <cell r="D102" t="str">
            <v>Input Rate</v>
          </cell>
        </row>
        <row r="131">
          <cell r="D131" t="str">
            <v>Input Rate</v>
          </cell>
        </row>
        <row r="136">
          <cell r="D136" t="str">
            <v>Input Rate</v>
          </cell>
        </row>
        <row r="137">
          <cell r="D137" t="str">
            <v>Input Rate</v>
          </cell>
        </row>
        <row r="138">
          <cell r="D13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Plant _  Machinery"/>
      <sheetName val="L040"/>
      <sheetName val="m"/>
      <sheetName val="DATA"/>
      <sheetName val="Iocount"/>
      <sheetName val="INPUT SHEET"/>
      <sheetName val="RES-PLANNING"/>
      <sheetName val="Macro1"/>
      <sheetName val="int-Dia-pvc"/>
      <sheetName val="Sheet1 (2)"/>
      <sheetName val="maya"/>
      <sheetName val="leads"/>
      <sheetName val="detailed"/>
      <sheetName val="Nspt-smp-final-ORIGINAL"/>
      <sheetName val="v"/>
      <sheetName val="Lead"/>
      <sheetName val="Data_Bit_I"/>
      <sheetName val="lead-st"/>
      <sheetName val="rdamdata"/>
      <sheetName val="int-Dia"/>
      <sheetName val="nodes"/>
      <sheetName val="habs-list"/>
      <sheetName val="HDPE"/>
      <sheetName val="DI"/>
      <sheetName val="pvc"/>
      <sheetName val="FORM7"/>
      <sheetName val="Sheet5"/>
      <sheetName val="detls"/>
      <sheetName val="Lead  RATES"/>
      <sheetName val="DATA_PRG"/>
      <sheetName val="int-Dia-hdpe"/>
      <sheetName val="FB - 1L"/>
      <sheetName val="Road Detail Est."/>
      <sheetName val="Rates"/>
      <sheetName val="ESTIMATE"/>
      <sheetName val="JAWAHAR-hyd-original"/>
      <sheetName val="MRoad data"/>
      <sheetName val="Pop"/>
      <sheetName val="ewst"/>
      <sheetName val="MRATES"/>
      <sheetName val="PVC_dia"/>
      <sheetName val="hdpe weights"/>
      <sheetName val="PVC weights"/>
      <sheetName val="index"/>
      <sheetName val="hdpe_basic"/>
      <sheetName val="pvc_basic"/>
      <sheetName val="hdpe-rates"/>
      <sheetName val="pvc-rates"/>
      <sheetName val="r"/>
      <sheetName val="RMR"/>
      <sheetName val="2.0m  slab"/>
      <sheetName val="temp-SDData (2)"/>
      <sheetName val="Specification"/>
      <sheetName val="C-data"/>
      <sheetName val="BM-HOOP"/>
      <sheetName val="Data o"/>
      <sheetName val="Main sheet"/>
      <sheetName val="Activity No (A) ( 12)  "/>
      <sheetName val="DataInput"/>
      <sheetName val="DataInput-1"/>
      <sheetName val="DI Rate Analysis"/>
      <sheetName val="Economic RisingMain  Ph-I"/>
      <sheetName val="Publicbuilding"/>
      <sheetName val="Valves"/>
      <sheetName val="MS Rates"/>
      <sheetName val="id"/>
      <sheetName val="t_prsr"/>
      <sheetName val="ABS"/>
      <sheetName val="prjt"/>
      <sheetName val="Av.G Level"/>
      <sheetName val="mlead"/>
      <sheetName val="HDPE-pipe-rates"/>
      <sheetName val="pvc-pipe-rates"/>
      <sheetName val="Hamlet_Data_2300"/>
      <sheetName val="Material "/>
      <sheetName val="Lead (Final)"/>
      <sheetName val="KEOLARI"/>
      <sheetName val="app2"/>
      <sheetName val="BASE_ALL"/>
      <sheetName val="New33KVSS_E3"/>
      <sheetName val="Prop aug of Ex 33KVSS_E3a"/>
      <sheetName val="Culverts"/>
      <sheetName val="Leads 08-09"/>
      <sheetName val="ABSTRACT"/>
      <sheetName val="FIRST"/>
      <sheetName val="NALA-LS"/>
      <sheetName val="X-BOX HYD"/>
      <sheetName val="X-TRAIL PIT DETAILS"/>
      <sheetName val="X-BLOCK LEVELS"/>
      <sheetName val="MACRO-BACK UP"/>
      <sheetName val="Side walls (earth)"/>
      <sheetName val="DREV"/>
      <sheetName val="Form_E6"/>
      <sheetName val="E8"/>
      <sheetName val="E11"/>
      <sheetName val="CREV"/>
      <sheetName val="Sheet6"/>
      <sheetName val="Data base"/>
      <sheetName val="Road data"/>
      <sheetName val="Scheme Area Details_Block__ C2"/>
      <sheetName val="QUOT_1"/>
      <sheetName val="(4)F-81 Exp.side"/>
      <sheetName val="E6"/>
      <sheetName val="Pier Design(with offset)"/>
      <sheetName val="QTY"/>
      <sheetName val="0+655"/>
      <sheetName val="(1)FILL FIRST"/>
      <sheetName val="Rising Main"/>
      <sheetName val="Rectangular Beam"/>
      <sheetName val="1-Pop Proj"/>
      <sheetName val="CD Data"/>
      <sheetName val="kC"/>
      <sheetName val="BTR"/>
      <sheetName val="Sheet9"/>
      <sheetName val="m1"/>
      <sheetName val="Line"/>
    </sheetNames>
    <sheetDataSet>
      <sheetData sheetId="0" refreshError="1"/>
      <sheetData sheetId="1" refreshError="1"/>
      <sheetData sheetId="2" refreshError="1">
        <row r="4">
          <cell r="G4">
            <v>206</v>
          </cell>
        </row>
        <row r="22">
          <cell r="G22" t="str">
            <v>Input Rate</v>
          </cell>
        </row>
        <row r="29">
          <cell r="G29" t="str">
            <v>Input Rate</v>
          </cell>
        </row>
        <row r="46">
          <cell r="G46">
            <v>234</v>
          </cell>
        </row>
        <row r="47">
          <cell r="G47">
            <v>252</v>
          </cell>
        </row>
        <row r="49">
          <cell r="G49">
            <v>11</v>
          </cell>
        </row>
        <row r="54">
          <cell r="G54">
            <v>777</v>
          </cell>
        </row>
      </sheetData>
      <sheetData sheetId="3" refreshError="1">
        <row r="3">
          <cell r="D3">
            <v>150</v>
          </cell>
        </row>
        <row r="7">
          <cell r="D7">
            <v>150</v>
          </cell>
        </row>
        <row r="9">
          <cell r="D9">
            <v>131</v>
          </cell>
        </row>
        <row r="10">
          <cell r="D10">
            <v>150</v>
          </cell>
        </row>
        <row r="20">
          <cell r="D20">
            <v>150</v>
          </cell>
        </row>
        <row r="23">
          <cell r="D23">
            <v>131</v>
          </cell>
        </row>
      </sheetData>
      <sheetData sheetId="4" refreshError="1">
        <row r="3">
          <cell r="D3">
            <v>93.6</v>
          </cell>
        </row>
        <row r="5">
          <cell r="D5" t="str">
            <v>Input Rate</v>
          </cell>
        </row>
        <row r="6">
          <cell r="D6" t="str">
            <v>Input Rate</v>
          </cell>
        </row>
        <row r="7">
          <cell r="D7" t="str">
            <v>Input Rate</v>
          </cell>
        </row>
        <row r="8">
          <cell r="D8" t="str">
            <v>Input Rate</v>
          </cell>
        </row>
        <row r="9">
          <cell r="D9" t="str">
            <v>Input Rate</v>
          </cell>
        </row>
        <row r="10">
          <cell r="D10" t="str">
            <v>Input Rate</v>
          </cell>
        </row>
        <row r="11">
          <cell r="D11" t="str">
            <v>Input Rate</v>
          </cell>
        </row>
        <row r="12">
          <cell r="D12" t="str">
            <v>Input Rate</v>
          </cell>
        </row>
        <row r="13">
          <cell r="D13" t="str">
            <v>Input Rate</v>
          </cell>
        </row>
        <row r="20">
          <cell r="D20" t="str">
            <v>Input Rate</v>
          </cell>
        </row>
        <row r="21">
          <cell r="D21" t="str">
            <v>Input Rate</v>
          </cell>
        </row>
        <row r="22">
          <cell r="D22" t="str">
            <v>Input Rate</v>
          </cell>
        </row>
        <row r="23">
          <cell r="D23" t="str">
            <v>Input Rate</v>
          </cell>
        </row>
        <row r="24">
          <cell r="D24">
            <v>411.41</v>
          </cell>
        </row>
        <row r="25">
          <cell r="D25">
            <v>519.51</v>
          </cell>
        </row>
        <row r="26">
          <cell r="D26" t="str">
            <v>Input Rate</v>
          </cell>
        </row>
        <row r="27">
          <cell r="D27" t="str">
            <v>Input Rate</v>
          </cell>
        </row>
        <row r="28">
          <cell r="D28">
            <v>167</v>
          </cell>
        </row>
        <row r="29">
          <cell r="D29" t="str">
            <v>Input Rate</v>
          </cell>
        </row>
        <row r="30">
          <cell r="D30" t="str">
            <v>Input Rate</v>
          </cell>
        </row>
        <row r="31">
          <cell r="D31" t="str">
            <v>Input Rate</v>
          </cell>
        </row>
        <row r="32">
          <cell r="D32" t="str">
            <v>Input Rate</v>
          </cell>
        </row>
        <row r="33">
          <cell r="D33" t="str">
            <v>Input Rate</v>
          </cell>
        </row>
        <row r="34">
          <cell r="D34" t="str">
            <v>Input Rate</v>
          </cell>
        </row>
        <row r="35">
          <cell r="D35" t="str">
            <v>Input Rate</v>
          </cell>
        </row>
        <row r="36">
          <cell r="D36">
            <v>22</v>
          </cell>
        </row>
        <row r="37">
          <cell r="D37">
            <v>38.5</v>
          </cell>
        </row>
        <row r="52">
          <cell r="D52">
            <v>65</v>
          </cell>
        </row>
        <row r="59">
          <cell r="D59" t="str">
            <v>Input Rate</v>
          </cell>
        </row>
        <row r="62">
          <cell r="D62" t="str">
            <v>Input Rate</v>
          </cell>
        </row>
        <row r="63">
          <cell r="D63" t="str">
            <v>Input Rate</v>
          </cell>
        </row>
        <row r="72">
          <cell r="D72" t="str">
            <v>Input Rate</v>
          </cell>
        </row>
        <row r="75">
          <cell r="D75" t="str">
            <v>Input Rate</v>
          </cell>
        </row>
        <row r="77">
          <cell r="D77" t="str">
            <v>Input Rate</v>
          </cell>
        </row>
        <row r="78">
          <cell r="D78">
            <v>110</v>
          </cell>
        </row>
        <row r="80">
          <cell r="D80">
            <v>261.2</v>
          </cell>
        </row>
        <row r="83">
          <cell r="D83" t="str">
            <v>Input Rate</v>
          </cell>
        </row>
        <row r="85">
          <cell r="D85" t="str">
            <v>Input Rate</v>
          </cell>
        </row>
        <row r="86">
          <cell r="D86" t="str">
            <v>Input Rate</v>
          </cell>
        </row>
        <row r="87">
          <cell r="D87" t="str">
            <v>Input Rate</v>
          </cell>
        </row>
        <row r="90">
          <cell r="D90" t="str">
            <v>Input Rate</v>
          </cell>
        </row>
        <row r="94">
          <cell r="D94" t="str">
            <v>Input Rate</v>
          </cell>
        </row>
        <row r="99">
          <cell r="D99" t="str">
            <v>Input Rate</v>
          </cell>
        </row>
        <row r="100">
          <cell r="D100" t="str">
            <v>Input Rate</v>
          </cell>
        </row>
        <row r="103">
          <cell r="D103">
            <v>27500</v>
          </cell>
        </row>
        <row r="104">
          <cell r="D104" t="str">
            <v>Input Rate</v>
          </cell>
        </row>
        <row r="105">
          <cell r="D105" t="str">
            <v>Input Rate</v>
          </cell>
        </row>
        <row r="106">
          <cell r="D106" t="str">
            <v>Input Rate</v>
          </cell>
        </row>
        <row r="107">
          <cell r="D107">
            <v>34500</v>
          </cell>
        </row>
        <row r="108">
          <cell r="D108">
            <v>125</v>
          </cell>
        </row>
        <row r="123">
          <cell r="D123">
            <v>65</v>
          </cell>
        </row>
        <row r="124">
          <cell r="D124" t="str">
            <v>Input Rate</v>
          </cell>
        </row>
        <row r="127">
          <cell r="D127" t="str">
            <v>Input Rate</v>
          </cell>
        </row>
        <row r="139">
          <cell r="D139" t="str">
            <v>Input Rate</v>
          </cell>
        </row>
        <row r="140">
          <cell r="D140">
            <v>692.85</v>
          </cell>
        </row>
        <row r="142">
          <cell r="D142">
            <v>615.35</v>
          </cell>
        </row>
        <row r="143">
          <cell r="D143">
            <v>615.35</v>
          </cell>
        </row>
        <row r="145">
          <cell r="D145" t="str">
            <v>Input Rate</v>
          </cell>
        </row>
        <row r="147">
          <cell r="D147" t="str">
            <v>Input Rate</v>
          </cell>
        </row>
        <row r="148">
          <cell r="D148" t="str">
            <v>Input Rate</v>
          </cell>
        </row>
        <row r="149">
          <cell r="D149" t="str">
            <v>Input Rate</v>
          </cell>
        </row>
        <row r="150">
          <cell r="D150" t="str">
            <v>Input Rate</v>
          </cell>
        </row>
        <row r="151">
          <cell r="D151" t="str">
            <v>Input Rate</v>
          </cell>
        </row>
        <row r="152">
          <cell r="D152" t="str">
            <v>Input Rate</v>
          </cell>
        </row>
        <row r="153">
          <cell r="D153" t="str">
            <v>Input Rate</v>
          </cell>
        </row>
        <row r="154">
          <cell r="D154">
            <v>261.2</v>
          </cell>
        </row>
        <row r="155">
          <cell r="D155">
            <v>548.20000000000005</v>
          </cell>
        </row>
        <row r="156">
          <cell r="D156">
            <v>364.21</v>
          </cell>
        </row>
        <row r="157">
          <cell r="D157" t="str">
            <v>Input Rate</v>
          </cell>
        </row>
        <row r="158">
          <cell r="D158" t="str">
            <v>Input Rate</v>
          </cell>
        </row>
        <row r="159">
          <cell r="D159" t="str">
            <v>Input Rate</v>
          </cell>
        </row>
        <row r="160">
          <cell r="D160" t="str">
            <v>Input Rate</v>
          </cell>
        </row>
        <row r="161">
          <cell r="D161" t="str">
            <v>Input Rate</v>
          </cell>
        </row>
        <row r="162">
          <cell r="D162"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quarry"/>
      <sheetName val="Data base Feb 09"/>
      <sheetName val="Sheet5"/>
      <sheetName val="int-Dia"/>
      <sheetName val="L040"/>
      <sheetName val="road est"/>
      <sheetName val="m"/>
      <sheetName val="leads"/>
      <sheetName val="Sheet3"/>
      <sheetName val="r"/>
      <sheetName val="v"/>
      <sheetName val="Lead statement ss5"/>
      <sheetName val="0000000000000"/>
      <sheetName val="hdpe weights"/>
      <sheetName val="FORM7"/>
      <sheetName val="lead-st"/>
      <sheetName val="rdamdata"/>
      <sheetName val="data"/>
      <sheetName val="3V 6mt "/>
      <sheetName val="PVC weights"/>
      <sheetName val="index"/>
      <sheetName val="Levels"/>
      <sheetName val="BM-HOOP"/>
      <sheetName val=" datas"/>
      <sheetName val="Line"/>
      <sheetName val="Road data"/>
      <sheetName val="RMR"/>
      <sheetName val="Road Detail Est."/>
      <sheetName val="pvc"/>
      <sheetName val="Iocount"/>
      <sheetName val="m1"/>
      <sheetName val="DATA_PRG"/>
      <sheetName val="WATER-HAMMER"/>
      <sheetName val="ewst"/>
      <sheetName val="Lead Distance"/>
      <sheetName val="nandipet intra"/>
      <sheetName val="D1_CO"/>
      <sheetName val="int-Dia-pvc"/>
      <sheetName val="C-data"/>
      <sheetName val="_5wgdhabfinal00_01"/>
      <sheetName val="water-hammar-strenght"/>
      <sheetName val="Attributes"/>
      <sheetName val="DISCOUNT"/>
      <sheetName val="Data.F8.BTR"/>
      <sheetName val="Lead"/>
      <sheetName val="detls"/>
      <sheetName val="ID"/>
      <sheetName val="PVC_dia"/>
      <sheetName val="HDPE-pipe-rates"/>
      <sheetName val="pvc-pipe-rates"/>
      <sheetName val="labour rates"/>
      <sheetName val="HS 30.04.2015.Final"/>
      <sheetName val="HS 1"/>
      <sheetName val=" Pumping Main HS"/>
      <sheetName val="Activity No (A) ( 12)  "/>
      <sheetName val="ssr-rates"/>
      <sheetName val="Data_Base"/>
      <sheetName val="data existing_do not delete"/>
      <sheetName val="bom"/>
      <sheetName val="Lead statement"/>
      <sheetName val="Data_Bit_I"/>
      <sheetName val="mas_hab"/>
      <sheetName val="MRoad data"/>
      <sheetName val="Nspt-smp-final-ORIGINAL"/>
      <sheetName val="mlead"/>
      <sheetName val="Data base"/>
      <sheetName val="kC"/>
      <sheetName val="Hamlet_Data_2300"/>
      <sheetName val="Lead (Final)"/>
      <sheetName val="FIRST"/>
      <sheetName val="NALA-LS"/>
      <sheetName val="X-BOX HYD"/>
      <sheetName val="X-TRAIL PIT DETAILS"/>
      <sheetName val="X-BLOCK LEVELS"/>
      <sheetName val="MACRO-BACK UP"/>
      <sheetName val="Side walls (earth)"/>
      <sheetName val="Prjt"/>
      <sheetName val="Culverts"/>
      <sheetName val="habs-list"/>
      <sheetName val="nodes"/>
      <sheetName val="ABSTRACT"/>
      <sheetName val="INPUT SHEET"/>
      <sheetName val="RES-PLANNING"/>
      <sheetName val="Macro1"/>
      <sheetName val="MRATES"/>
      <sheetName val="QTY"/>
      <sheetName val="app2"/>
      <sheetName val="Rates"/>
      <sheetName val="KEOLARI"/>
      <sheetName val="DREV"/>
      <sheetName val="CREV"/>
      <sheetName val="BASE_ALL"/>
      <sheetName val="Sheet9"/>
      <sheetName val="QUOT_1"/>
      <sheetName val="Pier Design(with offset)"/>
      <sheetName val="Detailed"/>
      <sheetName val="New33KVSS_E3"/>
      <sheetName val="Prop aug of Ex 33KVSS_E3a"/>
      <sheetName val="OverviewBarmer"/>
      <sheetName val="Form_E6"/>
      <sheetName val="E8"/>
      <sheetName val="E11"/>
      <sheetName val="Material "/>
      <sheetName val="User input"/>
      <sheetName val="Leads 05-06"/>
      <sheetName val="Av.G Level"/>
      <sheetName val="ANGAN"/>
      <sheetName val="EST- Laxmidevipally"/>
      <sheetName val="Rising Main"/>
      <sheetName val="Rectangular Beam"/>
      <sheetName val="t_prsr"/>
      <sheetName val="wh"/>
      <sheetName val="Scheme Area Details_Block__ C2"/>
      <sheetName val="l"/>
    </sheetNames>
    <sheetDataSet>
      <sheetData sheetId="0"/>
      <sheetData sheetId="1"/>
      <sheetData sheetId="2" refreshError="1">
        <row r="50">
          <cell r="G50" t="str">
            <v>Input Rate</v>
          </cell>
        </row>
      </sheetData>
      <sheetData sheetId="3" refreshError="1">
        <row r="13">
          <cell r="D13" t="str">
            <v>Input Rate</v>
          </cell>
        </row>
      </sheetData>
      <sheetData sheetId="4" refreshError="1">
        <row r="53">
          <cell r="D53" t="str">
            <v>Input Rate</v>
          </cell>
        </row>
        <row r="55">
          <cell r="D55" t="str">
            <v>Input Rate</v>
          </cell>
        </row>
        <row r="56">
          <cell r="D56" t="str">
            <v>Input Rate</v>
          </cell>
        </row>
        <row r="58">
          <cell r="D58" t="str">
            <v>Input Rate</v>
          </cell>
        </row>
        <row r="81">
          <cell r="D81" t="str">
            <v>Input Rate</v>
          </cell>
        </row>
        <row r="84">
          <cell r="D84" t="str">
            <v>Input Rate</v>
          </cell>
        </row>
        <row r="128">
          <cell r="D12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 Est"/>
      <sheetName val="spec_Bit_I"/>
      <sheetName val="est_Bit_I"/>
      <sheetName val="Data_Bit_I"/>
      <sheetName val="Sheet1"/>
      <sheetName val="Lead_Bit_I"/>
      <sheetName val="CC Road"/>
      <sheetName val="Part-A"/>
      <sheetName val="Labour"/>
      <sheetName val="Material"/>
      <sheetName val="Plant &amp;  Machinery"/>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Data_Base"/>
      <sheetName val="leads"/>
      <sheetName val="PLAN_FEB97"/>
      <sheetName val="Data_Bit_I"/>
      <sheetName val="RMR"/>
      <sheetName val="FB - 1L"/>
      <sheetName val="data existing_do not delete"/>
      <sheetName val="v"/>
      <sheetName val="Levels"/>
      <sheetName val="Road data"/>
      <sheetName val="hdpe weights"/>
      <sheetName val="PVC weights"/>
      <sheetName val="index"/>
      <sheetName val="lead-st"/>
      <sheetName val="dBase"/>
      <sheetName val="Road Detail Est."/>
      <sheetName val="Rates"/>
      <sheetName val="ABS"/>
      <sheetName val="One_vent_Pipe"/>
      <sheetName val="Four_vents"/>
      <sheetName val="two_vents"/>
      <sheetName val="One_vent_"/>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_vent_Pipe1"/>
      <sheetName val="Four_vents1"/>
      <sheetName val="two_vents1"/>
      <sheetName val="One_vent_1"/>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Plant _  Machinery"/>
      <sheetName val="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13">
          <cell r="D113">
            <v>4304.08</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refreshError="1"/>
      <sheetData sheetId="123" refreshError="1"/>
      <sheetData sheetId="124" refreshError="1"/>
      <sheetData sheetId="125" refreshError="1"/>
      <sheetData sheetId="126" refreshError="1"/>
      <sheetData sheetId="127" refreshError="1"/>
      <sheetData sheetId="128"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note file"/>
      <sheetName val="road est"/>
      <sheetName val="babs"/>
      <sheetName val="br_det"/>
      <sheetName val="Seignioragecharges1.0.2"/>
      <sheetName val="Sheet1"/>
      <sheetName val="Abstact"/>
      <sheetName val="Lead"/>
      <sheetName val="Data-Road "/>
      <sheetName val="DATA-CD "/>
      <sheetName val="water_cost_certificate"/>
      <sheetName val="Model sh"/>
      <sheetName val="Seig_Calculations"/>
      <sheetName val="transport"/>
      <sheetName val="r"/>
      <sheetName val="LEAD STATEMENT"/>
      <sheetName val="Material"/>
      <sheetName val="Labour"/>
      <sheetName val="Plant &amp;  Machinery"/>
      <sheetName val="leads"/>
      <sheetName val="labour &amp; Centering"/>
      <sheetName val="ESTIMATE"/>
      <sheetName val="Road Detail Est."/>
      <sheetName val="Line"/>
      <sheetName val="detls"/>
      <sheetName val="Data_Bit_I"/>
    </sheetNames>
    <sheetDataSet>
      <sheetData sheetId="0"/>
      <sheetData sheetId="1"/>
      <sheetData sheetId="2"/>
      <sheetData sheetId="3"/>
      <sheetData sheetId="4"/>
      <sheetData sheetId="5"/>
      <sheetData sheetId="6"/>
      <sheetData sheetId="7"/>
      <sheetData sheetId="8"/>
      <sheetData sheetId="9" refreshError="1">
        <row r="5">
          <cell r="E5">
            <v>66</v>
          </cell>
        </row>
        <row r="6">
          <cell r="E6">
            <v>1460.4000000000055</v>
          </cell>
        </row>
        <row r="7">
          <cell r="E7">
            <v>117.59999999999997</v>
          </cell>
        </row>
        <row r="12">
          <cell r="E12">
            <v>117.59999999999997</v>
          </cell>
        </row>
        <row r="19">
          <cell r="E19">
            <v>1460.4000000000055</v>
          </cell>
        </row>
        <row r="20">
          <cell r="E20">
            <v>117.59999999999997</v>
          </cell>
        </row>
      </sheetData>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lip"/>
      <sheetName val="summary"/>
      <sheetName val="tech"/>
      <sheetName val="abstract"/>
      <sheetName val="detailed"/>
      <sheetName val="culvert"/>
      <sheetName val="culvert (2)"/>
      <sheetName val="culvert (3)"/>
      <sheetName val="impRdam"/>
      <sheetName val="cost"/>
      <sheetName val="data"/>
      <sheetName val="CDdata"/>
      <sheetName val="keymap"/>
      <sheetName val="lchart"/>
      <sheetName val="LS"/>
      <sheetName val="CS"/>
      <sheetName val="CS (2)"/>
      <sheetName val="leads"/>
      <sheetName val="f_slip"/>
      <sheetName val="1v600"/>
      <sheetName val="2v600"/>
      <sheetName val="3v600"/>
      <sheetName val="2v900"/>
      <sheetName val="3v900"/>
      <sheetName val="30mRd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A3" t="str">
            <v>Sno</v>
          </cell>
          <cell r="B3" t="str">
            <v>Lead</v>
          </cell>
          <cell r="D3" t="str">
            <v>Earth</v>
          </cell>
          <cell r="E3" t="str">
            <v>Metal</v>
          </cell>
          <cell r="F3" t="str">
            <v>Bricks</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cell r="F8">
            <v>93.9</v>
          </cell>
        </row>
        <row r="9">
          <cell r="A9">
            <v>6</v>
          </cell>
          <cell r="B9">
            <v>1</v>
          </cell>
          <cell r="C9" t="str">
            <v>KM</v>
          </cell>
          <cell r="D9">
            <v>58</v>
          </cell>
          <cell r="E9">
            <v>67</v>
          </cell>
          <cell r="F9">
            <v>96.6</v>
          </cell>
        </row>
        <row r="10">
          <cell r="A10">
            <v>7</v>
          </cell>
          <cell r="B10">
            <v>2</v>
          </cell>
          <cell r="C10" t="str">
            <v>KM</v>
          </cell>
          <cell r="D10">
            <v>61</v>
          </cell>
          <cell r="E10">
            <v>69</v>
          </cell>
          <cell r="F10">
            <v>99.9</v>
          </cell>
        </row>
        <row r="11">
          <cell r="A11">
            <v>8</v>
          </cell>
          <cell r="B11">
            <v>3</v>
          </cell>
          <cell r="C11" t="str">
            <v>KM</v>
          </cell>
          <cell r="D11">
            <v>64</v>
          </cell>
          <cell r="E11">
            <v>72</v>
          </cell>
          <cell r="F11">
            <v>102.5</v>
          </cell>
        </row>
        <row r="12">
          <cell r="A12">
            <v>9</v>
          </cell>
          <cell r="B12">
            <v>4</v>
          </cell>
          <cell r="C12" t="str">
            <v>KM</v>
          </cell>
          <cell r="D12">
            <v>67</v>
          </cell>
          <cell r="E12">
            <v>75</v>
          </cell>
          <cell r="F12">
            <v>105.9</v>
          </cell>
        </row>
        <row r="13">
          <cell r="A13">
            <v>10</v>
          </cell>
          <cell r="B13">
            <v>5</v>
          </cell>
          <cell r="C13" t="str">
            <v>KM</v>
          </cell>
          <cell r="D13">
            <v>70</v>
          </cell>
          <cell r="E13">
            <v>78</v>
          </cell>
          <cell r="F13">
            <v>109.1</v>
          </cell>
        </row>
        <row r="14">
          <cell r="A14">
            <v>11</v>
          </cell>
          <cell r="B14">
            <v>6</v>
          </cell>
          <cell r="C14" t="str">
            <v>KM</v>
          </cell>
          <cell r="D14">
            <v>72</v>
          </cell>
          <cell r="E14">
            <v>82</v>
          </cell>
          <cell r="F14">
            <v>112.5</v>
          </cell>
        </row>
        <row r="15">
          <cell r="A15">
            <v>12</v>
          </cell>
          <cell r="B15">
            <v>7</v>
          </cell>
          <cell r="C15" t="str">
            <v>KM</v>
          </cell>
          <cell r="D15">
            <v>76</v>
          </cell>
          <cell r="E15">
            <v>84</v>
          </cell>
          <cell r="F15">
            <v>115.8</v>
          </cell>
        </row>
        <row r="16">
          <cell r="A16">
            <v>13</v>
          </cell>
          <cell r="B16">
            <v>8</v>
          </cell>
          <cell r="C16" t="str">
            <v>KM</v>
          </cell>
          <cell r="D16">
            <v>79</v>
          </cell>
          <cell r="E16">
            <v>86</v>
          </cell>
          <cell r="F16">
            <v>118.5</v>
          </cell>
        </row>
        <row r="17">
          <cell r="A17">
            <v>14</v>
          </cell>
          <cell r="B17">
            <v>9</v>
          </cell>
          <cell r="C17" t="str">
            <v>KM</v>
          </cell>
          <cell r="D17">
            <v>82</v>
          </cell>
          <cell r="E17">
            <v>90</v>
          </cell>
          <cell r="F17">
            <v>121.9</v>
          </cell>
        </row>
        <row r="18">
          <cell r="A18">
            <v>15</v>
          </cell>
          <cell r="B18">
            <v>10</v>
          </cell>
          <cell r="C18" t="str">
            <v>KM</v>
          </cell>
          <cell r="D18">
            <v>85</v>
          </cell>
          <cell r="E18">
            <v>92</v>
          </cell>
          <cell r="F18">
            <v>125.1</v>
          </cell>
        </row>
        <row r="19">
          <cell r="A19">
            <v>16</v>
          </cell>
          <cell r="B19">
            <v>11</v>
          </cell>
          <cell r="C19" t="str">
            <v>KM</v>
          </cell>
          <cell r="D19">
            <v>89</v>
          </cell>
          <cell r="E19">
            <v>95</v>
          </cell>
          <cell r="F19">
            <v>128.5</v>
          </cell>
        </row>
        <row r="20">
          <cell r="A20">
            <v>17</v>
          </cell>
          <cell r="B20">
            <v>12</v>
          </cell>
          <cell r="C20" t="str">
            <v>KM</v>
          </cell>
          <cell r="D20">
            <v>91</v>
          </cell>
          <cell r="E20">
            <v>99</v>
          </cell>
          <cell r="F20">
            <v>131.80000000000001</v>
          </cell>
        </row>
        <row r="21">
          <cell r="A21">
            <v>18</v>
          </cell>
          <cell r="B21">
            <v>13</v>
          </cell>
          <cell r="C21" t="str">
            <v>KM</v>
          </cell>
          <cell r="D21">
            <v>94</v>
          </cell>
          <cell r="E21">
            <v>102</v>
          </cell>
          <cell r="F21">
            <v>134.4</v>
          </cell>
        </row>
        <row r="22">
          <cell r="A22">
            <v>19</v>
          </cell>
          <cell r="B22">
            <v>14</v>
          </cell>
          <cell r="C22" t="str">
            <v>KM</v>
          </cell>
          <cell r="D22">
            <v>97</v>
          </cell>
          <cell r="E22">
            <v>105</v>
          </cell>
          <cell r="F22">
            <v>137.80000000000001</v>
          </cell>
        </row>
        <row r="23">
          <cell r="A23">
            <v>20</v>
          </cell>
          <cell r="B23">
            <v>15</v>
          </cell>
          <cell r="C23" t="str">
            <v>KM</v>
          </cell>
          <cell r="D23">
            <v>100</v>
          </cell>
          <cell r="E23">
            <v>107</v>
          </cell>
          <cell r="F23">
            <v>141.1</v>
          </cell>
        </row>
        <row r="24">
          <cell r="A24">
            <v>21</v>
          </cell>
          <cell r="B24">
            <v>16</v>
          </cell>
          <cell r="C24" t="str">
            <v>KM</v>
          </cell>
          <cell r="D24">
            <v>102</v>
          </cell>
          <cell r="E24">
            <v>110</v>
          </cell>
          <cell r="F24">
            <v>144.4</v>
          </cell>
        </row>
        <row r="25">
          <cell r="A25">
            <v>22</v>
          </cell>
          <cell r="B25">
            <v>17</v>
          </cell>
          <cell r="C25" t="str">
            <v>KM</v>
          </cell>
          <cell r="D25">
            <v>106</v>
          </cell>
          <cell r="E25">
            <v>113</v>
          </cell>
          <cell r="F25">
            <v>147.69999999999999</v>
          </cell>
        </row>
        <row r="26">
          <cell r="A26">
            <v>23</v>
          </cell>
          <cell r="B26">
            <v>18</v>
          </cell>
          <cell r="C26" t="str">
            <v>KM</v>
          </cell>
          <cell r="D26">
            <v>109</v>
          </cell>
          <cell r="E26">
            <v>116</v>
          </cell>
          <cell r="F26">
            <v>150.4</v>
          </cell>
        </row>
        <row r="27">
          <cell r="A27">
            <v>24</v>
          </cell>
          <cell r="B27">
            <v>19</v>
          </cell>
          <cell r="C27" t="str">
            <v>KM</v>
          </cell>
          <cell r="D27">
            <v>112</v>
          </cell>
          <cell r="E27">
            <v>118</v>
          </cell>
          <cell r="F27">
            <v>153.80000000000001</v>
          </cell>
        </row>
        <row r="28">
          <cell r="A28">
            <v>25</v>
          </cell>
          <cell r="B28">
            <v>20</v>
          </cell>
          <cell r="C28" t="str">
            <v>KM</v>
          </cell>
          <cell r="D28">
            <v>115</v>
          </cell>
          <cell r="E28">
            <v>122</v>
          </cell>
          <cell r="F28">
            <v>157.1</v>
          </cell>
        </row>
        <row r="29">
          <cell r="A29">
            <v>26</v>
          </cell>
          <cell r="B29">
            <v>21</v>
          </cell>
          <cell r="C29" t="str">
            <v>KM</v>
          </cell>
          <cell r="D29">
            <v>117.5</v>
          </cell>
          <cell r="E29">
            <v>125</v>
          </cell>
          <cell r="F29">
            <v>161.15</v>
          </cell>
        </row>
        <row r="30">
          <cell r="A30">
            <v>27</v>
          </cell>
          <cell r="B30">
            <v>22</v>
          </cell>
          <cell r="C30" t="str">
            <v>KM</v>
          </cell>
          <cell r="D30">
            <v>120</v>
          </cell>
          <cell r="E30">
            <v>128</v>
          </cell>
          <cell r="F30">
            <v>165.2</v>
          </cell>
        </row>
        <row r="31">
          <cell r="A31">
            <v>28</v>
          </cell>
          <cell r="B31">
            <v>23</v>
          </cell>
          <cell r="C31" t="str">
            <v>KM</v>
          </cell>
          <cell r="D31">
            <v>122.5</v>
          </cell>
          <cell r="E31">
            <v>131</v>
          </cell>
          <cell r="F31">
            <v>169.25</v>
          </cell>
        </row>
        <row r="32">
          <cell r="A32">
            <v>29</v>
          </cell>
          <cell r="B32">
            <v>24</v>
          </cell>
          <cell r="C32" t="str">
            <v>KM</v>
          </cell>
          <cell r="D32">
            <v>125</v>
          </cell>
          <cell r="E32">
            <v>134</v>
          </cell>
          <cell r="F32">
            <v>173.3</v>
          </cell>
        </row>
        <row r="33">
          <cell r="A33">
            <v>30</v>
          </cell>
          <cell r="B33">
            <v>25</v>
          </cell>
          <cell r="C33" t="str">
            <v>KM</v>
          </cell>
          <cell r="D33">
            <v>127.5</v>
          </cell>
          <cell r="E33">
            <v>137</v>
          </cell>
          <cell r="F33">
            <v>177.35</v>
          </cell>
        </row>
        <row r="34">
          <cell r="A34">
            <v>31</v>
          </cell>
          <cell r="B34">
            <v>26</v>
          </cell>
          <cell r="C34" t="str">
            <v>KM</v>
          </cell>
          <cell r="D34">
            <v>130</v>
          </cell>
          <cell r="E34">
            <v>140</v>
          </cell>
          <cell r="F34">
            <v>181.4</v>
          </cell>
        </row>
        <row r="35">
          <cell r="A35">
            <v>32</v>
          </cell>
          <cell r="B35">
            <v>27</v>
          </cell>
          <cell r="C35" t="str">
            <v>KM</v>
          </cell>
          <cell r="D35">
            <v>132.5</v>
          </cell>
          <cell r="E35">
            <v>143</v>
          </cell>
          <cell r="F35">
            <v>185.45</v>
          </cell>
        </row>
        <row r="36">
          <cell r="A36">
            <v>33</v>
          </cell>
          <cell r="B36">
            <v>28</v>
          </cell>
          <cell r="C36" t="str">
            <v>KM</v>
          </cell>
          <cell r="D36">
            <v>135</v>
          </cell>
          <cell r="E36">
            <v>146</v>
          </cell>
          <cell r="F36">
            <v>189.5</v>
          </cell>
        </row>
        <row r="37">
          <cell r="A37">
            <v>34</v>
          </cell>
          <cell r="B37">
            <v>29</v>
          </cell>
          <cell r="C37" t="str">
            <v>KM</v>
          </cell>
          <cell r="D37">
            <v>137.5</v>
          </cell>
          <cell r="E37">
            <v>149</v>
          </cell>
          <cell r="F37">
            <v>193.55</v>
          </cell>
        </row>
        <row r="38">
          <cell r="A38">
            <v>35</v>
          </cell>
          <cell r="B38">
            <v>30</v>
          </cell>
          <cell r="C38" t="str">
            <v>KM</v>
          </cell>
          <cell r="D38">
            <v>140</v>
          </cell>
          <cell r="E38">
            <v>152</v>
          </cell>
          <cell r="F38">
            <v>197.6</v>
          </cell>
        </row>
        <row r="39">
          <cell r="A39">
            <v>36</v>
          </cell>
          <cell r="B39">
            <v>31</v>
          </cell>
          <cell r="C39" t="str">
            <v>KM</v>
          </cell>
          <cell r="D39">
            <v>142.5</v>
          </cell>
          <cell r="E39">
            <v>155</v>
          </cell>
          <cell r="F39">
            <v>201.65</v>
          </cell>
        </row>
        <row r="40">
          <cell r="A40">
            <v>37</v>
          </cell>
          <cell r="B40">
            <v>32</v>
          </cell>
          <cell r="C40" t="str">
            <v>KM</v>
          </cell>
          <cell r="D40">
            <v>145</v>
          </cell>
          <cell r="E40">
            <v>158</v>
          </cell>
          <cell r="F40">
            <v>205.7</v>
          </cell>
        </row>
        <row r="41">
          <cell r="A41">
            <v>38</v>
          </cell>
          <cell r="B41">
            <v>33</v>
          </cell>
          <cell r="C41" t="str">
            <v>KM</v>
          </cell>
          <cell r="D41">
            <v>147.5</v>
          </cell>
          <cell r="E41">
            <v>161</v>
          </cell>
          <cell r="F41">
            <v>209.75</v>
          </cell>
        </row>
        <row r="42">
          <cell r="A42">
            <v>39</v>
          </cell>
          <cell r="B42">
            <v>34</v>
          </cell>
          <cell r="C42" t="str">
            <v>KM</v>
          </cell>
          <cell r="D42">
            <v>150</v>
          </cell>
          <cell r="E42">
            <v>164</v>
          </cell>
          <cell r="F42">
            <v>213.8</v>
          </cell>
        </row>
        <row r="43">
          <cell r="A43">
            <v>40</v>
          </cell>
          <cell r="B43">
            <v>35</v>
          </cell>
          <cell r="C43" t="str">
            <v>KM</v>
          </cell>
          <cell r="D43">
            <v>152.5</v>
          </cell>
          <cell r="E43">
            <v>167</v>
          </cell>
          <cell r="F43">
            <v>217.85</v>
          </cell>
        </row>
        <row r="44">
          <cell r="A44">
            <v>41</v>
          </cell>
          <cell r="B44">
            <v>36</v>
          </cell>
          <cell r="C44" t="str">
            <v>KM</v>
          </cell>
          <cell r="D44">
            <v>155</v>
          </cell>
          <cell r="E44">
            <v>170</v>
          </cell>
          <cell r="F44">
            <v>221.9</v>
          </cell>
        </row>
        <row r="45">
          <cell r="A45">
            <v>42</v>
          </cell>
          <cell r="B45">
            <v>37</v>
          </cell>
          <cell r="C45" t="str">
            <v>KM</v>
          </cell>
          <cell r="D45">
            <v>157.5</v>
          </cell>
          <cell r="E45">
            <v>173</v>
          </cell>
          <cell r="F45">
            <v>225.95</v>
          </cell>
        </row>
        <row r="46">
          <cell r="A46">
            <v>43</v>
          </cell>
          <cell r="B46">
            <v>38</v>
          </cell>
          <cell r="C46" t="str">
            <v>KM</v>
          </cell>
          <cell r="D46">
            <v>160</v>
          </cell>
          <cell r="E46">
            <v>176</v>
          </cell>
          <cell r="F46">
            <v>230</v>
          </cell>
        </row>
        <row r="47">
          <cell r="A47">
            <v>44</v>
          </cell>
          <cell r="B47">
            <v>39</v>
          </cell>
          <cell r="C47" t="str">
            <v>KM</v>
          </cell>
          <cell r="D47">
            <v>162.5</v>
          </cell>
          <cell r="E47">
            <v>179</v>
          </cell>
          <cell r="F47">
            <v>234.05</v>
          </cell>
        </row>
        <row r="48">
          <cell r="A48">
            <v>45</v>
          </cell>
          <cell r="B48">
            <v>40</v>
          </cell>
          <cell r="C48" t="str">
            <v>KM</v>
          </cell>
          <cell r="D48">
            <v>165</v>
          </cell>
          <cell r="E48">
            <v>182</v>
          </cell>
          <cell r="F48">
            <v>238.1</v>
          </cell>
        </row>
        <row r="49">
          <cell r="A49">
            <v>46</v>
          </cell>
          <cell r="B49">
            <v>41</v>
          </cell>
          <cell r="C49" t="str">
            <v>KM</v>
          </cell>
          <cell r="D49">
            <v>167.5</v>
          </cell>
          <cell r="E49">
            <v>185</v>
          </cell>
          <cell r="F49">
            <v>242.15</v>
          </cell>
        </row>
        <row r="50">
          <cell r="A50">
            <v>47</v>
          </cell>
          <cell r="B50">
            <v>42</v>
          </cell>
          <cell r="C50" t="str">
            <v>KM</v>
          </cell>
          <cell r="D50">
            <v>170</v>
          </cell>
          <cell r="E50">
            <v>188</v>
          </cell>
          <cell r="F50">
            <v>246.2</v>
          </cell>
        </row>
        <row r="51">
          <cell r="A51">
            <v>48</v>
          </cell>
          <cell r="B51">
            <v>43</v>
          </cell>
          <cell r="C51" t="str">
            <v>KM</v>
          </cell>
          <cell r="D51">
            <v>172.5</v>
          </cell>
          <cell r="E51">
            <v>191</v>
          </cell>
          <cell r="F51">
            <v>250.25</v>
          </cell>
        </row>
        <row r="52">
          <cell r="A52">
            <v>49</v>
          </cell>
          <cell r="B52">
            <v>44</v>
          </cell>
          <cell r="C52" t="str">
            <v>KM</v>
          </cell>
          <cell r="D52">
            <v>175</v>
          </cell>
          <cell r="E52">
            <v>194</v>
          </cell>
          <cell r="F52">
            <v>254.3</v>
          </cell>
        </row>
        <row r="53">
          <cell r="A53">
            <v>50</v>
          </cell>
          <cell r="B53">
            <v>45</v>
          </cell>
          <cell r="C53" t="str">
            <v>KM</v>
          </cell>
          <cell r="D53">
            <v>177.5</v>
          </cell>
          <cell r="E53">
            <v>197</v>
          </cell>
          <cell r="F53">
            <v>258.35000000000002</v>
          </cell>
        </row>
      </sheetData>
      <sheetData sheetId="19"/>
      <sheetData sheetId="20"/>
      <sheetData sheetId="21"/>
      <sheetData sheetId="22"/>
      <sheetData sheetId="23"/>
      <sheetData sheetId="24"/>
      <sheetData sheetId="25"/>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lip"/>
      <sheetName val="summary"/>
      <sheetName val="tech"/>
      <sheetName val="abstract"/>
      <sheetName val="detailed"/>
      <sheetName val="culvert"/>
      <sheetName val="culvert (2)"/>
      <sheetName val="culvert (3)"/>
      <sheetName val="impRdam"/>
      <sheetName val="cost"/>
      <sheetName val="data"/>
      <sheetName val="CDdata"/>
      <sheetName val="keymap"/>
      <sheetName val="lchart"/>
      <sheetName val="LS"/>
      <sheetName val="CS"/>
      <sheetName val="CS (2)"/>
      <sheetName val="leads"/>
      <sheetName val="f_slip"/>
      <sheetName val="1v600"/>
      <sheetName val="2v600"/>
      <sheetName val="3v600"/>
      <sheetName val="2v900"/>
      <sheetName val="3v900"/>
      <sheetName val="30mRdam"/>
      <sheetName val="Lead"/>
      <sheetName val="Labou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A3" t="str">
            <v>Sno</v>
          </cell>
          <cell r="B3" t="str">
            <v>Lead</v>
          </cell>
          <cell r="D3" t="str">
            <v>Earth</v>
          </cell>
          <cell r="E3" t="str">
            <v>Metal</v>
          </cell>
          <cell r="F3" t="str">
            <v>Bricks</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cell r="F8">
            <v>93.9</v>
          </cell>
        </row>
        <row r="9">
          <cell r="A9">
            <v>6</v>
          </cell>
          <cell r="B9">
            <v>1</v>
          </cell>
          <cell r="C9" t="str">
            <v>KM</v>
          </cell>
          <cell r="D9">
            <v>58</v>
          </cell>
          <cell r="E9">
            <v>67</v>
          </cell>
          <cell r="F9">
            <v>96.6</v>
          </cell>
        </row>
        <row r="10">
          <cell r="A10">
            <v>7</v>
          </cell>
          <cell r="B10">
            <v>2</v>
          </cell>
          <cell r="C10" t="str">
            <v>KM</v>
          </cell>
          <cell r="D10">
            <v>61</v>
          </cell>
          <cell r="E10">
            <v>69</v>
          </cell>
          <cell r="F10">
            <v>99.9</v>
          </cell>
        </row>
        <row r="11">
          <cell r="A11">
            <v>8</v>
          </cell>
          <cell r="B11">
            <v>3</v>
          </cell>
          <cell r="C11" t="str">
            <v>KM</v>
          </cell>
          <cell r="D11">
            <v>64</v>
          </cell>
          <cell r="E11">
            <v>72</v>
          </cell>
          <cell r="F11">
            <v>102.5</v>
          </cell>
        </row>
        <row r="12">
          <cell r="A12">
            <v>9</v>
          </cell>
          <cell r="B12">
            <v>4</v>
          </cell>
          <cell r="C12" t="str">
            <v>KM</v>
          </cell>
          <cell r="D12">
            <v>67</v>
          </cell>
          <cell r="E12">
            <v>75</v>
          </cell>
          <cell r="F12">
            <v>105.9</v>
          </cell>
        </row>
        <row r="13">
          <cell r="A13">
            <v>10</v>
          </cell>
          <cell r="B13">
            <v>5</v>
          </cell>
          <cell r="C13" t="str">
            <v>KM</v>
          </cell>
          <cell r="D13">
            <v>70</v>
          </cell>
          <cell r="E13">
            <v>78</v>
          </cell>
          <cell r="F13">
            <v>109.1</v>
          </cell>
        </row>
        <row r="14">
          <cell r="A14">
            <v>11</v>
          </cell>
          <cell r="B14">
            <v>6</v>
          </cell>
          <cell r="C14" t="str">
            <v>KM</v>
          </cell>
          <cell r="D14">
            <v>72</v>
          </cell>
          <cell r="E14">
            <v>82</v>
          </cell>
          <cell r="F14">
            <v>112.5</v>
          </cell>
        </row>
        <row r="15">
          <cell r="A15">
            <v>12</v>
          </cell>
          <cell r="B15">
            <v>7</v>
          </cell>
          <cell r="C15" t="str">
            <v>KM</v>
          </cell>
          <cell r="D15">
            <v>76</v>
          </cell>
          <cell r="E15">
            <v>84</v>
          </cell>
          <cell r="F15">
            <v>115.8</v>
          </cell>
        </row>
        <row r="16">
          <cell r="A16">
            <v>13</v>
          </cell>
          <cell r="B16">
            <v>8</v>
          </cell>
          <cell r="C16" t="str">
            <v>KM</v>
          </cell>
          <cell r="D16">
            <v>79</v>
          </cell>
          <cell r="E16">
            <v>86</v>
          </cell>
          <cell r="F16">
            <v>118.5</v>
          </cell>
        </row>
        <row r="17">
          <cell r="A17">
            <v>14</v>
          </cell>
          <cell r="B17">
            <v>9</v>
          </cell>
          <cell r="C17" t="str">
            <v>KM</v>
          </cell>
          <cell r="D17">
            <v>82</v>
          </cell>
          <cell r="E17">
            <v>90</v>
          </cell>
          <cell r="F17">
            <v>121.9</v>
          </cell>
        </row>
        <row r="18">
          <cell r="A18">
            <v>15</v>
          </cell>
          <cell r="B18">
            <v>10</v>
          </cell>
          <cell r="C18" t="str">
            <v>KM</v>
          </cell>
          <cell r="D18">
            <v>85</v>
          </cell>
          <cell r="E18">
            <v>92</v>
          </cell>
          <cell r="F18">
            <v>125.1</v>
          </cell>
        </row>
        <row r="19">
          <cell r="A19">
            <v>16</v>
          </cell>
          <cell r="B19">
            <v>11</v>
          </cell>
          <cell r="C19" t="str">
            <v>KM</v>
          </cell>
          <cell r="D19">
            <v>89</v>
          </cell>
          <cell r="E19">
            <v>95</v>
          </cell>
          <cell r="F19">
            <v>128.5</v>
          </cell>
        </row>
        <row r="20">
          <cell r="A20">
            <v>17</v>
          </cell>
          <cell r="B20">
            <v>12</v>
          </cell>
          <cell r="C20" t="str">
            <v>KM</v>
          </cell>
          <cell r="D20">
            <v>91</v>
          </cell>
          <cell r="E20">
            <v>99</v>
          </cell>
          <cell r="F20">
            <v>131.80000000000001</v>
          </cell>
        </row>
        <row r="21">
          <cell r="A21">
            <v>18</v>
          </cell>
          <cell r="B21">
            <v>13</v>
          </cell>
          <cell r="C21" t="str">
            <v>KM</v>
          </cell>
          <cell r="D21">
            <v>94</v>
          </cell>
          <cell r="E21">
            <v>102</v>
          </cell>
          <cell r="F21">
            <v>134.4</v>
          </cell>
        </row>
        <row r="22">
          <cell r="A22">
            <v>19</v>
          </cell>
          <cell r="B22">
            <v>14</v>
          </cell>
          <cell r="C22" t="str">
            <v>KM</v>
          </cell>
          <cell r="D22">
            <v>97</v>
          </cell>
          <cell r="E22">
            <v>105</v>
          </cell>
          <cell r="F22">
            <v>137.80000000000001</v>
          </cell>
        </row>
        <row r="23">
          <cell r="A23">
            <v>20</v>
          </cell>
          <cell r="B23">
            <v>15</v>
          </cell>
          <cell r="C23" t="str">
            <v>KM</v>
          </cell>
          <cell r="D23">
            <v>100</v>
          </cell>
          <cell r="E23">
            <v>107</v>
          </cell>
          <cell r="F23">
            <v>141.1</v>
          </cell>
        </row>
        <row r="24">
          <cell r="A24">
            <v>21</v>
          </cell>
          <cell r="B24">
            <v>16</v>
          </cell>
          <cell r="C24" t="str">
            <v>KM</v>
          </cell>
          <cell r="D24">
            <v>102</v>
          </cell>
          <cell r="E24">
            <v>110</v>
          </cell>
          <cell r="F24">
            <v>144.4</v>
          </cell>
        </row>
        <row r="25">
          <cell r="A25">
            <v>22</v>
          </cell>
          <cell r="B25">
            <v>17</v>
          </cell>
          <cell r="C25" t="str">
            <v>KM</v>
          </cell>
          <cell r="D25">
            <v>106</v>
          </cell>
          <cell r="E25">
            <v>113</v>
          </cell>
          <cell r="F25">
            <v>147.69999999999999</v>
          </cell>
        </row>
        <row r="26">
          <cell r="A26">
            <v>23</v>
          </cell>
          <cell r="B26">
            <v>18</v>
          </cell>
          <cell r="C26" t="str">
            <v>KM</v>
          </cell>
          <cell r="D26">
            <v>109</v>
          </cell>
          <cell r="E26">
            <v>116</v>
          </cell>
          <cell r="F26">
            <v>150.4</v>
          </cell>
        </row>
        <row r="27">
          <cell r="A27">
            <v>24</v>
          </cell>
          <cell r="B27">
            <v>19</v>
          </cell>
          <cell r="C27" t="str">
            <v>KM</v>
          </cell>
          <cell r="D27">
            <v>112</v>
          </cell>
          <cell r="E27">
            <v>118</v>
          </cell>
          <cell r="F27">
            <v>153.80000000000001</v>
          </cell>
        </row>
        <row r="28">
          <cell r="A28">
            <v>25</v>
          </cell>
          <cell r="B28">
            <v>20</v>
          </cell>
          <cell r="C28" t="str">
            <v>KM</v>
          </cell>
          <cell r="D28">
            <v>115</v>
          </cell>
          <cell r="E28">
            <v>122</v>
          </cell>
          <cell r="F28">
            <v>157.1</v>
          </cell>
        </row>
        <row r="29">
          <cell r="A29">
            <v>26</v>
          </cell>
          <cell r="B29">
            <v>21</v>
          </cell>
          <cell r="C29" t="str">
            <v>KM</v>
          </cell>
          <cell r="D29">
            <v>117.5</v>
          </cell>
          <cell r="E29">
            <v>125</v>
          </cell>
          <cell r="F29">
            <v>161.15</v>
          </cell>
        </row>
        <row r="30">
          <cell r="A30">
            <v>27</v>
          </cell>
          <cell r="B30">
            <v>22</v>
          </cell>
          <cell r="C30" t="str">
            <v>KM</v>
          </cell>
          <cell r="D30">
            <v>120</v>
          </cell>
          <cell r="E30">
            <v>128</v>
          </cell>
          <cell r="F30">
            <v>165.2</v>
          </cell>
        </row>
        <row r="31">
          <cell r="A31">
            <v>28</v>
          </cell>
          <cell r="B31">
            <v>23</v>
          </cell>
          <cell r="C31" t="str">
            <v>KM</v>
          </cell>
          <cell r="D31">
            <v>122.5</v>
          </cell>
          <cell r="E31">
            <v>131</v>
          </cell>
          <cell r="F31">
            <v>169.25</v>
          </cell>
        </row>
        <row r="32">
          <cell r="A32">
            <v>29</v>
          </cell>
          <cell r="B32">
            <v>24</v>
          </cell>
          <cell r="C32" t="str">
            <v>KM</v>
          </cell>
          <cell r="D32">
            <v>125</v>
          </cell>
          <cell r="E32">
            <v>134</v>
          </cell>
          <cell r="F32">
            <v>173.3</v>
          </cell>
        </row>
        <row r="33">
          <cell r="A33">
            <v>30</v>
          </cell>
          <cell r="B33">
            <v>25</v>
          </cell>
          <cell r="C33" t="str">
            <v>KM</v>
          </cell>
          <cell r="D33">
            <v>127.5</v>
          </cell>
          <cell r="E33">
            <v>137</v>
          </cell>
          <cell r="F33">
            <v>177.35</v>
          </cell>
        </row>
        <row r="34">
          <cell r="A34">
            <v>31</v>
          </cell>
          <cell r="B34">
            <v>26</v>
          </cell>
          <cell r="C34" t="str">
            <v>KM</v>
          </cell>
          <cell r="D34">
            <v>130</v>
          </cell>
          <cell r="E34">
            <v>140</v>
          </cell>
          <cell r="F34">
            <v>181.4</v>
          </cell>
        </row>
        <row r="35">
          <cell r="A35">
            <v>32</v>
          </cell>
          <cell r="B35">
            <v>27</v>
          </cell>
          <cell r="C35" t="str">
            <v>KM</v>
          </cell>
          <cell r="D35">
            <v>132.5</v>
          </cell>
          <cell r="E35">
            <v>143</v>
          </cell>
          <cell r="F35">
            <v>185.45</v>
          </cell>
        </row>
        <row r="36">
          <cell r="A36">
            <v>33</v>
          </cell>
          <cell r="B36">
            <v>28</v>
          </cell>
          <cell r="C36" t="str">
            <v>KM</v>
          </cell>
          <cell r="D36">
            <v>135</v>
          </cell>
          <cell r="E36">
            <v>146</v>
          </cell>
          <cell r="F36">
            <v>189.5</v>
          </cell>
        </row>
        <row r="37">
          <cell r="A37">
            <v>34</v>
          </cell>
          <cell r="B37">
            <v>29</v>
          </cell>
          <cell r="C37" t="str">
            <v>KM</v>
          </cell>
          <cell r="D37">
            <v>137.5</v>
          </cell>
          <cell r="E37">
            <v>149</v>
          </cell>
          <cell r="F37">
            <v>193.55</v>
          </cell>
        </row>
        <row r="38">
          <cell r="A38">
            <v>35</v>
          </cell>
          <cell r="B38">
            <v>30</v>
          </cell>
          <cell r="C38" t="str">
            <v>KM</v>
          </cell>
          <cell r="D38">
            <v>140</v>
          </cell>
          <cell r="E38">
            <v>152</v>
          </cell>
          <cell r="F38">
            <v>197.6</v>
          </cell>
        </row>
        <row r="39">
          <cell r="A39">
            <v>36</v>
          </cell>
          <cell r="B39">
            <v>31</v>
          </cell>
          <cell r="C39" t="str">
            <v>KM</v>
          </cell>
          <cell r="D39">
            <v>142.5</v>
          </cell>
          <cell r="E39">
            <v>155</v>
          </cell>
          <cell r="F39">
            <v>201.65</v>
          </cell>
        </row>
        <row r="40">
          <cell r="A40">
            <v>37</v>
          </cell>
          <cell r="B40">
            <v>32</v>
          </cell>
          <cell r="C40" t="str">
            <v>KM</v>
          </cell>
          <cell r="D40">
            <v>145</v>
          </cell>
          <cell r="E40">
            <v>158</v>
          </cell>
          <cell r="F40">
            <v>205.7</v>
          </cell>
        </row>
        <row r="41">
          <cell r="A41">
            <v>38</v>
          </cell>
          <cell r="B41">
            <v>33</v>
          </cell>
          <cell r="C41" t="str">
            <v>KM</v>
          </cell>
          <cell r="D41">
            <v>147.5</v>
          </cell>
          <cell r="E41">
            <v>161</v>
          </cell>
          <cell r="F41">
            <v>209.75</v>
          </cell>
        </row>
        <row r="42">
          <cell r="A42">
            <v>39</v>
          </cell>
          <cell r="B42">
            <v>34</v>
          </cell>
          <cell r="C42" t="str">
            <v>KM</v>
          </cell>
          <cell r="D42">
            <v>150</v>
          </cell>
          <cell r="E42">
            <v>164</v>
          </cell>
          <cell r="F42">
            <v>213.8</v>
          </cell>
        </row>
        <row r="43">
          <cell r="A43">
            <v>40</v>
          </cell>
          <cell r="B43">
            <v>35</v>
          </cell>
          <cell r="C43" t="str">
            <v>KM</v>
          </cell>
          <cell r="D43">
            <v>152.5</v>
          </cell>
          <cell r="E43">
            <v>167</v>
          </cell>
          <cell r="F43">
            <v>217.85</v>
          </cell>
        </row>
        <row r="44">
          <cell r="A44">
            <v>41</v>
          </cell>
          <cell r="B44">
            <v>36</v>
          </cell>
          <cell r="C44" t="str">
            <v>KM</v>
          </cell>
          <cell r="D44">
            <v>155</v>
          </cell>
          <cell r="E44">
            <v>170</v>
          </cell>
          <cell r="F44">
            <v>221.9</v>
          </cell>
        </row>
        <row r="45">
          <cell r="A45">
            <v>42</v>
          </cell>
          <cell r="B45">
            <v>37</v>
          </cell>
          <cell r="C45" t="str">
            <v>KM</v>
          </cell>
          <cell r="D45">
            <v>157.5</v>
          </cell>
          <cell r="E45">
            <v>173</v>
          </cell>
          <cell r="F45">
            <v>225.95</v>
          </cell>
        </row>
        <row r="46">
          <cell r="A46">
            <v>43</v>
          </cell>
          <cell r="B46">
            <v>38</v>
          </cell>
          <cell r="C46" t="str">
            <v>KM</v>
          </cell>
          <cell r="D46">
            <v>160</v>
          </cell>
          <cell r="E46">
            <v>176</v>
          </cell>
          <cell r="F46">
            <v>230</v>
          </cell>
        </row>
        <row r="47">
          <cell r="A47">
            <v>44</v>
          </cell>
          <cell r="B47">
            <v>39</v>
          </cell>
          <cell r="C47" t="str">
            <v>KM</v>
          </cell>
          <cell r="D47">
            <v>162.5</v>
          </cell>
          <cell r="E47">
            <v>179</v>
          </cell>
          <cell r="F47">
            <v>234.05</v>
          </cell>
        </row>
        <row r="48">
          <cell r="A48">
            <v>45</v>
          </cell>
          <cell r="B48">
            <v>40</v>
          </cell>
          <cell r="C48" t="str">
            <v>KM</v>
          </cell>
          <cell r="D48">
            <v>165</v>
          </cell>
          <cell r="E48">
            <v>182</v>
          </cell>
          <cell r="F48">
            <v>238.1</v>
          </cell>
        </row>
        <row r="49">
          <cell r="A49">
            <v>46</v>
          </cell>
          <cell r="B49">
            <v>41</v>
          </cell>
          <cell r="C49" t="str">
            <v>KM</v>
          </cell>
          <cell r="D49">
            <v>167.5</v>
          </cell>
          <cell r="E49">
            <v>185</v>
          </cell>
          <cell r="F49">
            <v>242.15</v>
          </cell>
        </row>
        <row r="50">
          <cell r="A50">
            <v>47</v>
          </cell>
          <cell r="B50">
            <v>42</v>
          </cell>
          <cell r="C50" t="str">
            <v>KM</v>
          </cell>
          <cell r="D50">
            <v>170</v>
          </cell>
          <cell r="E50">
            <v>188</v>
          </cell>
          <cell r="F50">
            <v>246.2</v>
          </cell>
        </row>
        <row r="51">
          <cell r="A51">
            <v>48</v>
          </cell>
          <cell r="B51">
            <v>43</v>
          </cell>
          <cell r="C51" t="str">
            <v>KM</v>
          </cell>
          <cell r="D51">
            <v>172.5</v>
          </cell>
          <cell r="E51">
            <v>191</v>
          </cell>
          <cell r="F51">
            <v>250.25</v>
          </cell>
        </row>
        <row r="52">
          <cell r="A52">
            <v>49</v>
          </cell>
          <cell r="B52">
            <v>44</v>
          </cell>
          <cell r="C52" t="str">
            <v>KM</v>
          </cell>
          <cell r="D52">
            <v>175</v>
          </cell>
          <cell r="E52">
            <v>194</v>
          </cell>
          <cell r="F52">
            <v>254.3</v>
          </cell>
        </row>
        <row r="53">
          <cell r="A53">
            <v>50</v>
          </cell>
          <cell r="B53">
            <v>45</v>
          </cell>
          <cell r="C53" t="str">
            <v>KM</v>
          </cell>
          <cell r="D53">
            <v>177.5</v>
          </cell>
          <cell r="E53">
            <v>197</v>
          </cell>
          <cell r="F53">
            <v>258.35000000000002</v>
          </cell>
        </row>
      </sheetData>
      <sheetData sheetId="19"/>
      <sheetData sheetId="20"/>
      <sheetData sheetId="21"/>
      <sheetData sheetId="22"/>
      <sheetData sheetId="23"/>
      <sheetData sheetId="24"/>
      <sheetData sheetId="25"/>
      <sheetData sheetId="26" refreshError="1"/>
      <sheetData sheetId="27"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ExeSummary"/>
      <sheetName val="sReport"/>
      <sheetName val="crust"/>
      <sheetName val="abstract"/>
      <sheetName val="detailed"/>
      <sheetName val="rates"/>
      <sheetName val="initialrate"/>
      <sheetName val="data"/>
      <sheetName val="btrates"/>
      <sheetName val="leads"/>
      <sheetName val="CDdata"/>
      <sheetName val="1v800"/>
      <sheetName val="hp900"/>
      <sheetName val="1v900"/>
      <sheetName val="2v900"/>
      <sheetName val="3v900"/>
      <sheetName val="lchart"/>
      <sheetName val="lchart1"/>
      <sheetName val="CS2"/>
      <sheetName val="LS2"/>
      <sheetName val="CS3"/>
      <sheetName val="LS3"/>
      <sheetName val="CS-ex"/>
      <sheetName val="LS-ex"/>
    </sheetNames>
    <sheetDataSet>
      <sheetData sheetId="0"/>
      <sheetData sheetId="1"/>
      <sheetData sheetId="2"/>
      <sheetData sheetId="3"/>
      <sheetData sheetId="4"/>
      <sheetData sheetId="5"/>
      <sheetData sheetId="6"/>
      <sheetData sheetId="7"/>
      <sheetData sheetId="8"/>
      <sheetData sheetId="9"/>
      <sheetData sheetId="10">
        <row r="3">
          <cell r="A3" t="str">
            <v>Sno</v>
          </cell>
          <cell r="B3" t="str">
            <v>Lead</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row r="108">
          <cell r="A108">
            <v>101</v>
          </cell>
          <cell r="B108">
            <v>101</v>
          </cell>
          <cell r="C108" t="str">
            <v>KM</v>
          </cell>
          <cell r="D108">
            <v>345.6</v>
          </cell>
          <cell r="E108">
            <v>397.1</v>
          </cell>
        </row>
        <row r="109">
          <cell r="A109">
            <v>102</v>
          </cell>
          <cell r="B109">
            <v>102</v>
          </cell>
          <cell r="C109" t="str">
            <v>KM</v>
          </cell>
          <cell r="D109">
            <v>348.2</v>
          </cell>
          <cell r="E109">
            <v>400.2</v>
          </cell>
        </row>
        <row r="110">
          <cell r="A110">
            <v>103</v>
          </cell>
          <cell r="B110">
            <v>103</v>
          </cell>
          <cell r="C110" t="str">
            <v>KM</v>
          </cell>
          <cell r="D110">
            <v>350.8</v>
          </cell>
          <cell r="E110">
            <v>403.3</v>
          </cell>
        </row>
        <row r="111">
          <cell r="A111">
            <v>104</v>
          </cell>
          <cell r="B111">
            <v>104</v>
          </cell>
          <cell r="C111" t="str">
            <v>KM</v>
          </cell>
          <cell r="D111">
            <v>353.4</v>
          </cell>
          <cell r="E111">
            <v>406.4</v>
          </cell>
        </row>
        <row r="112">
          <cell r="A112">
            <v>105</v>
          </cell>
          <cell r="B112">
            <v>105</v>
          </cell>
          <cell r="C112" t="str">
            <v>KM</v>
          </cell>
          <cell r="D112">
            <v>356</v>
          </cell>
          <cell r="E112">
            <v>409.5</v>
          </cell>
        </row>
        <row r="113">
          <cell r="A113">
            <v>106</v>
          </cell>
          <cell r="B113">
            <v>106</v>
          </cell>
          <cell r="C113" t="str">
            <v>KM</v>
          </cell>
          <cell r="D113">
            <v>358.6</v>
          </cell>
          <cell r="E113">
            <v>412.6</v>
          </cell>
        </row>
        <row r="114">
          <cell r="A114">
            <v>107</v>
          </cell>
          <cell r="B114">
            <v>107</v>
          </cell>
          <cell r="C114" t="str">
            <v>KM</v>
          </cell>
          <cell r="D114">
            <v>361.2</v>
          </cell>
          <cell r="E114">
            <v>415.7</v>
          </cell>
        </row>
        <row r="115">
          <cell r="A115">
            <v>108</v>
          </cell>
          <cell r="B115">
            <v>108</v>
          </cell>
          <cell r="C115" t="str">
            <v>KM</v>
          </cell>
          <cell r="D115">
            <v>363.8</v>
          </cell>
          <cell r="E115">
            <v>418.8</v>
          </cell>
        </row>
        <row r="116">
          <cell r="A116">
            <v>109</v>
          </cell>
          <cell r="B116">
            <v>109</v>
          </cell>
          <cell r="C116" t="str">
            <v>KM</v>
          </cell>
          <cell r="D116">
            <v>366.4</v>
          </cell>
          <cell r="E116">
            <v>421.9</v>
          </cell>
        </row>
        <row r="117">
          <cell r="A117">
            <v>110</v>
          </cell>
          <cell r="B117">
            <v>110</v>
          </cell>
          <cell r="C117" t="str">
            <v>KM</v>
          </cell>
          <cell r="D117">
            <v>369</v>
          </cell>
          <cell r="E117">
            <v>425</v>
          </cell>
        </row>
        <row r="118">
          <cell r="A118">
            <v>111</v>
          </cell>
          <cell r="B118">
            <v>111</v>
          </cell>
          <cell r="C118" t="str">
            <v>KM</v>
          </cell>
          <cell r="D118">
            <v>371.6</v>
          </cell>
          <cell r="E118">
            <v>428.1</v>
          </cell>
        </row>
        <row r="119">
          <cell r="A119">
            <v>112</v>
          </cell>
          <cell r="B119">
            <v>112</v>
          </cell>
          <cell r="C119" t="str">
            <v>KM</v>
          </cell>
          <cell r="D119">
            <v>374.2</v>
          </cell>
          <cell r="E119">
            <v>431.2</v>
          </cell>
        </row>
        <row r="120">
          <cell r="A120">
            <v>113</v>
          </cell>
          <cell r="B120">
            <v>113</v>
          </cell>
          <cell r="C120" t="str">
            <v>KM</v>
          </cell>
          <cell r="D120">
            <v>376.8</v>
          </cell>
          <cell r="E120">
            <v>434.3</v>
          </cell>
        </row>
        <row r="121">
          <cell r="A121">
            <v>114</v>
          </cell>
          <cell r="B121">
            <v>114</v>
          </cell>
          <cell r="C121" t="str">
            <v>KM</v>
          </cell>
          <cell r="D121">
            <v>379.4</v>
          </cell>
          <cell r="E121">
            <v>437.4</v>
          </cell>
        </row>
        <row r="122">
          <cell r="A122">
            <v>115</v>
          </cell>
          <cell r="B122">
            <v>115</v>
          </cell>
          <cell r="C122" t="str">
            <v>KM</v>
          </cell>
          <cell r="D122">
            <v>382</v>
          </cell>
          <cell r="E122">
            <v>440.5</v>
          </cell>
        </row>
        <row r="123">
          <cell r="A123">
            <v>116</v>
          </cell>
          <cell r="B123">
            <v>116</v>
          </cell>
          <cell r="C123" t="str">
            <v>KM</v>
          </cell>
          <cell r="D123">
            <v>384.6</v>
          </cell>
          <cell r="E123">
            <v>443.6</v>
          </cell>
        </row>
        <row r="124">
          <cell r="A124">
            <v>117</v>
          </cell>
          <cell r="B124">
            <v>117</v>
          </cell>
          <cell r="C124" t="str">
            <v>KM</v>
          </cell>
          <cell r="D124">
            <v>387.2</v>
          </cell>
          <cell r="E124">
            <v>446.7</v>
          </cell>
        </row>
        <row r="125">
          <cell r="A125">
            <v>118</v>
          </cell>
          <cell r="B125">
            <v>118</v>
          </cell>
          <cell r="C125" t="str">
            <v>KM</v>
          </cell>
          <cell r="D125">
            <v>389.8</v>
          </cell>
          <cell r="E125">
            <v>449.8</v>
          </cell>
        </row>
        <row r="126">
          <cell r="A126">
            <v>119</v>
          </cell>
          <cell r="B126">
            <v>119</v>
          </cell>
          <cell r="C126" t="str">
            <v>KM</v>
          </cell>
          <cell r="D126">
            <v>392.4</v>
          </cell>
          <cell r="E126">
            <v>452.9</v>
          </cell>
        </row>
        <row r="127">
          <cell r="A127">
            <v>120</v>
          </cell>
          <cell r="B127">
            <v>120</v>
          </cell>
          <cell r="C127" t="str">
            <v>KM</v>
          </cell>
          <cell r="D127">
            <v>395</v>
          </cell>
          <cell r="E127">
            <v>456</v>
          </cell>
        </row>
        <row r="128">
          <cell r="A128">
            <v>121</v>
          </cell>
          <cell r="B128">
            <v>121</v>
          </cell>
          <cell r="C128" t="str">
            <v>KM</v>
          </cell>
          <cell r="D128">
            <v>397.6</v>
          </cell>
          <cell r="E128">
            <v>459.1</v>
          </cell>
        </row>
        <row r="129">
          <cell r="A129">
            <v>122</v>
          </cell>
          <cell r="B129">
            <v>122</v>
          </cell>
          <cell r="C129" t="str">
            <v>KM</v>
          </cell>
          <cell r="D129">
            <v>400.2</v>
          </cell>
          <cell r="E129">
            <v>462.2</v>
          </cell>
        </row>
        <row r="130">
          <cell r="A130">
            <v>123</v>
          </cell>
          <cell r="B130">
            <v>123</v>
          </cell>
          <cell r="C130" t="str">
            <v>KM</v>
          </cell>
          <cell r="D130">
            <v>402.8</v>
          </cell>
          <cell r="E130">
            <v>465.3</v>
          </cell>
        </row>
        <row r="131">
          <cell r="A131">
            <v>124</v>
          </cell>
          <cell r="B131">
            <v>124</v>
          </cell>
          <cell r="C131" t="str">
            <v>KM</v>
          </cell>
          <cell r="D131">
            <v>405.4</v>
          </cell>
          <cell r="E131">
            <v>468.4</v>
          </cell>
        </row>
        <row r="132">
          <cell r="A132">
            <v>125</v>
          </cell>
          <cell r="B132">
            <v>125</v>
          </cell>
          <cell r="C132" t="str">
            <v>KM</v>
          </cell>
          <cell r="D132">
            <v>408</v>
          </cell>
          <cell r="E132">
            <v>471.5</v>
          </cell>
        </row>
        <row r="133">
          <cell r="A133">
            <v>126</v>
          </cell>
          <cell r="B133">
            <v>126</v>
          </cell>
          <cell r="C133" t="str">
            <v>KM</v>
          </cell>
          <cell r="D133">
            <v>410.6</v>
          </cell>
          <cell r="E133">
            <v>474.6</v>
          </cell>
        </row>
        <row r="134">
          <cell r="A134">
            <v>127</v>
          </cell>
          <cell r="B134">
            <v>127</v>
          </cell>
          <cell r="C134" t="str">
            <v>KM</v>
          </cell>
          <cell r="D134">
            <v>413.2</v>
          </cell>
          <cell r="E134">
            <v>477.7</v>
          </cell>
        </row>
        <row r="135">
          <cell r="A135">
            <v>128</v>
          </cell>
          <cell r="B135">
            <v>128</v>
          </cell>
          <cell r="C135" t="str">
            <v>KM</v>
          </cell>
          <cell r="D135">
            <v>415.8</v>
          </cell>
          <cell r="E135">
            <v>480.8</v>
          </cell>
        </row>
        <row r="136">
          <cell r="A136">
            <v>129</v>
          </cell>
          <cell r="B136">
            <v>129</v>
          </cell>
          <cell r="C136" t="str">
            <v>KM</v>
          </cell>
          <cell r="D136">
            <v>418.4</v>
          </cell>
          <cell r="E136">
            <v>483.9</v>
          </cell>
        </row>
        <row r="137">
          <cell r="A137">
            <v>130</v>
          </cell>
          <cell r="B137">
            <v>130</v>
          </cell>
          <cell r="C137" t="str">
            <v>KM</v>
          </cell>
          <cell r="D137">
            <v>421</v>
          </cell>
          <cell r="E137">
            <v>487</v>
          </cell>
        </row>
        <row r="138">
          <cell r="A138">
            <v>131</v>
          </cell>
          <cell r="B138">
            <v>131</v>
          </cell>
          <cell r="C138" t="str">
            <v>KM</v>
          </cell>
          <cell r="D138">
            <v>423.6</v>
          </cell>
          <cell r="E138">
            <v>490.1</v>
          </cell>
        </row>
        <row r="139">
          <cell r="A139">
            <v>132</v>
          </cell>
          <cell r="B139">
            <v>132</v>
          </cell>
          <cell r="C139" t="str">
            <v>KM</v>
          </cell>
          <cell r="D139">
            <v>426.2</v>
          </cell>
          <cell r="E139">
            <v>493.2</v>
          </cell>
        </row>
        <row r="140">
          <cell r="A140">
            <v>133</v>
          </cell>
          <cell r="B140">
            <v>133</v>
          </cell>
          <cell r="C140" t="str">
            <v>KM</v>
          </cell>
          <cell r="D140">
            <v>428.8</v>
          </cell>
          <cell r="E140">
            <v>496.3</v>
          </cell>
        </row>
        <row r="141">
          <cell r="A141">
            <v>134</v>
          </cell>
          <cell r="B141">
            <v>134</v>
          </cell>
          <cell r="C141" t="str">
            <v>KM</v>
          </cell>
          <cell r="D141">
            <v>431.4</v>
          </cell>
          <cell r="E141">
            <v>499.4</v>
          </cell>
        </row>
        <row r="142">
          <cell r="A142">
            <v>135</v>
          </cell>
          <cell r="B142">
            <v>135</v>
          </cell>
          <cell r="C142" t="str">
            <v>KM</v>
          </cell>
          <cell r="D142">
            <v>434</v>
          </cell>
          <cell r="E142">
            <v>502.5</v>
          </cell>
        </row>
        <row r="143">
          <cell r="A143">
            <v>136</v>
          </cell>
          <cell r="B143">
            <v>136</v>
          </cell>
          <cell r="C143" t="str">
            <v>KM</v>
          </cell>
          <cell r="D143">
            <v>436.6</v>
          </cell>
          <cell r="E143">
            <v>505.6</v>
          </cell>
        </row>
        <row r="144">
          <cell r="A144">
            <v>137</v>
          </cell>
          <cell r="B144">
            <v>137</v>
          </cell>
          <cell r="C144" t="str">
            <v>KM</v>
          </cell>
          <cell r="D144">
            <v>439.2</v>
          </cell>
          <cell r="E144">
            <v>508.7</v>
          </cell>
        </row>
        <row r="145">
          <cell r="A145">
            <v>138</v>
          </cell>
          <cell r="B145">
            <v>138</v>
          </cell>
          <cell r="C145" t="str">
            <v>KM</v>
          </cell>
          <cell r="D145">
            <v>441.8</v>
          </cell>
          <cell r="E145">
            <v>511.8</v>
          </cell>
        </row>
        <row r="146">
          <cell r="A146">
            <v>139</v>
          </cell>
          <cell r="B146">
            <v>139</v>
          </cell>
          <cell r="C146" t="str">
            <v>KM</v>
          </cell>
          <cell r="D146">
            <v>444.4</v>
          </cell>
          <cell r="E146">
            <v>514.9</v>
          </cell>
        </row>
        <row r="147">
          <cell r="A147">
            <v>140</v>
          </cell>
          <cell r="B147">
            <v>140</v>
          </cell>
          <cell r="C147" t="str">
            <v>KM</v>
          </cell>
          <cell r="D147">
            <v>447</v>
          </cell>
          <cell r="E147">
            <v>518</v>
          </cell>
        </row>
        <row r="148">
          <cell r="A148">
            <v>141</v>
          </cell>
          <cell r="B148">
            <v>141</v>
          </cell>
          <cell r="C148" t="str">
            <v>KM</v>
          </cell>
          <cell r="D148">
            <v>449.6</v>
          </cell>
          <cell r="E148">
            <v>521.1</v>
          </cell>
        </row>
        <row r="149">
          <cell r="A149">
            <v>142</v>
          </cell>
          <cell r="B149">
            <v>142</v>
          </cell>
          <cell r="C149" t="str">
            <v>KM</v>
          </cell>
          <cell r="D149">
            <v>452.2</v>
          </cell>
          <cell r="E149">
            <v>524.20000000000005</v>
          </cell>
        </row>
        <row r="150">
          <cell r="A150">
            <v>143</v>
          </cell>
          <cell r="B150">
            <v>143</v>
          </cell>
          <cell r="C150" t="str">
            <v>KM</v>
          </cell>
          <cell r="D150">
            <v>454.8</v>
          </cell>
          <cell r="E150">
            <v>527.29999999999995</v>
          </cell>
        </row>
        <row r="151">
          <cell r="A151">
            <v>144</v>
          </cell>
          <cell r="B151">
            <v>144</v>
          </cell>
          <cell r="C151" t="str">
            <v>KM</v>
          </cell>
          <cell r="D151">
            <v>457.4</v>
          </cell>
          <cell r="E151">
            <v>530.4</v>
          </cell>
        </row>
        <row r="152">
          <cell r="A152">
            <v>145</v>
          </cell>
          <cell r="B152">
            <v>145</v>
          </cell>
          <cell r="C152" t="str">
            <v>KM</v>
          </cell>
          <cell r="D152">
            <v>460</v>
          </cell>
          <cell r="E152">
            <v>533.5</v>
          </cell>
        </row>
        <row r="153">
          <cell r="A153">
            <v>146</v>
          </cell>
          <cell r="B153">
            <v>146</v>
          </cell>
          <cell r="C153" t="str">
            <v>KM</v>
          </cell>
          <cell r="D153">
            <v>462.6</v>
          </cell>
          <cell r="E153">
            <v>536.6</v>
          </cell>
        </row>
        <row r="154">
          <cell r="A154">
            <v>147</v>
          </cell>
          <cell r="B154">
            <v>147</v>
          </cell>
          <cell r="C154" t="str">
            <v>KM</v>
          </cell>
          <cell r="D154">
            <v>465.2</v>
          </cell>
          <cell r="E154">
            <v>539.70000000000005</v>
          </cell>
        </row>
        <row r="155">
          <cell r="A155">
            <v>148</v>
          </cell>
          <cell r="B155">
            <v>148</v>
          </cell>
          <cell r="C155" t="str">
            <v>KM</v>
          </cell>
          <cell r="D155">
            <v>467.8</v>
          </cell>
          <cell r="E155">
            <v>542.79999999999995</v>
          </cell>
        </row>
        <row r="156">
          <cell r="A156">
            <v>149</v>
          </cell>
          <cell r="B156">
            <v>149</v>
          </cell>
          <cell r="C156" t="str">
            <v>KM</v>
          </cell>
          <cell r="D156">
            <v>470.4</v>
          </cell>
          <cell r="E156">
            <v>545.9</v>
          </cell>
        </row>
        <row r="157">
          <cell r="A157">
            <v>150</v>
          </cell>
          <cell r="B157">
            <v>150</v>
          </cell>
          <cell r="C157" t="str">
            <v>KM</v>
          </cell>
          <cell r="D157">
            <v>473</v>
          </cell>
          <cell r="E157">
            <v>549</v>
          </cell>
        </row>
        <row r="158">
          <cell r="A158">
            <v>151</v>
          </cell>
          <cell r="B158">
            <v>151</v>
          </cell>
          <cell r="C158" t="str">
            <v>KM</v>
          </cell>
          <cell r="D158">
            <v>475.6</v>
          </cell>
          <cell r="E158">
            <v>552.1</v>
          </cell>
        </row>
        <row r="159">
          <cell r="A159">
            <v>152</v>
          </cell>
          <cell r="B159">
            <v>152</v>
          </cell>
          <cell r="C159" t="str">
            <v>KM</v>
          </cell>
          <cell r="D159">
            <v>478.2</v>
          </cell>
          <cell r="E159">
            <v>555.20000000000005</v>
          </cell>
        </row>
        <row r="160">
          <cell r="A160">
            <v>153</v>
          </cell>
          <cell r="B160">
            <v>153</v>
          </cell>
          <cell r="C160" t="str">
            <v>KM</v>
          </cell>
          <cell r="D160">
            <v>480.8</v>
          </cell>
          <cell r="E160">
            <v>558.29999999999995</v>
          </cell>
        </row>
        <row r="161">
          <cell r="A161">
            <v>154</v>
          </cell>
          <cell r="B161">
            <v>154</v>
          </cell>
          <cell r="C161" t="str">
            <v>KM</v>
          </cell>
          <cell r="D161">
            <v>483.4</v>
          </cell>
          <cell r="E161">
            <v>561.4</v>
          </cell>
        </row>
        <row r="162">
          <cell r="A162">
            <v>155</v>
          </cell>
          <cell r="B162">
            <v>155</v>
          </cell>
          <cell r="C162" t="str">
            <v>KM</v>
          </cell>
          <cell r="D162">
            <v>486</v>
          </cell>
          <cell r="E162">
            <v>564.5</v>
          </cell>
        </row>
        <row r="163">
          <cell r="A163">
            <v>156</v>
          </cell>
          <cell r="B163">
            <v>156</v>
          </cell>
          <cell r="C163" t="str">
            <v>KM</v>
          </cell>
          <cell r="D163">
            <v>488.6</v>
          </cell>
          <cell r="E163">
            <v>567.6</v>
          </cell>
        </row>
        <row r="164">
          <cell r="A164">
            <v>157</v>
          </cell>
          <cell r="B164">
            <v>157</v>
          </cell>
          <cell r="C164" t="str">
            <v>KM</v>
          </cell>
          <cell r="D164">
            <v>491.2</v>
          </cell>
          <cell r="E164">
            <v>570.70000000000005</v>
          </cell>
        </row>
        <row r="165">
          <cell r="A165">
            <v>158</v>
          </cell>
          <cell r="B165">
            <v>158</v>
          </cell>
          <cell r="C165" t="str">
            <v>KM</v>
          </cell>
          <cell r="D165">
            <v>493.8</v>
          </cell>
          <cell r="E165">
            <v>573.79999999999995</v>
          </cell>
        </row>
        <row r="166">
          <cell r="A166">
            <v>159</v>
          </cell>
          <cell r="B166">
            <v>159</v>
          </cell>
          <cell r="C166" t="str">
            <v>KM</v>
          </cell>
          <cell r="D166">
            <v>496.4</v>
          </cell>
          <cell r="E166">
            <v>576.9</v>
          </cell>
        </row>
        <row r="167">
          <cell r="A167">
            <v>160</v>
          </cell>
          <cell r="B167">
            <v>160</v>
          </cell>
          <cell r="C167" t="str">
            <v>KM</v>
          </cell>
          <cell r="D167">
            <v>499</v>
          </cell>
          <cell r="E167">
            <v>580</v>
          </cell>
        </row>
        <row r="168">
          <cell r="A168">
            <v>161</v>
          </cell>
          <cell r="B168">
            <v>161</v>
          </cell>
          <cell r="C168" t="str">
            <v>KM</v>
          </cell>
          <cell r="D168">
            <v>501.6</v>
          </cell>
          <cell r="E168">
            <v>583.1</v>
          </cell>
        </row>
        <row r="169">
          <cell r="A169">
            <v>162</v>
          </cell>
          <cell r="B169">
            <v>162</v>
          </cell>
          <cell r="C169" t="str">
            <v>KM</v>
          </cell>
          <cell r="D169">
            <v>504.2</v>
          </cell>
          <cell r="E169">
            <v>586.20000000000005</v>
          </cell>
        </row>
        <row r="170">
          <cell r="A170">
            <v>163</v>
          </cell>
          <cell r="B170">
            <v>163</v>
          </cell>
          <cell r="C170" t="str">
            <v>KM</v>
          </cell>
          <cell r="D170">
            <v>506.8</v>
          </cell>
          <cell r="E170">
            <v>589.29999999999995</v>
          </cell>
        </row>
        <row r="171">
          <cell r="A171">
            <v>164</v>
          </cell>
          <cell r="B171">
            <v>164</v>
          </cell>
          <cell r="C171" t="str">
            <v>KM</v>
          </cell>
          <cell r="D171">
            <v>509.4</v>
          </cell>
          <cell r="E171">
            <v>592.4</v>
          </cell>
        </row>
        <row r="172">
          <cell r="A172">
            <v>165</v>
          </cell>
          <cell r="B172">
            <v>165</v>
          </cell>
          <cell r="C172" t="str">
            <v>KM</v>
          </cell>
          <cell r="D172">
            <v>512</v>
          </cell>
          <cell r="E172">
            <v>595.5</v>
          </cell>
        </row>
        <row r="173">
          <cell r="A173">
            <v>166</v>
          </cell>
          <cell r="B173">
            <v>166</v>
          </cell>
          <cell r="C173" t="str">
            <v>KM</v>
          </cell>
          <cell r="D173">
            <v>514.6</v>
          </cell>
          <cell r="E173">
            <v>598.6</v>
          </cell>
        </row>
        <row r="174">
          <cell r="A174">
            <v>167</v>
          </cell>
          <cell r="B174">
            <v>167</v>
          </cell>
          <cell r="C174" t="str">
            <v>KM</v>
          </cell>
          <cell r="D174">
            <v>517.20000000000005</v>
          </cell>
          <cell r="E174">
            <v>601.70000000000005</v>
          </cell>
        </row>
        <row r="175">
          <cell r="A175">
            <v>168</v>
          </cell>
          <cell r="B175">
            <v>168</v>
          </cell>
          <cell r="C175" t="str">
            <v>KM</v>
          </cell>
          <cell r="D175">
            <v>519.79999999999995</v>
          </cell>
          <cell r="E175">
            <v>604.79999999999995</v>
          </cell>
        </row>
        <row r="176">
          <cell r="A176">
            <v>169</v>
          </cell>
          <cell r="B176">
            <v>169</v>
          </cell>
          <cell r="C176" t="str">
            <v>KM</v>
          </cell>
          <cell r="D176">
            <v>522.4</v>
          </cell>
          <cell r="E176">
            <v>607.9</v>
          </cell>
        </row>
        <row r="177">
          <cell r="A177">
            <v>170</v>
          </cell>
          <cell r="B177">
            <v>170</v>
          </cell>
          <cell r="C177" t="str">
            <v>KM</v>
          </cell>
          <cell r="D177">
            <v>525</v>
          </cell>
          <cell r="E177">
            <v>611</v>
          </cell>
        </row>
        <row r="178">
          <cell r="A178">
            <v>171</v>
          </cell>
          <cell r="B178">
            <v>171</v>
          </cell>
          <cell r="C178" t="str">
            <v>KM</v>
          </cell>
          <cell r="D178">
            <v>527.6</v>
          </cell>
          <cell r="E178">
            <v>614.1</v>
          </cell>
        </row>
        <row r="179">
          <cell r="A179">
            <v>172</v>
          </cell>
          <cell r="B179">
            <v>172</v>
          </cell>
          <cell r="C179" t="str">
            <v>KM</v>
          </cell>
          <cell r="D179">
            <v>530.20000000000005</v>
          </cell>
          <cell r="E179">
            <v>617.20000000000005</v>
          </cell>
        </row>
        <row r="180">
          <cell r="A180">
            <v>173</v>
          </cell>
          <cell r="B180">
            <v>173</v>
          </cell>
          <cell r="C180" t="str">
            <v>KM</v>
          </cell>
          <cell r="D180">
            <v>532.79999999999995</v>
          </cell>
          <cell r="E180">
            <v>620.29999999999995</v>
          </cell>
        </row>
        <row r="181">
          <cell r="A181">
            <v>174</v>
          </cell>
          <cell r="B181">
            <v>174</v>
          </cell>
          <cell r="C181" t="str">
            <v>KM</v>
          </cell>
          <cell r="D181">
            <v>535.4</v>
          </cell>
          <cell r="E181">
            <v>623.4</v>
          </cell>
        </row>
        <row r="182">
          <cell r="A182">
            <v>175</v>
          </cell>
          <cell r="B182">
            <v>175</v>
          </cell>
          <cell r="C182" t="str">
            <v>KM</v>
          </cell>
          <cell r="D182">
            <v>538</v>
          </cell>
          <cell r="E182">
            <v>626.5</v>
          </cell>
        </row>
        <row r="183">
          <cell r="A183">
            <v>176</v>
          </cell>
          <cell r="B183">
            <v>176</v>
          </cell>
          <cell r="C183" t="str">
            <v>KM</v>
          </cell>
          <cell r="D183">
            <v>540.6</v>
          </cell>
          <cell r="E183">
            <v>629.6</v>
          </cell>
        </row>
        <row r="184">
          <cell r="A184">
            <v>177</v>
          </cell>
          <cell r="B184">
            <v>177</v>
          </cell>
          <cell r="C184" t="str">
            <v>KM</v>
          </cell>
          <cell r="D184">
            <v>543.20000000000005</v>
          </cell>
          <cell r="E184">
            <v>632.70000000000005</v>
          </cell>
        </row>
        <row r="185">
          <cell r="A185">
            <v>178</v>
          </cell>
          <cell r="B185">
            <v>178</v>
          </cell>
          <cell r="C185" t="str">
            <v>KM</v>
          </cell>
          <cell r="D185">
            <v>545.79999999999995</v>
          </cell>
          <cell r="E185">
            <v>635.79999999999995</v>
          </cell>
        </row>
        <row r="186">
          <cell r="A186">
            <v>179</v>
          </cell>
          <cell r="B186">
            <v>179</v>
          </cell>
          <cell r="C186" t="str">
            <v>KM</v>
          </cell>
          <cell r="D186">
            <v>548.4</v>
          </cell>
          <cell r="E186">
            <v>638.9</v>
          </cell>
        </row>
        <row r="187">
          <cell r="A187">
            <v>180</v>
          </cell>
          <cell r="B187">
            <v>180</v>
          </cell>
          <cell r="C187" t="str">
            <v>KM</v>
          </cell>
          <cell r="D187">
            <v>551</v>
          </cell>
          <cell r="E187">
            <v>642</v>
          </cell>
        </row>
        <row r="188">
          <cell r="A188">
            <v>181</v>
          </cell>
          <cell r="B188">
            <v>181</v>
          </cell>
          <cell r="C188" t="str">
            <v>KM</v>
          </cell>
          <cell r="D188">
            <v>553.6</v>
          </cell>
          <cell r="E188">
            <v>645.1</v>
          </cell>
        </row>
        <row r="189">
          <cell r="A189">
            <v>182</v>
          </cell>
          <cell r="B189">
            <v>182</v>
          </cell>
          <cell r="C189" t="str">
            <v>KM</v>
          </cell>
          <cell r="D189">
            <v>556.20000000000005</v>
          </cell>
          <cell r="E189">
            <v>648.20000000000005</v>
          </cell>
        </row>
        <row r="190">
          <cell r="A190">
            <v>183</v>
          </cell>
          <cell r="B190">
            <v>183</v>
          </cell>
          <cell r="C190" t="str">
            <v>KM</v>
          </cell>
          <cell r="D190">
            <v>558.79999999999995</v>
          </cell>
          <cell r="E190">
            <v>651.29999999999995</v>
          </cell>
        </row>
        <row r="191">
          <cell r="A191">
            <v>184</v>
          </cell>
          <cell r="B191">
            <v>184</v>
          </cell>
          <cell r="C191" t="str">
            <v>KM</v>
          </cell>
          <cell r="D191">
            <v>561.4</v>
          </cell>
          <cell r="E191">
            <v>654.4</v>
          </cell>
        </row>
        <row r="192">
          <cell r="A192">
            <v>185</v>
          </cell>
          <cell r="B192">
            <v>185</v>
          </cell>
          <cell r="C192" t="str">
            <v>KM</v>
          </cell>
          <cell r="D192">
            <v>564</v>
          </cell>
          <cell r="E192">
            <v>657.5</v>
          </cell>
        </row>
        <row r="193">
          <cell r="A193">
            <v>186</v>
          </cell>
          <cell r="B193">
            <v>186</v>
          </cell>
          <cell r="C193" t="str">
            <v>KM</v>
          </cell>
          <cell r="D193">
            <v>566.6</v>
          </cell>
          <cell r="E193">
            <v>660.6</v>
          </cell>
        </row>
        <row r="194">
          <cell r="A194">
            <v>187</v>
          </cell>
          <cell r="B194">
            <v>187</v>
          </cell>
          <cell r="C194" t="str">
            <v>KM</v>
          </cell>
          <cell r="D194">
            <v>569.20000000000005</v>
          </cell>
          <cell r="E194">
            <v>663.7</v>
          </cell>
        </row>
        <row r="195">
          <cell r="A195">
            <v>188</v>
          </cell>
          <cell r="B195">
            <v>188</v>
          </cell>
          <cell r="C195" t="str">
            <v>KM</v>
          </cell>
          <cell r="D195">
            <v>571.79999999999995</v>
          </cell>
          <cell r="E195">
            <v>666.8</v>
          </cell>
        </row>
        <row r="196">
          <cell r="A196">
            <v>189</v>
          </cell>
          <cell r="B196">
            <v>189</v>
          </cell>
          <cell r="C196" t="str">
            <v>KM</v>
          </cell>
          <cell r="D196">
            <v>574.4</v>
          </cell>
          <cell r="E196">
            <v>669.9</v>
          </cell>
        </row>
        <row r="197">
          <cell r="A197">
            <v>190</v>
          </cell>
          <cell r="B197">
            <v>190</v>
          </cell>
          <cell r="C197" t="str">
            <v>KM</v>
          </cell>
          <cell r="D197">
            <v>577</v>
          </cell>
          <cell r="E197">
            <v>673</v>
          </cell>
        </row>
        <row r="198">
          <cell r="A198">
            <v>191</v>
          </cell>
          <cell r="B198">
            <v>191</v>
          </cell>
          <cell r="C198" t="str">
            <v>KM</v>
          </cell>
          <cell r="D198">
            <v>579.6</v>
          </cell>
          <cell r="E198">
            <v>676.1</v>
          </cell>
        </row>
        <row r="199">
          <cell r="A199">
            <v>192</v>
          </cell>
          <cell r="B199">
            <v>192</v>
          </cell>
          <cell r="C199" t="str">
            <v>KM</v>
          </cell>
          <cell r="D199">
            <v>582.20000000000005</v>
          </cell>
          <cell r="E199">
            <v>679.2</v>
          </cell>
        </row>
        <row r="200">
          <cell r="A200">
            <v>193</v>
          </cell>
          <cell r="B200">
            <v>193</v>
          </cell>
          <cell r="C200" t="str">
            <v>KM</v>
          </cell>
          <cell r="D200">
            <v>584.79999999999995</v>
          </cell>
          <cell r="E200">
            <v>682.3</v>
          </cell>
        </row>
        <row r="201">
          <cell r="A201">
            <v>194</v>
          </cell>
          <cell r="B201">
            <v>194</v>
          </cell>
          <cell r="C201" t="str">
            <v>KM</v>
          </cell>
          <cell r="D201">
            <v>587.4</v>
          </cell>
          <cell r="E201">
            <v>685.4</v>
          </cell>
        </row>
        <row r="202">
          <cell r="A202">
            <v>195</v>
          </cell>
          <cell r="B202">
            <v>195</v>
          </cell>
          <cell r="C202" t="str">
            <v>KM</v>
          </cell>
          <cell r="D202">
            <v>590</v>
          </cell>
          <cell r="E202">
            <v>688.5</v>
          </cell>
        </row>
        <row r="203">
          <cell r="A203">
            <v>196</v>
          </cell>
          <cell r="B203">
            <v>196</v>
          </cell>
          <cell r="C203" t="str">
            <v>KM</v>
          </cell>
          <cell r="D203">
            <v>592.6</v>
          </cell>
          <cell r="E203">
            <v>691.6</v>
          </cell>
        </row>
        <row r="204">
          <cell r="A204">
            <v>197</v>
          </cell>
          <cell r="B204">
            <v>197</v>
          </cell>
          <cell r="C204" t="str">
            <v>KM</v>
          </cell>
          <cell r="D204">
            <v>595.20000000000005</v>
          </cell>
          <cell r="E204">
            <v>694.7</v>
          </cell>
        </row>
        <row r="205">
          <cell r="A205">
            <v>198</v>
          </cell>
          <cell r="B205">
            <v>198</v>
          </cell>
          <cell r="C205" t="str">
            <v>KM</v>
          </cell>
          <cell r="D205">
            <v>597.79999999999995</v>
          </cell>
          <cell r="E205">
            <v>697.8</v>
          </cell>
        </row>
        <row r="206">
          <cell r="A206">
            <v>199</v>
          </cell>
          <cell r="B206">
            <v>199</v>
          </cell>
          <cell r="C206" t="str">
            <v>KM</v>
          </cell>
          <cell r="D206">
            <v>600.4</v>
          </cell>
          <cell r="E206">
            <v>700.9</v>
          </cell>
        </row>
        <row r="207">
          <cell r="A207">
            <v>200</v>
          </cell>
          <cell r="B207">
            <v>200</v>
          </cell>
          <cell r="C207" t="str">
            <v>KM</v>
          </cell>
          <cell r="D207">
            <v>603</v>
          </cell>
          <cell r="E207">
            <v>704</v>
          </cell>
        </row>
        <row r="208">
          <cell r="A208">
            <v>201</v>
          </cell>
          <cell r="B208">
            <v>201</v>
          </cell>
          <cell r="C208" t="str">
            <v>KM</v>
          </cell>
          <cell r="D208">
            <v>605.6</v>
          </cell>
          <cell r="E208">
            <v>707.1</v>
          </cell>
        </row>
        <row r="209">
          <cell r="A209">
            <v>202</v>
          </cell>
          <cell r="B209">
            <v>202</v>
          </cell>
          <cell r="C209" t="str">
            <v>KM</v>
          </cell>
          <cell r="D209">
            <v>608.20000000000005</v>
          </cell>
          <cell r="E209">
            <v>710.2</v>
          </cell>
        </row>
        <row r="210">
          <cell r="A210">
            <v>203</v>
          </cell>
          <cell r="B210">
            <v>203</v>
          </cell>
          <cell r="C210" t="str">
            <v>KM</v>
          </cell>
          <cell r="D210">
            <v>610.79999999999995</v>
          </cell>
          <cell r="E210">
            <v>713.3</v>
          </cell>
        </row>
        <row r="211">
          <cell r="A211">
            <v>204</v>
          </cell>
          <cell r="B211">
            <v>204</v>
          </cell>
          <cell r="C211" t="str">
            <v>KM</v>
          </cell>
          <cell r="D211">
            <v>613.4</v>
          </cell>
          <cell r="E211">
            <v>716.4</v>
          </cell>
        </row>
        <row r="212">
          <cell r="A212">
            <v>205</v>
          </cell>
          <cell r="B212">
            <v>205</v>
          </cell>
          <cell r="C212" t="str">
            <v>KM</v>
          </cell>
          <cell r="D212">
            <v>616</v>
          </cell>
          <cell r="E212">
            <v>719.5</v>
          </cell>
        </row>
        <row r="213">
          <cell r="A213">
            <v>206</v>
          </cell>
          <cell r="B213">
            <v>206</v>
          </cell>
          <cell r="C213" t="str">
            <v>KM</v>
          </cell>
          <cell r="D213">
            <v>618.6</v>
          </cell>
          <cell r="E213">
            <v>722.6</v>
          </cell>
        </row>
        <row r="214">
          <cell r="A214">
            <v>207</v>
          </cell>
          <cell r="B214">
            <v>207</v>
          </cell>
          <cell r="C214" t="str">
            <v>KM</v>
          </cell>
          <cell r="D214">
            <v>621.20000000000005</v>
          </cell>
          <cell r="E214">
            <v>725.7</v>
          </cell>
        </row>
        <row r="215">
          <cell r="A215">
            <v>208</v>
          </cell>
          <cell r="B215">
            <v>208</v>
          </cell>
          <cell r="C215" t="str">
            <v>KM</v>
          </cell>
          <cell r="D215">
            <v>623.79999999999995</v>
          </cell>
          <cell r="E215">
            <v>728.8</v>
          </cell>
        </row>
        <row r="216">
          <cell r="A216">
            <v>209</v>
          </cell>
          <cell r="B216">
            <v>209</v>
          </cell>
          <cell r="C216" t="str">
            <v>KM</v>
          </cell>
          <cell r="D216">
            <v>626.4</v>
          </cell>
          <cell r="E216">
            <v>731.9</v>
          </cell>
        </row>
        <row r="217">
          <cell r="A217">
            <v>210</v>
          </cell>
          <cell r="B217">
            <v>210</v>
          </cell>
          <cell r="C217" t="str">
            <v>KM</v>
          </cell>
          <cell r="D217">
            <v>629</v>
          </cell>
          <cell r="E217">
            <v>735</v>
          </cell>
        </row>
        <row r="218">
          <cell r="A218">
            <v>211</v>
          </cell>
          <cell r="B218">
            <v>211</v>
          </cell>
          <cell r="C218" t="str">
            <v>KM</v>
          </cell>
          <cell r="D218">
            <v>631.6</v>
          </cell>
          <cell r="E218">
            <v>738.1</v>
          </cell>
        </row>
        <row r="219">
          <cell r="A219">
            <v>212</v>
          </cell>
          <cell r="B219">
            <v>212</v>
          </cell>
          <cell r="C219" t="str">
            <v>KM</v>
          </cell>
          <cell r="D219">
            <v>634.20000000000005</v>
          </cell>
          <cell r="E219">
            <v>741.2</v>
          </cell>
        </row>
        <row r="220">
          <cell r="A220">
            <v>213</v>
          </cell>
          <cell r="B220">
            <v>213</v>
          </cell>
          <cell r="C220" t="str">
            <v>KM</v>
          </cell>
          <cell r="D220">
            <v>636.79999999999995</v>
          </cell>
          <cell r="E220">
            <v>744.3</v>
          </cell>
        </row>
        <row r="221">
          <cell r="A221">
            <v>214</v>
          </cell>
          <cell r="B221">
            <v>214</v>
          </cell>
          <cell r="C221" t="str">
            <v>KM</v>
          </cell>
          <cell r="D221">
            <v>639.4</v>
          </cell>
          <cell r="E221">
            <v>747.4</v>
          </cell>
        </row>
        <row r="222">
          <cell r="A222">
            <v>215</v>
          </cell>
          <cell r="B222">
            <v>215</v>
          </cell>
          <cell r="C222" t="str">
            <v>KM</v>
          </cell>
          <cell r="D222">
            <v>642</v>
          </cell>
          <cell r="E222">
            <v>750.5</v>
          </cell>
        </row>
        <row r="223">
          <cell r="A223">
            <v>216</v>
          </cell>
          <cell r="B223">
            <v>216</v>
          </cell>
          <cell r="C223" t="str">
            <v>KM</v>
          </cell>
          <cell r="D223">
            <v>644.6</v>
          </cell>
          <cell r="E223">
            <v>753.6</v>
          </cell>
        </row>
        <row r="224">
          <cell r="A224">
            <v>217</v>
          </cell>
          <cell r="B224">
            <v>217</v>
          </cell>
          <cell r="C224" t="str">
            <v>KM</v>
          </cell>
          <cell r="D224">
            <v>647.20000000000005</v>
          </cell>
          <cell r="E224">
            <v>756.7</v>
          </cell>
        </row>
        <row r="225">
          <cell r="A225">
            <v>218</v>
          </cell>
          <cell r="B225">
            <v>218</v>
          </cell>
          <cell r="C225" t="str">
            <v>KM</v>
          </cell>
          <cell r="D225">
            <v>649.79999999999995</v>
          </cell>
          <cell r="E225">
            <v>759.8</v>
          </cell>
        </row>
        <row r="226">
          <cell r="A226">
            <v>219</v>
          </cell>
          <cell r="B226">
            <v>219</v>
          </cell>
          <cell r="C226" t="str">
            <v>KM</v>
          </cell>
          <cell r="D226">
            <v>652.4</v>
          </cell>
          <cell r="E226">
            <v>762.9</v>
          </cell>
        </row>
        <row r="227">
          <cell r="A227">
            <v>220</v>
          </cell>
          <cell r="B227">
            <v>220</v>
          </cell>
          <cell r="C227" t="str">
            <v>KM</v>
          </cell>
          <cell r="D227">
            <v>655</v>
          </cell>
          <cell r="E227">
            <v>766</v>
          </cell>
        </row>
        <row r="228">
          <cell r="A228">
            <v>221</v>
          </cell>
          <cell r="B228">
            <v>221</v>
          </cell>
          <cell r="C228" t="str">
            <v>KM</v>
          </cell>
          <cell r="D228">
            <v>657.6</v>
          </cell>
          <cell r="E228">
            <v>769.1</v>
          </cell>
        </row>
        <row r="229">
          <cell r="A229">
            <v>222</v>
          </cell>
          <cell r="B229">
            <v>222</v>
          </cell>
          <cell r="C229" t="str">
            <v>KM</v>
          </cell>
          <cell r="D229">
            <v>660.2</v>
          </cell>
          <cell r="E229">
            <v>772.2</v>
          </cell>
        </row>
        <row r="230">
          <cell r="A230">
            <v>223</v>
          </cell>
          <cell r="B230">
            <v>223</v>
          </cell>
          <cell r="C230" t="str">
            <v>KM</v>
          </cell>
          <cell r="D230">
            <v>662.8</v>
          </cell>
          <cell r="E230">
            <v>775.3</v>
          </cell>
        </row>
        <row r="231">
          <cell r="A231">
            <v>224</v>
          </cell>
          <cell r="B231">
            <v>224</v>
          </cell>
          <cell r="C231" t="str">
            <v>KM</v>
          </cell>
          <cell r="D231">
            <v>665.4</v>
          </cell>
          <cell r="E231">
            <v>778.4</v>
          </cell>
        </row>
        <row r="232">
          <cell r="A232">
            <v>225</v>
          </cell>
          <cell r="B232">
            <v>225</v>
          </cell>
          <cell r="C232" t="str">
            <v>KM</v>
          </cell>
          <cell r="D232">
            <v>668</v>
          </cell>
          <cell r="E232">
            <v>781.5</v>
          </cell>
        </row>
        <row r="233">
          <cell r="A233">
            <v>226</v>
          </cell>
          <cell r="B233">
            <v>226</v>
          </cell>
          <cell r="C233" t="str">
            <v>KM</v>
          </cell>
          <cell r="D233">
            <v>670.6</v>
          </cell>
          <cell r="E233">
            <v>784.6</v>
          </cell>
        </row>
        <row r="234">
          <cell r="A234">
            <v>227</v>
          </cell>
          <cell r="B234">
            <v>227</v>
          </cell>
          <cell r="C234" t="str">
            <v>KM</v>
          </cell>
          <cell r="D234">
            <v>673.2</v>
          </cell>
          <cell r="E234">
            <v>787.7</v>
          </cell>
        </row>
        <row r="235">
          <cell r="A235">
            <v>228</v>
          </cell>
          <cell r="B235">
            <v>228</v>
          </cell>
          <cell r="C235" t="str">
            <v>KM</v>
          </cell>
          <cell r="D235">
            <v>675.8</v>
          </cell>
          <cell r="E235">
            <v>790.8</v>
          </cell>
        </row>
        <row r="236">
          <cell r="A236">
            <v>229</v>
          </cell>
          <cell r="B236">
            <v>229</v>
          </cell>
          <cell r="C236" t="str">
            <v>KM</v>
          </cell>
          <cell r="D236">
            <v>678.4</v>
          </cell>
          <cell r="E236">
            <v>793.9</v>
          </cell>
        </row>
        <row r="237">
          <cell r="A237">
            <v>230</v>
          </cell>
          <cell r="B237">
            <v>230</v>
          </cell>
          <cell r="C237" t="str">
            <v>KM</v>
          </cell>
          <cell r="D237">
            <v>681</v>
          </cell>
          <cell r="E237">
            <v>797</v>
          </cell>
        </row>
        <row r="238">
          <cell r="A238">
            <v>231</v>
          </cell>
          <cell r="B238">
            <v>231</v>
          </cell>
          <cell r="C238" t="str">
            <v>KM</v>
          </cell>
          <cell r="D238">
            <v>683.6</v>
          </cell>
          <cell r="E238">
            <v>800.1</v>
          </cell>
        </row>
        <row r="239">
          <cell r="A239">
            <v>232</v>
          </cell>
          <cell r="B239">
            <v>232</v>
          </cell>
          <cell r="C239" t="str">
            <v>KM</v>
          </cell>
          <cell r="D239">
            <v>686.2</v>
          </cell>
          <cell r="E239">
            <v>803.2</v>
          </cell>
        </row>
        <row r="240">
          <cell r="A240">
            <v>233</v>
          </cell>
          <cell r="B240">
            <v>233</v>
          </cell>
          <cell r="C240" t="str">
            <v>KM</v>
          </cell>
          <cell r="D240">
            <v>688.8</v>
          </cell>
          <cell r="E240">
            <v>806.3</v>
          </cell>
        </row>
        <row r="241">
          <cell r="A241">
            <v>234</v>
          </cell>
          <cell r="B241">
            <v>234</v>
          </cell>
          <cell r="C241" t="str">
            <v>KM</v>
          </cell>
          <cell r="D241">
            <v>691.4</v>
          </cell>
          <cell r="E241">
            <v>809.4</v>
          </cell>
        </row>
        <row r="242">
          <cell r="A242">
            <v>235</v>
          </cell>
          <cell r="B242">
            <v>235</v>
          </cell>
          <cell r="C242" t="str">
            <v>KM</v>
          </cell>
          <cell r="D242">
            <v>694</v>
          </cell>
          <cell r="E242">
            <v>812.5</v>
          </cell>
        </row>
        <row r="243">
          <cell r="A243">
            <v>236</v>
          </cell>
          <cell r="B243">
            <v>236</v>
          </cell>
          <cell r="C243" t="str">
            <v>KM</v>
          </cell>
          <cell r="D243">
            <v>696.6</v>
          </cell>
          <cell r="E243">
            <v>815.6</v>
          </cell>
        </row>
        <row r="244">
          <cell r="A244">
            <v>237</v>
          </cell>
          <cell r="B244">
            <v>237</v>
          </cell>
          <cell r="C244" t="str">
            <v>KM</v>
          </cell>
          <cell r="D244">
            <v>699.2</v>
          </cell>
          <cell r="E244">
            <v>818.7</v>
          </cell>
        </row>
        <row r="245">
          <cell r="A245">
            <v>238</v>
          </cell>
          <cell r="B245">
            <v>238</v>
          </cell>
          <cell r="C245" t="str">
            <v>KM</v>
          </cell>
          <cell r="D245">
            <v>701.8</v>
          </cell>
          <cell r="E245">
            <v>821.8</v>
          </cell>
        </row>
        <row r="246">
          <cell r="A246">
            <v>239</v>
          </cell>
          <cell r="B246">
            <v>239</v>
          </cell>
          <cell r="C246" t="str">
            <v>KM</v>
          </cell>
          <cell r="D246">
            <v>704.4</v>
          </cell>
          <cell r="E246">
            <v>824.9</v>
          </cell>
        </row>
        <row r="247">
          <cell r="A247">
            <v>240</v>
          </cell>
          <cell r="B247">
            <v>240</v>
          </cell>
          <cell r="C247" t="str">
            <v>KM</v>
          </cell>
          <cell r="D247">
            <v>707</v>
          </cell>
          <cell r="E247">
            <v>828</v>
          </cell>
        </row>
        <row r="248">
          <cell r="A248">
            <v>241</v>
          </cell>
          <cell r="B248">
            <v>241</v>
          </cell>
          <cell r="C248" t="str">
            <v>KM</v>
          </cell>
          <cell r="D248">
            <v>709.6</v>
          </cell>
          <cell r="E248">
            <v>831.1</v>
          </cell>
        </row>
        <row r="249">
          <cell r="A249">
            <v>242</v>
          </cell>
          <cell r="B249">
            <v>242</v>
          </cell>
          <cell r="C249" t="str">
            <v>KM</v>
          </cell>
          <cell r="D249">
            <v>712.2</v>
          </cell>
          <cell r="E249">
            <v>834.2</v>
          </cell>
        </row>
        <row r="250">
          <cell r="A250">
            <v>243</v>
          </cell>
          <cell r="B250">
            <v>243</v>
          </cell>
          <cell r="C250" t="str">
            <v>KM</v>
          </cell>
          <cell r="D250">
            <v>714.8</v>
          </cell>
          <cell r="E250">
            <v>837.3</v>
          </cell>
        </row>
        <row r="251">
          <cell r="A251">
            <v>244</v>
          </cell>
          <cell r="B251">
            <v>244</v>
          </cell>
          <cell r="C251" t="str">
            <v>KM</v>
          </cell>
          <cell r="D251">
            <v>717.4</v>
          </cell>
          <cell r="E251">
            <v>840.4</v>
          </cell>
        </row>
        <row r="252">
          <cell r="A252">
            <v>245</v>
          </cell>
          <cell r="B252">
            <v>245</v>
          </cell>
          <cell r="C252" t="str">
            <v>KM</v>
          </cell>
          <cell r="D252">
            <v>720</v>
          </cell>
          <cell r="E252">
            <v>843.5</v>
          </cell>
        </row>
        <row r="253">
          <cell r="A253">
            <v>246</v>
          </cell>
          <cell r="B253">
            <v>246</v>
          </cell>
          <cell r="C253" t="str">
            <v>KM</v>
          </cell>
          <cell r="D253">
            <v>722.6</v>
          </cell>
          <cell r="E253">
            <v>846.6</v>
          </cell>
        </row>
        <row r="254">
          <cell r="A254">
            <v>247</v>
          </cell>
          <cell r="B254">
            <v>247</v>
          </cell>
          <cell r="C254" t="str">
            <v>KM</v>
          </cell>
          <cell r="D254">
            <v>725.2</v>
          </cell>
          <cell r="E254">
            <v>849.7</v>
          </cell>
        </row>
        <row r="255">
          <cell r="A255">
            <v>248</v>
          </cell>
          <cell r="B255">
            <v>248</v>
          </cell>
          <cell r="C255" t="str">
            <v>KM</v>
          </cell>
          <cell r="D255">
            <v>727.8</v>
          </cell>
          <cell r="E255">
            <v>852.8</v>
          </cell>
        </row>
        <row r="256">
          <cell r="A256">
            <v>249</v>
          </cell>
          <cell r="B256">
            <v>249</v>
          </cell>
          <cell r="C256" t="str">
            <v>KM</v>
          </cell>
          <cell r="D256">
            <v>730.4</v>
          </cell>
          <cell r="E256">
            <v>855.9</v>
          </cell>
        </row>
        <row r="257">
          <cell r="A257">
            <v>250</v>
          </cell>
          <cell r="B257">
            <v>250</v>
          </cell>
          <cell r="C257" t="str">
            <v>KM</v>
          </cell>
          <cell r="D257">
            <v>733</v>
          </cell>
          <cell r="E257">
            <v>859</v>
          </cell>
        </row>
        <row r="258">
          <cell r="A258">
            <v>251</v>
          </cell>
          <cell r="B258">
            <v>251</v>
          </cell>
          <cell r="C258" t="str">
            <v>KM</v>
          </cell>
          <cell r="D258">
            <v>735.6</v>
          </cell>
          <cell r="E258">
            <v>862.1</v>
          </cell>
        </row>
        <row r="259">
          <cell r="A259">
            <v>252</v>
          </cell>
          <cell r="B259">
            <v>252</v>
          </cell>
          <cell r="C259" t="str">
            <v>KM</v>
          </cell>
          <cell r="D259">
            <v>738.2</v>
          </cell>
          <cell r="E259">
            <v>865.2</v>
          </cell>
        </row>
        <row r="260">
          <cell r="A260">
            <v>253</v>
          </cell>
          <cell r="B260">
            <v>253</v>
          </cell>
          <cell r="C260" t="str">
            <v>KM</v>
          </cell>
          <cell r="D260">
            <v>740.8</v>
          </cell>
          <cell r="E260">
            <v>868.3</v>
          </cell>
        </row>
        <row r="261">
          <cell r="A261">
            <v>254</v>
          </cell>
          <cell r="B261">
            <v>254</v>
          </cell>
          <cell r="C261" t="str">
            <v>KM</v>
          </cell>
          <cell r="D261">
            <v>743.4</v>
          </cell>
          <cell r="E261">
            <v>871.4</v>
          </cell>
        </row>
        <row r="262">
          <cell r="A262">
            <v>255</v>
          </cell>
          <cell r="B262">
            <v>255</v>
          </cell>
          <cell r="C262" t="str">
            <v>KM</v>
          </cell>
          <cell r="D262">
            <v>746</v>
          </cell>
          <cell r="E262">
            <v>874.5</v>
          </cell>
        </row>
        <row r="263">
          <cell r="A263">
            <v>256</v>
          </cell>
          <cell r="B263">
            <v>256</v>
          </cell>
          <cell r="C263" t="str">
            <v>KM</v>
          </cell>
          <cell r="D263">
            <v>748.6</v>
          </cell>
          <cell r="E263">
            <v>877.6</v>
          </cell>
        </row>
        <row r="264">
          <cell r="A264">
            <v>257</v>
          </cell>
          <cell r="B264">
            <v>257</v>
          </cell>
          <cell r="C264" t="str">
            <v>KM</v>
          </cell>
          <cell r="D264">
            <v>751.2</v>
          </cell>
          <cell r="E264">
            <v>880.7</v>
          </cell>
        </row>
        <row r="265">
          <cell r="A265">
            <v>258</v>
          </cell>
          <cell r="B265">
            <v>258</v>
          </cell>
          <cell r="C265" t="str">
            <v>KM</v>
          </cell>
          <cell r="D265">
            <v>753.8</v>
          </cell>
          <cell r="E265">
            <v>883.8</v>
          </cell>
        </row>
        <row r="266">
          <cell r="A266">
            <v>259</v>
          </cell>
          <cell r="B266">
            <v>259</v>
          </cell>
          <cell r="C266" t="str">
            <v>KM</v>
          </cell>
          <cell r="D266">
            <v>756.4</v>
          </cell>
          <cell r="E266">
            <v>886.9</v>
          </cell>
        </row>
        <row r="267">
          <cell r="A267">
            <v>260</v>
          </cell>
          <cell r="B267">
            <v>260</v>
          </cell>
          <cell r="C267" t="str">
            <v>KM</v>
          </cell>
          <cell r="D267">
            <v>759</v>
          </cell>
          <cell r="E267">
            <v>890</v>
          </cell>
        </row>
        <row r="268">
          <cell r="A268">
            <v>261</v>
          </cell>
          <cell r="B268">
            <v>261</v>
          </cell>
          <cell r="C268" t="str">
            <v>KM</v>
          </cell>
          <cell r="D268">
            <v>761.6</v>
          </cell>
          <cell r="E268">
            <v>893.1</v>
          </cell>
        </row>
        <row r="269">
          <cell r="A269">
            <v>262</v>
          </cell>
          <cell r="B269">
            <v>262</v>
          </cell>
          <cell r="C269" t="str">
            <v>KM</v>
          </cell>
          <cell r="D269">
            <v>764.2</v>
          </cell>
          <cell r="E269">
            <v>896.2</v>
          </cell>
        </row>
        <row r="270">
          <cell r="A270">
            <v>263</v>
          </cell>
          <cell r="B270">
            <v>263</v>
          </cell>
          <cell r="C270" t="str">
            <v>KM</v>
          </cell>
          <cell r="D270">
            <v>766.8</v>
          </cell>
          <cell r="E270">
            <v>899.3</v>
          </cell>
        </row>
        <row r="271">
          <cell r="A271">
            <v>264</v>
          </cell>
          <cell r="B271">
            <v>264</v>
          </cell>
          <cell r="C271" t="str">
            <v>KM</v>
          </cell>
          <cell r="D271">
            <v>769.4</v>
          </cell>
          <cell r="E271">
            <v>902.4</v>
          </cell>
        </row>
        <row r="272">
          <cell r="A272">
            <v>265</v>
          </cell>
          <cell r="B272">
            <v>265</v>
          </cell>
          <cell r="C272" t="str">
            <v>KM</v>
          </cell>
          <cell r="D272">
            <v>772</v>
          </cell>
          <cell r="E272">
            <v>905.5</v>
          </cell>
        </row>
        <row r="273">
          <cell r="A273">
            <v>266</v>
          </cell>
          <cell r="B273">
            <v>266</v>
          </cell>
          <cell r="C273" t="str">
            <v>KM</v>
          </cell>
          <cell r="D273">
            <v>774.6</v>
          </cell>
          <cell r="E273">
            <v>908.6</v>
          </cell>
        </row>
        <row r="274">
          <cell r="A274">
            <v>267</v>
          </cell>
          <cell r="B274">
            <v>267</v>
          </cell>
          <cell r="C274" t="str">
            <v>KM</v>
          </cell>
          <cell r="D274">
            <v>777.2</v>
          </cell>
          <cell r="E274">
            <v>911.7</v>
          </cell>
        </row>
        <row r="275">
          <cell r="A275">
            <v>268</v>
          </cell>
          <cell r="B275">
            <v>268</v>
          </cell>
          <cell r="C275" t="str">
            <v>KM</v>
          </cell>
          <cell r="D275">
            <v>779.8</v>
          </cell>
          <cell r="E275">
            <v>914.8</v>
          </cell>
        </row>
        <row r="276">
          <cell r="A276">
            <v>269</v>
          </cell>
          <cell r="B276">
            <v>269</v>
          </cell>
          <cell r="C276" t="str">
            <v>KM</v>
          </cell>
          <cell r="D276">
            <v>782.4</v>
          </cell>
          <cell r="E276">
            <v>917.9</v>
          </cell>
        </row>
        <row r="277">
          <cell r="A277">
            <v>270</v>
          </cell>
          <cell r="B277">
            <v>270</v>
          </cell>
          <cell r="C277" t="str">
            <v>KM</v>
          </cell>
          <cell r="D277">
            <v>785</v>
          </cell>
          <cell r="E277">
            <v>921</v>
          </cell>
        </row>
        <row r="278">
          <cell r="A278">
            <v>271</v>
          </cell>
          <cell r="B278">
            <v>271</v>
          </cell>
          <cell r="C278" t="str">
            <v>KM</v>
          </cell>
          <cell r="D278">
            <v>787.6</v>
          </cell>
          <cell r="E278">
            <v>924.1</v>
          </cell>
        </row>
        <row r="279">
          <cell r="A279">
            <v>272</v>
          </cell>
          <cell r="B279">
            <v>272</v>
          </cell>
          <cell r="C279" t="str">
            <v>KM</v>
          </cell>
          <cell r="D279">
            <v>790.2</v>
          </cell>
          <cell r="E279">
            <v>927.2</v>
          </cell>
        </row>
        <row r="280">
          <cell r="A280">
            <v>273</v>
          </cell>
          <cell r="B280">
            <v>273</v>
          </cell>
          <cell r="C280" t="str">
            <v>KM</v>
          </cell>
          <cell r="D280">
            <v>792.8</v>
          </cell>
          <cell r="E280">
            <v>930.3</v>
          </cell>
        </row>
        <row r="281">
          <cell r="A281">
            <v>274</v>
          </cell>
          <cell r="B281">
            <v>274</v>
          </cell>
          <cell r="C281" t="str">
            <v>KM</v>
          </cell>
          <cell r="D281">
            <v>795.4</v>
          </cell>
          <cell r="E281">
            <v>933.4</v>
          </cell>
        </row>
        <row r="282">
          <cell r="A282">
            <v>275</v>
          </cell>
          <cell r="B282">
            <v>275</v>
          </cell>
          <cell r="C282" t="str">
            <v>KM</v>
          </cell>
          <cell r="D282">
            <v>798</v>
          </cell>
          <cell r="E282">
            <v>936.5</v>
          </cell>
        </row>
        <row r="283">
          <cell r="A283">
            <v>276</v>
          </cell>
          <cell r="B283">
            <v>276</v>
          </cell>
          <cell r="C283" t="str">
            <v>KM</v>
          </cell>
          <cell r="D283">
            <v>800.6</v>
          </cell>
          <cell r="E283">
            <v>939.6</v>
          </cell>
        </row>
        <row r="284">
          <cell r="A284">
            <v>277</v>
          </cell>
          <cell r="B284">
            <v>277</v>
          </cell>
          <cell r="C284" t="str">
            <v>KM</v>
          </cell>
          <cell r="D284">
            <v>803.2</v>
          </cell>
          <cell r="E284">
            <v>942.7</v>
          </cell>
        </row>
        <row r="285">
          <cell r="A285">
            <v>278</v>
          </cell>
          <cell r="B285">
            <v>278</v>
          </cell>
          <cell r="C285" t="str">
            <v>KM</v>
          </cell>
          <cell r="D285">
            <v>805.8</v>
          </cell>
          <cell r="E285">
            <v>945.8</v>
          </cell>
        </row>
        <row r="286">
          <cell r="A286">
            <v>279</v>
          </cell>
          <cell r="B286">
            <v>279</v>
          </cell>
          <cell r="C286" t="str">
            <v>KM</v>
          </cell>
          <cell r="D286">
            <v>808.4</v>
          </cell>
          <cell r="E286">
            <v>948.9</v>
          </cell>
        </row>
        <row r="287">
          <cell r="A287">
            <v>280</v>
          </cell>
          <cell r="B287">
            <v>280</v>
          </cell>
          <cell r="C287" t="str">
            <v>KM</v>
          </cell>
          <cell r="D287">
            <v>811</v>
          </cell>
          <cell r="E287">
            <v>952</v>
          </cell>
        </row>
        <row r="288">
          <cell r="A288">
            <v>281</v>
          </cell>
          <cell r="B288">
            <v>281</v>
          </cell>
          <cell r="C288" t="str">
            <v>KM</v>
          </cell>
          <cell r="D288">
            <v>813.6</v>
          </cell>
          <cell r="E288">
            <v>955.1</v>
          </cell>
        </row>
        <row r="289">
          <cell r="A289">
            <v>282</v>
          </cell>
          <cell r="B289">
            <v>282</v>
          </cell>
          <cell r="C289" t="str">
            <v>KM</v>
          </cell>
          <cell r="D289">
            <v>816.2</v>
          </cell>
          <cell r="E289">
            <v>958.2</v>
          </cell>
        </row>
        <row r="290">
          <cell r="A290">
            <v>283</v>
          </cell>
          <cell r="B290">
            <v>283</v>
          </cell>
          <cell r="C290" t="str">
            <v>KM</v>
          </cell>
          <cell r="D290">
            <v>818.8</v>
          </cell>
          <cell r="E290">
            <v>961.3</v>
          </cell>
        </row>
        <row r="291">
          <cell r="A291">
            <v>284</v>
          </cell>
          <cell r="B291">
            <v>284</v>
          </cell>
          <cell r="C291" t="str">
            <v>KM</v>
          </cell>
          <cell r="D291">
            <v>821.4</v>
          </cell>
          <cell r="E291">
            <v>964.4</v>
          </cell>
        </row>
        <row r="292">
          <cell r="A292">
            <v>285</v>
          </cell>
          <cell r="B292">
            <v>285</v>
          </cell>
          <cell r="C292" t="str">
            <v>KM</v>
          </cell>
          <cell r="D292">
            <v>824</v>
          </cell>
          <cell r="E292">
            <v>967.5</v>
          </cell>
        </row>
        <row r="293">
          <cell r="A293">
            <v>286</v>
          </cell>
          <cell r="B293">
            <v>286</v>
          </cell>
          <cell r="C293" t="str">
            <v>KM</v>
          </cell>
          <cell r="D293">
            <v>826.6</v>
          </cell>
          <cell r="E293">
            <v>970.6</v>
          </cell>
        </row>
        <row r="294">
          <cell r="A294">
            <v>287</v>
          </cell>
          <cell r="B294">
            <v>287</v>
          </cell>
          <cell r="C294" t="str">
            <v>KM</v>
          </cell>
          <cell r="D294">
            <v>829.2</v>
          </cell>
          <cell r="E294">
            <v>973.7</v>
          </cell>
        </row>
        <row r="295">
          <cell r="A295">
            <v>288</v>
          </cell>
          <cell r="B295">
            <v>288</v>
          </cell>
          <cell r="C295" t="str">
            <v>KM</v>
          </cell>
          <cell r="D295">
            <v>831.8</v>
          </cell>
          <cell r="E295">
            <v>976.8</v>
          </cell>
        </row>
        <row r="296">
          <cell r="A296">
            <v>289</v>
          </cell>
          <cell r="B296">
            <v>289</v>
          </cell>
          <cell r="C296" t="str">
            <v>KM</v>
          </cell>
          <cell r="D296">
            <v>834.4</v>
          </cell>
          <cell r="E296">
            <v>979.9</v>
          </cell>
        </row>
        <row r="297">
          <cell r="A297">
            <v>290</v>
          </cell>
          <cell r="B297">
            <v>290</v>
          </cell>
          <cell r="C297" t="str">
            <v>KM</v>
          </cell>
          <cell r="D297">
            <v>837</v>
          </cell>
          <cell r="E297">
            <v>983</v>
          </cell>
        </row>
        <row r="298">
          <cell r="A298">
            <v>291</v>
          </cell>
          <cell r="B298">
            <v>291</v>
          </cell>
          <cell r="C298" t="str">
            <v>KM</v>
          </cell>
          <cell r="D298">
            <v>839.6</v>
          </cell>
          <cell r="E298">
            <v>986.1</v>
          </cell>
        </row>
        <row r="299">
          <cell r="A299">
            <v>292</v>
          </cell>
          <cell r="B299">
            <v>292</v>
          </cell>
          <cell r="C299" t="str">
            <v>KM</v>
          </cell>
          <cell r="D299">
            <v>842.2</v>
          </cell>
          <cell r="E299">
            <v>989.2</v>
          </cell>
        </row>
        <row r="300">
          <cell r="A300">
            <v>293</v>
          </cell>
          <cell r="B300">
            <v>293</v>
          </cell>
          <cell r="C300" t="str">
            <v>KM</v>
          </cell>
          <cell r="D300">
            <v>844.8</v>
          </cell>
          <cell r="E300">
            <v>992.3</v>
          </cell>
        </row>
        <row r="301">
          <cell r="A301">
            <v>294</v>
          </cell>
          <cell r="B301">
            <v>294</v>
          </cell>
          <cell r="C301" t="str">
            <v>KM</v>
          </cell>
          <cell r="D301">
            <v>847.4</v>
          </cell>
          <cell r="E301">
            <v>995.4</v>
          </cell>
        </row>
        <row r="302">
          <cell r="A302">
            <v>295</v>
          </cell>
          <cell r="B302">
            <v>295</v>
          </cell>
          <cell r="C302" t="str">
            <v>KM</v>
          </cell>
          <cell r="D302">
            <v>850</v>
          </cell>
          <cell r="E302">
            <v>998.5</v>
          </cell>
        </row>
        <row r="303">
          <cell r="A303">
            <v>296</v>
          </cell>
          <cell r="B303">
            <v>296</v>
          </cell>
          <cell r="C303" t="str">
            <v>KM</v>
          </cell>
          <cell r="D303">
            <v>852.6</v>
          </cell>
          <cell r="E303">
            <v>1001.6</v>
          </cell>
        </row>
        <row r="304">
          <cell r="A304">
            <v>297</v>
          </cell>
          <cell r="B304">
            <v>297</v>
          </cell>
          <cell r="C304" t="str">
            <v>KM</v>
          </cell>
          <cell r="D304">
            <v>855.2</v>
          </cell>
          <cell r="E304">
            <v>1004.7</v>
          </cell>
        </row>
        <row r="305">
          <cell r="A305">
            <v>298</v>
          </cell>
          <cell r="B305">
            <v>298</v>
          </cell>
          <cell r="C305" t="str">
            <v>KM</v>
          </cell>
          <cell r="D305">
            <v>857.8</v>
          </cell>
          <cell r="E305">
            <v>1007.8</v>
          </cell>
        </row>
        <row r="306">
          <cell r="A306">
            <v>299</v>
          </cell>
          <cell r="B306">
            <v>299</v>
          </cell>
          <cell r="C306" t="str">
            <v>KM</v>
          </cell>
          <cell r="D306">
            <v>860.4</v>
          </cell>
          <cell r="E306">
            <v>1010.9</v>
          </cell>
        </row>
        <row r="307">
          <cell r="A307">
            <v>300</v>
          </cell>
          <cell r="B307">
            <v>300</v>
          </cell>
          <cell r="C307" t="str">
            <v>KM</v>
          </cell>
          <cell r="D307">
            <v>863</v>
          </cell>
          <cell r="E307">
            <v>1014</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6)"/>
      <sheetName val="Sheet1"/>
      <sheetName val="Sheet5"/>
      <sheetName val="ESTIMATE"/>
      <sheetName val="COMPARATIVE STATEMENT"/>
      <sheetName val="Sheet3"/>
      <sheetName val="Sheet6"/>
      <sheetName val="data (2)"/>
      <sheetName val="data"/>
      <sheetName val="Sheet4"/>
      <sheetName val="Sheet2"/>
      <sheetName val="data (3)"/>
      <sheetName val="data (4)"/>
      <sheetName val="data (5)"/>
      <sheetName val="leads"/>
      <sheetName val="_x0000__x0007__x0000__x0007__x0000__x0003__x0000__x0007_"/>
      <sheetName val="_x0000__x0007__x0000__x0007__x0000__x0007__x0000__x0007_"/>
      <sheetName val="NIZAMSAGAR"/>
      <sheetName val="SPN DB 6.1"/>
      <sheetName val="different datas TPN and SPN"/>
      <sheetName val="data_(6)"/>
      <sheetName val="COMPARATIVE_STATEMENT"/>
      <sheetName val="data_(2)"/>
      <sheetName val="data_(3)"/>
      <sheetName val="data_(4)"/>
      <sheetName val="data_(5)"/>
      <sheetName val=""/>
      <sheetName val="SPN_DB_6_1"/>
      <sheetName val="different_datas_TPN_and_SPN"/>
      <sheetName val="_x0000__x0000__x0000__x0004__x0000_"/>
      <sheetName val="_x0000_浘"/>
      <sheetName val="_x005f_x0000__x005f_x0007__x005f_x0000__x005f_x0007__x0"/>
      <sheetName val="Labour"/>
      <sheetName val="Material"/>
      <sheetName val="Plant &amp;  Machinery"/>
      <sheetName val="Data.F8.BTR"/>
      <sheetName val="_x005f_x005f_x005f_x0000__x005f_x005f_x005f_x0007__x005"/>
      <sheetName val="Rates 2007-08 2nd"/>
      <sheetName val="Lead Statement 2007-08 3rd"/>
      <sheetName val="_x005f_x0000__x005f_x0000__x005f_x0000__x005f_x0004__x0"/>
      <sheetName val="_x005f_x0000_浘"/>
      <sheetName val="_x005f_x005f_x005f_x005f_x005f_x005f_x005f_x0000__x005f"/>
      <sheetName val="_x0000__x0007__x0000__x0007__x0"/>
      <sheetName val="_x005f_x0000__x005f_x0007__x005"/>
      <sheetName val="_x0000__x0007__x005"/>
      <sheetName val="_x0000__x0000__x0000__x0004__x0"/>
      <sheetName val="_x005f_x005f_x005f_x0000__x005f_x005f_x005f_x0000__x005"/>
      <sheetName val="_x005f_x005f_x005f_x0000_浘"/>
      <sheetName val="RMR"/>
      <sheetName val="Note gh "/>
      <sheetName val="C page"/>
      <sheetName val="Sp ReportF"/>
      <sheetName val="ABSTRACT"/>
      <sheetName val="G F "/>
      <sheetName val="F F "/>
      <sheetName val="S Tank"/>
      <sheetName val="Sani &amp; W S "/>
      <sheetName val="C Wall"/>
      <sheetName val="LEAD (old)"/>
      <sheetName val="C-data(old)"/>
      <sheetName val="D&amp;W DATA (old)"/>
      <sheetName val="WS-DATA(old)"/>
      <sheetName val="ESTT Ele "/>
      <sheetName val="El Data(old)"/>
      <sheetName val="BOQ  "/>
      <sheetName val="BidRequirement"/>
      <sheetName val="Bid doc"/>
      <sheetName val="Conv(old)"/>
      <sheetName val="Basic Data(old)"/>
      <sheetName val="Lookup"/>
      <sheetName val="Lead"/>
      <sheetName val="_x005f_x005f_x005f_x005f_x005f_x005f_x005f_x005f_x005f_x005f_"/>
      <sheetName val="Road data"/>
      <sheetName val="Sheet9"/>
      <sheetName val="segments-details"/>
      <sheetName val="int-Dia-hdpe"/>
      <sheetName val="habs-list"/>
      <sheetName val="int-Dia-pvc"/>
      <sheetName val="Specification report"/>
      <sheetName val="Specification"/>
      <sheetName val="Data_Bit_I"/>
      <sheetName val="HDPE-pipe-rates"/>
      <sheetName val="pvc-pipe-rates"/>
      <sheetName val="Main sheet"/>
      <sheetName val="?_x0007_?_x0007_?_x0003_?_x0007_"/>
      <sheetName val="?_x0007_?_x0007_?_x0007_?_x0007_"/>
      <sheetName val="???_x0004_?"/>
      <sheetName val="?浘"/>
      <sheetName val="__x0007___x0007___x0003___x0007_"/>
      <sheetName val="__x0007___x0007___x0007___x0007_"/>
      <sheetName val="____x0004__"/>
      <sheetName val="_浘"/>
      <sheetName val="Lead-2014-15"/>
      <sheetName val="_x005f_x0000__x005f_x0007__x005f_x0000__x005f_x0007___2"/>
      <sheetName val="_x005f_x0000__x005f_x0007__x005f_x0000__x005f_x0007___3"/>
      <sheetName val="_x005f_x0000__x005f_x0007__x005f_x0000__x005f_x0007___4"/>
      <sheetName val="_x005f_x0000__x005f_x0007__x005f_x0000__x005f_x0007___5"/>
      <sheetName val="_x005f_x0000__x005f_x0007__x005f_x0000__x005f_x0007___6"/>
      <sheetName val="_x005f_x0000__x005f_x0007__x005f_x0000__x005f_x0007___7"/>
      <sheetName val="_x005f_x005f_x005f_x005f_x005f_x005f_x005f_x0000_浘"/>
      <sheetName val="lead charges"/>
      <sheetName val="_x005f_x005f_x005f_x0000__x005f"/>
      <sheetName val="_x005f_x0000__x005f_x0000__x005"/>
      <sheetName val="_x005f_x0000__x005f_x0007__x005f_x0000__x005f_x0007___8"/>
      <sheetName val="_x005f_x0000__x005f_x0007__x005f_x0000__x005f_x0007___9"/>
      <sheetName val="Bridge Data 2005-06"/>
      <sheetName val=" and Settings_office_My Documen"/>
      <sheetName val="Road Detail Est."/>
      <sheetName val="Lead statement"/>
      <sheetName val="DATA_PRG"/>
      <sheetName val="_x0007__x0007__x0003__x0007_"/>
      <sheetName val="_x0007__x0007__x0007__x0007_"/>
      <sheetName val="_x0004_"/>
      <sheetName val="_x0007__x0007__x0"/>
      <sheetName val="_x0007__x005"/>
      <sheetName val="_x0004__x0"/>
      <sheetName val="Gates and Pergola Data"/>
      <sheetName val=" and Settings\office\My Documen"/>
      <sheetName val="_x005f_x0000__x005f_x0007__x005f_x0000__x005f_x0007__10"/>
      <sheetName val="_x005f_x0000__x005f_x0007__x005f_x0000__x005f_x0007__11"/>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Lookup"/>
      <sheetName val="ESTIMATE"/>
      <sheetName val="Lead"/>
      <sheetName val="leads"/>
      <sheetName val="Mp-team 1"/>
      <sheetName val="Lead-2014-15"/>
      <sheetName val="RMR "/>
      <sheetName val="labour &amp; Centering"/>
      <sheetName val="Quarry"/>
      <sheetName val="data existing_do not delete"/>
      <sheetName val="Data"/>
      <sheetName val="v"/>
      <sheetName val="r"/>
      <sheetName val="Lead statement ss5"/>
      <sheetName val="Road Detail Est."/>
      <sheetName val="Sheet3"/>
      <sheetName val="RMR"/>
      <sheetName val="m"/>
      <sheetName val="detls"/>
      <sheetName val="mlead"/>
      <sheetName val="rdamdata"/>
      <sheetName val="LEAD STATEMENT"/>
      <sheetName val="PLAN_FEB97"/>
      <sheetName val="mas_hab"/>
      <sheetName val="water-hammar-strenght"/>
      <sheetName val="l"/>
      <sheetName val="maya"/>
      <sheetName val="DATAS"/>
      <sheetName val="Database"/>
      <sheetName val="PVC_dia"/>
      <sheetName val="Lead (2)"/>
      <sheetName val="new"/>
      <sheetName val="FB - 1L"/>
      <sheetName val="Specification"/>
      <sheetName val="GF SB Ok "/>
      <sheetName val="Data_Bit_I"/>
      <sheetName val="Sheet1 (2)"/>
      <sheetName val="12"/>
      <sheetName val="2A"/>
      <sheetName val="2B"/>
      <sheetName val="2C"/>
      <sheetName val="2D"/>
      <sheetName val="2E"/>
      <sheetName val="2F"/>
      <sheetName val="2G"/>
      <sheetName val="2H"/>
      <sheetName val="3A"/>
      <sheetName val="3B"/>
      <sheetName val="4"/>
      <sheetName val="7A"/>
      <sheetName val="7B"/>
      <sheetName val="8A"/>
      <sheetName val="8B"/>
      <sheetName val="9A"/>
      <sheetName val="9B"/>
      <sheetName val="9C"/>
      <sheetName val="9D"/>
      <sheetName val="9E"/>
      <sheetName val="9F"/>
      <sheetName val="9G"/>
      <sheetName val="9H"/>
      <sheetName val="9I"/>
      <sheetName val="9J"/>
      <sheetName val="9K"/>
      <sheetName val="0000000000000"/>
      <sheetName val="Nspt-smp-final-ORIGINAL"/>
      <sheetName val="POP"/>
      <sheetName val="DATA SHEET"/>
      <sheetName val=" data sheet "/>
      <sheetName val="MRATES"/>
      <sheetName val="Levels"/>
      <sheetName val="FORM7"/>
      <sheetName val="DATA_PRG"/>
      <sheetName val="WATER-HAMMER"/>
      <sheetName val="PS1"/>
      <sheetName val="clvrt_data"/>
      <sheetName val="MRoad data"/>
      <sheetName val="pvc-pipe-rates"/>
      <sheetName val="int-Dia-pvc"/>
      <sheetName val="abs road"/>
      <sheetName val="Road data"/>
      <sheetName val="Rates"/>
      <sheetName val="Line"/>
      <sheetName val="Bill_amt_qty_cc_1"/>
      <sheetName val="BTR"/>
      <sheetName val="COLUMN"/>
      <sheetName val="Process"/>
      <sheetName val="Sheet5"/>
      <sheetName val="WT AVG LEAD"/>
      <sheetName val="m1"/>
      <sheetName val="Suppl-data"/>
      <sheetName val="Work_sheet"/>
      <sheetName val="DISCOUNT"/>
      <sheetName val="HDPE"/>
      <sheetName val="pvc_basic"/>
      <sheetName val="Plant_&amp;__Machinery"/>
      <sheetName val="Summary_of_Rates"/>
      <sheetName val="Basic_Approach"/>
      <sheetName val="mlead "/>
      <sheetName val="AV-BWSC&amp;MS"/>
      <sheetName val="AV_AC"/>
      <sheetName val="AV-DI"/>
      <sheetName val="di_Gate_AC"/>
      <sheetName val="Digate-BWSCP-MS"/>
      <sheetName val="DI_gate_di"/>
      <sheetName val="DI"/>
      <sheetName val="scour-DI-CI"/>
      <sheetName val="scour-pvc-hdpe-psc-bwsc"/>
      <sheetName val="pumping main"/>
      <sheetName val="wh_data_R"/>
      <sheetName val="Iocount"/>
      <sheetName val="C-data"/>
      <sheetName val="LEAD 2019-2020"/>
      <sheetName val="Culverts"/>
      <sheetName val="Leads 08-09"/>
      <sheetName val="Data base"/>
      <sheetName val="kC"/>
      <sheetName val="FIRST"/>
      <sheetName val="Activity No (A) ( 12)  "/>
      <sheetName val="NALA-LS"/>
      <sheetName val="X-BOX HYD"/>
      <sheetName val="X-TRAIL PIT DETAILS"/>
      <sheetName val="X-BLOCK LEVELS"/>
      <sheetName val="MACRO-BACK UP"/>
      <sheetName val="Side walls (earth)"/>
      <sheetName val="INPUT SHEET"/>
      <sheetName val="RES-PLANNING"/>
      <sheetName val="Macro1"/>
      <sheetName val=" datas"/>
      <sheetName val="Lead (Final)"/>
      <sheetName val="Analy"/>
      <sheetName val="Material "/>
      <sheetName val="BASE_ALL"/>
      <sheetName val="HDPE-pipe-rates"/>
      <sheetName val="ARRR JANNEPALLY"/>
      <sheetName val="Labour &amp; Plant"/>
      <sheetName val="abstract"/>
      <sheetName val="prjt"/>
      <sheetName val="OverviewBarmer"/>
      <sheetName val="Av.G Level"/>
      <sheetName val="hdpe weights"/>
      <sheetName val="(4)F-81 Exp.side"/>
      <sheetName val="01-DATA INPUT"/>
      <sheetName val="ELE "/>
      <sheetName val="KEOLARI"/>
      <sheetName val="bldg"/>
      <sheetName val="DETAILED"/>
      <sheetName val="SLAB DESIGN"/>
      <sheetName val="EST- Laxmidevipally"/>
      <sheetName val="SCHEMATIC-EX&amp;PR"/>
      <sheetName val="ANGAN"/>
      <sheetName val="Ghanapur to Suraram jn. det"/>
      <sheetName val="User input"/>
      <sheetName val="Leads 05-06"/>
      <sheetName val="sectorwise"/>
      <sheetName val="Rates SSR 2008-09"/>
      <sheetName val="t_prsr"/>
      <sheetName val="id"/>
      <sheetName val="wh"/>
    </sheetNames>
    <sheetDataSet>
      <sheetData sheetId="0" refreshError="1"/>
      <sheetData sheetId="1" refreshError="1"/>
      <sheetData sheetId="2" refreshError="1"/>
      <sheetData sheetId="3" refreshError="1">
        <row r="5">
          <cell r="D5">
            <v>131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1000000000000"/>
      <sheetName val="Day1"/>
      <sheetName val="Day2"/>
      <sheetName val="Day3"/>
      <sheetName val="Sheet1 (2)"/>
      <sheetName val="pav-des"/>
      <sheetName val="ccdes"/>
      <sheetName val="key"/>
      <sheetName val="Sheet11"/>
      <sheetName val="Spe"/>
      <sheetName val="cert"/>
      <sheetName val="curve"/>
      <sheetName val="Sheet10"/>
      <sheetName val="Sheet16"/>
      <sheetName val="Sheet15"/>
      <sheetName val="Sheet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7">
          <cell r="D17">
            <v>106</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Data"/>
      <sheetName val="drain rm data"/>
      <sheetName val="LOWEST RATES"/>
      <sheetName val="leads"/>
      <sheetName val="drain_rm_data"/>
      <sheetName val="LOWEST_RATES"/>
      <sheetName val="drain_rm_data1"/>
      <sheetName val="LOWEST_RATES1"/>
      <sheetName val="Labour"/>
      <sheetName val="Material"/>
      <sheetName val="Plant &amp;  Machinery"/>
      <sheetName val="drain_rm_data2"/>
      <sheetName val="LOWEST_RATES2"/>
      <sheetName val="Plant_&amp;__Machinery"/>
      <sheetName val="Lookup"/>
      <sheetName val="0000000000000"/>
      <sheetName val="ESTIMATE"/>
      <sheetName val="maya"/>
      <sheetName val="abs road"/>
      <sheetName val="Road data"/>
      <sheetName val="R_Det"/>
      <sheetName val="Sheet1 (2)"/>
      <sheetName val="mlead"/>
      <sheetName val="Data_Bit_I"/>
      <sheetName val="v"/>
      <sheetName val="Sheet1"/>
      <sheetName val="Pipe Areas"/>
      <sheetName val="Plant 㫨  Machinery"/>
      <sheetName val="Plant_㫨__Machinery"/>
      <sheetName val="sectorwise"/>
      <sheetName val="r"/>
      <sheetName val="Nspt-smp-final-ORIGINAL"/>
      <sheetName val="Elc.Stnd.Data-17-18 "/>
      <sheetName val="Design_abf"/>
      <sheetName val="CD Data"/>
      <sheetName val="banilad"/>
      <sheetName val="Quarry"/>
      <sheetName val="Elc.Stnd.Data-18-19-final "/>
      <sheetName val="Road Detail Est."/>
      <sheetName val="data existing_do not delete"/>
      <sheetName val="Flight-1"/>
      <sheetName val="drain_rm_data3"/>
      <sheetName val="LOWEST_RATES3"/>
      <sheetName val="Plant_&amp;__Machinery1"/>
      <sheetName val="abs_road"/>
      <sheetName val="Road_data"/>
      <sheetName val="drain_rm_data4"/>
      <sheetName val="LOWEST_RATES4"/>
      <sheetName val="Plant_&amp;__Machinery2"/>
      <sheetName val="abs_road1"/>
      <sheetName val="Road_data1"/>
      <sheetName val="Rates"/>
      <sheetName val="Av.G Level"/>
      <sheetName val="Sheet2"/>
      <sheetName val="MRATES"/>
      <sheetName val="Sheet1_(2)"/>
      <sheetName val="GROUND"/>
      <sheetName val="SECOND"/>
      <sheetName val="HS 1 BPT (2)all bpts"/>
      <sheetName val="ssr-rates"/>
      <sheetName val="Levels"/>
      <sheetName val="Sheet3"/>
      <sheetName val="nodes"/>
      <sheetName val="hdpe weights"/>
      <sheetName val="ww-march-02"/>
      <sheetName val="Elc.Stnd.Data-18-19"/>
      <sheetName val="labour &amp; Centering"/>
      <sheetName val="GA"/>
      <sheetName val="Convey"/>
      <sheetName val="m"/>
      <sheetName val="rdamdata"/>
      <sheetName val="lead-st"/>
      <sheetName val="COVER"/>
      <sheetName val="Data 07-08 "/>
      <sheetName val="Rate Analysis"/>
      <sheetName val="final abstract"/>
      <sheetName val="Part-A"/>
      <sheetName val="Elc.Stnd.Data-17-18-final "/>
      <sheetName val="LEAD STATEMENT"/>
      <sheetName val="RMR"/>
      <sheetName val="coverpage"/>
      <sheetName val="DATA_PRG"/>
      <sheetName val="habs-list"/>
      <sheetName val="int-Dia"/>
      <sheetName val="HDPE-pipe-rates"/>
      <sheetName val="pvc-pipe-rates"/>
      <sheetName val="HEAD"/>
      <sheetName val="Input"/>
      <sheetName val="elect."/>
      <sheetName val="DETAILED  BOQ"/>
      <sheetName val="steel SF (slab-2)"/>
      <sheetName val="Cut Off Statement"/>
      <sheetName val="Specification"/>
      <sheetName val="Road data.PS"/>
      <sheetName val="eligibilty"/>
      <sheetName val="Lead-2014-15"/>
      <sheetName val="Sheet1_(2)1"/>
      <sheetName val="Plant_㫨__Machinery1"/>
      <sheetName val="Pipe_Areas"/>
      <sheetName val="Elc_Stnd_Data-18-19-final_"/>
      <sheetName val="Elc_Stnd_Data-17-18_"/>
      <sheetName val="Av_G_Level"/>
      <sheetName val="CD_Data"/>
      <sheetName val="l"/>
      <sheetName val="Elc.data-20-21"/>
      <sheetName val="data- Civil"/>
      <sheetName val="2a.Est. Drainage System"/>
      <sheetName val="data- MS Gates &amp; Grills"/>
      <sheetName val="MS-Truss data"/>
      <sheetName val="HS final-2"/>
      <sheetName val="FORM7"/>
      <sheetName val="Sheet5"/>
      <sheetName val="Data o"/>
      <sheetName val="int-Dia-hdpe"/>
      <sheetName val="Lead 09-10"/>
      <sheetName val="HS 30.04.2015.Final"/>
      <sheetName val="ID"/>
      <sheetName val="HDPE"/>
      <sheetName val="Sheet9"/>
      <sheetName val="HS 1"/>
      <sheetName val="zone-8"/>
      <sheetName val="MHNO_LEV"/>
      <sheetName val="ewst"/>
      <sheetName val="detls"/>
      <sheetName val="Bitumen trunk"/>
      <sheetName val="Feeder"/>
      <sheetName val="R99 etc"/>
      <sheetName val="Trunk unpaved"/>
      <sheetName val="data1"/>
      <sheetName val="TS memo"/>
      <sheetName val="stone"/>
      <sheetName val="index"/>
      <sheetName val="narsib~1"/>
      <sheetName val="SUMP1420KL@HW"/>
      <sheetName val="3405-2014"/>
      <sheetName val="wh_data_R"/>
      <sheetName val="wh_data"/>
      <sheetName val="CPHEEO"/>
      <sheetName val="SPT vs PHI"/>
      <sheetName val="Abs"/>
      <sheetName val="DATA-BASE"/>
      <sheetName val="DATA-ABSTRACT"/>
      <sheetName val="PVC"/>
      <sheetName val="Detailed"/>
      <sheetName val="Wordsdata"/>
      <sheetName val="segments-details"/>
      <sheetName val="int-Dia-pvc"/>
      <sheetName val="mlead "/>
      <sheetName val="dBase"/>
      <sheetName val="PROCTOR"/>
      <sheetName val="Mp-team 1"/>
      <sheetName val="Staff Acco."/>
      <sheetName val="mas_hab"/>
      <sheetName val="Iocount"/>
      <sheetName val="ppraodata"/>
      <sheetName val="splmidata"/>
      <sheetName val="not req 3"/>
      <sheetName val="Habcodes"/>
      <sheetName val="INPUT-SHEET"/>
      <sheetName val="other rates"/>
      <sheetName val="C.D.Abs.Est."/>
      <sheetName val="t_prsr"/>
      <sheetName val="wh"/>
      <sheetName val="Lead  RATES"/>
      <sheetName val="RAFT"/>
      <sheetName val="ABUT"/>
      <sheetName val="SSR 2015-16"/>
      <sheetName val="sand"/>
      <sheetName val="WATER-HAMMER"/>
      <sheetName val="DI"/>
      <sheetName val="BWSCPlt"/>
      <sheetName val="CI"/>
      <sheetName val="G.R.P"/>
      <sheetName val="PSC REVISED"/>
      <sheetName val="mroad data"/>
      <sheetName val="Data rough"/>
      <sheetName val="PVC weights"/>
      <sheetName val="Lead Distance"/>
      <sheetName val="Works"/>
      <sheetName val="General"/>
      <sheetName val="INPUT SHEET"/>
      <sheetName val="RES-PLANNING"/>
      <sheetName val="Macro1"/>
      <sheetName val="Usage"/>
      <sheetName val="Common "/>
      <sheetName val="hdpe-rates"/>
      <sheetName val="pvc-rates"/>
      <sheetName val="PS1"/>
      <sheetName val="PLAN_FEB97"/>
      <sheetName val="em"/>
      <sheetName val="data.f8.btr"/>
      <sheetName val="DATA SHEET"/>
      <sheetName val="pierDesign1"/>
      <sheetName val="C-Drain"/>
      <sheetName val="scour depth"/>
      <sheetName val="Lead(4380)"/>
      <sheetName val="Challan"/>
      <sheetName val="Executive Summary -Thermal"/>
      <sheetName val="Stationwise Thermal &amp; Hydel Gen"/>
      <sheetName val="TWELVE"/>
      <sheetName val="Data "/>
      <sheetName val="C.D.Data (Morth)"/>
      <sheetName val="Data_Base"/>
      <sheetName val="MTC-estimate"/>
      <sheetName val="select items_PMW"/>
      <sheetName val="lead charges"/>
      <sheetName val="C&amp;S monthwise"/>
      <sheetName val="G F  (2)"/>
      <sheetName val="DISCOUNT"/>
      <sheetName val="AoR Finishing"/>
      <sheetName val="M.R.O"/>
      <sheetName val="Bridge Data 2005-06"/>
      <sheetName val="Boq Block A"/>
      <sheetName val="Legal Risk Analysis"/>
      <sheetName val="Rd.Det.Est"/>
      <sheetName val="drain_rm_data5"/>
      <sheetName val="LOWEST_RATES5"/>
      <sheetName val="Plant_&amp;__Machinery3"/>
      <sheetName val="abs_road2"/>
      <sheetName val="Road_data2"/>
      <sheetName val="Sheet1_(2)2"/>
      <sheetName val="Plant_㫨__Machinery2"/>
      <sheetName val="Av_G_Level1"/>
      <sheetName val="Pipe_Areas1"/>
      <sheetName val="Elc_Stnd_Data-18-19-final_1"/>
      <sheetName val="Elc_Stnd_Data-17-18_1"/>
      <sheetName val="Road_Detail_Est_"/>
      <sheetName val="data_existing_do_not_delete"/>
      <sheetName val="Data_07-08_"/>
      <sheetName val="Rate_Analysis"/>
      <sheetName val="CD_Data1"/>
      <sheetName val="HS_1_BPT_(2)all_bpts"/>
      <sheetName val="hdpe_weights"/>
      <sheetName val="Elc_Stnd_Data-18-19"/>
      <sheetName val="labour_&amp;_Centering"/>
      <sheetName val="final_abstract"/>
      <sheetName val="Elc_Stnd_Data-17-18-final_"/>
      <sheetName val="Elc_data-20-21"/>
      <sheetName val="data-_Civil"/>
      <sheetName val="2a_Est__Drainage_System"/>
      <sheetName val="data-_MS_Gates_&amp;_Grills"/>
      <sheetName val="MS-Truss_data"/>
      <sheetName val="LEAD_STATEMENT"/>
      <sheetName val="elect_"/>
      <sheetName val="DETAILED__BOQ"/>
      <sheetName val="steel_SF_(slab-2)"/>
      <sheetName val="Cut_Off_Statement"/>
      <sheetName val="Road_data_PS"/>
      <sheetName val="HS_final-2"/>
      <sheetName val="AoR_Finishing"/>
      <sheetName val="Lead_09-10"/>
      <sheetName val="Bitumen_trunk"/>
      <sheetName val="R99_etc"/>
      <sheetName val="Trunk_unpaved"/>
      <sheetName val="M_R_O"/>
      <sheetName val="Data_o"/>
      <sheetName val="Quote Sheet"/>
      <sheetName val="Main-Material"/>
      <sheetName val="Fill this out first..."/>
      <sheetName val="Database"/>
    </sheetNames>
    <sheetDataSet>
      <sheetData sheetId="0" refreshError="1">
        <row r="7">
          <cell r="N7">
            <v>2424</v>
          </cell>
        </row>
        <row r="9">
          <cell r="N9">
            <v>431.64499999999998</v>
          </cell>
        </row>
        <row r="26">
          <cell r="N26">
            <v>295.47500000000002</v>
          </cell>
        </row>
        <row r="28">
          <cell r="N28">
            <v>340.47500000000002</v>
          </cell>
        </row>
      </sheetData>
      <sheetData sheetId="1"/>
      <sheetData sheetId="2"/>
      <sheetData sheetId="3"/>
      <sheetData sheetId="4" refreshError="1"/>
      <sheetData sheetId="5"/>
      <sheetData sheetId="6"/>
      <sheetData sheetId="7"/>
      <sheetData sheetId="8"/>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sheetData sheetId="84"/>
      <sheetData sheetId="85" refreshError="1"/>
      <sheetData sheetId="86" refreshError="1"/>
      <sheetData sheetId="87" refreshError="1"/>
      <sheetData sheetId="88" refreshError="1"/>
      <sheetData sheetId="89" refreshError="1"/>
      <sheetData sheetId="90"/>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Plant_&amp;__Machinery"/>
      <sheetName val="Summary_of_Rates"/>
      <sheetName val="Basic_Approach"/>
      <sheetName val="Plant_&amp;__Machinery1"/>
      <sheetName val="Summary_of_Rates1"/>
      <sheetName val="Basic_Approach1"/>
      <sheetName val="Lead"/>
      <sheetName val="ESTIMATE"/>
      <sheetName val="DATA"/>
      <sheetName val="pvc"/>
      <sheetName val="Data_Bit_I"/>
      <sheetName val="habs-list"/>
      <sheetName val="nodes"/>
      <sheetName val="MRATES"/>
      <sheetName val="m"/>
      <sheetName val="Road data"/>
      <sheetName val="Global factors"/>
      <sheetName val="lead-st"/>
      <sheetName val="rdamdata"/>
      <sheetName val="Lookup"/>
      <sheetName val="leads"/>
      <sheetName val="Specification report"/>
      <sheetName val="Plant _  Machinery"/>
      <sheetName val="abs road"/>
      <sheetName val="Plant_&amp;__Machinery5"/>
      <sheetName val="Summary_of_Rates5"/>
      <sheetName val="Basic_Approach5"/>
      <sheetName val="Plant_&amp;__Machinery3"/>
      <sheetName val="Summary_of_Rates3"/>
      <sheetName val="Basic_Approach3"/>
      <sheetName val="Plant_&amp;__Machinery2"/>
      <sheetName val="Summary_of_Rates2"/>
      <sheetName val="Basic_Approach2"/>
      <sheetName val="Plant_&amp;__Machinery4"/>
      <sheetName val="Summary_of_Rates4"/>
      <sheetName val="Basic_Approach4"/>
      <sheetName val="Levels"/>
      <sheetName val="maya"/>
      <sheetName val="materials"/>
      <sheetName val="ssr-rates"/>
      <sheetName val="detls"/>
      <sheetName val="r"/>
      <sheetName val="l"/>
      <sheetName val="Data_Base"/>
      <sheetName val="PRECAST lightconc-II"/>
      <sheetName val="Elc.Stnd.Data-17-18 "/>
      <sheetName val="v"/>
      <sheetName val="Nspt-smp-final-ORIGINAL"/>
      <sheetName val="RCC-Rates"/>
      <sheetName val="data-WC"/>
      <sheetName val="hdpe weights"/>
      <sheetName val="PVC weights"/>
      <sheetName val="index"/>
      <sheetName val="Data.F8.BTR"/>
      <sheetName val="2.0m  slab"/>
      <sheetName val="DATA-BASE"/>
      <sheetName val="DATA-ABSTRACT"/>
      <sheetName val="RMR"/>
      <sheetName val="Quarry"/>
    </sheetNames>
    <sheetDataSet>
      <sheetData sheetId="0" refreshError="1"/>
      <sheetData sheetId="1" refreshError="1"/>
      <sheetData sheetId="2" refreshError="1">
        <row r="4">
          <cell r="G4">
            <v>196</v>
          </cell>
        </row>
        <row r="5">
          <cell r="G5">
            <v>6328</v>
          </cell>
        </row>
        <row r="8">
          <cell r="G8">
            <v>120</v>
          </cell>
        </row>
        <row r="24">
          <cell r="G24">
            <v>6328</v>
          </cell>
        </row>
        <row r="51">
          <cell r="G51">
            <v>754</v>
          </cell>
        </row>
      </sheetData>
      <sheetData sheetId="3" refreshError="1"/>
      <sheetData sheetId="4" refreshError="1">
        <row r="4">
          <cell r="D4" t="str">
            <v>Input Rate</v>
          </cell>
        </row>
        <row r="14">
          <cell r="D14" t="str">
            <v>Input Rate</v>
          </cell>
        </row>
        <row r="15">
          <cell r="D15" t="str">
            <v>Input Rate</v>
          </cell>
        </row>
        <row r="16">
          <cell r="D16" t="str">
            <v>Input Rate</v>
          </cell>
        </row>
        <row r="39">
          <cell r="D39" t="str">
            <v>Input Rate</v>
          </cell>
        </row>
        <row r="40">
          <cell r="D40" t="str">
            <v>Input Rate</v>
          </cell>
        </row>
        <row r="41">
          <cell r="D41" t="str">
            <v>Input Rate</v>
          </cell>
        </row>
        <row r="44">
          <cell r="D44" t="str">
            <v>Input Rate</v>
          </cell>
        </row>
        <row r="61">
          <cell r="D61" t="str">
            <v>Input Rate</v>
          </cell>
        </row>
        <row r="65">
          <cell r="D65" t="str">
            <v>Input Rate</v>
          </cell>
        </row>
        <row r="66">
          <cell r="D66" t="str">
            <v>Input Rate</v>
          </cell>
        </row>
        <row r="67">
          <cell r="D67" t="str">
            <v>Input Rate</v>
          </cell>
        </row>
        <row r="89">
          <cell r="D89" t="str">
            <v>Input Rate</v>
          </cell>
        </row>
        <row r="91">
          <cell r="D91" t="str">
            <v>Input Rate</v>
          </cell>
        </row>
        <row r="92">
          <cell r="D92" t="str">
            <v>Input Rate</v>
          </cell>
        </row>
        <row r="133">
          <cell r="D133" t="str">
            <v>Input Rate</v>
          </cell>
        </row>
        <row r="135">
          <cell r="D135"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
      <sheetName val="Sheet2"/>
    </sheetNames>
    <sheetDataSet>
      <sheetData sheetId="0"/>
      <sheetData sheetId="1"/>
      <sheetData sheetId="2">
        <row r="69">
          <cell r="H69">
            <v>15.6</v>
          </cell>
        </row>
      </sheetData>
      <sheetData sheetId="3"/>
      <sheetData sheetId="4">
        <row r="37">
          <cell r="E37">
            <v>273</v>
          </cell>
        </row>
        <row r="40">
          <cell r="E40">
            <v>273</v>
          </cell>
        </row>
        <row r="41">
          <cell r="E41">
            <v>211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Lead statement"/>
      <sheetName val="Conveyance"/>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sheetData sheetId="3"/>
      <sheetData sheetId="4" refreshError="1"/>
      <sheetData sheetId="5" refreshError="1"/>
      <sheetData sheetId="6">
        <row r="38">
          <cell r="D38" t="str">
            <v>Input Rate</v>
          </cell>
        </row>
        <row r="129">
          <cell r="D129">
            <v>29500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Lead statement"/>
      <sheetName val="Conveyance"/>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sheetData sheetId="3"/>
      <sheetData sheetId="4" refreshError="1"/>
      <sheetData sheetId="5" refreshError="1"/>
      <sheetData sheetId="6" refreshError="1">
        <row r="38">
          <cell r="D38" t="str">
            <v>Input Rate</v>
          </cell>
        </row>
        <row r="129">
          <cell r="D129">
            <v>29500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row r="10">
          <cell r="G10">
            <v>692</v>
          </cell>
        </row>
        <row r="19">
          <cell r="G19">
            <v>230</v>
          </cell>
        </row>
        <row r="21">
          <cell r="G21">
            <v>1700</v>
          </cell>
        </row>
      </sheetData>
      <sheetData sheetId="3"/>
      <sheetData sheetId="4">
        <row r="64">
          <cell r="D64">
            <v>200.92</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row r="10">
          <cell r="G10">
            <v>692</v>
          </cell>
        </row>
        <row r="19">
          <cell r="G19">
            <v>230</v>
          </cell>
        </row>
        <row r="21">
          <cell r="G21">
            <v>1700</v>
          </cell>
        </row>
      </sheetData>
      <sheetData sheetId="3"/>
      <sheetData sheetId="4">
        <row r="64">
          <cell r="D64">
            <v>200.92</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DESIGEN_RCC_CULVERT"/>
      <sheetName val="DESIGENS_HP_CULVERT"/>
    </sheetNames>
    <sheetDataSet>
      <sheetData sheetId="0" refreshError="1">
        <row r="67">
          <cell r="H67">
            <v>1410.4611040000002</v>
          </cell>
        </row>
      </sheetData>
      <sheetData sheetId="1" refreshError="1"/>
      <sheetData sheetId="2"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DESIGEN_RCC_CULVERT"/>
      <sheetName val="DESIGENS_HP_CULVERT"/>
      <sheetName val="Material"/>
      <sheetName val="Plant &amp;  Machinery"/>
      <sheetName val="Rates"/>
      <sheetName val=" datas"/>
      <sheetName val="Labour"/>
    </sheetNames>
    <sheetDataSet>
      <sheetData sheetId="0" refreshError="1">
        <row r="67">
          <cell r="H67">
            <v>1410.4611040000002</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lip"/>
      <sheetName val="ExeSummary"/>
      <sheetName val="sReport"/>
      <sheetName val="abstract"/>
      <sheetName val="detailed"/>
      <sheetName val="2v600"/>
      <sheetName val="rates"/>
      <sheetName val="initialrate"/>
      <sheetName val="data"/>
      <sheetName val="CDdata"/>
      <sheetName val="leadchart"/>
      <sheetName val="crust"/>
      <sheetName val="CS-ex"/>
      <sheetName val="LS-ex"/>
      <sheetName val="keymap"/>
      <sheetName val="leads"/>
      <sheetName val="Miscellaneous"/>
      <sheetName val="Road_All"/>
      <sheetName val="Summary_Slab_Karbook"/>
      <sheetName val="Sheet3"/>
      <sheetName val="RMR"/>
      <sheetName val="Material"/>
      <sheetName val="Rates SSR 2008-09"/>
      <sheetName val="Specification"/>
      <sheetName val="r"/>
      <sheetName val="l"/>
      <sheetName val="mas_hab"/>
      <sheetName val="MRoad data"/>
      <sheetName val="Labour"/>
      <sheetName val="Plant &amp;  Machinery"/>
      <sheetName val="Lead"/>
      <sheetName val="maya"/>
      <sheetName val="MRATES"/>
      <sheetName val="EDWise"/>
      <sheetName val="p&amp;m"/>
      <sheetName val="v"/>
      <sheetName val="Road Detail Est."/>
      <sheetName val="m"/>
      <sheetName val="habs-list"/>
      <sheetName val="int-Dia"/>
      <sheetName val="nodes"/>
      <sheetName val="lead-st"/>
      <sheetName val="Lead statement"/>
      <sheetName val="Lead (Final)"/>
      <sheetName val="hdpe weights"/>
      <sheetName val="PVC weights"/>
      <sheetName val="index"/>
      <sheetName val="sectorwise"/>
      <sheetName val="Levels"/>
      <sheetName val="data-sheet"/>
      <sheetName val="Line"/>
      <sheetName val="Road data"/>
      <sheetName val="Lead statement ss5"/>
      <sheetName val="Sheet1"/>
      <sheetName val="Sheet2"/>
      <sheetName val="INPUT-SHEET"/>
      <sheetName val="other rates"/>
      <sheetName val="Nspt-smp-final-ORIGINAL"/>
      <sheetName val="ESTIMATE"/>
      <sheetName val="Data_Base"/>
      <sheetName val="SSR 2016-17"/>
      <sheetName val="WATER-HAMMER"/>
      <sheetName val="DATA-BASE"/>
      <sheetName val="DATA-ABSTRACT"/>
      <sheetName val="MTC-estimate"/>
      <sheetName val="Mat. rates"/>
      <sheetName val="water-hammar-strenght"/>
      <sheetName val="hdpe-rates"/>
      <sheetName val="ssr-rates"/>
      <sheetName val="pvc-rates"/>
      <sheetName val="DI"/>
      <sheetName val="Lead  RATES"/>
      <sheetName val="wh"/>
      <sheetName val="t_prsr"/>
      <sheetName val="m1"/>
      <sheetName val="Rate"/>
      <sheetName val="PVC_dia"/>
      <sheetName val="detls"/>
      <sheetName val="기계내역서"/>
      <sheetName val="quar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4">
          <cell r="H4">
            <v>156</v>
          </cell>
        </row>
        <row r="5">
          <cell r="H5">
            <v>137</v>
          </cell>
        </row>
        <row r="6">
          <cell r="H6">
            <v>106</v>
          </cell>
        </row>
        <row r="14">
          <cell r="H14">
            <v>19.5</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sheetName val="Sheet3"/>
      <sheetName val="Sheet1"/>
      <sheetName val="Estimate (2)"/>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Schedule-A"/>
      <sheetName val="Labour_Charges"/>
      <sheetName val="leads"/>
      <sheetName val="MRATES"/>
      <sheetName val="Material"/>
      <sheetName val="Plant &amp;  Machine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_zphs"/>
      <sheetName val="data"/>
      <sheetName val="v"/>
      <sheetName val="r"/>
      <sheetName val="l"/>
      <sheetName val="Sheet3"/>
    </sheetNames>
    <sheetDataSet>
      <sheetData sheetId="0" refreshError="1"/>
      <sheetData sheetId="1" refreshError="1"/>
      <sheetData sheetId="2"/>
      <sheetData sheetId="3" refreshError="1">
        <row r="46">
          <cell r="I46">
            <v>17</v>
          </cell>
        </row>
      </sheetData>
      <sheetData sheetId="4" refreshError="1">
        <row r="8">
          <cell r="J8">
            <v>33</v>
          </cell>
        </row>
        <row r="9">
          <cell r="J9">
            <v>30</v>
          </cell>
        </row>
        <row r="10">
          <cell r="J10">
            <v>35</v>
          </cell>
        </row>
      </sheetData>
      <sheetData sheetId="5"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c1"/>
      <sheetName val="enc2"/>
      <sheetName val="enc3"/>
      <sheetName val="enc4"/>
      <sheetName val="enc5"/>
      <sheetName val="enc234"/>
      <sheetName val="ABSTITLE"/>
      <sheetName val="abs312 (3)"/>
      <sheetName val="ridf4 ALL23.3.99"/>
      <sheetName val="TIT_3 (2)"/>
      <sheetName val="sectorwise type2"/>
      <sheetName val="99-2000 "/>
      <sheetName val="98-99"/>
      <sheetName val="97-98"/>
      <sheetName val="Abstractab"/>
      <sheetName val="Abstract"/>
      <sheetName val="encnewgovt"/>
      <sheetName val="sectorwise"/>
      <sheetName val="ridf2enc"/>
      <sheetName val="ridf3enc"/>
      <sheetName val="ridf4enc"/>
      <sheetName val="LINKED23"/>
      <sheetName val="comprptsENC"/>
      <sheetName val="FINENC"/>
      <sheetName val="T&amp;A_Phy"/>
      <sheetName val="T&amp;A_Fin"/>
      <sheetName val="TIT_abs"/>
      <sheetName val="Sheet3"/>
      <sheetName val="TELE"/>
      <sheetName val="TIT_4"/>
      <sheetName val="abs312 (2)"/>
      <sheetName val="r"/>
      <sheetName val="Material"/>
      <sheetName val="Lead statement"/>
      <sheetName val="l"/>
      <sheetName val="MRATES"/>
      <sheetName val="Levels"/>
      <sheetName val="leads"/>
      <sheetName val="maya"/>
      <sheetName val="RMR"/>
      <sheetName val="Buildings"/>
      <sheetName val="data"/>
      <sheetName val="Lead  RATES"/>
      <sheetName val="Lead"/>
      <sheetName val="Plant &amp;  Machinery"/>
      <sheetName val="Labour"/>
      <sheetName val="lead-st"/>
      <sheetName val="data-sheet"/>
      <sheetName val="Road Detail Est."/>
      <sheetName val="Road data"/>
      <sheetName val="m"/>
      <sheetName val="Mortar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row r="1">
          <cell r="A1" t="str">
            <v>District</v>
          </cell>
          <cell r="B1" t="str">
            <v>Alloc</v>
          </cell>
          <cell r="C1" t="str">
            <v>expmar99</v>
          </cell>
          <cell r="D1" t="str">
            <v>relmar99</v>
          </cell>
          <cell r="E1" t="str">
            <v>obmar99</v>
          </cell>
          <cell r="F1" t="str">
            <v>Rel</v>
          </cell>
          <cell r="G1" t="str">
            <v>acpExp</v>
          </cell>
          <cell r="H1" t="str">
            <v>Exp1</v>
          </cell>
          <cell r="I1" t="str">
            <v>Expfinal</v>
          </cell>
          <cell r="J1" t="str">
            <v>Bal</v>
          </cell>
          <cell r="K1" t="str">
            <v>totwrks</v>
          </cell>
          <cell r="L1" t="str">
            <v>comp3/99</v>
          </cell>
          <cell r="M1" t="str">
            <v>Works</v>
          </cell>
          <cell r="N1" t="str">
            <v>totest</v>
          </cell>
          <cell r="O1" t="str">
            <v>Bal Est</v>
          </cell>
          <cell r="P1" t="str">
            <v>totcomp</v>
          </cell>
          <cell r="Q1" t="str">
            <v>Comp</v>
          </cell>
          <cell r="R1" t="str">
            <v>Bal</v>
          </cell>
        </row>
        <row r="2">
          <cell r="A2" t="str">
            <v>Srikakulam</v>
          </cell>
          <cell r="B2">
            <v>6.3399564873875507</v>
          </cell>
          <cell r="C2">
            <v>3.3949000000000003</v>
          </cell>
          <cell r="D2">
            <v>3.8</v>
          </cell>
          <cell r="E2">
            <v>0.40509999999999957</v>
          </cell>
          <cell r="F2">
            <v>1.65</v>
          </cell>
          <cell r="G2">
            <v>1.4691000000000001</v>
          </cell>
          <cell r="H2">
            <v>1.0640000000000005</v>
          </cell>
          <cell r="I2">
            <v>1.0640000000000005</v>
          </cell>
          <cell r="J2">
            <v>0.58599999999999941</v>
          </cell>
          <cell r="K2">
            <v>24</v>
          </cell>
          <cell r="L2">
            <v>5</v>
          </cell>
          <cell r="M2">
            <v>19</v>
          </cell>
          <cell r="N2">
            <v>13.037000000000001</v>
          </cell>
          <cell r="O2">
            <v>9.642100000000001</v>
          </cell>
          <cell r="P2">
            <v>7</v>
          </cell>
          <cell r="Q2">
            <v>2</v>
          </cell>
          <cell r="R2">
            <v>17</v>
          </cell>
        </row>
        <row r="3">
          <cell r="A3" t="str">
            <v>Vizianagaram</v>
          </cell>
          <cell r="B3">
            <v>6.5264973504227655</v>
          </cell>
          <cell r="C3">
            <v>2.7987000000000002</v>
          </cell>
          <cell r="D3">
            <v>3.35</v>
          </cell>
          <cell r="E3">
            <v>0.5512999999999999</v>
          </cell>
          <cell r="F3">
            <v>1.25</v>
          </cell>
          <cell r="G3">
            <v>1.4843999999999999</v>
          </cell>
          <cell r="H3">
            <v>0.93310000000000004</v>
          </cell>
          <cell r="I3">
            <v>0.93310000000000004</v>
          </cell>
          <cell r="J3">
            <v>0.31689999999999996</v>
          </cell>
          <cell r="K3">
            <v>23</v>
          </cell>
          <cell r="L3">
            <v>2</v>
          </cell>
          <cell r="M3">
            <v>21</v>
          </cell>
          <cell r="N3">
            <v>12.724500000000001</v>
          </cell>
          <cell r="O3">
            <v>9.9258000000000006</v>
          </cell>
          <cell r="P3">
            <v>5</v>
          </cell>
          <cell r="Q3">
            <v>3</v>
          </cell>
          <cell r="R3">
            <v>18</v>
          </cell>
        </row>
        <row r="4">
          <cell r="A4" t="str">
            <v>Visakhapatnam</v>
          </cell>
          <cell r="B4">
            <v>5.2308372495736588</v>
          </cell>
          <cell r="C4">
            <v>4.8526999999999996</v>
          </cell>
          <cell r="D4">
            <v>4.3</v>
          </cell>
          <cell r="E4">
            <v>-0.55269999999999975</v>
          </cell>
          <cell r="F4">
            <v>1.9</v>
          </cell>
          <cell r="G4">
            <v>1.6009</v>
          </cell>
          <cell r="H4">
            <v>2.1536</v>
          </cell>
          <cell r="I4">
            <v>2.1536</v>
          </cell>
          <cell r="J4">
            <v>-0.25360000000000005</v>
          </cell>
          <cell r="K4">
            <v>17</v>
          </cell>
          <cell r="L4">
            <v>0</v>
          </cell>
          <cell r="M4">
            <v>17</v>
          </cell>
          <cell r="N4">
            <v>12.808</v>
          </cell>
          <cell r="O4">
            <v>7.9553000000000003</v>
          </cell>
          <cell r="P4">
            <v>3</v>
          </cell>
          <cell r="Q4">
            <v>3</v>
          </cell>
          <cell r="R4">
            <v>14</v>
          </cell>
        </row>
        <row r="5">
          <cell r="A5" t="str">
            <v>East Godavari</v>
          </cell>
          <cell r="B5">
            <v>4.4450248230196028</v>
          </cell>
          <cell r="C5">
            <v>3.9397999999999995</v>
          </cell>
          <cell r="D5">
            <v>4.2699999999999996</v>
          </cell>
          <cell r="E5">
            <v>0.33020000000000005</v>
          </cell>
          <cell r="F5">
            <v>0.15</v>
          </cell>
          <cell r="G5">
            <v>0.37359999999999999</v>
          </cell>
          <cell r="H5">
            <v>4.3399999999999939E-2</v>
          </cell>
          <cell r="I5">
            <v>4.3399999999999939E-2</v>
          </cell>
          <cell r="J5">
            <v>0.10660000000000006</v>
          </cell>
          <cell r="K5">
            <v>31</v>
          </cell>
          <cell r="L5">
            <v>16</v>
          </cell>
          <cell r="M5">
            <v>15</v>
          </cell>
          <cell r="N5">
            <v>10.7</v>
          </cell>
          <cell r="O5">
            <v>6.7601999999999993</v>
          </cell>
          <cell r="P5">
            <v>16</v>
          </cell>
          <cell r="Q5">
            <v>0</v>
          </cell>
          <cell r="R5">
            <v>15</v>
          </cell>
        </row>
        <row r="6">
          <cell r="A6" t="str">
            <v>West Godavari</v>
          </cell>
          <cell r="B6">
            <v>6.5109139226683252</v>
          </cell>
          <cell r="C6">
            <v>7.9578999999999995</v>
          </cell>
          <cell r="D6">
            <v>8.6300000000000008</v>
          </cell>
          <cell r="E6">
            <v>0.67210000000000125</v>
          </cell>
          <cell r="F6">
            <v>0.45</v>
          </cell>
          <cell r="G6">
            <v>1.3902000000000001</v>
          </cell>
          <cell r="H6">
            <v>0.71809999999999885</v>
          </cell>
          <cell r="I6">
            <v>0.71809999999999885</v>
          </cell>
          <cell r="J6">
            <v>-0.26809999999999884</v>
          </cell>
          <cell r="K6">
            <v>40</v>
          </cell>
          <cell r="L6">
            <v>21</v>
          </cell>
          <cell r="M6">
            <v>19</v>
          </cell>
          <cell r="N6">
            <v>17.86</v>
          </cell>
          <cell r="O6">
            <v>9.9021000000000008</v>
          </cell>
          <cell r="P6">
            <v>23</v>
          </cell>
          <cell r="Q6">
            <v>2</v>
          </cell>
          <cell r="R6">
            <v>17</v>
          </cell>
        </row>
        <row r="7">
          <cell r="A7" t="str">
            <v>Krishna</v>
          </cell>
          <cell r="B7">
            <v>6.0240139964167332</v>
          </cell>
          <cell r="C7">
            <v>5.8304000000000009</v>
          </cell>
          <cell r="D7">
            <v>6.61</v>
          </cell>
          <cell r="E7">
            <v>0.7795999999999994</v>
          </cell>
          <cell r="F7">
            <v>0.5</v>
          </cell>
          <cell r="G7">
            <v>1.2702</v>
          </cell>
          <cell r="H7">
            <v>0.49060000000000059</v>
          </cell>
          <cell r="I7">
            <v>0.49060000000000059</v>
          </cell>
          <cell r="J7">
            <v>9.3999999999994088E-3</v>
          </cell>
          <cell r="K7">
            <v>29</v>
          </cell>
          <cell r="L7">
            <v>12</v>
          </cell>
          <cell r="M7">
            <v>17</v>
          </cell>
          <cell r="N7">
            <v>14.992000000000001</v>
          </cell>
          <cell r="O7">
            <v>9.1616</v>
          </cell>
          <cell r="P7">
            <v>13</v>
          </cell>
          <cell r="Q7">
            <v>1</v>
          </cell>
          <cell r="R7">
            <v>16</v>
          </cell>
        </row>
        <row r="8">
          <cell r="A8" t="str">
            <v>Guntur</v>
          </cell>
          <cell r="B8">
            <v>11.884106113543091</v>
          </cell>
          <cell r="C8">
            <v>7.6001000000000003</v>
          </cell>
          <cell r="D8">
            <v>6.85</v>
          </cell>
          <cell r="E8">
            <v>-0.75010000000000066</v>
          </cell>
          <cell r="F8">
            <v>2.15</v>
          </cell>
          <cell r="G8">
            <v>2.9051999999999998</v>
          </cell>
          <cell r="H8">
            <v>3.6553000000000004</v>
          </cell>
          <cell r="I8">
            <v>3.6553000000000004</v>
          </cell>
          <cell r="J8">
            <v>-1.5053000000000005</v>
          </cell>
          <cell r="K8">
            <v>50</v>
          </cell>
          <cell r="L8">
            <v>11</v>
          </cell>
          <cell r="M8">
            <v>39</v>
          </cell>
          <cell r="N8">
            <v>25.673999999999999</v>
          </cell>
          <cell r="O8">
            <v>18.073899999999998</v>
          </cell>
          <cell r="P8">
            <v>14</v>
          </cell>
          <cell r="Q8">
            <v>3</v>
          </cell>
          <cell r="R8">
            <v>36</v>
          </cell>
        </row>
        <row r="9">
          <cell r="A9" t="str">
            <v>Prakasam</v>
          </cell>
          <cell r="B9">
            <v>6.4859278359734427</v>
          </cell>
          <cell r="C9">
            <v>4.9009</v>
          </cell>
          <cell r="D9">
            <v>6.1</v>
          </cell>
          <cell r="E9">
            <v>1.1990999999999996</v>
          </cell>
          <cell r="F9">
            <v>0.65</v>
          </cell>
          <cell r="G9">
            <v>1.5345</v>
          </cell>
          <cell r="H9">
            <v>0.33540000000000036</v>
          </cell>
          <cell r="I9">
            <v>0.33540000000000036</v>
          </cell>
          <cell r="J9">
            <v>0.31459999999999966</v>
          </cell>
          <cell r="K9">
            <v>25</v>
          </cell>
          <cell r="L9">
            <v>10</v>
          </cell>
          <cell r="M9">
            <v>15</v>
          </cell>
          <cell r="N9">
            <v>14.765000000000001</v>
          </cell>
          <cell r="O9">
            <v>9.8641000000000005</v>
          </cell>
          <cell r="P9">
            <v>12</v>
          </cell>
          <cell r="Q9">
            <v>2</v>
          </cell>
          <cell r="R9">
            <v>13</v>
          </cell>
        </row>
        <row r="10">
          <cell r="A10" t="str">
            <v>Nellore</v>
          </cell>
          <cell r="B10">
            <v>3.9844260406573611</v>
          </cell>
          <cell r="C10">
            <v>6.7767999999999997</v>
          </cell>
          <cell r="D10">
            <v>7.43</v>
          </cell>
          <cell r="E10">
            <v>0.6532</v>
          </cell>
          <cell r="F10">
            <v>0.65</v>
          </cell>
          <cell r="G10">
            <v>1.0651999999999999</v>
          </cell>
          <cell r="H10">
            <v>0.41199999999999992</v>
          </cell>
          <cell r="I10">
            <v>0.41199999999999992</v>
          </cell>
          <cell r="J10">
            <v>0.2380000000000001</v>
          </cell>
          <cell r="K10">
            <v>33</v>
          </cell>
          <cell r="L10">
            <v>17</v>
          </cell>
          <cell r="M10">
            <v>16</v>
          </cell>
          <cell r="N10">
            <v>12.836500000000001</v>
          </cell>
          <cell r="O10">
            <v>6.0597000000000012</v>
          </cell>
          <cell r="P10">
            <v>20</v>
          </cell>
          <cell r="Q10">
            <v>3</v>
          </cell>
          <cell r="R10">
            <v>13</v>
          </cell>
        </row>
        <row r="11">
          <cell r="A11" t="str">
            <v>Chittoor</v>
          </cell>
          <cell r="B11">
            <v>7.3833228654780658</v>
          </cell>
          <cell r="C11">
            <v>3.9831000000000008</v>
          </cell>
          <cell r="D11">
            <v>5.6</v>
          </cell>
          <cell r="E11">
            <v>1.6168999999999989</v>
          </cell>
          <cell r="F11">
            <v>0.1</v>
          </cell>
          <cell r="G11">
            <v>0.81599999999999995</v>
          </cell>
          <cell r="H11">
            <v>-0.80089999999999895</v>
          </cell>
          <cell r="I11">
            <v>0.4</v>
          </cell>
          <cell r="J11">
            <v>-0.30000000000000004</v>
          </cell>
          <cell r="K11">
            <v>34</v>
          </cell>
          <cell r="L11">
            <v>10</v>
          </cell>
          <cell r="M11">
            <v>24</v>
          </cell>
          <cell r="N11">
            <v>15.212</v>
          </cell>
          <cell r="O11">
            <v>11.228899999999999</v>
          </cell>
          <cell r="P11">
            <v>12</v>
          </cell>
          <cell r="Q11">
            <v>2</v>
          </cell>
          <cell r="R11">
            <v>22</v>
          </cell>
        </row>
        <row r="12">
          <cell r="A12" t="str">
            <v>Cuddapah</v>
          </cell>
          <cell r="B12">
            <v>5.2888970247093976</v>
          </cell>
          <cell r="C12">
            <v>4.974400000000001</v>
          </cell>
          <cell r="D12">
            <v>5.8</v>
          </cell>
          <cell r="E12">
            <v>0.82559999999999878</v>
          </cell>
          <cell r="F12">
            <v>0.2</v>
          </cell>
          <cell r="G12">
            <v>0.43450000000000005</v>
          </cell>
          <cell r="H12">
            <v>-0.39109999999999873</v>
          </cell>
          <cell r="I12">
            <v>0.2</v>
          </cell>
          <cell r="J12">
            <v>0</v>
          </cell>
          <cell r="K12">
            <v>32</v>
          </cell>
          <cell r="L12">
            <v>11</v>
          </cell>
          <cell r="M12">
            <v>21</v>
          </cell>
          <cell r="N12">
            <v>13.017999999999999</v>
          </cell>
          <cell r="O12">
            <v>8.0435999999999979</v>
          </cell>
          <cell r="P12">
            <v>14</v>
          </cell>
          <cell r="Q12">
            <v>3</v>
          </cell>
          <cell r="R12">
            <v>18</v>
          </cell>
        </row>
        <row r="13">
          <cell r="A13" t="str">
            <v>Anantapur</v>
          </cell>
          <cell r="B13">
            <v>8.4452973028702978</v>
          </cell>
          <cell r="C13">
            <v>3.1979999999999995</v>
          </cell>
          <cell r="D13">
            <v>4</v>
          </cell>
          <cell r="E13">
            <v>0.80200000000000049</v>
          </cell>
          <cell r="F13">
            <v>0.5</v>
          </cell>
          <cell r="G13">
            <v>1.3625999999999998</v>
          </cell>
          <cell r="H13">
            <v>0.56059999999999932</v>
          </cell>
          <cell r="I13">
            <v>0.56059999999999932</v>
          </cell>
          <cell r="J13">
            <v>-6.0599999999999321E-2</v>
          </cell>
          <cell r="K13">
            <v>29</v>
          </cell>
          <cell r="L13">
            <v>3</v>
          </cell>
          <cell r="M13">
            <v>26</v>
          </cell>
          <cell r="N13">
            <v>16.042000000000002</v>
          </cell>
          <cell r="O13">
            <v>12.844000000000001</v>
          </cell>
          <cell r="P13">
            <v>6</v>
          </cell>
          <cell r="Q13">
            <v>3</v>
          </cell>
          <cell r="R13">
            <v>23</v>
          </cell>
        </row>
        <row r="14">
          <cell r="A14" t="str">
            <v>Kurnool</v>
          </cell>
          <cell r="B14">
            <v>7.0542955554222964</v>
          </cell>
          <cell r="C14">
            <v>6.0845000000000002</v>
          </cell>
          <cell r="D14">
            <v>7.95</v>
          </cell>
          <cell r="E14">
            <v>1.8654999999999999</v>
          </cell>
          <cell r="F14">
            <v>0</v>
          </cell>
          <cell r="G14">
            <v>2.1309</v>
          </cell>
          <cell r="H14">
            <v>0.26540000000000008</v>
          </cell>
          <cell r="I14">
            <v>0.26540000000000008</v>
          </cell>
          <cell r="J14">
            <v>-0.26540000000000008</v>
          </cell>
          <cell r="K14">
            <v>45</v>
          </cell>
          <cell r="L14">
            <v>21</v>
          </cell>
          <cell r="M14">
            <v>24</v>
          </cell>
          <cell r="N14">
            <v>16.812999999999999</v>
          </cell>
          <cell r="O14">
            <v>10.728499999999999</v>
          </cell>
          <cell r="P14">
            <v>24</v>
          </cell>
          <cell r="Q14">
            <v>3</v>
          </cell>
          <cell r="R14">
            <v>21</v>
          </cell>
        </row>
        <row r="15">
          <cell r="A15" t="str">
            <v>Mahabubnagar</v>
          </cell>
          <cell r="B15">
            <v>7.5731513714994483</v>
          </cell>
          <cell r="C15">
            <v>5.5608999999999993</v>
          </cell>
          <cell r="D15">
            <v>6.83</v>
          </cell>
          <cell r="E15">
            <v>1.2691000000000008</v>
          </cell>
          <cell r="F15">
            <v>0.45</v>
          </cell>
          <cell r="G15">
            <v>1.7105000000000001</v>
          </cell>
          <cell r="H15">
            <v>0.44139999999999935</v>
          </cell>
          <cell r="I15">
            <v>0.44139999999999935</v>
          </cell>
          <cell r="J15">
            <v>8.6000000000006627E-3</v>
          </cell>
          <cell r="K15">
            <v>35</v>
          </cell>
          <cell r="L15">
            <v>9</v>
          </cell>
          <cell r="M15">
            <v>26</v>
          </cell>
          <cell r="N15">
            <v>17.078499999999998</v>
          </cell>
          <cell r="O15">
            <v>11.517599999999998</v>
          </cell>
          <cell r="P15">
            <v>15</v>
          </cell>
          <cell r="Q15">
            <v>6</v>
          </cell>
          <cell r="R15">
            <v>20</v>
          </cell>
        </row>
        <row r="16">
          <cell r="A16" t="str">
            <v>Ranga Reddy</v>
          </cell>
          <cell r="B16">
            <v>4.9360014265740455</v>
          </cell>
          <cell r="C16">
            <v>1.9265999999999999</v>
          </cell>
          <cell r="D16">
            <v>2.6150000000000002</v>
          </cell>
          <cell r="E16">
            <v>0.68840000000000034</v>
          </cell>
          <cell r="F16">
            <v>1.2</v>
          </cell>
          <cell r="G16">
            <v>0.75719999999999998</v>
          </cell>
          <cell r="H16">
            <v>6.8799999999999639E-2</v>
          </cell>
          <cell r="I16">
            <v>6.8799999999999639E-2</v>
          </cell>
          <cell r="J16">
            <v>1.1312000000000002</v>
          </cell>
          <cell r="K16">
            <v>16</v>
          </cell>
          <cell r="L16">
            <v>2</v>
          </cell>
          <cell r="M16">
            <v>14</v>
          </cell>
          <cell r="N16">
            <v>9.4335000000000004</v>
          </cell>
          <cell r="O16">
            <v>7.5069000000000008</v>
          </cell>
          <cell r="P16">
            <v>4</v>
          </cell>
          <cell r="Q16">
            <v>2</v>
          </cell>
          <cell r="R16">
            <v>12</v>
          </cell>
        </row>
        <row r="17">
          <cell r="A17" t="str">
            <v>Nalgonda</v>
          </cell>
          <cell r="B17">
            <v>5.8986232929242561</v>
          </cell>
          <cell r="C17">
            <v>4.3959000000000001</v>
          </cell>
          <cell r="D17">
            <v>5.25</v>
          </cell>
          <cell r="E17">
            <v>0.85409999999999986</v>
          </cell>
          <cell r="F17">
            <v>1.25</v>
          </cell>
          <cell r="G17">
            <v>1.5286999999999999</v>
          </cell>
          <cell r="H17">
            <v>0.67460000000000009</v>
          </cell>
          <cell r="I17">
            <v>0.67460000000000009</v>
          </cell>
          <cell r="J17">
            <v>0.57539999999999991</v>
          </cell>
          <cell r="K17">
            <v>19</v>
          </cell>
          <cell r="L17">
            <v>4</v>
          </cell>
          <cell r="M17">
            <v>15</v>
          </cell>
          <cell r="N17">
            <v>13.366800000000001</v>
          </cell>
          <cell r="O17">
            <v>8.9709000000000003</v>
          </cell>
          <cell r="P17">
            <v>6</v>
          </cell>
          <cell r="Q17">
            <v>2</v>
          </cell>
          <cell r="R17">
            <v>13</v>
          </cell>
        </row>
        <row r="18">
          <cell r="A18" t="str">
            <v>Medak</v>
          </cell>
          <cell r="B18">
            <v>5.0158253982782224</v>
          </cell>
          <cell r="C18">
            <v>3.2407000000000004</v>
          </cell>
          <cell r="D18">
            <v>3.48</v>
          </cell>
          <cell r="E18">
            <v>0.23929999999999962</v>
          </cell>
          <cell r="F18">
            <v>0.7</v>
          </cell>
          <cell r="G18">
            <v>0.49380000000000002</v>
          </cell>
          <cell r="H18">
            <v>0.25450000000000039</v>
          </cell>
          <cell r="I18">
            <v>0.25450000000000039</v>
          </cell>
          <cell r="J18">
            <v>0.44549999999999956</v>
          </cell>
          <cell r="K18">
            <v>25</v>
          </cell>
          <cell r="L18">
            <v>11</v>
          </cell>
          <cell r="M18">
            <v>14</v>
          </cell>
          <cell r="N18">
            <v>10.869000000000002</v>
          </cell>
          <cell r="O18">
            <v>7.6283000000000012</v>
          </cell>
          <cell r="P18">
            <v>12</v>
          </cell>
          <cell r="Q18">
            <v>1</v>
          </cell>
          <cell r="R18">
            <v>13</v>
          </cell>
        </row>
        <row r="19">
          <cell r="A19" t="str">
            <v>Nizamabad</v>
          </cell>
          <cell r="B19">
            <v>5.1235943353648343</v>
          </cell>
          <cell r="C19">
            <v>5.4557999999999991</v>
          </cell>
          <cell r="D19">
            <v>5.2</v>
          </cell>
          <cell r="E19">
            <v>-0.25579999999999892</v>
          </cell>
          <cell r="F19">
            <v>2.15</v>
          </cell>
          <cell r="G19">
            <v>2.5670999999999999</v>
          </cell>
          <cell r="H19">
            <v>2.8228999999999989</v>
          </cell>
          <cell r="I19">
            <v>2.8228999999999989</v>
          </cell>
          <cell r="J19">
            <v>-0.67289999999999894</v>
          </cell>
          <cell r="K19">
            <v>23</v>
          </cell>
          <cell r="L19">
            <v>8</v>
          </cell>
          <cell r="M19">
            <v>15</v>
          </cell>
          <cell r="N19">
            <v>13.247999999999999</v>
          </cell>
          <cell r="O19">
            <v>7.7922000000000002</v>
          </cell>
          <cell r="P19">
            <v>11</v>
          </cell>
          <cell r="Q19">
            <v>3</v>
          </cell>
          <cell r="R19">
            <v>12</v>
          </cell>
        </row>
        <row r="20">
          <cell r="A20" t="str">
            <v>Warangal</v>
          </cell>
          <cell r="B20">
            <v>2.5385206553403421</v>
          </cell>
          <cell r="C20">
            <v>5.0892999999999997</v>
          </cell>
          <cell r="D20">
            <v>4.6349999999999998</v>
          </cell>
          <cell r="E20">
            <v>-0.45429999999999993</v>
          </cell>
          <cell r="F20">
            <v>1</v>
          </cell>
          <cell r="G20">
            <v>0.62909999999999999</v>
          </cell>
          <cell r="H20">
            <v>1.0833999999999999</v>
          </cell>
          <cell r="I20">
            <v>1.0833999999999999</v>
          </cell>
          <cell r="J20">
            <v>-8.3399999999999919E-2</v>
          </cell>
          <cell r="K20">
            <v>18</v>
          </cell>
          <cell r="L20">
            <v>9</v>
          </cell>
          <cell r="M20">
            <v>9</v>
          </cell>
          <cell r="N20">
            <v>8.9499999999999993</v>
          </cell>
          <cell r="O20">
            <v>3.8606999999999996</v>
          </cell>
          <cell r="P20">
            <v>9</v>
          </cell>
          <cell r="Q20">
            <v>0</v>
          </cell>
          <cell r="R20">
            <v>9</v>
          </cell>
        </row>
        <row r="21">
          <cell r="A21" t="str">
            <v>Khammam</v>
          </cell>
          <cell r="B21">
            <v>4.688573415434985</v>
          </cell>
          <cell r="C21">
            <v>2.2549000000000001</v>
          </cell>
          <cell r="D21">
            <v>2.8</v>
          </cell>
          <cell r="E21">
            <v>0.5450999999999997</v>
          </cell>
          <cell r="F21">
            <v>0.8</v>
          </cell>
          <cell r="G21">
            <v>1.0263</v>
          </cell>
          <cell r="H21">
            <v>0.48120000000000029</v>
          </cell>
          <cell r="I21">
            <v>0.48120000000000029</v>
          </cell>
          <cell r="J21">
            <v>0.31879999999999975</v>
          </cell>
          <cell r="K21">
            <v>17</v>
          </cell>
          <cell r="L21">
            <v>4</v>
          </cell>
          <cell r="M21">
            <v>13</v>
          </cell>
          <cell r="N21">
            <v>9.3855000000000004</v>
          </cell>
          <cell r="O21">
            <v>7.1306000000000003</v>
          </cell>
          <cell r="P21">
            <v>6</v>
          </cell>
          <cell r="Q21">
            <v>2</v>
          </cell>
          <cell r="R21">
            <v>11</v>
          </cell>
        </row>
        <row r="22">
          <cell r="A22" t="str">
            <v>Karimnagar</v>
          </cell>
          <cell r="B22">
            <v>0.74820179079228522</v>
          </cell>
          <cell r="C22">
            <v>4.7321</v>
          </cell>
          <cell r="D22">
            <v>4.95</v>
          </cell>
          <cell r="E22">
            <v>0.2179000000000002</v>
          </cell>
          <cell r="F22">
            <v>0.4</v>
          </cell>
          <cell r="G22">
            <v>0.38670000000000004</v>
          </cell>
          <cell r="H22">
            <v>0.16879999999999984</v>
          </cell>
          <cell r="I22">
            <v>0.16879999999999984</v>
          </cell>
          <cell r="J22">
            <v>0.23120000000000018</v>
          </cell>
          <cell r="K22">
            <v>14</v>
          </cell>
          <cell r="L22">
            <v>11</v>
          </cell>
          <cell r="M22">
            <v>3</v>
          </cell>
          <cell r="N22">
            <v>5.87</v>
          </cell>
          <cell r="O22">
            <v>1.1379000000000001</v>
          </cell>
          <cell r="P22">
            <v>13</v>
          </cell>
          <cell r="Q22">
            <v>2</v>
          </cell>
          <cell r="R22">
            <v>1</v>
          </cell>
        </row>
        <row r="23">
          <cell r="A23" t="str">
            <v>Adilabad</v>
          </cell>
          <cell r="B23">
            <v>2.8739917456490023</v>
          </cell>
          <cell r="C23">
            <v>1.7661000000000002</v>
          </cell>
          <cell r="D23">
            <v>1.9</v>
          </cell>
          <cell r="E23">
            <v>0.13389999999999969</v>
          </cell>
          <cell r="F23">
            <v>0.9</v>
          </cell>
          <cell r="G23">
            <v>0.93019999999999992</v>
          </cell>
          <cell r="H23">
            <v>0.79630000000000023</v>
          </cell>
          <cell r="I23">
            <v>0.79630000000000023</v>
          </cell>
          <cell r="J23">
            <v>0.10369999999999979</v>
          </cell>
          <cell r="K23">
            <v>11</v>
          </cell>
          <cell r="L23">
            <v>2</v>
          </cell>
          <cell r="M23">
            <v>9</v>
          </cell>
          <cell r="N23">
            <v>6.1370000000000005</v>
          </cell>
          <cell r="O23">
            <v>4.3709000000000007</v>
          </cell>
          <cell r="P23">
            <v>6</v>
          </cell>
          <cell r="Q23">
            <v>4</v>
          </cell>
          <cell r="R23">
            <v>5</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s>
    <sheetDataSet>
      <sheetData sheetId="0" refreshError="1"/>
      <sheetData sheetId="1" refreshError="1">
        <row r="5">
          <cell r="O5">
            <v>96</v>
          </cell>
          <cell r="P5">
            <v>101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 val="leads"/>
      <sheetName val="DATA"/>
      <sheetName val="r"/>
      <sheetName val="Lead  RATES"/>
    </sheetNames>
    <sheetDataSet>
      <sheetData sheetId="0" refreshError="1"/>
      <sheetData sheetId="1" refreshError="1">
        <row r="5">
          <cell r="O5">
            <v>96</v>
          </cell>
          <cell r="P5">
            <v>101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硸硸硸⵸汯呤传⁆䅊䵍䱁䵁䑁"/>
      <sheetName val="SSR 2006-07"/>
      <sheetName val="cover-page"/>
      <sheetName val="ABS"/>
      <sheetName val="Speci"/>
      <sheetName val="GDC_GF"/>
      <sheetName val="Elec Sub Est_0.33"/>
      <sheetName val="Water Supply"/>
      <sheetName val="LEAD S 10-11"/>
      <sheetName val="Bldg"/>
      <sheetName val="WOOD WORK DATA_2010-11"/>
      <sheetName val="Elect Main Data"/>
      <sheetName val="Sewer_Data_2010-11"/>
      <sheetName val="L"/>
      <sheetName val="Compound wall_Veternay"/>
      <sheetName val="Levels"/>
      <sheetName val="sectorwise"/>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row r="60">
          <cell r="E60">
            <v>196</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 val="0000000000000"/>
      <sheetName val="Abstrct "/>
      <sheetName val="Abstrct  CD works"/>
      <sheetName val="est"/>
      <sheetName val="Quarry"/>
      <sheetName val="Lead"/>
      <sheetName val="Slab cul-2m span 1"/>
      <sheetName val="Slab cul-3m span 2"/>
      <sheetName val="Slab cul-2m span 3"/>
      <sheetName val="Slab cul-2m span 4"/>
      <sheetName val="CC over pitching"/>
      <sheetName val="Data CD"/>
      <sheetName val="Lead Statement"/>
      <sheetName val="package summary"/>
      <sheetName val="Nindugerla"/>
      <sheetName val="cc pavement(b)"/>
      <sheetName val="foundations (b)"/>
      <sheetName val="est  (mord)"/>
      <sheetName val="Check Slip"/>
      <sheetName val="Sub Estiamte (2)"/>
      <sheetName val="Field Data"/>
      <sheetName val="Field Data (2)"/>
      <sheetName val="Field Data (3)"/>
      <sheetName val="3day Count"/>
      <sheetName val="Gen. Abstract"/>
      <sheetName val="r"/>
      <sheetName val="Levels"/>
      <sheetName val="l"/>
      <sheetName val="HDPE"/>
      <sheetName val="DI"/>
      <sheetName val="pvc"/>
      <sheetName val="hdpe_basic"/>
      <sheetName val="pvc_basic"/>
      <sheetName val="leads"/>
      <sheetName val="Fie,d Data"/>
      <sheetName val="final abstract"/>
      <sheetName val="Estimate "/>
      <sheetName val="XXXXXXXXXXXXX"/>
      <sheetName val="XXXXXXXXXXXX0"/>
      <sheetName val="Leadstatement "/>
      <sheetName val="exe"/>
      <sheetName val="insp"/>
      <sheetName val="sp"/>
      <sheetName val="Sheet3"/>
      <sheetName val="sub-est"/>
      <sheetName val="ann-b"/>
      <sheetName val="EWCal"/>
      <sheetName val="Sheet4"/>
      <sheetName val="COR.EST"/>
      <sheetName val="Abstrct-Part A"/>
      <sheetName val="Plant &amp;  Machinery"/>
      <sheetName val="Labour"/>
      <sheetName val="Material"/>
      <sheetName val="Data.F8.BTR"/>
      <sheetName val="hdpe-rates"/>
      <sheetName val="hdpe weights"/>
      <sheetName val="ssr-rates"/>
      <sheetName val="pvc-rates"/>
      <sheetName val="PVC weights"/>
      <sheetName val="Class IV Qtr. Ele"/>
      <sheetName val="MRATES"/>
      <sheetName val="DATA_ENTRY"/>
      <sheetName val="BTLeads"/>
      <sheetName val="RMR"/>
      <sheetName val="GF SB Ok "/>
      <sheetName val="data existing_do not delete"/>
      <sheetName val="Sheet9"/>
      <sheetName val="GN_ST_10"/>
      <sheetName val="pvc-pipe-rates"/>
      <sheetName val="LEAD S 10-11"/>
      <sheetName val="maya"/>
      <sheetName val="rdamdata"/>
      <sheetName val="HDPE-pipe-rates"/>
      <sheetName val="Specification report"/>
      <sheetName val="coverpage"/>
      <sheetName val="R_Det"/>
      <sheetName val="Road data"/>
      <sheetName val="Input Sheet"/>
      <sheetName val="cover page"/>
      <sheetName val="Sheet2"/>
      <sheetName val="Specification Repoer"/>
      <sheetName val="DETAILED ESTIMATE (2)"/>
      <sheetName val="Data (2)"/>
      <sheetName val="DETAILED ESTIMATE"/>
      <sheetName val="detailed dt22.10.2014"/>
      <sheetName val="PSet(1Ph)"/>
      <sheetName val="comparative"/>
      <sheetName val="seigniorage"/>
      <sheetName val="electrification"/>
      <sheetName val="septic tank"/>
      <sheetName val="ELEC datas"/>
      <sheetName val="san data"/>
      <sheetName val="SEIGNORAGE"/>
      <sheetName val="convey"/>
      <sheetName val="SCHEDULE."/>
      <sheetName val="Est (2)"/>
      <sheetName val="report"/>
      <sheetName val="schedule"/>
      <sheetName val="sectorwise"/>
      <sheetName val="mlead"/>
      <sheetName val="abs road"/>
      <sheetName val="cert"/>
      <sheetName val="Data_Bit_I"/>
      <sheetName val="CI"/>
      <sheetName val="C-data"/>
      <sheetName val="GEN-ABS Del"/>
      <sheetName val="Lead  RATES"/>
      <sheetName val="PRECAST lightconc-II"/>
      <sheetName val="Boq"/>
      <sheetName val="TBAL9697 -group wise  sdpl"/>
      <sheetName val="lead-st"/>
      <sheetName val="id"/>
      <sheetName val="Input"/>
      <sheetName val="c.d.abs.est."/>
      <sheetName val="c.d.data (morth)"/>
      <sheetName val="rd.det.est"/>
      <sheetName val="Cover"/>
      <sheetName val="rd.data"/>
      <sheetName val="mlead "/>
      <sheetName val="GA"/>
      <sheetName val="p&amp;m"/>
      <sheetName val="PVC_dia"/>
      <sheetName val="Gen Abs"/>
      <sheetName val="Conveayance charges"/>
      <sheetName val="Conveyance"/>
      <sheetName val="other rates"/>
      <sheetName val="Hire"/>
      <sheetName val="ewst"/>
      <sheetName val="cover (2)"/>
      <sheetName val="sup dat"/>
      <sheetName val="v"/>
      <sheetName val="leads-11-12"/>
      <sheetName val="Nspt-smp-final-ORIGINAL"/>
      <sheetName val="index"/>
      <sheetName val="Data_Base"/>
      <sheetName val="Factory_rates"/>
      <sheetName val="DATA-BASE"/>
      <sheetName val="Plant_&amp;__Machinery"/>
      <sheetName val="DATA-ABSTRACT"/>
      <sheetName val="Bridge Data 2005-06"/>
      <sheetName val="Common "/>
      <sheetName val="Work_sheet"/>
      <sheetName val="Sheet1 (2)"/>
      <sheetName val="GN-ST-10"/>
      <sheetName val="habs-list"/>
      <sheetName val="nodes"/>
      <sheetName val="in Put sheet"/>
      <sheetName val="Part-A"/>
      <sheetName val="Rates2"/>
      <sheetName val="clvrt_data"/>
      <sheetName val="Bitumen trunk"/>
      <sheetName val="R99 etc"/>
      <sheetName val="Trunk unpaved"/>
      <sheetName val="mas_hab"/>
      <sheetName val="Plant_㫨__Machinery"/>
      <sheetName val="Plant 㫨  Machinery"/>
      <sheetName val="Rates"/>
      <sheetName val="Usage"/>
      <sheetName val="General"/>
      <sheetName val="CD_Data"/>
      <sheetName val="sch"/>
      <sheetName val="Conv. 13-14"/>
      <sheetName val="BTR"/>
      <sheetName val="Line"/>
      <sheetName val="segments-details"/>
      <sheetName val="int-Dia-hdpe"/>
      <sheetName val="int-Dia-pvc"/>
      <sheetName val="Feeder"/>
      <sheetName val="SSR 2010-11 Rates"/>
      <sheetName val="DATA_PRG"/>
      <sheetName val="Variables"/>
      <sheetName val="ESTIMATE"/>
      <sheetName val="Abstrct_"/>
      <sheetName val="Abstrct__CD_works"/>
      <sheetName val="Slab_cul-2m_span_1"/>
      <sheetName val="Slab_cul-3m_span_2"/>
      <sheetName val="Slab_cul-2m_span_3"/>
      <sheetName val="Slab_cul-2m_span_4"/>
      <sheetName val="CC_over_pitching"/>
      <sheetName val="Data_CD"/>
      <sheetName val="Lead_Statement"/>
      <sheetName val="package_summary"/>
      <sheetName val="cc_pavement(b)"/>
      <sheetName val="foundations_(b)"/>
      <sheetName val="est__(mord)"/>
      <sheetName val="Check_Slip"/>
      <sheetName val="Sub_Estiamte_(2)"/>
      <sheetName val="Field_Data"/>
      <sheetName val="Field_Data_(2)"/>
      <sheetName val="Field_Data_(3)"/>
      <sheetName val="3day_Count"/>
      <sheetName val="Gen__Abstract"/>
      <sheetName val="Fie,d_Data"/>
      <sheetName val="Estimate_"/>
      <sheetName val="final_abstract"/>
      <sheetName val="Data chokanpally"/>
      <sheetName val="Data o"/>
      <sheetName val="Ellis &amp; WS&amp;S"/>
      <sheetName val="Drip mould &amp; Elevation"/>
      <sheetName val="Trussess"/>
      <sheetName val="Rate"/>
      <sheetName val="data-WC"/>
      <sheetName val="Lead statement ss5"/>
      <sheetName val="Rates SSR 2008-09"/>
      <sheetName val="WATER-HAMMER"/>
      <sheetName val="BM-HOOP"/>
      <sheetName val="MRMECADAMoad data"/>
      <sheetName val="Lookup"/>
      <sheetName val="t_prsr"/>
      <sheetName val="wh"/>
      <sheetName val="Road Detail Est."/>
      <sheetName val="SPT vs PHI"/>
      <sheetName val="EDWise"/>
      <sheetName val="Proj info- dump1"/>
      <sheetName val="PR-houdump"/>
      <sheetName val="PRICE BID"/>
      <sheetName val="well"/>
      <sheetName val="Rate Analysis"/>
      <sheetName val="DATA-2005-06"/>
      <sheetName val="Estt"/>
      <sheetName val="conc-foot-gradeslab"/>
      <sheetName val="_5wgdhabfinal00_01"/>
      <sheetName val="Legal Risk Analysis"/>
      <sheetName val="Leadstatement_"/>
      <sheetName val="COR_EST"/>
      <sheetName val="Abstrct-Part_A"/>
      <sheetName val="TBAL9697_-group_wise__sdpl"/>
      <sheetName val="Data_F8_BTR"/>
      <sheetName val="hdpe_weights"/>
      <sheetName val="PVC_weights"/>
      <sheetName val="Class_IV_Qtr__Ele"/>
      <sheetName val="GF_SB_Ok_"/>
      <sheetName val="data_existing_do_not_delete"/>
      <sheetName val="Specification_report"/>
      <sheetName val="Road_data"/>
      <sheetName val="GEN-ABS_Del"/>
      <sheetName val="LEAD_S_10-11"/>
      <sheetName val="abs_road"/>
      <sheetName val="Lead__RATES"/>
      <sheetName val="PRECAST_lightconc-II"/>
      <sheetName val="Input_Sheet"/>
      <sheetName val="cover_page"/>
      <sheetName val="Specification_Repoer"/>
      <sheetName val="DETAILED_ESTIMATE_(2)"/>
      <sheetName val="Data_(2)"/>
      <sheetName val="DETAILED_ESTIMATE"/>
      <sheetName val="detailed_dt22_10_2014"/>
      <sheetName val="septic_tank"/>
      <sheetName val="ELEC_datas"/>
      <sheetName val="san_data"/>
      <sheetName val="SCHEDULE_"/>
      <sheetName val="Est_(2)"/>
      <sheetName val="11.Habitations"/>
      <sheetName val="Dn LF Sluice"/>
      <sheetName val="leads-c"/>
      <sheetName val="detls"/>
      <sheetName val="Improvements"/>
      <sheetName val="Labour &amp; Plant"/>
      <sheetName val="int-Dia"/>
      <sheetName val="1V800"/>
      <sheetName val="entitlements"/>
      <sheetName val="fnote"/>
      <sheetName val="QDTS"/>
      <sheetName val="water-hammar-strenght"/>
      <sheetName val="AV-HDPE"/>
      <sheetName val="Di_gate-HDPE"/>
      <sheetName val="Masonry"/>
      <sheetName val="GBW"/>
      <sheetName val="sand"/>
      <sheetName val="stone"/>
      <sheetName val="Rates-May-14"/>
      <sheetName val="LOCAL RATES"/>
      <sheetName val="Usage "/>
      <sheetName val="dlvoid"/>
      <sheetName val="labour &amp; Centering"/>
      <sheetName val="wh_data_R"/>
      <sheetName val="Cover page  for Lead "/>
      <sheetName val="V.N.Pur 0.60MPGF"/>
      <sheetName val="B.W. BC COMMUNITY HALL"/>
      <sheetName val="AWB YALAL"/>
      <sheetName val="DOULAPUR "/>
      <sheetName val="Modal Estimate 2"/>
      <sheetName val="Modal Estimate "/>
      <sheetName val=" Ramp"/>
      <sheetName val="PS KOKAT"/>
      <sheetName val="Elec Estimate"/>
      <sheetName val="Sanitory Estimate"/>
      <sheetName val="Bore &amp; Pumpset"/>
      <sheetName val="Furniture "/>
      <sheetName val="20 TNs Detailed Est "/>
      <sheetName val="Bar Bending Schedule"/>
      <sheetName val="Flush Door  Shutter Country"/>
      <sheetName val=" Compound wall  "/>
      <sheetName val="Datas"/>
      <sheetName val="Datas  Side wall "/>
      <sheetName val="Veternory  Desponsory  BLDG"/>
      <sheetName val="Rural Live stock"/>
      <sheetName val="Ele data "/>
      <sheetName val="Sanitary&amp;water supply DATA "/>
      <sheetName val=" Doors window- Country 2.0- 1.2"/>
      <sheetName val=" Doors window- Sal Wood "/>
      <sheetName val=" Doors window- Teak 17-18"/>
      <sheetName val=" Doors window- Country "/>
      <sheetName val=" Doors window- Country  -2.0 m"/>
      <sheetName val=" Doors and windows "/>
      <sheetName val="MRoad data"/>
      <sheetName val="Sheet5"/>
      <sheetName val="QTY"/>
      <sheetName val="Suppl-data"/>
      <sheetName val="Habcodes"/>
      <sheetName val="Data rough"/>
      <sheetName val="GM&amp;PM EST- final "/>
      <sheetName val="hdpe_rates"/>
      <sheetName val="hdpe_wt-r"/>
      <sheetName val="Detailed"/>
      <sheetName val="Door&amp;Window data"/>
      <sheetName val="Main"/>
      <sheetName val="Material "/>
      <sheetName val="PUMP_DATA"/>
      <sheetName val="SSR"/>
      <sheetName val="RAM"/>
      <sheetName val="Data-all"/>
      <sheetName val="Database"/>
      <sheetName val="schedule nos"/>
      <sheetName val="Summary"/>
      <sheetName val="JAWAHAR-hyd-original"/>
      <sheetName val="Pop"/>
      <sheetName val="DATA SHEET"/>
      <sheetName val="Main sheet"/>
      <sheetName val="datas slabs, beams"/>
      <sheetName val="VKB-Sump-20-Kotalguda-wd"/>
      <sheetName val="VKB-60-12.95-Burgply-wd"/>
      <sheetName val="VKB60-12.95-Brgply-Specials"/>
      <sheetName val="steel price variation"/>
      <sheetName val="DI Wt"/>
      <sheetName val="VKB-60-30-Enkepally-we4"/>
      <sheetName val="ESSR"/>
      <sheetName val="tax sheet"/>
      <sheetName val="Steel &amp; PV"/>
      <sheetName val="CEMENT - PV"/>
      <sheetName val="Watersoft (2)"/>
      <sheetName val="iocount"/>
      <sheetName val="LEAD LOOKUP"/>
      <sheetName val="20KL-12m"/>
      <sheetName val="CRUST"/>
      <sheetName val="road est"/>
      <sheetName val="calcul"/>
      <sheetName val="Sump_cal"/>
      <sheetName val="pumping main"/>
      <sheetName val="co_5"/>
      <sheetName val="boredetails"/>
      <sheetName val="InputData"/>
      <sheetName val="Spec"/>
      <sheetName val="evaluate"/>
      <sheetName val="Data-ELSR"/>
      <sheetName val="Mortars"/>
      <sheetName val=" Data -Valves"/>
      <sheetName val="basic-data"/>
      <sheetName val="P "/>
      <sheetName val="DATA HM KM NB"/>
      <sheetName val="M5 900"/>
      <sheetName val="M7"/>
      <sheetName val="A.O.R."/>
      <sheetName val="Bridge_Data_2005-06"/>
      <sheetName val="Plant_&amp;__Machinery1"/>
      <sheetName val="sup_dat"/>
      <sheetName val="Common_"/>
      <sheetName val="Sheet1_(2)"/>
      <sheetName val="other_rates"/>
      <sheetName val="in_Put_sheet"/>
      <sheetName val="Bitumen_trunk"/>
      <sheetName val="R99_etc"/>
      <sheetName val="Trunk_unpaved"/>
      <sheetName val="Plant_㫨__Machinery1"/>
      <sheetName val="Conv__13-14"/>
      <sheetName val="Gen_Abs"/>
      <sheetName val="Road_Detail_Est_"/>
      <sheetName val="Rates_SSR_2008-09"/>
      <sheetName val="section"/>
      <sheetName val="BOQ Distribution"/>
      <sheetName val="Sorted"/>
      <sheetName val="BWSCPlt"/>
      <sheetName val="G.R.P"/>
      <sheetName val="PSC REVISED"/>
      <sheetName val="Staff Acco."/>
      <sheetName val="Lead- Input sheet "/>
      <sheetName val="zone-8"/>
      <sheetName val="MHNO_LEV"/>
      <sheetName val="ssr-rates-pipes"/>
      <sheetName val="Circular Column"/>
      <sheetName val="temp-SDData (2)"/>
      <sheetName val="Sketch"/>
      <sheetName val="mtc esti"/>
      <sheetName val="Basicrates"/>
      <sheetName val="Intro"/>
      <sheetName val="calc"/>
      <sheetName val="Abutment"/>
      <sheetName val="MTC-estimate"/>
      <sheetName val="BLOCK-A (MEA.SHEET)"/>
      <sheetName val="#REF"/>
      <sheetName val="annexture-g1"/>
      <sheetName val="A 3.7"/>
      <sheetName val="mem-property"/>
      <sheetName val="F8"/>
      <sheetName val="Lead (Final)"/>
      <sheetName val="Rectangular Beam"/>
      <sheetName val="Analy"/>
      <sheetName val=" datas"/>
      <sheetName val="Stability Abutment"/>
      <sheetName val="03-HYDRAULIC"/>
      <sheetName val="PS1"/>
      <sheetName val="SLAB DESIGN"/>
      <sheetName val="BASE_ALL"/>
      <sheetName val="Data base"/>
      <sheetName val="Design of two-way slab"/>
      <sheetName val="Sheet11"/>
      <sheetName val="1-Pop Proj"/>
      <sheetName val="Rising Main"/>
      <sheetName val="ANGAN"/>
      <sheetName val="(4)F-81 Exp.side"/>
      <sheetName val="ABSTRACT"/>
      <sheetName val="Culverts"/>
      <sheetName val="Activity No (A) ( 12)  "/>
      <sheetName val="Hamlet_Data_2300"/>
      <sheetName val="prjt"/>
      <sheetName val="BTR (2)"/>
      <sheetName val="User input"/>
      <sheetName val="Leads 05-06"/>
      <sheetName val="Newabstract"/>
      <sheetName val="XXXXX"/>
      <sheetName val="PIPE_CULVERT-MODEL"/>
      <sheetName val="APPROCH-ROAD-CD-WELL-FNDN-ITEMS"/>
      <sheetName val="Road-NF"/>
      <sheetName val="Gen Abs-2ndNF"/>
      <sheetName val="TS-memo"/>
      <sheetName val="Bridge Est"/>
      <sheetName val="GS comp"/>
      <sheetName val="SPR"/>
      <sheetName val="Bridge-ESTT"/>
      <sheetName val="bridge est comp"/>
      <sheetName val="RW 2 Sub est"/>
      <sheetName val="Approch-BT-CC-Road-Estt"/>
      <sheetName val="Conv"/>
      <sheetName val="SLAB_CULVERTS-MODEL"/>
      <sheetName val="CD-Works-Gen Abs"/>
      <sheetName val="Road_Furniture"/>
      <sheetName val="RSI-ESTT"/>
      <sheetName val="MTC-ABS"/>
      <sheetName val="Data Roads-Filter-1"/>
      <sheetName val="DATA-CD-Filter-3"/>
      <sheetName val="Sei-Charges-Master"/>
      <sheetName val="Bridge-Datas-4"/>
      <sheetName val="Bridge-Well foundation data-5"/>
      <sheetName val="Road Furniture-Data-6"/>
      <sheetName val="Data New Tech-Filter-2"/>
      <sheetName val="User-Instructions"/>
      <sheetName val="TRAFF-COUNT"/>
      <sheetName val="CRUST-CD-RSI-DETAILS"/>
      <sheetName val="Periodic_Mtc_Estt"/>
      <sheetName val="Google-Map"/>
      <sheetName val="MTC-Table"/>
      <sheetName val="Drains"/>
      <sheetName val="1v_600_PC"/>
      <sheetName val="2v_600_PC"/>
      <sheetName val="3v_600_PC"/>
      <sheetName val="1v_900_PC"/>
      <sheetName val="2v_900_PC"/>
      <sheetName val="3v_900_PC"/>
      <sheetName val="1v_1000_PC"/>
      <sheetName val="Schedule-A-Filter"/>
      <sheetName val="Schedule-A (Part-B)"/>
      <sheetName val="temp-calculations"/>
      <sheetName val="2v_1000_PC"/>
      <sheetName val="3v_1000_PC"/>
      <sheetName val="SC-1"/>
      <sheetName val="SC-2"/>
      <sheetName val="SC-3"/>
      <sheetName val="SC-4"/>
      <sheetName val="SC-5"/>
      <sheetName val="SC-6"/>
      <sheetName val="SC-7"/>
      <sheetName val="SC-8"/>
      <sheetName val="SC-9"/>
      <sheetName val="RD_1"/>
      <sheetName val="RD_2"/>
      <sheetName val="RD_3"/>
      <sheetName val="3v_600_RDVENTS"/>
      <sheetName val="3v_900_RDVENTS"/>
      <sheetName val="3v_1000_RDVENTS"/>
      <sheetName val="RCCPipes"/>
      <sheetName val="CC_WC"/>
      <sheetName val="Retaining-wall_1"/>
      <sheetName val="Retaining-wall_2"/>
      <sheetName val="Retaining-wall_3"/>
      <sheetName val="450-mmDia_Pipes_Crossings"/>
      <sheetName val="VIWSCo1"/>
      <sheetName val="PMAY DATA 2016-17"/>
      <sheetName val="Final Status as on 15.09.2021"/>
      <sheetName val="12"/>
      <sheetName val=" Targets Homes site"/>
      <sheetName val="Road data-TDR"/>
      <sheetName val="TS memo"/>
      <sheetName val="Data Road Rev"/>
      <sheetName val="Supplier"/>
      <sheetName val="VCH-SLC"/>
      <sheetName val="FINAL_LEAD1"/>
      <sheetName val="Sheet3-1"/>
      <sheetName val="DOC-Register"/>
      <sheetName val="CT"/>
      <sheetName val="PT"/>
      <sheetName val="MATERIALS"/>
      <sheetName val="ANALYSIS"/>
      <sheetName val="RD4"/>
      <sheetName val="labour &amp; Hire-20-21"/>
      <sheetName val="Mat. rates"/>
      <sheetName val="SS TANK(HOMO)"/>
      <sheetName val="hyperstatic-3"/>
      <sheetName val="Stability"/>
      <sheetName val="slab"/>
      <sheetName val="FORM7"/>
      <sheetName val="Global factors"/>
      <sheetName val="ultmom"/>
      <sheetName val="INPUT-DATA"/>
      <sheetName val="Flanged Beams"/>
      <sheetName val="SALIENT"/>
      <sheetName val="DET R"/>
      <sheetName val="Results"/>
      <sheetName val="Rd.Est"/>
      <sheetName val="Leads Entry"/>
      <sheetName val="Design"/>
      <sheetName val="Cheques"/>
      <sheetName val="Materials Data Sheet"/>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cell r="D149" t="str">
            <v>Bijnepally</v>
          </cell>
        </row>
      </sheetData>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sheetData sheetId="344"/>
      <sheetData sheetId="345"/>
      <sheetData sheetId="346"/>
      <sheetData sheetId="347"/>
      <sheetData sheetId="348"/>
      <sheetData sheetId="349"/>
      <sheetData sheetId="350"/>
      <sheetData sheetId="35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sheetData sheetId="368"/>
      <sheetData sheetId="369" refreshError="1"/>
      <sheetData sheetId="370"/>
      <sheetData sheetId="371"/>
      <sheetData sheetId="372"/>
      <sheetData sheetId="373"/>
      <sheetData sheetId="374"/>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2V_3M_SLAB (2)"/>
      <sheetName val="RD_X"/>
      <sheetName val="ROAD_DAM_100M"/>
      <sheetName val="RD_100M"/>
      <sheetName val="CC_WC"/>
      <sheetName val="RD_VENTES"/>
    </sheetNames>
    <sheetDataSet>
      <sheetData sheetId="0">
        <row r="22">
          <cell r="B22">
            <v>0</v>
          </cell>
        </row>
      </sheetData>
      <sheetData sheetId="1"/>
      <sheetData sheetId="2" refreshError="1"/>
      <sheetData sheetId="3"/>
      <sheetData sheetId="4"/>
      <sheetData sheetId="5"/>
      <sheetData sheetId="6"/>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2V_3M_SLAB (2)"/>
      <sheetName val="RD_X"/>
      <sheetName val="ROAD_DAM_100M"/>
      <sheetName val="RD_100M"/>
      <sheetName val="CC_WC"/>
      <sheetName val="RD_VENTES"/>
      <sheetName val="Levels"/>
      <sheetName val="m"/>
      <sheetName val="HDPE"/>
      <sheetName val="CI"/>
      <sheetName val="Material"/>
      <sheetName val="r"/>
    </sheetNames>
    <sheetDataSet>
      <sheetData sheetId="0">
        <row r="22">
          <cell r="B22">
            <v>0</v>
          </cell>
        </row>
      </sheetData>
      <sheetData sheetId="1"/>
      <sheetData sheetId="2" refreshError="1"/>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5">
          <cell r="D15">
            <v>137</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MG cov"/>
      <sheetName val="Insp.Rept SE"/>
      <sheetName val="cover"/>
      <sheetName val="CE Cert"/>
      <sheetName val="Gen.Abs"/>
      <sheetName val="Road Estt"/>
      <sheetName val="SD"/>
      <sheetName val="CD Abs"/>
      <sheetName val="2900mm"/>
      <sheetName val="Prot.wall"/>
      <sheetName val="Parapets"/>
      <sheetName val="slab 2v 6mm"/>
      <sheetName val="Approaches"/>
      <sheetName val="KM HM"/>
      <sheetName val="Data-Road "/>
      <sheetName val="DATA-CD"/>
      <sheetName val="Road Furniture-Data"/>
      <sheetName val="LEAD"/>
      <sheetName val="Mtc.Abs"/>
      <sheetName val="Rm1"/>
      <sheetName val="Rm2"/>
      <sheetName val="Rm3"/>
      <sheetName val="Rm4"/>
      <sheetName val="Rm5"/>
      <sheetName val="PM"/>
      <sheetName val="Daily Trf"/>
      <sheetName val="Weekly Trf"/>
      <sheetName val="Pav Desgn"/>
      <sheetName val="CC Pav"/>
      <sheetName val="Curve design"/>
      <sheetName val="Crust"/>
      <sheetName val="Prof B"/>
      <sheetName val="proforma-C"/>
      <sheetName val="F1"/>
      <sheetName val="F 2A"/>
      <sheetName val="F 2B"/>
      <sheetName val="F 4"/>
      <sheetName val="Hire"/>
      <sheetName val="Conv"/>
      <sheetName val="NP3 pipes"/>
      <sheetName val="NP3 collars"/>
      <sheetName val="other rates"/>
      <sheetName val="1v 900mm"/>
      <sheetName val="3v 900 (Rd)"/>
      <sheetName val="3900mm"/>
      <sheetName val="4v 900 Rd"/>
      <sheetName val="DATA"/>
      <sheetName val="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47">
          <cell r="K47">
            <v>0.125</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pm-tsb"/>
      <sheetName val="ssr-rates"/>
      <sheetName val="t_prsr"/>
      <sheetName val="id"/>
      <sheetName val="wh"/>
      <sheetName val="id_whmr"/>
      <sheetName val="WATER-HAMMER"/>
      <sheetName val="pvc-pipe-rates"/>
      <sheetName val="GA"/>
      <sheetName val="JAWAHAR-hyd-original"/>
      <sheetName val="DATA"/>
      <sheetName val="hdpe weights"/>
      <sheetName val="PVC weights"/>
      <sheetName val="CD Data"/>
      <sheetName val="economic PM"/>
      <sheetName val="Lead"/>
      <sheetName val="Labour"/>
      <sheetName val="DATA_PRG"/>
      <sheetName val="r"/>
      <sheetName val="m1"/>
      <sheetName val="l"/>
      <sheetName val="m"/>
      <sheetName val="ESTIMATE"/>
      <sheetName val="Levels"/>
      <sheetName val="0000000000000"/>
      <sheetName val="PVC_dia"/>
      <sheetName val="Data.F8.BTR"/>
      <sheetName val="sand"/>
      <sheetName val="stone"/>
      <sheetName val="index"/>
      <sheetName val="Sheet3"/>
      <sheetName val="Data_"/>
      <sheetName val="Rate"/>
      <sheetName val="Input"/>
      <sheetName val="Sheet1"/>
      <sheetName val="Cul_detail"/>
      <sheetName val="Plant &amp;  Machinery"/>
      <sheetName val="detls"/>
      <sheetName val="Material"/>
      <sheetName val="mas_hab"/>
      <sheetName val="water-hammar-strenght"/>
      <sheetName val="MRATES"/>
      <sheetName val="coverpage"/>
      <sheetName val="wh_data_R"/>
      <sheetName val="AV-HDPE"/>
      <sheetName val="Di_gate-HDPE"/>
      <sheetName val="LEAD (2)"/>
      <sheetName val="v"/>
      <sheetName val="Abstract"/>
      <sheetName val="BWSCPlt"/>
      <sheetName val="CI"/>
      <sheetName val="DI"/>
      <sheetName val="G.R.P"/>
      <sheetName val="HDPE"/>
      <sheetName val="PSC REVISED"/>
      <sheetName val="pvc"/>
      <sheetName val="Mortars"/>
      <sheetName val="DISCHARGE"/>
      <sheetName val="rdamdata"/>
      <sheetName val="Road data"/>
      <sheetName val="NA"/>
      <sheetName val="Steel Structure"/>
      <sheetName val="hdpe-rates"/>
      <sheetName val="pvc-rates"/>
      <sheetName val="Nspt-smp-final-ORIGINAL"/>
      <sheetName val="ws-abs"/>
      <sheetName val="LEAD S 10-11"/>
      <sheetName val="Longitudinal"/>
      <sheetName val="Sheet2"/>
      <sheetName val="int-Dia-pvc"/>
      <sheetName val="HS final-2"/>
      <sheetName val="LEAD STATEMENT"/>
      <sheetName val=" data sheet "/>
      <sheetName val="CPHEEO"/>
      <sheetName val="wh_data"/>
      <sheetName val="HDPE-pipe-rates"/>
      <sheetName val="DATA-BASE"/>
      <sheetName val="DATA-ABSTRACT"/>
      <sheetName val="11.Habitations"/>
      <sheetName val="Summary"/>
      <sheetName val="RMR"/>
      <sheetName val="DISCOUNT"/>
      <sheetName val="int-Dia-hdpe"/>
      <sheetName val="ewst"/>
      <sheetName val="DATA SHEET"/>
      <sheetName val="_5wgdhabfinal00_01"/>
      <sheetName val="RCC,Ret. Wall"/>
      <sheetName val="Quotes"/>
      <sheetName val="leads"/>
      <sheetName val="Cd"/>
      <sheetName val="Cs"/>
      <sheetName val="CPIPE"/>
      <sheetName val="THK"/>
      <sheetName val="CPIPE 1"/>
      <sheetName val="SPT vs PHI"/>
      <sheetName val="Usage"/>
      <sheetName val="Common "/>
      <sheetName val="General"/>
      <sheetName val="lead-st"/>
      <sheetName val="HS 1"/>
      <sheetName val="Road Detail Est."/>
      <sheetName val="nodes"/>
      <sheetName val="RATES"/>
      <sheetName val="C-data"/>
      <sheetName val="Lead statement ss5"/>
      <sheetName val="Bitumen trunk"/>
      <sheetName val="Feeder"/>
      <sheetName val="R99 etc"/>
      <sheetName val="Trunk unpaved"/>
      <sheetName val="Detailed"/>
      <sheetName val="Data-ELSR"/>
      <sheetName val="Codes"/>
      <sheetName val="int-Dia"/>
      <sheetName val="other rates"/>
      <sheetName val="habs-list"/>
      <sheetName val="CLEAR OVER FALL DROP"/>
      <sheetName val="TELs"/>
      <sheetName val="Leads Entry"/>
      <sheetName val="Data_Base"/>
      <sheetName val="design"/>
      <sheetName val="pop"/>
      <sheetName val="hdpe_basic"/>
      <sheetName val="pvc_basic"/>
      <sheetName val="ohsrb"/>
      <sheetName val="M.R.O"/>
      <sheetName val="Lookup"/>
      <sheetName val="mlead"/>
      <sheetName val="Z1_DATA"/>
      <sheetName val="Sheet1 (2)"/>
      <sheetName val="OPD-Civil"/>
      <sheetName val="AV-BWSC&amp;MS"/>
      <sheetName val="AV_AC"/>
      <sheetName val="AV-DI"/>
      <sheetName val="di_Gate_AC"/>
      <sheetName val="Digate-BWSCP-MS"/>
      <sheetName val="DI_gate_di"/>
      <sheetName val="scour-DI-CI"/>
      <sheetName val="scour-pvc-hdpe-psc-bwsc"/>
      <sheetName val="boredetails"/>
      <sheetName val="Data rough"/>
      <sheetName val="Cover Page"/>
      <sheetName val="3"/>
      <sheetName val="40"/>
      <sheetName val="Ward areas"/>
      <sheetName val="Main sheet"/>
      <sheetName val="Data 2007-08"/>
      <sheetName val="ww-march-02"/>
      <sheetName val="Work_sheet"/>
      <sheetName val="PS1"/>
      <sheetName val="01"/>
      <sheetName val="temp-SDData (2)"/>
      <sheetName val="Sheet5"/>
      <sheetName val="sectorwise"/>
      <sheetName val="maya"/>
      <sheetName val="SOR"/>
      <sheetName val="60-70"/>
      <sheetName val="80-100"/>
      <sheetName val="Emulsion MS"/>
      <sheetName val=" HSD"/>
      <sheetName val="Basic Data"/>
      <sheetName val="e6"/>
      <sheetName val="e8"/>
      <sheetName val="e11"/>
      <sheetName val="Proforma-I (2)"/>
      <sheetName val="cert"/>
      <sheetName val="Bridge Data 2005-06"/>
      <sheetName val="MRoad data"/>
      <sheetName val="Specification"/>
      <sheetName val="final abstract"/>
      <sheetName val="HYDERAULIC STATMENT OHBR"/>
      <sheetName val="Hydraulic Design (Pipe)"/>
      <sheetName val="hdpe_weights"/>
      <sheetName val="PVC_weights"/>
      <sheetName val="Plant_&amp;__Machinery"/>
      <sheetName val="LEAD_(2)"/>
      <sheetName val="CD_Data"/>
      <sheetName val="Data_F8_BTR"/>
      <sheetName val="G_R_P"/>
      <sheetName val="PSC_REVISED"/>
      <sheetName val="economic_PM"/>
      <sheetName val="HS_final-2"/>
      <sheetName val="LEAD_STATEMENT"/>
      <sheetName val="_data_sheet_"/>
      <sheetName val="11_Habitations"/>
      <sheetName val="Steel_Structure"/>
      <sheetName val="Road_data"/>
      <sheetName val="CPIPE_1"/>
      <sheetName val="SPT_vs_PHI"/>
      <sheetName val="Common_"/>
      <sheetName val="DATA_SHEET"/>
      <sheetName val="RCC,Ret__Wall"/>
      <sheetName val="HS_1"/>
      <sheetName val="Road_Detail_Est_"/>
      <sheetName val="Lead_statement_ss5"/>
      <sheetName val="Bitumen_trunk"/>
      <sheetName val="R99_etc"/>
      <sheetName val="Trunk_unpaved"/>
      <sheetName val="Data_2007-08"/>
      <sheetName val="data existing_do not delete"/>
      <sheetName val="concrete"/>
      <sheetName val="Data Road Rev"/>
    </sheetNames>
    <sheetDataSet>
      <sheetData sheetId="0">
        <row r="3">
          <cell r="A3" t="str">
            <v>CODE</v>
          </cell>
        </row>
      </sheetData>
      <sheetData sheetId="1">
        <row r="4">
          <cell r="A4" t="str">
            <v>PVC463</v>
          </cell>
        </row>
      </sheetData>
      <sheetData sheetId="2" refreshError="1">
        <row r="3">
          <cell r="A3" t="str">
            <v>CODE</v>
          </cell>
          <cell r="B3" t="str">
            <v>TYPE</v>
          </cell>
          <cell r="C3" t="str">
            <v>CLASS</v>
          </cell>
          <cell r="D3" t="str">
            <v>Unit</v>
          </cell>
          <cell r="E3" t="str">
            <v>Without surge</v>
          </cell>
          <cell r="F3" t="str">
            <v>with surge</v>
          </cell>
          <cell r="G3" t="str">
            <v>Site test pressure</v>
          </cell>
          <cell r="H3" t="str">
            <v>Remarks</v>
          </cell>
        </row>
        <row r="4">
          <cell r="A4" t="str">
            <v>PVC4</v>
          </cell>
          <cell r="B4" t="str">
            <v>PVC</v>
          </cell>
          <cell r="C4">
            <v>4</v>
          </cell>
          <cell r="D4" t="str">
            <v>kg/cm2</v>
          </cell>
          <cell r="E4">
            <v>40</v>
          </cell>
          <cell r="F4">
            <v>40</v>
          </cell>
        </row>
        <row r="5">
          <cell r="A5" t="str">
            <v>PVC6</v>
          </cell>
          <cell r="B5" t="str">
            <v>PVC</v>
          </cell>
          <cell r="C5">
            <v>6</v>
          </cell>
          <cell r="D5" t="str">
            <v>kg/cm2</v>
          </cell>
          <cell r="E5">
            <v>60</v>
          </cell>
          <cell r="F5">
            <v>60</v>
          </cell>
        </row>
        <row r="6">
          <cell r="A6" t="str">
            <v>PVC10</v>
          </cell>
          <cell r="B6" t="str">
            <v>PVC</v>
          </cell>
          <cell r="C6">
            <v>10</v>
          </cell>
          <cell r="D6" t="str">
            <v>kg/cm2</v>
          </cell>
          <cell r="E6">
            <v>100</v>
          </cell>
          <cell r="F6">
            <v>100</v>
          </cell>
        </row>
        <row r="7">
          <cell r="A7" t="str">
            <v>HDPE4</v>
          </cell>
          <cell r="B7" t="str">
            <v>HDPE</v>
          </cell>
          <cell r="C7">
            <v>4</v>
          </cell>
          <cell r="D7" t="str">
            <v>kg/cm2</v>
          </cell>
          <cell r="E7">
            <v>40</v>
          </cell>
          <cell r="F7">
            <v>60</v>
          </cell>
        </row>
        <row r="8">
          <cell r="A8" t="str">
            <v>HDPE6</v>
          </cell>
          <cell r="B8" t="str">
            <v>HDPE</v>
          </cell>
          <cell r="C8">
            <v>6</v>
          </cell>
          <cell r="D8" t="str">
            <v>kg/cm2</v>
          </cell>
          <cell r="E8">
            <v>60</v>
          </cell>
          <cell r="F8">
            <v>90</v>
          </cell>
        </row>
        <row r="9">
          <cell r="A9" t="str">
            <v>HDPE8</v>
          </cell>
          <cell r="B9" t="str">
            <v>HDPE</v>
          </cell>
          <cell r="C9">
            <v>8</v>
          </cell>
          <cell r="D9" t="str">
            <v>kg/cm2</v>
          </cell>
          <cell r="E9">
            <v>80</v>
          </cell>
          <cell r="F9">
            <v>120</v>
          </cell>
        </row>
        <row r="10">
          <cell r="A10" t="str">
            <v>HDPE10</v>
          </cell>
          <cell r="B10" t="str">
            <v>HDPE</v>
          </cell>
          <cell r="C10">
            <v>10</v>
          </cell>
          <cell r="D10" t="str">
            <v>kg/cm2</v>
          </cell>
          <cell r="E10">
            <v>100</v>
          </cell>
          <cell r="F10">
            <v>150</v>
          </cell>
        </row>
        <row r="11">
          <cell r="A11" t="str">
            <v>DIK7</v>
          </cell>
          <cell r="B11" t="str">
            <v>DI</v>
          </cell>
          <cell r="C11" t="str">
            <v>K7</v>
          </cell>
          <cell r="D11">
            <v>0</v>
          </cell>
          <cell r="E11">
            <v>80</v>
          </cell>
          <cell r="F11">
            <v>125</v>
          </cell>
        </row>
        <row r="12">
          <cell r="A12" t="str">
            <v>DIK9</v>
          </cell>
          <cell r="B12" t="str">
            <v>DI</v>
          </cell>
          <cell r="C12" t="str">
            <v>K9</v>
          </cell>
          <cell r="D12">
            <v>0</v>
          </cell>
          <cell r="E12">
            <v>320</v>
          </cell>
          <cell r="F12">
            <v>570</v>
          </cell>
        </row>
        <row r="13">
          <cell r="A13" t="str">
            <v>ACCL-15</v>
          </cell>
          <cell r="B13" t="str">
            <v>AC</v>
          </cell>
          <cell r="C13" t="str">
            <v>CL-15</v>
          </cell>
          <cell r="D13">
            <v>0</v>
          </cell>
          <cell r="E13">
            <v>75</v>
          </cell>
          <cell r="F13">
            <v>112.5</v>
          </cell>
        </row>
        <row r="14">
          <cell r="A14" t="str">
            <v>ACCL-20</v>
          </cell>
          <cell r="B14" t="str">
            <v>AC</v>
          </cell>
          <cell r="C14" t="str">
            <v>CL-20</v>
          </cell>
          <cell r="D14">
            <v>0</v>
          </cell>
          <cell r="E14">
            <v>100</v>
          </cell>
          <cell r="F14">
            <v>150</v>
          </cell>
        </row>
        <row r="15">
          <cell r="A15" t="str">
            <v>ACCL-25</v>
          </cell>
          <cell r="B15" t="str">
            <v>AC</v>
          </cell>
          <cell r="C15" t="str">
            <v>CL-25</v>
          </cell>
          <cell r="D15">
            <v>0</v>
          </cell>
          <cell r="E15">
            <v>125</v>
          </cell>
          <cell r="F15">
            <v>187.5</v>
          </cell>
        </row>
        <row r="16">
          <cell r="A16" t="str">
            <v>BWSC12</v>
          </cell>
          <cell r="B16" t="str">
            <v>BWSC</v>
          </cell>
          <cell r="C16">
            <v>12</v>
          </cell>
          <cell r="D16" t="str">
            <v>kg/cm2</v>
          </cell>
          <cell r="E16">
            <v>80</v>
          </cell>
          <cell r="F16">
            <v>120</v>
          </cell>
        </row>
        <row r="17">
          <cell r="A17" t="str">
            <v>BWSC14</v>
          </cell>
          <cell r="B17" t="str">
            <v>BWSC</v>
          </cell>
          <cell r="C17">
            <v>14</v>
          </cell>
          <cell r="D17" t="str">
            <v>kg/cm2</v>
          </cell>
          <cell r="E17">
            <v>93.333333333333343</v>
          </cell>
          <cell r="F17">
            <v>140</v>
          </cell>
        </row>
        <row r="18">
          <cell r="A18" t="str">
            <v>BWSC16</v>
          </cell>
          <cell r="B18" t="str">
            <v>BWSC</v>
          </cell>
          <cell r="C18">
            <v>16</v>
          </cell>
          <cell r="D18" t="str">
            <v>kg/cm2</v>
          </cell>
          <cell r="E18">
            <v>106.66666666666666</v>
          </cell>
          <cell r="F18">
            <v>160</v>
          </cell>
        </row>
        <row r="19">
          <cell r="A19" t="str">
            <v>BWSC18</v>
          </cell>
          <cell r="B19" t="str">
            <v>BWSC</v>
          </cell>
          <cell r="C19">
            <v>18</v>
          </cell>
          <cell r="D19" t="str">
            <v>kg/cm2</v>
          </cell>
          <cell r="E19">
            <v>120</v>
          </cell>
          <cell r="F19">
            <v>180</v>
          </cell>
        </row>
        <row r="20">
          <cell r="A20" t="str">
            <v>BWSC20</v>
          </cell>
          <cell r="B20" t="str">
            <v>BWSC</v>
          </cell>
          <cell r="C20">
            <v>20</v>
          </cell>
          <cell r="D20" t="str">
            <v>kg/cm2</v>
          </cell>
          <cell r="E20">
            <v>133.33333333333334</v>
          </cell>
          <cell r="F20">
            <v>200</v>
          </cell>
        </row>
        <row r="21">
          <cell r="A21" t="str">
            <v>BWSC22</v>
          </cell>
          <cell r="B21" t="str">
            <v>BWSC</v>
          </cell>
          <cell r="C21">
            <v>22</v>
          </cell>
          <cell r="D21" t="str">
            <v>kg/cm2</v>
          </cell>
          <cell r="E21">
            <v>146.66666666666666</v>
          </cell>
          <cell r="F21">
            <v>220</v>
          </cell>
        </row>
        <row r="22">
          <cell r="A22" t="str">
            <v>BWSC24</v>
          </cell>
          <cell r="B22" t="str">
            <v>BWSC</v>
          </cell>
          <cell r="C22">
            <v>24</v>
          </cell>
          <cell r="D22" t="str">
            <v>kg/cm2</v>
          </cell>
          <cell r="E22">
            <v>160</v>
          </cell>
          <cell r="F22">
            <v>240</v>
          </cell>
        </row>
        <row r="23">
          <cell r="A23" t="str">
            <v>BWSC26</v>
          </cell>
          <cell r="B23" t="str">
            <v>BWSC</v>
          </cell>
          <cell r="C23">
            <v>26</v>
          </cell>
          <cell r="D23" t="str">
            <v>kg/cm2</v>
          </cell>
          <cell r="E23">
            <v>173.33333333333331</v>
          </cell>
          <cell r="F23">
            <v>260</v>
          </cell>
        </row>
        <row r="24">
          <cell r="A24" t="str">
            <v>BWSC28</v>
          </cell>
          <cell r="B24" t="str">
            <v>BWSC</v>
          </cell>
          <cell r="C24">
            <v>28</v>
          </cell>
          <cell r="D24" t="str">
            <v>kg/cm2</v>
          </cell>
          <cell r="E24">
            <v>186.66666666666669</v>
          </cell>
          <cell r="F24">
            <v>280</v>
          </cell>
        </row>
        <row r="25">
          <cell r="A25" t="str">
            <v>BWSC30</v>
          </cell>
          <cell r="B25" t="str">
            <v>BWSC</v>
          </cell>
          <cell r="C25">
            <v>30</v>
          </cell>
          <cell r="D25" t="str">
            <v>kg/cm2</v>
          </cell>
          <cell r="E25">
            <v>200</v>
          </cell>
          <cell r="F25">
            <v>300</v>
          </cell>
        </row>
        <row r="26">
          <cell r="A26" t="str">
            <v>GRP3</v>
          </cell>
          <cell r="B26" t="str">
            <v>GRP</v>
          </cell>
          <cell r="C26">
            <v>3</v>
          </cell>
          <cell r="D26" t="str">
            <v>bar</v>
          </cell>
          <cell r="E26">
            <v>30</v>
          </cell>
          <cell r="F26">
            <v>42</v>
          </cell>
        </row>
        <row r="27">
          <cell r="A27" t="str">
            <v>GRP6</v>
          </cell>
          <cell r="B27" t="str">
            <v>GRP</v>
          </cell>
          <cell r="C27">
            <v>6</v>
          </cell>
          <cell r="D27" t="str">
            <v>bar</v>
          </cell>
          <cell r="E27">
            <v>60</v>
          </cell>
          <cell r="F27">
            <v>84</v>
          </cell>
        </row>
        <row r="28">
          <cell r="A28" t="str">
            <v>GRP9</v>
          </cell>
          <cell r="B28" t="str">
            <v>GRP</v>
          </cell>
          <cell r="C28">
            <v>9</v>
          </cell>
          <cell r="D28" t="str">
            <v>bar</v>
          </cell>
          <cell r="E28">
            <v>90</v>
          </cell>
          <cell r="F28">
            <v>126</v>
          </cell>
        </row>
        <row r="29">
          <cell r="A29" t="str">
            <v>GRP12</v>
          </cell>
          <cell r="B29" t="str">
            <v>GRP</v>
          </cell>
          <cell r="C29">
            <v>12</v>
          </cell>
          <cell r="D29" t="str">
            <v>bar</v>
          </cell>
          <cell r="E29">
            <v>120</v>
          </cell>
          <cell r="F29">
            <v>168</v>
          </cell>
        </row>
        <row r="30">
          <cell r="A30" t="str">
            <v>GRP15</v>
          </cell>
          <cell r="B30" t="str">
            <v>GRP</v>
          </cell>
          <cell r="C30">
            <v>15</v>
          </cell>
          <cell r="D30" t="str">
            <v>bar</v>
          </cell>
          <cell r="E30">
            <v>150</v>
          </cell>
          <cell r="F30">
            <v>210</v>
          </cell>
        </row>
        <row r="31">
          <cell r="A31" t="str">
            <v>PSC6</v>
          </cell>
          <cell r="B31" t="str">
            <v>PSC</v>
          </cell>
          <cell r="C31">
            <v>6</v>
          </cell>
          <cell r="D31" t="str">
            <v>kg/cm2</v>
          </cell>
          <cell r="E31">
            <v>40</v>
          </cell>
          <cell r="F31">
            <v>0</v>
          </cell>
          <cell r="G31">
            <v>0</v>
          </cell>
          <cell r="H31" t="str">
            <v>in gravity only</v>
          </cell>
        </row>
        <row r="32">
          <cell r="A32" t="str">
            <v>PSC8</v>
          </cell>
          <cell r="B32" t="str">
            <v>PSC</v>
          </cell>
          <cell r="C32">
            <v>8</v>
          </cell>
          <cell r="D32" t="str">
            <v>kg/cm2</v>
          </cell>
          <cell r="E32">
            <v>53</v>
          </cell>
          <cell r="F32">
            <v>0</v>
          </cell>
          <cell r="G32">
            <v>0</v>
          </cell>
          <cell r="H32" t="str">
            <v>in gravity only</v>
          </cell>
        </row>
        <row r="33">
          <cell r="A33" t="str">
            <v>PSC10</v>
          </cell>
          <cell r="B33" t="str">
            <v>PSC</v>
          </cell>
          <cell r="C33">
            <v>10</v>
          </cell>
          <cell r="D33" t="str">
            <v>kg/cm2</v>
          </cell>
          <cell r="E33">
            <v>67</v>
          </cell>
          <cell r="F33">
            <v>0</v>
          </cell>
          <cell r="G33">
            <v>0</v>
          </cell>
          <cell r="H33" t="str">
            <v>in gravity only</v>
          </cell>
        </row>
        <row r="34">
          <cell r="A34" t="str">
            <v>PSC12</v>
          </cell>
          <cell r="B34" t="str">
            <v>PSC</v>
          </cell>
          <cell r="C34">
            <v>12</v>
          </cell>
          <cell r="D34" t="str">
            <v>kg/cm2</v>
          </cell>
          <cell r="E34">
            <v>80</v>
          </cell>
          <cell r="F34">
            <v>0</v>
          </cell>
          <cell r="G34">
            <v>0</v>
          </cell>
          <cell r="H34" t="str">
            <v>in gravity only</v>
          </cell>
        </row>
        <row r="35">
          <cell r="A35" t="str">
            <v>PSC16</v>
          </cell>
          <cell r="B35" t="str">
            <v>PSC</v>
          </cell>
          <cell r="C35">
            <v>16</v>
          </cell>
          <cell r="D35" t="str">
            <v>kg/cm2</v>
          </cell>
          <cell r="E35">
            <v>106</v>
          </cell>
          <cell r="F35">
            <v>0</v>
          </cell>
          <cell r="G35">
            <v>0</v>
          </cell>
          <cell r="H35" t="str">
            <v>in gravity only</v>
          </cell>
        </row>
        <row r="36">
          <cell r="A36" t="str">
            <v>MS5</v>
          </cell>
          <cell r="B36" t="str">
            <v>MS</v>
          </cell>
          <cell r="C36">
            <v>5</v>
          </cell>
          <cell r="D36" t="str">
            <v>mm</v>
          </cell>
          <cell r="E36">
            <v>100</v>
          </cell>
          <cell r="F36">
            <v>100</v>
          </cell>
        </row>
        <row r="37">
          <cell r="A37" t="str">
            <v>MS6</v>
          </cell>
          <cell r="B37" t="str">
            <v>MS</v>
          </cell>
          <cell r="C37">
            <v>6</v>
          </cell>
          <cell r="D37" t="str">
            <v>mm</v>
          </cell>
          <cell r="E37">
            <v>150</v>
          </cell>
          <cell r="F37">
            <v>150</v>
          </cell>
        </row>
        <row r="38">
          <cell r="A38" t="str">
            <v>MS8</v>
          </cell>
          <cell r="B38" t="str">
            <v>MS</v>
          </cell>
          <cell r="C38">
            <v>8</v>
          </cell>
          <cell r="D38" t="str">
            <v>mm</v>
          </cell>
          <cell r="E38">
            <v>200</v>
          </cell>
          <cell r="F38">
            <v>200</v>
          </cell>
        </row>
        <row r="39">
          <cell r="A39" t="str">
            <v>MS10</v>
          </cell>
          <cell r="B39" t="str">
            <v>MS</v>
          </cell>
          <cell r="C39">
            <v>10</v>
          </cell>
          <cell r="D39" t="str">
            <v>mm</v>
          </cell>
          <cell r="E39">
            <v>250</v>
          </cell>
          <cell r="F39">
            <v>250</v>
          </cell>
        </row>
      </sheetData>
      <sheetData sheetId="3"/>
      <sheetData sheetId="4" refreshError="1">
        <row r="4">
          <cell r="A4" t="str">
            <v>PVC463</v>
          </cell>
          <cell r="B4" t="str">
            <v>PVC</v>
          </cell>
          <cell r="C4">
            <v>63</v>
          </cell>
          <cell r="D4">
            <v>4</v>
          </cell>
          <cell r="E4">
            <v>0.18543008999999999</v>
          </cell>
        </row>
        <row r="5">
          <cell r="A5" t="str">
            <v>PVC475</v>
          </cell>
          <cell r="B5" t="str">
            <v>PVC</v>
          </cell>
          <cell r="C5">
            <v>75</v>
          </cell>
          <cell r="D5">
            <v>4</v>
          </cell>
          <cell r="E5">
            <v>0.12858473000000001</v>
          </cell>
        </row>
        <row r="6">
          <cell r="A6" t="str">
            <v>PVC490</v>
          </cell>
          <cell r="B6" t="str">
            <v>PVC</v>
          </cell>
          <cell r="C6">
            <v>90</v>
          </cell>
          <cell r="D6">
            <v>4</v>
          </cell>
          <cell r="E6">
            <v>8.8417140000000005E-2</v>
          </cell>
        </row>
        <row r="7">
          <cell r="A7" t="str">
            <v>PVC4110</v>
          </cell>
          <cell r="B7" t="str">
            <v>PVC</v>
          </cell>
          <cell r="C7">
            <v>110</v>
          </cell>
          <cell r="D7">
            <v>4</v>
          </cell>
          <cell r="E7">
            <v>5.7090519999999999E-2</v>
          </cell>
        </row>
        <row r="8">
          <cell r="A8" t="str">
            <v>PVC4125</v>
          </cell>
          <cell r="B8" t="str">
            <v>PVC</v>
          </cell>
          <cell r="C8">
            <v>125</v>
          </cell>
          <cell r="D8">
            <v>4</v>
          </cell>
          <cell r="E8">
            <v>4.4137429999999998E-2</v>
          </cell>
        </row>
        <row r="9">
          <cell r="A9" t="str">
            <v>PVC4140</v>
          </cell>
          <cell r="B9" t="str">
            <v>PVC</v>
          </cell>
          <cell r="C9">
            <v>140</v>
          </cell>
          <cell r="D9">
            <v>4</v>
          </cell>
          <cell r="E9">
            <v>3.5140060000000001E-2</v>
          </cell>
        </row>
        <row r="10">
          <cell r="A10" t="str">
            <v>PVC4160</v>
          </cell>
          <cell r="B10" t="str">
            <v>PVC</v>
          </cell>
          <cell r="C10">
            <v>160</v>
          </cell>
          <cell r="D10">
            <v>4</v>
          </cell>
          <cell r="E10">
            <v>2.6738720000000001E-2</v>
          </cell>
        </row>
        <row r="11">
          <cell r="A11" t="str">
            <v>PVC4180</v>
          </cell>
          <cell r="B11" t="str">
            <v>PVC</v>
          </cell>
          <cell r="C11">
            <v>180</v>
          </cell>
          <cell r="D11">
            <v>4</v>
          </cell>
          <cell r="E11">
            <v>2.1296240000000001E-2</v>
          </cell>
        </row>
        <row r="12">
          <cell r="A12" t="str">
            <v>PVC4200</v>
          </cell>
          <cell r="B12" t="str">
            <v>PVC</v>
          </cell>
          <cell r="C12">
            <v>200</v>
          </cell>
          <cell r="D12">
            <v>4</v>
          </cell>
          <cell r="E12">
            <v>1.696429E-2</v>
          </cell>
        </row>
        <row r="13">
          <cell r="A13" t="str">
            <v>PVC4225</v>
          </cell>
          <cell r="B13" t="str">
            <v>PVC</v>
          </cell>
          <cell r="C13">
            <v>225</v>
          </cell>
          <cell r="D13">
            <v>4</v>
          </cell>
          <cell r="E13">
            <v>1.3456060000000001E-2</v>
          </cell>
        </row>
        <row r="14">
          <cell r="A14" t="str">
            <v>PVC4250</v>
          </cell>
          <cell r="B14" t="str">
            <v>PVC</v>
          </cell>
          <cell r="C14">
            <v>250</v>
          </cell>
          <cell r="D14">
            <v>4</v>
          </cell>
          <cell r="E14">
            <v>1.073005E-2</v>
          </cell>
        </row>
        <row r="15">
          <cell r="A15" t="str">
            <v>PVC4280</v>
          </cell>
          <cell r="B15" t="str">
            <v>PVC</v>
          </cell>
          <cell r="C15">
            <v>280</v>
          </cell>
          <cell r="D15">
            <v>4</v>
          </cell>
          <cell r="E15">
            <v>8.6408000000000006E-3</v>
          </cell>
        </row>
        <row r="16">
          <cell r="A16" t="str">
            <v>PVC4315</v>
          </cell>
          <cell r="B16" t="str">
            <v>PVC</v>
          </cell>
          <cell r="C16">
            <v>315</v>
          </cell>
          <cell r="D16">
            <v>4</v>
          </cell>
          <cell r="E16">
            <v>6.8145999999999997E-3</v>
          </cell>
        </row>
        <row r="17">
          <cell r="A17" t="str">
            <v>PVC4355</v>
          </cell>
          <cell r="B17" t="str">
            <v>PVC</v>
          </cell>
          <cell r="C17">
            <v>355</v>
          </cell>
          <cell r="D17">
            <v>4</v>
          </cell>
        </row>
        <row r="18">
          <cell r="A18" t="str">
            <v>PVC4400</v>
          </cell>
          <cell r="B18" t="str">
            <v>PVC</v>
          </cell>
          <cell r="C18">
            <v>400</v>
          </cell>
          <cell r="D18">
            <v>4</v>
          </cell>
        </row>
        <row r="19">
          <cell r="A19" t="str">
            <v>PVC663</v>
          </cell>
          <cell r="B19" t="str">
            <v>PVC</v>
          </cell>
          <cell r="C19">
            <v>63</v>
          </cell>
          <cell r="D19">
            <v>6</v>
          </cell>
          <cell r="E19">
            <v>0.23433302</v>
          </cell>
        </row>
        <row r="20">
          <cell r="A20" t="str">
            <v>PVC675</v>
          </cell>
          <cell r="B20" t="str">
            <v>PVC</v>
          </cell>
          <cell r="C20">
            <v>75</v>
          </cell>
          <cell r="D20">
            <v>6</v>
          </cell>
          <cell r="E20">
            <v>0.16123288999999999</v>
          </cell>
        </row>
        <row r="21">
          <cell r="A21" t="str">
            <v>PVC690</v>
          </cell>
          <cell r="B21" t="str">
            <v>PVC</v>
          </cell>
          <cell r="C21">
            <v>90</v>
          </cell>
          <cell r="D21">
            <v>6</v>
          </cell>
          <cell r="E21">
            <v>0.11155078</v>
          </cell>
        </row>
        <row r="22">
          <cell r="A22" t="str">
            <v>PVC6110</v>
          </cell>
          <cell r="B22" t="str">
            <v>PVC</v>
          </cell>
          <cell r="C22">
            <v>110</v>
          </cell>
          <cell r="D22">
            <v>6</v>
          </cell>
          <cell r="E22">
            <v>7.2138649999999999E-2</v>
          </cell>
        </row>
        <row r="23">
          <cell r="A23" t="str">
            <v>PVC6125</v>
          </cell>
          <cell r="B23" t="str">
            <v>PVC</v>
          </cell>
          <cell r="C23">
            <v>125</v>
          </cell>
          <cell r="D23">
            <v>6</v>
          </cell>
          <cell r="E23">
            <v>5.6748119999999999E-2</v>
          </cell>
        </row>
        <row r="24">
          <cell r="A24" t="str">
            <v>PVC6140</v>
          </cell>
          <cell r="B24" t="str">
            <v>PVC</v>
          </cell>
          <cell r="C24">
            <v>140</v>
          </cell>
          <cell r="D24">
            <v>6</v>
          </cell>
          <cell r="E24">
            <v>4.4685620000000002E-2</v>
          </cell>
        </row>
        <row r="25">
          <cell r="A25" t="str">
            <v>PVC6160</v>
          </cell>
          <cell r="B25" t="str">
            <v>PVC</v>
          </cell>
          <cell r="C25">
            <v>160</v>
          </cell>
          <cell r="D25">
            <v>6</v>
          </cell>
          <cell r="E25">
            <v>3.389437E-2</v>
          </cell>
        </row>
        <row r="26">
          <cell r="A26" t="str">
            <v>PVC6180</v>
          </cell>
          <cell r="B26" t="str">
            <v>PVC</v>
          </cell>
          <cell r="C26">
            <v>180</v>
          </cell>
          <cell r="D26">
            <v>6</v>
          </cell>
          <cell r="E26">
            <v>2.7106479999999999E-2</v>
          </cell>
        </row>
        <row r="27">
          <cell r="A27" t="str">
            <v>PVC6200</v>
          </cell>
          <cell r="B27" t="str">
            <v>PVC</v>
          </cell>
          <cell r="C27">
            <v>200</v>
          </cell>
          <cell r="D27">
            <v>6</v>
          </cell>
          <cell r="E27">
            <v>2.197735E-2</v>
          </cell>
        </row>
        <row r="28">
          <cell r="A28" t="str">
            <v>PVC6225</v>
          </cell>
          <cell r="B28" t="str">
            <v>PVC</v>
          </cell>
          <cell r="C28">
            <v>225</v>
          </cell>
          <cell r="D28">
            <v>6</v>
          </cell>
          <cell r="E28">
            <v>1.6981139999999999E-2</v>
          </cell>
        </row>
        <row r="29">
          <cell r="A29" t="str">
            <v>PVC6250</v>
          </cell>
          <cell r="B29" t="str">
            <v>PVC</v>
          </cell>
          <cell r="C29">
            <v>250</v>
          </cell>
          <cell r="D29">
            <v>6</v>
          </cell>
          <cell r="E29">
            <v>1.3992569999999999E-2</v>
          </cell>
        </row>
        <row r="30">
          <cell r="A30" t="str">
            <v>PVC6280</v>
          </cell>
          <cell r="B30" t="str">
            <v>PVC</v>
          </cell>
          <cell r="C30">
            <v>280</v>
          </cell>
          <cell r="D30">
            <v>6</v>
          </cell>
          <cell r="E30">
            <v>1.11714E-2</v>
          </cell>
        </row>
        <row r="31">
          <cell r="A31" t="str">
            <v>PVC6315</v>
          </cell>
          <cell r="B31" t="str">
            <v>PVC</v>
          </cell>
          <cell r="C31">
            <v>315</v>
          </cell>
          <cell r="D31">
            <v>6</v>
          </cell>
          <cell r="E31">
            <v>8.83894E-3</v>
          </cell>
        </row>
        <row r="32">
          <cell r="A32" t="str">
            <v>PVC6355</v>
          </cell>
          <cell r="B32" t="str">
            <v>PVC</v>
          </cell>
          <cell r="C32">
            <v>355</v>
          </cell>
          <cell r="D32">
            <v>6</v>
          </cell>
        </row>
        <row r="33">
          <cell r="A33" t="str">
            <v>PVC6400</v>
          </cell>
          <cell r="B33" t="str">
            <v>PVC</v>
          </cell>
          <cell r="C33">
            <v>400</v>
          </cell>
          <cell r="D33">
            <v>6</v>
          </cell>
        </row>
        <row r="34">
          <cell r="A34" t="str">
            <v>PVC1063</v>
          </cell>
          <cell r="B34" t="str">
            <v>PVC</v>
          </cell>
          <cell r="C34">
            <v>63</v>
          </cell>
          <cell r="D34">
            <v>10</v>
          </cell>
          <cell r="E34">
            <v>0.32104532000000002</v>
          </cell>
        </row>
        <row r="35">
          <cell r="A35" t="str">
            <v>PVC1075</v>
          </cell>
          <cell r="B35" t="str">
            <v>PVC</v>
          </cell>
          <cell r="C35">
            <v>75</v>
          </cell>
          <cell r="D35">
            <v>10</v>
          </cell>
          <cell r="E35">
            <v>0.22725295000000001</v>
          </cell>
        </row>
        <row r="36">
          <cell r="A36" t="str">
            <v>PVC1090</v>
          </cell>
          <cell r="B36" t="str">
            <v>PVC</v>
          </cell>
          <cell r="C36">
            <v>90</v>
          </cell>
          <cell r="D36">
            <v>10</v>
          </cell>
          <cell r="E36">
            <v>0.15387228999999999</v>
          </cell>
        </row>
        <row r="37">
          <cell r="A37" t="str">
            <v>PVC10110</v>
          </cell>
          <cell r="B37" t="str">
            <v>PVC</v>
          </cell>
          <cell r="C37">
            <v>110</v>
          </cell>
          <cell r="D37">
            <v>10</v>
          </cell>
          <cell r="E37">
            <v>0.10460234</v>
          </cell>
        </row>
        <row r="38">
          <cell r="A38" t="str">
            <v>PVC10125</v>
          </cell>
          <cell r="B38" t="str">
            <v>PVC</v>
          </cell>
          <cell r="C38">
            <v>125</v>
          </cell>
          <cell r="D38">
            <v>10</v>
          </cell>
          <cell r="E38">
            <v>8.0446829999999997E-2</v>
          </cell>
        </row>
        <row r="39">
          <cell r="A39" t="str">
            <v>PVC10140</v>
          </cell>
          <cell r="B39" t="str">
            <v>PVC</v>
          </cell>
          <cell r="C39">
            <v>140</v>
          </cell>
          <cell r="D39">
            <v>10</v>
          </cell>
          <cell r="E39">
            <v>6.3783359999999997E-2</v>
          </cell>
        </row>
        <row r="40">
          <cell r="A40" t="str">
            <v>PVC10160</v>
          </cell>
          <cell r="B40" t="str">
            <v>PVC</v>
          </cell>
          <cell r="C40">
            <v>160</v>
          </cell>
          <cell r="D40">
            <v>10</v>
          </cell>
          <cell r="E40">
            <v>4.8945219999999998E-2</v>
          </cell>
        </row>
        <row r="41">
          <cell r="A41" t="str">
            <v>PVC10180</v>
          </cell>
          <cell r="B41" t="str">
            <v>PVC</v>
          </cell>
          <cell r="C41">
            <v>180</v>
          </cell>
          <cell r="D41">
            <v>10</v>
          </cell>
          <cell r="E41">
            <v>3.846807E-2</v>
          </cell>
        </row>
        <row r="42">
          <cell r="A42" t="str">
            <v>PVC10200</v>
          </cell>
          <cell r="B42" t="str">
            <v>PVC</v>
          </cell>
          <cell r="C42">
            <v>200</v>
          </cell>
          <cell r="D42">
            <v>10</v>
          </cell>
          <cell r="E42">
            <v>3.1225429999999998E-2</v>
          </cell>
        </row>
        <row r="43">
          <cell r="A43" t="str">
            <v>PVC10225</v>
          </cell>
          <cell r="B43" t="str">
            <v>PVC</v>
          </cell>
          <cell r="C43">
            <v>225</v>
          </cell>
          <cell r="D43">
            <v>10</v>
          </cell>
          <cell r="E43">
            <v>2.4689409999999998E-2</v>
          </cell>
        </row>
        <row r="44">
          <cell r="A44" t="str">
            <v>PVC10250</v>
          </cell>
          <cell r="B44" t="str">
            <v>PVC</v>
          </cell>
          <cell r="C44">
            <v>250</v>
          </cell>
          <cell r="D44">
            <v>10</v>
          </cell>
          <cell r="E44">
            <v>2.0009740000000002E-2</v>
          </cell>
        </row>
        <row r="45">
          <cell r="A45" t="str">
            <v>PVC10280</v>
          </cell>
          <cell r="B45" t="str">
            <v>PVC</v>
          </cell>
          <cell r="C45">
            <v>280</v>
          </cell>
          <cell r="D45">
            <v>10</v>
          </cell>
          <cell r="E45">
            <v>1.5945839999999999E-2</v>
          </cell>
        </row>
        <row r="46">
          <cell r="A46" t="str">
            <v>PVC10315</v>
          </cell>
          <cell r="B46" t="str">
            <v>PVC</v>
          </cell>
          <cell r="C46">
            <v>315</v>
          </cell>
          <cell r="D46">
            <v>10</v>
          </cell>
          <cell r="E46">
            <v>1.2535569999999999E-2</v>
          </cell>
        </row>
        <row r="47">
          <cell r="A47" t="str">
            <v>PVC10355</v>
          </cell>
          <cell r="B47" t="str">
            <v>PVC</v>
          </cell>
          <cell r="C47">
            <v>355</v>
          </cell>
          <cell r="D47">
            <v>10</v>
          </cell>
        </row>
        <row r="48">
          <cell r="A48" t="str">
            <v>PVC10400</v>
          </cell>
          <cell r="B48" t="str">
            <v>PVC</v>
          </cell>
          <cell r="C48">
            <v>400</v>
          </cell>
          <cell r="D48">
            <v>10</v>
          </cell>
        </row>
        <row r="49">
          <cell r="A49" t="str">
            <v>HDPE463</v>
          </cell>
          <cell r="B49" t="str">
            <v>HDPE</v>
          </cell>
          <cell r="C49">
            <v>63</v>
          </cell>
          <cell r="D49">
            <v>4</v>
          </cell>
          <cell r="E49">
            <v>0.14190616</v>
          </cell>
        </row>
        <row r="50">
          <cell r="A50" t="str">
            <v>HDPE475</v>
          </cell>
          <cell r="B50" t="str">
            <v>HDPE</v>
          </cell>
          <cell r="C50">
            <v>75</v>
          </cell>
          <cell r="D50">
            <v>4</v>
          </cell>
          <cell r="E50">
            <v>9.6530119999999997E-2</v>
          </cell>
        </row>
        <row r="51">
          <cell r="A51" t="str">
            <v>HDPE490</v>
          </cell>
          <cell r="B51" t="str">
            <v>HDPE</v>
          </cell>
          <cell r="C51">
            <v>90</v>
          </cell>
          <cell r="D51">
            <v>4</v>
          </cell>
          <cell r="E51">
            <v>6.7277240000000002E-2</v>
          </cell>
        </row>
        <row r="52">
          <cell r="A52" t="str">
            <v>HDPE4110</v>
          </cell>
          <cell r="B52" t="str">
            <v>HDPE</v>
          </cell>
          <cell r="C52">
            <v>110</v>
          </cell>
          <cell r="D52">
            <v>4</v>
          </cell>
          <cell r="E52">
            <v>4.4963049999999997E-2</v>
          </cell>
        </row>
        <row r="53">
          <cell r="A53" t="str">
            <v>HDPE4125</v>
          </cell>
          <cell r="B53" t="str">
            <v>HDPE</v>
          </cell>
          <cell r="C53">
            <v>125</v>
          </cell>
          <cell r="D53">
            <v>4</v>
          </cell>
          <cell r="E53">
            <v>3.444945E-2</v>
          </cell>
        </row>
        <row r="54">
          <cell r="A54" t="str">
            <v>HDPE4140</v>
          </cell>
          <cell r="B54" t="str">
            <v>HDPE</v>
          </cell>
          <cell r="C54">
            <v>140</v>
          </cell>
          <cell r="D54">
            <v>4</v>
          </cell>
          <cell r="E54">
            <v>2.7231419999999999E-2</v>
          </cell>
        </row>
        <row r="55">
          <cell r="A55" t="str">
            <v>HDPE4160</v>
          </cell>
          <cell r="B55" t="str">
            <v>HDPE</v>
          </cell>
          <cell r="C55">
            <v>160</v>
          </cell>
          <cell r="D55">
            <v>4</v>
          </cell>
          <cell r="E55">
            <v>2.0879809999999999E-2</v>
          </cell>
        </row>
        <row r="56">
          <cell r="A56" t="str">
            <v>HDPE4180</v>
          </cell>
          <cell r="B56" t="str">
            <v>HDPE</v>
          </cell>
          <cell r="C56">
            <v>180</v>
          </cell>
          <cell r="D56">
            <v>4</v>
          </cell>
          <cell r="E56">
            <v>1.6365379999999999E-2</v>
          </cell>
        </row>
        <row r="57">
          <cell r="A57" t="str">
            <v>HDPE4200</v>
          </cell>
          <cell r="B57" t="str">
            <v>HDPE</v>
          </cell>
          <cell r="C57">
            <v>200</v>
          </cell>
          <cell r="D57">
            <v>4</v>
          </cell>
          <cell r="E57">
            <v>1.3170319999999999E-2</v>
          </cell>
        </row>
        <row r="58">
          <cell r="A58" t="str">
            <v>HDPE4225</v>
          </cell>
          <cell r="B58" t="str">
            <v>HDPE</v>
          </cell>
          <cell r="C58">
            <v>225</v>
          </cell>
          <cell r="D58">
            <v>4</v>
          </cell>
          <cell r="E58">
            <v>1.0415840000000001E-2</v>
          </cell>
        </row>
        <row r="59">
          <cell r="A59" t="str">
            <v>HDPE4250</v>
          </cell>
          <cell r="B59" t="str">
            <v>HDPE</v>
          </cell>
          <cell r="C59">
            <v>250</v>
          </cell>
          <cell r="D59">
            <v>4</v>
          </cell>
          <cell r="E59">
            <v>8.4430900000000003E-3</v>
          </cell>
        </row>
        <row r="60">
          <cell r="A60" t="str">
            <v>HDPE4280</v>
          </cell>
          <cell r="B60" t="str">
            <v>HDPE</v>
          </cell>
          <cell r="C60">
            <v>280</v>
          </cell>
          <cell r="D60">
            <v>4</v>
          </cell>
          <cell r="E60">
            <v>6.6874600000000001E-3</v>
          </cell>
        </row>
        <row r="61">
          <cell r="A61" t="str">
            <v>HDPE4315</v>
          </cell>
          <cell r="B61" t="str">
            <v>HDPE</v>
          </cell>
          <cell r="C61">
            <v>315</v>
          </cell>
          <cell r="D61">
            <v>4</v>
          </cell>
          <cell r="E61">
            <v>5.3085700000000003E-3</v>
          </cell>
        </row>
        <row r="62">
          <cell r="A62" t="str">
            <v>HDPE4355</v>
          </cell>
          <cell r="B62" t="str">
            <v>HDPE</v>
          </cell>
          <cell r="C62">
            <v>355</v>
          </cell>
          <cell r="D62">
            <v>4</v>
          </cell>
          <cell r="E62">
            <v>4.1521800000000001E-3</v>
          </cell>
        </row>
        <row r="63">
          <cell r="A63" t="str">
            <v>HDPE4400</v>
          </cell>
          <cell r="B63" t="str">
            <v>HDPE</v>
          </cell>
          <cell r="C63">
            <v>400</v>
          </cell>
          <cell r="D63">
            <v>4</v>
          </cell>
          <cell r="E63">
            <v>3.3752399999999998E-3</v>
          </cell>
        </row>
        <row r="64">
          <cell r="A64" t="str">
            <v>HDPE663</v>
          </cell>
          <cell r="B64" t="str">
            <v>HDPE</v>
          </cell>
          <cell r="C64">
            <v>63</v>
          </cell>
          <cell r="D64">
            <v>6</v>
          </cell>
          <cell r="E64">
            <v>0.18601166999999999</v>
          </cell>
        </row>
        <row r="65">
          <cell r="A65" t="str">
            <v>HDPE675</v>
          </cell>
          <cell r="B65" t="str">
            <v>HDPE</v>
          </cell>
          <cell r="C65">
            <v>75</v>
          </cell>
          <cell r="D65">
            <v>6</v>
          </cell>
          <cell r="E65">
            <v>0.13124984000000001</v>
          </cell>
        </row>
        <row r="66">
          <cell r="A66" t="str">
            <v>HDPE690</v>
          </cell>
          <cell r="B66" t="str">
            <v>HDPE</v>
          </cell>
          <cell r="C66">
            <v>90</v>
          </cell>
          <cell r="D66">
            <v>6</v>
          </cell>
          <cell r="E66">
            <v>8.9834079999999997E-2</v>
          </cell>
        </row>
        <row r="67">
          <cell r="A67" t="str">
            <v>HDPE6110</v>
          </cell>
          <cell r="B67" t="str">
            <v>HDPE</v>
          </cell>
          <cell r="C67">
            <v>110</v>
          </cell>
          <cell r="D67">
            <v>6</v>
          </cell>
          <cell r="E67">
            <v>6.0057289999999999E-2</v>
          </cell>
        </row>
        <row r="68">
          <cell r="A68" t="str">
            <v>HDPE6125</v>
          </cell>
          <cell r="B68" t="str">
            <v>HDPE</v>
          </cell>
          <cell r="C68">
            <v>125</v>
          </cell>
          <cell r="D68">
            <v>6</v>
          </cell>
          <cell r="E68">
            <v>4.6109839999999999E-2</v>
          </cell>
        </row>
        <row r="69">
          <cell r="A69" t="str">
            <v>HDPE6140</v>
          </cell>
          <cell r="B69" t="str">
            <v>HDPE</v>
          </cell>
          <cell r="C69">
            <v>140</v>
          </cell>
          <cell r="D69">
            <v>6</v>
          </cell>
          <cell r="E69">
            <v>3.6509600000000003E-2</v>
          </cell>
        </row>
        <row r="70">
          <cell r="A70" t="str">
            <v>HDPE6160</v>
          </cell>
          <cell r="B70" t="str">
            <v>HDPE</v>
          </cell>
          <cell r="C70">
            <v>160</v>
          </cell>
          <cell r="D70">
            <v>6</v>
          </cell>
          <cell r="E70">
            <v>2.798571E-2</v>
          </cell>
        </row>
        <row r="71">
          <cell r="A71" t="str">
            <v>HDPE6180</v>
          </cell>
          <cell r="B71" t="str">
            <v>HDPE</v>
          </cell>
          <cell r="C71">
            <v>180</v>
          </cell>
          <cell r="D71">
            <v>6</v>
          </cell>
          <cell r="E71">
            <v>2.1970139999999999E-2</v>
          </cell>
        </row>
        <row r="72">
          <cell r="A72" t="str">
            <v>HDPE6200</v>
          </cell>
          <cell r="B72" t="str">
            <v>HDPE</v>
          </cell>
          <cell r="C72">
            <v>200</v>
          </cell>
          <cell r="D72">
            <v>6</v>
          </cell>
          <cell r="E72">
            <v>1.7822089999999999E-2</v>
          </cell>
        </row>
        <row r="73">
          <cell r="A73" t="str">
            <v>HDPE6225</v>
          </cell>
          <cell r="B73" t="str">
            <v>HDPE</v>
          </cell>
          <cell r="C73">
            <v>225</v>
          </cell>
          <cell r="D73">
            <v>6</v>
          </cell>
          <cell r="E73">
            <v>1.3399869E-2</v>
          </cell>
        </row>
        <row r="74">
          <cell r="A74" t="str">
            <v>HDPE6250</v>
          </cell>
          <cell r="B74" t="str">
            <v>HDPE</v>
          </cell>
          <cell r="C74">
            <v>250</v>
          </cell>
          <cell r="D74">
            <v>6</v>
          </cell>
          <cell r="E74">
            <v>1.1345650000000001E-2</v>
          </cell>
        </row>
        <row r="75">
          <cell r="A75" t="str">
            <v>HDPE6280</v>
          </cell>
          <cell r="B75" t="str">
            <v>HDPE</v>
          </cell>
          <cell r="C75">
            <v>280</v>
          </cell>
          <cell r="D75">
            <v>6</v>
          </cell>
          <cell r="E75">
            <v>8.9982800000000009E-3</v>
          </cell>
        </row>
        <row r="76">
          <cell r="A76" t="str">
            <v>HDPE6315</v>
          </cell>
          <cell r="B76" t="str">
            <v>HDPE</v>
          </cell>
          <cell r="C76">
            <v>315</v>
          </cell>
          <cell r="D76">
            <v>6</v>
          </cell>
          <cell r="E76">
            <v>7.1059900000000004E-3</v>
          </cell>
        </row>
        <row r="77">
          <cell r="A77" t="str">
            <v>HDPE6355</v>
          </cell>
          <cell r="B77" t="str">
            <v>HDPE</v>
          </cell>
          <cell r="C77">
            <v>355</v>
          </cell>
          <cell r="D77">
            <v>6</v>
          </cell>
          <cell r="E77">
            <v>5.5891700000000001E-3</v>
          </cell>
        </row>
        <row r="78">
          <cell r="A78" t="str">
            <v>HDPE6400</v>
          </cell>
          <cell r="B78" t="str">
            <v>HDPE</v>
          </cell>
          <cell r="C78">
            <v>400</v>
          </cell>
          <cell r="D78">
            <v>6</v>
          </cell>
          <cell r="E78">
            <v>4.5743600000000004E-3</v>
          </cell>
        </row>
        <row r="79">
          <cell r="A79" t="str">
            <v>HDPE863</v>
          </cell>
          <cell r="B79" t="str">
            <v>HDPE</v>
          </cell>
          <cell r="C79">
            <v>63</v>
          </cell>
          <cell r="D79">
            <v>8</v>
          </cell>
          <cell r="E79">
            <v>0.23469723000000001</v>
          </cell>
        </row>
        <row r="80">
          <cell r="A80" t="str">
            <v>HDPE875</v>
          </cell>
          <cell r="B80" t="str">
            <v>HDPE</v>
          </cell>
          <cell r="C80">
            <v>75</v>
          </cell>
          <cell r="D80">
            <v>8</v>
          </cell>
          <cell r="E80">
            <v>0.16487373</v>
          </cell>
        </row>
        <row r="81">
          <cell r="A81" t="str">
            <v>HDPE890</v>
          </cell>
          <cell r="B81" t="str">
            <v>HDPE</v>
          </cell>
          <cell r="C81">
            <v>90</v>
          </cell>
          <cell r="D81">
            <v>8</v>
          </cell>
          <cell r="E81">
            <v>0.11332006</v>
          </cell>
        </row>
        <row r="82">
          <cell r="A82" t="str">
            <v>HDPE8110</v>
          </cell>
          <cell r="B82" t="str">
            <v>HDPE</v>
          </cell>
          <cell r="C82">
            <v>110</v>
          </cell>
          <cell r="D82">
            <v>8</v>
          </cell>
          <cell r="E82">
            <v>7.5948070000000006E-2</v>
          </cell>
        </row>
        <row r="83">
          <cell r="A83" t="str">
            <v>HDPE8125</v>
          </cell>
          <cell r="B83" t="str">
            <v>HDPE</v>
          </cell>
          <cell r="C83">
            <v>125</v>
          </cell>
          <cell r="D83">
            <v>8</v>
          </cell>
          <cell r="E83">
            <v>5.8441779999999999E-2</v>
          </cell>
        </row>
        <row r="84">
          <cell r="A84" t="str">
            <v>HDPE8140</v>
          </cell>
          <cell r="B84" t="str">
            <v>HDPE</v>
          </cell>
          <cell r="C84">
            <v>140</v>
          </cell>
          <cell r="D84">
            <v>8</v>
          </cell>
          <cell r="E84">
            <v>4.6356929999999998E-2</v>
          </cell>
        </row>
        <row r="85">
          <cell r="A85" t="str">
            <v>HDPE8160</v>
          </cell>
          <cell r="B85" t="str">
            <v>HDPE</v>
          </cell>
          <cell r="C85">
            <v>160</v>
          </cell>
          <cell r="D85">
            <v>8</v>
          </cell>
          <cell r="E85">
            <v>3.5307140000000001E-2</v>
          </cell>
        </row>
        <row r="86">
          <cell r="A86" t="str">
            <v>HDPE8180</v>
          </cell>
          <cell r="B86" t="str">
            <v>HDPE</v>
          </cell>
          <cell r="C86">
            <v>180</v>
          </cell>
          <cell r="D86">
            <v>8</v>
          </cell>
          <cell r="E86">
            <v>2.7965110000000001E-2</v>
          </cell>
        </row>
        <row r="87">
          <cell r="A87" t="str">
            <v>HDPE8200</v>
          </cell>
          <cell r="B87" t="str">
            <v>HDPE</v>
          </cell>
          <cell r="C87">
            <v>200</v>
          </cell>
          <cell r="D87">
            <v>8</v>
          </cell>
          <cell r="E87">
            <v>2.25635E-2</v>
          </cell>
        </row>
        <row r="88">
          <cell r="A88" t="str">
            <v>HDPE8225</v>
          </cell>
          <cell r="B88" t="str">
            <v>HDPE</v>
          </cell>
          <cell r="C88">
            <v>225</v>
          </cell>
          <cell r="D88">
            <v>8</v>
          </cell>
          <cell r="E88">
            <v>1.7758380000000001E-2</v>
          </cell>
        </row>
        <row r="89">
          <cell r="A89" t="str">
            <v>HDPE8250</v>
          </cell>
          <cell r="B89" t="str">
            <v>HDPE</v>
          </cell>
          <cell r="C89">
            <v>250</v>
          </cell>
          <cell r="D89">
            <v>8</v>
          </cell>
          <cell r="E89">
            <v>1.4406810000000001E-2</v>
          </cell>
        </row>
        <row r="90">
          <cell r="A90" t="str">
            <v>HDPE8280</v>
          </cell>
          <cell r="B90" t="str">
            <v>HDPE</v>
          </cell>
          <cell r="C90">
            <v>280</v>
          </cell>
          <cell r="D90">
            <v>8</v>
          </cell>
          <cell r="E90">
            <v>1.1444640000000001E-2</v>
          </cell>
        </row>
        <row r="91">
          <cell r="A91" t="str">
            <v>HDPE8315</v>
          </cell>
          <cell r="B91" t="str">
            <v>HDPE</v>
          </cell>
          <cell r="C91">
            <v>315</v>
          </cell>
          <cell r="D91">
            <v>8</v>
          </cell>
          <cell r="E91">
            <v>9.0469000000000001E-3</v>
          </cell>
        </row>
        <row r="92">
          <cell r="A92" t="str">
            <v>HDPE8355</v>
          </cell>
          <cell r="B92" t="str">
            <v>HDPE</v>
          </cell>
          <cell r="C92">
            <v>355</v>
          </cell>
          <cell r="D92">
            <v>8</v>
          </cell>
          <cell r="E92">
            <v>7.0990999999999997E-3</v>
          </cell>
        </row>
        <row r="93">
          <cell r="A93" t="str">
            <v>HDPE8400</v>
          </cell>
          <cell r="B93" t="str">
            <v>HDPE</v>
          </cell>
          <cell r="C93">
            <v>400</v>
          </cell>
          <cell r="D93">
            <v>8</v>
          </cell>
          <cell r="E93">
            <v>5.8412100000000003E-3</v>
          </cell>
        </row>
        <row r="94">
          <cell r="A94" t="str">
            <v>HDPE1063</v>
          </cell>
          <cell r="B94" t="str">
            <v>HDPE</v>
          </cell>
          <cell r="C94">
            <v>63</v>
          </cell>
          <cell r="D94">
            <v>10</v>
          </cell>
          <cell r="E94">
            <v>0.29011769999999998</v>
          </cell>
        </row>
        <row r="95">
          <cell r="A95" t="str">
            <v>HDPE1075</v>
          </cell>
          <cell r="B95" t="str">
            <v>HDPE</v>
          </cell>
          <cell r="C95">
            <v>75</v>
          </cell>
          <cell r="D95">
            <v>10</v>
          </cell>
          <cell r="E95">
            <v>0.20303246</v>
          </cell>
        </row>
        <row r="96">
          <cell r="A96" t="str">
            <v>HDPE1090</v>
          </cell>
          <cell r="B96" t="str">
            <v>HDPE</v>
          </cell>
          <cell r="C96">
            <v>90</v>
          </cell>
          <cell r="D96">
            <v>10</v>
          </cell>
          <cell r="E96">
            <v>0.13998290999999999</v>
          </cell>
        </row>
        <row r="97">
          <cell r="A97" t="str">
            <v>HDPE10110</v>
          </cell>
          <cell r="B97" t="str">
            <v>HDPE</v>
          </cell>
          <cell r="C97">
            <v>110</v>
          </cell>
          <cell r="D97">
            <v>10</v>
          </cell>
          <cell r="E97">
            <v>9.2181170000000007E-2</v>
          </cell>
        </row>
        <row r="98">
          <cell r="A98" t="str">
            <v>HDPE10125</v>
          </cell>
          <cell r="B98" t="str">
            <v>HDPE</v>
          </cell>
          <cell r="C98">
            <v>125</v>
          </cell>
          <cell r="D98">
            <v>10</v>
          </cell>
          <cell r="E98">
            <v>7.1837349999999994E-2</v>
          </cell>
        </row>
        <row r="99">
          <cell r="A99" t="str">
            <v>HDPE10140</v>
          </cell>
          <cell r="B99" t="str">
            <v>HDPE</v>
          </cell>
          <cell r="C99">
            <v>140</v>
          </cell>
          <cell r="D99">
            <v>10</v>
          </cell>
          <cell r="E99">
            <v>5.710875E-2</v>
          </cell>
        </row>
        <row r="100">
          <cell r="A100" t="str">
            <v>HDPE10160</v>
          </cell>
          <cell r="B100" t="str">
            <v>HDPE</v>
          </cell>
          <cell r="C100">
            <v>160</v>
          </cell>
          <cell r="D100">
            <v>10</v>
          </cell>
          <cell r="E100">
            <v>4.3596910000000003E-2</v>
          </cell>
        </row>
        <row r="101">
          <cell r="A101" t="str">
            <v>HDPE10180</v>
          </cell>
          <cell r="B101" t="str">
            <v>HDPE</v>
          </cell>
          <cell r="C101">
            <v>180</v>
          </cell>
          <cell r="D101">
            <v>10</v>
          </cell>
          <cell r="E101">
            <v>3.4369049999999998E-2</v>
          </cell>
        </row>
        <row r="102">
          <cell r="A102" t="str">
            <v>HDPE10200</v>
          </cell>
          <cell r="B102" t="str">
            <v>HDPE</v>
          </cell>
          <cell r="C102">
            <v>200</v>
          </cell>
          <cell r="D102">
            <v>10</v>
          </cell>
          <cell r="E102">
            <v>2.7788529999999999E-2</v>
          </cell>
        </row>
        <row r="103">
          <cell r="A103" t="str">
            <v>HDPE10225</v>
          </cell>
          <cell r="B103" t="str">
            <v>HDPE</v>
          </cell>
          <cell r="C103">
            <v>225</v>
          </cell>
          <cell r="D103">
            <v>10</v>
          </cell>
          <cell r="E103">
            <v>2.1916600000000001E-2</v>
          </cell>
        </row>
        <row r="104">
          <cell r="A104" t="str">
            <v>HDPE10250</v>
          </cell>
          <cell r="B104" t="str">
            <v>HDPE</v>
          </cell>
          <cell r="C104">
            <v>250</v>
          </cell>
          <cell r="D104">
            <v>10</v>
          </cell>
          <cell r="E104">
            <v>1.7726700000000001E-2</v>
          </cell>
        </row>
        <row r="105">
          <cell r="A105" t="str">
            <v>HDPE10280</v>
          </cell>
          <cell r="B105" t="str">
            <v>HDPE</v>
          </cell>
          <cell r="C105">
            <v>280</v>
          </cell>
          <cell r="D105">
            <v>10</v>
          </cell>
          <cell r="E105">
            <v>1.411185E-2</v>
          </cell>
        </row>
        <row r="106">
          <cell r="A106" t="str">
            <v>HDPE10315</v>
          </cell>
          <cell r="B106" t="str">
            <v>HDPE</v>
          </cell>
          <cell r="C106">
            <v>315</v>
          </cell>
          <cell r="D106">
            <v>10</v>
          </cell>
          <cell r="E106">
            <v>1.113565E-2</v>
          </cell>
        </row>
        <row r="107">
          <cell r="A107" t="str">
            <v>HDPE10355</v>
          </cell>
          <cell r="B107" t="str">
            <v>HDPE</v>
          </cell>
          <cell r="C107">
            <v>355</v>
          </cell>
          <cell r="D107">
            <v>10</v>
          </cell>
          <cell r="E107">
            <v>8.7573400000000006E-3</v>
          </cell>
        </row>
        <row r="108">
          <cell r="A108" t="str">
            <v>HDPE10400</v>
          </cell>
          <cell r="B108" t="str">
            <v>HDPE</v>
          </cell>
          <cell r="C108">
            <v>400</v>
          </cell>
          <cell r="D108">
            <v>10</v>
          </cell>
          <cell r="E108">
            <v>7.2346299999999997E-3</v>
          </cell>
        </row>
        <row r="109">
          <cell r="A109" t="str">
            <v>DIK780</v>
          </cell>
          <cell r="B109" t="str">
            <v>DI</v>
          </cell>
          <cell r="C109">
            <v>80</v>
          </cell>
          <cell r="D109" t="str">
            <v>K7</v>
          </cell>
          <cell r="E109">
            <v>0.44062878999999999</v>
          </cell>
        </row>
        <row r="110">
          <cell r="A110" t="str">
            <v>DIK7100</v>
          </cell>
          <cell r="B110" t="str">
            <v>DI</v>
          </cell>
          <cell r="C110">
            <v>100</v>
          </cell>
          <cell r="D110" t="str">
            <v>K7</v>
          </cell>
          <cell r="E110">
            <v>0.27642460000000002</v>
          </cell>
        </row>
        <row r="111">
          <cell r="A111" t="str">
            <v>DIK7125</v>
          </cell>
          <cell r="B111" t="str">
            <v>DI</v>
          </cell>
          <cell r="C111">
            <v>125</v>
          </cell>
          <cell r="D111" t="str">
            <v>K7</v>
          </cell>
          <cell r="E111">
            <v>0.17273380999999999</v>
          </cell>
        </row>
        <row r="112">
          <cell r="A112" t="str">
            <v>DIK7150</v>
          </cell>
          <cell r="B112" t="str">
            <v>DI</v>
          </cell>
          <cell r="C112">
            <v>150</v>
          </cell>
          <cell r="D112" t="str">
            <v>K7</v>
          </cell>
          <cell r="E112">
            <v>0.11724899</v>
          </cell>
        </row>
        <row r="113">
          <cell r="A113" t="str">
            <v>DIK7200</v>
          </cell>
          <cell r="B113" t="str">
            <v>DI</v>
          </cell>
          <cell r="C113">
            <v>200</v>
          </cell>
          <cell r="D113" t="str">
            <v>K7</v>
          </cell>
          <cell r="E113">
            <v>6.3194700000000006E-2</v>
          </cell>
        </row>
        <row r="114">
          <cell r="A114" t="str">
            <v>DIK7250</v>
          </cell>
          <cell r="B114" t="str">
            <v>DI</v>
          </cell>
          <cell r="C114">
            <v>250</v>
          </cell>
          <cell r="D114" t="str">
            <v>K7</v>
          </cell>
          <cell r="E114">
            <v>3.9072299999999997E-2</v>
          </cell>
        </row>
        <row r="115">
          <cell r="A115" t="str">
            <v>DIK7300</v>
          </cell>
          <cell r="B115" t="str">
            <v>DI</v>
          </cell>
          <cell r="C115">
            <v>300</v>
          </cell>
          <cell r="D115" t="str">
            <v>K7</v>
          </cell>
          <cell r="E115">
            <v>2.6645039999999998E-2</v>
          </cell>
        </row>
        <row r="116">
          <cell r="A116" t="str">
            <v>DIK7350</v>
          </cell>
          <cell r="B116" t="str">
            <v>DI</v>
          </cell>
          <cell r="C116">
            <v>350</v>
          </cell>
          <cell r="D116" t="str">
            <v>K7</v>
          </cell>
          <cell r="E116">
            <v>1.9241250000000001E-2</v>
          </cell>
        </row>
        <row r="117">
          <cell r="A117" t="str">
            <v>DIK7400</v>
          </cell>
          <cell r="B117" t="str">
            <v>DI</v>
          </cell>
          <cell r="C117">
            <v>400</v>
          </cell>
          <cell r="D117" t="str">
            <v>K7</v>
          </cell>
          <cell r="E117">
            <v>1.446828E-2</v>
          </cell>
        </row>
        <row r="118">
          <cell r="A118" t="str">
            <v>DIK7450</v>
          </cell>
          <cell r="B118" t="str">
            <v>DI</v>
          </cell>
          <cell r="C118">
            <v>450</v>
          </cell>
          <cell r="D118" t="str">
            <v>K7</v>
          </cell>
          <cell r="E118">
            <v>1.129026E-2</v>
          </cell>
        </row>
        <row r="119">
          <cell r="A119" t="str">
            <v>DIK7500</v>
          </cell>
          <cell r="B119" t="str">
            <v>DI</v>
          </cell>
          <cell r="C119">
            <v>500</v>
          </cell>
          <cell r="D119" t="str">
            <v>K7</v>
          </cell>
          <cell r="E119">
            <v>9.1722999999999996E-3</v>
          </cell>
        </row>
        <row r="120">
          <cell r="A120" t="str">
            <v>DIK7600</v>
          </cell>
          <cell r="B120" t="str">
            <v>DI</v>
          </cell>
          <cell r="C120">
            <v>600</v>
          </cell>
          <cell r="D120" t="str">
            <v>K7</v>
          </cell>
          <cell r="E120">
            <v>6.1336200000000002E-3</v>
          </cell>
        </row>
        <row r="121">
          <cell r="A121" t="str">
            <v>DIK7700</v>
          </cell>
          <cell r="B121" t="str">
            <v>DI</v>
          </cell>
          <cell r="C121">
            <v>700</v>
          </cell>
          <cell r="D121" t="str">
            <v>K7</v>
          </cell>
          <cell r="E121">
            <v>4.43203E-3</v>
          </cell>
        </row>
        <row r="122">
          <cell r="A122" t="str">
            <v>DIK7800</v>
          </cell>
          <cell r="B122" t="str">
            <v>DI</v>
          </cell>
          <cell r="C122">
            <v>800</v>
          </cell>
          <cell r="D122" t="str">
            <v>K7</v>
          </cell>
          <cell r="E122">
            <v>3.46E-3</v>
          </cell>
        </row>
        <row r="123">
          <cell r="A123" t="str">
            <v>DIK7900</v>
          </cell>
          <cell r="B123" t="str">
            <v>DI</v>
          </cell>
          <cell r="C123">
            <v>900</v>
          </cell>
          <cell r="D123" t="str">
            <v>K7</v>
          </cell>
          <cell r="E123">
            <v>2.7039999999999998E-3</v>
          </cell>
        </row>
        <row r="124">
          <cell r="A124" t="str">
            <v>DIK71000</v>
          </cell>
          <cell r="B124" t="str">
            <v>DI</v>
          </cell>
          <cell r="C124">
            <v>1000</v>
          </cell>
          <cell r="D124" t="str">
            <v>K7</v>
          </cell>
          <cell r="E124">
            <v>2.1710000000000002E-3</v>
          </cell>
        </row>
        <row r="125">
          <cell r="A125" t="str">
            <v>DIK980</v>
          </cell>
          <cell r="B125" t="str">
            <v>DI</v>
          </cell>
          <cell r="C125">
            <v>80</v>
          </cell>
          <cell r="D125" t="str">
            <v>K9</v>
          </cell>
          <cell r="E125">
            <v>0.44674092999999998</v>
          </cell>
        </row>
        <row r="126">
          <cell r="A126" t="str">
            <v>DIK9100</v>
          </cell>
          <cell r="B126" t="str">
            <v>DI</v>
          </cell>
          <cell r="C126">
            <v>100</v>
          </cell>
          <cell r="D126" t="str">
            <v>K9</v>
          </cell>
          <cell r="E126">
            <v>0.28143876000000001</v>
          </cell>
        </row>
        <row r="127">
          <cell r="A127" t="str">
            <v>DIK9125</v>
          </cell>
          <cell r="B127" t="str">
            <v>DI</v>
          </cell>
          <cell r="C127">
            <v>125</v>
          </cell>
          <cell r="D127" t="str">
            <v>K9</v>
          </cell>
          <cell r="E127">
            <v>0.17677221000000001</v>
          </cell>
        </row>
        <row r="128">
          <cell r="A128" t="str">
            <v>DIK9150</v>
          </cell>
          <cell r="B128" t="str">
            <v>DI</v>
          </cell>
          <cell r="C128">
            <v>150</v>
          </cell>
          <cell r="D128" t="str">
            <v>K9</v>
          </cell>
          <cell r="E128">
            <v>0.12062616</v>
          </cell>
        </row>
        <row r="129">
          <cell r="A129" t="str">
            <v>DIK9200</v>
          </cell>
          <cell r="B129" t="str">
            <v>DI</v>
          </cell>
          <cell r="C129">
            <v>200</v>
          </cell>
          <cell r="D129" t="str">
            <v>K9</v>
          </cell>
          <cell r="E129">
            <v>6.5587969999999995E-2</v>
          </cell>
        </row>
        <row r="130">
          <cell r="A130" t="str">
            <v>DIK9250</v>
          </cell>
          <cell r="B130" t="str">
            <v>DI</v>
          </cell>
          <cell r="C130">
            <v>250</v>
          </cell>
          <cell r="D130" t="str">
            <v>K9</v>
          </cell>
          <cell r="E130">
            <v>4.099121E-2</v>
          </cell>
        </row>
        <row r="131">
          <cell r="A131" t="str">
            <v>DIK9300</v>
          </cell>
          <cell r="B131" t="str">
            <v>DI</v>
          </cell>
          <cell r="C131">
            <v>300</v>
          </cell>
          <cell r="D131" t="str">
            <v>K9</v>
          </cell>
          <cell r="E131">
            <v>2.7896819999999999E-2</v>
          </cell>
        </row>
        <row r="132">
          <cell r="A132" t="str">
            <v>DIK9350</v>
          </cell>
          <cell r="B132" t="str">
            <v>DI</v>
          </cell>
          <cell r="C132">
            <v>350</v>
          </cell>
          <cell r="D132" t="str">
            <v>K9</v>
          </cell>
          <cell r="E132">
            <v>2.018907E-2</v>
          </cell>
        </row>
        <row r="133">
          <cell r="A133" t="str">
            <v>DIK9400</v>
          </cell>
          <cell r="B133" t="str">
            <v>DI</v>
          </cell>
          <cell r="C133">
            <v>400</v>
          </cell>
          <cell r="D133" t="str">
            <v>K9</v>
          </cell>
          <cell r="E133">
            <v>1.5224649999999999E-2</v>
          </cell>
        </row>
        <row r="134">
          <cell r="A134" t="str">
            <v>DIK9450</v>
          </cell>
          <cell r="B134" t="str">
            <v>DI</v>
          </cell>
          <cell r="C134">
            <v>450</v>
          </cell>
          <cell r="D134" t="str">
            <v>K9</v>
          </cell>
          <cell r="E134">
            <v>1.189698E-2</v>
          </cell>
        </row>
        <row r="135">
          <cell r="A135" t="str">
            <v>DIK9500</v>
          </cell>
          <cell r="B135" t="str">
            <v>DI</v>
          </cell>
          <cell r="C135">
            <v>500</v>
          </cell>
          <cell r="D135" t="str">
            <v>K9</v>
          </cell>
          <cell r="E135">
            <v>9.5228499999999994E-3</v>
          </cell>
        </row>
        <row r="136">
          <cell r="A136" t="str">
            <v>DIK9600</v>
          </cell>
          <cell r="B136" t="str">
            <v>DI</v>
          </cell>
          <cell r="C136">
            <v>600</v>
          </cell>
          <cell r="D136" t="str">
            <v>K9</v>
          </cell>
          <cell r="E136">
            <v>6.4950299999999997E-3</v>
          </cell>
        </row>
        <row r="137">
          <cell r="A137" t="str">
            <v>DIK9700</v>
          </cell>
          <cell r="B137" t="str">
            <v>DI</v>
          </cell>
          <cell r="C137">
            <v>700</v>
          </cell>
          <cell r="D137" t="str">
            <v>K9</v>
          </cell>
          <cell r="E137">
            <v>4.7030300000000004E-3</v>
          </cell>
        </row>
        <row r="138">
          <cell r="A138" t="str">
            <v>DIK9800</v>
          </cell>
          <cell r="B138" t="str">
            <v>DI</v>
          </cell>
          <cell r="C138">
            <v>800</v>
          </cell>
          <cell r="D138" t="str">
            <v>K9</v>
          </cell>
          <cell r="E138">
            <v>3.5560000000000001E-3</v>
          </cell>
        </row>
        <row r="139">
          <cell r="A139" t="str">
            <v>DIK9900</v>
          </cell>
          <cell r="B139" t="str">
            <v>DI</v>
          </cell>
          <cell r="C139">
            <v>900</v>
          </cell>
          <cell r="D139" t="str">
            <v>K9</v>
          </cell>
          <cell r="E139">
            <v>2.7820000000000002E-3</v>
          </cell>
        </row>
        <row r="140">
          <cell r="A140" t="str">
            <v>DIK91000</v>
          </cell>
          <cell r="B140" t="str">
            <v>DI</v>
          </cell>
          <cell r="C140">
            <v>1000</v>
          </cell>
          <cell r="D140" t="str">
            <v>K9</v>
          </cell>
          <cell r="E140">
            <v>2.2339999999999999E-3</v>
          </cell>
        </row>
        <row r="141">
          <cell r="A141" t="str">
            <v>CILA80</v>
          </cell>
          <cell r="B141" t="str">
            <v>CI</v>
          </cell>
          <cell r="C141">
            <v>80</v>
          </cell>
          <cell r="D141" t="str">
            <v>LA</v>
          </cell>
          <cell r="E141">
            <v>0.42134937</v>
          </cell>
        </row>
        <row r="142">
          <cell r="A142" t="str">
            <v>CILA100</v>
          </cell>
          <cell r="B142" t="str">
            <v>CI</v>
          </cell>
          <cell r="C142">
            <v>100</v>
          </cell>
          <cell r="D142" t="str">
            <v>LA</v>
          </cell>
          <cell r="E142">
            <v>0.26354917999999999</v>
          </cell>
        </row>
        <row r="143">
          <cell r="A143" t="str">
            <v>CILA125</v>
          </cell>
          <cell r="B143" t="str">
            <v>CI</v>
          </cell>
          <cell r="C143">
            <v>125</v>
          </cell>
          <cell r="D143" t="str">
            <v>LA</v>
          </cell>
          <cell r="E143">
            <v>0.16458881</v>
          </cell>
        </row>
        <row r="144">
          <cell r="A144" t="str">
            <v>CILA150</v>
          </cell>
          <cell r="B144" t="str">
            <v>CI</v>
          </cell>
          <cell r="C144">
            <v>150</v>
          </cell>
          <cell r="D144" t="str">
            <v>LA</v>
          </cell>
          <cell r="E144">
            <v>0.1119054</v>
          </cell>
        </row>
        <row r="145">
          <cell r="A145" t="str">
            <v>CILA200</v>
          </cell>
          <cell r="B145" t="str">
            <v>CI</v>
          </cell>
          <cell r="C145">
            <v>200</v>
          </cell>
          <cell r="D145" t="str">
            <v>LA</v>
          </cell>
          <cell r="E145">
            <v>6.0923489999999997E-2</v>
          </cell>
        </row>
        <row r="146">
          <cell r="A146" t="str">
            <v>CILA250</v>
          </cell>
          <cell r="B146" t="str">
            <v>CI</v>
          </cell>
          <cell r="C146">
            <v>250</v>
          </cell>
          <cell r="D146" t="str">
            <v>LA</v>
          </cell>
          <cell r="E146">
            <v>3.7938600000000003E-2</v>
          </cell>
        </row>
        <row r="147">
          <cell r="A147" t="str">
            <v>CILA300</v>
          </cell>
          <cell r="B147" t="str">
            <v>CI</v>
          </cell>
          <cell r="C147">
            <v>300</v>
          </cell>
          <cell r="D147" t="str">
            <v>LA</v>
          </cell>
          <cell r="E147">
            <v>2.5768249999999999E-2</v>
          </cell>
        </row>
        <row r="148">
          <cell r="A148" t="str">
            <v>CILA350</v>
          </cell>
          <cell r="B148" t="str">
            <v>CI</v>
          </cell>
          <cell r="C148">
            <v>350</v>
          </cell>
          <cell r="D148" t="str">
            <v>LA</v>
          </cell>
          <cell r="E148">
            <v>1.8623480000000001E-2</v>
          </cell>
        </row>
        <row r="149">
          <cell r="A149" t="str">
            <v>CILA400</v>
          </cell>
          <cell r="B149" t="str">
            <v>CI</v>
          </cell>
          <cell r="C149">
            <v>400</v>
          </cell>
          <cell r="D149" t="str">
            <v>LA</v>
          </cell>
          <cell r="E149">
            <v>1.4039009999999999E-2</v>
          </cell>
        </row>
        <row r="150">
          <cell r="A150" t="str">
            <v>CILA450</v>
          </cell>
          <cell r="B150" t="str">
            <v>CI</v>
          </cell>
          <cell r="C150">
            <v>450</v>
          </cell>
          <cell r="D150" t="str">
            <v>LA</v>
          </cell>
          <cell r="E150">
            <v>1.094637E-2</v>
          </cell>
        </row>
        <row r="151">
          <cell r="A151" t="str">
            <v>CILA500</v>
          </cell>
          <cell r="B151" t="str">
            <v>CI</v>
          </cell>
          <cell r="C151">
            <v>500</v>
          </cell>
          <cell r="D151" t="str">
            <v>LA</v>
          </cell>
          <cell r="E151">
            <v>8.7807100000000006E-3</v>
          </cell>
        </row>
        <row r="152">
          <cell r="A152" t="str">
            <v>CILA600</v>
          </cell>
          <cell r="B152" t="str">
            <v>CI</v>
          </cell>
          <cell r="C152">
            <v>600</v>
          </cell>
          <cell r="D152" t="str">
            <v>LA</v>
          </cell>
          <cell r="E152">
            <v>5.9830999999999999E-3</v>
          </cell>
        </row>
        <row r="153">
          <cell r="A153" t="str">
            <v>CILA700</v>
          </cell>
          <cell r="B153" t="str">
            <v>CI</v>
          </cell>
          <cell r="C153">
            <v>700</v>
          </cell>
          <cell r="D153" t="str">
            <v>LA</v>
          </cell>
          <cell r="E153">
            <v>4.3369599999999999E-3</v>
          </cell>
        </row>
        <row r="154">
          <cell r="A154" t="str">
            <v>CILA800</v>
          </cell>
          <cell r="B154" t="str">
            <v>CI</v>
          </cell>
          <cell r="C154">
            <v>800</v>
          </cell>
          <cell r="D154" t="str">
            <v>LA</v>
          </cell>
        </row>
        <row r="155">
          <cell r="A155" t="str">
            <v>CILA900</v>
          </cell>
          <cell r="B155" t="str">
            <v>CI</v>
          </cell>
          <cell r="C155">
            <v>900</v>
          </cell>
          <cell r="D155" t="str">
            <v>LA</v>
          </cell>
        </row>
        <row r="156">
          <cell r="A156" t="str">
            <v>CILA1000</v>
          </cell>
          <cell r="B156" t="str">
            <v>CI</v>
          </cell>
          <cell r="C156">
            <v>1000</v>
          </cell>
          <cell r="D156" t="str">
            <v>LA</v>
          </cell>
        </row>
        <row r="157">
          <cell r="A157" t="str">
            <v>ACCL-1580</v>
          </cell>
          <cell r="B157" t="str">
            <v>AC</v>
          </cell>
          <cell r="C157">
            <v>80</v>
          </cell>
          <cell r="D157" t="str">
            <v>CL-15</v>
          </cell>
          <cell r="E157">
            <v>0.38304658000000003</v>
          </cell>
        </row>
        <row r="158">
          <cell r="A158" t="str">
            <v>ACCL-15100</v>
          </cell>
          <cell r="B158" t="str">
            <v>AC</v>
          </cell>
          <cell r="C158">
            <v>100</v>
          </cell>
          <cell r="D158" t="str">
            <v>CL-15</v>
          </cell>
          <cell r="E158">
            <v>0.23711628000000001</v>
          </cell>
        </row>
        <row r="159">
          <cell r="A159" t="str">
            <v>ACCL-15125</v>
          </cell>
          <cell r="B159" t="str">
            <v>AC</v>
          </cell>
          <cell r="C159">
            <v>125</v>
          </cell>
          <cell r="D159" t="str">
            <v>CL-15</v>
          </cell>
          <cell r="E159">
            <v>0.14769853999999999</v>
          </cell>
        </row>
        <row r="160">
          <cell r="A160" t="str">
            <v>ACCL-15150</v>
          </cell>
          <cell r="B160" t="str">
            <v>AC</v>
          </cell>
          <cell r="C160">
            <v>150</v>
          </cell>
          <cell r="D160" t="str">
            <v>CL-15</v>
          </cell>
          <cell r="E160">
            <v>0.10222343</v>
          </cell>
        </row>
        <row r="161">
          <cell r="A161" t="str">
            <v>ACCL-15200</v>
          </cell>
          <cell r="B161" t="str">
            <v>AC</v>
          </cell>
          <cell r="C161">
            <v>200</v>
          </cell>
          <cell r="D161" t="str">
            <v>CL-15</v>
          </cell>
          <cell r="E161">
            <v>5.686766E-2</v>
          </cell>
        </row>
        <row r="162">
          <cell r="A162" t="str">
            <v>ACCL-15250</v>
          </cell>
          <cell r="B162" t="str">
            <v>AC</v>
          </cell>
          <cell r="C162">
            <v>250</v>
          </cell>
          <cell r="D162" t="str">
            <v>CL-15</v>
          </cell>
          <cell r="E162">
            <v>3.4747130000000001E-2</v>
          </cell>
        </row>
        <row r="163">
          <cell r="A163" t="str">
            <v>ACCL-15300</v>
          </cell>
          <cell r="B163" t="str">
            <v>AC</v>
          </cell>
          <cell r="C163">
            <v>300</v>
          </cell>
          <cell r="D163" t="str">
            <v>CL-15</v>
          </cell>
          <cell r="E163">
            <v>2.4009329999999999E-2</v>
          </cell>
        </row>
        <row r="164">
          <cell r="A164" t="str">
            <v>ACCL-15350</v>
          </cell>
          <cell r="B164" t="str">
            <v>AC</v>
          </cell>
          <cell r="C164">
            <v>350</v>
          </cell>
          <cell r="D164" t="str">
            <v>CL-15</v>
          </cell>
          <cell r="E164">
            <v>1.7161269999999999E-2</v>
          </cell>
        </row>
        <row r="165">
          <cell r="A165" t="str">
            <v>ACCL-15400</v>
          </cell>
          <cell r="B165" t="str">
            <v>AC</v>
          </cell>
          <cell r="C165">
            <v>400</v>
          </cell>
          <cell r="D165" t="str">
            <v>CL-15</v>
          </cell>
          <cell r="E165">
            <v>1.3139100000000001E-2</v>
          </cell>
        </row>
        <row r="166">
          <cell r="A166" t="str">
            <v>ACCL-15450</v>
          </cell>
          <cell r="B166" t="str">
            <v>AC</v>
          </cell>
          <cell r="C166">
            <v>450</v>
          </cell>
          <cell r="D166" t="str">
            <v>CL-15</v>
          </cell>
          <cell r="E166">
            <v>1.032952E-2</v>
          </cell>
        </row>
        <row r="167">
          <cell r="A167" t="str">
            <v>ACCL-15500</v>
          </cell>
          <cell r="B167" t="str">
            <v>AC</v>
          </cell>
          <cell r="C167">
            <v>500</v>
          </cell>
          <cell r="D167" t="str">
            <v>CL-15</v>
          </cell>
          <cell r="E167">
            <v>8.3325299999999995E-3</v>
          </cell>
        </row>
        <row r="168">
          <cell r="A168" t="str">
            <v>ACCL-15600</v>
          </cell>
          <cell r="B168" t="str">
            <v>AC</v>
          </cell>
          <cell r="C168">
            <v>600</v>
          </cell>
          <cell r="D168" t="str">
            <v>CL-15</v>
          </cell>
          <cell r="E168">
            <v>5.7954800000000004E-3</v>
          </cell>
        </row>
        <row r="169">
          <cell r="A169" t="str">
            <v>ACCL-15700</v>
          </cell>
          <cell r="B169" t="str">
            <v>AC</v>
          </cell>
          <cell r="C169">
            <v>700</v>
          </cell>
          <cell r="D169" t="str">
            <v>CL-15</v>
          </cell>
          <cell r="E169">
            <v>4.1431899999999997E-3</v>
          </cell>
        </row>
        <row r="170">
          <cell r="A170" t="str">
            <v>ACCL-15800</v>
          </cell>
          <cell r="B170" t="str">
            <v>AC</v>
          </cell>
          <cell r="C170">
            <v>800</v>
          </cell>
          <cell r="D170" t="str">
            <v>CL-15</v>
          </cell>
        </row>
        <row r="171">
          <cell r="A171" t="str">
            <v>ACCL-15900</v>
          </cell>
          <cell r="B171" t="str">
            <v>AC</v>
          </cell>
          <cell r="C171">
            <v>900</v>
          </cell>
          <cell r="D171" t="str">
            <v>CL-15</v>
          </cell>
        </row>
        <row r="172">
          <cell r="A172" t="str">
            <v>ACCL-151000</v>
          </cell>
          <cell r="B172" t="str">
            <v>AC</v>
          </cell>
          <cell r="C172">
            <v>1000</v>
          </cell>
          <cell r="D172" t="str">
            <v>CL-15</v>
          </cell>
        </row>
        <row r="173">
          <cell r="A173" t="str">
            <v>ACCL-2080</v>
          </cell>
          <cell r="B173" t="str">
            <v>AC</v>
          </cell>
          <cell r="C173">
            <v>80</v>
          </cell>
          <cell r="D173" t="str">
            <v>CL-20</v>
          </cell>
          <cell r="E173">
            <v>0.39302129000000002</v>
          </cell>
        </row>
        <row r="174">
          <cell r="A174" t="str">
            <v>ACCL-20100</v>
          </cell>
          <cell r="B174" t="str">
            <v>AC</v>
          </cell>
          <cell r="C174">
            <v>100</v>
          </cell>
          <cell r="D174" t="str">
            <v>CL-20</v>
          </cell>
          <cell r="E174">
            <v>0.25075900000000001</v>
          </cell>
        </row>
        <row r="175">
          <cell r="A175" t="str">
            <v>ACCL-20125</v>
          </cell>
          <cell r="B175" t="str">
            <v>AC</v>
          </cell>
          <cell r="C175">
            <v>125</v>
          </cell>
          <cell r="D175" t="str">
            <v>CL-20</v>
          </cell>
          <cell r="E175">
            <v>0.15518667</v>
          </cell>
        </row>
        <row r="176">
          <cell r="A176" t="str">
            <v>ACCL-20150</v>
          </cell>
          <cell r="B176" t="str">
            <v>AC</v>
          </cell>
          <cell r="C176">
            <v>150</v>
          </cell>
          <cell r="D176" t="str">
            <v>CL-20</v>
          </cell>
          <cell r="E176">
            <v>0.10739696999999999</v>
          </cell>
        </row>
        <row r="177">
          <cell r="A177" t="str">
            <v>ACCL-20200</v>
          </cell>
          <cell r="B177" t="str">
            <v>AC</v>
          </cell>
          <cell r="C177">
            <v>200</v>
          </cell>
          <cell r="D177" t="str">
            <v>CL-20</v>
          </cell>
          <cell r="E177">
            <v>6.0410800000000001E-2</v>
          </cell>
        </row>
        <row r="178">
          <cell r="A178" t="str">
            <v>ACCL-20250</v>
          </cell>
          <cell r="B178" t="str">
            <v>AC</v>
          </cell>
          <cell r="C178">
            <v>250</v>
          </cell>
          <cell r="D178" t="str">
            <v>CL-20</v>
          </cell>
          <cell r="E178">
            <v>3.7282559999999999E-2</v>
          </cell>
        </row>
        <row r="179">
          <cell r="A179" t="str">
            <v>ACCL-20300</v>
          </cell>
          <cell r="B179" t="str">
            <v>AC</v>
          </cell>
          <cell r="C179">
            <v>300</v>
          </cell>
          <cell r="D179" t="str">
            <v>CL-20</v>
          </cell>
          <cell r="E179">
            <v>2.5768249999999999E-2</v>
          </cell>
        </row>
        <row r="180">
          <cell r="A180" t="str">
            <v>ACCL-20350</v>
          </cell>
          <cell r="B180" t="str">
            <v>AC</v>
          </cell>
          <cell r="C180">
            <v>350</v>
          </cell>
          <cell r="D180" t="str">
            <v>CL-20</v>
          </cell>
          <cell r="E180">
            <v>1.836115E-2</v>
          </cell>
        </row>
        <row r="181">
          <cell r="A181" t="str">
            <v>ACCL-20400</v>
          </cell>
          <cell r="B181" t="str">
            <v>AC</v>
          </cell>
          <cell r="C181">
            <v>400</v>
          </cell>
          <cell r="D181" t="str">
            <v>CL-20</v>
          </cell>
          <cell r="E181">
            <v>1.411681E-2</v>
          </cell>
        </row>
        <row r="182">
          <cell r="A182" t="str">
            <v>ACCL-20450</v>
          </cell>
          <cell r="B182" t="str">
            <v>AC</v>
          </cell>
          <cell r="C182">
            <v>450</v>
          </cell>
          <cell r="D182" t="str">
            <v>CL-20</v>
          </cell>
          <cell r="E182">
            <v>1.111783E-2</v>
          </cell>
        </row>
        <row r="183">
          <cell r="A183" t="str">
            <v>ACCL-20500</v>
          </cell>
          <cell r="B183" t="str">
            <v>AC</v>
          </cell>
          <cell r="C183">
            <v>500</v>
          </cell>
          <cell r="D183" t="str">
            <v>CL-20</v>
          </cell>
          <cell r="E183">
            <v>8.9815899999999994E-3</v>
          </cell>
        </row>
        <row r="184">
          <cell r="A184" t="str">
            <v>ACCL-20600</v>
          </cell>
          <cell r="B184" t="str">
            <v>AC</v>
          </cell>
          <cell r="C184">
            <v>600</v>
          </cell>
          <cell r="D184" t="str">
            <v>CL-20</v>
          </cell>
          <cell r="E184">
            <v>6.2119100000000002E-3</v>
          </cell>
        </row>
        <row r="185">
          <cell r="A185" t="str">
            <v>ACCL-20700</v>
          </cell>
          <cell r="B185" t="str">
            <v>AC</v>
          </cell>
          <cell r="C185">
            <v>700</v>
          </cell>
          <cell r="D185" t="str">
            <v>CL-20</v>
          </cell>
          <cell r="E185">
            <v>4.4866000000000003E-3</v>
          </cell>
        </row>
        <row r="186">
          <cell r="A186" t="str">
            <v>ACCL-20800</v>
          </cell>
          <cell r="B186" t="str">
            <v>AC</v>
          </cell>
          <cell r="C186">
            <v>800</v>
          </cell>
          <cell r="D186" t="str">
            <v>CL-20</v>
          </cell>
        </row>
        <row r="187">
          <cell r="A187" t="str">
            <v>ACCL-20900</v>
          </cell>
          <cell r="B187" t="str">
            <v>AC</v>
          </cell>
          <cell r="C187">
            <v>900</v>
          </cell>
          <cell r="D187" t="str">
            <v>CL-20</v>
          </cell>
        </row>
        <row r="188">
          <cell r="A188" t="str">
            <v>ACCL-201000</v>
          </cell>
          <cell r="B188" t="str">
            <v>AC</v>
          </cell>
          <cell r="C188">
            <v>1000</v>
          </cell>
          <cell r="D188" t="str">
            <v>CL-20</v>
          </cell>
        </row>
        <row r="189">
          <cell r="A189" t="str">
            <v>ACCL-2580</v>
          </cell>
          <cell r="B189" t="str">
            <v>AC</v>
          </cell>
          <cell r="C189">
            <v>80</v>
          </cell>
          <cell r="D189" t="str">
            <v>CL-25</v>
          </cell>
          <cell r="E189">
            <v>0.40577602000000002</v>
          </cell>
        </row>
        <row r="190">
          <cell r="A190" t="str">
            <v>ACCL-25100</v>
          </cell>
          <cell r="B190" t="str">
            <v>AC</v>
          </cell>
          <cell r="C190">
            <v>100</v>
          </cell>
          <cell r="D190" t="str">
            <v>CL-25</v>
          </cell>
          <cell r="E190">
            <v>0.25884439999999997</v>
          </cell>
        </row>
        <row r="191">
          <cell r="A191" t="str">
            <v>ACCL-25125</v>
          </cell>
          <cell r="B191" t="str">
            <v>AC</v>
          </cell>
          <cell r="C191">
            <v>125</v>
          </cell>
          <cell r="D191" t="str">
            <v>CL-25</v>
          </cell>
          <cell r="E191">
            <v>0.16146394999999999</v>
          </cell>
        </row>
        <row r="192">
          <cell r="A192" t="str">
            <v>ACCL-25150</v>
          </cell>
          <cell r="B192" t="str">
            <v>AC</v>
          </cell>
          <cell r="C192">
            <v>150</v>
          </cell>
          <cell r="D192" t="str">
            <v>CL-25</v>
          </cell>
          <cell r="E192">
            <v>0.11212774</v>
          </cell>
        </row>
        <row r="193">
          <cell r="A193" t="str">
            <v>ACCL-25200</v>
          </cell>
          <cell r="B193" t="str">
            <v>AC</v>
          </cell>
          <cell r="C193">
            <v>200</v>
          </cell>
          <cell r="D193" t="str">
            <v>CL-25</v>
          </cell>
          <cell r="E193">
            <v>6.2883410000000001E-2</v>
          </cell>
        </row>
        <row r="194">
          <cell r="A194" t="str">
            <v>ACCL-25250</v>
          </cell>
          <cell r="B194" t="str">
            <v>AC</v>
          </cell>
          <cell r="C194">
            <v>250</v>
          </cell>
          <cell r="D194" t="str">
            <v>CL-25</v>
          </cell>
          <cell r="E194">
            <v>3.8927059999999999E-2</v>
          </cell>
        </row>
        <row r="195">
          <cell r="A195" t="str">
            <v>ACCL-25300</v>
          </cell>
          <cell r="B195" t="str">
            <v>AC</v>
          </cell>
          <cell r="C195">
            <v>300</v>
          </cell>
          <cell r="D195" t="str">
            <v>CL-25</v>
          </cell>
          <cell r="E195">
            <v>2.70771E-2</v>
          </cell>
        </row>
        <row r="196">
          <cell r="A196" t="str">
            <v>ACCL-25350</v>
          </cell>
          <cell r="B196" t="str">
            <v>AC</v>
          </cell>
          <cell r="C196">
            <v>350</v>
          </cell>
          <cell r="D196" t="str">
            <v>CL-25</v>
          </cell>
          <cell r="E196">
            <v>1.9356430000000001E-2</v>
          </cell>
        </row>
        <row r="197">
          <cell r="A197" t="str">
            <v>ACCL-25400</v>
          </cell>
          <cell r="B197" t="str">
            <v>AC</v>
          </cell>
          <cell r="C197">
            <v>400</v>
          </cell>
          <cell r="D197" t="str">
            <v>CL-25</v>
          </cell>
          <cell r="E197">
            <v>1.4781620000000001E-2</v>
          </cell>
        </row>
        <row r="198">
          <cell r="A198" t="str">
            <v>ACCL-25450</v>
          </cell>
          <cell r="B198" t="str">
            <v>AC</v>
          </cell>
          <cell r="C198">
            <v>450</v>
          </cell>
          <cell r="D198" t="str">
            <v>CL-25</v>
          </cell>
          <cell r="E198">
            <v>1.1655489999999999E-2</v>
          </cell>
        </row>
        <row r="199">
          <cell r="A199" t="str">
            <v>ACCL-25500</v>
          </cell>
          <cell r="B199" t="str">
            <v>AC</v>
          </cell>
          <cell r="C199">
            <v>500</v>
          </cell>
          <cell r="D199" t="str">
            <v>CL-25</v>
          </cell>
          <cell r="E199">
            <v>9.4253300000000009E-3</v>
          </cell>
        </row>
        <row r="200">
          <cell r="A200" t="str">
            <v>ACCL-25600</v>
          </cell>
          <cell r="B200" t="str">
            <v>AC</v>
          </cell>
          <cell r="C200">
            <v>600</v>
          </cell>
          <cell r="D200" t="str">
            <v>CL-25</v>
          </cell>
          <cell r="E200">
            <v>6.5406800000000001E-3</v>
          </cell>
        </row>
        <row r="201">
          <cell r="A201" t="str">
            <v>ACCL-25700</v>
          </cell>
          <cell r="B201" t="str">
            <v>AC</v>
          </cell>
          <cell r="C201">
            <v>700</v>
          </cell>
          <cell r="D201" t="str">
            <v>CL-25</v>
          </cell>
          <cell r="E201">
            <v>4.7490700000000002E-3</v>
          </cell>
        </row>
        <row r="202">
          <cell r="A202" t="str">
            <v>ACCL-25800</v>
          </cell>
          <cell r="B202" t="str">
            <v>AC</v>
          </cell>
          <cell r="C202">
            <v>800</v>
          </cell>
          <cell r="D202" t="str">
            <v>CL-25</v>
          </cell>
        </row>
        <row r="203">
          <cell r="A203" t="str">
            <v>ACCL-25900</v>
          </cell>
          <cell r="B203" t="str">
            <v>AC</v>
          </cell>
          <cell r="C203">
            <v>900</v>
          </cell>
          <cell r="D203" t="str">
            <v>CL-25</v>
          </cell>
        </row>
        <row r="204">
          <cell r="A204" t="str">
            <v>ACCL-251000</v>
          </cell>
          <cell r="B204" t="str">
            <v>AC</v>
          </cell>
          <cell r="C204">
            <v>1000</v>
          </cell>
          <cell r="D204" t="str">
            <v>CL-25</v>
          </cell>
        </row>
        <row r="205">
          <cell r="A205" t="str">
            <v>BWSC12350</v>
          </cell>
          <cell r="B205" t="str">
            <v>BWSC</v>
          </cell>
          <cell r="C205">
            <v>350</v>
          </cell>
          <cell r="D205">
            <v>12</v>
          </cell>
          <cell r="E205">
            <v>2.0523E-2</v>
          </cell>
        </row>
        <row r="206">
          <cell r="A206" t="str">
            <v>BWSC12400</v>
          </cell>
          <cell r="B206" t="str">
            <v>BWSC</v>
          </cell>
          <cell r="C206">
            <v>400</v>
          </cell>
          <cell r="D206">
            <v>12</v>
          </cell>
          <cell r="E206">
            <v>1.5350000000000001E-2</v>
          </cell>
        </row>
        <row r="207">
          <cell r="A207" t="str">
            <v>BWSC12450</v>
          </cell>
          <cell r="B207" t="str">
            <v>BWSC</v>
          </cell>
          <cell r="C207">
            <v>450</v>
          </cell>
          <cell r="D207">
            <v>12</v>
          </cell>
          <cell r="E207">
            <v>1.1861E-2</v>
          </cell>
        </row>
        <row r="208">
          <cell r="A208" t="str">
            <v>BWSC12500</v>
          </cell>
          <cell r="B208" t="str">
            <v>BWSC</v>
          </cell>
          <cell r="C208">
            <v>500</v>
          </cell>
          <cell r="D208">
            <v>12</v>
          </cell>
          <cell r="E208">
            <v>9.5840000000000005E-3</v>
          </cell>
        </row>
        <row r="209">
          <cell r="A209" t="str">
            <v>BWSC12600</v>
          </cell>
          <cell r="B209" t="str">
            <v>BWSC</v>
          </cell>
          <cell r="C209">
            <v>600</v>
          </cell>
          <cell r="D209">
            <v>12</v>
          </cell>
          <cell r="E209">
            <v>6.476E-3</v>
          </cell>
        </row>
        <row r="210">
          <cell r="A210" t="str">
            <v>BWSC12700</v>
          </cell>
          <cell r="B210" t="str">
            <v>BWSC</v>
          </cell>
          <cell r="C210">
            <v>700</v>
          </cell>
          <cell r="D210">
            <v>12</v>
          </cell>
          <cell r="E210">
            <v>4.5970000000000004E-3</v>
          </cell>
        </row>
        <row r="211">
          <cell r="A211" t="str">
            <v>BWSC12800</v>
          </cell>
          <cell r="B211" t="str">
            <v>BWSC</v>
          </cell>
          <cell r="C211">
            <v>800</v>
          </cell>
          <cell r="D211">
            <v>12</v>
          </cell>
          <cell r="E211">
            <v>3.408E-3</v>
          </cell>
        </row>
        <row r="212">
          <cell r="A212" t="str">
            <v>BWSC12900</v>
          </cell>
          <cell r="B212" t="str">
            <v>BWSC</v>
          </cell>
          <cell r="C212">
            <v>900</v>
          </cell>
          <cell r="D212">
            <v>12</v>
          </cell>
          <cell r="E212">
            <v>2.6519999999999998E-3</v>
          </cell>
        </row>
        <row r="213">
          <cell r="A213" t="str">
            <v>BWSC121000</v>
          </cell>
          <cell r="B213" t="str">
            <v>BWSC</v>
          </cell>
          <cell r="C213">
            <v>1000</v>
          </cell>
          <cell r="D213">
            <v>12</v>
          </cell>
          <cell r="E213">
            <v>2.0899999999999998E-3</v>
          </cell>
        </row>
        <row r="214">
          <cell r="A214" t="str">
            <v>BWSC14350</v>
          </cell>
          <cell r="B214" t="str">
            <v>BWSC</v>
          </cell>
          <cell r="C214">
            <v>350</v>
          </cell>
          <cell r="D214">
            <v>14</v>
          </cell>
          <cell r="E214">
            <v>2.0523E-2</v>
          </cell>
        </row>
        <row r="215">
          <cell r="A215" t="str">
            <v>BWSC14400</v>
          </cell>
          <cell r="B215" t="str">
            <v>BWSC</v>
          </cell>
          <cell r="C215">
            <v>400</v>
          </cell>
          <cell r="D215">
            <v>14</v>
          </cell>
          <cell r="E215">
            <v>1.5350000000000001E-2</v>
          </cell>
        </row>
        <row r="216">
          <cell r="A216" t="str">
            <v>BWSC14450</v>
          </cell>
          <cell r="B216" t="str">
            <v>BWSC</v>
          </cell>
          <cell r="C216">
            <v>450</v>
          </cell>
          <cell r="D216">
            <v>14</v>
          </cell>
          <cell r="E216">
            <v>1.1861E-2</v>
          </cell>
        </row>
        <row r="217">
          <cell r="A217" t="str">
            <v>BWSC14500</v>
          </cell>
          <cell r="B217" t="str">
            <v>BWSC</v>
          </cell>
          <cell r="C217">
            <v>500</v>
          </cell>
          <cell r="D217">
            <v>14</v>
          </cell>
          <cell r="E217">
            <v>9.5840000000000005E-3</v>
          </cell>
        </row>
        <row r="218">
          <cell r="A218" t="str">
            <v>BWSC14600</v>
          </cell>
          <cell r="B218" t="str">
            <v>BWSC</v>
          </cell>
          <cell r="C218">
            <v>600</v>
          </cell>
          <cell r="D218">
            <v>14</v>
          </cell>
          <cell r="E218">
            <v>6.476E-3</v>
          </cell>
        </row>
        <row r="219">
          <cell r="A219" t="str">
            <v>BWSC14700</v>
          </cell>
          <cell r="B219" t="str">
            <v>BWSC</v>
          </cell>
          <cell r="C219">
            <v>700</v>
          </cell>
          <cell r="D219">
            <v>14</v>
          </cell>
          <cell r="E219">
            <v>4.5970000000000004E-3</v>
          </cell>
        </row>
        <row r="220">
          <cell r="A220" t="str">
            <v>BWSC14800</v>
          </cell>
          <cell r="B220" t="str">
            <v>BWSC</v>
          </cell>
          <cell r="C220">
            <v>800</v>
          </cell>
          <cell r="D220">
            <v>14</v>
          </cell>
          <cell r="E220">
            <v>3.408E-3</v>
          </cell>
        </row>
        <row r="221">
          <cell r="A221" t="str">
            <v>BWSC14900</v>
          </cell>
          <cell r="B221" t="str">
            <v>BWSC</v>
          </cell>
          <cell r="C221">
            <v>900</v>
          </cell>
          <cell r="D221">
            <v>14</v>
          </cell>
          <cell r="E221">
            <v>2.6519999999999998E-3</v>
          </cell>
        </row>
        <row r="222">
          <cell r="A222" t="str">
            <v>BWSC141000</v>
          </cell>
          <cell r="B222" t="str">
            <v>BWSC</v>
          </cell>
          <cell r="C222">
            <v>1000</v>
          </cell>
          <cell r="D222">
            <v>14</v>
          </cell>
          <cell r="E222">
            <v>2.0899999999999998E-3</v>
          </cell>
        </row>
        <row r="223">
          <cell r="A223" t="str">
            <v>BWSC16350</v>
          </cell>
          <cell r="B223" t="str">
            <v>BWSC</v>
          </cell>
          <cell r="C223">
            <v>350</v>
          </cell>
          <cell r="D223">
            <v>16</v>
          </cell>
          <cell r="E223">
            <v>2.0523E-2</v>
          </cell>
        </row>
        <row r="224">
          <cell r="A224" t="str">
            <v>BWSC16400</v>
          </cell>
          <cell r="B224" t="str">
            <v>BWSC</v>
          </cell>
          <cell r="C224">
            <v>400</v>
          </cell>
          <cell r="D224">
            <v>16</v>
          </cell>
          <cell r="E224">
            <v>1.5350000000000001E-2</v>
          </cell>
        </row>
        <row r="225">
          <cell r="A225" t="str">
            <v>BWSC16450</v>
          </cell>
          <cell r="B225" t="str">
            <v>BWSC</v>
          </cell>
          <cell r="C225">
            <v>450</v>
          </cell>
          <cell r="D225">
            <v>16</v>
          </cell>
          <cell r="E225">
            <v>1.1861E-2</v>
          </cell>
        </row>
        <row r="226">
          <cell r="A226" t="str">
            <v>BWSC16500</v>
          </cell>
          <cell r="B226" t="str">
            <v>BWSC</v>
          </cell>
          <cell r="C226">
            <v>500</v>
          </cell>
          <cell r="D226">
            <v>16</v>
          </cell>
          <cell r="E226">
            <v>9.5840000000000005E-3</v>
          </cell>
        </row>
        <row r="227">
          <cell r="A227" t="str">
            <v>BWSC16600</v>
          </cell>
          <cell r="B227" t="str">
            <v>BWSC</v>
          </cell>
          <cell r="C227">
            <v>600</v>
          </cell>
          <cell r="D227">
            <v>16</v>
          </cell>
          <cell r="E227">
            <v>6.476E-3</v>
          </cell>
        </row>
        <row r="228">
          <cell r="A228" t="str">
            <v>BWSC16700</v>
          </cell>
          <cell r="B228" t="str">
            <v>BWSC</v>
          </cell>
          <cell r="C228">
            <v>700</v>
          </cell>
          <cell r="D228">
            <v>16</v>
          </cell>
          <cell r="E228">
            <v>4.5970000000000004E-3</v>
          </cell>
        </row>
        <row r="229">
          <cell r="A229" t="str">
            <v>BWSC16800</v>
          </cell>
          <cell r="B229" t="str">
            <v>BWSC</v>
          </cell>
          <cell r="C229">
            <v>800</v>
          </cell>
          <cell r="D229">
            <v>16</v>
          </cell>
          <cell r="E229">
            <v>3.408E-3</v>
          </cell>
        </row>
        <row r="230">
          <cell r="A230" t="str">
            <v>BWSC16900</v>
          </cell>
          <cell r="B230" t="str">
            <v>BWSC</v>
          </cell>
          <cell r="C230">
            <v>900</v>
          </cell>
          <cell r="D230">
            <v>16</v>
          </cell>
          <cell r="E230">
            <v>2.6519999999999998E-3</v>
          </cell>
        </row>
        <row r="231">
          <cell r="A231" t="str">
            <v>BWSC161000</v>
          </cell>
          <cell r="B231" t="str">
            <v>BWSC</v>
          </cell>
          <cell r="C231">
            <v>1000</v>
          </cell>
          <cell r="D231">
            <v>16</v>
          </cell>
          <cell r="E231">
            <v>2.0899999999999998E-3</v>
          </cell>
        </row>
        <row r="232">
          <cell r="A232" t="str">
            <v>BWSC18350</v>
          </cell>
          <cell r="B232" t="str">
            <v>BWSC</v>
          </cell>
          <cell r="C232">
            <v>350</v>
          </cell>
          <cell r="D232">
            <v>18</v>
          </cell>
          <cell r="E232">
            <v>2.0523E-2</v>
          </cell>
        </row>
        <row r="233">
          <cell r="A233" t="str">
            <v>BWSC18400</v>
          </cell>
          <cell r="B233" t="str">
            <v>BWSC</v>
          </cell>
          <cell r="C233">
            <v>400</v>
          </cell>
          <cell r="D233">
            <v>18</v>
          </cell>
          <cell r="E233">
            <v>1.5350000000000001E-2</v>
          </cell>
        </row>
        <row r="234">
          <cell r="A234" t="str">
            <v>BWSC18450</v>
          </cell>
          <cell r="B234" t="str">
            <v>BWSC</v>
          </cell>
          <cell r="C234">
            <v>450</v>
          </cell>
          <cell r="D234">
            <v>18</v>
          </cell>
          <cell r="E234">
            <v>1.1861E-2</v>
          </cell>
        </row>
        <row r="235">
          <cell r="A235" t="str">
            <v>BWSC18500</v>
          </cell>
          <cell r="B235" t="str">
            <v>BWSC</v>
          </cell>
          <cell r="C235">
            <v>500</v>
          </cell>
          <cell r="D235">
            <v>18</v>
          </cell>
          <cell r="E235">
            <v>9.5840000000000005E-3</v>
          </cell>
        </row>
        <row r="236">
          <cell r="A236" t="str">
            <v>BWSC18600</v>
          </cell>
          <cell r="B236" t="str">
            <v>BWSC</v>
          </cell>
          <cell r="C236">
            <v>600</v>
          </cell>
          <cell r="D236">
            <v>18</v>
          </cell>
          <cell r="E236">
            <v>6.476E-3</v>
          </cell>
        </row>
        <row r="237">
          <cell r="A237" t="str">
            <v>BWSC18700</v>
          </cell>
          <cell r="B237" t="str">
            <v>BWSC</v>
          </cell>
          <cell r="C237">
            <v>700</v>
          </cell>
          <cell r="D237">
            <v>18</v>
          </cell>
          <cell r="E237">
            <v>4.5970000000000004E-3</v>
          </cell>
        </row>
        <row r="238">
          <cell r="A238" t="str">
            <v>BWSC18800</v>
          </cell>
          <cell r="B238" t="str">
            <v>BWSC</v>
          </cell>
          <cell r="C238">
            <v>800</v>
          </cell>
          <cell r="D238">
            <v>18</v>
          </cell>
          <cell r="E238">
            <v>3.408E-3</v>
          </cell>
        </row>
        <row r="239">
          <cell r="A239" t="str">
            <v>BWSC18900</v>
          </cell>
          <cell r="B239" t="str">
            <v>BWSC</v>
          </cell>
          <cell r="C239">
            <v>900</v>
          </cell>
          <cell r="D239">
            <v>18</v>
          </cell>
          <cell r="E239">
            <v>2.6519999999999998E-3</v>
          </cell>
        </row>
        <row r="240">
          <cell r="A240" t="str">
            <v>BWSC181000</v>
          </cell>
          <cell r="B240" t="str">
            <v>BWSC</v>
          </cell>
          <cell r="C240">
            <v>1000</v>
          </cell>
          <cell r="D240">
            <v>18</v>
          </cell>
          <cell r="E240">
            <v>2.0899999999999998E-3</v>
          </cell>
        </row>
        <row r="241">
          <cell r="A241" t="str">
            <v>BWSC20350</v>
          </cell>
          <cell r="B241" t="str">
            <v>BWSC</v>
          </cell>
          <cell r="C241">
            <v>350</v>
          </cell>
          <cell r="D241">
            <v>20</v>
          </cell>
          <cell r="E241">
            <v>2.0523E-2</v>
          </cell>
        </row>
        <row r="242">
          <cell r="A242" t="str">
            <v>BWSC20400</v>
          </cell>
          <cell r="B242" t="str">
            <v>BWSC</v>
          </cell>
          <cell r="C242">
            <v>400</v>
          </cell>
          <cell r="D242">
            <v>20</v>
          </cell>
          <cell r="E242">
            <v>1.5350000000000001E-2</v>
          </cell>
        </row>
        <row r="243">
          <cell r="A243" t="str">
            <v>BWSC20450</v>
          </cell>
          <cell r="B243" t="str">
            <v>BWSC</v>
          </cell>
          <cell r="C243">
            <v>450</v>
          </cell>
          <cell r="D243">
            <v>20</v>
          </cell>
          <cell r="E243">
            <v>1.1861E-2</v>
          </cell>
        </row>
        <row r="244">
          <cell r="A244" t="str">
            <v>BWSC20500</v>
          </cell>
          <cell r="B244" t="str">
            <v>BWSC</v>
          </cell>
          <cell r="C244">
            <v>500</v>
          </cell>
          <cell r="D244">
            <v>20</v>
          </cell>
          <cell r="E244">
            <v>9.5840000000000005E-3</v>
          </cell>
        </row>
        <row r="245">
          <cell r="A245" t="str">
            <v>BWSC20600</v>
          </cell>
          <cell r="B245" t="str">
            <v>BWSC</v>
          </cell>
          <cell r="C245">
            <v>600</v>
          </cell>
          <cell r="D245">
            <v>20</v>
          </cell>
          <cell r="E245">
            <v>6.476E-3</v>
          </cell>
        </row>
        <row r="246">
          <cell r="A246" t="str">
            <v>BWSC20700</v>
          </cell>
          <cell r="B246" t="str">
            <v>BWSC</v>
          </cell>
          <cell r="C246">
            <v>700</v>
          </cell>
          <cell r="D246">
            <v>20</v>
          </cell>
          <cell r="E246">
            <v>4.5970000000000004E-3</v>
          </cell>
        </row>
        <row r="247">
          <cell r="A247" t="str">
            <v>BWSC20800</v>
          </cell>
          <cell r="B247" t="str">
            <v>BWSC</v>
          </cell>
          <cell r="C247">
            <v>800</v>
          </cell>
          <cell r="D247">
            <v>20</v>
          </cell>
          <cell r="E247">
            <v>3.408E-3</v>
          </cell>
        </row>
        <row r="248">
          <cell r="A248" t="str">
            <v>BWSC20900</v>
          </cell>
          <cell r="B248" t="str">
            <v>BWSC</v>
          </cell>
          <cell r="C248">
            <v>900</v>
          </cell>
          <cell r="D248">
            <v>20</v>
          </cell>
          <cell r="E248">
            <v>2.6519999999999998E-3</v>
          </cell>
        </row>
        <row r="249">
          <cell r="A249" t="str">
            <v>BWSC201000</v>
          </cell>
          <cell r="B249" t="str">
            <v>BWSC</v>
          </cell>
          <cell r="C249">
            <v>1000</v>
          </cell>
          <cell r="D249">
            <v>20</v>
          </cell>
          <cell r="E249">
            <v>2.0899999999999998E-3</v>
          </cell>
        </row>
        <row r="250">
          <cell r="A250" t="str">
            <v>BWSC22350</v>
          </cell>
          <cell r="B250" t="str">
            <v>BWSC</v>
          </cell>
          <cell r="C250">
            <v>350</v>
          </cell>
          <cell r="D250">
            <v>22</v>
          </cell>
          <cell r="E250">
            <v>2.0523E-2</v>
          </cell>
        </row>
        <row r="251">
          <cell r="A251" t="str">
            <v>BWSC22400</v>
          </cell>
          <cell r="B251" t="str">
            <v>BWSC</v>
          </cell>
          <cell r="C251">
            <v>400</v>
          </cell>
          <cell r="D251">
            <v>22</v>
          </cell>
          <cell r="E251">
            <v>1.5350000000000001E-2</v>
          </cell>
        </row>
        <row r="252">
          <cell r="A252" t="str">
            <v>BWSC22450</v>
          </cell>
          <cell r="B252" t="str">
            <v>BWSC</v>
          </cell>
          <cell r="C252">
            <v>450</v>
          </cell>
          <cell r="D252">
            <v>22</v>
          </cell>
          <cell r="E252">
            <v>1.1861E-2</v>
          </cell>
        </row>
        <row r="253">
          <cell r="A253" t="str">
            <v>BWSC22500</v>
          </cell>
          <cell r="B253" t="str">
            <v>BWSC</v>
          </cell>
          <cell r="C253">
            <v>500</v>
          </cell>
          <cell r="D253">
            <v>22</v>
          </cell>
          <cell r="E253">
            <v>9.5840000000000005E-3</v>
          </cell>
        </row>
        <row r="254">
          <cell r="A254" t="str">
            <v>BWSC22600</v>
          </cell>
          <cell r="B254" t="str">
            <v>BWSC</v>
          </cell>
          <cell r="C254">
            <v>600</v>
          </cell>
          <cell r="D254">
            <v>22</v>
          </cell>
          <cell r="E254">
            <v>6.476E-3</v>
          </cell>
        </row>
        <row r="255">
          <cell r="A255" t="str">
            <v>BWSC22700</v>
          </cell>
          <cell r="B255" t="str">
            <v>BWSC</v>
          </cell>
          <cell r="C255">
            <v>700</v>
          </cell>
          <cell r="D255">
            <v>22</v>
          </cell>
          <cell r="E255">
            <v>4.5970000000000004E-3</v>
          </cell>
        </row>
        <row r="256">
          <cell r="A256" t="str">
            <v>BWSC22800</v>
          </cell>
          <cell r="B256" t="str">
            <v>BWSC</v>
          </cell>
          <cell r="C256">
            <v>800</v>
          </cell>
          <cell r="D256">
            <v>22</v>
          </cell>
          <cell r="E256">
            <v>3.408E-3</v>
          </cell>
        </row>
        <row r="257">
          <cell r="A257" t="str">
            <v>BWSC22900</v>
          </cell>
          <cell r="B257" t="str">
            <v>BWSC</v>
          </cell>
          <cell r="C257">
            <v>900</v>
          </cell>
          <cell r="D257">
            <v>22</v>
          </cell>
          <cell r="E257">
            <v>2.6519999999999998E-3</v>
          </cell>
        </row>
        <row r="258">
          <cell r="A258" t="str">
            <v>BWSC221000</v>
          </cell>
          <cell r="B258" t="str">
            <v>BWSC</v>
          </cell>
          <cell r="C258">
            <v>1000</v>
          </cell>
          <cell r="D258">
            <v>22</v>
          </cell>
          <cell r="E258">
            <v>2.0899999999999998E-3</v>
          </cell>
        </row>
        <row r="259">
          <cell r="A259" t="str">
            <v>BWSC24350</v>
          </cell>
          <cell r="B259" t="str">
            <v>BWSC</v>
          </cell>
          <cell r="C259">
            <v>350</v>
          </cell>
          <cell r="D259">
            <v>24</v>
          </cell>
          <cell r="E259">
            <v>2.0523E-2</v>
          </cell>
        </row>
        <row r="260">
          <cell r="A260" t="str">
            <v>BWSC24400</v>
          </cell>
          <cell r="B260" t="str">
            <v>BWSC</v>
          </cell>
          <cell r="C260">
            <v>400</v>
          </cell>
          <cell r="D260">
            <v>24</v>
          </cell>
          <cell r="E260">
            <v>1.5350000000000001E-2</v>
          </cell>
        </row>
        <row r="261">
          <cell r="A261" t="str">
            <v>BWSC24450</v>
          </cell>
          <cell r="B261" t="str">
            <v>BWSC</v>
          </cell>
          <cell r="C261">
            <v>450</v>
          </cell>
          <cell r="D261">
            <v>24</v>
          </cell>
          <cell r="E261">
            <v>1.1861E-2</v>
          </cell>
        </row>
        <row r="262">
          <cell r="A262" t="str">
            <v>BWSC24500</v>
          </cell>
          <cell r="B262" t="str">
            <v>BWSC</v>
          </cell>
          <cell r="C262">
            <v>500</v>
          </cell>
          <cell r="D262">
            <v>24</v>
          </cell>
          <cell r="E262">
            <v>9.5840000000000005E-3</v>
          </cell>
        </row>
        <row r="263">
          <cell r="A263" t="str">
            <v>BWSC24600</v>
          </cell>
          <cell r="B263" t="str">
            <v>BWSC</v>
          </cell>
          <cell r="C263">
            <v>600</v>
          </cell>
          <cell r="D263">
            <v>24</v>
          </cell>
          <cell r="E263">
            <v>6.476E-3</v>
          </cell>
        </row>
        <row r="264">
          <cell r="A264" t="str">
            <v>BWSC24700</v>
          </cell>
          <cell r="B264" t="str">
            <v>BWSC</v>
          </cell>
          <cell r="C264">
            <v>700</v>
          </cell>
          <cell r="D264">
            <v>24</v>
          </cell>
          <cell r="E264">
            <v>4.5970000000000004E-3</v>
          </cell>
        </row>
        <row r="265">
          <cell r="A265" t="str">
            <v>BWSC24800</v>
          </cell>
          <cell r="B265" t="str">
            <v>BWSC</v>
          </cell>
          <cell r="C265">
            <v>800</v>
          </cell>
          <cell r="D265">
            <v>24</v>
          </cell>
          <cell r="E265">
            <v>3.408E-3</v>
          </cell>
        </row>
        <row r="266">
          <cell r="A266" t="str">
            <v>BWSC24900</v>
          </cell>
          <cell r="B266" t="str">
            <v>BWSC</v>
          </cell>
          <cell r="C266">
            <v>900</v>
          </cell>
          <cell r="D266">
            <v>24</v>
          </cell>
          <cell r="E266">
            <v>2.6519999999999998E-3</v>
          </cell>
        </row>
        <row r="267">
          <cell r="A267" t="str">
            <v>BWSC241000</v>
          </cell>
          <cell r="B267" t="str">
            <v>BWSC</v>
          </cell>
          <cell r="C267">
            <v>1000</v>
          </cell>
          <cell r="D267">
            <v>24</v>
          </cell>
          <cell r="E267">
            <v>2.0899999999999998E-3</v>
          </cell>
        </row>
        <row r="268">
          <cell r="A268" t="str">
            <v>BWSC26350</v>
          </cell>
          <cell r="B268" t="str">
            <v>BWSC</v>
          </cell>
          <cell r="C268">
            <v>350</v>
          </cell>
          <cell r="D268">
            <v>26</v>
          </cell>
          <cell r="E268">
            <v>2.0523E-2</v>
          </cell>
        </row>
        <row r="269">
          <cell r="A269" t="str">
            <v>BWSC26400</v>
          </cell>
          <cell r="B269" t="str">
            <v>BWSC</v>
          </cell>
          <cell r="C269">
            <v>400</v>
          </cell>
          <cell r="D269">
            <v>26</v>
          </cell>
          <cell r="E269">
            <v>1.5350000000000001E-2</v>
          </cell>
        </row>
        <row r="270">
          <cell r="A270" t="str">
            <v>BWSC26450</v>
          </cell>
          <cell r="B270" t="str">
            <v>BWSC</v>
          </cell>
          <cell r="C270">
            <v>450</v>
          </cell>
          <cell r="D270">
            <v>26</v>
          </cell>
          <cell r="E270">
            <v>1.1861E-2</v>
          </cell>
        </row>
        <row r="271">
          <cell r="A271" t="str">
            <v>BWSC26500</v>
          </cell>
          <cell r="B271" t="str">
            <v>BWSC</v>
          </cell>
          <cell r="C271">
            <v>500</v>
          </cell>
          <cell r="D271">
            <v>26</v>
          </cell>
          <cell r="E271">
            <v>9.5840000000000005E-3</v>
          </cell>
        </row>
        <row r="272">
          <cell r="A272" t="str">
            <v>BWSC26600</v>
          </cell>
          <cell r="B272" t="str">
            <v>BWSC</v>
          </cell>
          <cell r="C272">
            <v>600</v>
          </cell>
          <cell r="D272">
            <v>26</v>
          </cell>
          <cell r="E272">
            <v>6.476E-3</v>
          </cell>
        </row>
        <row r="273">
          <cell r="A273" t="str">
            <v>BWSC26700</v>
          </cell>
          <cell r="B273" t="str">
            <v>BWSC</v>
          </cell>
          <cell r="C273">
            <v>700</v>
          </cell>
          <cell r="D273">
            <v>26</v>
          </cell>
          <cell r="E273">
            <v>4.5970000000000004E-3</v>
          </cell>
        </row>
        <row r="274">
          <cell r="A274" t="str">
            <v>BWSC26800</v>
          </cell>
          <cell r="B274" t="str">
            <v>BWSC</v>
          </cell>
          <cell r="C274">
            <v>800</v>
          </cell>
          <cell r="D274">
            <v>26</v>
          </cell>
          <cell r="E274">
            <v>3.408E-3</v>
          </cell>
        </row>
        <row r="275">
          <cell r="A275" t="str">
            <v>BWSC26900</v>
          </cell>
          <cell r="B275" t="str">
            <v>BWSC</v>
          </cell>
          <cell r="C275">
            <v>900</v>
          </cell>
          <cell r="D275">
            <v>26</v>
          </cell>
          <cell r="E275">
            <v>2.6519999999999998E-3</v>
          </cell>
        </row>
        <row r="276">
          <cell r="A276" t="str">
            <v>BWSC261000</v>
          </cell>
          <cell r="B276" t="str">
            <v>BWSC</v>
          </cell>
          <cell r="C276">
            <v>1000</v>
          </cell>
          <cell r="D276">
            <v>26</v>
          </cell>
          <cell r="E276">
            <v>2.0899999999999998E-3</v>
          </cell>
        </row>
        <row r="277">
          <cell r="A277" t="str">
            <v>BWSC28350</v>
          </cell>
          <cell r="B277" t="str">
            <v>BWSC</v>
          </cell>
          <cell r="C277">
            <v>350</v>
          </cell>
          <cell r="D277">
            <v>28</v>
          </cell>
          <cell r="E277">
            <v>2.0523E-2</v>
          </cell>
        </row>
        <row r="278">
          <cell r="A278" t="str">
            <v>BWSC28400</v>
          </cell>
          <cell r="B278" t="str">
            <v>BWSC</v>
          </cell>
          <cell r="C278">
            <v>400</v>
          </cell>
          <cell r="D278">
            <v>28</v>
          </cell>
          <cell r="E278">
            <v>1.5350000000000001E-2</v>
          </cell>
        </row>
        <row r="279">
          <cell r="A279" t="str">
            <v>BWSC28450</v>
          </cell>
          <cell r="B279" t="str">
            <v>BWSC</v>
          </cell>
          <cell r="C279">
            <v>450</v>
          </cell>
          <cell r="D279">
            <v>28</v>
          </cell>
          <cell r="E279">
            <v>1.1861E-2</v>
          </cell>
        </row>
        <row r="280">
          <cell r="A280" t="str">
            <v>BWSC28500</v>
          </cell>
          <cell r="B280" t="str">
            <v>BWSC</v>
          </cell>
          <cell r="C280">
            <v>500</v>
          </cell>
          <cell r="D280">
            <v>28</v>
          </cell>
          <cell r="E280">
            <v>9.5840000000000005E-3</v>
          </cell>
        </row>
        <row r="281">
          <cell r="A281" t="str">
            <v>BWSC28600</v>
          </cell>
          <cell r="B281" t="str">
            <v>BWSC</v>
          </cell>
          <cell r="C281">
            <v>600</v>
          </cell>
          <cell r="D281">
            <v>28</v>
          </cell>
          <cell r="E281">
            <v>6.476E-3</v>
          </cell>
        </row>
        <row r="282">
          <cell r="A282" t="str">
            <v>BWSC28700</v>
          </cell>
          <cell r="B282" t="str">
            <v>BWSC</v>
          </cell>
          <cell r="C282">
            <v>700</v>
          </cell>
          <cell r="D282">
            <v>28</v>
          </cell>
          <cell r="E282">
            <v>4.5970000000000004E-3</v>
          </cell>
        </row>
        <row r="283">
          <cell r="A283" t="str">
            <v>BWSC28800</v>
          </cell>
          <cell r="B283" t="str">
            <v>BWSC</v>
          </cell>
          <cell r="C283">
            <v>800</v>
          </cell>
          <cell r="D283">
            <v>28</v>
          </cell>
          <cell r="E283">
            <v>3.408E-3</v>
          </cell>
        </row>
        <row r="284">
          <cell r="A284" t="str">
            <v>BWSC28900</v>
          </cell>
          <cell r="B284" t="str">
            <v>BWSC</v>
          </cell>
          <cell r="C284">
            <v>900</v>
          </cell>
          <cell r="D284">
            <v>28</v>
          </cell>
          <cell r="E284">
            <v>2.6519999999999998E-3</v>
          </cell>
        </row>
        <row r="285">
          <cell r="A285" t="str">
            <v>BWSC281000</v>
          </cell>
          <cell r="B285" t="str">
            <v>BWSC</v>
          </cell>
          <cell r="C285">
            <v>1000</v>
          </cell>
          <cell r="D285">
            <v>28</v>
          </cell>
          <cell r="E285">
            <v>2.0899999999999998E-3</v>
          </cell>
        </row>
        <row r="286">
          <cell r="A286" t="str">
            <v>BWSC30350</v>
          </cell>
          <cell r="B286" t="str">
            <v>BWSC</v>
          </cell>
          <cell r="C286">
            <v>350</v>
          </cell>
          <cell r="D286">
            <v>30</v>
          </cell>
          <cell r="E286">
            <v>2.0523E-2</v>
          </cell>
        </row>
        <row r="287">
          <cell r="A287" t="str">
            <v>BWSC30400</v>
          </cell>
          <cell r="B287" t="str">
            <v>BWSC</v>
          </cell>
          <cell r="C287">
            <v>400</v>
          </cell>
          <cell r="D287">
            <v>30</v>
          </cell>
          <cell r="E287">
            <v>1.5350000000000001E-2</v>
          </cell>
        </row>
        <row r="288">
          <cell r="A288" t="str">
            <v>BWSC30450</v>
          </cell>
          <cell r="B288" t="str">
            <v>BWSC</v>
          </cell>
          <cell r="C288">
            <v>450</v>
          </cell>
          <cell r="D288">
            <v>30</v>
          </cell>
          <cell r="E288">
            <v>1.1861E-2</v>
          </cell>
        </row>
        <row r="289">
          <cell r="A289" t="str">
            <v>BWSC30500</v>
          </cell>
          <cell r="B289" t="str">
            <v>BWSC</v>
          </cell>
          <cell r="C289">
            <v>500</v>
          </cell>
          <cell r="D289">
            <v>30</v>
          </cell>
          <cell r="E289">
            <v>9.5840000000000005E-3</v>
          </cell>
        </row>
        <row r="290">
          <cell r="A290" t="str">
            <v>BWSC30600</v>
          </cell>
          <cell r="B290" t="str">
            <v>BWSC</v>
          </cell>
          <cell r="C290">
            <v>600</v>
          </cell>
          <cell r="D290">
            <v>30</v>
          </cell>
          <cell r="E290">
            <v>6.476E-3</v>
          </cell>
        </row>
        <row r="291">
          <cell r="A291" t="str">
            <v>BWSC30700</v>
          </cell>
          <cell r="B291" t="str">
            <v>BWSC</v>
          </cell>
          <cell r="C291">
            <v>700</v>
          </cell>
          <cell r="D291">
            <v>30</v>
          </cell>
          <cell r="E291">
            <v>4.5970000000000004E-3</v>
          </cell>
        </row>
        <row r="292">
          <cell r="A292" t="str">
            <v>BWSC30800</v>
          </cell>
          <cell r="B292" t="str">
            <v>BWSC</v>
          </cell>
          <cell r="C292">
            <v>800</v>
          </cell>
          <cell r="D292">
            <v>30</v>
          </cell>
          <cell r="E292">
            <v>3.408E-3</v>
          </cell>
        </row>
        <row r="293">
          <cell r="A293" t="str">
            <v>BWSC30900</v>
          </cell>
          <cell r="B293" t="str">
            <v>BWSC</v>
          </cell>
          <cell r="C293">
            <v>900</v>
          </cell>
          <cell r="D293">
            <v>30</v>
          </cell>
          <cell r="E293">
            <v>2.6519999999999998E-3</v>
          </cell>
        </row>
        <row r="294">
          <cell r="A294" t="str">
            <v>BWSC301000</v>
          </cell>
          <cell r="B294" t="str">
            <v>BWSC</v>
          </cell>
          <cell r="C294">
            <v>1000</v>
          </cell>
          <cell r="D294">
            <v>30</v>
          </cell>
          <cell r="E294">
            <v>2.0899999999999998E-3</v>
          </cell>
        </row>
        <row r="295">
          <cell r="A295" t="str">
            <v>GRP3350</v>
          </cell>
          <cell r="B295" t="str">
            <v>GRP</v>
          </cell>
          <cell r="C295">
            <v>350</v>
          </cell>
          <cell r="D295">
            <v>3</v>
          </cell>
          <cell r="E295">
            <v>1.0975652715298897E-2</v>
          </cell>
        </row>
        <row r="296">
          <cell r="A296" t="str">
            <v>GRP3400</v>
          </cell>
          <cell r="B296" t="str">
            <v>GRP</v>
          </cell>
          <cell r="C296">
            <v>400</v>
          </cell>
          <cell r="D296">
            <v>3</v>
          </cell>
          <cell r="E296">
            <v>7.9556725974866023E-3</v>
          </cell>
        </row>
        <row r="297">
          <cell r="A297" t="str">
            <v>GRP3450</v>
          </cell>
          <cell r="B297" t="str">
            <v>GRP</v>
          </cell>
          <cell r="C297">
            <v>450</v>
          </cell>
          <cell r="D297">
            <v>3</v>
          </cell>
          <cell r="E297">
            <v>5.9834184193067351E-3</v>
          </cell>
        </row>
        <row r="298">
          <cell r="A298" t="str">
            <v>GRP3500</v>
          </cell>
          <cell r="B298" t="str">
            <v>GRP</v>
          </cell>
          <cell r="C298">
            <v>500</v>
          </cell>
          <cell r="D298">
            <v>3</v>
          </cell>
          <cell r="E298">
            <v>4.7554642015215018E-3</v>
          </cell>
        </row>
        <row r="299">
          <cell r="A299" t="str">
            <v>GRP3600</v>
          </cell>
          <cell r="B299" t="str">
            <v>GRP</v>
          </cell>
          <cell r="C299">
            <v>600</v>
          </cell>
          <cell r="D299">
            <v>3</v>
          </cell>
          <cell r="E299">
            <v>3.203466906792339E-3</v>
          </cell>
        </row>
        <row r="300">
          <cell r="A300" t="str">
            <v>GRP3700</v>
          </cell>
          <cell r="B300" t="str">
            <v>GRP</v>
          </cell>
          <cell r="C300">
            <v>700</v>
          </cell>
          <cell r="D300">
            <v>3</v>
          </cell>
          <cell r="E300">
            <v>2.3459375981768698E-3</v>
          </cell>
        </row>
        <row r="301">
          <cell r="A301" t="str">
            <v>GRP3800</v>
          </cell>
          <cell r="B301" t="str">
            <v>GRP</v>
          </cell>
          <cell r="C301">
            <v>800</v>
          </cell>
          <cell r="D301">
            <v>3</v>
          </cell>
          <cell r="E301">
            <v>1.7603857144661225E-3</v>
          </cell>
        </row>
        <row r="302">
          <cell r="A302" t="str">
            <v>GRP3900</v>
          </cell>
          <cell r="B302" t="str">
            <v>GRP</v>
          </cell>
          <cell r="C302">
            <v>900</v>
          </cell>
          <cell r="D302">
            <v>3</v>
          </cell>
          <cell r="E302">
            <v>1.3683103950304948E-3</v>
          </cell>
        </row>
        <row r="303">
          <cell r="A303" t="str">
            <v>GRP31000</v>
          </cell>
          <cell r="B303" t="str">
            <v>GRP</v>
          </cell>
          <cell r="C303">
            <v>1000</v>
          </cell>
          <cell r="D303">
            <v>3</v>
          </cell>
          <cell r="E303">
            <v>1.0933236422011789E-3</v>
          </cell>
        </row>
        <row r="304">
          <cell r="A304" t="str">
            <v>GRP6350</v>
          </cell>
          <cell r="B304" t="str">
            <v>GRP</v>
          </cell>
          <cell r="C304">
            <v>350</v>
          </cell>
          <cell r="D304">
            <v>6</v>
          </cell>
          <cell r="E304">
            <v>1.0975652715298897E-2</v>
          </cell>
        </row>
        <row r="305">
          <cell r="A305" t="str">
            <v>GRP6400</v>
          </cell>
          <cell r="B305" t="str">
            <v>GRP</v>
          </cell>
          <cell r="C305">
            <v>400</v>
          </cell>
          <cell r="D305">
            <v>6</v>
          </cell>
          <cell r="E305">
            <v>7.9556725974866023E-3</v>
          </cell>
        </row>
        <row r="306">
          <cell r="A306" t="str">
            <v>GRP6450</v>
          </cell>
          <cell r="B306" t="str">
            <v>GRP</v>
          </cell>
          <cell r="C306">
            <v>450</v>
          </cell>
          <cell r="D306">
            <v>6</v>
          </cell>
          <cell r="E306">
            <v>5.9834184193067351E-3</v>
          </cell>
        </row>
        <row r="307">
          <cell r="A307" t="str">
            <v>GRP6500</v>
          </cell>
          <cell r="B307" t="str">
            <v>GRP</v>
          </cell>
          <cell r="C307">
            <v>500</v>
          </cell>
          <cell r="D307">
            <v>6</v>
          </cell>
          <cell r="E307">
            <v>4.7554642015215018E-3</v>
          </cell>
        </row>
        <row r="308">
          <cell r="A308" t="str">
            <v>GRP6600</v>
          </cell>
          <cell r="B308" t="str">
            <v>GRP</v>
          </cell>
          <cell r="C308">
            <v>600</v>
          </cell>
          <cell r="D308">
            <v>6</v>
          </cell>
          <cell r="E308">
            <v>3.203466906792339E-3</v>
          </cell>
        </row>
        <row r="309">
          <cell r="A309" t="str">
            <v>GRP6700</v>
          </cell>
          <cell r="B309" t="str">
            <v>GRP</v>
          </cell>
          <cell r="C309">
            <v>700</v>
          </cell>
          <cell r="D309">
            <v>6</v>
          </cell>
          <cell r="E309">
            <v>2.3459375981768698E-3</v>
          </cell>
        </row>
        <row r="310">
          <cell r="A310" t="str">
            <v>GRP6800</v>
          </cell>
          <cell r="B310" t="str">
            <v>GRP</v>
          </cell>
          <cell r="C310">
            <v>800</v>
          </cell>
          <cell r="D310">
            <v>6</v>
          </cell>
          <cell r="E310">
            <v>1.7603857144661225E-3</v>
          </cell>
        </row>
        <row r="311">
          <cell r="A311" t="str">
            <v>GRP6900</v>
          </cell>
          <cell r="B311" t="str">
            <v>GRP</v>
          </cell>
          <cell r="C311">
            <v>900</v>
          </cell>
          <cell r="D311">
            <v>6</v>
          </cell>
          <cell r="E311">
            <v>1.3683103950304948E-3</v>
          </cell>
        </row>
        <row r="312">
          <cell r="A312" t="str">
            <v>GRP61000</v>
          </cell>
          <cell r="B312" t="str">
            <v>GRP</v>
          </cell>
          <cell r="C312">
            <v>1000</v>
          </cell>
          <cell r="D312">
            <v>6</v>
          </cell>
          <cell r="E312">
            <v>1.0933236422011789E-3</v>
          </cell>
        </row>
        <row r="313">
          <cell r="A313" t="str">
            <v>GRP9350</v>
          </cell>
          <cell r="B313" t="str">
            <v>GRP</v>
          </cell>
          <cell r="C313">
            <v>350</v>
          </cell>
          <cell r="D313">
            <v>9</v>
          </cell>
          <cell r="E313">
            <v>1.0975652715298897E-2</v>
          </cell>
        </row>
        <row r="314">
          <cell r="A314" t="str">
            <v>GRP9400</v>
          </cell>
          <cell r="B314" t="str">
            <v>GRP</v>
          </cell>
          <cell r="C314">
            <v>400</v>
          </cell>
          <cell r="D314">
            <v>9</v>
          </cell>
          <cell r="E314">
            <v>7.9556725974866023E-3</v>
          </cell>
        </row>
        <row r="315">
          <cell r="A315" t="str">
            <v>GRP9450</v>
          </cell>
          <cell r="B315" t="str">
            <v>GRP</v>
          </cell>
          <cell r="C315">
            <v>450</v>
          </cell>
          <cell r="D315">
            <v>9</v>
          </cell>
          <cell r="E315">
            <v>5.9834184193067351E-3</v>
          </cell>
        </row>
        <row r="316">
          <cell r="A316" t="str">
            <v>GRP9500</v>
          </cell>
          <cell r="B316" t="str">
            <v>GRP</v>
          </cell>
          <cell r="C316">
            <v>500</v>
          </cell>
          <cell r="D316">
            <v>9</v>
          </cell>
          <cell r="E316">
            <v>4.7554642015215018E-3</v>
          </cell>
        </row>
        <row r="317">
          <cell r="A317" t="str">
            <v>GRP9600</v>
          </cell>
          <cell r="B317" t="str">
            <v>GRP</v>
          </cell>
          <cell r="C317">
            <v>600</v>
          </cell>
          <cell r="D317">
            <v>9</v>
          </cell>
          <cell r="E317">
            <v>3.203466906792339E-3</v>
          </cell>
        </row>
        <row r="318">
          <cell r="A318" t="str">
            <v>GRP9700</v>
          </cell>
          <cell r="B318" t="str">
            <v>GRP</v>
          </cell>
          <cell r="C318">
            <v>700</v>
          </cell>
          <cell r="D318">
            <v>9</v>
          </cell>
          <cell r="E318">
            <v>2.3459375981768698E-3</v>
          </cell>
        </row>
        <row r="319">
          <cell r="A319" t="str">
            <v>GRP9800</v>
          </cell>
          <cell r="B319" t="str">
            <v>GRP</v>
          </cell>
          <cell r="C319">
            <v>800</v>
          </cell>
          <cell r="D319">
            <v>9</v>
          </cell>
          <cell r="E319">
            <v>1.7603857144661225E-3</v>
          </cell>
        </row>
        <row r="320">
          <cell r="A320" t="str">
            <v>GRP9900</v>
          </cell>
          <cell r="B320" t="str">
            <v>GRP</v>
          </cell>
          <cell r="C320">
            <v>900</v>
          </cell>
          <cell r="D320">
            <v>9</v>
          </cell>
          <cell r="E320">
            <v>1.3683103950304948E-3</v>
          </cell>
        </row>
        <row r="321">
          <cell r="A321" t="str">
            <v>GRP91000</v>
          </cell>
          <cell r="B321" t="str">
            <v>GRP</v>
          </cell>
          <cell r="C321">
            <v>1000</v>
          </cell>
          <cell r="D321">
            <v>9</v>
          </cell>
          <cell r="E321">
            <v>1.0933236422011789E-3</v>
          </cell>
        </row>
        <row r="322">
          <cell r="A322" t="str">
            <v>GRP12350</v>
          </cell>
          <cell r="B322" t="str">
            <v>GRP</v>
          </cell>
          <cell r="C322">
            <v>350</v>
          </cell>
          <cell r="D322">
            <v>12</v>
          </cell>
          <cell r="E322">
            <v>1.0975652715298897E-2</v>
          </cell>
        </row>
        <row r="323">
          <cell r="A323" t="str">
            <v>GRP12400</v>
          </cell>
          <cell r="B323" t="str">
            <v>GRP</v>
          </cell>
          <cell r="C323">
            <v>400</v>
          </cell>
          <cell r="D323">
            <v>12</v>
          </cell>
          <cell r="E323">
            <v>7.9556725974866023E-3</v>
          </cell>
        </row>
        <row r="324">
          <cell r="A324" t="str">
            <v>GRP12450</v>
          </cell>
          <cell r="B324" t="str">
            <v>GRP</v>
          </cell>
          <cell r="C324">
            <v>450</v>
          </cell>
          <cell r="D324">
            <v>12</v>
          </cell>
          <cell r="E324">
            <v>5.9834184193067351E-3</v>
          </cell>
        </row>
        <row r="325">
          <cell r="A325" t="str">
            <v>GRP12500</v>
          </cell>
          <cell r="B325" t="str">
            <v>GRP</v>
          </cell>
          <cell r="C325">
            <v>500</v>
          </cell>
          <cell r="D325">
            <v>12</v>
          </cell>
          <cell r="E325">
            <v>4.7554642015215018E-3</v>
          </cell>
        </row>
        <row r="326">
          <cell r="A326" t="str">
            <v>GRP12600</v>
          </cell>
          <cell r="B326" t="str">
            <v>GRP</v>
          </cell>
          <cell r="C326">
            <v>600</v>
          </cell>
          <cell r="D326">
            <v>12</v>
          </cell>
          <cell r="E326">
            <v>3.203466906792339E-3</v>
          </cell>
        </row>
        <row r="327">
          <cell r="A327" t="str">
            <v>GRP12700</v>
          </cell>
          <cell r="B327" t="str">
            <v>GRP</v>
          </cell>
          <cell r="C327">
            <v>700</v>
          </cell>
          <cell r="D327">
            <v>12</v>
          </cell>
          <cell r="E327">
            <v>2.3459375981768698E-3</v>
          </cell>
        </row>
        <row r="328">
          <cell r="A328" t="str">
            <v>GRP12800</v>
          </cell>
          <cell r="B328" t="str">
            <v>GRP</v>
          </cell>
          <cell r="C328">
            <v>800</v>
          </cell>
          <cell r="D328">
            <v>12</v>
          </cell>
          <cell r="E328">
            <v>1.7603857144661225E-3</v>
          </cell>
        </row>
        <row r="329">
          <cell r="A329" t="str">
            <v>GRP12900</v>
          </cell>
          <cell r="B329" t="str">
            <v>GRP</v>
          </cell>
          <cell r="C329">
            <v>900</v>
          </cell>
          <cell r="D329">
            <v>12</v>
          </cell>
          <cell r="E329">
            <v>1.3683103950304948E-3</v>
          </cell>
        </row>
        <row r="330">
          <cell r="A330" t="str">
            <v>GRP121000</v>
          </cell>
          <cell r="B330" t="str">
            <v>GRP</v>
          </cell>
          <cell r="C330">
            <v>1000</v>
          </cell>
          <cell r="D330">
            <v>12</v>
          </cell>
          <cell r="E330">
            <v>1.0933236422011789E-3</v>
          </cell>
        </row>
        <row r="331">
          <cell r="A331" t="str">
            <v>GRP15350</v>
          </cell>
          <cell r="B331" t="str">
            <v>GRP</v>
          </cell>
          <cell r="C331">
            <v>350</v>
          </cell>
          <cell r="D331">
            <v>15</v>
          </cell>
          <cell r="E331">
            <v>1.0975652715298897E-2</v>
          </cell>
        </row>
        <row r="332">
          <cell r="A332" t="str">
            <v>GRP15400</v>
          </cell>
          <cell r="B332" t="str">
            <v>GRP</v>
          </cell>
          <cell r="C332">
            <v>400</v>
          </cell>
          <cell r="D332">
            <v>15</v>
          </cell>
          <cell r="E332">
            <v>7.9556725974866023E-3</v>
          </cell>
        </row>
        <row r="333">
          <cell r="A333" t="str">
            <v>GRP15450</v>
          </cell>
          <cell r="B333" t="str">
            <v>GRP</v>
          </cell>
          <cell r="C333">
            <v>450</v>
          </cell>
          <cell r="D333">
            <v>15</v>
          </cell>
          <cell r="E333">
            <v>5.9834184193067351E-3</v>
          </cell>
        </row>
        <row r="334">
          <cell r="A334" t="str">
            <v>GRP15500</v>
          </cell>
          <cell r="B334" t="str">
            <v>GRP</v>
          </cell>
          <cell r="C334">
            <v>500</v>
          </cell>
          <cell r="D334">
            <v>15</v>
          </cell>
          <cell r="E334">
            <v>4.7554642015215018E-3</v>
          </cell>
        </row>
        <row r="335">
          <cell r="A335" t="str">
            <v>GRP15600</v>
          </cell>
          <cell r="B335" t="str">
            <v>GRP</v>
          </cell>
          <cell r="C335">
            <v>600</v>
          </cell>
          <cell r="D335">
            <v>15</v>
          </cell>
          <cell r="E335">
            <v>3.203466906792339E-3</v>
          </cell>
        </row>
        <row r="336">
          <cell r="A336" t="str">
            <v>GRP15700</v>
          </cell>
          <cell r="B336" t="str">
            <v>GRP</v>
          </cell>
          <cell r="C336">
            <v>700</v>
          </cell>
          <cell r="D336">
            <v>15</v>
          </cell>
          <cell r="E336">
            <v>2.3459375981768698E-3</v>
          </cell>
        </row>
        <row r="337">
          <cell r="A337" t="str">
            <v>GRP15800</v>
          </cell>
          <cell r="B337" t="str">
            <v>GRP</v>
          </cell>
          <cell r="C337">
            <v>800</v>
          </cell>
          <cell r="D337">
            <v>15</v>
          </cell>
          <cell r="E337">
            <v>1.7603857144661225E-3</v>
          </cell>
        </row>
        <row r="338">
          <cell r="A338" t="str">
            <v>GRP15900</v>
          </cell>
          <cell r="B338" t="str">
            <v>GRP</v>
          </cell>
          <cell r="C338">
            <v>900</v>
          </cell>
          <cell r="D338">
            <v>15</v>
          </cell>
          <cell r="E338">
            <v>1.3683103950304948E-3</v>
          </cell>
        </row>
        <row r="339">
          <cell r="A339" t="str">
            <v>GRP151000</v>
          </cell>
          <cell r="B339" t="str">
            <v>GRP</v>
          </cell>
          <cell r="C339">
            <v>1000</v>
          </cell>
          <cell r="D339">
            <v>15</v>
          </cell>
          <cell r="E339">
            <v>1.0933236422011789E-3</v>
          </cell>
        </row>
        <row r="340">
          <cell r="A340" t="str">
            <v>MS580</v>
          </cell>
          <cell r="B340" t="str">
            <v>MS</v>
          </cell>
          <cell r="C340">
            <v>80</v>
          </cell>
          <cell r="D340">
            <v>5</v>
          </cell>
          <cell r="E340">
            <v>0.44763501953807294</v>
          </cell>
        </row>
        <row r="341">
          <cell r="A341" t="str">
            <v>MS5100</v>
          </cell>
          <cell r="B341" t="str">
            <v>MS</v>
          </cell>
          <cell r="C341">
            <v>100</v>
          </cell>
          <cell r="D341">
            <v>5</v>
          </cell>
          <cell r="E341">
            <v>0.28172911817464441</v>
          </cell>
        </row>
        <row r="342">
          <cell r="A342" t="str">
            <v>MS5125</v>
          </cell>
          <cell r="B342" t="str">
            <v>MS</v>
          </cell>
          <cell r="C342">
            <v>125</v>
          </cell>
          <cell r="D342">
            <v>5</v>
          </cell>
          <cell r="E342">
            <v>0.17670588008918739</v>
          </cell>
        </row>
        <row r="343">
          <cell r="A343" t="str">
            <v>MS5150</v>
          </cell>
          <cell r="B343" t="str">
            <v>MS</v>
          </cell>
          <cell r="C343">
            <v>150</v>
          </cell>
          <cell r="D343">
            <v>5</v>
          </cell>
          <cell r="E343">
            <v>0.1203559550870736</v>
          </cell>
        </row>
        <row r="344">
          <cell r="A344" t="str">
            <v>MS5200</v>
          </cell>
          <cell r="B344" t="str">
            <v>MS</v>
          </cell>
          <cell r="C344">
            <v>200</v>
          </cell>
          <cell r="D344">
            <v>5</v>
          </cell>
          <cell r="E344">
            <v>6.5263272230967728E-2</v>
          </cell>
        </row>
        <row r="345">
          <cell r="A345" t="str">
            <v>MS5250</v>
          </cell>
          <cell r="B345" t="str">
            <v>MS</v>
          </cell>
          <cell r="C345">
            <v>250</v>
          </cell>
          <cell r="D345">
            <v>5</v>
          </cell>
          <cell r="E345">
            <v>4.0365987618053101E-2</v>
          </cell>
        </row>
        <row r="346">
          <cell r="A346" t="str">
            <v>MS5300</v>
          </cell>
          <cell r="B346" t="str">
            <v>MS</v>
          </cell>
          <cell r="C346">
            <v>300</v>
          </cell>
          <cell r="D346">
            <v>5</v>
          </cell>
          <cell r="E346">
            <v>2.7149925384405988E-2</v>
          </cell>
        </row>
        <row r="347">
          <cell r="A347" t="str">
            <v>MS5350</v>
          </cell>
          <cell r="B347" t="str">
            <v>MS</v>
          </cell>
          <cell r="C347">
            <v>350</v>
          </cell>
          <cell r="D347">
            <v>5</v>
          </cell>
          <cell r="E347">
            <v>1.9356431019806542E-2</v>
          </cell>
        </row>
        <row r="348">
          <cell r="A348" t="str">
            <v>MS5400</v>
          </cell>
          <cell r="B348" t="str">
            <v>MS</v>
          </cell>
          <cell r="C348">
            <v>400</v>
          </cell>
          <cell r="D348">
            <v>5</v>
          </cell>
          <cell r="E348">
            <v>1.4405608178647762E-2</v>
          </cell>
        </row>
        <row r="349">
          <cell r="A349" t="str">
            <v>MS5450</v>
          </cell>
          <cell r="B349" t="str">
            <v>MS</v>
          </cell>
          <cell r="C349">
            <v>450</v>
          </cell>
          <cell r="D349">
            <v>5</v>
          </cell>
          <cell r="E349">
            <v>1.1080958002156163E-2</v>
          </cell>
        </row>
        <row r="350">
          <cell r="A350" t="str">
            <v>MS5500</v>
          </cell>
          <cell r="B350" t="str">
            <v>MS</v>
          </cell>
          <cell r="C350">
            <v>500</v>
          </cell>
          <cell r="D350">
            <v>5</v>
          </cell>
          <cell r="E350">
            <v>9.4564882682788183E-3</v>
          </cell>
        </row>
        <row r="351">
          <cell r="A351" t="str">
            <v>MS5600</v>
          </cell>
          <cell r="B351" t="str">
            <v>MS</v>
          </cell>
          <cell r="C351">
            <v>600</v>
          </cell>
          <cell r="D351">
            <v>5</v>
          </cell>
          <cell r="E351">
            <v>6.3122155140126306E-3</v>
          </cell>
        </row>
        <row r="352">
          <cell r="A352" t="str">
            <v>MS5700</v>
          </cell>
          <cell r="B352" t="str">
            <v>MS</v>
          </cell>
          <cell r="C352">
            <v>700</v>
          </cell>
          <cell r="D352">
            <v>5</v>
          </cell>
          <cell r="E352">
            <v>4.4705770867339263E-3</v>
          </cell>
        </row>
        <row r="353">
          <cell r="A353" t="str">
            <v>MS5800</v>
          </cell>
          <cell r="B353" t="str">
            <v>MS</v>
          </cell>
          <cell r="C353">
            <v>800</v>
          </cell>
          <cell r="D353">
            <v>5</v>
          </cell>
          <cell r="E353">
            <v>3.3078325681283466E-3</v>
          </cell>
        </row>
        <row r="354">
          <cell r="A354" t="str">
            <v>MS5900</v>
          </cell>
          <cell r="B354" t="str">
            <v>MS</v>
          </cell>
          <cell r="C354">
            <v>900</v>
          </cell>
          <cell r="D354">
            <v>5</v>
          </cell>
          <cell r="E354">
            <v>2.5313456378705372E-3</v>
          </cell>
        </row>
        <row r="355">
          <cell r="A355" t="str">
            <v>MS51000</v>
          </cell>
          <cell r="B355" t="str">
            <v>MS</v>
          </cell>
          <cell r="C355">
            <v>1000</v>
          </cell>
          <cell r="D355">
            <v>5</v>
          </cell>
          <cell r="E355">
            <v>1.9896854169279173E-3</v>
          </cell>
        </row>
        <row r="356">
          <cell r="A356" t="str">
            <v>MS680</v>
          </cell>
          <cell r="B356" t="str">
            <v>MS</v>
          </cell>
          <cell r="C356">
            <v>80</v>
          </cell>
          <cell r="D356">
            <v>6</v>
          </cell>
          <cell r="E356">
            <v>0.45280496521282065</v>
          </cell>
        </row>
        <row r="357">
          <cell r="A357" t="str">
            <v>MS6100</v>
          </cell>
          <cell r="B357" t="str">
            <v>MS</v>
          </cell>
          <cell r="C357">
            <v>100</v>
          </cell>
          <cell r="D357">
            <v>6</v>
          </cell>
          <cell r="E357">
            <v>0.28567677919814038</v>
          </cell>
        </row>
        <row r="358">
          <cell r="A358" t="str">
            <v>MS6125</v>
          </cell>
          <cell r="B358" t="str">
            <v>MS</v>
          </cell>
          <cell r="C358">
            <v>125</v>
          </cell>
          <cell r="D358">
            <v>6</v>
          </cell>
          <cell r="E358">
            <v>0.17969120716569961</v>
          </cell>
        </row>
        <row r="359">
          <cell r="A359" t="str">
            <v>MS6150</v>
          </cell>
          <cell r="B359" t="str">
            <v>MS</v>
          </cell>
          <cell r="C359">
            <v>150</v>
          </cell>
          <cell r="D359">
            <v>6</v>
          </cell>
          <cell r="E359">
            <v>0.12271241672860235</v>
          </cell>
        </row>
        <row r="360">
          <cell r="A360" t="str">
            <v>MS6200</v>
          </cell>
          <cell r="B360" t="str">
            <v>MS</v>
          </cell>
          <cell r="C360">
            <v>200</v>
          </cell>
          <cell r="D360">
            <v>6</v>
          </cell>
          <cell r="E360">
            <v>6.6857830461507978E-2</v>
          </cell>
        </row>
        <row r="361">
          <cell r="A361" t="str">
            <v>MS6250</v>
          </cell>
          <cell r="B361" t="str">
            <v>MS</v>
          </cell>
          <cell r="C361">
            <v>250</v>
          </cell>
          <cell r="D361">
            <v>6</v>
          </cell>
          <cell r="E361">
            <v>4.1524573044152947E-2</v>
          </cell>
        </row>
        <row r="362">
          <cell r="A362" t="str">
            <v>MS6300</v>
          </cell>
          <cell r="B362" t="str">
            <v>MS</v>
          </cell>
          <cell r="C362">
            <v>300</v>
          </cell>
          <cell r="D362">
            <v>6</v>
          </cell>
          <cell r="E362">
            <v>2.8031935845870212E-2</v>
          </cell>
        </row>
        <row r="363">
          <cell r="A363" t="str">
            <v>MS6350</v>
          </cell>
          <cell r="B363" t="str">
            <v>MS</v>
          </cell>
          <cell r="C363">
            <v>350</v>
          </cell>
          <cell r="D363">
            <v>6</v>
          </cell>
          <cell r="E363">
            <v>2.0050645445549766E-2</v>
          </cell>
        </row>
        <row r="364">
          <cell r="A364" t="str">
            <v>MS6400</v>
          </cell>
          <cell r="B364" t="str">
            <v>MS</v>
          </cell>
          <cell r="C364">
            <v>400</v>
          </cell>
          <cell r="D364">
            <v>6</v>
          </cell>
          <cell r="E364">
            <v>1.4965966472239189E-2</v>
          </cell>
        </row>
        <row r="365">
          <cell r="A365" t="str">
            <v>MS6450</v>
          </cell>
          <cell r="B365" t="str">
            <v>MS</v>
          </cell>
          <cell r="C365">
            <v>450</v>
          </cell>
          <cell r="D365">
            <v>6</v>
          </cell>
          <cell r="E365">
            <v>1.1542349824438186E-2</v>
          </cell>
        </row>
        <row r="366">
          <cell r="A366" t="str">
            <v>MS6500</v>
          </cell>
          <cell r="B366" t="str">
            <v>MS</v>
          </cell>
          <cell r="C366">
            <v>500</v>
          </cell>
          <cell r="D366">
            <v>6</v>
          </cell>
          <cell r="E366">
            <v>9.7083778722101138E-3</v>
          </cell>
        </row>
        <row r="367">
          <cell r="A367" t="str">
            <v>MS6600</v>
          </cell>
          <cell r="B367" t="str">
            <v>MS</v>
          </cell>
          <cell r="C367">
            <v>600</v>
          </cell>
          <cell r="D367">
            <v>6</v>
          </cell>
          <cell r="E367">
            <v>6.4994475496481961E-3</v>
          </cell>
        </row>
        <row r="368">
          <cell r="A368" t="str">
            <v>MS6700</v>
          </cell>
          <cell r="B368" t="str">
            <v>MS</v>
          </cell>
          <cell r="C368">
            <v>700</v>
          </cell>
          <cell r="D368">
            <v>6</v>
          </cell>
          <cell r="E368">
            <v>4.6148901820264763E-3</v>
          </cell>
        </row>
        <row r="369">
          <cell r="A369" t="str">
            <v>MS6800</v>
          </cell>
          <cell r="B369" t="str">
            <v>MS</v>
          </cell>
          <cell r="C369">
            <v>800</v>
          </cell>
          <cell r="D369">
            <v>6</v>
          </cell>
          <cell r="E369">
            <v>3.4221836778655233E-3</v>
          </cell>
        </row>
        <row r="370">
          <cell r="A370" t="str">
            <v>MS6900</v>
          </cell>
          <cell r="B370" t="str">
            <v>MS</v>
          </cell>
          <cell r="C370">
            <v>900</v>
          </cell>
          <cell r="D370">
            <v>6</v>
          </cell>
          <cell r="E370">
            <v>2.6239622511437747E-3</v>
          </cell>
        </row>
        <row r="371">
          <cell r="A371" t="str">
            <v>MS61000</v>
          </cell>
          <cell r="B371" t="str">
            <v>MS</v>
          </cell>
          <cell r="C371">
            <v>1000</v>
          </cell>
          <cell r="D371">
            <v>6</v>
          </cell>
          <cell r="E371">
            <v>2.0660503314271768E-3</v>
          </cell>
        </row>
        <row r="372">
          <cell r="A372" t="str">
            <v>MS880</v>
          </cell>
          <cell r="B372" t="str">
            <v>MS</v>
          </cell>
          <cell r="C372">
            <v>80</v>
          </cell>
          <cell r="D372">
            <v>8</v>
          </cell>
          <cell r="E372">
            <v>0.45952654229689427</v>
          </cell>
        </row>
        <row r="373">
          <cell r="A373" t="str">
            <v>MS8100</v>
          </cell>
          <cell r="B373" t="str">
            <v>MS</v>
          </cell>
          <cell r="C373">
            <v>100</v>
          </cell>
          <cell r="D373">
            <v>8</v>
          </cell>
          <cell r="E373">
            <v>0.29085291180687162</v>
          </cell>
        </row>
        <row r="374">
          <cell r="A374" t="str">
            <v>MS8125</v>
          </cell>
          <cell r="B374" t="str">
            <v>MS</v>
          </cell>
          <cell r="C374">
            <v>125</v>
          </cell>
          <cell r="D374">
            <v>8</v>
          </cell>
          <cell r="E374">
            <v>0.18364471503695795</v>
          </cell>
        </row>
        <row r="375">
          <cell r="A375" t="str">
            <v>MS8150</v>
          </cell>
          <cell r="B375" t="str">
            <v>MS</v>
          </cell>
          <cell r="C375">
            <v>150</v>
          </cell>
          <cell r="D375">
            <v>8</v>
          </cell>
          <cell r="E375">
            <v>0.1258623270250655</v>
          </cell>
        </row>
        <row r="376">
          <cell r="A376" t="str">
            <v>MS8200</v>
          </cell>
          <cell r="B376" t="str">
            <v>MS</v>
          </cell>
          <cell r="C376">
            <v>200</v>
          </cell>
          <cell r="D376">
            <v>8</v>
          </cell>
          <cell r="E376">
            <v>6.9025734409838821E-2</v>
          </cell>
        </row>
        <row r="377">
          <cell r="A377" t="str">
            <v>MS8250</v>
          </cell>
          <cell r="B377" t="str">
            <v>MS</v>
          </cell>
          <cell r="C377">
            <v>250</v>
          </cell>
          <cell r="D377">
            <v>8</v>
          </cell>
          <cell r="E377">
            <v>4.3123589856303622E-2</v>
          </cell>
        </row>
        <row r="378">
          <cell r="A378" t="str">
            <v>MS8300</v>
          </cell>
          <cell r="B378" t="str">
            <v>MS</v>
          </cell>
          <cell r="C378">
            <v>300</v>
          </cell>
          <cell r="D378">
            <v>8</v>
          </cell>
          <cell r="E378">
            <v>2.9265675129784442E-2</v>
          </cell>
        </row>
        <row r="379">
          <cell r="A379" t="str">
            <v>MS8350</v>
          </cell>
          <cell r="B379" t="str">
            <v>MS</v>
          </cell>
          <cell r="C379">
            <v>350</v>
          </cell>
          <cell r="D379">
            <v>8</v>
          </cell>
          <cell r="E379">
            <v>2.103346807607382E-2</v>
          </cell>
        </row>
        <row r="380">
          <cell r="A380" t="str">
            <v>MS8400</v>
          </cell>
          <cell r="B380" t="str">
            <v>MS</v>
          </cell>
          <cell r="C380">
            <v>400</v>
          </cell>
          <cell r="D380">
            <v>8</v>
          </cell>
          <cell r="E380">
            <v>1.5767963913301992E-2</v>
          </cell>
        </row>
        <row r="381">
          <cell r="A381" t="str">
            <v>MS8450</v>
          </cell>
          <cell r="B381" t="str">
            <v>MS</v>
          </cell>
          <cell r="C381">
            <v>450</v>
          </cell>
          <cell r="D381">
            <v>8</v>
          </cell>
          <cell r="E381">
            <v>1.2209259470661465E-2</v>
          </cell>
        </row>
        <row r="382">
          <cell r="A382" t="str">
            <v>MS8500</v>
          </cell>
          <cell r="B382" t="str">
            <v>MS</v>
          </cell>
          <cell r="C382">
            <v>500</v>
          </cell>
          <cell r="D382">
            <v>8</v>
          </cell>
          <cell r="E382">
            <v>1.0098140196823273E-2</v>
          </cell>
        </row>
        <row r="383">
          <cell r="A383" t="str">
            <v>MS8600</v>
          </cell>
          <cell r="B383" t="str">
            <v>MS</v>
          </cell>
          <cell r="C383">
            <v>600</v>
          </cell>
          <cell r="D383">
            <v>8</v>
          </cell>
          <cell r="E383">
            <v>6.7925117479099417E-3</v>
          </cell>
        </row>
        <row r="384">
          <cell r="A384" t="str">
            <v>MS8700</v>
          </cell>
          <cell r="B384" t="str">
            <v>MS</v>
          </cell>
          <cell r="C384">
            <v>700</v>
          </cell>
          <cell r="D384">
            <v>8</v>
          </cell>
          <cell r="E384">
            <v>4.8430482808344937E-3</v>
          </cell>
        </row>
        <row r="385">
          <cell r="A385" t="str">
            <v>MS8800</v>
          </cell>
          <cell r="B385" t="str">
            <v>MS</v>
          </cell>
          <cell r="C385">
            <v>800</v>
          </cell>
          <cell r="D385">
            <v>8</v>
          </cell>
          <cell r="E385">
            <v>3.6045692428866012E-3</v>
          </cell>
        </row>
        <row r="386">
          <cell r="A386" t="str">
            <v>MS8900</v>
          </cell>
          <cell r="B386" t="str">
            <v>MS</v>
          </cell>
          <cell r="C386">
            <v>900</v>
          </cell>
          <cell r="D386">
            <v>8</v>
          </cell>
          <cell r="E386">
            <v>2.7728373438349013E-3</v>
          </cell>
        </row>
        <row r="387">
          <cell r="A387" t="str">
            <v>MS81000</v>
          </cell>
          <cell r="B387" t="str">
            <v>MS</v>
          </cell>
          <cell r="C387">
            <v>1000</v>
          </cell>
          <cell r="D387">
            <v>8</v>
          </cell>
          <cell r="E387">
            <v>2.1896576690407276E-3</v>
          </cell>
        </row>
        <row r="388">
          <cell r="A388" t="str">
            <v>MS1080</v>
          </cell>
          <cell r="B388" t="str">
            <v>MS</v>
          </cell>
          <cell r="C388">
            <v>80</v>
          </cell>
          <cell r="D388">
            <v>10</v>
          </cell>
          <cell r="E388">
            <v>0.46370606964042055</v>
          </cell>
        </row>
        <row r="389">
          <cell r="A389" t="str">
            <v>MS10100</v>
          </cell>
          <cell r="B389" t="str">
            <v>MS</v>
          </cell>
          <cell r="C389">
            <v>100</v>
          </cell>
          <cell r="D389">
            <v>10</v>
          </cell>
          <cell r="E389">
            <v>0.29409698707001236</v>
          </cell>
        </row>
        <row r="390">
          <cell r="A390" t="str">
            <v>MS10125</v>
          </cell>
          <cell r="B390" t="str">
            <v>MS</v>
          </cell>
          <cell r="C390">
            <v>125</v>
          </cell>
          <cell r="D390">
            <v>10</v>
          </cell>
          <cell r="E390">
            <v>0.18614586355639784</v>
          </cell>
        </row>
        <row r="391">
          <cell r="A391" t="str">
            <v>MS10150</v>
          </cell>
          <cell r="B391" t="str">
            <v>MS</v>
          </cell>
          <cell r="C391">
            <v>150</v>
          </cell>
          <cell r="D391">
            <v>10</v>
          </cell>
          <cell r="E391">
            <v>0.12787283287045303</v>
          </cell>
        </row>
        <row r="392">
          <cell r="A392" t="str">
            <v>MS10200</v>
          </cell>
          <cell r="B392" t="str">
            <v>MS</v>
          </cell>
          <cell r="C392">
            <v>200</v>
          </cell>
          <cell r="D392">
            <v>10</v>
          </cell>
          <cell r="E392">
            <v>7.0432279543661103E-2</v>
          </cell>
        </row>
        <row r="393">
          <cell r="A393" t="str">
            <v>MS10250</v>
          </cell>
          <cell r="B393" t="str">
            <v>MS</v>
          </cell>
          <cell r="C393">
            <v>250</v>
          </cell>
          <cell r="D393">
            <v>10</v>
          </cell>
          <cell r="E393">
            <v>4.4176470022296847E-2</v>
          </cell>
        </row>
        <row r="394">
          <cell r="A394" t="str">
            <v>MS10300</v>
          </cell>
          <cell r="B394" t="str">
            <v>MS</v>
          </cell>
          <cell r="C394">
            <v>300</v>
          </cell>
          <cell r="D394">
            <v>10</v>
          </cell>
          <cell r="E394">
            <v>3.00889887717684E-2</v>
          </cell>
        </row>
        <row r="395">
          <cell r="A395" t="str">
            <v>MS10350</v>
          </cell>
          <cell r="B395" t="str">
            <v>MS</v>
          </cell>
          <cell r="C395">
            <v>350</v>
          </cell>
          <cell r="D395">
            <v>10</v>
          </cell>
          <cell r="E395">
            <v>2.1697389952903722E-2</v>
          </cell>
        </row>
        <row r="396">
          <cell r="A396" t="str">
            <v>MS10400</v>
          </cell>
          <cell r="B396" t="str">
            <v>MS</v>
          </cell>
          <cell r="C396">
            <v>400</v>
          </cell>
          <cell r="D396">
            <v>10</v>
          </cell>
          <cell r="E396">
            <v>1.6315818057741932E-2</v>
          </cell>
        </row>
        <row r="397">
          <cell r="A397" t="str">
            <v>MS10450</v>
          </cell>
          <cell r="B397" t="str">
            <v>MS</v>
          </cell>
          <cell r="C397">
            <v>450</v>
          </cell>
          <cell r="D397">
            <v>10</v>
          </cell>
          <cell r="E397">
            <v>1.2669531590855564E-2</v>
          </cell>
        </row>
        <row r="398">
          <cell r="A398" t="str">
            <v>MS10500</v>
          </cell>
          <cell r="B398" t="str">
            <v>MS</v>
          </cell>
          <cell r="C398">
            <v>500</v>
          </cell>
          <cell r="D398">
            <v>10</v>
          </cell>
          <cell r="E398">
            <v>1.0386167434530968E-2</v>
          </cell>
        </row>
        <row r="399">
          <cell r="A399" t="str">
            <v>MS10600</v>
          </cell>
          <cell r="B399" t="str">
            <v>MS</v>
          </cell>
          <cell r="C399">
            <v>600</v>
          </cell>
          <cell r="D399">
            <v>10</v>
          </cell>
          <cell r="E399">
            <v>7.0118303827614269E-3</v>
          </cell>
        </row>
        <row r="400">
          <cell r="A400" t="str">
            <v>MS10700</v>
          </cell>
          <cell r="B400" t="str">
            <v>MS</v>
          </cell>
          <cell r="C400">
            <v>700</v>
          </cell>
          <cell r="D400">
            <v>10</v>
          </cell>
          <cell r="E400">
            <v>5.0157040285272545E-3</v>
          </cell>
        </row>
        <row r="401">
          <cell r="A401" t="str">
            <v>MS10800</v>
          </cell>
          <cell r="B401" t="str">
            <v>MS</v>
          </cell>
          <cell r="C401">
            <v>800</v>
          </cell>
          <cell r="D401">
            <v>10</v>
          </cell>
          <cell r="E401">
            <v>3.7439586655367086E-3</v>
          </cell>
        </row>
        <row r="402">
          <cell r="A402" t="str">
            <v>MS10900</v>
          </cell>
          <cell r="B402" t="str">
            <v>MS</v>
          </cell>
          <cell r="C402">
            <v>900</v>
          </cell>
          <cell r="D402">
            <v>10</v>
          </cell>
          <cell r="E402">
            <v>2.8876270297607219E-3</v>
          </cell>
        </row>
        <row r="403">
          <cell r="A403" t="str">
            <v>MS101000</v>
          </cell>
          <cell r="B403" t="str">
            <v>MS</v>
          </cell>
          <cell r="C403">
            <v>1000</v>
          </cell>
          <cell r="D403">
            <v>10</v>
          </cell>
          <cell r="E403">
            <v>2.2857263916803332E-3</v>
          </cell>
        </row>
      </sheetData>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pm40"/>
      <sheetName val="SRs"/>
      <sheetName val="SRs-Rev"/>
      <sheetName val="PM 70"/>
      <sheetName val="GM 70"/>
      <sheetName val="PM estimate"/>
      <sheetName val="PM 40rev  (2)"/>
      <sheetName val="data"/>
      <sheetName val="PM 40rev "/>
      <sheetName val="GM estimate"/>
      <sheetName val="GM 40 OHs AC (2)"/>
      <sheetName val="GM 40 OHs AC"/>
      <sheetName val="GM 40 OHs"/>
      <sheetName val="GM 40 "/>
      <sheetName val="detls"/>
      <sheetName val="pm pipes"/>
      <sheetName val="gm pipes"/>
      <sheetName val="altr"/>
      <sheetName val="0000000000000"/>
      <sheetName val="GM 40  (AC) (2)"/>
      <sheetName val="GM 40  (AC)"/>
      <sheetName val="PM (2)"/>
      <sheetName val="PM"/>
      <sheetName val="population"/>
      <sheetName val="POP "/>
      <sheetName val="HYD STA M"/>
      <sheetName val="PVC_dia"/>
      <sheetName val="pm-est (NEW)"/>
      <sheetName val="hyd "/>
      <sheetName val="maint est"/>
      <sheetName val="pm-est (2)"/>
      <sheetName val="GM-est"/>
      <sheetName val="pm-est"/>
      <sheetName val="OHSR GOT"/>
      <sheetName val="Sheet3"/>
      <sheetName val="Original"/>
      <sheetName val="proposal"/>
      <sheetName val="proforma"/>
      <sheetName val="1000000000000"/>
      <sheetName val="2000000000000"/>
      <sheetName val="3000000000000"/>
      <sheetName val="4000000000000"/>
      <sheetName val="5000000000000"/>
      <sheetName val="6000000000000"/>
      <sheetName val="7000000000000"/>
      <sheetName val="8000000000000"/>
      <sheetName val="9000000000000"/>
      <sheetName val="a000000000000"/>
      <sheetName val="b000000000000"/>
      <sheetName val="c000000000000"/>
      <sheetName val="d000000000000"/>
      <sheetName val="e000000000000"/>
      <sheetName val="f000000000000"/>
      <sheetName val="g000000000000"/>
      <sheetName val="h000000000000"/>
      <sheetName val="Sheet1"/>
      <sheetName val="econ pm"/>
      <sheetName val="Infiltration well (2)"/>
      <sheetName val="STATUS"/>
      <sheetName val="Pop"/>
      <sheetName val="F.slip"/>
      <sheetName val="General  AB"/>
      <sheetName val="ABS(A&amp;B)"/>
      <sheetName val="OHSR 10KL 6.30"/>
      <sheetName val="OHSR10 kl11.5"/>
      <sheetName val="OHSR20kl6.3"/>
      <sheetName val="OHSR15 kl 6.3"/>
      <sheetName val="OHSR20KL8.3"/>
      <sheetName val="OHSR 40 9.45"/>
      <sheetName val="OHSR60 9.45"/>
      <sheetName val="OHBR40-det.est"/>
      <sheetName val="GLSR10"/>
      <sheetName val="SSR"/>
      <sheetName val="Hydraulic design"/>
      <sheetName val="cw 110kl"/>
      <sheetName val="sp dis"/>
      <sheetName val="Det-sp dis"/>
      <sheetName val="PH 6x4"/>
      <sheetName val="WMqrts"/>
      <sheetName val="road"/>
      <sheetName val="lead_data"/>
      <sheetName val="cWALLS"/>
      <sheetName val="diff steel qty"/>
      <sheetName val="Pmest-2"/>
      <sheetName val="PMest-1"/>
      <sheetName val="ABSTRACT"/>
      <sheetName val="GMest2"/>
      <sheetName val="GMest phase1"/>
      <sheetName val="GMest"/>
      <sheetName val="grp"/>
      <sheetName val="psc"/>
      <sheetName val="HDPE"/>
      <sheetName val="pvc"/>
      <sheetName val="CI"/>
      <sheetName val="DI"/>
      <sheetName val="ewelj "/>
      <sheetName val="EW,L &amp;J_pipes"/>
      <sheetName val="DI_on pedestals"/>
      <sheetName val="HDPE sluice valve"/>
      <sheetName val="PVC sluice val)"/>
      <sheetName val="Scour all"/>
      <sheetName val="PVC Air valves"/>
      <sheetName val="valves"/>
      <sheetName val="Valve Chambers"/>
      <sheetName val="O&amp;M"/>
      <sheetName val="annualmai "/>
      <sheetName val="Sheet1 (2)"/>
      <sheetName val="HYDRAULIC SSTATEMENT"/>
      <sheetName val="WATER-HAMMER"/>
      <sheetName val="t_prsr"/>
      <sheetName val="wh"/>
      <sheetName val="mcon pm"/>
      <sheetName val="hdpe_basic"/>
      <sheetName val="pvc_basic"/>
      <sheetName val="v"/>
      <sheetName val="r"/>
      <sheetName val="PH 6x"/>
      <sheetName val="PM_70"/>
      <sheetName val="GM_70"/>
      <sheetName val="PM_estimate"/>
      <sheetName val="PM_40rev__(2)"/>
      <sheetName val="PM_40rev_"/>
      <sheetName val="GM_estimate"/>
      <sheetName val="GM_40_OHs_AC_(2)"/>
      <sheetName val="GM_40_OHs_AC"/>
      <sheetName val="GM_40_OHs"/>
      <sheetName val="GM_40_"/>
      <sheetName val="pm_pipes"/>
      <sheetName val="gm_pipes"/>
      <sheetName val="GM_40__(AC)_(2)"/>
      <sheetName val="GM_40__(AC)"/>
      <sheetName val="PM_(2)"/>
      <sheetName val="POP_"/>
      <sheetName val="HYD_STA_M"/>
      <sheetName val="pm-est_(NEW)"/>
      <sheetName val="hyd_"/>
      <sheetName val="maint_est"/>
      <sheetName val="pm-est_(2)"/>
      <sheetName val="OHSR_GOT"/>
      <sheetName val="econ_pm"/>
      <sheetName val="Infiltration_well_(2)"/>
      <sheetName val="F_slip"/>
      <sheetName val="General__AB"/>
      <sheetName val="OHSR_10KL_6_30"/>
      <sheetName val="OHSR10_kl11_5"/>
      <sheetName val="OHSR20kl6_3"/>
      <sheetName val="OHSR15_kl_6_3"/>
      <sheetName val="OHSR20KL8_3"/>
      <sheetName val="OHSR_40_9_45"/>
      <sheetName val="OHSR60_9_45"/>
      <sheetName val="OHBR40-det_est"/>
      <sheetName val="Hydraulic_design"/>
      <sheetName val="cw_110kl"/>
      <sheetName val="sp_dis"/>
      <sheetName val="Det-sp_dis"/>
      <sheetName val="PH_6x4"/>
      <sheetName val="diff_steel_qty"/>
      <sheetName val="GMest_phase1"/>
      <sheetName val="ewelj_"/>
      <sheetName val="EW,L_&amp;J_pipes"/>
      <sheetName val="DI_on_pedestals"/>
      <sheetName val="HDPE_sluice_valve"/>
      <sheetName val="PVC_sluice_val)"/>
      <sheetName val="Scour_all"/>
      <sheetName val="PVC_Air_valves"/>
      <sheetName val="Valve_Chambers"/>
      <sheetName val="annualmai_"/>
      <sheetName val="Sheet1_(2)"/>
      <sheetName val="HYDRAULIC_SSTATEMENT"/>
      <sheetName val="GA"/>
      <sheetName val="Labour"/>
      <sheetName val="RMR"/>
      <sheetName val="pvc-pipe-rates"/>
      <sheetName val="Sheet2"/>
      <sheetName val="sand"/>
      <sheetName val="stone"/>
      <sheetName val="index"/>
      <sheetName val="Plant &amp;  Machinery"/>
      <sheetName val="R_Det"/>
      <sheetName val="Lead"/>
      <sheetName val="Material"/>
      <sheetName val="other rates"/>
      <sheetName val="Levels"/>
      <sheetName val="l"/>
      <sheetName val="Road data"/>
      <sheetName val="data existing_do not delete"/>
      <sheetName val="m"/>
      <sheetName val="sch"/>
      <sheetName val="Data.F8.BTR"/>
      <sheetName val="Global factors"/>
      <sheetName val="Iocount"/>
      <sheetName val="Lead statement"/>
      <sheetName val="LEAD-c"/>
      <sheetName val="other rates-C"/>
      <sheetName val="DISCHARGE"/>
      <sheetName val="m1"/>
      <sheetName val="ESTIMATE"/>
      <sheetName val="mcon_pm"/>
      <sheetName val="PM_701"/>
      <sheetName val="GM_701"/>
      <sheetName val="PM_estimate1"/>
      <sheetName val="PM_40rev__(2)1"/>
      <sheetName val="PM_40rev_1"/>
      <sheetName val="GM_estimate1"/>
      <sheetName val="GM_40_OHs_AC_(2)1"/>
      <sheetName val="GM_40_OHs_AC1"/>
      <sheetName val="GM_40_OHs1"/>
      <sheetName val="GM_40_1"/>
      <sheetName val="pm_pipes1"/>
      <sheetName val="gm_pipes1"/>
      <sheetName val="GM_40__(AC)_(2)1"/>
      <sheetName val="GM_40__(AC)1"/>
      <sheetName val="PM_(2)1"/>
      <sheetName val="POP_1"/>
      <sheetName val="HYD_STA_M1"/>
      <sheetName val="pm-est_(NEW)1"/>
      <sheetName val="hyd_1"/>
      <sheetName val="maint_est1"/>
      <sheetName val="pm-est_(2)1"/>
      <sheetName val="OHSR_GOT1"/>
      <sheetName val="econ_pm1"/>
      <sheetName val="Infiltration_well_(2)1"/>
      <sheetName val="F_slip1"/>
      <sheetName val="General__AB1"/>
      <sheetName val="OHSR_10KL_6_301"/>
      <sheetName val="OHSR10_kl11_51"/>
      <sheetName val="OHSR20kl6_31"/>
      <sheetName val="OHSR15_kl_6_31"/>
      <sheetName val="OHSR20KL8_31"/>
      <sheetName val="OHSR_40_9_451"/>
      <sheetName val="OHSR60_9_451"/>
      <sheetName val="OHBR40-det_est1"/>
      <sheetName val="Hydraulic_design1"/>
      <sheetName val="cw_110kl1"/>
      <sheetName val="sp_dis1"/>
      <sheetName val="Det-sp_dis1"/>
      <sheetName val="PH_6x41"/>
      <sheetName val="diff_steel_qty1"/>
      <sheetName val="GMest_phase11"/>
      <sheetName val="ewelj_1"/>
      <sheetName val="EW,L_&amp;J_pipes1"/>
      <sheetName val="DI_on_pedestals1"/>
      <sheetName val="HDPE_sluice_valve1"/>
      <sheetName val="PVC_sluice_val)1"/>
      <sheetName val="Scour_all1"/>
      <sheetName val="PVC_Air_valves1"/>
      <sheetName val="Valve_Chambers1"/>
      <sheetName val="annualmai_1"/>
      <sheetName val="Sheet1_(2)1"/>
      <sheetName val="HYDRAULIC_SSTATEMENT1"/>
      <sheetName val="mcon_pm1"/>
      <sheetName val="Data_"/>
      <sheetName val="ssr-rates"/>
      <sheetName val="bASICDATA"/>
      <sheetName val="Data-Road "/>
      <sheetName val="DATA-CD "/>
      <sheetName val="PM_705"/>
      <sheetName val="GM_705"/>
      <sheetName val="PM_estimate5"/>
      <sheetName val="PM_40rev__(2)5"/>
      <sheetName val="PM_40rev_5"/>
      <sheetName val="GM_estimate5"/>
      <sheetName val="GM_40_OHs_AC_(2)5"/>
      <sheetName val="GM_40_OHs_AC5"/>
      <sheetName val="GM_40_OHs5"/>
      <sheetName val="GM_40_5"/>
      <sheetName val="pm_pipes5"/>
      <sheetName val="gm_pipes5"/>
      <sheetName val="GM_40__(AC)_(2)5"/>
      <sheetName val="GM_40__(AC)5"/>
      <sheetName val="PM_(2)5"/>
      <sheetName val="POP_5"/>
      <sheetName val="HYD_STA_M5"/>
      <sheetName val="pm-est_(NEW)5"/>
      <sheetName val="hyd_5"/>
      <sheetName val="maint_est5"/>
      <sheetName val="pm-est_(2)5"/>
      <sheetName val="OHSR_GOT5"/>
      <sheetName val="econ_pm5"/>
      <sheetName val="Infiltration_well_(2)5"/>
      <sheetName val="F_slip5"/>
      <sheetName val="General__AB5"/>
      <sheetName val="OHSR_10KL_6_305"/>
      <sheetName val="OHSR10_kl11_55"/>
      <sheetName val="OHSR20kl6_35"/>
      <sheetName val="OHSR15_kl_6_35"/>
      <sheetName val="OHSR20KL8_35"/>
      <sheetName val="OHSR_40_9_455"/>
      <sheetName val="OHSR60_9_455"/>
      <sheetName val="OHBR40-det_est5"/>
      <sheetName val="Hydraulic_design5"/>
      <sheetName val="cw_110kl5"/>
      <sheetName val="sp_dis5"/>
      <sheetName val="Det-sp_dis5"/>
      <sheetName val="PH_6x45"/>
      <sheetName val="diff_steel_qty5"/>
      <sheetName val="GMest_phase15"/>
      <sheetName val="ewelj_5"/>
      <sheetName val="EW,L_&amp;J_pipes5"/>
      <sheetName val="DI_on_pedestals5"/>
      <sheetName val="HDPE_sluice_valve5"/>
      <sheetName val="PVC_sluice_val)5"/>
      <sheetName val="Scour_all5"/>
      <sheetName val="PVC_Air_valves5"/>
      <sheetName val="Valve_Chambers5"/>
      <sheetName val="annualmai_5"/>
      <sheetName val="Sheet1_(2)5"/>
      <sheetName val="HYDRAULIC_SSTATEMENT5"/>
      <sheetName val="mcon_pm5"/>
      <sheetName val="PH_6x2"/>
      <sheetName val="Plant_&amp;__Machinery2"/>
      <sheetName val="Road_data2"/>
      <sheetName val="data_existing_do_not_delete2"/>
      <sheetName val="Data_F8_BTR2"/>
      <sheetName val="Global_factors2"/>
      <sheetName val="PM_703"/>
      <sheetName val="GM_703"/>
      <sheetName val="PM_estimate3"/>
      <sheetName val="PM_40rev__(2)3"/>
      <sheetName val="PM_40rev_3"/>
      <sheetName val="GM_estimate3"/>
      <sheetName val="GM_40_OHs_AC_(2)3"/>
      <sheetName val="GM_40_OHs_AC3"/>
      <sheetName val="GM_40_OHs3"/>
      <sheetName val="GM_40_3"/>
      <sheetName val="pm_pipes3"/>
      <sheetName val="gm_pipes3"/>
      <sheetName val="GM_40__(AC)_(2)3"/>
      <sheetName val="GM_40__(AC)3"/>
      <sheetName val="PM_(2)3"/>
      <sheetName val="POP_3"/>
      <sheetName val="HYD_STA_M3"/>
      <sheetName val="pm-est_(NEW)3"/>
      <sheetName val="hyd_3"/>
      <sheetName val="maint_est3"/>
      <sheetName val="pm-est_(2)3"/>
      <sheetName val="OHSR_GOT3"/>
      <sheetName val="econ_pm3"/>
      <sheetName val="Infiltration_well_(2)3"/>
      <sheetName val="F_slip3"/>
      <sheetName val="General__AB3"/>
      <sheetName val="OHSR_10KL_6_303"/>
      <sheetName val="OHSR10_kl11_53"/>
      <sheetName val="OHSR20kl6_33"/>
      <sheetName val="OHSR15_kl_6_33"/>
      <sheetName val="OHSR20KL8_33"/>
      <sheetName val="OHSR_40_9_453"/>
      <sheetName val="OHSR60_9_453"/>
      <sheetName val="OHBR40-det_est3"/>
      <sheetName val="Hydraulic_design3"/>
      <sheetName val="cw_110kl3"/>
      <sheetName val="sp_dis3"/>
      <sheetName val="Det-sp_dis3"/>
      <sheetName val="PH_6x43"/>
      <sheetName val="diff_steel_qty3"/>
      <sheetName val="GMest_phase13"/>
      <sheetName val="ewelj_3"/>
      <sheetName val="EW,L_&amp;J_pipes3"/>
      <sheetName val="DI_on_pedestals3"/>
      <sheetName val="HDPE_sluice_valve3"/>
      <sheetName val="PVC_sluice_val)3"/>
      <sheetName val="Scour_all3"/>
      <sheetName val="PVC_Air_valves3"/>
      <sheetName val="Valve_Chambers3"/>
      <sheetName val="annualmai_3"/>
      <sheetName val="Sheet1_(2)3"/>
      <sheetName val="HYDRAULIC_SSTATEMENT3"/>
      <sheetName val="mcon_pm3"/>
      <sheetName val="PM_702"/>
      <sheetName val="GM_702"/>
      <sheetName val="PM_estimate2"/>
      <sheetName val="PM_40rev__(2)2"/>
      <sheetName val="PM_40rev_2"/>
      <sheetName val="GM_estimate2"/>
      <sheetName val="GM_40_OHs_AC_(2)2"/>
      <sheetName val="GM_40_OHs_AC2"/>
      <sheetName val="GM_40_OHs2"/>
      <sheetName val="GM_40_2"/>
      <sheetName val="pm_pipes2"/>
      <sheetName val="gm_pipes2"/>
      <sheetName val="GM_40__(AC)_(2)2"/>
      <sheetName val="GM_40__(AC)2"/>
      <sheetName val="PM_(2)2"/>
      <sheetName val="POP_2"/>
      <sheetName val="HYD_STA_M2"/>
      <sheetName val="pm-est_(NEW)2"/>
      <sheetName val="hyd_2"/>
      <sheetName val="maint_est2"/>
      <sheetName val="pm-est_(2)2"/>
      <sheetName val="OHSR_GOT2"/>
      <sheetName val="econ_pm2"/>
      <sheetName val="Infiltration_well_(2)2"/>
      <sheetName val="F_slip2"/>
      <sheetName val="General__AB2"/>
      <sheetName val="OHSR_10KL_6_302"/>
      <sheetName val="OHSR10_kl11_52"/>
      <sheetName val="OHSR20kl6_32"/>
      <sheetName val="OHSR15_kl_6_32"/>
      <sheetName val="OHSR20KL8_32"/>
      <sheetName val="OHSR_40_9_452"/>
      <sheetName val="OHSR60_9_452"/>
      <sheetName val="OHBR40-det_est2"/>
      <sheetName val="Hydraulic_design2"/>
      <sheetName val="cw_110kl2"/>
      <sheetName val="sp_dis2"/>
      <sheetName val="Det-sp_dis2"/>
      <sheetName val="PH_6x42"/>
      <sheetName val="diff_steel_qty2"/>
      <sheetName val="GMest_phase12"/>
      <sheetName val="ewelj_2"/>
      <sheetName val="EW,L_&amp;J_pipes2"/>
      <sheetName val="DI_on_pedestals2"/>
      <sheetName val="HDPE_sluice_valve2"/>
      <sheetName val="PVC_sluice_val)2"/>
      <sheetName val="Scour_all2"/>
      <sheetName val="PVC_Air_valves2"/>
      <sheetName val="Valve_Chambers2"/>
      <sheetName val="annualmai_2"/>
      <sheetName val="Sheet1_(2)2"/>
      <sheetName val="HYDRAULIC_SSTATEMENT2"/>
      <sheetName val="mcon_pm2"/>
      <sheetName val="PH_6x"/>
      <sheetName val="Plant_&amp;__Machinery"/>
      <sheetName val="Road_data"/>
      <sheetName val="data_existing_do_not_delete"/>
      <sheetName val="Data_F8_BTR"/>
      <sheetName val="Global_factors"/>
      <sheetName val="PM_704"/>
      <sheetName val="GM_704"/>
      <sheetName val="PM_estimate4"/>
      <sheetName val="PM_40rev__(2)4"/>
      <sheetName val="PM_40rev_4"/>
      <sheetName val="GM_estimate4"/>
      <sheetName val="GM_40_OHs_AC_(2)4"/>
      <sheetName val="GM_40_OHs_AC4"/>
      <sheetName val="GM_40_OHs4"/>
      <sheetName val="GM_40_4"/>
      <sheetName val="pm_pipes4"/>
      <sheetName val="gm_pipes4"/>
      <sheetName val="GM_40__(AC)_(2)4"/>
      <sheetName val="GM_40__(AC)4"/>
      <sheetName val="PM_(2)4"/>
      <sheetName val="POP_4"/>
      <sheetName val="HYD_STA_M4"/>
      <sheetName val="pm-est_(NEW)4"/>
      <sheetName val="hyd_4"/>
      <sheetName val="maint_est4"/>
      <sheetName val="pm-est_(2)4"/>
      <sheetName val="OHSR_GOT4"/>
      <sheetName val="econ_pm4"/>
      <sheetName val="Infiltration_well_(2)4"/>
      <sheetName val="F_slip4"/>
      <sheetName val="General__AB4"/>
      <sheetName val="OHSR_10KL_6_304"/>
      <sheetName val="OHSR10_kl11_54"/>
      <sheetName val="OHSR20kl6_34"/>
      <sheetName val="OHSR15_kl_6_34"/>
      <sheetName val="OHSR20KL8_34"/>
      <sheetName val="OHSR_40_9_454"/>
      <sheetName val="OHSR60_9_454"/>
      <sheetName val="OHBR40-det_est4"/>
      <sheetName val="Hydraulic_design4"/>
      <sheetName val="cw_110kl4"/>
      <sheetName val="sp_dis4"/>
      <sheetName val="Det-sp_dis4"/>
      <sheetName val="PH_6x44"/>
      <sheetName val="diff_steel_qty4"/>
      <sheetName val="GMest_phase14"/>
      <sheetName val="ewelj_4"/>
      <sheetName val="EW,L_&amp;J_pipes4"/>
      <sheetName val="DI_on_pedestals4"/>
      <sheetName val="HDPE_sluice_valve4"/>
      <sheetName val="PVC_sluice_val)4"/>
      <sheetName val="Scour_all4"/>
      <sheetName val="PVC_Air_valves4"/>
      <sheetName val="Valve_Chambers4"/>
      <sheetName val="annualmai_4"/>
      <sheetName val="Sheet1_(2)4"/>
      <sheetName val="HYDRAULIC_SSTATEMENT4"/>
      <sheetName val="mcon_pm4"/>
      <sheetName val="PH_6x1"/>
      <sheetName val="Plant_&amp;__Machinery1"/>
      <sheetName val="Road_data1"/>
      <sheetName val="data_existing_do_not_delete1"/>
      <sheetName val="Data_F8_BTR1"/>
      <sheetName val="Global_factors1"/>
      <sheetName val="Main sheet"/>
      <sheetName val="Nspt-smp-final-ORIGINAL"/>
      <sheetName val="int-Dia-pvc"/>
      <sheetName val="CD Data"/>
      <sheetName val="Data o"/>
      <sheetName val="Leads"/>
      <sheetName val="id"/>
      <sheetName val="General"/>
      <sheetName val="Conveyance"/>
      <sheetName val="CLEAR OVER FALL DROP"/>
      <sheetName val="TELs"/>
      <sheetName val="Bitumen trunk"/>
      <sheetName val="Feeder"/>
      <sheetName val="R99 etc"/>
      <sheetName val="Trunk unpaved"/>
      <sheetName val="LEAD (2)"/>
      <sheetName val="RATES"/>
      <sheetName val="MRATES"/>
      <sheetName val="sp di"/>
      <sheetName val="EDWise"/>
      <sheetName val="PVC weights"/>
      <sheetName val="JAWAHAR-hyd-original"/>
      <sheetName val="mas_hab"/>
      <sheetName val="sp dip"/>
      <sheetName val="hdpe weights"/>
      <sheetName val="PRICE BID"/>
      <sheetName val="Input &amp; Calculations"/>
      <sheetName val="Design"/>
      <sheetName val="REL"/>
      <sheetName val="RA-markate"/>
      <sheetName val="prs"/>
      <sheetName val="Schdl"/>
      <sheetName val="Longitudinal"/>
      <sheetName val="Title"/>
      <sheetName val="Note"/>
      <sheetName val="DATA_PRG"/>
      <sheetName val="AUTDATA"/>
      <sheetName val="Mortars"/>
      <sheetName val=" data sheet "/>
      <sheetName val="Cul_detail"/>
      <sheetName val="Coversheet"/>
      <sheetName val="Rate"/>
      <sheetName val="segments-details"/>
      <sheetName val="economic PM"/>
      <sheetName val="Sheet9"/>
      <sheetName val="DATA SHEET"/>
      <sheetName val="Measurment"/>
      <sheetName val="MPR_PA_1"/>
      <sheetName val="KGP.hyd rev GLBR"/>
      <sheetName val="Valves workable"/>
      <sheetName val="Rates_PVC"/>
      <sheetName val="coverpage"/>
      <sheetName val="PM&amp;GM"/>
      <sheetName val="input"/>
      <sheetName val="Leads Entry"/>
      <sheetName val="Gen Abs"/>
      <sheetName val="Road Detail Est."/>
      <sheetName val="Data_Base"/>
      <sheetName val="OPD-Civil"/>
      <sheetName val="Sheet5"/>
      <sheetName val="int-Dia"/>
      <sheetName val="int-Dia-hdpe"/>
      <sheetName val="Usage"/>
      <sheetName val="Common "/>
      <sheetName val="PRELIM5"/>
      <sheetName val="wh_data_R"/>
      <sheetName val="BM-HOOP"/>
      <sheetName val="Detailed"/>
      <sheetName val="hdpe-int-Dia"/>
      <sheetName val="E-Table"/>
      <sheetName val="pvc-int-Dia"/>
      <sheetName val="Work_sheet"/>
      <sheetName val="CPHEEO"/>
      <sheetName val="wh_data"/>
      <sheetName val="Habcodes"/>
      <sheetName val="habs-list"/>
      <sheetName val="abs road"/>
      <sheetName val="water-hammar-strenght"/>
      <sheetName val="mlead"/>
      <sheetName val="BWSCPlt"/>
      <sheetName val="G.R.P"/>
      <sheetName val="PSC REVISED"/>
      <sheetName val="Staff Acco."/>
      <sheetName val="AV-HDPE"/>
      <sheetName val="Di_gate-HDPE"/>
      <sheetName val="Boq"/>
      <sheetName val="Lead statement ss5"/>
      <sheetName val="Gnl_Abstrct"/>
      <sheetName val="sectorwise"/>
      <sheetName val="rdamdata"/>
      <sheetName val="hdpe-rates"/>
      <sheetName val="pvc-rates"/>
      <sheetName val="lead-st"/>
      <sheetName val="AV-PVC"/>
      <sheetName val="DIgate_PVC "/>
      <sheetName val="DI gate-DI"/>
      <sheetName val="HDPE-pipe-rates"/>
      <sheetName val="sp_dip"/>
      <sheetName val="hdpe_weights"/>
      <sheetName val="other_rates"/>
      <sheetName val="SUMP1420KL@HW"/>
      <sheetName val="WORK DONE"/>
      <sheetName val="p&amp;m"/>
      <sheetName val="Boq - Flats"/>
      <sheetName val="BTR"/>
      <sheetName val="HS 1"/>
      <sheetName val="Bill_amt_qty_cc_1"/>
      <sheetName val="ws-abs"/>
      <sheetName val="Lead  RATES"/>
      <sheetName val="quarry"/>
      <sheetName val="Mp-team 1"/>
      <sheetName val="capacity-ohsrs"/>
      <sheetName val="PH Sanctioned"/>
      <sheetName val="7.Ben reg"/>
      <sheetName val="ew OG machine manual"/>
      <sheetName val="PVC mac"/>
      <sheetName val="Gravity Main-Jukkal"/>
      <sheetName val="LEAD S 10-11"/>
      <sheetName val="HS final-2"/>
      <sheetName val="co_5"/>
      <sheetName val="Hydraulic Design (Pipe)"/>
      <sheetName val="Basic Rates"/>
      <sheetName val="S By pass estimate"/>
      <sheetName val="Line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26">
          <cell r="A26">
            <v>63</v>
          </cell>
          <cell r="B26">
            <v>0</v>
          </cell>
          <cell r="C26">
            <v>1.9</v>
          </cell>
          <cell r="D26">
            <v>2.7</v>
          </cell>
          <cell r="E26">
            <v>4.0999999999999996</v>
          </cell>
          <cell r="F26">
            <v>0</v>
          </cell>
          <cell r="G26">
            <v>0</v>
          </cell>
          <cell r="H26">
            <v>59.2</v>
          </cell>
          <cell r="I26">
            <v>57.6</v>
          </cell>
          <cell r="J26">
            <v>0</v>
          </cell>
          <cell r="K26">
            <v>54.8</v>
          </cell>
          <cell r="L26">
            <v>0</v>
          </cell>
          <cell r="M26">
            <v>0.18543008999999999</v>
          </cell>
          <cell r="N26">
            <v>0.23433302</v>
          </cell>
          <cell r="O26">
            <v>0.32104532000000002</v>
          </cell>
        </row>
        <row r="27">
          <cell r="A27">
            <v>75</v>
          </cell>
          <cell r="B27">
            <v>0</v>
          </cell>
          <cell r="C27">
            <v>2.2000000000000002</v>
          </cell>
          <cell r="D27">
            <v>3.1</v>
          </cell>
          <cell r="E27">
            <v>4.9000000000000004</v>
          </cell>
          <cell r="F27">
            <v>0</v>
          </cell>
          <cell r="G27">
            <v>0</v>
          </cell>
          <cell r="H27">
            <v>70.599999999999994</v>
          </cell>
          <cell r="I27">
            <v>68.8</v>
          </cell>
          <cell r="J27">
            <v>0</v>
          </cell>
          <cell r="K27">
            <v>65.2</v>
          </cell>
          <cell r="L27">
            <v>0</v>
          </cell>
          <cell r="M27">
            <v>0.12855473000000001</v>
          </cell>
          <cell r="N27">
            <v>0.16123288999999999</v>
          </cell>
          <cell r="O27">
            <v>0.22725295000000001</v>
          </cell>
        </row>
        <row r="28">
          <cell r="A28">
            <v>90</v>
          </cell>
          <cell r="B28">
            <v>0</v>
          </cell>
          <cell r="C28">
            <v>2.6</v>
          </cell>
          <cell r="D28">
            <v>3.7</v>
          </cell>
          <cell r="E28">
            <v>5.7</v>
          </cell>
          <cell r="F28">
            <v>0</v>
          </cell>
          <cell r="G28">
            <v>0</v>
          </cell>
          <cell r="H28">
            <v>84.8</v>
          </cell>
          <cell r="I28">
            <v>82.6</v>
          </cell>
          <cell r="J28">
            <v>0</v>
          </cell>
          <cell r="K28">
            <v>78.599999999999994</v>
          </cell>
          <cell r="L28">
            <v>0</v>
          </cell>
          <cell r="M28">
            <v>8.8417140000000005E-2</v>
          </cell>
          <cell r="N28">
            <v>0.11155078</v>
          </cell>
          <cell r="O28">
            <v>0.15387228999999999</v>
          </cell>
        </row>
        <row r="29">
          <cell r="A29">
            <v>110</v>
          </cell>
          <cell r="B29">
            <v>0</v>
          </cell>
          <cell r="C29">
            <v>3</v>
          </cell>
          <cell r="D29">
            <v>4.3</v>
          </cell>
          <cell r="E29">
            <v>7.1</v>
          </cell>
          <cell r="F29">
            <v>0</v>
          </cell>
          <cell r="G29">
            <v>0</v>
          </cell>
          <cell r="H29">
            <v>104</v>
          </cell>
          <cell r="I29">
            <v>101.4</v>
          </cell>
          <cell r="J29">
            <v>0</v>
          </cell>
          <cell r="K29">
            <v>95.8</v>
          </cell>
          <cell r="L29">
            <v>0</v>
          </cell>
          <cell r="M29">
            <v>5.7090519999999999E-2</v>
          </cell>
          <cell r="N29">
            <v>7.2138649999999999E-2</v>
          </cell>
          <cell r="O29">
            <v>0.10460234</v>
          </cell>
        </row>
        <row r="30">
          <cell r="A30">
            <v>125</v>
          </cell>
          <cell r="B30">
            <v>0</v>
          </cell>
          <cell r="C30">
            <v>3.4</v>
          </cell>
          <cell r="D30">
            <v>5</v>
          </cell>
          <cell r="E30">
            <v>8</v>
          </cell>
          <cell r="F30">
            <v>0</v>
          </cell>
          <cell r="G30">
            <v>0</v>
          </cell>
          <cell r="H30">
            <v>118.2</v>
          </cell>
          <cell r="I30">
            <v>115</v>
          </cell>
          <cell r="J30">
            <v>0</v>
          </cell>
          <cell r="K30">
            <v>109</v>
          </cell>
          <cell r="L30">
            <v>0</v>
          </cell>
          <cell r="M30">
            <v>4.4137429999999998E-2</v>
          </cell>
          <cell r="N30">
            <v>5.6748119999999999E-2</v>
          </cell>
          <cell r="O30">
            <v>8.0446829999999997E-2</v>
          </cell>
        </row>
        <row r="31">
          <cell r="A31">
            <v>140</v>
          </cell>
          <cell r="B31">
            <v>0</v>
          </cell>
          <cell r="C31">
            <v>3.8</v>
          </cell>
          <cell r="D31">
            <v>5.5</v>
          </cell>
          <cell r="E31">
            <v>8.9</v>
          </cell>
          <cell r="F31">
            <v>0</v>
          </cell>
          <cell r="G31">
            <v>0</v>
          </cell>
          <cell r="H31">
            <v>132.4</v>
          </cell>
          <cell r="I31">
            <v>129</v>
          </cell>
          <cell r="J31">
            <v>0</v>
          </cell>
          <cell r="K31">
            <v>122.2</v>
          </cell>
          <cell r="L31">
            <v>0</v>
          </cell>
          <cell r="M31">
            <v>3.5140060000000001E-2</v>
          </cell>
          <cell r="N31">
            <v>4.4685620000000002E-2</v>
          </cell>
          <cell r="O31">
            <v>6.3783359999999997E-2</v>
          </cell>
        </row>
        <row r="32">
          <cell r="A32">
            <v>160</v>
          </cell>
          <cell r="B32">
            <v>0</v>
          </cell>
          <cell r="C32">
            <v>4.3</v>
          </cell>
          <cell r="D32">
            <v>6.2</v>
          </cell>
          <cell r="E32">
            <v>10.199999999999999</v>
          </cell>
          <cell r="F32">
            <v>0</v>
          </cell>
          <cell r="G32">
            <v>0</v>
          </cell>
          <cell r="H32">
            <v>151.4</v>
          </cell>
          <cell r="I32">
            <v>147.6</v>
          </cell>
          <cell r="J32">
            <v>0</v>
          </cell>
          <cell r="K32">
            <v>139.6</v>
          </cell>
          <cell r="L32">
            <v>0</v>
          </cell>
          <cell r="M32">
            <v>2.6738720000000001E-2</v>
          </cell>
          <cell r="N32">
            <v>3.389437E-2</v>
          </cell>
          <cell r="O32">
            <v>4.8945219999999998E-2</v>
          </cell>
        </row>
        <row r="33">
          <cell r="A33">
            <v>180</v>
          </cell>
          <cell r="B33">
            <v>0</v>
          </cell>
          <cell r="C33">
            <v>4.9000000000000004</v>
          </cell>
          <cell r="D33">
            <v>7.1</v>
          </cell>
          <cell r="E33">
            <v>11.4</v>
          </cell>
          <cell r="F33">
            <v>0</v>
          </cell>
          <cell r="G33">
            <v>0</v>
          </cell>
          <cell r="H33">
            <v>170.2</v>
          </cell>
          <cell r="I33">
            <v>165.8</v>
          </cell>
          <cell r="J33">
            <v>0</v>
          </cell>
          <cell r="K33">
            <v>157.19999999999999</v>
          </cell>
          <cell r="L33">
            <v>0</v>
          </cell>
          <cell r="M33">
            <v>2.1296240000000001E-2</v>
          </cell>
          <cell r="N33">
            <v>2.7106479999999999E-2</v>
          </cell>
          <cell r="O33">
            <v>3.846807E-2</v>
          </cell>
        </row>
        <row r="34">
          <cell r="A34">
            <v>200</v>
          </cell>
          <cell r="B34">
            <v>0</v>
          </cell>
          <cell r="C34">
            <v>5.3</v>
          </cell>
          <cell r="D34">
            <v>7.9</v>
          </cell>
          <cell r="E34">
            <v>12.7</v>
          </cell>
          <cell r="F34">
            <v>0</v>
          </cell>
          <cell r="G34">
            <v>0</v>
          </cell>
          <cell r="H34">
            <v>189.4</v>
          </cell>
          <cell r="I34">
            <v>184.2</v>
          </cell>
          <cell r="J34">
            <v>0</v>
          </cell>
          <cell r="K34">
            <v>174.6</v>
          </cell>
          <cell r="L34">
            <v>0</v>
          </cell>
          <cell r="M34">
            <v>1.696429E-2</v>
          </cell>
          <cell r="N34">
            <v>2.197735E-2</v>
          </cell>
          <cell r="O34">
            <v>3.1225429999999998E-2</v>
          </cell>
        </row>
        <row r="35">
          <cell r="A35">
            <v>225</v>
          </cell>
          <cell r="B35">
            <v>0</v>
          </cell>
          <cell r="C35">
            <v>6</v>
          </cell>
          <cell r="D35">
            <v>8.6</v>
          </cell>
          <cell r="E35">
            <v>14.3</v>
          </cell>
          <cell r="F35">
            <v>0</v>
          </cell>
          <cell r="G35">
            <v>0</v>
          </cell>
          <cell r="H35">
            <v>213</v>
          </cell>
          <cell r="I35">
            <v>207.8</v>
          </cell>
          <cell r="J35">
            <v>0</v>
          </cell>
          <cell r="K35">
            <v>196.4</v>
          </cell>
          <cell r="L35">
            <v>0</v>
          </cell>
          <cell r="M35">
            <v>1.3456060000000001E-2</v>
          </cell>
          <cell r="N35">
            <v>1.6981139999999999E-2</v>
          </cell>
          <cell r="O35">
            <v>2.4689409999999998E-2</v>
          </cell>
        </row>
        <row r="36">
          <cell r="A36">
            <v>250</v>
          </cell>
          <cell r="B36">
            <v>0</v>
          </cell>
          <cell r="C36">
            <v>6.5</v>
          </cell>
          <cell r="D36">
            <v>9.8000000000000007</v>
          </cell>
          <cell r="E36">
            <v>15.9</v>
          </cell>
          <cell r="F36">
            <v>0</v>
          </cell>
          <cell r="G36">
            <v>0</v>
          </cell>
          <cell r="H36">
            <v>237</v>
          </cell>
          <cell r="I36">
            <v>230.4</v>
          </cell>
          <cell r="J36">
            <v>0</v>
          </cell>
          <cell r="K36">
            <v>218.2</v>
          </cell>
          <cell r="L36">
            <v>0</v>
          </cell>
          <cell r="M36">
            <v>1.073005E-2</v>
          </cell>
          <cell r="N36">
            <v>1.3992569999999999E-2</v>
          </cell>
          <cell r="O36">
            <v>2.0009740000000002E-2</v>
          </cell>
        </row>
        <row r="37">
          <cell r="A37">
            <v>280</v>
          </cell>
          <cell r="B37">
            <v>0</v>
          </cell>
          <cell r="C37">
            <v>7.4</v>
          </cell>
          <cell r="D37">
            <v>11</v>
          </cell>
          <cell r="E37">
            <v>17.8</v>
          </cell>
          <cell r="F37">
            <v>0</v>
          </cell>
          <cell r="G37">
            <v>0</v>
          </cell>
          <cell r="H37">
            <v>265.2</v>
          </cell>
          <cell r="I37">
            <v>258</v>
          </cell>
          <cell r="J37">
            <v>0</v>
          </cell>
          <cell r="K37">
            <v>244.4</v>
          </cell>
          <cell r="L37">
            <v>0</v>
          </cell>
          <cell r="M37">
            <v>8.6408000000000006E-3</v>
          </cell>
          <cell r="N37">
            <v>1.11714E-2</v>
          </cell>
          <cell r="O37">
            <v>1.5945839999999999E-2</v>
          </cell>
        </row>
        <row r="38">
          <cell r="A38">
            <v>315</v>
          </cell>
          <cell r="B38">
            <v>0</v>
          </cell>
          <cell r="C38">
            <v>8.3000000000000007</v>
          </cell>
          <cell r="D38">
            <v>12.4</v>
          </cell>
          <cell r="E38">
            <v>19.899999999999999</v>
          </cell>
          <cell r="F38">
            <v>0</v>
          </cell>
          <cell r="G38">
            <v>0</v>
          </cell>
          <cell r="H38">
            <v>298.39999999999998</v>
          </cell>
          <cell r="I38">
            <v>290.2</v>
          </cell>
          <cell r="J38">
            <v>0</v>
          </cell>
          <cell r="K38">
            <v>275.2</v>
          </cell>
          <cell r="L38">
            <v>0</v>
          </cell>
          <cell r="M38">
            <v>6.8145999999999997E-3</v>
          </cell>
          <cell r="N38">
            <v>8.83894E-3</v>
          </cell>
          <cell r="O38">
            <v>1.2535569999999999E-2</v>
          </cell>
        </row>
      </sheetData>
      <sheetData sheetId="16" refreshError="1"/>
      <sheetData sheetId="17" refreshError="1"/>
      <sheetData sheetId="18" refreshError="1"/>
      <sheetData sheetId="19" refreshError="1"/>
      <sheetData sheetId="20">
        <row r="26">
          <cell r="A26">
            <v>18</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refreshError="1"/>
      <sheetData sheetId="181" refreshError="1"/>
      <sheetData sheetId="182" refreshError="1"/>
      <sheetData sheetId="183"/>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sheetData sheetId="197"/>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refreshError="1"/>
      <sheetData sheetId="269" refreshError="1"/>
      <sheetData sheetId="270" refreshError="1"/>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int-Dia-pvc"/>
      <sheetName val="detls"/>
      <sheetName val="t_prsr"/>
      <sheetName val="DATA"/>
      <sheetName val="data-WC"/>
      <sheetName val="wh"/>
      <sheetName val="Lead"/>
      <sheetName val="R_Det"/>
      <sheetName val="maya"/>
      <sheetName val="Leads Entry"/>
      <sheetName val="PVC weights"/>
      <sheetName val="m"/>
      <sheetName val="leads"/>
      <sheetName val="RATES"/>
      <sheetName val="PVC_dia"/>
      <sheetName val="BTR (2)"/>
      <sheetName val="MTC-estimate"/>
      <sheetName val="Bitumen trunk"/>
      <sheetName val="Feeder"/>
      <sheetName val="R99 etc"/>
      <sheetName val="Trunk unpaved"/>
      <sheetName val="Road data"/>
      <sheetName val="pvc-rates"/>
      <sheetName val="sand"/>
      <sheetName val="stone"/>
      <sheetName val="index"/>
      <sheetName val="Lead statement ss5"/>
      <sheetName val="v"/>
      <sheetName val="lead-st"/>
      <sheetName val="Data.F8.BTR"/>
      <sheetName val="rdamdata"/>
      <sheetName val="Specification"/>
      <sheetName val="Plant _  Machinery"/>
      <sheetName val="wordsdata"/>
      <sheetName val="C-data"/>
      <sheetName val="RateAnalysis"/>
      <sheetName val="LEAD S 10-11"/>
      <sheetName val="Road Detail Est."/>
      <sheetName val="r"/>
      <sheetName val="Line"/>
      <sheetName val="MRATES"/>
      <sheetName val="segments-details"/>
      <sheetName val="int-Dia-hdpe"/>
      <sheetName val="habs-list"/>
      <sheetName val="Sheet3"/>
      <sheetName val="WATER-HAMMER"/>
      <sheetName val="General"/>
      <sheetName val="CD Data"/>
      <sheetName val="l"/>
      <sheetName val="Levels"/>
      <sheetName val="pvc-pipe-rates"/>
      <sheetName val="Data_Base"/>
      <sheetName val="abs road"/>
      <sheetName val="0000000000000"/>
      <sheetName val="Main sheet"/>
      <sheetName val="RMR"/>
      <sheetName val="LEAD STATEMENT"/>
      <sheetName val="DATA SHEET"/>
      <sheetName val="ssr-rates"/>
      <sheetName val="quarry"/>
      <sheetName val="MRoad data"/>
      <sheetName val="Sheet5"/>
      <sheetName val="PWH"/>
      <sheetName val="other rates"/>
      <sheetName val="GA"/>
      <sheetName val="DATA_PRG"/>
      <sheetName val="pvc_basic"/>
      <sheetName val="pvc"/>
      <sheetName val="Estt"/>
      <sheetName val="LEAD (2)"/>
      <sheetName val="Iocount"/>
      <sheetName val="ID"/>
      <sheetName val="bar bending"/>
      <sheetName val="HDPE"/>
      <sheetName val="data existing_do not delete"/>
      <sheetName val="coverpage"/>
      <sheetName val="Ward areas"/>
      <sheetName val="DI"/>
      <sheetName val="HDPE-pipe-rates"/>
      <sheetName val="hdpe weights"/>
      <sheetName val="THK"/>
      <sheetName val="PRELIM5"/>
      <sheetName val="wh_data_R"/>
      <sheetName val="Usage"/>
      <sheetName val="Common "/>
      <sheetName val="Zi-co"/>
      <sheetName val="head loss calc"/>
      <sheetName val="Conveyance"/>
      <sheetName val="SSR 2014-15 Rates"/>
      <sheetName val="Det Est"/>
      <sheetName val="Sheet9"/>
      <sheetName val="hdpe-rates"/>
      <sheetName val="water-hammar-strenght"/>
      <sheetName val="Lookup"/>
      <sheetName val="ws-abs"/>
      <sheetName val="ABS"/>
      <sheetName val="Bill-12"/>
      <sheetName val="mlead"/>
      <sheetName val="joinery data"/>
      <sheetName val="hdpe_basic"/>
      <sheetName val="Cd"/>
      <sheetName val="Cs"/>
      <sheetName val="CPIPE"/>
      <sheetName val="CPIPE 1"/>
      <sheetName val="DISCHARGE"/>
      <sheetName val="TOP SLAB-beams"/>
      <sheetName val="POP"/>
      <sheetName val="CPI"/>
      <sheetName val="WPI C"/>
      <sheetName val="WPI all"/>
      <sheetName val="WPI HM"/>
      <sheetName val="WPI S"/>
      <sheetName val="CLEAR OVER FALL DROP"/>
      <sheetName val="Plant_&amp;__Machinery"/>
      <sheetName val="Summary_of_Rates"/>
      <sheetName val="Basic_Approach"/>
      <sheetName val="PVC_weights"/>
      <sheetName val="CD_Data"/>
      <sheetName val="Leads_Entry"/>
      <sheetName val="LEAD_STATEMENT"/>
      <sheetName val="DATA_SHEET"/>
      <sheetName val="Bridge Est"/>
      <sheetName val="Civil Boq"/>
      <sheetName val="Data Interior"/>
      <sheetName val="Suppl-data"/>
      <sheetName val="S By pass estimate"/>
      <sheetName val="Line (2)"/>
      <sheetName val="SSR 2015-16"/>
    </sheetNames>
    <sheetDataSet>
      <sheetData sheetId="0" refreshError="1"/>
      <sheetData sheetId="1" refreshError="1"/>
      <sheetData sheetId="2" refreshError="1">
        <row r="9">
          <cell r="G9" t="str">
            <v>Input Rate</v>
          </cell>
        </row>
        <row r="27">
          <cell r="G27" t="str">
            <v>Input Rate</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IAL_RATES"/>
      <sheetName val="DATA_SHEET"/>
      <sheetName val="CONSOLIDATION"/>
      <sheetName val="Addi_bldg_datas"/>
      <sheetName val="CORRECTION_SLIP"/>
      <sheetName val="Addi_bldg_datas (2)"/>
      <sheetName val="Plant &amp;  Machinery"/>
      <sheetName val="ROAD DATA"/>
      <sheetName val="Line"/>
      <sheetName val="Levels"/>
      <sheetName val="LEAD S 10-11"/>
    </sheetNames>
    <sheetDataSet>
      <sheetData sheetId="0">
        <row r="54">
          <cell r="H54">
            <v>150</v>
          </cell>
        </row>
        <row r="55">
          <cell r="H55">
            <v>131</v>
          </cell>
        </row>
        <row r="61">
          <cell r="H61">
            <v>101</v>
          </cell>
        </row>
        <row r="62">
          <cell r="H62">
            <v>101</v>
          </cell>
        </row>
        <row r="80">
          <cell r="H80">
            <v>12.5</v>
          </cell>
        </row>
        <row r="81">
          <cell r="H81">
            <v>32</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XXXXXXXXXXXXX"/>
      <sheetName val="XXXXXXXXXXXX0"/>
      <sheetName val="design"/>
      <sheetName val="Lead"/>
      <sheetName val="Data"/>
      <sheetName val="est "/>
      <sheetName val="Levels"/>
      <sheetName val="Road data"/>
      <sheetName val=" data sheet "/>
      <sheetName val="detls"/>
      <sheetName val="LEAD STATEMENT"/>
      <sheetName val="Labour"/>
      <sheetName val="Material"/>
      <sheetName val="Plant &amp;  Machinery"/>
      <sheetName val="DATA SHEET"/>
      <sheetName val="pvc-pipe-rates"/>
      <sheetName val="Quarry"/>
      <sheetName val="Road Detail Est."/>
      <sheetName val="2A_2008_09_ABST_GENSCST"/>
      <sheetName val="v"/>
      <sheetName val="r"/>
      <sheetName val="CLEAR OVER FALL DROP"/>
      <sheetName val="TELs"/>
      <sheetName val="Plant 㫨  Machinery"/>
      <sheetName val="leads"/>
      <sheetName val="m"/>
      <sheetName val="Data_Base"/>
      <sheetName val="lead-st"/>
      <sheetName val="other rates"/>
      <sheetName val="mas_hab"/>
      <sheetName val="WATER-HAMMER"/>
      <sheetName val="INTIAL_RATES"/>
      <sheetName val="Input"/>
      <sheetName val=" DATA SHEET"/>
      <sheetName val="PVC weights"/>
      <sheetName val="t_prsr"/>
      <sheetName val="wh"/>
      <sheetName val="Rates"/>
      <sheetName val="LEAD-c"/>
      <sheetName val="other rates-C"/>
      <sheetName val="int-Dia-pvc"/>
      <sheetName val="Sheet1"/>
      <sheetName val="ssr-rates"/>
      <sheetName val="C-data"/>
      <sheetName val="pop"/>
      <sheetName val="MRATES"/>
      <sheetName val="bldg"/>
      <sheetName val="RMR"/>
      <sheetName val="BTR (2)"/>
      <sheetName val="Line"/>
      <sheetName val="est_"/>
      <sheetName val="Road_data"/>
      <sheetName val="Plant_&amp;__Machinery"/>
      <sheetName val="_data_sheet_"/>
      <sheetName val="LEAD_STATEMENT"/>
      <sheetName val="est_1"/>
      <sheetName val="Road_data1"/>
      <sheetName val="Plant_&amp;__Machinery1"/>
      <sheetName val="_data_sheet_1"/>
      <sheetName val="LEAD_STATEMENT1"/>
      <sheetName val="sand"/>
      <sheetName val="stone"/>
      <sheetName val="index"/>
      <sheetName val="sectorwise"/>
      <sheetName val="data existing_do not delete"/>
      <sheetName val="Boq"/>
      <sheetName val="coverpage"/>
      <sheetName val="data-WC"/>
      <sheetName val="bASICDATA"/>
      <sheetName val="M30"/>
      <sheetName val="Miscellaneous"/>
      <sheetName val="Road_All"/>
      <sheetName val="Summary_Slab_Karbook"/>
      <sheetName val="R_Det"/>
      <sheetName val="CD Data"/>
      <sheetName val="PVC_dia"/>
      <sheetName val="HDPE"/>
      <sheetName val="DI"/>
      <sheetName val="pvc"/>
      <sheetName val="Nspt-smp-final-ORIGINAL"/>
      <sheetName val="C.D.Data (Morth)"/>
      <sheetName val="LEAD S 10-11"/>
      <sheetName val="ws-abs"/>
      <sheetName val="Bitumen trunk"/>
      <sheetName val="Feeder"/>
      <sheetName val="R99 etc"/>
      <sheetName val="Trunk unpaved"/>
      <sheetName val="SLAB  DATA"/>
      <sheetName val="2"/>
      <sheetName val="3"/>
      <sheetName val="4"/>
      <sheetName val="6"/>
      <sheetName val="6A"/>
      <sheetName val="7"/>
      <sheetName val="pvc-rates"/>
      <sheetName val="Lead  RATES"/>
      <sheetName val="Leads Entry"/>
      <sheetName val="Part-A"/>
      <sheetName val="JAWAHAR-hyd-original"/>
      <sheetName val="GA"/>
      <sheetName val="Iocount"/>
      <sheetName val="int-dia-hdpe"/>
      <sheetName val="HS 1 BPT (2)"/>
      <sheetName val="HS 1"/>
      <sheetName val="Estt"/>
      <sheetName val="DATA_PRG"/>
      <sheetName val="THK"/>
      <sheetName val="maya"/>
      <sheetName val="final abstract"/>
      <sheetName val="Summary"/>
      <sheetName val="title"/>
      <sheetName val="pier design"/>
      <sheetName val="Sheet2"/>
      <sheetName val="BTR"/>
      <sheetName val="ABS"/>
      <sheetName val="DATA-BASE"/>
      <sheetName val="DATA-ABSTRACT"/>
      <sheetName val="R_Det esst"/>
      <sheetName val="wh_data"/>
      <sheetName val="wh_data_R"/>
      <sheetName val="CPHEEO"/>
      <sheetName val="Ward areas"/>
      <sheetName val="LEAD (2)"/>
      <sheetName val="Specification"/>
      <sheetName val="Sheet3"/>
      <sheetName val="Rates-May-14"/>
      <sheetName val="PH data"/>
      <sheetName val="RA-markate"/>
      <sheetName val="10. &amp; 11. Rate Code &amp; BQ"/>
      <sheetName val="EST"/>
      <sheetName val="m1"/>
      <sheetName val="hdpe-rates"/>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Lead"/>
      <sheetName val="Data"/>
      <sheetName val="Levels"/>
      <sheetName val="leads"/>
      <sheetName val="detls"/>
      <sheetName val="Plant &amp;  Machinery"/>
      <sheetName val="Road data"/>
      <sheetName val="pvc-rates"/>
      <sheetName val="LEAD S 10-11"/>
      <sheetName val="ws-abs"/>
      <sheetName val="Material"/>
      <sheetName val="Labour"/>
      <sheetName val="Lead statement ss5"/>
      <sheetName val="quarry"/>
      <sheetName val="Road Detail Est."/>
      <sheetName val="v"/>
      <sheetName val="r"/>
      <sheetName val="Det Est"/>
      <sheetName val="M.R.O"/>
      <sheetName val="t_prsr"/>
      <sheetName val="wh"/>
      <sheetName val="INTIAL_RATES"/>
      <sheetName val="SLAB  DATA"/>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row r="12">
          <cell r="L12">
            <v>360</v>
          </cell>
        </row>
      </sheetData>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 esti"/>
      <sheetName val="wor - toil"/>
      <sheetName val="Cover_Sheet (2)"/>
      <sheetName val="toilet"/>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Labour_Charges"/>
      <sheetName val="Labour_Charges(detl)"/>
      <sheetName val="Specification"/>
      <sheetName val="Core_SSR"/>
      <sheetName val="lead-st"/>
      <sheetName val="t_prsr"/>
      <sheetName val="wh"/>
      <sheetName val="Det Est"/>
      <sheetName val="Leve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MR"/>
      <sheetName val="Road Abst."/>
      <sheetName val="CD works Abst."/>
      <sheetName val="CC drains Abst."/>
      <sheetName val="Road Detail Est."/>
      <sheetName val="CD works detail Est."/>
      <sheetName val="CC drains detail Est."/>
      <sheetName val="Earth work Cal"/>
      <sheetName val="Earth Volume"/>
      <sheetName val="General Abst."/>
      <sheetName val="Lead Statement"/>
      <sheetName val="Road data"/>
      <sheetName val="CD works data"/>
      <sheetName val="quarry"/>
      <sheetName val="data"/>
      <sheetName val="Plant &amp;  Machinery"/>
      <sheetName val="lead-st"/>
      <sheetName val="Material"/>
      <sheetName val="Labour"/>
      <sheetName val="Levels"/>
      <sheetName val="Lead"/>
      <sheetName val="r"/>
      <sheetName val="Estimate_Slab"/>
      <sheetName val="Roadlist"/>
      <sheetName val="DATA_PRG"/>
      <sheetName val="t_prsr"/>
      <sheetName val="detls"/>
      <sheetName val="leads"/>
      <sheetName val="Data.F8.BT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ABS-MODELS"/>
      <sheetName val="Data-Road "/>
      <sheetName val="LEAD"/>
      <sheetName val="Hire"/>
      <sheetName val="WMM_BT"/>
      <sheetName val="BT_Patch_works_SDBC_RC"/>
      <sheetName val="BT_Patch_works_MSS-25_RC"/>
      <sheetName val="BT_Patch_works_MSS-20_RC"/>
      <sheetName val="BT_Patch_works_BT_RC"/>
      <sheetName val="WBM_Patch_with_GRAVEL-BLINDAGE"/>
      <sheetName val="GRAVEL-BLINDAGE_WBM_Surface"/>
      <sheetName val="GSB-3Layrers"/>
      <sheetName val="GSB-2Layrers"/>
      <sheetName val="GSB-1Layer"/>
      <sheetName val="Sheet4"/>
      <sheetName val="Data-Road  (2)"/>
      <sheetName val="Mtc-data"/>
      <sheetName val="DATA-CD"/>
      <sheetName val="Road-furniture"/>
      <sheetName val="CD Abs"/>
      <sheetName val="Cd-qty-ws"/>
      <sheetName val="Gen Abs"/>
      <sheetName val="Det estt_Road"/>
      <sheetName val="Schedule-A"/>
      <sheetName val="ws"/>
      <sheetName val="NF"/>
      <sheetName val="MTC-ABS"/>
      <sheetName val="MTC-estimate"/>
      <sheetName val="Road Furniture-Data"/>
      <sheetName val="MTC-Table"/>
      <sheetName val="other rates"/>
      <sheetName val="Conv"/>
      <sheetName val="NP3 pipes"/>
      <sheetName val="NP3 collars"/>
    </sheetNames>
    <sheetDataSet>
      <sheetData sheetId="0"/>
      <sheetData sheetId="1"/>
      <sheetData sheetId="2"/>
      <sheetData sheetId="3"/>
      <sheetData sheetId="4">
        <row r="47">
          <cell r="K47">
            <v>0.125</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_abst"/>
      <sheetName val="report"/>
      <sheetName val="trialpit"/>
      <sheetName val="abstract"/>
      <sheetName val="detailed"/>
      <sheetName val="data_new"/>
      <sheetName val="lead-st"/>
      <sheetName val="v"/>
      <sheetName val="r"/>
      <sheetName val="l"/>
    </sheetNames>
    <sheetDataSet>
      <sheetData sheetId="0"/>
      <sheetData sheetId="1"/>
      <sheetData sheetId="2"/>
      <sheetData sheetId="3"/>
      <sheetData sheetId="4"/>
      <sheetData sheetId="5"/>
      <sheetData sheetId="6"/>
      <sheetData sheetId="7"/>
      <sheetData sheetId="8" refreshError="1">
        <row r="7">
          <cell r="F7">
            <v>91</v>
          </cell>
        </row>
      </sheetData>
      <sheetData sheetId="9"/>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_abst"/>
      <sheetName val="report"/>
      <sheetName val="trialpit"/>
      <sheetName val="abstract"/>
      <sheetName val="detailed"/>
      <sheetName val="data_new"/>
      <sheetName val="lead-st"/>
      <sheetName val="v"/>
      <sheetName val="r"/>
      <sheetName val="l"/>
      <sheetName val="Lead"/>
      <sheetName val="Road Detail Est."/>
      <sheetName val="Road data"/>
    </sheetNames>
    <sheetDataSet>
      <sheetData sheetId="0"/>
      <sheetData sheetId="1"/>
      <sheetData sheetId="2"/>
      <sheetData sheetId="3"/>
      <sheetData sheetId="4"/>
      <sheetData sheetId="5"/>
      <sheetData sheetId="6"/>
      <sheetData sheetId="7"/>
      <sheetData sheetId="8" refreshError="1">
        <row r="7">
          <cell r="F7">
            <v>91</v>
          </cell>
        </row>
      </sheetData>
      <sheetData sheetId="9"/>
      <sheetData sheetId="10" refreshError="1"/>
      <sheetData sheetId="11" refreshError="1"/>
      <sheetData sheetId="12" refreshError="1"/>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imate (2)"/>
      <sheetName val="spec"/>
      <sheetName val="estimate"/>
      <sheetName val="Data"/>
      <sheetName val="CS"/>
      <sheetName val="temp-SDData (2)"/>
      <sheetName val="Data (2)"/>
      <sheetName val="r"/>
      <sheetName val="LEAD S 10-11"/>
      <sheetName val="estimate_(2)"/>
      <sheetName val="temp-SDData_(2)"/>
      <sheetName val="Data_(2)"/>
      <sheetName val="Road data"/>
      <sheetName val="ssr-rates"/>
      <sheetName val="Roadlist"/>
      <sheetName val="leads"/>
      <sheetName val="m"/>
      <sheetName val="Road Detail Est."/>
      <sheetName val="Lead"/>
      <sheetName val="quarry"/>
      <sheetName val="Data.F8.BTR"/>
      <sheetName val="MRATES"/>
      <sheetName val="Material"/>
      <sheetName val="C-data"/>
      <sheetName val="Labour"/>
      <sheetName val="Plant &amp;  Machinery"/>
      <sheetName val="Specification"/>
      <sheetName val="DATA_PRG"/>
      <sheetName val="CD Data"/>
      <sheetName val="v"/>
      <sheetName val="Estimate_Slab"/>
      <sheetName val="DATA-2005-06"/>
      <sheetName val=" EST"/>
      <sheetName val="Lead-1"/>
      <sheetName val="lead-st"/>
      <sheetName val="DATA-BASE"/>
      <sheetName val="DATA-ABSTRACT"/>
      <sheetName val="Lead statement"/>
      <sheetName val="sup dat"/>
      <sheetName val="Lookup"/>
      <sheetName val="Data_Base"/>
      <sheetName val="Sheet9"/>
      <sheetName val="ABS"/>
      <sheetName val="ANGAN"/>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H"/>
      <sheetName val="VC rate"/>
      <sheetName val="DFjoints"/>
      <sheetName val="dbl-airvalve-PVC"/>
      <sheetName val="dbl-airvalve-HDPE"/>
      <sheetName val="ssr-rates"/>
      <sheetName val="MS-BWSC-GRP-PSC"/>
      <sheetName val="airvalve-AC"/>
      <sheetName val="sluice-AC"/>
      <sheetName val="sluice-PSC"/>
      <sheetName val="sluice-BWSCP-MS"/>
      <sheetName val="sluice-GRP"/>
      <sheetName val="sluice-PVC"/>
      <sheetName val="sluice-HDPE"/>
      <sheetName val="scour-pvc-hdpe-psc-bwsc"/>
      <sheetName val="airvalve-AC-BWSC-GRP-MS-PSC"/>
      <sheetName val="kintc-airvalve-DI"/>
      <sheetName val="sluice-DI"/>
      <sheetName val="scour-DI-CI"/>
      <sheetName val="Sluice AC GRP BWSP MS"/>
      <sheetName val="NRV-DI "/>
      <sheetName val="Lead"/>
      <sheetName val="Data"/>
      <sheetName val="vc80"/>
      <sheetName val="vc200"/>
      <sheetName val="vc450"/>
      <sheetName val="vc600"/>
      <sheetName val="vc700"/>
      <sheetName val="vc1000"/>
      <sheetName val="leads"/>
      <sheetName val="quarry"/>
      <sheetName val="Estt"/>
      <sheetName val="Data.F8.BTR"/>
      <sheetName val="temp-SDData (2)"/>
      <sheetName val="r"/>
      <sheetName val="sand"/>
      <sheetName val="stone"/>
      <sheetName val="index"/>
      <sheetName val="lead-st"/>
      <sheetName val="t_prsr"/>
      <sheetName val="wh"/>
      <sheetName val="detls"/>
      <sheetName val="Airvalve-HDPE"/>
      <sheetName val="int-Dia-pvc"/>
      <sheetName val="WATER-HAMMER"/>
      <sheetName val=" data sheet "/>
      <sheetName val="RMR"/>
      <sheetName val="Rate"/>
      <sheetName val="LEAD STATEMENT"/>
      <sheetName val="DATA SHEET"/>
      <sheetName val="Plant &amp;  Machinery"/>
      <sheetName val="Labour"/>
      <sheetName val="Material"/>
      <sheetName val="Valves 10-11Data"/>
      <sheetName val="SUMMARY"/>
      <sheetName val="Road Detail Est."/>
      <sheetName val="int-Dia-hdpe"/>
      <sheetName val="Road data"/>
      <sheetName val="airvalve(AC)"/>
      <sheetName val="1-Pop Proj"/>
      <sheetName val="Sheet2"/>
      <sheetName val="pvc-pipe-rates"/>
      <sheetName val="sluice-DI upto 1000"/>
      <sheetName val="Caze Estimate "/>
      <sheetName val="Airvalve-DI"/>
      <sheetName val="PM&amp;GM"/>
      <sheetName val="Fund Req Abstract"/>
      <sheetName val="Fund Requirement"/>
      <sheetName val="roads fund estimate"/>
      <sheetName val="Resorse Planning"/>
      <sheetName val="Roads Work Plan"/>
      <sheetName val="Staff Quarters work plan"/>
      <sheetName val="Compound Wall Plan"/>
      <sheetName val="LOCAL RATES"/>
      <sheetName val="Cd"/>
      <sheetName val="Cs"/>
      <sheetName val="CPIPE"/>
      <sheetName val="THK"/>
      <sheetName val="CPIPE 1"/>
      <sheetName val="90 kl at UPPAL"/>
      <sheetName val="PVC weights"/>
      <sheetName val="PVC_dia"/>
      <sheetName val="JAWAHAR-hyd-original"/>
      <sheetName val="GA"/>
      <sheetName val="v"/>
      <sheetName val="DFjoints 2.11.17"/>
      <sheetName val="C-data"/>
      <sheetName val="hdpe weights"/>
      <sheetName val="HDPE-pipe-rates"/>
      <sheetName val="labour &amp; Centering"/>
      <sheetName val="3405-2014"/>
      <sheetName val="Cul_detail"/>
      <sheetName val="Data-ELSR"/>
      <sheetName val="EST"/>
      <sheetName val="Levels"/>
      <sheetName val="Sluice-DI-16"/>
      <sheetName val="DATA_PRG"/>
      <sheetName val="m"/>
      <sheetName val="l"/>
      <sheetName val="Sheet5"/>
      <sheetName val="pvc-rates"/>
      <sheetName val="HS 1"/>
      <sheetName val="Iocount"/>
      <sheetName val="Attributes"/>
      <sheetName val="hdpe-rates"/>
      <sheetName val="DISCOUNT"/>
      <sheetName val="Rising Main"/>
      <sheetName val="E1"/>
      <sheetName val="IW-SRD-Rect"/>
      <sheetName val="Sorted"/>
      <sheetName val="m1"/>
      <sheetName val="mas_hab"/>
      <sheetName val="Cover"/>
      <sheetName val="Usage"/>
      <sheetName val="Common "/>
      <sheetName val="General"/>
      <sheetName val="Nspt-smp-final-ORIGINAL"/>
      <sheetName val="water-hammar-strenght"/>
      <sheetName val="MRATES"/>
      <sheetName val="Roadlist"/>
      <sheetName val="ewst"/>
      <sheetName val="Sheet3"/>
      <sheetName val="I-CO"/>
      <sheetName val="bom"/>
      <sheetName val="rdamdata"/>
      <sheetName val="Sheet1"/>
      <sheetName val="VC rate-Modified"/>
      <sheetName val="ssr_rates"/>
      <sheetName val="Data_Renuals"/>
      <sheetName val="ABS"/>
      <sheetName val="mro_bldg"/>
      <sheetName val="Main sheet"/>
      <sheetName val="RATES"/>
      <sheetName val="ANGAN"/>
      <sheetName val="EST- Laxmidevipally"/>
      <sheetName val="Det Est"/>
      <sheetName val="Lead-2014-15"/>
      <sheetName val="CD Data"/>
      <sheetName val="DATA_PILE_RT2"/>
      <sheetName val="Conveyance"/>
      <sheetName val="maya"/>
      <sheetName val="input"/>
      <sheetName val="DI"/>
      <sheetName val="AV HDPE"/>
      <sheetName val="GM&amp;PM EST"/>
      <sheetName val="Rates_PVC"/>
    </sheetNames>
    <sheetDataSet>
      <sheetData sheetId="0" refreshError="1"/>
      <sheetData sheetId="1" refreshError="1"/>
      <sheetData sheetId="2" refreshError="1"/>
      <sheetData sheetId="3" refreshError="1"/>
      <sheetData sheetId="4" refreshError="1"/>
      <sheetData sheetId="5" refreshError="1">
        <row r="1">
          <cell r="B1" t="str">
            <v>code</v>
          </cell>
          <cell r="C1" t="str">
            <v>Type</v>
          </cell>
          <cell r="D1" t="str">
            <v>Dia</v>
          </cell>
          <cell r="E1" t="str">
            <v>Class</v>
          </cell>
          <cell r="F1" t="str">
            <v>Unit</v>
          </cell>
          <cell r="G1" t="str">
            <v>2007-08</v>
          </cell>
          <cell r="H1" t="str">
            <v>2008-09</v>
          </cell>
          <cell r="I1" t="str">
            <v>2009-10</v>
          </cell>
          <cell r="J1" t="str">
            <v>2009-10</v>
          </cell>
        </row>
        <row r="2">
          <cell r="B2" t="str">
            <v>Sluice valve50PN-1</v>
          </cell>
          <cell r="C2" t="str">
            <v>Sluice valve</v>
          </cell>
          <cell r="D2">
            <v>50</v>
          </cell>
          <cell r="E2" t="str">
            <v>PN-1</v>
          </cell>
          <cell r="F2" t="str">
            <v>each</v>
          </cell>
          <cell r="G2">
            <v>2800</v>
          </cell>
          <cell r="H2">
            <v>3640</v>
          </cell>
          <cell r="I2">
            <v>3640</v>
          </cell>
          <cell r="J2">
            <v>3640</v>
          </cell>
        </row>
        <row r="3">
          <cell r="B3" t="str">
            <v>Sluice valve65PN-1</v>
          </cell>
          <cell r="C3" t="str">
            <v>Sluice valve</v>
          </cell>
          <cell r="D3">
            <v>65</v>
          </cell>
          <cell r="E3" t="str">
            <v>PN-1</v>
          </cell>
          <cell r="F3" t="str">
            <v>each</v>
          </cell>
          <cell r="G3">
            <v>3094</v>
          </cell>
          <cell r="H3">
            <v>4022</v>
          </cell>
          <cell r="I3">
            <v>4022</v>
          </cell>
          <cell r="J3">
            <v>4022</v>
          </cell>
        </row>
        <row r="4">
          <cell r="B4" t="str">
            <v>Sluice valve80PN-1</v>
          </cell>
          <cell r="C4" t="str">
            <v>Sluice valve</v>
          </cell>
          <cell r="D4">
            <v>80</v>
          </cell>
          <cell r="E4" t="str">
            <v>PN-1</v>
          </cell>
          <cell r="F4" t="str">
            <v>each</v>
          </cell>
          <cell r="G4">
            <v>3273</v>
          </cell>
          <cell r="H4">
            <v>4255</v>
          </cell>
          <cell r="I4">
            <v>4255</v>
          </cell>
          <cell r="J4">
            <v>4255</v>
          </cell>
        </row>
        <row r="5">
          <cell r="B5" t="str">
            <v>Sluice valve100PN-1</v>
          </cell>
          <cell r="C5" t="str">
            <v>Sluice valve</v>
          </cell>
          <cell r="D5">
            <v>100</v>
          </cell>
          <cell r="E5" t="str">
            <v>PN-1</v>
          </cell>
          <cell r="F5" t="str">
            <v>each</v>
          </cell>
          <cell r="G5">
            <v>4364</v>
          </cell>
          <cell r="H5">
            <v>5673</v>
          </cell>
          <cell r="I5">
            <v>5673</v>
          </cell>
          <cell r="J5">
            <v>5673</v>
          </cell>
        </row>
        <row r="6">
          <cell r="B6" t="str">
            <v>Sluice valve125PN-1</v>
          </cell>
          <cell r="C6" t="str">
            <v>Sluice valve</v>
          </cell>
          <cell r="D6">
            <v>125</v>
          </cell>
          <cell r="E6" t="str">
            <v>PN-1</v>
          </cell>
          <cell r="F6" t="str">
            <v>each</v>
          </cell>
          <cell r="G6">
            <v>5454</v>
          </cell>
          <cell r="H6">
            <v>7090</v>
          </cell>
          <cell r="I6">
            <v>7090</v>
          </cell>
          <cell r="J6">
            <v>7090</v>
          </cell>
        </row>
        <row r="7">
          <cell r="B7" t="str">
            <v>Sluice valve150PN-1</v>
          </cell>
          <cell r="C7" t="str">
            <v>Sluice valve</v>
          </cell>
          <cell r="D7">
            <v>150</v>
          </cell>
          <cell r="E7" t="str">
            <v>PN-1</v>
          </cell>
          <cell r="F7" t="str">
            <v>each</v>
          </cell>
          <cell r="G7">
            <v>6545</v>
          </cell>
          <cell r="H7">
            <v>8509</v>
          </cell>
          <cell r="I7">
            <v>8509</v>
          </cell>
          <cell r="J7">
            <v>8509</v>
          </cell>
        </row>
        <row r="8">
          <cell r="B8" t="str">
            <v>Sluice valve200PN-1</v>
          </cell>
          <cell r="C8" t="str">
            <v>Sluice valve</v>
          </cell>
          <cell r="D8">
            <v>200</v>
          </cell>
          <cell r="E8" t="str">
            <v>PN-1</v>
          </cell>
          <cell r="F8" t="str">
            <v>each</v>
          </cell>
          <cell r="G8">
            <v>11472</v>
          </cell>
          <cell r="H8">
            <v>14914</v>
          </cell>
          <cell r="I8">
            <v>14914</v>
          </cell>
          <cell r="J8">
            <v>14914</v>
          </cell>
        </row>
        <row r="9">
          <cell r="B9" t="str">
            <v>Sluice valve250PN-1</v>
          </cell>
          <cell r="C9" t="str">
            <v>Sluice valve</v>
          </cell>
          <cell r="D9">
            <v>250</v>
          </cell>
          <cell r="E9" t="str">
            <v>PN-1</v>
          </cell>
          <cell r="F9" t="str">
            <v>each</v>
          </cell>
          <cell r="G9">
            <v>16226</v>
          </cell>
          <cell r="H9">
            <v>21094</v>
          </cell>
          <cell r="I9">
            <v>21094</v>
          </cell>
          <cell r="J9">
            <v>21094</v>
          </cell>
        </row>
        <row r="10">
          <cell r="B10" t="str">
            <v>Sluice valve300PN-1</v>
          </cell>
          <cell r="C10" t="str">
            <v>Sluice valve</v>
          </cell>
          <cell r="D10">
            <v>300</v>
          </cell>
          <cell r="E10" t="str">
            <v>PN-1</v>
          </cell>
          <cell r="F10" t="str">
            <v>each</v>
          </cell>
          <cell r="G10">
            <v>22274</v>
          </cell>
          <cell r="H10">
            <v>28956</v>
          </cell>
          <cell r="I10">
            <v>28956</v>
          </cell>
          <cell r="J10">
            <v>28956</v>
          </cell>
        </row>
        <row r="11">
          <cell r="B11" t="str">
            <v>Sluice valve50PN-1.6</v>
          </cell>
          <cell r="C11" t="str">
            <v>Sluice valve</v>
          </cell>
          <cell r="D11">
            <v>50</v>
          </cell>
          <cell r="E11" t="str">
            <v>PN-1.6</v>
          </cell>
          <cell r="F11" t="str">
            <v>each</v>
          </cell>
          <cell r="G11">
            <v>3360</v>
          </cell>
          <cell r="H11">
            <v>4368</v>
          </cell>
          <cell r="I11">
            <v>4368</v>
          </cell>
          <cell r="J11">
            <v>4368</v>
          </cell>
        </row>
        <row r="12">
          <cell r="B12" t="str">
            <v>Sluice valve65PN-1.6</v>
          </cell>
          <cell r="C12" t="str">
            <v>Sluice valve</v>
          </cell>
          <cell r="D12">
            <v>65</v>
          </cell>
          <cell r="E12" t="str">
            <v>PN-1.6</v>
          </cell>
          <cell r="F12" t="str">
            <v>each</v>
          </cell>
          <cell r="G12">
            <v>3713</v>
          </cell>
          <cell r="H12">
            <v>4827</v>
          </cell>
          <cell r="I12">
            <v>4827</v>
          </cell>
          <cell r="J12">
            <v>4827</v>
          </cell>
        </row>
        <row r="13">
          <cell r="B13" t="str">
            <v>Sluice valve80PN-1.6</v>
          </cell>
          <cell r="C13" t="str">
            <v>Sluice valve</v>
          </cell>
          <cell r="D13">
            <v>80</v>
          </cell>
          <cell r="E13" t="str">
            <v>PN-1.6</v>
          </cell>
          <cell r="F13" t="str">
            <v>each</v>
          </cell>
          <cell r="G13">
            <v>3927</v>
          </cell>
          <cell r="H13">
            <v>5105</v>
          </cell>
          <cell r="I13">
            <v>5105</v>
          </cell>
          <cell r="J13">
            <v>5105</v>
          </cell>
        </row>
        <row r="14">
          <cell r="B14" t="str">
            <v>Sluice valve100PN-1.6</v>
          </cell>
          <cell r="C14" t="str">
            <v>Sluice valve</v>
          </cell>
          <cell r="D14">
            <v>100</v>
          </cell>
          <cell r="E14" t="str">
            <v>PN-1.6</v>
          </cell>
          <cell r="F14" t="str">
            <v>each</v>
          </cell>
          <cell r="G14">
            <v>5236</v>
          </cell>
          <cell r="H14">
            <v>6807</v>
          </cell>
          <cell r="I14">
            <v>6807</v>
          </cell>
          <cell r="J14">
            <v>6807</v>
          </cell>
        </row>
        <row r="15">
          <cell r="B15" t="str">
            <v>Sluice valve125PN-1.6</v>
          </cell>
          <cell r="C15" t="str">
            <v>Sluice valve</v>
          </cell>
          <cell r="D15">
            <v>125</v>
          </cell>
          <cell r="E15" t="str">
            <v>PN-1.6</v>
          </cell>
          <cell r="F15" t="str">
            <v>each</v>
          </cell>
          <cell r="G15">
            <v>6545</v>
          </cell>
          <cell r="H15">
            <v>8509</v>
          </cell>
          <cell r="I15">
            <v>8509</v>
          </cell>
          <cell r="J15">
            <v>8509</v>
          </cell>
        </row>
        <row r="16">
          <cell r="B16" t="str">
            <v>Sluice valve150PN-1.6</v>
          </cell>
          <cell r="C16" t="str">
            <v>Sluice valve</v>
          </cell>
          <cell r="D16">
            <v>150</v>
          </cell>
          <cell r="E16" t="str">
            <v>PN-1.6</v>
          </cell>
          <cell r="F16" t="str">
            <v>each</v>
          </cell>
          <cell r="G16">
            <v>7854</v>
          </cell>
          <cell r="H16">
            <v>10210</v>
          </cell>
          <cell r="I16">
            <v>10210</v>
          </cell>
          <cell r="J16">
            <v>10210</v>
          </cell>
        </row>
        <row r="17">
          <cell r="B17" t="str">
            <v>Sluice valve200PN-1.6</v>
          </cell>
          <cell r="C17" t="str">
            <v>Sluice valve</v>
          </cell>
          <cell r="D17">
            <v>200</v>
          </cell>
          <cell r="E17" t="str">
            <v>PN-1.6</v>
          </cell>
          <cell r="F17" t="str">
            <v>each</v>
          </cell>
          <cell r="G17">
            <v>13532</v>
          </cell>
          <cell r="H17">
            <v>17592</v>
          </cell>
          <cell r="I17">
            <v>17592</v>
          </cell>
          <cell r="J17">
            <v>17592</v>
          </cell>
        </row>
        <row r="18">
          <cell r="B18" t="str">
            <v>Sluice valve250PN-1.6</v>
          </cell>
          <cell r="C18" t="str">
            <v>Sluice valve</v>
          </cell>
          <cell r="D18">
            <v>250</v>
          </cell>
          <cell r="E18" t="str">
            <v>PN-1.6</v>
          </cell>
          <cell r="F18" t="str">
            <v>each</v>
          </cell>
          <cell r="G18">
            <v>19496</v>
          </cell>
          <cell r="H18">
            <v>25345</v>
          </cell>
          <cell r="I18">
            <v>25345</v>
          </cell>
          <cell r="J18">
            <v>25345</v>
          </cell>
        </row>
        <row r="19">
          <cell r="B19" t="str">
            <v>Sluice valve300PN-1.6</v>
          </cell>
          <cell r="C19" t="str">
            <v>Sluice valve</v>
          </cell>
          <cell r="D19">
            <v>300</v>
          </cell>
          <cell r="E19" t="str">
            <v>PN-1.6</v>
          </cell>
          <cell r="F19" t="str">
            <v>each</v>
          </cell>
          <cell r="G19">
            <v>25721</v>
          </cell>
          <cell r="H19">
            <v>33437</v>
          </cell>
          <cell r="I19">
            <v>33437</v>
          </cell>
          <cell r="J19">
            <v>33437</v>
          </cell>
        </row>
        <row r="20">
          <cell r="B20" t="str">
            <v>Sluice valve NR stem350PN-1</v>
          </cell>
          <cell r="C20" t="str">
            <v>Sluice valve NR stem</v>
          </cell>
          <cell r="D20">
            <v>350</v>
          </cell>
          <cell r="E20" t="str">
            <v>PN-1</v>
          </cell>
          <cell r="F20" t="str">
            <v>each</v>
          </cell>
          <cell r="G20">
            <v>50087</v>
          </cell>
          <cell r="H20">
            <v>65113</v>
          </cell>
          <cell r="I20">
            <v>65113</v>
          </cell>
          <cell r="J20">
            <v>65113</v>
          </cell>
        </row>
        <row r="21">
          <cell r="B21" t="str">
            <v>Sluice valve NR stem400PN-1</v>
          </cell>
          <cell r="C21" t="str">
            <v>Sluice valve NR stem</v>
          </cell>
          <cell r="D21">
            <v>400</v>
          </cell>
          <cell r="E21" t="str">
            <v>PN-1</v>
          </cell>
          <cell r="F21" t="str">
            <v>each</v>
          </cell>
          <cell r="G21">
            <v>59372</v>
          </cell>
          <cell r="H21">
            <v>77184</v>
          </cell>
          <cell r="I21">
            <v>77184</v>
          </cell>
          <cell r="J21">
            <v>77184</v>
          </cell>
        </row>
        <row r="22">
          <cell r="B22" t="str">
            <v>Sluice valve NR stem450PN-1</v>
          </cell>
          <cell r="C22" t="str">
            <v>Sluice valve NR stem</v>
          </cell>
          <cell r="D22">
            <v>450</v>
          </cell>
          <cell r="E22" t="str">
            <v>PN-1</v>
          </cell>
          <cell r="F22" t="str">
            <v>each</v>
          </cell>
          <cell r="G22">
            <v>74549</v>
          </cell>
          <cell r="H22">
            <v>96914</v>
          </cell>
          <cell r="I22">
            <v>96914</v>
          </cell>
          <cell r="J22">
            <v>96914</v>
          </cell>
        </row>
        <row r="23">
          <cell r="B23" t="str">
            <v>Sluice valve NR stem500PN-1</v>
          </cell>
          <cell r="C23" t="str">
            <v>Sluice valve NR stem</v>
          </cell>
          <cell r="D23">
            <v>500</v>
          </cell>
          <cell r="E23" t="str">
            <v>PN-1</v>
          </cell>
          <cell r="F23" t="str">
            <v>each</v>
          </cell>
          <cell r="G23">
            <v>85525</v>
          </cell>
          <cell r="H23">
            <v>111183</v>
          </cell>
          <cell r="I23">
            <v>111183</v>
          </cell>
          <cell r="J23">
            <v>111183</v>
          </cell>
        </row>
        <row r="24">
          <cell r="B24" t="str">
            <v>Sluice valve NR stem600PN-1</v>
          </cell>
          <cell r="C24" t="str">
            <v>Sluice valve NR stem</v>
          </cell>
          <cell r="D24">
            <v>600</v>
          </cell>
          <cell r="E24" t="str">
            <v>PN-1</v>
          </cell>
          <cell r="F24" t="str">
            <v>each</v>
          </cell>
          <cell r="G24">
            <v>125270</v>
          </cell>
          <cell r="H24">
            <v>162851</v>
          </cell>
          <cell r="I24">
            <v>162851</v>
          </cell>
          <cell r="J24">
            <v>162851</v>
          </cell>
        </row>
        <row r="25">
          <cell r="B25" t="str">
            <v>Sluice valve NR stem700PN-1</v>
          </cell>
          <cell r="C25" t="str">
            <v>Sluice valve NR stem</v>
          </cell>
          <cell r="D25">
            <v>700</v>
          </cell>
          <cell r="E25" t="str">
            <v>PN-1</v>
          </cell>
          <cell r="F25" t="str">
            <v>each</v>
          </cell>
          <cell r="G25">
            <v>207460</v>
          </cell>
          <cell r="H25">
            <v>269698</v>
          </cell>
          <cell r="I25">
            <v>269698</v>
          </cell>
          <cell r="J25">
            <v>269698</v>
          </cell>
        </row>
        <row r="26">
          <cell r="B26" t="str">
            <v>Sluice valve NR stem750PN-1</v>
          </cell>
          <cell r="C26" t="str">
            <v>Sluice valve NR stem</v>
          </cell>
          <cell r="D26">
            <v>750</v>
          </cell>
          <cell r="E26" t="str">
            <v>PN-1</v>
          </cell>
          <cell r="F26" t="str">
            <v>each</v>
          </cell>
          <cell r="G26">
            <v>291499</v>
          </cell>
          <cell r="H26">
            <v>378949</v>
          </cell>
          <cell r="I26">
            <v>378949</v>
          </cell>
          <cell r="J26">
            <v>378949</v>
          </cell>
        </row>
        <row r="27">
          <cell r="B27" t="str">
            <v>Sluice valve NR stem800PN-1</v>
          </cell>
          <cell r="C27" t="str">
            <v>Sluice valve NR stem</v>
          </cell>
          <cell r="D27">
            <v>800</v>
          </cell>
          <cell r="E27" t="str">
            <v>PN-1</v>
          </cell>
          <cell r="F27" t="str">
            <v>each</v>
          </cell>
          <cell r="G27">
            <v>339900</v>
          </cell>
          <cell r="H27">
            <v>441870</v>
          </cell>
          <cell r="I27">
            <v>441870</v>
          </cell>
          <cell r="J27">
            <v>441870</v>
          </cell>
        </row>
        <row r="28">
          <cell r="B28" t="str">
            <v>Sluice valve NR stem900PN-1</v>
          </cell>
          <cell r="C28" t="str">
            <v>Sluice valve NR stem</v>
          </cell>
          <cell r="D28">
            <v>900</v>
          </cell>
          <cell r="E28" t="str">
            <v>PN-1</v>
          </cell>
          <cell r="F28" t="str">
            <v>each</v>
          </cell>
          <cell r="G28">
            <v>403852</v>
          </cell>
          <cell r="H28">
            <v>525008</v>
          </cell>
          <cell r="I28">
            <v>525008</v>
          </cell>
          <cell r="J28">
            <v>525008</v>
          </cell>
        </row>
        <row r="29">
          <cell r="B29" t="str">
            <v>Sluice valve NR stem1000PN-1</v>
          </cell>
          <cell r="C29" t="str">
            <v>Sluice valve NR stem</v>
          </cell>
          <cell r="D29">
            <v>1000</v>
          </cell>
          <cell r="E29" t="str">
            <v>PN-1</v>
          </cell>
          <cell r="F29" t="str">
            <v>each</v>
          </cell>
          <cell r="G29">
            <v>624000</v>
          </cell>
          <cell r="H29">
            <v>811200</v>
          </cell>
          <cell r="I29">
            <v>811200</v>
          </cell>
          <cell r="J29">
            <v>811200</v>
          </cell>
        </row>
        <row r="30">
          <cell r="B30" t="str">
            <v>Sluice valve NR stem1100PN-1</v>
          </cell>
          <cell r="C30" t="str">
            <v>Sluice valve NR stem</v>
          </cell>
          <cell r="D30">
            <v>1100</v>
          </cell>
          <cell r="E30" t="str">
            <v>PN-1</v>
          </cell>
          <cell r="F30" t="str">
            <v>each</v>
          </cell>
          <cell r="G30">
            <v>705000</v>
          </cell>
          <cell r="H30">
            <v>916500</v>
          </cell>
          <cell r="I30">
            <v>916500</v>
          </cell>
          <cell r="J30">
            <v>916500</v>
          </cell>
        </row>
        <row r="31">
          <cell r="B31" t="str">
            <v>Sluice valve NR stem1200PN-1</v>
          </cell>
          <cell r="C31" t="str">
            <v>Sluice valve NR stem</v>
          </cell>
          <cell r="D31">
            <v>1200</v>
          </cell>
          <cell r="E31" t="str">
            <v>PN-1</v>
          </cell>
          <cell r="F31" t="str">
            <v>each</v>
          </cell>
          <cell r="G31">
            <v>840000</v>
          </cell>
          <cell r="H31">
            <v>1092000</v>
          </cell>
          <cell r="I31">
            <v>1092000</v>
          </cell>
          <cell r="J31">
            <v>1092000</v>
          </cell>
        </row>
        <row r="32">
          <cell r="B32" t="str">
            <v>Sluice valve NR stem350PN-1.6</v>
          </cell>
          <cell r="C32" t="str">
            <v>Sluice valve NR stem</v>
          </cell>
          <cell r="D32">
            <v>350</v>
          </cell>
          <cell r="E32" t="str">
            <v>PN-1.6</v>
          </cell>
          <cell r="F32" t="str">
            <v>each</v>
          </cell>
          <cell r="G32">
            <v>55099</v>
          </cell>
          <cell r="H32">
            <v>71629</v>
          </cell>
          <cell r="I32">
            <v>71629</v>
          </cell>
          <cell r="J32">
            <v>71629</v>
          </cell>
        </row>
        <row r="33">
          <cell r="B33" t="str">
            <v>Sluice valve NR stem400PN-1.6</v>
          </cell>
          <cell r="C33" t="str">
            <v>Sluice valve NR stem</v>
          </cell>
          <cell r="D33">
            <v>400</v>
          </cell>
          <cell r="E33" t="str">
            <v>PN-1.6</v>
          </cell>
          <cell r="F33" t="str">
            <v>each</v>
          </cell>
          <cell r="G33">
            <v>68883</v>
          </cell>
          <cell r="H33">
            <v>89548</v>
          </cell>
          <cell r="I33">
            <v>89548</v>
          </cell>
          <cell r="J33">
            <v>89548</v>
          </cell>
        </row>
        <row r="34">
          <cell r="B34" t="str">
            <v>Sluice valve NR stem450PN-1.6</v>
          </cell>
          <cell r="C34" t="str">
            <v>Sluice valve NR stem</v>
          </cell>
          <cell r="D34">
            <v>450</v>
          </cell>
          <cell r="E34" t="str">
            <v>PN-1.6</v>
          </cell>
          <cell r="F34" t="str">
            <v>each</v>
          </cell>
          <cell r="G34">
            <v>86470</v>
          </cell>
          <cell r="H34">
            <v>112411</v>
          </cell>
          <cell r="I34">
            <v>112411</v>
          </cell>
          <cell r="J34">
            <v>112411</v>
          </cell>
        </row>
        <row r="35">
          <cell r="B35" t="str">
            <v>Sluice valve NR stem500PN-1.6</v>
          </cell>
          <cell r="C35" t="str">
            <v>Sluice valve NR stem</v>
          </cell>
          <cell r="D35">
            <v>500</v>
          </cell>
          <cell r="E35" t="str">
            <v>PN-1.6</v>
          </cell>
          <cell r="F35" t="str">
            <v>each</v>
          </cell>
          <cell r="G35">
            <v>99360</v>
          </cell>
          <cell r="H35">
            <v>129168</v>
          </cell>
          <cell r="I35">
            <v>129168</v>
          </cell>
          <cell r="J35">
            <v>129168</v>
          </cell>
        </row>
        <row r="36">
          <cell r="B36" t="str">
            <v>Sluice valve NR stem600PN-1.6</v>
          </cell>
          <cell r="C36" t="str">
            <v>Sluice valve NR stem</v>
          </cell>
          <cell r="D36">
            <v>600</v>
          </cell>
          <cell r="E36" t="str">
            <v>PN-1.6</v>
          </cell>
          <cell r="F36" t="str">
            <v>each</v>
          </cell>
          <cell r="G36">
            <v>147322</v>
          </cell>
          <cell r="H36">
            <v>191519</v>
          </cell>
          <cell r="I36">
            <v>191519</v>
          </cell>
          <cell r="J36">
            <v>191519</v>
          </cell>
        </row>
        <row r="37">
          <cell r="B37" t="str">
            <v>Non return valve50PN-1.6</v>
          </cell>
          <cell r="C37" t="str">
            <v>Non return valve</v>
          </cell>
          <cell r="D37">
            <v>50</v>
          </cell>
          <cell r="E37" t="str">
            <v>PN-1.6</v>
          </cell>
          <cell r="F37" t="str">
            <v>each</v>
          </cell>
          <cell r="G37">
            <v>1720</v>
          </cell>
          <cell r="H37">
            <v>2236</v>
          </cell>
          <cell r="I37">
            <v>2236</v>
          </cell>
          <cell r="J37">
            <v>2236</v>
          </cell>
        </row>
        <row r="38">
          <cell r="B38" t="str">
            <v>Non return valve65PN-1.6</v>
          </cell>
          <cell r="C38" t="str">
            <v>Non return valve</v>
          </cell>
          <cell r="D38">
            <v>65</v>
          </cell>
          <cell r="E38" t="str">
            <v>PN-1.6</v>
          </cell>
          <cell r="F38" t="str">
            <v>each</v>
          </cell>
          <cell r="G38">
            <v>2150</v>
          </cell>
          <cell r="H38">
            <v>2795</v>
          </cell>
          <cell r="I38">
            <v>2795</v>
          </cell>
          <cell r="J38">
            <v>2795</v>
          </cell>
        </row>
        <row r="39">
          <cell r="B39" t="str">
            <v>Non return valve80PN-1.6</v>
          </cell>
          <cell r="C39" t="str">
            <v>Non return valve</v>
          </cell>
          <cell r="D39">
            <v>80</v>
          </cell>
          <cell r="E39" t="str">
            <v>PN-1.6</v>
          </cell>
          <cell r="F39" t="str">
            <v>each</v>
          </cell>
          <cell r="G39">
            <v>2581</v>
          </cell>
          <cell r="H39">
            <v>3355</v>
          </cell>
          <cell r="I39">
            <v>3355</v>
          </cell>
          <cell r="J39">
            <v>3355</v>
          </cell>
        </row>
        <row r="40">
          <cell r="B40" t="str">
            <v>Non return valve100PN-1.6</v>
          </cell>
          <cell r="C40" t="str">
            <v>Non return valve</v>
          </cell>
          <cell r="D40">
            <v>100</v>
          </cell>
          <cell r="E40" t="str">
            <v>PN-1.6</v>
          </cell>
          <cell r="F40" t="str">
            <v>each</v>
          </cell>
          <cell r="G40">
            <v>3440</v>
          </cell>
          <cell r="H40">
            <v>4472</v>
          </cell>
          <cell r="I40">
            <v>4472</v>
          </cell>
          <cell r="J40">
            <v>4472</v>
          </cell>
        </row>
        <row r="41">
          <cell r="B41" t="str">
            <v>Non return valve125PN-1.6</v>
          </cell>
          <cell r="C41" t="str">
            <v>Non return valve</v>
          </cell>
          <cell r="D41">
            <v>125</v>
          </cell>
          <cell r="E41" t="str">
            <v>PN-1.6</v>
          </cell>
          <cell r="F41" t="str">
            <v>each</v>
          </cell>
          <cell r="G41">
            <v>4300</v>
          </cell>
          <cell r="H41">
            <v>5590</v>
          </cell>
          <cell r="I41">
            <v>5590</v>
          </cell>
          <cell r="J41">
            <v>5590</v>
          </cell>
        </row>
        <row r="42">
          <cell r="B42" t="str">
            <v>Non return valve150PN-1.6</v>
          </cell>
          <cell r="C42" t="str">
            <v>Non return valve</v>
          </cell>
          <cell r="D42">
            <v>150</v>
          </cell>
          <cell r="E42" t="str">
            <v>PN-1.6</v>
          </cell>
          <cell r="F42" t="str">
            <v>each</v>
          </cell>
          <cell r="G42">
            <v>6449</v>
          </cell>
          <cell r="H42">
            <v>8384</v>
          </cell>
          <cell r="I42">
            <v>8384</v>
          </cell>
          <cell r="J42">
            <v>8384</v>
          </cell>
        </row>
        <row r="43">
          <cell r="B43" t="str">
            <v>Non return valve200PN-1.6</v>
          </cell>
          <cell r="C43" t="str">
            <v>Non return valve</v>
          </cell>
          <cell r="D43">
            <v>200</v>
          </cell>
          <cell r="E43" t="str">
            <v>PN-1.6</v>
          </cell>
          <cell r="F43" t="str">
            <v>each</v>
          </cell>
          <cell r="G43">
            <v>12865</v>
          </cell>
          <cell r="H43">
            <v>16725</v>
          </cell>
          <cell r="I43">
            <v>16725</v>
          </cell>
          <cell r="J43">
            <v>16725</v>
          </cell>
        </row>
        <row r="44">
          <cell r="B44" t="str">
            <v>Non return valve250PN-1.6</v>
          </cell>
          <cell r="C44" t="str">
            <v>Non return valve</v>
          </cell>
          <cell r="D44">
            <v>250</v>
          </cell>
          <cell r="E44" t="str">
            <v>PN-1.6</v>
          </cell>
          <cell r="F44" t="str">
            <v>each</v>
          </cell>
          <cell r="G44">
            <v>18660</v>
          </cell>
          <cell r="H44">
            <v>24258</v>
          </cell>
          <cell r="I44">
            <v>24258</v>
          </cell>
          <cell r="J44">
            <v>24258</v>
          </cell>
        </row>
        <row r="45">
          <cell r="B45" t="str">
            <v>Non return valve300PN-1.6</v>
          </cell>
          <cell r="C45" t="str">
            <v>Non return valve</v>
          </cell>
          <cell r="D45">
            <v>300</v>
          </cell>
          <cell r="E45" t="str">
            <v>PN-1.6</v>
          </cell>
          <cell r="F45" t="str">
            <v>each</v>
          </cell>
          <cell r="G45">
            <v>28071</v>
          </cell>
          <cell r="H45">
            <v>36492</v>
          </cell>
          <cell r="I45">
            <v>36492</v>
          </cell>
          <cell r="J45">
            <v>36492</v>
          </cell>
        </row>
        <row r="46">
          <cell r="B46" t="str">
            <v>Non return valve350PN-1.6</v>
          </cell>
          <cell r="C46" t="str">
            <v>Non return valve</v>
          </cell>
          <cell r="D46">
            <v>350</v>
          </cell>
          <cell r="E46" t="str">
            <v>PN-1.6</v>
          </cell>
          <cell r="F46" t="str">
            <v>each</v>
          </cell>
          <cell r="G46">
            <v>37928</v>
          </cell>
          <cell r="H46">
            <v>49306</v>
          </cell>
          <cell r="I46">
            <v>49306</v>
          </cell>
          <cell r="J46">
            <v>49306</v>
          </cell>
        </row>
        <row r="47">
          <cell r="B47" t="str">
            <v>Non return valve400PN-1.6</v>
          </cell>
          <cell r="C47" t="str">
            <v>Non return valve</v>
          </cell>
          <cell r="D47">
            <v>400</v>
          </cell>
          <cell r="E47" t="str">
            <v>PN-1.6</v>
          </cell>
          <cell r="F47" t="str">
            <v>each</v>
          </cell>
          <cell r="G47">
            <v>49345</v>
          </cell>
          <cell r="H47">
            <v>64149</v>
          </cell>
          <cell r="I47">
            <v>64149</v>
          </cell>
          <cell r="J47">
            <v>64149</v>
          </cell>
        </row>
        <row r="48">
          <cell r="B48" t="str">
            <v>Non return valve450PN-1.6</v>
          </cell>
          <cell r="C48" t="str">
            <v>Non return valve</v>
          </cell>
          <cell r="D48">
            <v>450</v>
          </cell>
          <cell r="E48" t="str">
            <v>PN-1.6</v>
          </cell>
          <cell r="F48" t="str">
            <v>each</v>
          </cell>
          <cell r="G48">
            <v>83129</v>
          </cell>
          <cell r="H48">
            <v>108068</v>
          </cell>
          <cell r="I48">
            <v>108068</v>
          </cell>
          <cell r="J48">
            <v>108068</v>
          </cell>
        </row>
        <row r="49">
          <cell r="B49" t="str">
            <v>Non return valve500PN-1.6</v>
          </cell>
          <cell r="C49" t="str">
            <v>Non return valve</v>
          </cell>
          <cell r="D49">
            <v>500</v>
          </cell>
          <cell r="E49" t="str">
            <v>PN-1.6</v>
          </cell>
          <cell r="F49" t="str">
            <v>each</v>
          </cell>
          <cell r="G49">
            <v>100273</v>
          </cell>
          <cell r="H49">
            <v>130355</v>
          </cell>
          <cell r="I49">
            <v>130355</v>
          </cell>
          <cell r="J49">
            <v>130355</v>
          </cell>
        </row>
        <row r="50">
          <cell r="B50" t="str">
            <v>Non return valve600PN-1.6</v>
          </cell>
          <cell r="C50" t="str">
            <v>Non return valve</v>
          </cell>
          <cell r="D50">
            <v>600</v>
          </cell>
          <cell r="E50" t="str">
            <v>PN-1.6</v>
          </cell>
          <cell r="F50" t="str">
            <v>each</v>
          </cell>
          <cell r="G50">
            <v>160196</v>
          </cell>
          <cell r="H50">
            <v>208255</v>
          </cell>
          <cell r="I50">
            <v>208255</v>
          </cell>
          <cell r="J50">
            <v>208255</v>
          </cell>
        </row>
        <row r="51">
          <cell r="B51" t="str">
            <v>Kinetic Double Air valve40PN-1</v>
          </cell>
          <cell r="C51" t="str">
            <v>Kinetic Double Air valve</v>
          </cell>
          <cell r="D51">
            <v>40</v>
          </cell>
          <cell r="E51" t="str">
            <v>PN-1</v>
          </cell>
          <cell r="F51" t="str">
            <v>each</v>
          </cell>
          <cell r="G51">
            <v>2029</v>
          </cell>
          <cell r="H51">
            <v>2638</v>
          </cell>
          <cell r="I51">
            <v>2638</v>
          </cell>
          <cell r="J51">
            <v>2638</v>
          </cell>
        </row>
        <row r="52">
          <cell r="B52" t="str">
            <v>Kinetic Double Air valve50PN-1</v>
          </cell>
          <cell r="C52" t="str">
            <v>Kinetic Double Air valve</v>
          </cell>
          <cell r="D52">
            <v>50</v>
          </cell>
          <cell r="E52" t="str">
            <v>PN-1</v>
          </cell>
          <cell r="F52" t="str">
            <v>each</v>
          </cell>
          <cell r="G52">
            <v>2452</v>
          </cell>
          <cell r="H52">
            <v>3188</v>
          </cell>
          <cell r="I52">
            <v>3188</v>
          </cell>
          <cell r="J52">
            <v>3188</v>
          </cell>
        </row>
        <row r="53">
          <cell r="B53" t="str">
            <v>Kinetic Double Air valve80PN-1</v>
          </cell>
          <cell r="C53" t="str">
            <v>Kinetic Double Air valve</v>
          </cell>
          <cell r="D53">
            <v>80</v>
          </cell>
          <cell r="E53" t="str">
            <v>PN-1</v>
          </cell>
          <cell r="F53" t="str">
            <v>each</v>
          </cell>
          <cell r="G53">
            <v>3280</v>
          </cell>
          <cell r="H53">
            <v>4264</v>
          </cell>
          <cell r="I53">
            <v>4264</v>
          </cell>
          <cell r="J53">
            <v>4264</v>
          </cell>
        </row>
        <row r="54">
          <cell r="B54" t="str">
            <v>Kinetic Double Air valve100PN-1</v>
          </cell>
          <cell r="C54" t="str">
            <v>Kinetic Double Air valve</v>
          </cell>
          <cell r="D54">
            <v>100</v>
          </cell>
          <cell r="E54" t="str">
            <v>PN-1</v>
          </cell>
          <cell r="F54" t="str">
            <v>each</v>
          </cell>
          <cell r="G54">
            <v>4395</v>
          </cell>
          <cell r="H54">
            <v>5714</v>
          </cell>
          <cell r="I54">
            <v>5714</v>
          </cell>
          <cell r="J54">
            <v>5714</v>
          </cell>
        </row>
        <row r="55">
          <cell r="B55" t="str">
            <v>Kinetic Double Air valve150PN-1</v>
          </cell>
          <cell r="C55" t="str">
            <v>Kinetic Double Air valve</v>
          </cell>
          <cell r="D55">
            <v>150</v>
          </cell>
          <cell r="E55" t="str">
            <v>PN-1</v>
          </cell>
          <cell r="F55" t="str">
            <v>each</v>
          </cell>
          <cell r="G55">
            <v>9902</v>
          </cell>
          <cell r="H55">
            <v>12873</v>
          </cell>
          <cell r="I55">
            <v>12873</v>
          </cell>
          <cell r="J55">
            <v>12873</v>
          </cell>
        </row>
        <row r="56">
          <cell r="B56" t="str">
            <v>Kinetic Double Air valve200PN-1</v>
          </cell>
          <cell r="C56" t="str">
            <v>Kinetic Double Air valve</v>
          </cell>
          <cell r="D56">
            <v>200</v>
          </cell>
          <cell r="E56" t="str">
            <v>PN-1</v>
          </cell>
          <cell r="F56" t="str">
            <v>each</v>
          </cell>
          <cell r="G56">
            <v>16398</v>
          </cell>
          <cell r="H56">
            <v>21317</v>
          </cell>
          <cell r="I56">
            <v>21317</v>
          </cell>
          <cell r="J56">
            <v>21317</v>
          </cell>
        </row>
        <row r="57">
          <cell r="B57" t="str">
            <v>Double Air valve40PN-1</v>
          </cell>
          <cell r="C57" t="str">
            <v>Double Air valve</v>
          </cell>
          <cell r="D57">
            <v>40</v>
          </cell>
          <cell r="E57" t="str">
            <v>PN-1</v>
          </cell>
          <cell r="F57" t="str">
            <v>each</v>
          </cell>
          <cell r="G57">
            <v>1259</v>
          </cell>
          <cell r="H57">
            <v>1637</v>
          </cell>
          <cell r="I57">
            <v>1637</v>
          </cell>
          <cell r="J57">
            <v>1637</v>
          </cell>
        </row>
        <row r="58">
          <cell r="B58" t="str">
            <v>Double Air valve50PN-1</v>
          </cell>
          <cell r="C58" t="str">
            <v>Double Air valve</v>
          </cell>
          <cell r="D58">
            <v>50</v>
          </cell>
          <cell r="E58" t="str">
            <v>PN-1</v>
          </cell>
          <cell r="F58" t="str">
            <v>each</v>
          </cell>
          <cell r="G58">
            <v>1739</v>
          </cell>
          <cell r="H58">
            <v>2261</v>
          </cell>
          <cell r="I58">
            <v>2261</v>
          </cell>
          <cell r="J58">
            <v>2261</v>
          </cell>
        </row>
        <row r="59">
          <cell r="B59" t="str">
            <v>Double Air valve80PN-1</v>
          </cell>
          <cell r="C59" t="str">
            <v>Double Air valve</v>
          </cell>
          <cell r="D59">
            <v>80</v>
          </cell>
          <cell r="E59" t="str">
            <v>PN-1</v>
          </cell>
          <cell r="F59" t="str">
            <v>each</v>
          </cell>
          <cell r="G59">
            <v>2409</v>
          </cell>
          <cell r="H59">
            <v>3132</v>
          </cell>
          <cell r="I59">
            <v>3132</v>
          </cell>
          <cell r="J59">
            <v>3132</v>
          </cell>
        </row>
        <row r="60">
          <cell r="B60" t="str">
            <v>Double Air valve100PN-1</v>
          </cell>
          <cell r="C60" t="str">
            <v>Double Air valve</v>
          </cell>
          <cell r="D60">
            <v>100</v>
          </cell>
          <cell r="E60" t="str">
            <v>PN-1</v>
          </cell>
          <cell r="F60" t="str">
            <v>each</v>
          </cell>
          <cell r="G60">
            <v>2989</v>
          </cell>
          <cell r="H60">
            <v>3886</v>
          </cell>
          <cell r="I60">
            <v>3886</v>
          </cell>
          <cell r="J60">
            <v>3886</v>
          </cell>
        </row>
        <row r="61">
          <cell r="B61" t="str">
            <v>Double Air valve150PN-1</v>
          </cell>
          <cell r="C61" t="str">
            <v>Double Air valve</v>
          </cell>
          <cell r="D61">
            <v>150</v>
          </cell>
          <cell r="E61" t="str">
            <v>PN-1</v>
          </cell>
          <cell r="F61" t="str">
            <v>each</v>
          </cell>
          <cell r="G61">
            <v>7789</v>
          </cell>
          <cell r="H61">
            <v>10126</v>
          </cell>
          <cell r="I61">
            <v>10126</v>
          </cell>
          <cell r="J61">
            <v>10126</v>
          </cell>
        </row>
        <row r="62">
          <cell r="B62" t="str">
            <v>Double Air valve200PN-1</v>
          </cell>
          <cell r="C62" t="str">
            <v>Double Air valve</v>
          </cell>
          <cell r="D62">
            <v>200</v>
          </cell>
          <cell r="E62" t="str">
            <v>PN-1</v>
          </cell>
          <cell r="F62" t="str">
            <v>each</v>
          </cell>
          <cell r="G62">
            <v>13585</v>
          </cell>
          <cell r="H62">
            <v>17661</v>
          </cell>
          <cell r="I62">
            <v>17661</v>
          </cell>
          <cell r="J62">
            <v>17661</v>
          </cell>
        </row>
        <row r="63">
          <cell r="B63" t="str">
            <v>Kinetic Air valve40PN-1</v>
          </cell>
          <cell r="C63" t="str">
            <v>Kinetic Air valve</v>
          </cell>
          <cell r="D63">
            <v>40</v>
          </cell>
          <cell r="E63" t="str">
            <v>PN-1</v>
          </cell>
          <cell r="F63" t="str">
            <v>each</v>
          </cell>
          <cell r="G63">
            <v>5774</v>
          </cell>
          <cell r="H63">
            <v>7506</v>
          </cell>
          <cell r="I63">
            <v>7506</v>
          </cell>
          <cell r="J63">
            <v>7506</v>
          </cell>
        </row>
        <row r="64">
          <cell r="B64" t="str">
            <v>Kinetic Air valve50PN-1</v>
          </cell>
          <cell r="C64" t="str">
            <v>Kinetic Air valve</v>
          </cell>
          <cell r="D64">
            <v>50</v>
          </cell>
          <cell r="E64" t="str">
            <v>PN-1</v>
          </cell>
          <cell r="F64" t="str">
            <v>each</v>
          </cell>
          <cell r="G64">
            <v>6738</v>
          </cell>
          <cell r="H64">
            <v>8759</v>
          </cell>
          <cell r="I64">
            <v>8759</v>
          </cell>
          <cell r="J64">
            <v>8759</v>
          </cell>
        </row>
        <row r="65">
          <cell r="B65" t="str">
            <v>Kinetic Air valve80PN-1</v>
          </cell>
          <cell r="C65" t="str">
            <v>Kinetic Air valve</v>
          </cell>
          <cell r="D65">
            <v>80</v>
          </cell>
          <cell r="E65" t="str">
            <v>PN-1</v>
          </cell>
          <cell r="F65" t="str">
            <v>each</v>
          </cell>
          <cell r="G65">
            <v>8876</v>
          </cell>
          <cell r="H65">
            <v>11539</v>
          </cell>
          <cell r="I65">
            <v>11539</v>
          </cell>
          <cell r="J65">
            <v>11539</v>
          </cell>
        </row>
        <row r="66">
          <cell r="B66" t="str">
            <v>Kinetic Air valve100PN-1</v>
          </cell>
          <cell r="C66" t="str">
            <v>Kinetic Air valve</v>
          </cell>
          <cell r="D66">
            <v>100</v>
          </cell>
          <cell r="E66" t="str">
            <v>PN-1</v>
          </cell>
          <cell r="F66" t="str">
            <v>each</v>
          </cell>
          <cell r="G66">
            <v>12226</v>
          </cell>
          <cell r="H66">
            <v>15894</v>
          </cell>
          <cell r="I66">
            <v>15894</v>
          </cell>
          <cell r="J66">
            <v>15894</v>
          </cell>
        </row>
        <row r="67">
          <cell r="B67" t="str">
            <v>Kinetic Air valve150PN-1</v>
          </cell>
          <cell r="C67" t="str">
            <v>Kinetic Air valve</v>
          </cell>
          <cell r="D67">
            <v>150</v>
          </cell>
          <cell r="E67" t="str">
            <v>PN-1</v>
          </cell>
          <cell r="F67" t="str">
            <v>each</v>
          </cell>
          <cell r="G67">
            <v>24090</v>
          </cell>
          <cell r="H67">
            <v>31317</v>
          </cell>
          <cell r="I67">
            <v>31317</v>
          </cell>
          <cell r="J67">
            <v>31317</v>
          </cell>
        </row>
        <row r="68">
          <cell r="B68" t="str">
            <v>Kinetic Air valve200PN-1</v>
          </cell>
          <cell r="C68" t="str">
            <v>Kinetic Air valve</v>
          </cell>
          <cell r="D68">
            <v>200</v>
          </cell>
          <cell r="E68" t="str">
            <v>PN-1</v>
          </cell>
          <cell r="F68" t="str">
            <v>each</v>
          </cell>
          <cell r="G68">
            <v>35924</v>
          </cell>
          <cell r="H68">
            <v>46701</v>
          </cell>
          <cell r="I68">
            <v>46701</v>
          </cell>
          <cell r="J68">
            <v>46701</v>
          </cell>
        </row>
        <row r="69">
          <cell r="B69" t="str">
            <v>Kinetic Air valve40PN-1.6</v>
          </cell>
          <cell r="C69" t="str">
            <v>Kinetic Air valve</v>
          </cell>
          <cell r="D69">
            <v>40</v>
          </cell>
          <cell r="E69" t="str">
            <v>PN-1.6</v>
          </cell>
          <cell r="F69" t="str">
            <v>each</v>
          </cell>
          <cell r="G69">
            <v>6641</v>
          </cell>
          <cell r="H69">
            <v>8633</v>
          </cell>
          <cell r="I69">
            <v>8633</v>
          </cell>
          <cell r="J69">
            <v>8633</v>
          </cell>
        </row>
        <row r="70">
          <cell r="B70" t="str">
            <v>Kinetic Air valve50PN-1.6</v>
          </cell>
          <cell r="C70" t="str">
            <v>Kinetic Air valve</v>
          </cell>
          <cell r="D70">
            <v>50</v>
          </cell>
          <cell r="E70" t="str">
            <v>PN-1.6</v>
          </cell>
          <cell r="F70" t="str">
            <v>each</v>
          </cell>
          <cell r="G70">
            <v>7749</v>
          </cell>
          <cell r="H70">
            <v>10074</v>
          </cell>
          <cell r="I70">
            <v>10074</v>
          </cell>
          <cell r="J70">
            <v>10074</v>
          </cell>
        </row>
        <row r="71">
          <cell r="B71" t="str">
            <v>Kinetic Air valve80PN-1.6</v>
          </cell>
          <cell r="C71" t="str">
            <v>Kinetic Air valve</v>
          </cell>
          <cell r="D71">
            <v>80</v>
          </cell>
          <cell r="E71" t="str">
            <v>PN-1.6</v>
          </cell>
          <cell r="F71" t="str">
            <v>each</v>
          </cell>
          <cell r="G71">
            <v>10204</v>
          </cell>
          <cell r="H71">
            <v>13265</v>
          </cell>
          <cell r="I71">
            <v>13265</v>
          </cell>
          <cell r="J71">
            <v>13265</v>
          </cell>
        </row>
        <row r="72">
          <cell r="B72" t="str">
            <v>Kinetic Air valve100PN-1.6</v>
          </cell>
          <cell r="C72" t="str">
            <v>Kinetic Air valve</v>
          </cell>
          <cell r="D72">
            <v>100</v>
          </cell>
          <cell r="E72" t="str">
            <v>PN-1.6</v>
          </cell>
          <cell r="F72" t="str">
            <v>each</v>
          </cell>
          <cell r="G72">
            <v>14068</v>
          </cell>
          <cell r="H72">
            <v>18288</v>
          </cell>
          <cell r="I72">
            <v>18288</v>
          </cell>
          <cell r="J72">
            <v>18288</v>
          </cell>
        </row>
        <row r="73">
          <cell r="B73" t="str">
            <v>Kinetic Air valve150PN-1.6</v>
          </cell>
          <cell r="C73" t="str">
            <v>Kinetic Air valve</v>
          </cell>
          <cell r="D73">
            <v>150</v>
          </cell>
          <cell r="E73" t="str">
            <v>PN-1.6</v>
          </cell>
          <cell r="F73" t="str">
            <v>each</v>
          </cell>
          <cell r="G73">
            <v>27713</v>
          </cell>
          <cell r="H73">
            <v>36027</v>
          </cell>
          <cell r="I73">
            <v>36027</v>
          </cell>
          <cell r="J73">
            <v>36027</v>
          </cell>
        </row>
        <row r="74">
          <cell r="B74" t="str">
            <v>Kinetic Air valve200PN-1.6</v>
          </cell>
          <cell r="C74" t="str">
            <v>Kinetic Air valve</v>
          </cell>
          <cell r="D74">
            <v>200</v>
          </cell>
          <cell r="E74" t="str">
            <v>PN-1.6</v>
          </cell>
          <cell r="F74" t="str">
            <v>each</v>
          </cell>
          <cell r="G74">
            <v>41315</v>
          </cell>
          <cell r="H74">
            <v>53710</v>
          </cell>
          <cell r="I74">
            <v>53710</v>
          </cell>
          <cell r="J74">
            <v>53710</v>
          </cell>
        </row>
        <row r="75">
          <cell r="B75" t="str">
            <v>Dismantling joint63</v>
          </cell>
          <cell r="C75" t="str">
            <v>Dismantling joint</v>
          </cell>
          <cell r="D75">
            <v>63</v>
          </cell>
          <cell r="E75">
            <v>0</v>
          </cell>
          <cell r="F75" t="str">
            <v>each</v>
          </cell>
          <cell r="G75">
            <v>1082</v>
          </cell>
          <cell r="H75">
            <v>1082</v>
          </cell>
          <cell r="I75">
            <v>1082</v>
          </cell>
          <cell r="J75">
            <v>2723</v>
          </cell>
        </row>
        <row r="76">
          <cell r="B76" t="str">
            <v>Dismantling joint75</v>
          </cell>
          <cell r="C76" t="str">
            <v>Dismantling joint</v>
          </cell>
          <cell r="D76">
            <v>75</v>
          </cell>
          <cell r="E76">
            <v>0</v>
          </cell>
          <cell r="F76" t="str">
            <v>each</v>
          </cell>
          <cell r="G76">
            <v>1082</v>
          </cell>
          <cell r="H76">
            <v>1082</v>
          </cell>
          <cell r="I76">
            <v>1082</v>
          </cell>
          <cell r="J76">
            <v>2723</v>
          </cell>
        </row>
        <row r="77">
          <cell r="B77" t="str">
            <v>Dismantling joint90</v>
          </cell>
          <cell r="C77" t="str">
            <v>Dismantling joint</v>
          </cell>
          <cell r="D77">
            <v>90</v>
          </cell>
          <cell r="E77">
            <v>0</v>
          </cell>
          <cell r="F77" t="str">
            <v>each</v>
          </cell>
          <cell r="G77">
            <v>1082</v>
          </cell>
          <cell r="H77">
            <v>1082</v>
          </cell>
          <cell r="I77">
            <v>1082</v>
          </cell>
          <cell r="J77">
            <v>2981</v>
          </cell>
        </row>
        <row r="78">
          <cell r="B78" t="str">
            <v>Dismantling joint110</v>
          </cell>
          <cell r="C78" t="str">
            <v>Dismantling joint</v>
          </cell>
          <cell r="D78">
            <v>110</v>
          </cell>
          <cell r="E78">
            <v>0</v>
          </cell>
          <cell r="F78" t="str">
            <v>each</v>
          </cell>
          <cell r="G78">
            <v>1332</v>
          </cell>
          <cell r="H78">
            <v>1332</v>
          </cell>
          <cell r="I78">
            <v>1332</v>
          </cell>
          <cell r="J78">
            <v>3913</v>
          </cell>
        </row>
        <row r="79">
          <cell r="B79" t="str">
            <v>Dismantling joint125</v>
          </cell>
          <cell r="C79" t="str">
            <v>Dismantling joint</v>
          </cell>
          <cell r="D79">
            <v>125</v>
          </cell>
          <cell r="E79">
            <v>0</v>
          </cell>
          <cell r="F79" t="str">
            <v>each</v>
          </cell>
          <cell r="G79">
            <v>1720</v>
          </cell>
          <cell r="H79">
            <v>1720</v>
          </cell>
          <cell r="I79">
            <v>1720</v>
          </cell>
          <cell r="J79">
            <v>5030</v>
          </cell>
        </row>
        <row r="80">
          <cell r="B80" t="str">
            <v>Dismantling joint140</v>
          </cell>
          <cell r="C80" t="str">
            <v>Dismantling joint</v>
          </cell>
          <cell r="D80">
            <v>140</v>
          </cell>
          <cell r="E80">
            <v>0</v>
          </cell>
          <cell r="F80" t="str">
            <v>each</v>
          </cell>
          <cell r="G80">
            <v>2130</v>
          </cell>
          <cell r="H80">
            <v>2130</v>
          </cell>
          <cell r="I80">
            <v>2130</v>
          </cell>
          <cell r="J80">
            <v>5518</v>
          </cell>
        </row>
        <row r="81">
          <cell r="B81" t="str">
            <v>Dismantling joint160</v>
          </cell>
          <cell r="C81" t="str">
            <v>Dismantling joint</v>
          </cell>
          <cell r="D81">
            <v>160</v>
          </cell>
          <cell r="E81">
            <v>0</v>
          </cell>
          <cell r="F81" t="str">
            <v>each</v>
          </cell>
          <cell r="G81">
            <v>2130</v>
          </cell>
          <cell r="H81">
            <v>2130</v>
          </cell>
          <cell r="I81">
            <v>2130</v>
          </cell>
          <cell r="J81">
            <v>5518</v>
          </cell>
        </row>
        <row r="82">
          <cell r="B82" t="str">
            <v>Dismantling joint180</v>
          </cell>
          <cell r="C82" t="str">
            <v>Dismantling joint</v>
          </cell>
          <cell r="D82">
            <v>180</v>
          </cell>
          <cell r="E82">
            <v>0</v>
          </cell>
          <cell r="F82" t="str">
            <v>each</v>
          </cell>
          <cell r="G82">
            <v>2130</v>
          </cell>
          <cell r="H82">
            <v>2130</v>
          </cell>
          <cell r="I82">
            <v>2130</v>
          </cell>
          <cell r="J82">
            <v>5518</v>
          </cell>
        </row>
        <row r="83">
          <cell r="B83" t="str">
            <v>Dismantling joint200</v>
          </cell>
          <cell r="C83" t="str">
            <v>Dismantling joint</v>
          </cell>
          <cell r="D83">
            <v>200</v>
          </cell>
          <cell r="E83">
            <v>0</v>
          </cell>
          <cell r="F83" t="str">
            <v>each</v>
          </cell>
          <cell r="G83">
            <v>3532</v>
          </cell>
          <cell r="H83">
            <v>3532</v>
          </cell>
          <cell r="I83">
            <v>3532</v>
          </cell>
          <cell r="J83">
            <v>7825</v>
          </cell>
        </row>
        <row r="84">
          <cell r="B84" t="str">
            <v>Dismantling joint225</v>
          </cell>
          <cell r="C84" t="str">
            <v>Dismantling joint</v>
          </cell>
          <cell r="D84">
            <v>225</v>
          </cell>
          <cell r="E84">
            <v>0</v>
          </cell>
          <cell r="F84" t="str">
            <v>each</v>
          </cell>
          <cell r="G84">
            <v>3532</v>
          </cell>
          <cell r="H84">
            <v>3532</v>
          </cell>
          <cell r="I84">
            <v>3532</v>
          </cell>
          <cell r="J84">
            <v>7825</v>
          </cell>
        </row>
        <row r="85">
          <cell r="B85" t="str">
            <v>Dismantling joint250</v>
          </cell>
          <cell r="C85" t="str">
            <v>Dismantling joint</v>
          </cell>
          <cell r="D85">
            <v>250</v>
          </cell>
          <cell r="E85">
            <v>0</v>
          </cell>
          <cell r="F85" t="str">
            <v>each</v>
          </cell>
          <cell r="G85">
            <v>4995</v>
          </cell>
          <cell r="H85">
            <v>4995</v>
          </cell>
          <cell r="I85">
            <v>4995</v>
          </cell>
          <cell r="J85">
            <v>9316</v>
          </cell>
        </row>
        <row r="86">
          <cell r="B86" t="str">
            <v>Dismantling joint280</v>
          </cell>
          <cell r="C86" t="str">
            <v>Dismantling joint</v>
          </cell>
          <cell r="D86">
            <v>280</v>
          </cell>
          <cell r="E86">
            <v>0</v>
          </cell>
          <cell r="F86" t="str">
            <v>each</v>
          </cell>
          <cell r="G86">
            <v>4995</v>
          </cell>
          <cell r="H86">
            <v>4995</v>
          </cell>
          <cell r="I86">
            <v>4995</v>
          </cell>
          <cell r="J86">
            <v>9316</v>
          </cell>
        </row>
        <row r="87">
          <cell r="B87" t="str">
            <v>Dismantling joint315</v>
          </cell>
          <cell r="C87" t="str">
            <v>Dismantling joint</v>
          </cell>
          <cell r="D87">
            <v>315</v>
          </cell>
          <cell r="E87">
            <v>0</v>
          </cell>
          <cell r="F87" t="str">
            <v>each</v>
          </cell>
          <cell r="G87">
            <v>6348</v>
          </cell>
          <cell r="H87">
            <v>6348</v>
          </cell>
          <cell r="I87">
            <v>6348</v>
          </cell>
          <cell r="J87">
            <v>14906</v>
          </cell>
        </row>
        <row r="88">
          <cell r="B88" t="str">
            <v>Dismantling joint350</v>
          </cell>
          <cell r="C88" t="str">
            <v>Dismantling joint</v>
          </cell>
          <cell r="D88">
            <v>350</v>
          </cell>
          <cell r="E88">
            <v>0</v>
          </cell>
          <cell r="F88" t="str">
            <v>each</v>
          </cell>
          <cell r="G88">
            <v>7703</v>
          </cell>
          <cell r="H88">
            <v>7703</v>
          </cell>
          <cell r="I88">
            <v>7703</v>
          </cell>
          <cell r="J88">
            <v>35354</v>
          </cell>
        </row>
        <row r="89">
          <cell r="B89" t="str">
            <v>Dismantling joint400</v>
          </cell>
          <cell r="C89" t="str">
            <v>Dismantling joint</v>
          </cell>
          <cell r="D89">
            <v>400</v>
          </cell>
          <cell r="E89">
            <v>0</v>
          </cell>
          <cell r="F89" t="str">
            <v>each</v>
          </cell>
          <cell r="G89">
            <v>9705</v>
          </cell>
          <cell r="H89">
            <v>9705</v>
          </cell>
          <cell r="I89">
            <v>9705</v>
          </cell>
          <cell r="J89">
            <v>40513</v>
          </cell>
        </row>
        <row r="90">
          <cell r="B90" t="str">
            <v>Dismantling joint450</v>
          </cell>
          <cell r="C90" t="str">
            <v>Dismantling joint</v>
          </cell>
          <cell r="D90">
            <v>450</v>
          </cell>
          <cell r="E90">
            <v>0</v>
          </cell>
          <cell r="F90" t="str">
            <v>each</v>
          </cell>
          <cell r="G90">
            <v>11532</v>
          </cell>
          <cell r="H90">
            <v>11532</v>
          </cell>
          <cell r="I90">
            <v>11532</v>
          </cell>
          <cell r="J90">
            <v>43953</v>
          </cell>
        </row>
        <row r="91">
          <cell r="B91" t="str">
            <v>Dismantling joint500</v>
          </cell>
          <cell r="C91" t="str">
            <v>Dismantling joint</v>
          </cell>
          <cell r="D91">
            <v>500</v>
          </cell>
          <cell r="E91">
            <v>0</v>
          </cell>
          <cell r="F91" t="str">
            <v>each</v>
          </cell>
          <cell r="G91">
            <v>13535</v>
          </cell>
          <cell r="H91">
            <v>13535</v>
          </cell>
          <cell r="I91">
            <v>13535</v>
          </cell>
          <cell r="J91">
            <v>52606</v>
          </cell>
        </row>
        <row r="92">
          <cell r="B92" t="str">
            <v>Dismantling joint600</v>
          </cell>
          <cell r="C92" t="str">
            <v>Dismantling joint</v>
          </cell>
          <cell r="D92">
            <v>600</v>
          </cell>
          <cell r="E92">
            <v>0</v>
          </cell>
          <cell r="F92" t="str">
            <v>each</v>
          </cell>
          <cell r="G92">
            <v>20508</v>
          </cell>
          <cell r="H92">
            <v>20508</v>
          </cell>
          <cell r="I92">
            <v>20508</v>
          </cell>
          <cell r="J92">
            <v>61214</v>
          </cell>
        </row>
        <row r="93">
          <cell r="B93" t="str">
            <v>Dismantling joint700</v>
          </cell>
          <cell r="C93" t="str">
            <v>Dismantling joint</v>
          </cell>
          <cell r="D93">
            <v>700</v>
          </cell>
          <cell r="E93">
            <v>0</v>
          </cell>
          <cell r="F93" t="str">
            <v>each</v>
          </cell>
          <cell r="G93">
            <v>26643</v>
          </cell>
          <cell r="H93">
            <v>26643</v>
          </cell>
          <cell r="I93">
            <v>26643</v>
          </cell>
          <cell r="J93">
            <v>68101</v>
          </cell>
        </row>
        <row r="94">
          <cell r="B94" t="str">
            <v>Dismantling joint800</v>
          </cell>
          <cell r="C94" t="str">
            <v>Dismantling joint</v>
          </cell>
          <cell r="D94">
            <v>800</v>
          </cell>
          <cell r="E94">
            <v>0</v>
          </cell>
          <cell r="F94" t="str">
            <v>each</v>
          </cell>
          <cell r="G94">
            <v>32414</v>
          </cell>
          <cell r="H94">
            <v>32414</v>
          </cell>
          <cell r="I94">
            <v>32414</v>
          </cell>
          <cell r="J94">
            <v>83596</v>
          </cell>
        </row>
        <row r="95">
          <cell r="E95" t="str">
            <v>WEIGTHS</v>
          </cell>
        </row>
        <row r="96">
          <cell r="B96" t="str">
            <v>CI pipes and Specials</v>
          </cell>
          <cell r="C96">
            <v>0</v>
          </cell>
          <cell r="D96" t="str">
            <v>CI pipes and Specials</v>
          </cell>
          <cell r="E96">
            <v>0</v>
          </cell>
          <cell r="F96" t="str">
            <v>kg</v>
          </cell>
          <cell r="G96">
            <v>33.25</v>
          </cell>
          <cell r="H96">
            <v>52.9</v>
          </cell>
          <cell r="I96">
            <v>52.9</v>
          </cell>
          <cell r="J96">
            <v>40.700000000000003</v>
          </cell>
        </row>
        <row r="97">
          <cell r="B97" t="str">
            <v>Pigiron</v>
          </cell>
          <cell r="C97">
            <v>0</v>
          </cell>
          <cell r="D97" t="str">
            <v>Pigiron</v>
          </cell>
          <cell r="E97">
            <v>0</v>
          </cell>
          <cell r="F97" t="str">
            <v>MT</v>
          </cell>
          <cell r="G97">
            <v>20000</v>
          </cell>
          <cell r="H97">
            <v>27000</v>
          </cell>
          <cell r="I97">
            <v>27000</v>
          </cell>
          <cell r="J97">
            <v>19000</v>
          </cell>
        </row>
        <row r="98">
          <cell r="B98" t="str">
            <v>Coke</v>
          </cell>
          <cell r="C98">
            <v>0</v>
          </cell>
          <cell r="D98" t="str">
            <v>Coke</v>
          </cell>
          <cell r="E98">
            <v>0</v>
          </cell>
          <cell r="F98" t="str">
            <v>MT</v>
          </cell>
          <cell r="G98">
            <v>20000</v>
          </cell>
          <cell r="H98">
            <v>24900</v>
          </cell>
          <cell r="I98">
            <v>24900</v>
          </cell>
          <cell r="J98">
            <v>23500</v>
          </cell>
        </row>
        <row r="99">
          <cell r="B99" t="str">
            <v>CI D/F pipes - 2m long8047</v>
          </cell>
          <cell r="C99" t="str">
            <v>CI D/F pipes - 2m long</v>
          </cell>
          <cell r="D99">
            <v>80</v>
          </cell>
          <cell r="E99">
            <v>47</v>
          </cell>
          <cell r="F99" t="str">
            <v>each</v>
          </cell>
          <cell r="G99">
            <v>1562.75</v>
          </cell>
          <cell r="H99">
            <v>2486.2999999999997</v>
          </cell>
          <cell r="I99">
            <v>2486.2999999999997</v>
          </cell>
          <cell r="J99">
            <v>1912.9</v>
          </cell>
        </row>
        <row r="100">
          <cell r="B100" t="str">
            <v>CI D/F pipes - 2m long10059.2</v>
          </cell>
          <cell r="C100" t="str">
            <v>CI D/F pipes - 2m long</v>
          </cell>
          <cell r="D100">
            <v>100</v>
          </cell>
          <cell r="E100">
            <v>59.2</v>
          </cell>
          <cell r="F100" t="str">
            <v>each</v>
          </cell>
          <cell r="G100">
            <v>1968.4</v>
          </cell>
          <cell r="H100">
            <v>3131.6800000000003</v>
          </cell>
          <cell r="I100">
            <v>3131.6800000000003</v>
          </cell>
          <cell r="J100">
            <v>2409.4400000000005</v>
          </cell>
        </row>
        <row r="101">
          <cell r="B101" t="str">
            <v>CI D/F pipes - 2m long12576.8</v>
          </cell>
          <cell r="C101" t="str">
            <v>CI D/F pipes - 2m long</v>
          </cell>
          <cell r="D101">
            <v>125</v>
          </cell>
          <cell r="E101">
            <v>76.8</v>
          </cell>
          <cell r="F101" t="str">
            <v>each</v>
          </cell>
          <cell r="G101">
            <v>2553.6</v>
          </cell>
          <cell r="H101">
            <v>4062.72</v>
          </cell>
          <cell r="I101">
            <v>4062.72</v>
          </cell>
          <cell r="J101">
            <v>3125.76</v>
          </cell>
        </row>
        <row r="102">
          <cell r="B102" t="str">
            <v>CI D/F pipes - 2m long15096.6</v>
          </cell>
          <cell r="C102" t="str">
            <v>CI D/F pipes - 2m long</v>
          </cell>
          <cell r="D102">
            <v>150</v>
          </cell>
          <cell r="E102">
            <v>96.6</v>
          </cell>
          <cell r="F102" t="str">
            <v>each</v>
          </cell>
          <cell r="G102">
            <v>3211.95</v>
          </cell>
          <cell r="H102">
            <v>5110.1399999999994</v>
          </cell>
          <cell r="I102">
            <v>5110.1399999999994</v>
          </cell>
          <cell r="J102">
            <v>3931.62</v>
          </cell>
        </row>
        <row r="103">
          <cell r="B103" t="str">
            <v>CI D/F pipes - 2m long200138.8</v>
          </cell>
          <cell r="C103" t="str">
            <v>CI D/F pipes - 2m long</v>
          </cell>
          <cell r="D103">
            <v>200</v>
          </cell>
          <cell r="E103">
            <v>138.80000000000001</v>
          </cell>
          <cell r="F103" t="str">
            <v>each</v>
          </cell>
          <cell r="G103">
            <v>4615.1000000000004</v>
          </cell>
          <cell r="H103">
            <v>7342.52</v>
          </cell>
          <cell r="I103">
            <v>7342.52</v>
          </cell>
          <cell r="J103">
            <v>5649.1600000000008</v>
          </cell>
        </row>
        <row r="104">
          <cell r="B104" t="str">
            <v>CI D/F pipes - 2m long250187.6</v>
          </cell>
          <cell r="C104" t="str">
            <v>CI D/F pipes - 2m long</v>
          </cell>
          <cell r="D104">
            <v>250</v>
          </cell>
          <cell r="E104">
            <v>187.6</v>
          </cell>
          <cell r="F104" t="str">
            <v>each</v>
          </cell>
          <cell r="G104">
            <v>6237.7</v>
          </cell>
          <cell r="H104">
            <v>9924.0399999999991</v>
          </cell>
          <cell r="I104">
            <v>9924.0399999999991</v>
          </cell>
          <cell r="J104">
            <v>7635.3200000000006</v>
          </cell>
        </row>
        <row r="105">
          <cell r="B105" t="str">
            <v>CI D/F pipes - 2m long300241.2</v>
          </cell>
          <cell r="C105" t="str">
            <v>CI D/F pipes - 2m long</v>
          </cell>
          <cell r="D105">
            <v>300</v>
          </cell>
          <cell r="E105">
            <v>241.2</v>
          </cell>
          <cell r="F105" t="str">
            <v>each</v>
          </cell>
          <cell r="G105">
            <v>8019.9</v>
          </cell>
          <cell r="H105">
            <v>12759.48</v>
          </cell>
          <cell r="I105">
            <v>12759.48</v>
          </cell>
          <cell r="J105">
            <v>9816.84</v>
          </cell>
        </row>
        <row r="106">
          <cell r="B106" t="str">
            <v>CI D/F pipes - 2m long350305</v>
          </cell>
          <cell r="C106" t="str">
            <v>CI D/F pipes - 2m long</v>
          </cell>
          <cell r="D106">
            <v>350</v>
          </cell>
          <cell r="E106">
            <v>305</v>
          </cell>
          <cell r="F106" t="str">
            <v>each</v>
          </cell>
          <cell r="G106">
            <v>10141.25</v>
          </cell>
          <cell r="H106">
            <v>16134.5</v>
          </cell>
          <cell r="I106">
            <v>16134.5</v>
          </cell>
          <cell r="J106">
            <v>12413.5</v>
          </cell>
        </row>
        <row r="107">
          <cell r="B107" t="str">
            <v>CI D/F pipes - 2m long400372</v>
          </cell>
          <cell r="C107" t="str">
            <v>CI D/F pipes - 2m long</v>
          </cell>
          <cell r="D107">
            <v>400</v>
          </cell>
          <cell r="E107">
            <v>372</v>
          </cell>
          <cell r="F107" t="str">
            <v>each</v>
          </cell>
          <cell r="G107">
            <v>12369</v>
          </cell>
          <cell r="H107">
            <v>19678.8</v>
          </cell>
          <cell r="I107">
            <v>19678.8</v>
          </cell>
          <cell r="J107">
            <v>15140.400000000001</v>
          </cell>
        </row>
        <row r="108">
          <cell r="B108" t="str">
            <v>CI D/F pipes - 2m long450447</v>
          </cell>
          <cell r="C108" t="str">
            <v>CI D/F pipes - 2m long</v>
          </cell>
          <cell r="D108">
            <v>450</v>
          </cell>
          <cell r="E108">
            <v>447</v>
          </cell>
          <cell r="F108" t="str">
            <v>each</v>
          </cell>
          <cell r="G108">
            <v>14862.75</v>
          </cell>
          <cell r="H108">
            <v>23646.3</v>
          </cell>
          <cell r="I108">
            <v>23646.3</v>
          </cell>
          <cell r="J108">
            <v>18192.900000000001</v>
          </cell>
        </row>
        <row r="109">
          <cell r="B109" t="str">
            <v>CI D/F pipes - 2m long500522.8</v>
          </cell>
          <cell r="C109" t="str">
            <v>CI D/F pipes - 2m long</v>
          </cell>
          <cell r="D109">
            <v>500</v>
          </cell>
          <cell r="E109">
            <v>522.79999999999995</v>
          </cell>
          <cell r="F109" t="str">
            <v>each</v>
          </cell>
          <cell r="G109">
            <v>17383.099999999999</v>
          </cell>
          <cell r="H109">
            <v>27656.119999999995</v>
          </cell>
          <cell r="I109">
            <v>27656.119999999995</v>
          </cell>
          <cell r="J109">
            <v>21277.96</v>
          </cell>
        </row>
        <row r="110">
          <cell r="B110" t="str">
            <v>CI D/F pipes - 2m long600701</v>
          </cell>
          <cell r="C110" t="str">
            <v>CI D/F pipes - 2m long</v>
          </cell>
          <cell r="D110">
            <v>600</v>
          </cell>
          <cell r="E110">
            <v>701</v>
          </cell>
          <cell r="F110" t="str">
            <v>each</v>
          </cell>
          <cell r="G110">
            <v>23308.25</v>
          </cell>
          <cell r="H110">
            <v>37082.9</v>
          </cell>
          <cell r="I110">
            <v>37082.9</v>
          </cell>
          <cell r="J110">
            <v>28530.7</v>
          </cell>
        </row>
        <row r="111">
          <cell r="B111" t="str">
            <v>CI D/F pipes - 0.9m long8025.22</v>
          </cell>
          <cell r="C111" t="str">
            <v>CI D/F pipes - 0.9m long</v>
          </cell>
          <cell r="D111">
            <v>80</v>
          </cell>
          <cell r="E111">
            <v>25.22</v>
          </cell>
          <cell r="F111" t="str">
            <v>each</v>
          </cell>
          <cell r="G111">
            <v>838.56499999999994</v>
          </cell>
          <cell r="H111">
            <v>1334.1379999999999</v>
          </cell>
          <cell r="I111">
            <v>1334.1379999999999</v>
          </cell>
          <cell r="J111">
            <v>1026.454</v>
          </cell>
        </row>
        <row r="112">
          <cell r="B112" t="str">
            <v>CI D/F pipes - 0.9m long10031.26</v>
          </cell>
          <cell r="C112" t="str">
            <v>CI D/F pipes - 0.9m long</v>
          </cell>
          <cell r="D112">
            <v>100</v>
          </cell>
          <cell r="E112">
            <v>31.26</v>
          </cell>
          <cell r="F112" t="str">
            <v>each</v>
          </cell>
          <cell r="G112">
            <v>1039.395</v>
          </cell>
          <cell r="H112">
            <v>1653.654</v>
          </cell>
          <cell r="I112">
            <v>1653.654</v>
          </cell>
          <cell r="J112">
            <v>1272.2820000000002</v>
          </cell>
        </row>
        <row r="113">
          <cell r="B113" t="str">
            <v>CI D/F pipes - 0.9m long12540.39</v>
          </cell>
          <cell r="C113" t="str">
            <v>CI D/F pipes - 0.9m long</v>
          </cell>
          <cell r="D113">
            <v>125</v>
          </cell>
          <cell r="E113">
            <v>40.39</v>
          </cell>
          <cell r="F113" t="str">
            <v>each</v>
          </cell>
          <cell r="G113">
            <v>1342.9675</v>
          </cell>
          <cell r="H113">
            <v>2136.6309999999999</v>
          </cell>
          <cell r="I113">
            <v>2136.6309999999999</v>
          </cell>
          <cell r="J113">
            <v>1643.873</v>
          </cell>
        </row>
        <row r="114">
          <cell r="B114" t="str">
            <v>CI D/F pipes - 0.9m long15050.84</v>
          </cell>
          <cell r="C114" t="str">
            <v>CI D/F pipes - 0.9m long</v>
          </cell>
          <cell r="D114">
            <v>150</v>
          </cell>
          <cell r="E114">
            <v>50.84</v>
          </cell>
          <cell r="F114" t="str">
            <v>each</v>
          </cell>
          <cell r="G114">
            <v>1690.43</v>
          </cell>
          <cell r="H114">
            <v>2689.4360000000001</v>
          </cell>
          <cell r="I114">
            <v>2689.4360000000001</v>
          </cell>
          <cell r="J114">
            <v>2069.1880000000001</v>
          </cell>
        </row>
        <row r="115">
          <cell r="B115" t="str">
            <v>CI D/F pipes - 0.9m long20072.69</v>
          </cell>
          <cell r="C115" t="str">
            <v>CI D/F pipes - 0.9m long</v>
          </cell>
          <cell r="D115">
            <v>200</v>
          </cell>
          <cell r="E115">
            <v>72.69</v>
          </cell>
          <cell r="F115" t="str">
            <v>each</v>
          </cell>
          <cell r="G115">
            <v>2416.9425000000001</v>
          </cell>
          <cell r="H115">
            <v>3845.3009999999999</v>
          </cell>
          <cell r="I115">
            <v>3845.3009999999999</v>
          </cell>
          <cell r="J115">
            <v>2958.4830000000002</v>
          </cell>
        </row>
        <row r="116">
          <cell r="B116" t="str">
            <v>CI D/F pipes - 0.9m long25097.62</v>
          </cell>
          <cell r="C116" t="str">
            <v>CI D/F pipes - 0.9m long</v>
          </cell>
          <cell r="D116">
            <v>250</v>
          </cell>
          <cell r="E116">
            <v>97.62</v>
          </cell>
          <cell r="F116" t="str">
            <v>each</v>
          </cell>
          <cell r="G116">
            <v>3245.8650000000002</v>
          </cell>
          <cell r="H116">
            <v>5164.098</v>
          </cell>
          <cell r="I116">
            <v>5164.098</v>
          </cell>
          <cell r="J116">
            <v>3973.1340000000005</v>
          </cell>
        </row>
        <row r="117">
          <cell r="B117" t="str">
            <v>CI D/F pipes - 0.9m long300124.49</v>
          </cell>
          <cell r="C117" t="str">
            <v>CI D/F pipes - 0.9m long</v>
          </cell>
          <cell r="D117">
            <v>300</v>
          </cell>
          <cell r="E117">
            <v>124.49</v>
          </cell>
          <cell r="F117" t="str">
            <v>each</v>
          </cell>
          <cell r="G117">
            <v>4139.2924999999996</v>
          </cell>
          <cell r="H117">
            <v>6585.5209999999997</v>
          </cell>
          <cell r="I117">
            <v>6585.5209999999997</v>
          </cell>
          <cell r="J117">
            <v>5066.7430000000004</v>
          </cell>
        </row>
        <row r="118">
          <cell r="B118" t="str">
            <v>CI D/F pipes - 0.9m long350158.15</v>
          </cell>
          <cell r="C118" t="str">
            <v>CI D/F pipes - 0.9m long</v>
          </cell>
          <cell r="D118">
            <v>350</v>
          </cell>
          <cell r="E118">
            <v>158.15</v>
          </cell>
          <cell r="F118" t="str">
            <v>each</v>
          </cell>
          <cell r="G118">
            <v>5258.4875000000002</v>
          </cell>
          <cell r="H118">
            <v>8366.1350000000002</v>
          </cell>
          <cell r="I118">
            <v>8366.1350000000002</v>
          </cell>
          <cell r="J118">
            <v>6436.7050000000008</v>
          </cell>
        </row>
        <row r="119">
          <cell r="B119" t="str">
            <v>CI D/F pipes - 0.9m long400193.14</v>
          </cell>
          <cell r="C119" t="str">
            <v>CI D/F pipes - 0.9m long</v>
          </cell>
          <cell r="D119">
            <v>400</v>
          </cell>
          <cell r="E119">
            <v>193.14</v>
          </cell>
          <cell r="F119" t="str">
            <v>each</v>
          </cell>
          <cell r="G119">
            <v>6421.9049999999997</v>
          </cell>
          <cell r="H119">
            <v>10217.106</v>
          </cell>
          <cell r="I119">
            <v>10217.106</v>
          </cell>
          <cell r="J119">
            <v>7860.7979999999998</v>
          </cell>
        </row>
        <row r="120">
          <cell r="B120" t="str">
            <v>CI D/F pipes - 0.9m long450230.3</v>
          </cell>
          <cell r="C120" t="str">
            <v>CI D/F pipes - 0.9m long</v>
          </cell>
          <cell r="D120">
            <v>450</v>
          </cell>
          <cell r="E120">
            <v>230.3</v>
          </cell>
          <cell r="F120" t="str">
            <v>each</v>
          </cell>
          <cell r="G120">
            <v>7657.4750000000004</v>
          </cell>
          <cell r="H120">
            <v>12182.87</v>
          </cell>
          <cell r="I120">
            <v>12182.87</v>
          </cell>
          <cell r="J120">
            <v>9373.2100000000009</v>
          </cell>
        </row>
        <row r="121">
          <cell r="B121" t="str">
            <v>CI D/F pipes - 0.9m long500270.57</v>
          </cell>
          <cell r="C121" t="str">
            <v>CI D/F pipes - 0.9m long</v>
          </cell>
          <cell r="D121">
            <v>500</v>
          </cell>
          <cell r="E121">
            <v>270.57</v>
          </cell>
          <cell r="F121" t="str">
            <v>each</v>
          </cell>
          <cell r="G121">
            <v>8996.4524999999994</v>
          </cell>
          <cell r="H121">
            <v>14313.152999999998</v>
          </cell>
          <cell r="I121">
            <v>14313.152999999998</v>
          </cell>
          <cell r="J121">
            <v>11012.199000000001</v>
          </cell>
        </row>
        <row r="122">
          <cell r="B122" t="str">
            <v>CI D/F pipes - 0.9m long600363.85</v>
          </cell>
          <cell r="C122" t="str">
            <v>CI D/F pipes - 0.9m long</v>
          </cell>
          <cell r="D122">
            <v>600</v>
          </cell>
          <cell r="E122">
            <v>363.85</v>
          </cell>
          <cell r="F122" t="str">
            <v>each</v>
          </cell>
          <cell r="G122">
            <v>12098.012500000001</v>
          </cell>
          <cell r="H122">
            <v>19247.665000000001</v>
          </cell>
          <cell r="I122">
            <v>19247.665000000001</v>
          </cell>
          <cell r="J122">
            <v>14808.695000000002</v>
          </cell>
        </row>
        <row r="123">
          <cell r="B123" t="str">
            <v>CI D/F pipes - 0.6m long8019.28</v>
          </cell>
          <cell r="C123" t="str">
            <v>CI D/F pipes - 0.6m long</v>
          </cell>
          <cell r="D123">
            <v>80</v>
          </cell>
          <cell r="E123">
            <v>19.28</v>
          </cell>
          <cell r="F123" t="str">
            <v>each</v>
          </cell>
          <cell r="G123">
            <v>641.06000000000006</v>
          </cell>
          <cell r="H123">
            <v>1019.912</v>
          </cell>
          <cell r="I123">
            <v>1019.912</v>
          </cell>
          <cell r="J123">
            <v>784.69600000000014</v>
          </cell>
        </row>
        <row r="124">
          <cell r="B124" t="str">
            <v>CI D/F pipes - 0.6m long10023.64</v>
          </cell>
          <cell r="C124" t="str">
            <v>CI D/F pipes - 0.6m long</v>
          </cell>
          <cell r="D124">
            <v>100</v>
          </cell>
          <cell r="E124">
            <v>23.64</v>
          </cell>
          <cell r="F124" t="str">
            <v>each</v>
          </cell>
          <cell r="G124">
            <v>786.03</v>
          </cell>
          <cell r="H124">
            <v>1250.556</v>
          </cell>
          <cell r="I124">
            <v>1250.556</v>
          </cell>
          <cell r="J124">
            <v>962.14800000000014</v>
          </cell>
        </row>
        <row r="125">
          <cell r="B125" t="str">
            <v>CI D/F pipes - 0.6m long12530.46</v>
          </cell>
          <cell r="C125" t="str">
            <v>CI D/F pipes - 0.6m long</v>
          </cell>
          <cell r="D125">
            <v>125</v>
          </cell>
          <cell r="E125">
            <v>30.46</v>
          </cell>
          <cell r="F125" t="str">
            <v>each</v>
          </cell>
          <cell r="G125">
            <v>1012.7950000000001</v>
          </cell>
          <cell r="H125">
            <v>1611.3340000000001</v>
          </cell>
          <cell r="I125">
            <v>1611.3340000000001</v>
          </cell>
          <cell r="J125">
            <v>1239.7220000000002</v>
          </cell>
        </row>
        <row r="126">
          <cell r="B126" t="str">
            <v>CI D/F pipes - 0.6m long15038.33</v>
          </cell>
          <cell r="C126" t="str">
            <v>CI D/F pipes - 0.6m long</v>
          </cell>
          <cell r="D126">
            <v>150</v>
          </cell>
          <cell r="E126">
            <v>38.33</v>
          </cell>
          <cell r="F126" t="str">
            <v>each</v>
          </cell>
          <cell r="G126">
            <v>1274.4724999999999</v>
          </cell>
          <cell r="H126">
            <v>2027.6569999999999</v>
          </cell>
          <cell r="I126">
            <v>2027.6569999999999</v>
          </cell>
          <cell r="J126">
            <v>1560.0309999999999</v>
          </cell>
        </row>
        <row r="127">
          <cell r="B127" t="str">
            <v>CI D/F pipes - 0.6m long20054.66</v>
          </cell>
          <cell r="C127" t="str">
            <v>CI D/F pipes - 0.6m long</v>
          </cell>
          <cell r="D127">
            <v>200</v>
          </cell>
          <cell r="E127">
            <v>54.66</v>
          </cell>
          <cell r="F127" t="str">
            <v>each</v>
          </cell>
          <cell r="G127">
            <v>1817.4449999999999</v>
          </cell>
          <cell r="H127">
            <v>2891.5139999999997</v>
          </cell>
          <cell r="I127">
            <v>2891.5139999999997</v>
          </cell>
          <cell r="J127">
            <v>2224.6619999999998</v>
          </cell>
        </row>
        <row r="128">
          <cell r="B128" t="str">
            <v>CI D/F pipes - 0.6m long25073.08</v>
          </cell>
          <cell r="C128" t="str">
            <v>CI D/F pipes - 0.6m long</v>
          </cell>
          <cell r="D128">
            <v>250</v>
          </cell>
          <cell r="E128">
            <v>73.08</v>
          </cell>
          <cell r="F128" t="str">
            <v>each</v>
          </cell>
          <cell r="G128">
            <v>2429.91</v>
          </cell>
          <cell r="H128">
            <v>3865.9319999999998</v>
          </cell>
          <cell r="I128">
            <v>3865.9319999999998</v>
          </cell>
          <cell r="J128">
            <v>2974.3560000000002</v>
          </cell>
        </row>
        <row r="129">
          <cell r="B129" t="str">
            <v>CI D/F pipes - 0.6m long30093.26</v>
          </cell>
          <cell r="C129" t="str">
            <v>CI D/F pipes - 0.6m long</v>
          </cell>
          <cell r="D129">
            <v>300</v>
          </cell>
          <cell r="E129">
            <v>93.26</v>
          </cell>
          <cell r="F129" t="str">
            <v>each</v>
          </cell>
          <cell r="G129">
            <v>3100.895</v>
          </cell>
          <cell r="H129">
            <v>4933.4539999999997</v>
          </cell>
          <cell r="I129">
            <v>4933.4539999999997</v>
          </cell>
          <cell r="J129">
            <v>3795.6820000000007</v>
          </cell>
        </row>
        <row r="130">
          <cell r="B130" t="str">
            <v>CI D/F pipes - 0.6m long350118.1</v>
          </cell>
          <cell r="C130" t="str">
            <v>CI D/F pipes - 0.6m long</v>
          </cell>
          <cell r="D130">
            <v>350</v>
          </cell>
          <cell r="E130">
            <v>118.1</v>
          </cell>
          <cell r="F130" t="str">
            <v>each</v>
          </cell>
          <cell r="G130">
            <v>3926.8249999999998</v>
          </cell>
          <cell r="H130">
            <v>6247.49</v>
          </cell>
          <cell r="I130">
            <v>6247.49</v>
          </cell>
          <cell r="J130">
            <v>4806.67</v>
          </cell>
        </row>
        <row r="131">
          <cell r="B131" t="str">
            <v>CI D/F pipes - 0.6m long400144.36</v>
          </cell>
          <cell r="C131" t="str">
            <v>CI D/F pipes - 0.6m long</v>
          </cell>
          <cell r="D131">
            <v>400</v>
          </cell>
          <cell r="E131">
            <v>144.36000000000001</v>
          </cell>
          <cell r="F131" t="str">
            <v>each</v>
          </cell>
          <cell r="G131">
            <v>4799.97</v>
          </cell>
          <cell r="H131">
            <v>7636.6440000000002</v>
          </cell>
          <cell r="I131">
            <v>7636.6440000000002</v>
          </cell>
          <cell r="J131">
            <v>5875.4520000000011</v>
          </cell>
        </row>
        <row r="132">
          <cell r="B132" t="str">
            <v>CI D/F pipes - 0.6m long450171.2</v>
          </cell>
          <cell r="C132" t="str">
            <v>CI D/F pipes - 0.6m long</v>
          </cell>
          <cell r="D132">
            <v>450</v>
          </cell>
          <cell r="E132">
            <v>171.2</v>
          </cell>
          <cell r="F132" t="str">
            <v>each</v>
          </cell>
          <cell r="G132">
            <v>5692.4</v>
          </cell>
          <cell r="H132">
            <v>9056.48</v>
          </cell>
          <cell r="I132">
            <v>9056.48</v>
          </cell>
          <cell r="J132">
            <v>6967.84</v>
          </cell>
        </row>
        <row r="133">
          <cell r="B133" t="str">
            <v>CI D/F pipes - 0.6m long500201.78</v>
          </cell>
          <cell r="C133" t="str">
            <v>CI D/F pipes - 0.6m long</v>
          </cell>
          <cell r="D133">
            <v>500</v>
          </cell>
          <cell r="E133">
            <v>201.78</v>
          </cell>
          <cell r="F133" t="str">
            <v>each</v>
          </cell>
          <cell r="G133">
            <v>6709.1850000000004</v>
          </cell>
          <cell r="H133">
            <v>10674.162</v>
          </cell>
          <cell r="I133">
            <v>10674.162</v>
          </cell>
          <cell r="J133">
            <v>8212.4459999999999</v>
          </cell>
        </row>
        <row r="134">
          <cell r="B134" t="str">
            <v>CI D/F pipes - 0.6m long600271.9</v>
          </cell>
          <cell r="C134" t="str">
            <v>CI D/F pipes - 0.6m long</v>
          </cell>
          <cell r="D134">
            <v>600</v>
          </cell>
          <cell r="E134">
            <v>271.89999999999998</v>
          </cell>
          <cell r="F134" t="str">
            <v>each</v>
          </cell>
          <cell r="G134">
            <v>9040.6749999999993</v>
          </cell>
          <cell r="H134">
            <v>14383.509999999998</v>
          </cell>
          <cell r="I134">
            <v>14383.509999999998</v>
          </cell>
          <cell r="J134">
            <v>11066.33</v>
          </cell>
        </row>
        <row r="135">
          <cell r="B135" t="str">
            <v>Bell mouth807</v>
          </cell>
          <cell r="C135" t="str">
            <v>Bell mouth</v>
          </cell>
          <cell r="D135">
            <v>80</v>
          </cell>
          <cell r="E135">
            <v>7</v>
          </cell>
          <cell r="F135" t="str">
            <v>each</v>
          </cell>
          <cell r="G135">
            <v>232.75</v>
          </cell>
          <cell r="H135">
            <v>370.3</v>
          </cell>
          <cell r="I135">
            <v>370.3</v>
          </cell>
          <cell r="J135">
            <v>284.90000000000003</v>
          </cell>
        </row>
        <row r="136">
          <cell r="B136" t="str">
            <v>Bell mouth1009</v>
          </cell>
          <cell r="C136" t="str">
            <v>Bell mouth</v>
          </cell>
          <cell r="D136">
            <v>100</v>
          </cell>
          <cell r="E136">
            <v>9</v>
          </cell>
          <cell r="F136" t="str">
            <v>each</v>
          </cell>
          <cell r="G136">
            <v>299.25</v>
          </cell>
          <cell r="H136">
            <v>476.09999999999997</v>
          </cell>
          <cell r="I136">
            <v>476.09999999999997</v>
          </cell>
          <cell r="J136">
            <v>366.3</v>
          </cell>
        </row>
        <row r="137">
          <cell r="B137" t="str">
            <v>Bell mouth12512</v>
          </cell>
          <cell r="C137" t="str">
            <v>Bell mouth</v>
          </cell>
          <cell r="D137">
            <v>125</v>
          </cell>
          <cell r="E137">
            <v>12</v>
          </cell>
          <cell r="F137" t="str">
            <v>each</v>
          </cell>
          <cell r="G137">
            <v>399</v>
          </cell>
          <cell r="H137">
            <v>634.79999999999995</v>
          </cell>
          <cell r="I137">
            <v>634.79999999999995</v>
          </cell>
          <cell r="J137">
            <v>488.40000000000003</v>
          </cell>
        </row>
        <row r="138">
          <cell r="B138" t="str">
            <v>Bell mouth15015</v>
          </cell>
          <cell r="C138" t="str">
            <v>Bell mouth</v>
          </cell>
          <cell r="D138">
            <v>150</v>
          </cell>
          <cell r="E138">
            <v>15</v>
          </cell>
          <cell r="F138" t="str">
            <v>each</v>
          </cell>
          <cell r="G138">
            <v>498.75</v>
          </cell>
          <cell r="H138">
            <v>793.5</v>
          </cell>
          <cell r="I138">
            <v>793.5</v>
          </cell>
          <cell r="J138">
            <v>610.5</v>
          </cell>
        </row>
        <row r="139">
          <cell r="B139" t="str">
            <v>Bell mouth20023</v>
          </cell>
          <cell r="C139" t="str">
            <v>Bell mouth</v>
          </cell>
          <cell r="D139">
            <v>200</v>
          </cell>
          <cell r="E139">
            <v>23</v>
          </cell>
          <cell r="F139" t="str">
            <v>each</v>
          </cell>
          <cell r="G139">
            <v>764.75</v>
          </cell>
          <cell r="H139">
            <v>1216.7</v>
          </cell>
          <cell r="I139">
            <v>1216.7</v>
          </cell>
          <cell r="J139">
            <v>936.1</v>
          </cell>
        </row>
        <row r="140">
          <cell r="B140" t="str">
            <v>Bell mouth25031</v>
          </cell>
          <cell r="C140" t="str">
            <v>Bell mouth</v>
          </cell>
          <cell r="D140">
            <v>250</v>
          </cell>
          <cell r="E140">
            <v>31</v>
          </cell>
          <cell r="F140" t="str">
            <v>each</v>
          </cell>
          <cell r="G140">
            <v>1030.75</v>
          </cell>
          <cell r="H140">
            <v>1639.8999999999999</v>
          </cell>
          <cell r="I140">
            <v>1639.8999999999999</v>
          </cell>
          <cell r="J140">
            <v>1261.7</v>
          </cell>
        </row>
        <row r="141">
          <cell r="B141" t="str">
            <v>Bell mouth30045</v>
          </cell>
          <cell r="C141" t="str">
            <v>Bell mouth</v>
          </cell>
          <cell r="D141">
            <v>300</v>
          </cell>
          <cell r="E141">
            <v>45</v>
          </cell>
          <cell r="F141" t="str">
            <v>each</v>
          </cell>
          <cell r="G141">
            <v>1496.25</v>
          </cell>
          <cell r="H141">
            <v>2380.5</v>
          </cell>
          <cell r="I141">
            <v>2380.5</v>
          </cell>
          <cell r="J141">
            <v>1831.5000000000002</v>
          </cell>
        </row>
        <row r="142">
          <cell r="B142" t="str">
            <v>Bell mouth35058</v>
          </cell>
          <cell r="C142" t="str">
            <v>Bell mouth</v>
          </cell>
          <cell r="D142">
            <v>350</v>
          </cell>
          <cell r="E142">
            <v>58</v>
          </cell>
          <cell r="F142" t="str">
            <v>each</v>
          </cell>
          <cell r="G142">
            <v>1928.5</v>
          </cell>
          <cell r="H142">
            <v>3068.2</v>
          </cell>
          <cell r="I142">
            <v>3068.2</v>
          </cell>
          <cell r="J142">
            <v>2360.6000000000004</v>
          </cell>
        </row>
        <row r="143">
          <cell r="B143" t="str">
            <v>Bell mouth40080</v>
          </cell>
          <cell r="C143" t="str">
            <v>Bell mouth</v>
          </cell>
          <cell r="D143">
            <v>400</v>
          </cell>
          <cell r="E143">
            <v>80</v>
          </cell>
          <cell r="F143" t="str">
            <v>each</v>
          </cell>
          <cell r="G143">
            <v>2660</v>
          </cell>
          <cell r="H143">
            <v>4232</v>
          </cell>
          <cell r="I143">
            <v>4232</v>
          </cell>
          <cell r="J143">
            <v>3256</v>
          </cell>
        </row>
        <row r="144">
          <cell r="B144" t="str">
            <v>Bell mouth45093</v>
          </cell>
          <cell r="C144" t="str">
            <v>Bell mouth</v>
          </cell>
          <cell r="D144">
            <v>450</v>
          </cell>
          <cell r="E144">
            <v>93</v>
          </cell>
          <cell r="F144" t="str">
            <v>each</v>
          </cell>
          <cell r="G144">
            <v>3092.25</v>
          </cell>
          <cell r="H144">
            <v>4919.7</v>
          </cell>
          <cell r="I144">
            <v>4919.7</v>
          </cell>
          <cell r="J144">
            <v>3785.1000000000004</v>
          </cell>
        </row>
        <row r="145">
          <cell r="B145" t="str">
            <v>Bell mouth500120</v>
          </cell>
          <cell r="C145" t="str">
            <v>Bell mouth</v>
          </cell>
          <cell r="D145">
            <v>500</v>
          </cell>
          <cell r="E145">
            <v>120</v>
          </cell>
          <cell r="F145" t="str">
            <v>each</v>
          </cell>
          <cell r="G145">
            <v>3990</v>
          </cell>
          <cell r="H145">
            <v>6348</v>
          </cell>
          <cell r="I145">
            <v>6348</v>
          </cell>
          <cell r="J145">
            <v>4884</v>
          </cell>
        </row>
        <row r="146">
          <cell r="B146" t="str">
            <v>Bell mouth600201</v>
          </cell>
          <cell r="C146" t="str">
            <v>Bell mouth</v>
          </cell>
          <cell r="D146">
            <v>600</v>
          </cell>
          <cell r="E146">
            <v>201</v>
          </cell>
          <cell r="F146" t="str">
            <v>each</v>
          </cell>
          <cell r="G146">
            <v>6683.25</v>
          </cell>
          <cell r="H146">
            <v>10632.9</v>
          </cell>
          <cell r="I146">
            <v>10632.9</v>
          </cell>
          <cell r="J146">
            <v>8180.7000000000007</v>
          </cell>
        </row>
        <row r="147">
          <cell r="B147" t="str">
            <v>CI D/F Bend 90deg8013</v>
          </cell>
          <cell r="C147" t="str">
            <v>CI D/F Bend 90deg</v>
          </cell>
          <cell r="D147">
            <v>80</v>
          </cell>
          <cell r="E147">
            <v>13</v>
          </cell>
          <cell r="F147" t="str">
            <v>each</v>
          </cell>
          <cell r="G147">
            <v>432.25</v>
          </cell>
          <cell r="H147">
            <v>687.69999999999993</v>
          </cell>
          <cell r="I147">
            <v>687.69999999999993</v>
          </cell>
          <cell r="J147">
            <v>529.1</v>
          </cell>
        </row>
        <row r="148">
          <cell r="B148" t="str">
            <v>CI D/F Bend 90deg10017</v>
          </cell>
          <cell r="C148" t="str">
            <v>CI D/F Bend 90deg</v>
          </cell>
          <cell r="D148">
            <v>100</v>
          </cell>
          <cell r="E148">
            <v>17</v>
          </cell>
          <cell r="F148" t="str">
            <v>each</v>
          </cell>
          <cell r="G148">
            <v>565.25</v>
          </cell>
          <cell r="H148">
            <v>899.3</v>
          </cell>
          <cell r="I148">
            <v>899.3</v>
          </cell>
          <cell r="J148">
            <v>691.90000000000009</v>
          </cell>
        </row>
        <row r="149">
          <cell r="B149" t="str">
            <v>CI D/F Bend 90deg12523</v>
          </cell>
          <cell r="C149" t="str">
            <v>CI D/F Bend 90deg</v>
          </cell>
          <cell r="D149">
            <v>125</v>
          </cell>
          <cell r="E149">
            <v>23</v>
          </cell>
          <cell r="F149" t="str">
            <v>each</v>
          </cell>
          <cell r="G149">
            <v>764.75</v>
          </cell>
          <cell r="H149">
            <v>1216.7</v>
          </cell>
          <cell r="I149">
            <v>1216.7</v>
          </cell>
          <cell r="J149">
            <v>936.1</v>
          </cell>
        </row>
        <row r="150">
          <cell r="B150" t="str">
            <v>CI D/F Bend 90deg15031</v>
          </cell>
          <cell r="C150" t="str">
            <v>CI D/F Bend 90deg</v>
          </cell>
          <cell r="D150">
            <v>150</v>
          </cell>
          <cell r="E150">
            <v>31</v>
          </cell>
          <cell r="F150" t="str">
            <v>each</v>
          </cell>
          <cell r="G150">
            <v>1030.75</v>
          </cell>
          <cell r="H150">
            <v>1639.8999999999999</v>
          </cell>
          <cell r="I150">
            <v>1639.8999999999999</v>
          </cell>
          <cell r="J150">
            <v>1261.7</v>
          </cell>
        </row>
        <row r="151">
          <cell r="B151" t="str">
            <v>CI D/F Bend 90deg20049</v>
          </cell>
          <cell r="C151" t="str">
            <v>CI D/F Bend 90deg</v>
          </cell>
          <cell r="D151">
            <v>200</v>
          </cell>
          <cell r="E151">
            <v>49</v>
          </cell>
          <cell r="F151" t="str">
            <v>each</v>
          </cell>
          <cell r="G151">
            <v>1629.25</v>
          </cell>
          <cell r="H151">
            <v>2592.1</v>
          </cell>
          <cell r="I151">
            <v>2592.1</v>
          </cell>
          <cell r="J151">
            <v>1994.3000000000002</v>
          </cell>
        </row>
        <row r="152">
          <cell r="B152" t="str">
            <v>CI D/F Bend 90deg25072</v>
          </cell>
          <cell r="C152" t="str">
            <v>CI D/F Bend 90deg</v>
          </cell>
          <cell r="D152">
            <v>250</v>
          </cell>
          <cell r="E152">
            <v>72</v>
          </cell>
          <cell r="F152" t="str">
            <v>each</v>
          </cell>
          <cell r="G152">
            <v>2394</v>
          </cell>
          <cell r="H152">
            <v>3808.7999999999997</v>
          </cell>
          <cell r="I152">
            <v>3808.7999999999997</v>
          </cell>
          <cell r="J152">
            <v>2930.4</v>
          </cell>
        </row>
        <row r="153">
          <cell r="B153" t="str">
            <v>CI D/F Bend 90deg300100</v>
          </cell>
          <cell r="C153" t="str">
            <v>CI D/F Bend 90deg</v>
          </cell>
          <cell r="D153">
            <v>300</v>
          </cell>
          <cell r="E153">
            <v>100</v>
          </cell>
          <cell r="F153" t="str">
            <v>each</v>
          </cell>
          <cell r="G153">
            <v>3325</v>
          </cell>
          <cell r="H153">
            <v>5290</v>
          </cell>
          <cell r="I153">
            <v>5290</v>
          </cell>
          <cell r="J153">
            <v>4070.0000000000005</v>
          </cell>
        </row>
        <row r="154">
          <cell r="B154" t="str">
            <v>CI D/F Bend 90deg350137</v>
          </cell>
          <cell r="C154" t="str">
            <v>CI D/F Bend 90deg</v>
          </cell>
          <cell r="D154">
            <v>350</v>
          </cell>
          <cell r="E154">
            <v>137</v>
          </cell>
          <cell r="F154" t="str">
            <v>each</v>
          </cell>
          <cell r="G154">
            <v>4555.25</v>
          </cell>
          <cell r="H154">
            <v>7247.3</v>
          </cell>
          <cell r="I154">
            <v>7247.3</v>
          </cell>
          <cell r="J154">
            <v>5575.9000000000005</v>
          </cell>
        </row>
        <row r="155">
          <cell r="B155" t="str">
            <v>CI D/F Bend 90deg400181</v>
          </cell>
          <cell r="C155" t="str">
            <v>CI D/F Bend 90deg</v>
          </cell>
          <cell r="D155">
            <v>400</v>
          </cell>
          <cell r="E155">
            <v>181</v>
          </cell>
          <cell r="F155" t="str">
            <v>each</v>
          </cell>
          <cell r="G155">
            <v>6018.25</v>
          </cell>
          <cell r="H155">
            <v>9574.9</v>
          </cell>
          <cell r="I155">
            <v>9574.9</v>
          </cell>
          <cell r="J155">
            <v>7366.7000000000007</v>
          </cell>
        </row>
        <row r="156">
          <cell r="B156" t="str">
            <v>CI D/F Bend 90deg450226</v>
          </cell>
          <cell r="C156" t="str">
            <v>CI D/F Bend 90deg</v>
          </cell>
          <cell r="D156">
            <v>450</v>
          </cell>
          <cell r="E156">
            <v>226</v>
          </cell>
          <cell r="F156" t="str">
            <v>each</v>
          </cell>
          <cell r="G156">
            <v>7514.5</v>
          </cell>
          <cell r="H156">
            <v>11955.4</v>
          </cell>
          <cell r="I156">
            <v>11955.4</v>
          </cell>
          <cell r="J156">
            <v>9198.2000000000007</v>
          </cell>
        </row>
        <row r="157">
          <cell r="B157" t="str">
            <v>CI D/F Bend 90deg500290</v>
          </cell>
          <cell r="C157" t="str">
            <v>CI D/F Bend 90deg</v>
          </cell>
          <cell r="D157">
            <v>500</v>
          </cell>
          <cell r="E157">
            <v>290</v>
          </cell>
          <cell r="F157" t="str">
            <v>each</v>
          </cell>
          <cell r="G157">
            <v>9642.5</v>
          </cell>
          <cell r="H157">
            <v>15341</v>
          </cell>
          <cell r="I157">
            <v>15341</v>
          </cell>
          <cell r="J157">
            <v>11803</v>
          </cell>
        </row>
        <row r="158">
          <cell r="B158" t="str">
            <v>CI D/F Bend 90deg600442</v>
          </cell>
          <cell r="C158" t="str">
            <v>CI D/F Bend 90deg</v>
          </cell>
          <cell r="D158">
            <v>600</v>
          </cell>
          <cell r="E158">
            <v>442</v>
          </cell>
          <cell r="F158" t="str">
            <v>each</v>
          </cell>
          <cell r="G158">
            <v>14696.5</v>
          </cell>
          <cell r="H158">
            <v>23381.8</v>
          </cell>
          <cell r="I158">
            <v>23381.8</v>
          </cell>
          <cell r="J158">
            <v>17989.400000000001</v>
          </cell>
        </row>
        <row r="159">
          <cell r="B159" t="str">
            <v>Tail piece8012</v>
          </cell>
          <cell r="C159" t="str">
            <v>Tail piece</v>
          </cell>
          <cell r="D159">
            <v>80</v>
          </cell>
          <cell r="E159">
            <v>12</v>
          </cell>
          <cell r="F159" t="str">
            <v>each</v>
          </cell>
          <cell r="G159">
            <v>399</v>
          </cell>
          <cell r="H159">
            <v>634.79999999999995</v>
          </cell>
          <cell r="I159">
            <v>634.79999999999995</v>
          </cell>
          <cell r="J159">
            <v>488.40000000000003</v>
          </cell>
        </row>
        <row r="160">
          <cell r="B160" t="str">
            <v>Tail piece10013.513</v>
          </cell>
          <cell r="C160" t="str">
            <v>Tail piece</v>
          </cell>
          <cell r="D160">
            <v>100</v>
          </cell>
          <cell r="E160">
            <v>13.513</v>
          </cell>
          <cell r="F160" t="str">
            <v>each</v>
          </cell>
          <cell r="G160">
            <v>449.30725000000001</v>
          </cell>
          <cell r="H160">
            <v>714.83769999999993</v>
          </cell>
          <cell r="I160">
            <v>714.83769999999993</v>
          </cell>
          <cell r="J160">
            <v>549.97910000000002</v>
          </cell>
        </row>
        <row r="161">
          <cell r="B161" t="str">
            <v>Tail piece12519</v>
          </cell>
          <cell r="C161" t="str">
            <v>Tail piece</v>
          </cell>
          <cell r="D161">
            <v>125</v>
          </cell>
          <cell r="E161">
            <v>19</v>
          </cell>
          <cell r="F161" t="str">
            <v>each</v>
          </cell>
          <cell r="G161">
            <v>631.75</v>
          </cell>
          <cell r="H161">
            <v>1005.1</v>
          </cell>
          <cell r="I161">
            <v>1005.1</v>
          </cell>
          <cell r="J161">
            <v>773.30000000000007</v>
          </cell>
        </row>
        <row r="162">
          <cell r="B162" t="str">
            <v>Tail piece15023</v>
          </cell>
          <cell r="C162" t="str">
            <v>Tail piece</v>
          </cell>
          <cell r="D162">
            <v>150</v>
          </cell>
          <cell r="E162">
            <v>23</v>
          </cell>
          <cell r="F162" t="str">
            <v>each</v>
          </cell>
          <cell r="G162">
            <v>764.75</v>
          </cell>
          <cell r="H162">
            <v>1216.7</v>
          </cell>
          <cell r="I162">
            <v>1216.7</v>
          </cell>
          <cell r="J162">
            <v>936.1</v>
          </cell>
        </row>
        <row r="163">
          <cell r="B163" t="str">
            <v>Tail piece20038.97</v>
          </cell>
          <cell r="C163" t="str">
            <v>Tail piece</v>
          </cell>
          <cell r="D163">
            <v>200</v>
          </cell>
          <cell r="E163">
            <v>38.97</v>
          </cell>
          <cell r="F163" t="str">
            <v>each</v>
          </cell>
          <cell r="G163">
            <v>1295.7525000000001</v>
          </cell>
          <cell r="H163">
            <v>2061.5129999999999</v>
          </cell>
          <cell r="I163">
            <v>2061.5129999999999</v>
          </cell>
          <cell r="J163">
            <v>1586.079</v>
          </cell>
        </row>
        <row r="164">
          <cell r="B164" t="str">
            <v>Tail piece25053</v>
          </cell>
          <cell r="C164" t="str">
            <v>Tail piece</v>
          </cell>
          <cell r="D164">
            <v>250</v>
          </cell>
          <cell r="E164">
            <v>53</v>
          </cell>
          <cell r="F164" t="str">
            <v>each</v>
          </cell>
          <cell r="G164">
            <v>1762.25</v>
          </cell>
          <cell r="H164">
            <v>2803.7</v>
          </cell>
          <cell r="I164">
            <v>2803.7</v>
          </cell>
          <cell r="J164">
            <v>2157.1000000000004</v>
          </cell>
        </row>
        <row r="165">
          <cell r="B165" t="str">
            <v>Tail piece30068</v>
          </cell>
          <cell r="C165" t="str">
            <v>Tail piece</v>
          </cell>
          <cell r="D165">
            <v>300</v>
          </cell>
          <cell r="E165">
            <v>68</v>
          </cell>
          <cell r="F165" t="str">
            <v>each</v>
          </cell>
          <cell r="G165">
            <v>2261</v>
          </cell>
          <cell r="H165">
            <v>3597.2</v>
          </cell>
          <cell r="I165">
            <v>3597.2</v>
          </cell>
          <cell r="J165">
            <v>2767.6000000000004</v>
          </cell>
        </row>
        <row r="166">
          <cell r="B166" t="str">
            <v>Tail piece35089.44</v>
          </cell>
          <cell r="C166" t="str">
            <v>Tail piece</v>
          </cell>
          <cell r="D166">
            <v>350</v>
          </cell>
          <cell r="E166">
            <v>89.44</v>
          </cell>
          <cell r="F166" t="str">
            <v>each</v>
          </cell>
          <cell r="G166">
            <v>2973.88</v>
          </cell>
          <cell r="H166">
            <v>4731.3760000000002</v>
          </cell>
          <cell r="I166">
            <v>4731.3760000000002</v>
          </cell>
          <cell r="J166">
            <v>3640.2080000000001</v>
          </cell>
        </row>
        <row r="167">
          <cell r="B167" t="str">
            <v>Tail piece400108.86</v>
          </cell>
          <cell r="C167" t="str">
            <v>Tail piece</v>
          </cell>
          <cell r="D167">
            <v>400</v>
          </cell>
          <cell r="E167">
            <v>108.86</v>
          </cell>
          <cell r="F167" t="str">
            <v>each</v>
          </cell>
          <cell r="G167">
            <v>3619.5949999999998</v>
          </cell>
          <cell r="H167">
            <v>5758.6939999999995</v>
          </cell>
          <cell r="I167">
            <v>5758.6939999999995</v>
          </cell>
          <cell r="J167">
            <v>4430.6019999999999</v>
          </cell>
        </row>
        <row r="168">
          <cell r="B168" t="str">
            <v>Tail piece450127.62</v>
          </cell>
          <cell r="C168" t="str">
            <v>Tail piece</v>
          </cell>
          <cell r="D168">
            <v>450</v>
          </cell>
          <cell r="E168">
            <v>127.62</v>
          </cell>
          <cell r="F168" t="str">
            <v>each</v>
          </cell>
          <cell r="G168">
            <v>4243.3649999999998</v>
          </cell>
          <cell r="H168">
            <v>6751.098</v>
          </cell>
          <cell r="I168">
            <v>6751.098</v>
          </cell>
          <cell r="J168">
            <v>5194.1340000000009</v>
          </cell>
        </row>
        <row r="169">
          <cell r="B169" t="str">
            <v>Tail piece500151.48</v>
          </cell>
          <cell r="C169" t="str">
            <v>Tail piece</v>
          </cell>
          <cell r="D169">
            <v>500</v>
          </cell>
          <cell r="E169">
            <v>151.47999999999999</v>
          </cell>
          <cell r="F169" t="str">
            <v>each</v>
          </cell>
          <cell r="G169">
            <v>5036.71</v>
          </cell>
          <cell r="H169">
            <v>8013.2919999999995</v>
          </cell>
          <cell r="I169">
            <v>8013.2919999999995</v>
          </cell>
          <cell r="J169">
            <v>6165.2359999999999</v>
          </cell>
        </row>
        <row r="170">
          <cell r="B170" t="str">
            <v>Tail piece600204.11</v>
          </cell>
          <cell r="C170" t="str">
            <v>Tail piece</v>
          </cell>
          <cell r="D170">
            <v>600</v>
          </cell>
          <cell r="E170">
            <v>204.11</v>
          </cell>
          <cell r="F170" t="str">
            <v>each</v>
          </cell>
          <cell r="G170">
            <v>6786.6575000000003</v>
          </cell>
          <cell r="H170">
            <v>10797.419</v>
          </cell>
          <cell r="I170">
            <v>10797.419</v>
          </cell>
          <cell r="J170">
            <v>8307.2770000000019</v>
          </cell>
        </row>
        <row r="171">
          <cell r="B171" t="str">
            <v>Duckfoot bend8021</v>
          </cell>
          <cell r="C171" t="str">
            <v>Duckfoot bend</v>
          </cell>
          <cell r="D171">
            <v>80</v>
          </cell>
          <cell r="E171">
            <v>21</v>
          </cell>
          <cell r="F171" t="str">
            <v>each</v>
          </cell>
          <cell r="G171">
            <v>698.25</v>
          </cell>
          <cell r="H171">
            <v>1110.8999999999999</v>
          </cell>
          <cell r="I171">
            <v>1110.8999999999999</v>
          </cell>
          <cell r="J171">
            <v>854.7</v>
          </cell>
        </row>
        <row r="172">
          <cell r="B172" t="str">
            <v>Duckfoot bend10026</v>
          </cell>
          <cell r="C172" t="str">
            <v>Duckfoot bend</v>
          </cell>
          <cell r="D172">
            <v>100</v>
          </cell>
          <cell r="E172">
            <v>26</v>
          </cell>
          <cell r="F172" t="str">
            <v>each</v>
          </cell>
          <cell r="G172">
            <v>864.5</v>
          </cell>
          <cell r="H172">
            <v>1375.3999999999999</v>
          </cell>
          <cell r="I172">
            <v>1375.3999999999999</v>
          </cell>
          <cell r="J172">
            <v>1058.2</v>
          </cell>
        </row>
        <row r="173">
          <cell r="B173" t="str">
            <v>Duckfoot bend12536</v>
          </cell>
          <cell r="C173" t="str">
            <v>Duckfoot bend</v>
          </cell>
          <cell r="D173">
            <v>125</v>
          </cell>
          <cell r="E173">
            <v>36</v>
          </cell>
          <cell r="F173" t="str">
            <v>each</v>
          </cell>
          <cell r="G173">
            <v>1197</v>
          </cell>
          <cell r="H173">
            <v>1904.3999999999999</v>
          </cell>
          <cell r="I173">
            <v>1904.3999999999999</v>
          </cell>
          <cell r="J173">
            <v>1465.2</v>
          </cell>
        </row>
        <row r="174">
          <cell r="B174" t="str">
            <v>Duckfoot bend15046.97</v>
          </cell>
          <cell r="C174" t="str">
            <v>Duckfoot bend</v>
          </cell>
          <cell r="D174">
            <v>150</v>
          </cell>
          <cell r="E174">
            <v>46.97</v>
          </cell>
          <cell r="F174" t="str">
            <v>each</v>
          </cell>
          <cell r="G174">
            <v>1561.7525000000001</v>
          </cell>
          <cell r="H174">
            <v>2484.7129999999997</v>
          </cell>
          <cell r="I174">
            <v>2484.7129999999997</v>
          </cell>
          <cell r="J174">
            <v>1911.6790000000001</v>
          </cell>
        </row>
        <row r="175">
          <cell r="B175" t="str">
            <v>Duckfoot bend20074</v>
          </cell>
          <cell r="C175" t="str">
            <v>Duckfoot bend</v>
          </cell>
          <cell r="D175">
            <v>200</v>
          </cell>
          <cell r="E175">
            <v>74</v>
          </cell>
          <cell r="F175" t="str">
            <v>each</v>
          </cell>
          <cell r="G175">
            <v>2460.5</v>
          </cell>
          <cell r="H175">
            <v>3914.6</v>
          </cell>
          <cell r="I175">
            <v>3914.6</v>
          </cell>
          <cell r="J175">
            <v>3011.8</v>
          </cell>
        </row>
        <row r="176">
          <cell r="B176" t="str">
            <v>Duckfoot bend250111</v>
          </cell>
          <cell r="C176" t="str">
            <v>Duckfoot bend</v>
          </cell>
          <cell r="D176">
            <v>250</v>
          </cell>
          <cell r="E176">
            <v>111</v>
          </cell>
          <cell r="F176" t="str">
            <v>each</v>
          </cell>
          <cell r="G176">
            <v>3690.75</v>
          </cell>
          <cell r="H176">
            <v>5871.9</v>
          </cell>
          <cell r="I176">
            <v>5871.9</v>
          </cell>
          <cell r="J176">
            <v>4517.7000000000007</v>
          </cell>
        </row>
        <row r="177">
          <cell r="B177" t="str">
            <v>Duckfoot bend300156</v>
          </cell>
          <cell r="C177" t="str">
            <v>Duckfoot bend</v>
          </cell>
          <cell r="D177">
            <v>300</v>
          </cell>
          <cell r="E177">
            <v>156</v>
          </cell>
          <cell r="F177" t="str">
            <v>each</v>
          </cell>
          <cell r="G177">
            <v>5187</v>
          </cell>
          <cell r="H177">
            <v>8252.4</v>
          </cell>
          <cell r="I177">
            <v>8252.4</v>
          </cell>
          <cell r="J177">
            <v>6349.2000000000007</v>
          </cell>
        </row>
        <row r="178">
          <cell r="B178" t="str">
            <v>Duckfoot bend350214</v>
          </cell>
          <cell r="C178" t="str">
            <v>Duckfoot bend</v>
          </cell>
          <cell r="D178">
            <v>350</v>
          </cell>
          <cell r="E178">
            <v>214</v>
          </cell>
          <cell r="F178" t="str">
            <v>each</v>
          </cell>
          <cell r="G178">
            <v>7115.5</v>
          </cell>
          <cell r="H178">
            <v>11320.6</v>
          </cell>
          <cell r="I178">
            <v>11320.6</v>
          </cell>
          <cell r="J178">
            <v>8709.8000000000011</v>
          </cell>
        </row>
        <row r="179">
          <cell r="B179" t="str">
            <v>Duckfoot bend400281</v>
          </cell>
          <cell r="C179" t="str">
            <v>Duckfoot bend</v>
          </cell>
          <cell r="D179">
            <v>400</v>
          </cell>
          <cell r="E179">
            <v>281</v>
          </cell>
          <cell r="F179" t="str">
            <v>each</v>
          </cell>
          <cell r="G179">
            <v>9343.25</v>
          </cell>
          <cell r="H179">
            <v>14864.9</v>
          </cell>
          <cell r="I179">
            <v>14864.9</v>
          </cell>
          <cell r="J179">
            <v>11436.7</v>
          </cell>
        </row>
        <row r="180">
          <cell r="B180" t="str">
            <v>Duckfoot bend450350</v>
          </cell>
          <cell r="C180" t="str">
            <v>Duckfoot bend</v>
          </cell>
          <cell r="D180">
            <v>450</v>
          </cell>
          <cell r="E180">
            <v>350</v>
          </cell>
          <cell r="F180" t="str">
            <v>each</v>
          </cell>
          <cell r="G180">
            <v>11637.5</v>
          </cell>
          <cell r="H180">
            <v>18515</v>
          </cell>
          <cell r="I180">
            <v>18515</v>
          </cell>
          <cell r="J180">
            <v>14245.000000000002</v>
          </cell>
        </row>
        <row r="181">
          <cell r="B181" t="str">
            <v>Duckfoot bend500446</v>
          </cell>
          <cell r="C181" t="str">
            <v>Duckfoot bend</v>
          </cell>
          <cell r="D181">
            <v>500</v>
          </cell>
          <cell r="E181">
            <v>446</v>
          </cell>
          <cell r="F181" t="str">
            <v>each</v>
          </cell>
          <cell r="G181">
            <v>14829.5</v>
          </cell>
          <cell r="H181">
            <v>23593.399999999998</v>
          </cell>
          <cell r="I181">
            <v>23593.399999999998</v>
          </cell>
          <cell r="J181">
            <v>18152.2</v>
          </cell>
        </row>
        <row r="182">
          <cell r="B182" t="str">
            <v>Duckfoot bend600677</v>
          </cell>
          <cell r="C182" t="str">
            <v>Duckfoot bend</v>
          </cell>
          <cell r="D182">
            <v>600</v>
          </cell>
          <cell r="E182">
            <v>677</v>
          </cell>
          <cell r="F182" t="str">
            <v>each</v>
          </cell>
          <cell r="G182">
            <v>22510.25</v>
          </cell>
          <cell r="H182">
            <v>35813.299999999996</v>
          </cell>
          <cell r="I182">
            <v>35813.299999999996</v>
          </cell>
          <cell r="J182">
            <v>27553.9</v>
          </cell>
        </row>
        <row r="183">
          <cell r="B183" t="str">
            <v>Semicircular bend8025.44</v>
          </cell>
          <cell r="C183" t="str">
            <v>Semicircular bend</v>
          </cell>
          <cell r="D183">
            <v>80</v>
          </cell>
          <cell r="E183">
            <v>25.44</v>
          </cell>
          <cell r="F183" t="str">
            <v>each</v>
          </cell>
          <cell r="G183">
            <v>845.88</v>
          </cell>
          <cell r="H183">
            <v>1345.7760000000001</v>
          </cell>
          <cell r="I183">
            <v>1345.7760000000001</v>
          </cell>
          <cell r="J183">
            <v>1035.4080000000001</v>
          </cell>
        </row>
        <row r="184">
          <cell r="B184" t="str">
            <v>Semicircular bend10035.35</v>
          </cell>
          <cell r="C184" t="str">
            <v>Semicircular bend</v>
          </cell>
          <cell r="D184">
            <v>100</v>
          </cell>
          <cell r="E184">
            <v>35.35</v>
          </cell>
          <cell r="F184" t="str">
            <v>each</v>
          </cell>
          <cell r="G184">
            <v>1175.3875</v>
          </cell>
          <cell r="H184">
            <v>1870.0150000000001</v>
          </cell>
          <cell r="I184">
            <v>1870.0150000000001</v>
          </cell>
          <cell r="J184">
            <v>1438.7450000000001</v>
          </cell>
        </row>
        <row r="185">
          <cell r="B185" t="str">
            <v>Semicircular bend12550.8</v>
          </cell>
          <cell r="C185" t="str">
            <v>Semicircular bend</v>
          </cell>
          <cell r="D185">
            <v>125</v>
          </cell>
          <cell r="E185">
            <v>50.8</v>
          </cell>
          <cell r="F185" t="str">
            <v>each</v>
          </cell>
          <cell r="G185">
            <v>1689.1</v>
          </cell>
          <cell r="H185">
            <v>2687.3199999999997</v>
          </cell>
          <cell r="I185">
            <v>2687.3199999999997</v>
          </cell>
          <cell r="J185">
            <v>2067.56</v>
          </cell>
        </row>
        <row r="186">
          <cell r="B186" t="str">
            <v>Semicircular bend15071.12</v>
          </cell>
          <cell r="C186" t="str">
            <v>Semicircular bend</v>
          </cell>
          <cell r="D186">
            <v>150</v>
          </cell>
          <cell r="E186">
            <v>71.12</v>
          </cell>
          <cell r="F186" t="str">
            <v>each</v>
          </cell>
          <cell r="G186">
            <v>2364.7400000000002</v>
          </cell>
          <cell r="H186">
            <v>3762.248</v>
          </cell>
          <cell r="I186">
            <v>3762.248</v>
          </cell>
          <cell r="J186">
            <v>2894.5840000000003</v>
          </cell>
        </row>
        <row r="187">
          <cell r="B187" t="str">
            <v>Semicircular bend200116.85</v>
          </cell>
          <cell r="C187" t="str">
            <v>Semicircular bend</v>
          </cell>
          <cell r="D187">
            <v>200</v>
          </cell>
          <cell r="E187">
            <v>116.85</v>
          </cell>
          <cell r="F187" t="str">
            <v>each</v>
          </cell>
          <cell r="G187">
            <v>3885.2624999999998</v>
          </cell>
          <cell r="H187">
            <v>6181.3649999999998</v>
          </cell>
          <cell r="I187">
            <v>6181.3649999999998</v>
          </cell>
          <cell r="J187">
            <v>4755.7950000000001</v>
          </cell>
        </row>
        <row r="188">
          <cell r="B188" t="str">
            <v>Sluice valve80</v>
          </cell>
          <cell r="C188" t="str">
            <v>Sluice valve</v>
          </cell>
          <cell r="D188">
            <v>80</v>
          </cell>
          <cell r="E188">
            <v>0</v>
          </cell>
          <cell r="F188" t="str">
            <v>each</v>
          </cell>
          <cell r="G188">
            <v>3273</v>
          </cell>
          <cell r="H188">
            <v>4255</v>
          </cell>
          <cell r="I188">
            <v>4255</v>
          </cell>
          <cell r="J188">
            <v>4255</v>
          </cell>
        </row>
        <row r="189">
          <cell r="B189" t="str">
            <v>Sluice valve100</v>
          </cell>
          <cell r="C189" t="str">
            <v>Sluice valve</v>
          </cell>
          <cell r="D189">
            <v>100</v>
          </cell>
          <cell r="E189">
            <v>0</v>
          </cell>
          <cell r="F189" t="str">
            <v>each</v>
          </cell>
          <cell r="G189">
            <v>4364</v>
          </cell>
          <cell r="H189">
            <v>5673</v>
          </cell>
          <cell r="I189">
            <v>5673</v>
          </cell>
          <cell r="J189">
            <v>5673</v>
          </cell>
        </row>
        <row r="190">
          <cell r="B190" t="str">
            <v>Sluice valve125</v>
          </cell>
          <cell r="C190" t="str">
            <v>Sluice valve</v>
          </cell>
          <cell r="D190">
            <v>125</v>
          </cell>
          <cell r="E190">
            <v>0</v>
          </cell>
          <cell r="F190" t="str">
            <v>each</v>
          </cell>
          <cell r="G190">
            <v>5454</v>
          </cell>
          <cell r="H190">
            <v>7090</v>
          </cell>
          <cell r="I190">
            <v>7090</v>
          </cell>
          <cell r="J190">
            <v>7090</v>
          </cell>
        </row>
        <row r="191">
          <cell r="B191" t="str">
            <v>Sluice valve150</v>
          </cell>
          <cell r="C191" t="str">
            <v>Sluice valve</v>
          </cell>
          <cell r="D191">
            <v>150</v>
          </cell>
          <cell r="E191">
            <v>0</v>
          </cell>
          <cell r="F191" t="str">
            <v>each</v>
          </cell>
          <cell r="G191">
            <v>6545</v>
          </cell>
          <cell r="H191">
            <v>8509</v>
          </cell>
          <cell r="I191">
            <v>8509</v>
          </cell>
          <cell r="J191">
            <v>8509</v>
          </cell>
        </row>
        <row r="192">
          <cell r="B192" t="str">
            <v>Sluice valve200</v>
          </cell>
          <cell r="C192" t="str">
            <v>Sluice valve</v>
          </cell>
          <cell r="D192">
            <v>200</v>
          </cell>
          <cell r="E192">
            <v>0</v>
          </cell>
          <cell r="F192" t="str">
            <v>each</v>
          </cell>
          <cell r="G192">
            <v>11472</v>
          </cell>
          <cell r="H192">
            <v>14914</v>
          </cell>
          <cell r="I192">
            <v>14914</v>
          </cell>
          <cell r="J192">
            <v>14914</v>
          </cell>
        </row>
        <row r="193">
          <cell r="B193" t="str">
            <v>Sluice valve250</v>
          </cell>
          <cell r="C193" t="str">
            <v>Sluice valve</v>
          </cell>
          <cell r="D193">
            <v>250</v>
          </cell>
          <cell r="E193">
            <v>0</v>
          </cell>
          <cell r="F193" t="str">
            <v>each</v>
          </cell>
          <cell r="G193">
            <v>16226</v>
          </cell>
          <cell r="H193">
            <v>21094</v>
          </cell>
          <cell r="I193">
            <v>21094</v>
          </cell>
          <cell r="J193">
            <v>21094</v>
          </cell>
        </row>
        <row r="194">
          <cell r="B194" t="str">
            <v>Sluice valve300</v>
          </cell>
          <cell r="C194" t="str">
            <v>Sluice valve</v>
          </cell>
          <cell r="D194">
            <v>300</v>
          </cell>
          <cell r="E194">
            <v>0</v>
          </cell>
          <cell r="F194" t="str">
            <v>each</v>
          </cell>
          <cell r="G194">
            <v>22274</v>
          </cell>
          <cell r="H194">
            <v>28956</v>
          </cell>
          <cell r="I194">
            <v>28956</v>
          </cell>
          <cell r="J194">
            <v>28956</v>
          </cell>
        </row>
        <row r="195">
          <cell r="B195" t="str">
            <v>Sluice valve350</v>
          </cell>
          <cell r="C195" t="str">
            <v>Sluice valve</v>
          </cell>
          <cell r="D195">
            <v>350</v>
          </cell>
          <cell r="E195">
            <v>0</v>
          </cell>
          <cell r="F195" t="str">
            <v>each</v>
          </cell>
          <cell r="G195">
            <v>50087</v>
          </cell>
          <cell r="H195">
            <v>71629</v>
          </cell>
          <cell r="I195">
            <v>71629</v>
          </cell>
          <cell r="J195">
            <v>71629</v>
          </cell>
        </row>
        <row r="196">
          <cell r="B196" t="str">
            <v>Sluice valve400</v>
          </cell>
          <cell r="C196" t="str">
            <v>Sluice valve</v>
          </cell>
          <cell r="D196">
            <v>400</v>
          </cell>
          <cell r="E196">
            <v>0</v>
          </cell>
          <cell r="F196" t="str">
            <v>each</v>
          </cell>
          <cell r="G196">
            <v>59372</v>
          </cell>
          <cell r="H196">
            <v>89548</v>
          </cell>
          <cell r="I196">
            <v>89548</v>
          </cell>
          <cell r="J196">
            <v>89548</v>
          </cell>
        </row>
        <row r="197">
          <cell r="B197" t="str">
            <v>Sluice valve450</v>
          </cell>
          <cell r="C197" t="str">
            <v>Sluice valve</v>
          </cell>
          <cell r="D197">
            <v>450</v>
          </cell>
          <cell r="E197">
            <v>0</v>
          </cell>
          <cell r="F197" t="str">
            <v>each</v>
          </cell>
          <cell r="G197">
            <v>74549</v>
          </cell>
          <cell r="H197">
            <v>112411</v>
          </cell>
          <cell r="I197">
            <v>112411</v>
          </cell>
          <cell r="J197">
            <v>112411</v>
          </cell>
        </row>
        <row r="198">
          <cell r="B198" t="str">
            <v>Sluice valve500</v>
          </cell>
          <cell r="C198" t="str">
            <v>Sluice valve</v>
          </cell>
          <cell r="D198">
            <v>500</v>
          </cell>
          <cell r="E198">
            <v>0</v>
          </cell>
          <cell r="F198" t="str">
            <v>each</v>
          </cell>
          <cell r="G198">
            <v>85525</v>
          </cell>
          <cell r="H198">
            <v>129168</v>
          </cell>
          <cell r="I198">
            <v>129168</v>
          </cell>
          <cell r="J198">
            <v>129168</v>
          </cell>
        </row>
        <row r="199">
          <cell r="B199" t="str">
            <v>Sluice valve600</v>
          </cell>
          <cell r="C199" t="str">
            <v>Sluice valve</v>
          </cell>
          <cell r="D199">
            <v>600</v>
          </cell>
          <cell r="E199">
            <v>0</v>
          </cell>
          <cell r="F199" t="str">
            <v>each</v>
          </cell>
          <cell r="G199">
            <v>125270</v>
          </cell>
          <cell r="H199">
            <v>191519</v>
          </cell>
          <cell r="I199">
            <v>191519</v>
          </cell>
          <cell r="J199">
            <v>191519</v>
          </cell>
        </row>
        <row r="200">
          <cell r="B200" t="str">
            <v>MTAs63mm</v>
          </cell>
          <cell r="C200" t="str">
            <v>MTAs</v>
          </cell>
          <cell r="D200" t="str">
            <v>63mm</v>
          </cell>
          <cell r="E200" t="str">
            <v>PVC</v>
          </cell>
          <cell r="F200" t="str">
            <v>each</v>
          </cell>
          <cell r="G200">
            <v>50</v>
          </cell>
          <cell r="H200">
            <v>58</v>
          </cell>
          <cell r="I200">
            <v>67</v>
          </cell>
        </row>
        <row r="201">
          <cell r="B201" t="str">
            <v>MTAs75mm</v>
          </cell>
          <cell r="C201" t="str">
            <v>MTAs</v>
          </cell>
          <cell r="D201" t="str">
            <v>75mm</v>
          </cell>
          <cell r="E201" t="str">
            <v>PVC</v>
          </cell>
          <cell r="F201" t="str">
            <v>each</v>
          </cell>
          <cell r="G201">
            <v>70</v>
          </cell>
          <cell r="H201">
            <v>81</v>
          </cell>
          <cell r="I201">
            <v>93</v>
          </cell>
        </row>
        <row r="202">
          <cell r="B202" t="str">
            <v>MTAs90mm</v>
          </cell>
          <cell r="C202" t="str">
            <v>MTAs</v>
          </cell>
          <cell r="D202" t="str">
            <v>90mm</v>
          </cell>
          <cell r="E202" t="str">
            <v>PVC</v>
          </cell>
          <cell r="F202" t="str">
            <v>each</v>
          </cell>
          <cell r="G202">
            <v>90</v>
          </cell>
          <cell r="H202">
            <v>104</v>
          </cell>
          <cell r="I202">
            <v>120</v>
          </cell>
        </row>
        <row r="203">
          <cell r="B203" t="str">
            <v>MTAs110mm</v>
          </cell>
          <cell r="C203" t="str">
            <v>MTAs</v>
          </cell>
          <cell r="D203" t="str">
            <v>110mm</v>
          </cell>
          <cell r="E203" t="str">
            <v>PVC</v>
          </cell>
          <cell r="F203" t="str">
            <v>each</v>
          </cell>
          <cell r="G203">
            <v>100</v>
          </cell>
          <cell r="H203">
            <v>115</v>
          </cell>
          <cell r="I203">
            <v>132</v>
          </cell>
        </row>
        <row r="204">
          <cell r="B204" t="str">
            <v>MTAs125mm</v>
          </cell>
          <cell r="C204" t="str">
            <v>MTAs</v>
          </cell>
          <cell r="D204" t="str">
            <v>125mm</v>
          </cell>
          <cell r="E204" t="str">
            <v>PVC</v>
          </cell>
          <cell r="F204" t="str">
            <v>each</v>
          </cell>
          <cell r="G204">
            <v>142</v>
          </cell>
          <cell r="H204">
            <v>163</v>
          </cell>
          <cell r="I204">
            <v>187</v>
          </cell>
        </row>
        <row r="205">
          <cell r="B205" t="str">
            <v>MTAs140mm</v>
          </cell>
          <cell r="C205" t="str">
            <v>MTAs</v>
          </cell>
          <cell r="D205" t="str">
            <v>140mm</v>
          </cell>
          <cell r="E205" t="str">
            <v>PVC</v>
          </cell>
          <cell r="F205" t="str">
            <v>each</v>
          </cell>
          <cell r="G205">
            <v>165</v>
          </cell>
          <cell r="H205">
            <v>190</v>
          </cell>
          <cell r="I205">
            <v>219</v>
          </cell>
        </row>
        <row r="206">
          <cell r="B206" t="str">
            <v>MTAs160mm</v>
          </cell>
          <cell r="C206" t="str">
            <v>MTAs</v>
          </cell>
          <cell r="D206" t="str">
            <v>160mm</v>
          </cell>
          <cell r="E206" t="str">
            <v>PVC</v>
          </cell>
          <cell r="F206" t="str">
            <v>each</v>
          </cell>
          <cell r="G206">
            <v>188</v>
          </cell>
          <cell r="H206">
            <v>216</v>
          </cell>
          <cell r="I206">
            <v>248</v>
          </cell>
        </row>
        <row r="207">
          <cell r="B207" t="str">
            <v>MTAs180mm</v>
          </cell>
          <cell r="C207" t="str">
            <v>MTAs</v>
          </cell>
          <cell r="D207" t="str">
            <v>180mm</v>
          </cell>
          <cell r="E207" t="str">
            <v>PVC</v>
          </cell>
          <cell r="F207" t="str">
            <v>each</v>
          </cell>
          <cell r="G207">
            <v>220</v>
          </cell>
          <cell r="H207">
            <v>253</v>
          </cell>
          <cell r="I207">
            <v>291</v>
          </cell>
        </row>
        <row r="208">
          <cell r="B208" t="str">
            <v>MTAs200mm</v>
          </cell>
          <cell r="C208" t="str">
            <v>MTAs</v>
          </cell>
          <cell r="D208" t="str">
            <v>200mm</v>
          </cell>
          <cell r="E208" t="str">
            <v>PVC</v>
          </cell>
          <cell r="F208" t="str">
            <v>each</v>
          </cell>
          <cell r="G208">
            <v>260</v>
          </cell>
          <cell r="H208">
            <v>299</v>
          </cell>
          <cell r="I208">
            <v>344</v>
          </cell>
        </row>
        <row r="209">
          <cell r="B209" t="str">
            <v>MTAs225mm</v>
          </cell>
          <cell r="C209" t="str">
            <v>MTAs</v>
          </cell>
          <cell r="D209" t="str">
            <v>225mm</v>
          </cell>
          <cell r="E209" t="str">
            <v>PVC</v>
          </cell>
          <cell r="F209" t="str">
            <v>each</v>
          </cell>
          <cell r="G209">
            <v>280</v>
          </cell>
          <cell r="H209">
            <v>322</v>
          </cell>
          <cell r="I209">
            <v>370</v>
          </cell>
        </row>
        <row r="210">
          <cell r="B210" t="str">
            <v>MTAs250mm</v>
          </cell>
          <cell r="C210" t="str">
            <v>MTAs</v>
          </cell>
          <cell r="D210" t="str">
            <v>250mm</v>
          </cell>
          <cell r="E210" t="str">
            <v>PVC</v>
          </cell>
          <cell r="F210" t="str">
            <v>each</v>
          </cell>
          <cell r="G210">
            <v>340</v>
          </cell>
          <cell r="H210">
            <v>391</v>
          </cell>
          <cell r="I210">
            <v>450</v>
          </cell>
        </row>
        <row r="211">
          <cell r="B211" t="str">
            <v>MTAs280mm</v>
          </cell>
          <cell r="C211" t="str">
            <v>MTAs</v>
          </cell>
          <cell r="D211" t="str">
            <v>280mm</v>
          </cell>
          <cell r="E211" t="str">
            <v>PVC</v>
          </cell>
          <cell r="F211" t="str">
            <v>each</v>
          </cell>
          <cell r="G211">
            <v>380</v>
          </cell>
          <cell r="H211">
            <v>437</v>
          </cell>
          <cell r="I211">
            <v>503</v>
          </cell>
        </row>
        <row r="212">
          <cell r="B212" t="str">
            <v>MTAs315mm</v>
          </cell>
          <cell r="C212" t="str">
            <v>MTAs</v>
          </cell>
          <cell r="D212" t="str">
            <v>315mm</v>
          </cell>
          <cell r="E212" t="str">
            <v>PVC</v>
          </cell>
          <cell r="F212" t="str">
            <v>each</v>
          </cell>
          <cell r="G212">
            <v>420</v>
          </cell>
          <cell r="H212">
            <v>483</v>
          </cell>
          <cell r="I212">
            <v>555</v>
          </cell>
        </row>
        <row r="213">
          <cell r="B213" t="str">
            <v>MS threaded flanges63mm</v>
          </cell>
          <cell r="C213" t="str">
            <v>MS threaded flanges</v>
          </cell>
          <cell r="D213" t="str">
            <v>63mm</v>
          </cell>
          <cell r="E213" t="str">
            <v>PVC</v>
          </cell>
          <cell r="F213" t="str">
            <v>each</v>
          </cell>
          <cell r="G213">
            <v>296</v>
          </cell>
          <cell r="H213">
            <v>340</v>
          </cell>
          <cell r="I213">
            <v>391</v>
          </cell>
        </row>
        <row r="214">
          <cell r="B214" t="str">
            <v>MS threaded flanges75mm</v>
          </cell>
          <cell r="C214" t="str">
            <v>MS threaded flanges</v>
          </cell>
          <cell r="D214" t="str">
            <v>75mm</v>
          </cell>
          <cell r="E214" t="str">
            <v>PVC</v>
          </cell>
          <cell r="F214" t="str">
            <v>each</v>
          </cell>
          <cell r="G214">
            <v>296</v>
          </cell>
          <cell r="H214">
            <v>340</v>
          </cell>
          <cell r="I214">
            <v>391</v>
          </cell>
        </row>
        <row r="215">
          <cell r="B215" t="str">
            <v>MS threaded flanges90mm</v>
          </cell>
          <cell r="C215" t="str">
            <v>MS threaded flanges</v>
          </cell>
          <cell r="D215" t="str">
            <v>90mm</v>
          </cell>
          <cell r="E215" t="str">
            <v>PVC</v>
          </cell>
          <cell r="F215" t="str">
            <v>each</v>
          </cell>
          <cell r="G215">
            <v>296</v>
          </cell>
          <cell r="H215">
            <v>340</v>
          </cell>
          <cell r="I215">
            <v>391</v>
          </cell>
        </row>
        <row r="216">
          <cell r="B216" t="str">
            <v>MS threaded flanges110mm</v>
          </cell>
          <cell r="C216" t="str">
            <v>MS threaded flanges</v>
          </cell>
          <cell r="D216" t="str">
            <v>110mm</v>
          </cell>
          <cell r="E216" t="str">
            <v>PVC</v>
          </cell>
          <cell r="F216" t="str">
            <v>each</v>
          </cell>
          <cell r="G216">
            <v>360</v>
          </cell>
          <cell r="H216">
            <v>414</v>
          </cell>
          <cell r="I216">
            <v>476</v>
          </cell>
        </row>
        <row r="217">
          <cell r="B217" t="str">
            <v>MS threaded flanges125mm</v>
          </cell>
          <cell r="C217" t="str">
            <v>MS threaded flanges</v>
          </cell>
          <cell r="D217" t="str">
            <v>125mm</v>
          </cell>
          <cell r="E217" t="str">
            <v>PVC</v>
          </cell>
          <cell r="F217" t="str">
            <v>each</v>
          </cell>
          <cell r="G217">
            <v>484</v>
          </cell>
          <cell r="H217">
            <v>557</v>
          </cell>
          <cell r="I217">
            <v>641</v>
          </cell>
        </row>
        <row r="218">
          <cell r="B218" t="str">
            <v>MS threaded flanges140mm</v>
          </cell>
          <cell r="C218" t="str">
            <v>MS threaded flanges</v>
          </cell>
          <cell r="D218" t="str">
            <v>140mm</v>
          </cell>
          <cell r="E218" t="str">
            <v>PVC</v>
          </cell>
          <cell r="F218" t="str">
            <v>each</v>
          </cell>
          <cell r="G218">
            <v>564</v>
          </cell>
          <cell r="H218">
            <v>649</v>
          </cell>
          <cell r="I218">
            <v>746</v>
          </cell>
        </row>
        <row r="219">
          <cell r="B219" t="str">
            <v>MS threaded flanges160mm</v>
          </cell>
          <cell r="C219" t="str">
            <v>MS threaded flanges</v>
          </cell>
          <cell r="D219" t="str">
            <v>160mm</v>
          </cell>
          <cell r="E219" t="str">
            <v>PVC</v>
          </cell>
          <cell r="F219" t="str">
            <v>each</v>
          </cell>
          <cell r="G219">
            <v>564</v>
          </cell>
          <cell r="H219">
            <v>649</v>
          </cell>
          <cell r="I219">
            <v>746</v>
          </cell>
        </row>
        <row r="220">
          <cell r="B220" t="str">
            <v>MS threaded flanges180mm</v>
          </cell>
          <cell r="C220" t="str">
            <v>MS threaded flanges</v>
          </cell>
          <cell r="D220" t="str">
            <v>180mm</v>
          </cell>
          <cell r="E220" t="str">
            <v>PVC</v>
          </cell>
          <cell r="F220" t="str">
            <v>each</v>
          </cell>
          <cell r="G220">
            <v>764</v>
          </cell>
          <cell r="H220">
            <v>879</v>
          </cell>
          <cell r="I220">
            <v>1011</v>
          </cell>
        </row>
        <row r="221">
          <cell r="B221" t="str">
            <v>MS threaded flanges200mm</v>
          </cell>
          <cell r="C221" t="str">
            <v>MS threaded flanges</v>
          </cell>
          <cell r="D221" t="str">
            <v>200mm</v>
          </cell>
          <cell r="E221" t="str">
            <v>PVC</v>
          </cell>
          <cell r="F221" t="str">
            <v>each</v>
          </cell>
          <cell r="G221">
            <v>780</v>
          </cell>
          <cell r="H221">
            <v>897</v>
          </cell>
          <cell r="I221">
            <v>1032</v>
          </cell>
        </row>
        <row r="222">
          <cell r="B222" t="str">
            <v>MS threaded flanges225mm</v>
          </cell>
          <cell r="C222" t="str">
            <v>MS threaded flanges</v>
          </cell>
          <cell r="D222" t="str">
            <v>225mm</v>
          </cell>
          <cell r="E222" t="str">
            <v>PVC</v>
          </cell>
          <cell r="F222" t="str">
            <v>each</v>
          </cell>
          <cell r="G222">
            <v>825</v>
          </cell>
          <cell r="H222">
            <v>949</v>
          </cell>
          <cell r="I222">
            <v>1091</v>
          </cell>
        </row>
        <row r="223">
          <cell r="B223" t="str">
            <v>MS threaded flanges250mm</v>
          </cell>
          <cell r="C223" t="str">
            <v>MS threaded flanges</v>
          </cell>
          <cell r="D223" t="str">
            <v>250mm</v>
          </cell>
          <cell r="E223" t="str">
            <v>PVC</v>
          </cell>
          <cell r="F223" t="str">
            <v>each</v>
          </cell>
          <cell r="G223">
            <v>840</v>
          </cell>
          <cell r="H223">
            <v>966</v>
          </cell>
          <cell r="I223">
            <v>1111</v>
          </cell>
        </row>
        <row r="224">
          <cell r="B224" t="str">
            <v>MS threaded flanges280mm</v>
          </cell>
          <cell r="C224" t="str">
            <v>MS threaded flanges</v>
          </cell>
          <cell r="D224" t="str">
            <v>280mm</v>
          </cell>
          <cell r="E224" t="str">
            <v>PVC</v>
          </cell>
          <cell r="F224" t="str">
            <v>each</v>
          </cell>
          <cell r="G224">
            <v>860</v>
          </cell>
          <cell r="H224">
            <v>989</v>
          </cell>
          <cell r="I224">
            <v>1137</v>
          </cell>
        </row>
        <row r="225">
          <cell r="B225" t="str">
            <v>MS threaded flanges315mm</v>
          </cell>
          <cell r="C225" t="str">
            <v>MS threaded flanges</v>
          </cell>
          <cell r="D225" t="str">
            <v>315mm</v>
          </cell>
          <cell r="E225" t="str">
            <v>PVC</v>
          </cell>
          <cell r="F225" t="str">
            <v>each</v>
          </cell>
          <cell r="G225">
            <v>860</v>
          </cell>
          <cell r="H225">
            <v>989</v>
          </cell>
          <cell r="I225">
            <v>1137</v>
          </cell>
        </row>
        <row r="226">
          <cell r="B226" t="str">
            <v>Jointing charges-Main line63mmPVC</v>
          </cell>
          <cell r="C226" t="str">
            <v>Jointing charges-Main line</v>
          </cell>
          <cell r="D226" t="str">
            <v>63mm</v>
          </cell>
          <cell r="E226" t="str">
            <v>PVC</v>
          </cell>
          <cell r="F226" t="str">
            <v>each</v>
          </cell>
          <cell r="G226">
            <v>147.16</v>
          </cell>
          <cell r="H226">
            <v>147.16</v>
          </cell>
          <cell r="I226">
            <v>147.16</v>
          </cell>
        </row>
        <row r="227">
          <cell r="B227" t="str">
            <v>Jointing charges-Main line75mmPVC</v>
          </cell>
          <cell r="C227" t="str">
            <v>Jointing charges-Main line</v>
          </cell>
          <cell r="D227" t="str">
            <v>75mm</v>
          </cell>
          <cell r="E227" t="str">
            <v>PVC</v>
          </cell>
          <cell r="F227" t="str">
            <v>each</v>
          </cell>
          <cell r="G227">
            <v>147.16</v>
          </cell>
          <cell r="H227">
            <v>147.16</v>
          </cell>
          <cell r="I227">
            <v>147.16</v>
          </cell>
        </row>
        <row r="228">
          <cell r="B228" t="str">
            <v>Jointing charges-Main line90mmPVC</v>
          </cell>
          <cell r="C228" t="str">
            <v>Jointing charges-Main line</v>
          </cell>
          <cell r="D228" t="str">
            <v>90mm</v>
          </cell>
          <cell r="E228" t="str">
            <v>PVC</v>
          </cell>
          <cell r="F228" t="str">
            <v>each</v>
          </cell>
          <cell r="G228">
            <v>147.16</v>
          </cell>
          <cell r="H228">
            <v>147.16</v>
          </cell>
          <cell r="I228">
            <v>147.16</v>
          </cell>
        </row>
        <row r="229">
          <cell r="B229" t="str">
            <v>Jointing charges-Main line110mmPVC</v>
          </cell>
          <cell r="C229" t="str">
            <v>Jointing charges-Main line</v>
          </cell>
          <cell r="D229" t="str">
            <v>110mm</v>
          </cell>
          <cell r="E229" t="str">
            <v>PVC</v>
          </cell>
          <cell r="F229" t="str">
            <v>each</v>
          </cell>
          <cell r="G229">
            <v>264.36</v>
          </cell>
          <cell r="H229">
            <v>264.36</v>
          </cell>
          <cell r="I229">
            <v>264.36</v>
          </cell>
        </row>
        <row r="230">
          <cell r="B230" t="str">
            <v>Jointing charges-Main line125mmPVC</v>
          </cell>
          <cell r="C230" t="str">
            <v>Jointing charges-Main line</v>
          </cell>
          <cell r="D230" t="str">
            <v>125mm</v>
          </cell>
          <cell r="E230" t="str">
            <v>PVC</v>
          </cell>
          <cell r="F230" t="str">
            <v>each</v>
          </cell>
          <cell r="G230">
            <v>276.5</v>
          </cell>
          <cell r="H230">
            <v>276.5</v>
          </cell>
          <cell r="I230">
            <v>276.5</v>
          </cell>
        </row>
        <row r="231">
          <cell r="B231" t="str">
            <v>Jointing charges-Main line140mmPVC</v>
          </cell>
          <cell r="C231" t="str">
            <v>Jointing charges-Main line</v>
          </cell>
          <cell r="D231" t="str">
            <v>140mm</v>
          </cell>
          <cell r="E231" t="str">
            <v>PVC</v>
          </cell>
          <cell r="F231" t="str">
            <v>each</v>
          </cell>
          <cell r="G231">
            <v>364.94</v>
          </cell>
          <cell r="H231">
            <v>364.94</v>
          </cell>
          <cell r="I231">
            <v>364.94</v>
          </cell>
        </row>
        <row r="232">
          <cell r="B232" t="str">
            <v>Jointing charges-Main line160mmPVC</v>
          </cell>
          <cell r="C232" t="str">
            <v>Jointing charges-Main line</v>
          </cell>
          <cell r="D232" t="str">
            <v>160mm</v>
          </cell>
          <cell r="E232" t="str">
            <v>PVC</v>
          </cell>
          <cell r="F232" t="str">
            <v>each</v>
          </cell>
          <cell r="G232">
            <v>364.94</v>
          </cell>
          <cell r="H232">
            <v>364.94</v>
          </cell>
          <cell r="I232">
            <v>364.94</v>
          </cell>
        </row>
        <row r="233">
          <cell r="B233" t="str">
            <v>Jointing charges-Main line180mmPVC</v>
          </cell>
          <cell r="C233" t="str">
            <v>Jointing charges-Main line</v>
          </cell>
          <cell r="D233" t="str">
            <v>180mm</v>
          </cell>
          <cell r="E233" t="str">
            <v>PVC</v>
          </cell>
          <cell r="F233" t="str">
            <v>each</v>
          </cell>
          <cell r="G233">
            <v>364.94</v>
          </cell>
          <cell r="H233">
            <v>364.94</v>
          </cell>
          <cell r="I233">
            <v>364.94</v>
          </cell>
        </row>
        <row r="234">
          <cell r="B234" t="str">
            <v>Jointing charges-Main line200mmPVC</v>
          </cell>
          <cell r="C234" t="str">
            <v>Jointing charges-Main line</v>
          </cell>
          <cell r="D234" t="str">
            <v>200mm</v>
          </cell>
          <cell r="E234" t="str">
            <v>PVC</v>
          </cell>
          <cell r="F234" t="str">
            <v>each</v>
          </cell>
          <cell r="G234">
            <v>387.88</v>
          </cell>
          <cell r="H234">
            <v>387.88</v>
          </cell>
          <cell r="I234">
            <v>387.88</v>
          </cell>
        </row>
        <row r="235">
          <cell r="B235" t="str">
            <v>Jointing charges-Main line225mmPVC</v>
          </cell>
          <cell r="C235" t="str">
            <v>Jointing charges-Main line</v>
          </cell>
          <cell r="D235" t="str">
            <v>225mm</v>
          </cell>
          <cell r="E235" t="str">
            <v>PVC</v>
          </cell>
          <cell r="F235" t="str">
            <v>each</v>
          </cell>
          <cell r="G235">
            <v>387.88</v>
          </cell>
          <cell r="H235">
            <v>387.88</v>
          </cell>
          <cell r="I235">
            <v>387.88</v>
          </cell>
        </row>
        <row r="236">
          <cell r="B236" t="str">
            <v>Jointing charges-Main line250mmPVC</v>
          </cell>
          <cell r="C236" t="str">
            <v>Jointing charges-Main line</v>
          </cell>
          <cell r="D236" t="str">
            <v>250mm</v>
          </cell>
          <cell r="E236" t="str">
            <v>PVC</v>
          </cell>
          <cell r="F236" t="str">
            <v>each</v>
          </cell>
          <cell r="G236">
            <v>567.64</v>
          </cell>
          <cell r="H236">
            <v>567.64</v>
          </cell>
          <cell r="I236">
            <v>567.64</v>
          </cell>
        </row>
        <row r="237">
          <cell r="B237" t="str">
            <v>Jointing charges-Main line280mmPVC</v>
          </cell>
          <cell r="C237" t="str">
            <v>Jointing charges-Main line</v>
          </cell>
          <cell r="D237" t="str">
            <v>280mm</v>
          </cell>
          <cell r="E237" t="str">
            <v>PVC</v>
          </cell>
          <cell r="F237" t="str">
            <v>each</v>
          </cell>
          <cell r="G237">
            <v>567.64</v>
          </cell>
          <cell r="H237">
            <v>567.64</v>
          </cell>
          <cell r="I237">
            <v>567.64</v>
          </cell>
        </row>
        <row r="238">
          <cell r="B238" t="str">
            <v>Jointing charges-Main line315mmPVC</v>
          </cell>
          <cell r="C238" t="str">
            <v>Jointing charges-Main line</v>
          </cell>
          <cell r="D238" t="str">
            <v>315mm</v>
          </cell>
          <cell r="E238" t="str">
            <v>PVC</v>
          </cell>
          <cell r="F238" t="str">
            <v>each</v>
          </cell>
          <cell r="G238">
            <v>602.08000000000004</v>
          </cell>
          <cell r="H238">
            <v>602.08000000000004</v>
          </cell>
          <cell r="I238">
            <v>602.08000000000004</v>
          </cell>
        </row>
        <row r="239">
          <cell r="B239" t="str">
            <v>Jointing charges-Air valve63mmPVC</v>
          </cell>
          <cell r="C239" t="str">
            <v>Jointing charges-Air valve</v>
          </cell>
          <cell r="D239" t="str">
            <v>63mm</v>
          </cell>
          <cell r="E239" t="str">
            <v>PVC</v>
          </cell>
          <cell r="F239" t="str">
            <v>each</v>
          </cell>
          <cell r="G239">
            <v>46.06</v>
          </cell>
          <cell r="H239">
            <v>46.06</v>
          </cell>
          <cell r="I239">
            <v>46.06</v>
          </cell>
        </row>
        <row r="240">
          <cell r="B240" t="str">
            <v>Jointing charges-Air valve75mmPVC</v>
          </cell>
          <cell r="C240" t="str">
            <v>Jointing charges-Air valve</v>
          </cell>
          <cell r="D240" t="str">
            <v>75mm</v>
          </cell>
          <cell r="E240" t="str">
            <v>PVC</v>
          </cell>
          <cell r="F240" t="str">
            <v>each</v>
          </cell>
          <cell r="G240">
            <v>46.06</v>
          </cell>
          <cell r="H240">
            <v>46.06</v>
          </cell>
          <cell r="I240">
            <v>46.06</v>
          </cell>
        </row>
        <row r="241">
          <cell r="B241" t="str">
            <v>Jointing charges-Air valve90mmPVC</v>
          </cell>
          <cell r="C241" t="str">
            <v>Jointing charges-Air valve</v>
          </cell>
          <cell r="D241" t="str">
            <v>90mm</v>
          </cell>
          <cell r="E241" t="str">
            <v>PVC</v>
          </cell>
          <cell r="F241" t="str">
            <v>each</v>
          </cell>
          <cell r="G241">
            <v>46.06</v>
          </cell>
          <cell r="H241">
            <v>46.06</v>
          </cell>
          <cell r="I241">
            <v>46.06</v>
          </cell>
        </row>
        <row r="242">
          <cell r="B242" t="str">
            <v>Jointing charges-Air valve110mmPVC</v>
          </cell>
          <cell r="C242" t="str">
            <v>Jointing charges-Air valve</v>
          </cell>
          <cell r="D242" t="str">
            <v>110mm</v>
          </cell>
          <cell r="E242" t="str">
            <v>PVC</v>
          </cell>
          <cell r="F242" t="str">
            <v>each</v>
          </cell>
          <cell r="G242">
            <v>46.06</v>
          </cell>
          <cell r="H242">
            <v>46.06</v>
          </cell>
          <cell r="I242">
            <v>46.06</v>
          </cell>
        </row>
        <row r="243">
          <cell r="B243" t="str">
            <v>Jointing charges-Air valve125mmPVC</v>
          </cell>
          <cell r="C243" t="str">
            <v>Jointing charges-Air valve</v>
          </cell>
          <cell r="D243" t="str">
            <v>125mm</v>
          </cell>
          <cell r="E243" t="str">
            <v>PVC</v>
          </cell>
          <cell r="F243" t="str">
            <v>each</v>
          </cell>
          <cell r="G243">
            <v>71.89</v>
          </cell>
          <cell r="H243">
            <v>71.89</v>
          </cell>
          <cell r="I243">
            <v>71.89</v>
          </cell>
        </row>
        <row r="244">
          <cell r="B244" t="str">
            <v>Jointing charges-Air valve140mmPVC</v>
          </cell>
          <cell r="C244" t="str">
            <v>Jointing charges-Air valve</v>
          </cell>
          <cell r="D244" t="str">
            <v>140mm</v>
          </cell>
          <cell r="E244" t="str">
            <v>PVC</v>
          </cell>
          <cell r="F244" t="str">
            <v>each</v>
          </cell>
          <cell r="G244">
            <v>71.89</v>
          </cell>
          <cell r="H244">
            <v>71.89</v>
          </cell>
          <cell r="I244">
            <v>71.89</v>
          </cell>
        </row>
        <row r="245">
          <cell r="B245" t="str">
            <v>Jointing charges-Air valve160mmPVC</v>
          </cell>
          <cell r="C245" t="str">
            <v>Jointing charges-Air valve</v>
          </cell>
          <cell r="D245" t="str">
            <v>160mm</v>
          </cell>
          <cell r="E245" t="str">
            <v>PVC</v>
          </cell>
          <cell r="F245" t="str">
            <v>each</v>
          </cell>
          <cell r="G245">
            <v>71.89</v>
          </cell>
          <cell r="H245">
            <v>71.89</v>
          </cell>
          <cell r="I245">
            <v>71.89</v>
          </cell>
        </row>
        <row r="246">
          <cell r="B246" t="str">
            <v>Jointing charges-Air valve180mmPVC</v>
          </cell>
          <cell r="C246" t="str">
            <v>Jointing charges-Air valve</v>
          </cell>
          <cell r="D246" t="str">
            <v>180mm</v>
          </cell>
          <cell r="E246" t="str">
            <v>PVC</v>
          </cell>
          <cell r="F246" t="str">
            <v>each</v>
          </cell>
          <cell r="G246">
            <v>71.89</v>
          </cell>
          <cell r="H246">
            <v>71.89</v>
          </cell>
          <cell r="I246">
            <v>71.89</v>
          </cell>
        </row>
        <row r="247">
          <cell r="B247" t="str">
            <v>Jointing charges-Air valve200mmPVC</v>
          </cell>
          <cell r="C247" t="str">
            <v>Jointing charges-Air valve</v>
          </cell>
          <cell r="D247" t="str">
            <v>200mm</v>
          </cell>
          <cell r="E247" t="str">
            <v>PVC</v>
          </cell>
          <cell r="F247" t="str">
            <v>each</v>
          </cell>
          <cell r="G247">
            <v>71.89</v>
          </cell>
          <cell r="H247">
            <v>71.89</v>
          </cell>
          <cell r="I247">
            <v>71.89</v>
          </cell>
        </row>
        <row r="248">
          <cell r="B248" t="str">
            <v>Jointing charges-Air valve225mmPVC</v>
          </cell>
          <cell r="C248" t="str">
            <v>Jointing charges-Air valve</v>
          </cell>
          <cell r="D248" t="str">
            <v>225mm</v>
          </cell>
          <cell r="E248" t="str">
            <v>PVC</v>
          </cell>
          <cell r="F248" t="str">
            <v>each</v>
          </cell>
          <cell r="G248">
            <v>71.89</v>
          </cell>
          <cell r="H248">
            <v>71.89</v>
          </cell>
          <cell r="I248">
            <v>71.89</v>
          </cell>
        </row>
        <row r="249">
          <cell r="B249" t="str">
            <v>Jointing charges-Air valve250mmPVC</v>
          </cell>
          <cell r="C249" t="str">
            <v>Jointing charges-Air valve</v>
          </cell>
          <cell r="D249" t="str">
            <v>250mm</v>
          </cell>
          <cell r="E249" t="str">
            <v>PVC</v>
          </cell>
          <cell r="F249" t="str">
            <v>each</v>
          </cell>
          <cell r="G249">
            <v>73.58</v>
          </cell>
          <cell r="H249">
            <v>73.58</v>
          </cell>
          <cell r="I249">
            <v>73.58</v>
          </cell>
        </row>
        <row r="250">
          <cell r="B250" t="str">
            <v>Jointing charges-Air valve280mmPVC</v>
          </cell>
          <cell r="C250" t="str">
            <v>Jointing charges-Air valve</v>
          </cell>
          <cell r="D250" t="str">
            <v>280mm</v>
          </cell>
          <cell r="E250" t="str">
            <v>PVC</v>
          </cell>
          <cell r="F250" t="str">
            <v>each</v>
          </cell>
          <cell r="G250">
            <v>73.58</v>
          </cell>
          <cell r="H250">
            <v>73.58</v>
          </cell>
          <cell r="I250">
            <v>73.58</v>
          </cell>
        </row>
        <row r="251">
          <cell r="B251" t="str">
            <v>Jointing charges-Air valve315mmPVC</v>
          </cell>
          <cell r="C251" t="str">
            <v>Jointing charges-Air valve</v>
          </cell>
          <cell r="D251" t="str">
            <v>315mm</v>
          </cell>
          <cell r="E251" t="str">
            <v>PVC</v>
          </cell>
          <cell r="F251" t="str">
            <v>each</v>
          </cell>
          <cell r="G251">
            <v>73.58</v>
          </cell>
          <cell r="H251">
            <v>73.58</v>
          </cell>
          <cell r="I251">
            <v>73.58</v>
          </cell>
        </row>
        <row r="252">
          <cell r="B252" t="str">
            <v>Labour charges for flanged joints63mmPVC</v>
          </cell>
          <cell r="C252" t="str">
            <v>Labour charges for flanged joints</v>
          </cell>
          <cell r="D252" t="str">
            <v>63mm</v>
          </cell>
          <cell r="E252" t="str">
            <v>PVC</v>
          </cell>
          <cell r="F252" t="str">
            <v>each</v>
          </cell>
          <cell r="G252">
            <v>220.4</v>
          </cell>
          <cell r="H252">
            <v>220.4</v>
          </cell>
          <cell r="I252">
            <v>220.4</v>
          </cell>
        </row>
        <row r="253">
          <cell r="B253" t="str">
            <v>Labour charges for flanged joints75mmPVC</v>
          </cell>
          <cell r="C253" t="str">
            <v>Labour charges for flanged joints</v>
          </cell>
          <cell r="D253" t="str">
            <v>75mm</v>
          </cell>
          <cell r="E253" t="str">
            <v>PVC</v>
          </cell>
          <cell r="F253" t="str">
            <v>each</v>
          </cell>
          <cell r="G253">
            <v>220.4</v>
          </cell>
          <cell r="H253">
            <v>220.4</v>
          </cell>
          <cell r="I253">
            <v>220.4</v>
          </cell>
        </row>
        <row r="254">
          <cell r="B254" t="str">
            <v>Labour charges for flanged joints90mmPVC</v>
          </cell>
          <cell r="C254" t="str">
            <v>Labour charges for flanged joints</v>
          </cell>
          <cell r="D254" t="str">
            <v>90mm</v>
          </cell>
          <cell r="E254" t="str">
            <v>PVC</v>
          </cell>
          <cell r="F254" t="str">
            <v>each</v>
          </cell>
          <cell r="G254">
            <v>220.4</v>
          </cell>
          <cell r="H254">
            <v>220.4</v>
          </cell>
          <cell r="I254">
            <v>220.4</v>
          </cell>
        </row>
        <row r="255">
          <cell r="B255" t="str">
            <v>Labour charges for flanged joints110mmPVC</v>
          </cell>
          <cell r="C255" t="str">
            <v>Labour charges for flanged joints</v>
          </cell>
          <cell r="D255" t="str">
            <v>110mm</v>
          </cell>
          <cell r="E255" t="str">
            <v>PVC</v>
          </cell>
          <cell r="F255" t="str">
            <v>each</v>
          </cell>
          <cell r="G255">
            <v>234.8</v>
          </cell>
          <cell r="H255">
            <v>234.8</v>
          </cell>
          <cell r="I255">
            <v>234.8</v>
          </cell>
        </row>
        <row r="256">
          <cell r="B256" t="str">
            <v>Labour charges for flanged joints125mmPVC</v>
          </cell>
          <cell r="C256" t="str">
            <v>Labour charges for flanged joints</v>
          </cell>
          <cell r="D256" t="str">
            <v>125mm</v>
          </cell>
          <cell r="E256" t="str">
            <v>PVC</v>
          </cell>
          <cell r="F256" t="str">
            <v>each</v>
          </cell>
          <cell r="G256">
            <v>339.2</v>
          </cell>
          <cell r="H256">
            <v>339.2</v>
          </cell>
          <cell r="I256">
            <v>339.2</v>
          </cell>
        </row>
        <row r="257">
          <cell r="B257" t="str">
            <v>Labour charges for flanged joints140mmPVC</v>
          </cell>
          <cell r="C257" t="str">
            <v>Labour charges for flanged joints</v>
          </cell>
          <cell r="D257" t="str">
            <v>140mm</v>
          </cell>
          <cell r="E257" t="str">
            <v>PVC</v>
          </cell>
          <cell r="F257" t="str">
            <v>each</v>
          </cell>
          <cell r="G257">
            <v>353.2</v>
          </cell>
          <cell r="H257">
            <v>353.2</v>
          </cell>
          <cell r="I257">
            <v>353.2</v>
          </cell>
        </row>
        <row r="258">
          <cell r="B258" t="str">
            <v>Labour charges for flanged joints160mmPVC</v>
          </cell>
          <cell r="C258" t="str">
            <v>Labour charges for flanged joints</v>
          </cell>
          <cell r="D258" t="str">
            <v>160mm</v>
          </cell>
          <cell r="E258" t="str">
            <v>PVC</v>
          </cell>
          <cell r="F258" t="str">
            <v>each</v>
          </cell>
          <cell r="G258">
            <v>353.2</v>
          </cell>
          <cell r="H258">
            <v>353.2</v>
          </cell>
          <cell r="I258">
            <v>353.2</v>
          </cell>
        </row>
        <row r="259">
          <cell r="B259" t="str">
            <v>Labour charges for flanged joints180mmPVC</v>
          </cell>
          <cell r="C259" t="str">
            <v>Labour charges for flanged joints</v>
          </cell>
          <cell r="D259" t="str">
            <v>180mm</v>
          </cell>
          <cell r="E259" t="str">
            <v>PVC</v>
          </cell>
          <cell r="F259" t="str">
            <v>each</v>
          </cell>
          <cell r="G259">
            <v>353.2</v>
          </cell>
          <cell r="H259">
            <v>353.2</v>
          </cell>
          <cell r="I259">
            <v>353.2</v>
          </cell>
        </row>
        <row r="260">
          <cell r="B260" t="str">
            <v>Labour charges for flanged joints200mmPVC</v>
          </cell>
          <cell r="C260" t="str">
            <v>Labour charges for flanged joints</v>
          </cell>
          <cell r="D260" t="str">
            <v>200mm</v>
          </cell>
          <cell r="E260" t="str">
            <v>PVC</v>
          </cell>
          <cell r="F260" t="str">
            <v>each</v>
          </cell>
          <cell r="G260">
            <v>466</v>
          </cell>
          <cell r="H260">
            <v>466</v>
          </cell>
          <cell r="I260">
            <v>466</v>
          </cell>
        </row>
        <row r="261">
          <cell r="B261" t="str">
            <v>Labour charges for flanged joints225mmPVC</v>
          </cell>
          <cell r="C261" t="str">
            <v>Labour charges for flanged joints</v>
          </cell>
          <cell r="D261" t="str">
            <v>225mm</v>
          </cell>
          <cell r="E261" t="str">
            <v>PVC</v>
          </cell>
          <cell r="F261" t="str">
            <v>each</v>
          </cell>
          <cell r="G261">
            <v>466</v>
          </cell>
          <cell r="H261">
            <v>466</v>
          </cell>
          <cell r="I261">
            <v>466</v>
          </cell>
        </row>
        <row r="262">
          <cell r="B262" t="str">
            <v>Labour charges for flanged joints250mmPVC</v>
          </cell>
          <cell r="C262" t="str">
            <v>Labour charges for flanged joints</v>
          </cell>
          <cell r="D262" t="str">
            <v>250mm</v>
          </cell>
          <cell r="E262" t="str">
            <v>PVC</v>
          </cell>
          <cell r="F262" t="str">
            <v>each</v>
          </cell>
          <cell r="G262">
            <v>576</v>
          </cell>
          <cell r="H262">
            <v>576</v>
          </cell>
          <cell r="I262">
            <v>576</v>
          </cell>
        </row>
        <row r="263">
          <cell r="B263" t="str">
            <v>Labour charges for flanged joints280mmPVC</v>
          </cell>
          <cell r="C263" t="str">
            <v>Labour charges for flanged joints</v>
          </cell>
          <cell r="D263" t="str">
            <v>280mm</v>
          </cell>
          <cell r="E263" t="str">
            <v>PVC</v>
          </cell>
          <cell r="F263" t="str">
            <v>each</v>
          </cell>
          <cell r="G263">
            <v>576</v>
          </cell>
          <cell r="H263">
            <v>576</v>
          </cell>
          <cell r="I263">
            <v>576</v>
          </cell>
        </row>
        <row r="264">
          <cell r="B264" t="str">
            <v>Labour charges for flanged joints315mmPVC</v>
          </cell>
          <cell r="C264" t="str">
            <v>Labour charges for flanged joints</v>
          </cell>
          <cell r="D264" t="str">
            <v>315mm</v>
          </cell>
          <cell r="E264" t="str">
            <v>PVC</v>
          </cell>
          <cell r="F264" t="str">
            <v>each</v>
          </cell>
          <cell r="G264">
            <v>690</v>
          </cell>
          <cell r="H264">
            <v>690</v>
          </cell>
          <cell r="I264">
            <v>690</v>
          </cell>
        </row>
        <row r="265">
          <cell r="B265" t="str">
            <v>Labour charges for fixing of valve63mmPVC</v>
          </cell>
          <cell r="C265" t="str">
            <v>Labour charges for fixing of valve</v>
          </cell>
          <cell r="D265" t="str">
            <v>63mm</v>
          </cell>
          <cell r="E265" t="str">
            <v>PVC</v>
          </cell>
          <cell r="F265" t="str">
            <v>each</v>
          </cell>
          <cell r="G265">
            <v>72.599999999999994</v>
          </cell>
          <cell r="H265">
            <v>72.599999999999994</v>
          </cell>
          <cell r="I265">
            <v>72.599999999999994</v>
          </cell>
        </row>
        <row r="266">
          <cell r="B266" t="str">
            <v>Labour charges for fixing of valve75mmPVC</v>
          </cell>
          <cell r="C266" t="str">
            <v>Labour charges for fixing of valve</v>
          </cell>
          <cell r="D266" t="str">
            <v>75mm</v>
          </cell>
          <cell r="E266" t="str">
            <v>PVC</v>
          </cell>
          <cell r="F266" t="str">
            <v>each</v>
          </cell>
          <cell r="G266">
            <v>72.599999999999994</v>
          </cell>
          <cell r="H266">
            <v>72.599999999999994</v>
          </cell>
          <cell r="I266">
            <v>72.599999999999994</v>
          </cell>
        </row>
        <row r="267">
          <cell r="B267" t="str">
            <v>Labour charges for fixing of valve90mmPVC</v>
          </cell>
          <cell r="C267" t="str">
            <v>Labour charges for fixing of valve</v>
          </cell>
          <cell r="D267" t="str">
            <v>90mm</v>
          </cell>
          <cell r="E267" t="str">
            <v>PVC</v>
          </cell>
          <cell r="F267" t="str">
            <v>each</v>
          </cell>
          <cell r="G267">
            <v>72.599999999999994</v>
          </cell>
          <cell r="H267">
            <v>72.599999999999994</v>
          </cell>
          <cell r="I267">
            <v>72.599999999999994</v>
          </cell>
        </row>
        <row r="268">
          <cell r="B268" t="str">
            <v>Labour charges for fixing of valve110mmPVC</v>
          </cell>
          <cell r="C268" t="str">
            <v>Labour charges for fixing of valve</v>
          </cell>
          <cell r="D268" t="str">
            <v>110mm</v>
          </cell>
          <cell r="E268" t="str">
            <v>PVC</v>
          </cell>
          <cell r="F268" t="str">
            <v>each</v>
          </cell>
          <cell r="G268">
            <v>72.599999999999994</v>
          </cell>
          <cell r="H268">
            <v>72.599999999999994</v>
          </cell>
          <cell r="I268">
            <v>72.599999999999994</v>
          </cell>
        </row>
        <row r="269">
          <cell r="B269" t="str">
            <v>Labour charges for fixing of valve125mmPVC</v>
          </cell>
          <cell r="C269" t="str">
            <v>Labour charges for fixing of valve</v>
          </cell>
          <cell r="D269" t="str">
            <v>125mm</v>
          </cell>
          <cell r="E269" t="str">
            <v>PVC</v>
          </cell>
          <cell r="F269" t="str">
            <v>each</v>
          </cell>
          <cell r="G269">
            <v>76.599999999999994</v>
          </cell>
          <cell r="H269">
            <v>76.599999999999994</v>
          </cell>
          <cell r="I269">
            <v>76.599999999999994</v>
          </cell>
        </row>
        <row r="270">
          <cell r="B270" t="str">
            <v>Labour charges for fixing of valve140mmPVC</v>
          </cell>
          <cell r="C270" t="str">
            <v>Labour charges for fixing of valve</v>
          </cell>
          <cell r="D270" t="str">
            <v>140mm</v>
          </cell>
          <cell r="E270" t="str">
            <v>PVC</v>
          </cell>
          <cell r="F270" t="str">
            <v>each</v>
          </cell>
          <cell r="G270">
            <v>76.599999999999994</v>
          </cell>
          <cell r="H270">
            <v>76.599999999999994</v>
          </cell>
          <cell r="I270">
            <v>76.599999999999994</v>
          </cell>
        </row>
        <row r="271">
          <cell r="B271" t="str">
            <v>Labour charges for fixing of valve160mmPVC</v>
          </cell>
          <cell r="C271" t="str">
            <v>Labour charges for fixing of valve</v>
          </cell>
          <cell r="D271" t="str">
            <v>160mm</v>
          </cell>
          <cell r="E271" t="str">
            <v>PVC</v>
          </cell>
          <cell r="F271" t="str">
            <v>each</v>
          </cell>
          <cell r="G271">
            <v>76.599999999999994</v>
          </cell>
          <cell r="H271">
            <v>76.599999999999994</v>
          </cell>
          <cell r="I271">
            <v>76.599999999999994</v>
          </cell>
        </row>
        <row r="272">
          <cell r="B272" t="str">
            <v>Labour charges for fixing of valve180mmPVC</v>
          </cell>
          <cell r="C272" t="str">
            <v>Labour charges for fixing of valve</v>
          </cell>
          <cell r="D272" t="str">
            <v>180mm</v>
          </cell>
          <cell r="E272" t="str">
            <v>PVC</v>
          </cell>
          <cell r="F272" t="str">
            <v>each</v>
          </cell>
          <cell r="G272">
            <v>76.599999999999994</v>
          </cell>
          <cell r="H272">
            <v>76.599999999999994</v>
          </cell>
          <cell r="I272">
            <v>76.599999999999994</v>
          </cell>
        </row>
        <row r="273">
          <cell r="B273" t="str">
            <v>Labour charges for fixing of valve200mmPVC</v>
          </cell>
          <cell r="C273" t="str">
            <v>Labour charges for fixing of valve</v>
          </cell>
          <cell r="D273" t="str">
            <v>200mm</v>
          </cell>
          <cell r="E273" t="str">
            <v>PVC</v>
          </cell>
          <cell r="F273" t="str">
            <v>each</v>
          </cell>
          <cell r="G273">
            <v>76.599999999999994</v>
          </cell>
          <cell r="H273">
            <v>76.599999999999994</v>
          </cell>
          <cell r="I273">
            <v>76.599999999999994</v>
          </cell>
        </row>
        <row r="274">
          <cell r="B274" t="str">
            <v>Labour charges for fixing of valve225mmPVC</v>
          </cell>
          <cell r="C274" t="str">
            <v>Labour charges for fixing of valve</v>
          </cell>
          <cell r="D274" t="str">
            <v>225mm</v>
          </cell>
          <cell r="E274" t="str">
            <v>PVC</v>
          </cell>
          <cell r="F274" t="str">
            <v>each</v>
          </cell>
          <cell r="G274">
            <v>76.599999999999994</v>
          </cell>
          <cell r="H274">
            <v>76.599999999999994</v>
          </cell>
          <cell r="I274">
            <v>76.599999999999994</v>
          </cell>
        </row>
        <row r="275">
          <cell r="B275" t="str">
            <v>Labour charges for fixing of valve250mmPVC</v>
          </cell>
          <cell r="C275" t="str">
            <v>Labour charges for fixing of valve</v>
          </cell>
          <cell r="D275" t="str">
            <v>250mm</v>
          </cell>
          <cell r="E275" t="str">
            <v>PVC</v>
          </cell>
          <cell r="F275" t="str">
            <v>each</v>
          </cell>
          <cell r="G275">
            <v>89.8</v>
          </cell>
          <cell r="H275">
            <v>89.8</v>
          </cell>
          <cell r="I275">
            <v>89.8</v>
          </cell>
        </row>
        <row r="276">
          <cell r="B276" t="str">
            <v>Labour charges for fixing of valve280mmPVC</v>
          </cell>
          <cell r="C276" t="str">
            <v>Labour charges for fixing of valve</v>
          </cell>
          <cell r="D276" t="str">
            <v>280mm</v>
          </cell>
          <cell r="E276" t="str">
            <v>PVC</v>
          </cell>
          <cell r="F276" t="str">
            <v>each</v>
          </cell>
          <cell r="G276">
            <v>89.8</v>
          </cell>
          <cell r="H276">
            <v>89.8</v>
          </cell>
          <cell r="I276">
            <v>89.8</v>
          </cell>
        </row>
        <row r="277">
          <cell r="B277" t="str">
            <v>Labour charges for fixing of valve315mmPVC</v>
          </cell>
          <cell r="C277" t="str">
            <v>Labour charges for fixing of valve</v>
          </cell>
          <cell r="D277" t="str">
            <v>315mm</v>
          </cell>
          <cell r="E277" t="str">
            <v>PVC</v>
          </cell>
          <cell r="F277" t="str">
            <v>each</v>
          </cell>
          <cell r="G277">
            <v>89.8</v>
          </cell>
          <cell r="H277">
            <v>89.8</v>
          </cell>
          <cell r="I277">
            <v>89.8</v>
          </cell>
        </row>
        <row r="278">
          <cell r="B278" t="str">
            <v>CI A/F Air Tee80x40mm</v>
          </cell>
          <cell r="C278" t="str">
            <v>CI A/F Air Tee</v>
          </cell>
          <cell r="D278" t="str">
            <v>80x40mm</v>
          </cell>
          <cell r="E278">
            <v>24.5</v>
          </cell>
          <cell r="F278" t="str">
            <v>each</v>
          </cell>
          <cell r="G278">
            <v>814.625</v>
          </cell>
          <cell r="H278">
            <v>1296.05</v>
          </cell>
          <cell r="I278">
            <v>997.15000000000009</v>
          </cell>
        </row>
        <row r="279">
          <cell r="B279" t="str">
            <v>CI A/F Air Tee100x40mm</v>
          </cell>
          <cell r="C279" t="str">
            <v>CI A/F Air Tee</v>
          </cell>
          <cell r="D279" t="str">
            <v>100x40mm</v>
          </cell>
          <cell r="E279">
            <v>29.08</v>
          </cell>
          <cell r="F279" t="str">
            <v>each</v>
          </cell>
          <cell r="G279">
            <v>966.91</v>
          </cell>
          <cell r="H279">
            <v>1538.3319999999999</v>
          </cell>
          <cell r="I279">
            <v>1183.556</v>
          </cell>
        </row>
        <row r="280">
          <cell r="B280" t="str">
            <v>CI A/F Air Tee125x50mm</v>
          </cell>
          <cell r="C280" t="str">
            <v>CI A/F Air Tee</v>
          </cell>
          <cell r="D280" t="str">
            <v>125x50mm</v>
          </cell>
          <cell r="E280">
            <v>36.03</v>
          </cell>
          <cell r="F280" t="str">
            <v>each</v>
          </cell>
          <cell r="G280">
            <v>1197.9974999999999</v>
          </cell>
          <cell r="H280">
            <v>1905.9870000000001</v>
          </cell>
          <cell r="I280">
            <v>1466.421</v>
          </cell>
        </row>
        <row r="281">
          <cell r="B281" t="str">
            <v>CI A/F Air Tee150x50mm</v>
          </cell>
          <cell r="C281" t="str">
            <v>CI A/F Air Tee</v>
          </cell>
          <cell r="D281" t="str">
            <v>150x50mm</v>
          </cell>
          <cell r="E281">
            <v>41.64</v>
          </cell>
          <cell r="F281" t="str">
            <v>each</v>
          </cell>
          <cell r="G281">
            <v>1384.53</v>
          </cell>
          <cell r="H281">
            <v>2202.7559999999999</v>
          </cell>
          <cell r="I281">
            <v>1694.748</v>
          </cell>
        </row>
        <row r="282">
          <cell r="B282" t="str">
            <v>CI A/F Air Tee200x50mm</v>
          </cell>
          <cell r="C282" t="str">
            <v>CI A/F Air Tee</v>
          </cell>
          <cell r="D282" t="str">
            <v>200x50mm</v>
          </cell>
          <cell r="E282">
            <v>58.07</v>
          </cell>
          <cell r="F282" t="str">
            <v>each</v>
          </cell>
          <cell r="G282">
            <v>1930.8275000000001</v>
          </cell>
          <cell r="H282">
            <v>3071.9029999999998</v>
          </cell>
          <cell r="I282">
            <v>2363.4490000000001</v>
          </cell>
        </row>
        <row r="283">
          <cell r="B283" t="str">
            <v>CI A/F Air Tee250x80mm</v>
          </cell>
          <cell r="C283" t="str">
            <v>CI A/F Air Tee</v>
          </cell>
          <cell r="D283" t="str">
            <v>250x80mm</v>
          </cell>
          <cell r="E283">
            <v>78</v>
          </cell>
          <cell r="F283" t="str">
            <v>each</v>
          </cell>
          <cell r="G283">
            <v>2593.5</v>
          </cell>
          <cell r="H283">
            <v>4126.2</v>
          </cell>
          <cell r="I283">
            <v>3174.6000000000004</v>
          </cell>
        </row>
        <row r="284">
          <cell r="B284" t="str">
            <v>CI A/F Air Tee300x80mm</v>
          </cell>
          <cell r="C284" t="str">
            <v>CI A/F Air Tee</v>
          </cell>
          <cell r="D284" t="str">
            <v>300x80mm</v>
          </cell>
          <cell r="E284">
            <v>99.12</v>
          </cell>
          <cell r="F284" t="str">
            <v>each</v>
          </cell>
          <cell r="G284">
            <v>3295.7400000000002</v>
          </cell>
          <cell r="H284">
            <v>5243.4480000000003</v>
          </cell>
          <cell r="I284">
            <v>4034.1840000000007</v>
          </cell>
        </row>
        <row r="285">
          <cell r="B285" t="str">
            <v>HDPE Tail piece80x40mm</v>
          </cell>
          <cell r="C285" t="str">
            <v>HDPE Tail piece</v>
          </cell>
          <cell r="D285" t="str">
            <v>80x40mm</v>
          </cell>
          <cell r="E285">
            <v>0</v>
          </cell>
          <cell r="F285">
            <v>0</v>
          </cell>
          <cell r="G285">
            <v>48</v>
          </cell>
          <cell r="H285">
            <v>48</v>
          </cell>
          <cell r="I285">
            <v>48</v>
          </cell>
        </row>
        <row r="286">
          <cell r="B286" t="str">
            <v>HDPE Tail piece80x40mm</v>
          </cell>
          <cell r="C286" t="str">
            <v>HDPE Tail piece</v>
          </cell>
          <cell r="D286" t="str">
            <v>80x40mm</v>
          </cell>
          <cell r="E286">
            <v>0</v>
          </cell>
          <cell r="F286">
            <v>0</v>
          </cell>
          <cell r="G286">
            <v>56</v>
          </cell>
          <cell r="H286">
            <v>56</v>
          </cell>
          <cell r="I286">
            <v>56</v>
          </cell>
        </row>
        <row r="287">
          <cell r="B287" t="str">
            <v>HDPE Tail piece80x40mm</v>
          </cell>
          <cell r="C287" t="str">
            <v>HDPE Tail piece</v>
          </cell>
          <cell r="D287" t="str">
            <v>80x40mm</v>
          </cell>
          <cell r="E287">
            <v>0</v>
          </cell>
          <cell r="F287">
            <v>0</v>
          </cell>
          <cell r="G287">
            <v>64</v>
          </cell>
          <cell r="H287">
            <v>64</v>
          </cell>
          <cell r="I287">
            <v>64</v>
          </cell>
        </row>
        <row r="288">
          <cell r="B288" t="str">
            <v>HDPE Tail piece100x40mm</v>
          </cell>
          <cell r="C288" t="str">
            <v>HDPE Tail piece</v>
          </cell>
          <cell r="D288" t="str">
            <v>100x40mm</v>
          </cell>
          <cell r="E288">
            <v>0</v>
          </cell>
          <cell r="F288">
            <v>0</v>
          </cell>
          <cell r="G288">
            <v>82</v>
          </cell>
          <cell r="H288">
            <v>82</v>
          </cell>
          <cell r="I288">
            <v>82</v>
          </cell>
        </row>
        <row r="289">
          <cell r="B289" t="str">
            <v>HDPE Tail piece125x50mm</v>
          </cell>
          <cell r="C289" t="str">
            <v>HDPE Tail piece</v>
          </cell>
          <cell r="D289" t="str">
            <v>125x50mm</v>
          </cell>
          <cell r="E289">
            <v>0</v>
          </cell>
          <cell r="F289">
            <v>0</v>
          </cell>
          <cell r="G289">
            <v>112</v>
          </cell>
          <cell r="H289">
            <v>112</v>
          </cell>
          <cell r="I289">
            <v>112</v>
          </cell>
        </row>
        <row r="290">
          <cell r="B290" t="str">
            <v>HDPE Tail piece150x50mm</v>
          </cell>
          <cell r="C290" t="str">
            <v>HDPE Tail piece</v>
          </cell>
          <cell r="D290" t="str">
            <v>150x50mm</v>
          </cell>
          <cell r="E290">
            <v>0</v>
          </cell>
          <cell r="F290">
            <v>0</v>
          </cell>
          <cell r="G290">
            <v>142</v>
          </cell>
          <cell r="H290">
            <v>142</v>
          </cell>
          <cell r="I290">
            <v>142</v>
          </cell>
        </row>
        <row r="291">
          <cell r="B291" t="str">
            <v>HDPE Tail piece150x50mm</v>
          </cell>
          <cell r="C291" t="str">
            <v>HDPE Tail piece</v>
          </cell>
          <cell r="D291" t="str">
            <v>150x50mm</v>
          </cell>
          <cell r="E291">
            <v>0</v>
          </cell>
          <cell r="F291">
            <v>0</v>
          </cell>
          <cell r="G291">
            <v>155</v>
          </cell>
          <cell r="H291">
            <v>155</v>
          </cell>
          <cell r="I291">
            <v>155</v>
          </cell>
        </row>
        <row r="292">
          <cell r="B292" t="str">
            <v>HDPE Tail piece150x50mm</v>
          </cell>
          <cell r="C292" t="str">
            <v>HDPE Tail piece</v>
          </cell>
          <cell r="D292" t="str">
            <v>150x50mm</v>
          </cell>
          <cell r="E292">
            <v>0</v>
          </cell>
          <cell r="F292">
            <v>0</v>
          </cell>
          <cell r="G292">
            <v>195</v>
          </cell>
          <cell r="H292">
            <v>195</v>
          </cell>
          <cell r="I292">
            <v>195</v>
          </cell>
        </row>
        <row r="293">
          <cell r="B293" t="str">
            <v>HDPE Tail piece200x50mm</v>
          </cell>
          <cell r="C293" t="str">
            <v>HDPE Tail piece</v>
          </cell>
          <cell r="D293" t="str">
            <v>200x50mm</v>
          </cell>
          <cell r="E293">
            <v>0</v>
          </cell>
          <cell r="F293">
            <v>0</v>
          </cell>
          <cell r="G293">
            <v>242</v>
          </cell>
          <cell r="H293">
            <v>242</v>
          </cell>
          <cell r="I293">
            <v>242</v>
          </cell>
        </row>
        <row r="294">
          <cell r="B294" t="str">
            <v>HDPE Tail piece200x50mm</v>
          </cell>
          <cell r="C294" t="str">
            <v>HDPE Tail piece</v>
          </cell>
          <cell r="D294" t="str">
            <v>200x50mm</v>
          </cell>
          <cell r="E294">
            <v>0</v>
          </cell>
          <cell r="F294">
            <v>0</v>
          </cell>
          <cell r="G294">
            <v>279</v>
          </cell>
          <cell r="H294">
            <v>279</v>
          </cell>
          <cell r="I294">
            <v>279</v>
          </cell>
        </row>
        <row r="295">
          <cell r="B295" t="str">
            <v>HDPE Tail piece250x80mm</v>
          </cell>
          <cell r="C295" t="str">
            <v>HDPE Tail piece</v>
          </cell>
          <cell r="D295" t="str">
            <v>250x80mm</v>
          </cell>
          <cell r="E295">
            <v>0</v>
          </cell>
          <cell r="F295">
            <v>0</v>
          </cell>
          <cell r="G295">
            <v>328</v>
          </cell>
          <cell r="H295">
            <v>328</v>
          </cell>
          <cell r="I295">
            <v>328</v>
          </cell>
        </row>
        <row r="296">
          <cell r="B296" t="str">
            <v>HDPE Tail piece250x80mm</v>
          </cell>
          <cell r="C296" t="str">
            <v>HDPE Tail piece</v>
          </cell>
          <cell r="D296" t="str">
            <v>250x80mm</v>
          </cell>
          <cell r="E296">
            <v>0</v>
          </cell>
          <cell r="F296">
            <v>0</v>
          </cell>
          <cell r="G296">
            <v>336</v>
          </cell>
          <cell r="H296">
            <v>336</v>
          </cell>
          <cell r="I296">
            <v>336</v>
          </cell>
        </row>
        <row r="297">
          <cell r="B297" t="str">
            <v>HDPE Tail piece300x80mm</v>
          </cell>
          <cell r="C297" t="str">
            <v>HDPE Tail piece</v>
          </cell>
          <cell r="D297" t="str">
            <v>300x80mm</v>
          </cell>
          <cell r="E297">
            <v>0</v>
          </cell>
          <cell r="F297">
            <v>0</v>
          </cell>
          <cell r="G297">
            <v>342</v>
          </cell>
          <cell r="H297">
            <v>342</v>
          </cell>
          <cell r="I297">
            <v>342</v>
          </cell>
        </row>
        <row r="298">
          <cell r="B298" t="str">
            <v>MS flanges63mm</v>
          </cell>
          <cell r="C298" t="str">
            <v>MS flanges</v>
          </cell>
          <cell r="D298" t="str">
            <v>63mm</v>
          </cell>
          <cell r="E298">
            <v>0</v>
          </cell>
          <cell r="F298">
            <v>0</v>
          </cell>
          <cell r="G298">
            <v>148</v>
          </cell>
          <cell r="H298">
            <v>148</v>
          </cell>
          <cell r="I298">
            <v>148</v>
          </cell>
        </row>
        <row r="299">
          <cell r="B299" t="str">
            <v>MS flanges75mm</v>
          </cell>
          <cell r="C299" t="str">
            <v>MS flanges</v>
          </cell>
          <cell r="D299" t="str">
            <v>75mm</v>
          </cell>
          <cell r="E299">
            <v>0</v>
          </cell>
          <cell r="F299">
            <v>0</v>
          </cell>
          <cell r="G299">
            <v>148</v>
          </cell>
          <cell r="H299">
            <v>148</v>
          </cell>
          <cell r="I299">
            <v>148</v>
          </cell>
        </row>
        <row r="300">
          <cell r="B300" t="str">
            <v>MS flanges90mm</v>
          </cell>
          <cell r="C300" t="str">
            <v>MS flanges</v>
          </cell>
          <cell r="D300" t="str">
            <v>90mm</v>
          </cell>
          <cell r="E300">
            <v>0</v>
          </cell>
          <cell r="F300">
            <v>0</v>
          </cell>
          <cell r="G300">
            <v>148</v>
          </cell>
          <cell r="H300">
            <v>148</v>
          </cell>
          <cell r="I300">
            <v>148</v>
          </cell>
        </row>
        <row r="301">
          <cell r="B301" t="str">
            <v>MS flanges110mm</v>
          </cell>
          <cell r="C301" t="str">
            <v>MS flanges</v>
          </cell>
          <cell r="D301" t="str">
            <v>110mm</v>
          </cell>
          <cell r="E301">
            <v>0</v>
          </cell>
          <cell r="F301">
            <v>0</v>
          </cell>
          <cell r="G301">
            <v>180</v>
          </cell>
          <cell r="H301">
            <v>180</v>
          </cell>
          <cell r="I301">
            <v>180</v>
          </cell>
        </row>
        <row r="302">
          <cell r="B302" t="str">
            <v>MS flanges125mm</v>
          </cell>
          <cell r="C302" t="str">
            <v>MS flanges</v>
          </cell>
          <cell r="D302" t="str">
            <v>125mm</v>
          </cell>
          <cell r="E302">
            <v>0</v>
          </cell>
          <cell r="F302">
            <v>0</v>
          </cell>
          <cell r="G302">
            <v>242</v>
          </cell>
          <cell r="H302">
            <v>242</v>
          </cell>
          <cell r="I302">
            <v>242</v>
          </cell>
        </row>
        <row r="303">
          <cell r="B303" t="str">
            <v>MS flanges140mm</v>
          </cell>
          <cell r="C303" t="str">
            <v>MS flanges</v>
          </cell>
          <cell r="D303" t="str">
            <v>140mm</v>
          </cell>
          <cell r="E303">
            <v>0</v>
          </cell>
          <cell r="F303">
            <v>0</v>
          </cell>
          <cell r="G303">
            <v>282</v>
          </cell>
          <cell r="H303">
            <v>282</v>
          </cell>
          <cell r="I303">
            <v>282</v>
          </cell>
        </row>
        <row r="304">
          <cell r="B304" t="str">
            <v>MS flanges160mm</v>
          </cell>
          <cell r="C304" t="str">
            <v>MS flanges</v>
          </cell>
          <cell r="D304" t="str">
            <v>160mm</v>
          </cell>
          <cell r="E304">
            <v>0</v>
          </cell>
          <cell r="F304">
            <v>0</v>
          </cell>
          <cell r="G304">
            <v>282</v>
          </cell>
          <cell r="H304">
            <v>282</v>
          </cell>
          <cell r="I304">
            <v>282</v>
          </cell>
        </row>
        <row r="305">
          <cell r="B305" t="str">
            <v>MS flanges180mm</v>
          </cell>
          <cell r="C305" t="str">
            <v>MS flanges</v>
          </cell>
          <cell r="D305" t="str">
            <v>180mm</v>
          </cell>
          <cell r="E305">
            <v>0</v>
          </cell>
          <cell r="F305">
            <v>0</v>
          </cell>
          <cell r="G305">
            <v>382</v>
          </cell>
          <cell r="H305">
            <v>382</v>
          </cell>
          <cell r="I305">
            <v>382</v>
          </cell>
        </row>
        <row r="306">
          <cell r="B306" t="str">
            <v>MS flanges200mm</v>
          </cell>
          <cell r="C306" t="str">
            <v>MS flanges</v>
          </cell>
          <cell r="D306" t="str">
            <v>200mm</v>
          </cell>
          <cell r="E306">
            <v>0</v>
          </cell>
          <cell r="F306">
            <v>0</v>
          </cell>
          <cell r="G306">
            <v>382</v>
          </cell>
          <cell r="H306">
            <v>382</v>
          </cell>
          <cell r="I306">
            <v>382</v>
          </cell>
        </row>
        <row r="307">
          <cell r="B307" t="str">
            <v>MS flanges225mm</v>
          </cell>
          <cell r="C307" t="str">
            <v>MS flanges</v>
          </cell>
          <cell r="D307" t="str">
            <v>225mm</v>
          </cell>
          <cell r="E307">
            <v>0</v>
          </cell>
          <cell r="F307">
            <v>0</v>
          </cell>
          <cell r="G307">
            <v>382</v>
          </cell>
          <cell r="H307">
            <v>382</v>
          </cell>
          <cell r="I307">
            <v>382</v>
          </cell>
        </row>
        <row r="308">
          <cell r="B308" t="str">
            <v>MS flanges250mm</v>
          </cell>
          <cell r="C308" t="str">
            <v>MS flanges</v>
          </cell>
          <cell r="D308" t="str">
            <v>250mm</v>
          </cell>
          <cell r="E308">
            <v>0</v>
          </cell>
          <cell r="F308">
            <v>0</v>
          </cell>
          <cell r="G308">
            <v>461</v>
          </cell>
          <cell r="H308">
            <v>461</v>
          </cell>
          <cell r="I308">
            <v>461</v>
          </cell>
        </row>
        <row r="309">
          <cell r="B309" t="str">
            <v>MS flanges280mm</v>
          </cell>
          <cell r="C309" t="str">
            <v>MS flanges</v>
          </cell>
          <cell r="D309" t="str">
            <v>280mm</v>
          </cell>
          <cell r="E309">
            <v>0</v>
          </cell>
          <cell r="F309">
            <v>0</v>
          </cell>
          <cell r="G309">
            <v>470</v>
          </cell>
          <cell r="H309">
            <v>470</v>
          </cell>
          <cell r="I309">
            <v>470</v>
          </cell>
        </row>
        <row r="310">
          <cell r="B310" t="str">
            <v>MS flanges315mm</v>
          </cell>
          <cell r="C310" t="str">
            <v>MS flanges</v>
          </cell>
          <cell r="D310" t="str">
            <v>315mm</v>
          </cell>
          <cell r="E310">
            <v>0</v>
          </cell>
          <cell r="F310">
            <v>0</v>
          </cell>
          <cell r="G310">
            <v>482</v>
          </cell>
          <cell r="H310">
            <v>482</v>
          </cell>
          <cell r="I310">
            <v>482</v>
          </cell>
        </row>
        <row r="311">
          <cell r="B311" t="str">
            <v>Jiffy Joint80mm diaDI</v>
          </cell>
          <cell r="C311" t="str">
            <v>Jiffy Joint</v>
          </cell>
          <cell r="D311" t="str">
            <v>80mm dia</v>
          </cell>
          <cell r="E311" t="str">
            <v>DI</v>
          </cell>
          <cell r="F311" t="str">
            <v>each</v>
          </cell>
          <cell r="G311">
            <v>458</v>
          </cell>
          <cell r="H311">
            <v>458</v>
          </cell>
          <cell r="I311">
            <v>458</v>
          </cell>
        </row>
        <row r="312">
          <cell r="B312" t="str">
            <v>Jiffy Joint100mm diaDI</v>
          </cell>
          <cell r="C312" t="str">
            <v>Jiffy Joint</v>
          </cell>
          <cell r="D312" t="str">
            <v>100mm dia</v>
          </cell>
          <cell r="E312" t="str">
            <v>DI</v>
          </cell>
          <cell r="F312" t="str">
            <v>each</v>
          </cell>
          <cell r="G312">
            <v>526</v>
          </cell>
          <cell r="H312">
            <v>526</v>
          </cell>
          <cell r="I312">
            <v>526</v>
          </cell>
        </row>
        <row r="313">
          <cell r="B313" t="str">
            <v>Jiffy Joint125mm diaDI</v>
          </cell>
          <cell r="C313" t="str">
            <v>Jiffy Joint</v>
          </cell>
          <cell r="D313" t="str">
            <v>125mm dia</v>
          </cell>
          <cell r="E313" t="str">
            <v>DI</v>
          </cell>
          <cell r="F313" t="str">
            <v>each</v>
          </cell>
          <cell r="G313">
            <v>566</v>
          </cell>
          <cell r="H313">
            <v>566</v>
          </cell>
          <cell r="I313">
            <v>566</v>
          </cell>
        </row>
        <row r="314">
          <cell r="B314" t="str">
            <v>Jiffy Joint150mm diaDI</v>
          </cell>
          <cell r="C314" t="str">
            <v>Jiffy Joint</v>
          </cell>
          <cell r="D314" t="str">
            <v>150mm dia</v>
          </cell>
          <cell r="E314" t="str">
            <v>DI</v>
          </cell>
          <cell r="F314" t="str">
            <v>each</v>
          </cell>
          <cell r="G314">
            <v>899</v>
          </cell>
          <cell r="H314">
            <v>899</v>
          </cell>
          <cell r="I314">
            <v>899</v>
          </cell>
        </row>
        <row r="315">
          <cell r="B315" t="str">
            <v>Jiffy Joint200mm diaDI</v>
          </cell>
          <cell r="C315" t="str">
            <v>Jiffy Joint</v>
          </cell>
          <cell r="D315" t="str">
            <v>200mm dia</v>
          </cell>
          <cell r="E315" t="str">
            <v>DI</v>
          </cell>
          <cell r="F315" t="str">
            <v>each</v>
          </cell>
          <cell r="G315">
            <v>1147</v>
          </cell>
          <cell r="H315">
            <v>1147</v>
          </cell>
          <cell r="I315">
            <v>1147</v>
          </cell>
        </row>
        <row r="316">
          <cell r="B316" t="str">
            <v>Jiffy Joint250mm diaDI</v>
          </cell>
          <cell r="C316" t="str">
            <v>Jiffy Joint</v>
          </cell>
          <cell r="D316" t="str">
            <v>250mm dia</v>
          </cell>
          <cell r="E316" t="str">
            <v>DI</v>
          </cell>
          <cell r="F316" t="str">
            <v>each</v>
          </cell>
          <cell r="G316">
            <v>1813</v>
          </cell>
          <cell r="H316">
            <v>1813</v>
          </cell>
          <cell r="I316">
            <v>1813</v>
          </cell>
        </row>
        <row r="317">
          <cell r="B317" t="str">
            <v>Jiffy Joint300mm diaDI</v>
          </cell>
          <cell r="C317" t="str">
            <v>Jiffy Joint</v>
          </cell>
          <cell r="D317" t="str">
            <v>300mm dia</v>
          </cell>
          <cell r="E317" t="str">
            <v>DI</v>
          </cell>
          <cell r="F317" t="str">
            <v>each</v>
          </cell>
          <cell r="G317">
            <v>2155</v>
          </cell>
          <cell r="H317">
            <v>2155</v>
          </cell>
          <cell r="I317">
            <v>2155</v>
          </cell>
        </row>
        <row r="318">
          <cell r="B318" t="str">
            <v>Jiffy Joint350mm diaDI</v>
          </cell>
          <cell r="C318" t="str">
            <v>Jiffy Joint</v>
          </cell>
          <cell r="D318" t="str">
            <v>350mm dia</v>
          </cell>
          <cell r="E318" t="str">
            <v>DI</v>
          </cell>
          <cell r="F318" t="str">
            <v>each</v>
          </cell>
          <cell r="G318">
            <v>2557</v>
          </cell>
          <cell r="H318">
            <v>2557</v>
          </cell>
          <cell r="I318">
            <v>2557</v>
          </cell>
        </row>
        <row r="319">
          <cell r="B319" t="str">
            <v>Jiffy Joint400mm diaDI</v>
          </cell>
          <cell r="C319" t="str">
            <v>Jiffy Joint</v>
          </cell>
          <cell r="D319" t="str">
            <v>400mm dia</v>
          </cell>
          <cell r="E319" t="str">
            <v>DI</v>
          </cell>
          <cell r="F319" t="str">
            <v>each</v>
          </cell>
          <cell r="G319">
            <v>3430</v>
          </cell>
          <cell r="H319">
            <v>3430</v>
          </cell>
          <cell r="I319">
            <v>3430</v>
          </cell>
        </row>
        <row r="320">
          <cell r="B320" t="str">
            <v>Jiffy Joint450mm diaDI</v>
          </cell>
          <cell r="C320" t="str">
            <v>Jiffy Joint</v>
          </cell>
          <cell r="D320" t="str">
            <v>450mm dia</v>
          </cell>
          <cell r="E320" t="str">
            <v>DI</v>
          </cell>
          <cell r="F320" t="str">
            <v>each</v>
          </cell>
          <cell r="G320">
            <v>3859</v>
          </cell>
          <cell r="H320">
            <v>3859</v>
          </cell>
          <cell r="I320">
            <v>3859</v>
          </cell>
        </row>
        <row r="321">
          <cell r="B321" t="str">
            <v>Jiffy Joint500mm diaDI</v>
          </cell>
          <cell r="C321" t="str">
            <v>Jiffy Joint</v>
          </cell>
          <cell r="D321" t="str">
            <v>500mm dia</v>
          </cell>
          <cell r="E321" t="str">
            <v>DI</v>
          </cell>
          <cell r="F321" t="str">
            <v>each</v>
          </cell>
          <cell r="G321">
            <v>4288</v>
          </cell>
          <cell r="H321">
            <v>4288</v>
          </cell>
          <cell r="I321">
            <v>4288</v>
          </cell>
        </row>
        <row r="322">
          <cell r="B322" t="str">
            <v>Jiffy Joint600mm diaDI</v>
          </cell>
          <cell r="C322" t="str">
            <v>Jiffy Joint</v>
          </cell>
          <cell r="D322" t="str">
            <v>600mm dia</v>
          </cell>
          <cell r="E322" t="str">
            <v>DI</v>
          </cell>
          <cell r="F322" t="str">
            <v>each</v>
          </cell>
          <cell r="G322">
            <v>5146</v>
          </cell>
          <cell r="H322">
            <v>5146</v>
          </cell>
          <cell r="I322">
            <v>5146</v>
          </cell>
        </row>
        <row r="323">
          <cell r="B323" t="str">
            <v>Jiffy Joint700mm diaDI</v>
          </cell>
          <cell r="C323" t="str">
            <v>Jiffy Joint</v>
          </cell>
          <cell r="D323" t="str">
            <v>700mm dia</v>
          </cell>
          <cell r="E323" t="str">
            <v>DI</v>
          </cell>
          <cell r="F323" t="str">
            <v>each</v>
          </cell>
          <cell r="G323">
            <v>6004</v>
          </cell>
          <cell r="H323">
            <v>6004</v>
          </cell>
          <cell r="I323">
            <v>6004</v>
          </cell>
        </row>
        <row r="324">
          <cell r="B324" t="str">
            <v>Jiffy Joint800mm diaDI</v>
          </cell>
          <cell r="C324" t="str">
            <v>Jiffy Joint</v>
          </cell>
          <cell r="D324" t="str">
            <v>800mm dia</v>
          </cell>
          <cell r="E324" t="str">
            <v>DI</v>
          </cell>
          <cell r="F324" t="str">
            <v>each</v>
          </cell>
          <cell r="G324">
            <v>6862</v>
          </cell>
          <cell r="H324">
            <v>6862</v>
          </cell>
          <cell r="I324">
            <v>6862</v>
          </cell>
        </row>
        <row r="325">
          <cell r="B325" t="str">
            <v>Jointing materials- sluive valve80mm diaDI</v>
          </cell>
          <cell r="C325" t="str">
            <v>Jointing materials- sluive valve</v>
          </cell>
          <cell r="D325" t="str">
            <v>80mm dia</v>
          </cell>
          <cell r="E325" t="str">
            <v>DI</v>
          </cell>
          <cell r="F325" t="str">
            <v>each</v>
          </cell>
          <cell r="G325">
            <v>179.60999999999999</v>
          </cell>
          <cell r="H325">
            <v>179.60999999999999</v>
          </cell>
          <cell r="I325">
            <v>179.60999999999999</v>
          </cell>
        </row>
        <row r="326">
          <cell r="B326" t="str">
            <v>Jointing materials- sluive valve100mm diaDI</v>
          </cell>
          <cell r="C326" t="str">
            <v>Jointing materials- sluive valve</v>
          </cell>
          <cell r="D326" t="str">
            <v>100mm dia</v>
          </cell>
          <cell r="E326" t="str">
            <v>DI</v>
          </cell>
          <cell r="F326" t="str">
            <v>each</v>
          </cell>
          <cell r="G326">
            <v>396.54</v>
          </cell>
          <cell r="H326">
            <v>396.54</v>
          </cell>
          <cell r="I326">
            <v>396.54</v>
          </cell>
        </row>
        <row r="327">
          <cell r="B327" t="str">
            <v>Jointing materials- sluive valve125mm diaDI</v>
          </cell>
          <cell r="C327" t="str">
            <v>Jointing materials- sluive valve</v>
          </cell>
          <cell r="D327" t="str">
            <v>125mm dia</v>
          </cell>
          <cell r="E327" t="str">
            <v>DI</v>
          </cell>
          <cell r="F327" t="str">
            <v>each</v>
          </cell>
          <cell r="G327">
            <v>414.75</v>
          </cell>
          <cell r="H327">
            <v>414.75</v>
          </cell>
          <cell r="I327">
            <v>414.75</v>
          </cell>
        </row>
        <row r="328">
          <cell r="B328" t="str">
            <v>Jointing materials- sluive valve150mm diaDI</v>
          </cell>
          <cell r="C328" t="str">
            <v>Jointing materials- sluive valve</v>
          </cell>
          <cell r="D328" t="str">
            <v>150mm dia</v>
          </cell>
          <cell r="E328" t="str">
            <v>DI</v>
          </cell>
          <cell r="F328" t="str">
            <v>each</v>
          </cell>
          <cell r="G328">
            <v>547.41</v>
          </cell>
          <cell r="H328">
            <v>547.41</v>
          </cell>
          <cell r="I328">
            <v>547.41</v>
          </cell>
        </row>
        <row r="329">
          <cell r="B329" t="str">
            <v>Jointing materials- sluive valve200mm diaDI</v>
          </cell>
          <cell r="C329" t="str">
            <v>Jointing materials- sluive valve</v>
          </cell>
          <cell r="D329" t="str">
            <v>200mm dia</v>
          </cell>
          <cell r="E329" t="str">
            <v>DI</v>
          </cell>
          <cell r="F329" t="str">
            <v>each</v>
          </cell>
          <cell r="G329">
            <v>581.81999999999994</v>
          </cell>
          <cell r="H329">
            <v>581.81999999999994</v>
          </cell>
          <cell r="I329">
            <v>581.81999999999994</v>
          </cell>
        </row>
        <row r="330">
          <cell r="B330" t="str">
            <v>Jointing materials- sluive valve250mm diaDI</v>
          </cell>
          <cell r="C330" t="str">
            <v>Jointing materials- sluive valve</v>
          </cell>
          <cell r="D330" t="str">
            <v>250mm dia</v>
          </cell>
          <cell r="E330" t="str">
            <v>DI</v>
          </cell>
          <cell r="F330" t="str">
            <v>each</v>
          </cell>
          <cell r="G330">
            <v>851.46</v>
          </cell>
          <cell r="H330">
            <v>851.46</v>
          </cell>
          <cell r="I330">
            <v>851.46</v>
          </cell>
        </row>
        <row r="331">
          <cell r="B331" t="str">
            <v>Jointing materials- sluive valve300mm diaDI</v>
          </cell>
          <cell r="C331" t="str">
            <v>Jointing materials- sluive valve</v>
          </cell>
          <cell r="D331" t="str">
            <v>300mm dia</v>
          </cell>
          <cell r="E331" t="str">
            <v>DI</v>
          </cell>
          <cell r="F331" t="str">
            <v>each</v>
          </cell>
          <cell r="G331">
            <v>903.12000000000012</v>
          </cell>
          <cell r="H331">
            <v>903.12000000000012</v>
          </cell>
          <cell r="I331">
            <v>903.12000000000012</v>
          </cell>
        </row>
        <row r="332">
          <cell r="B332" t="str">
            <v>Jointing materials- sluive valve350mm diaDI</v>
          </cell>
          <cell r="C332" t="str">
            <v>Jointing materials- sluive valve</v>
          </cell>
          <cell r="D332" t="str">
            <v>350mm dia</v>
          </cell>
          <cell r="E332" t="str">
            <v>DI</v>
          </cell>
          <cell r="F332" t="str">
            <v>each</v>
          </cell>
          <cell r="G332">
            <v>1185.96</v>
          </cell>
          <cell r="H332">
            <v>1185.96</v>
          </cell>
          <cell r="I332">
            <v>1185.96</v>
          </cell>
        </row>
        <row r="333">
          <cell r="B333" t="str">
            <v>Jointing materials- sluive valve400mm diaDI</v>
          </cell>
          <cell r="C333" t="str">
            <v>Jointing materials- sluive valve</v>
          </cell>
          <cell r="D333" t="str">
            <v>400mm dia</v>
          </cell>
          <cell r="E333" t="str">
            <v>DI</v>
          </cell>
          <cell r="F333" t="str">
            <v>each</v>
          </cell>
          <cell r="G333">
            <v>1872.78</v>
          </cell>
          <cell r="H333">
            <v>1872.78</v>
          </cell>
          <cell r="I333">
            <v>1872.78</v>
          </cell>
        </row>
        <row r="334">
          <cell r="B334" t="str">
            <v>Jointing materials- sluive valve450mm diaDI</v>
          </cell>
          <cell r="C334" t="str">
            <v>Jointing materials- sluive valve</v>
          </cell>
          <cell r="D334" t="str">
            <v>450mm dia</v>
          </cell>
          <cell r="E334" t="str">
            <v>DI</v>
          </cell>
          <cell r="F334" t="str">
            <v>each</v>
          </cell>
          <cell r="G334">
            <v>2315.6999999999998</v>
          </cell>
          <cell r="H334">
            <v>2315.6999999999998</v>
          </cell>
          <cell r="I334">
            <v>2315.6999999999998</v>
          </cell>
        </row>
        <row r="335">
          <cell r="B335" t="str">
            <v>Jointing materials- sluive valve500mm diaDI</v>
          </cell>
          <cell r="C335" t="str">
            <v>Jointing materials- sluive valve</v>
          </cell>
          <cell r="D335" t="str">
            <v>500mm dia</v>
          </cell>
          <cell r="E335" t="str">
            <v>DI</v>
          </cell>
          <cell r="F335" t="str">
            <v>each</v>
          </cell>
          <cell r="G335">
            <v>2609.37</v>
          </cell>
          <cell r="H335">
            <v>2609.37</v>
          </cell>
          <cell r="I335">
            <v>2609.37</v>
          </cell>
        </row>
        <row r="336">
          <cell r="B336" t="str">
            <v>Jointing materials- sluive valve600mm diaDI</v>
          </cell>
          <cell r="C336" t="str">
            <v>Jointing materials- sluive valve</v>
          </cell>
          <cell r="D336" t="str">
            <v>600mm dia</v>
          </cell>
          <cell r="E336" t="str">
            <v>DI</v>
          </cell>
          <cell r="F336" t="str">
            <v>each</v>
          </cell>
          <cell r="G336">
            <v>4151.5499999999993</v>
          </cell>
          <cell r="H336">
            <v>4151.5499999999993</v>
          </cell>
          <cell r="I336">
            <v>4151.5499999999993</v>
          </cell>
        </row>
        <row r="337">
          <cell r="B337" t="str">
            <v>Jointing materials- sluive valve700mm diaDI</v>
          </cell>
          <cell r="C337" t="str">
            <v>Jointing materials- sluive valve</v>
          </cell>
          <cell r="D337" t="str">
            <v>700mm dia</v>
          </cell>
          <cell r="E337" t="str">
            <v>DI</v>
          </cell>
          <cell r="F337" t="str">
            <v>each</v>
          </cell>
          <cell r="G337">
            <v>4404.54</v>
          </cell>
          <cell r="H337">
            <v>4404.54</v>
          </cell>
          <cell r="I337">
            <v>4404.54</v>
          </cell>
        </row>
        <row r="338">
          <cell r="B338" t="str">
            <v>Jointing materials- sluive valve800mm diaDI</v>
          </cell>
          <cell r="C338" t="str">
            <v>Jointing materials- sluive valve</v>
          </cell>
          <cell r="D338" t="str">
            <v>800mm dia</v>
          </cell>
          <cell r="E338" t="str">
            <v>DI</v>
          </cell>
          <cell r="F338" t="str">
            <v>each</v>
          </cell>
          <cell r="G338">
            <v>4536.6900000000005</v>
          </cell>
          <cell r="H338">
            <v>4536.6900000000005</v>
          </cell>
          <cell r="I338">
            <v>4536.6900000000005</v>
          </cell>
        </row>
        <row r="339">
          <cell r="B339" t="str">
            <v>Labour charges for flanged joints80mm diaDI</v>
          </cell>
          <cell r="C339" t="str">
            <v>Labour charges for flanged joints</v>
          </cell>
          <cell r="D339" t="str">
            <v>80mm dia</v>
          </cell>
          <cell r="E339" t="str">
            <v>DI</v>
          </cell>
          <cell r="F339" t="str">
            <v>each</v>
          </cell>
          <cell r="G339">
            <v>137.69999999999999</v>
          </cell>
          <cell r="H339">
            <v>137.69999999999999</v>
          </cell>
          <cell r="I339">
            <v>137.69999999999999</v>
          </cell>
        </row>
        <row r="340">
          <cell r="B340" t="str">
            <v>Labour charges for flanged joints100mm diaDI</v>
          </cell>
          <cell r="C340" t="str">
            <v>Labour charges for flanged joints</v>
          </cell>
          <cell r="D340" t="str">
            <v>100mm dia</v>
          </cell>
          <cell r="E340" t="str">
            <v>DI</v>
          </cell>
          <cell r="F340" t="str">
            <v>each</v>
          </cell>
          <cell r="G340">
            <v>176.10000000000002</v>
          </cell>
          <cell r="H340">
            <v>176.10000000000002</v>
          </cell>
          <cell r="I340">
            <v>176.10000000000002</v>
          </cell>
        </row>
        <row r="341">
          <cell r="B341" t="str">
            <v>Labour charges for flanged joints125mm diaDI</v>
          </cell>
          <cell r="C341" t="str">
            <v>Labour charges for flanged joints</v>
          </cell>
          <cell r="D341" t="str">
            <v>125mm dia</v>
          </cell>
          <cell r="E341" t="str">
            <v>DI</v>
          </cell>
          <cell r="F341" t="str">
            <v>each</v>
          </cell>
          <cell r="G341">
            <v>254.39999999999998</v>
          </cell>
          <cell r="H341">
            <v>254.39999999999998</v>
          </cell>
          <cell r="I341">
            <v>254.39999999999998</v>
          </cell>
        </row>
        <row r="342">
          <cell r="B342" t="str">
            <v>Labour charges for flanged joints150mm diaDI</v>
          </cell>
          <cell r="C342" t="str">
            <v>Labour charges for flanged joints</v>
          </cell>
          <cell r="D342" t="str">
            <v>150mm dia</v>
          </cell>
          <cell r="E342" t="str">
            <v>DI</v>
          </cell>
          <cell r="F342" t="str">
            <v>each</v>
          </cell>
          <cell r="G342">
            <v>264.89999999999998</v>
          </cell>
          <cell r="H342">
            <v>264.89999999999998</v>
          </cell>
          <cell r="I342">
            <v>264.89999999999998</v>
          </cell>
        </row>
        <row r="343">
          <cell r="B343" t="str">
            <v>Labour charges for flanged joints200mm diaDI</v>
          </cell>
          <cell r="C343" t="str">
            <v>Labour charges for flanged joints</v>
          </cell>
          <cell r="D343" t="str">
            <v>200mm dia</v>
          </cell>
          <cell r="E343" t="str">
            <v>DI</v>
          </cell>
          <cell r="F343" t="str">
            <v>each</v>
          </cell>
          <cell r="G343">
            <v>349.5</v>
          </cell>
          <cell r="H343">
            <v>349.5</v>
          </cell>
          <cell r="I343">
            <v>349.5</v>
          </cell>
        </row>
        <row r="344">
          <cell r="B344" t="str">
            <v>Labour charges for flanged joints250mm diaDI</v>
          </cell>
          <cell r="C344" t="str">
            <v>Labour charges for flanged joints</v>
          </cell>
          <cell r="D344" t="str">
            <v>250mm dia</v>
          </cell>
          <cell r="E344" t="str">
            <v>DI</v>
          </cell>
          <cell r="F344" t="str">
            <v>each</v>
          </cell>
          <cell r="G344">
            <v>432</v>
          </cell>
          <cell r="H344">
            <v>432</v>
          </cell>
          <cell r="I344">
            <v>432</v>
          </cell>
        </row>
        <row r="345">
          <cell r="B345" t="str">
            <v>Labour charges for flanged joints300mm diaDI</v>
          </cell>
          <cell r="C345" t="str">
            <v>Labour charges for flanged joints</v>
          </cell>
          <cell r="D345" t="str">
            <v>300mm dia</v>
          </cell>
          <cell r="E345" t="str">
            <v>DI</v>
          </cell>
          <cell r="F345" t="str">
            <v>each</v>
          </cell>
          <cell r="G345">
            <v>517.5</v>
          </cell>
          <cell r="H345">
            <v>517.5</v>
          </cell>
          <cell r="I345">
            <v>517.5</v>
          </cell>
        </row>
        <row r="346">
          <cell r="B346" t="str">
            <v>Labour charges for flanged joints350mm diaDI</v>
          </cell>
          <cell r="C346" t="str">
            <v>Labour charges for flanged joints</v>
          </cell>
          <cell r="D346" t="str">
            <v>350mm dia</v>
          </cell>
          <cell r="E346" t="str">
            <v>DI</v>
          </cell>
          <cell r="F346" t="str">
            <v>each</v>
          </cell>
          <cell r="G346">
            <v>566.40000000000009</v>
          </cell>
          <cell r="H346">
            <v>566.40000000000009</v>
          </cell>
          <cell r="I346">
            <v>566.40000000000009</v>
          </cell>
        </row>
        <row r="347">
          <cell r="B347" t="str">
            <v>Labour charges for flanged joints400mm diaDI</v>
          </cell>
          <cell r="C347" t="str">
            <v>Labour charges for flanged joints</v>
          </cell>
          <cell r="D347" t="str">
            <v>400mm dia</v>
          </cell>
          <cell r="E347" t="str">
            <v>DI</v>
          </cell>
          <cell r="F347" t="str">
            <v>each</v>
          </cell>
          <cell r="G347">
            <v>728.7</v>
          </cell>
          <cell r="H347">
            <v>728.7</v>
          </cell>
          <cell r="I347">
            <v>728.7</v>
          </cell>
        </row>
        <row r="348">
          <cell r="B348" t="str">
            <v>Labour charges for flanged joints450mm diaDI</v>
          </cell>
          <cell r="C348" t="str">
            <v>Labour charges for flanged joints</v>
          </cell>
          <cell r="D348" t="str">
            <v>450mm dia</v>
          </cell>
          <cell r="E348" t="str">
            <v>DI</v>
          </cell>
          <cell r="F348" t="str">
            <v>each</v>
          </cell>
          <cell r="G348">
            <v>817.19999999999993</v>
          </cell>
          <cell r="H348">
            <v>817.19999999999993</v>
          </cell>
          <cell r="I348">
            <v>817.19999999999993</v>
          </cell>
        </row>
        <row r="349">
          <cell r="B349" t="str">
            <v>Labour charges for flanged joints500mm diaDI</v>
          </cell>
          <cell r="C349" t="str">
            <v>Labour charges for flanged joints</v>
          </cell>
          <cell r="D349" t="str">
            <v>500mm dia</v>
          </cell>
          <cell r="E349" t="str">
            <v>DI</v>
          </cell>
          <cell r="F349" t="str">
            <v>each</v>
          </cell>
          <cell r="G349">
            <v>858.59999999999991</v>
          </cell>
          <cell r="H349">
            <v>858.59999999999991</v>
          </cell>
          <cell r="I349">
            <v>858.59999999999991</v>
          </cell>
        </row>
        <row r="350">
          <cell r="B350" t="str">
            <v>Labour charges for flanged joints600mm diaDI</v>
          </cell>
          <cell r="C350" t="str">
            <v>Labour charges for flanged joints</v>
          </cell>
          <cell r="D350" t="str">
            <v>600mm dia</v>
          </cell>
          <cell r="E350" t="str">
            <v>DI</v>
          </cell>
          <cell r="F350" t="str">
            <v>each</v>
          </cell>
          <cell r="G350">
            <v>1197.9000000000001</v>
          </cell>
          <cell r="H350">
            <v>1197.9000000000001</v>
          </cell>
          <cell r="I350">
            <v>1197.9000000000001</v>
          </cell>
        </row>
        <row r="351">
          <cell r="B351" t="str">
            <v>Labour charges for flanged joints700mm diaDI</v>
          </cell>
          <cell r="C351" t="str">
            <v>Labour charges for flanged joints</v>
          </cell>
          <cell r="D351" t="str">
            <v>700mm dia</v>
          </cell>
          <cell r="E351" t="str">
            <v>DI</v>
          </cell>
          <cell r="F351" t="str">
            <v>each</v>
          </cell>
          <cell r="G351">
            <v>1217.0999999999999</v>
          </cell>
          <cell r="H351">
            <v>1217.0999999999999</v>
          </cell>
          <cell r="I351">
            <v>1217.0999999999999</v>
          </cell>
        </row>
        <row r="352">
          <cell r="B352" t="str">
            <v>Labour charges for flanged joints800mm diaDI</v>
          </cell>
          <cell r="C352" t="str">
            <v>Labour charges for flanged joints</v>
          </cell>
          <cell r="D352" t="str">
            <v>800mm dia</v>
          </cell>
          <cell r="E352" t="str">
            <v>DI</v>
          </cell>
          <cell r="F352" t="str">
            <v>each</v>
          </cell>
          <cell r="G352">
            <v>1423.1999999999998</v>
          </cell>
          <cell r="H352">
            <v>1423.1999999999998</v>
          </cell>
          <cell r="I352">
            <v>1423.1999999999998</v>
          </cell>
        </row>
        <row r="353">
          <cell r="B353" t="str">
            <v>Lowering of sluice valve80mm diaDI</v>
          </cell>
          <cell r="C353" t="str">
            <v>Lowering of sluice valve</v>
          </cell>
          <cell r="D353" t="str">
            <v>80mm dia</v>
          </cell>
          <cell r="E353" t="str">
            <v>DI</v>
          </cell>
          <cell r="F353" t="str">
            <v>each</v>
          </cell>
          <cell r="G353">
            <v>18.5</v>
          </cell>
          <cell r="H353">
            <v>26.7</v>
          </cell>
          <cell r="I353">
            <v>26.7</v>
          </cell>
        </row>
        <row r="354">
          <cell r="B354" t="str">
            <v>Lowering of sluice valve100mm diaDI</v>
          </cell>
          <cell r="C354" t="str">
            <v>Lowering of sluice valve</v>
          </cell>
          <cell r="D354" t="str">
            <v>100mm dia</v>
          </cell>
          <cell r="E354" t="str">
            <v>DI</v>
          </cell>
          <cell r="F354" t="str">
            <v>each</v>
          </cell>
          <cell r="G354">
            <v>30.6</v>
          </cell>
          <cell r="H354">
            <v>35.200000000000003</v>
          </cell>
          <cell r="I354">
            <v>35.200000000000003</v>
          </cell>
        </row>
        <row r="355">
          <cell r="B355" t="str">
            <v>Lowering of sluice valve125mm diaDI</v>
          </cell>
          <cell r="C355" t="str">
            <v>Lowering of sluice valve</v>
          </cell>
          <cell r="D355" t="str">
            <v>125mm dia</v>
          </cell>
          <cell r="E355" t="str">
            <v>DI</v>
          </cell>
          <cell r="F355" t="str">
            <v>each</v>
          </cell>
          <cell r="G355">
            <v>40.1</v>
          </cell>
          <cell r="H355">
            <v>46.1</v>
          </cell>
          <cell r="I355">
            <v>46.1</v>
          </cell>
        </row>
        <row r="356">
          <cell r="B356" t="str">
            <v>Lowering of sluice valve150mm diaDI</v>
          </cell>
          <cell r="C356" t="str">
            <v>Lowering of sluice valve</v>
          </cell>
          <cell r="D356" t="str">
            <v>150mm dia</v>
          </cell>
          <cell r="E356" t="str">
            <v>DI</v>
          </cell>
          <cell r="F356" t="str">
            <v>each</v>
          </cell>
          <cell r="G356">
            <v>47.4</v>
          </cell>
          <cell r="H356">
            <v>54.5</v>
          </cell>
          <cell r="I356">
            <v>54.5</v>
          </cell>
        </row>
        <row r="357">
          <cell r="B357" t="str">
            <v>Lowering of sluice valve200mm diaDI</v>
          </cell>
          <cell r="C357" t="str">
            <v>Lowering of sluice valve</v>
          </cell>
          <cell r="D357" t="str">
            <v>200mm dia</v>
          </cell>
          <cell r="E357" t="str">
            <v>DI</v>
          </cell>
          <cell r="F357" t="str">
            <v>each</v>
          </cell>
          <cell r="G357">
            <v>87.7</v>
          </cell>
          <cell r="H357">
            <v>100.9</v>
          </cell>
          <cell r="I357">
            <v>100.9</v>
          </cell>
        </row>
        <row r="358">
          <cell r="B358" t="str">
            <v>Lowering of sluice valve250mm diaDI</v>
          </cell>
          <cell r="C358" t="str">
            <v>Lowering of sluice valve</v>
          </cell>
          <cell r="D358" t="str">
            <v>250mm dia</v>
          </cell>
          <cell r="E358" t="str">
            <v>DI</v>
          </cell>
          <cell r="F358" t="str">
            <v>each</v>
          </cell>
          <cell r="G358">
            <v>118.6</v>
          </cell>
          <cell r="H358">
            <v>136.4</v>
          </cell>
          <cell r="I358">
            <v>136.4</v>
          </cell>
        </row>
        <row r="359">
          <cell r="B359" t="str">
            <v>Lowering of sluice valve300mm diaDI</v>
          </cell>
          <cell r="C359" t="str">
            <v>Lowering of sluice valve</v>
          </cell>
          <cell r="D359" t="str">
            <v>300mm dia</v>
          </cell>
          <cell r="E359" t="str">
            <v>DI</v>
          </cell>
          <cell r="F359" t="str">
            <v>each</v>
          </cell>
          <cell r="G359">
            <v>179.6</v>
          </cell>
          <cell r="H359">
            <v>206.5</v>
          </cell>
          <cell r="I359">
            <v>206.5</v>
          </cell>
        </row>
        <row r="360">
          <cell r="B360" t="str">
            <v>Lowering of sluice valve350mm diaDI</v>
          </cell>
          <cell r="C360" t="str">
            <v>Lowering of sluice valve</v>
          </cell>
          <cell r="D360" t="str">
            <v>350mm dia</v>
          </cell>
          <cell r="E360" t="str">
            <v>DI</v>
          </cell>
          <cell r="F360" t="str">
            <v>each</v>
          </cell>
          <cell r="G360">
            <v>309</v>
          </cell>
          <cell r="H360">
            <v>355.4</v>
          </cell>
          <cell r="I360">
            <v>355.4</v>
          </cell>
        </row>
        <row r="361">
          <cell r="B361" t="str">
            <v>Lowering of sluice valve400mm diaDI</v>
          </cell>
          <cell r="C361" t="str">
            <v>Lowering of sluice valve</v>
          </cell>
          <cell r="D361" t="str">
            <v>400mm dia</v>
          </cell>
          <cell r="E361" t="str">
            <v>DI</v>
          </cell>
          <cell r="F361" t="str">
            <v>each</v>
          </cell>
          <cell r="G361">
            <v>379</v>
          </cell>
          <cell r="H361">
            <v>435.9</v>
          </cell>
          <cell r="I361">
            <v>435.9</v>
          </cell>
        </row>
        <row r="362">
          <cell r="B362" t="str">
            <v>Lowering of sluice valve450mm diaDI</v>
          </cell>
          <cell r="C362" t="str">
            <v>Lowering of sluice valve</v>
          </cell>
          <cell r="D362" t="str">
            <v>450mm dia</v>
          </cell>
          <cell r="E362" t="str">
            <v>DI</v>
          </cell>
          <cell r="F362" t="str">
            <v>each</v>
          </cell>
          <cell r="G362">
            <v>496.3</v>
          </cell>
          <cell r="H362">
            <v>570.70000000000005</v>
          </cell>
          <cell r="I362">
            <v>570.70000000000005</v>
          </cell>
        </row>
        <row r="363">
          <cell r="B363" t="str">
            <v>Lowering of sluice valve500mm diaDI</v>
          </cell>
          <cell r="C363" t="str">
            <v>Lowering of sluice valve</v>
          </cell>
          <cell r="D363" t="str">
            <v>500mm dia</v>
          </cell>
          <cell r="E363" t="str">
            <v>DI</v>
          </cell>
          <cell r="F363" t="str">
            <v>each</v>
          </cell>
          <cell r="G363">
            <v>551.44444444444446</v>
          </cell>
        </row>
        <row r="364">
          <cell r="B364" t="str">
            <v>Lowering of sluice valve600mm diaDI</v>
          </cell>
          <cell r="C364" t="str">
            <v>Lowering of sluice valve</v>
          </cell>
          <cell r="D364" t="str">
            <v>600mm dia</v>
          </cell>
          <cell r="E364" t="str">
            <v>DI</v>
          </cell>
          <cell r="F364" t="str">
            <v>each</v>
          </cell>
          <cell r="G364">
            <v>661.73333333333335</v>
          </cell>
        </row>
        <row r="365">
          <cell r="B365" t="str">
            <v>Lowering of sluice valve700mm diaDI</v>
          </cell>
          <cell r="C365" t="str">
            <v>Lowering of sluice valve</v>
          </cell>
          <cell r="D365" t="str">
            <v>700mm dia</v>
          </cell>
          <cell r="E365" t="str">
            <v>DI</v>
          </cell>
          <cell r="F365" t="str">
            <v>each</v>
          </cell>
          <cell r="G365">
            <v>772.02222222222224</v>
          </cell>
        </row>
        <row r="366">
          <cell r="B366" t="str">
            <v>Lowering of sluice valve800mm diaDI</v>
          </cell>
          <cell r="C366" t="str">
            <v>Lowering of sluice valve</v>
          </cell>
          <cell r="D366" t="str">
            <v>800mm dia</v>
          </cell>
          <cell r="E366" t="str">
            <v>DI</v>
          </cell>
          <cell r="F366" t="str">
            <v>each</v>
          </cell>
          <cell r="G366">
            <v>882.31111111111102</v>
          </cell>
        </row>
        <row r="367">
          <cell r="B367" t="str">
            <v/>
          </cell>
        </row>
        <row r="368">
          <cell r="B368" t="str">
            <v/>
          </cell>
        </row>
        <row r="369">
          <cell r="B369" t="str">
            <v/>
          </cell>
        </row>
        <row r="370">
          <cell r="B370" t="str">
            <v/>
          </cell>
        </row>
        <row r="371">
          <cell r="B371" t="str">
            <v/>
          </cell>
        </row>
        <row r="372">
          <cell r="B372" t="str">
            <v/>
          </cell>
        </row>
        <row r="373">
          <cell r="B373" t="str">
            <v/>
          </cell>
        </row>
        <row r="374">
          <cell r="B374" t="str">
            <v/>
          </cell>
        </row>
        <row r="375">
          <cell r="B375" t="str">
            <v/>
          </cell>
        </row>
        <row r="376">
          <cell r="B376" t="str">
            <v/>
          </cell>
        </row>
        <row r="377">
          <cell r="B377" t="str">
            <v/>
          </cell>
        </row>
        <row r="378">
          <cell r="B378" t="str">
            <v/>
          </cell>
        </row>
        <row r="379">
          <cell r="B379" t="str">
            <v/>
          </cell>
        </row>
        <row r="380">
          <cell r="B380" t="str">
            <v/>
          </cell>
        </row>
        <row r="381">
          <cell r="B381" t="str">
            <v/>
          </cell>
        </row>
        <row r="382">
          <cell r="B382" t="str">
            <v/>
          </cell>
        </row>
        <row r="383">
          <cell r="B383" t="str">
            <v/>
          </cell>
        </row>
        <row r="384">
          <cell r="B384" t="str">
            <v/>
          </cell>
        </row>
        <row r="385">
          <cell r="B385" t="str">
            <v/>
          </cell>
        </row>
        <row r="386">
          <cell r="B386" t="str">
            <v/>
          </cell>
        </row>
        <row r="387">
          <cell r="B387" t="str">
            <v/>
          </cell>
        </row>
        <row r="388">
          <cell r="B388" t="str">
            <v/>
          </cell>
        </row>
        <row r="389">
          <cell r="B389" t="str">
            <v/>
          </cell>
        </row>
        <row r="390">
          <cell r="B390" t="str">
            <v/>
          </cell>
        </row>
        <row r="391">
          <cell r="B391" t="str">
            <v/>
          </cell>
        </row>
        <row r="392">
          <cell r="B392" t="str">
            <v/>
          </cell>
        </row>
        <row r="393">
          <cell r="B393" t="str">
            <v/>
          </cell>
        </row>
        <row r="394">
          <cell r="B394" t="str">
            <v/>
          </cell>
        </row>
        <row r="395">
          <cell r="B395" t="str">
            <v/>
          </cell>
        </row>
        <row r="396">
          <cell r="B396" t="str">
            <v/>
          </cell>
        </row>
        <row r="397">
          <cell r="B397" t="str">
            <v/>
          </cell>
        </row>
        <row r="398">
          <cell r="B398" t="str">
            <v/>
          </cell>
        </row>
        <row r="399">
          <cell r="B399" t="str">
            <v/>
          </cell>
        </row>
        <row r="400">
          <cell r="B400" t="str">
            <v/>
          </cell>
        </row>
        <row r="401">
          <cell r="B401" t="str">
            <v/>
          </cell>
        </row>
        <row r="402">
          <cell r="B402" t="str">
            <v/>
          </cell>
        </row>
        <row r="403">
          <cell r="B403" t="str">
            <v/>
          </cell>
        </row>
        <row r="404">
          <cell r="B404" t="str">
            <v/>
          </cell>
        </row>
        <row r="405">
          <cell r="B405" t="str">
            <v/>
          </cell>
        </row>
        <row r="406">
          <cell r="B406" t="str">
            <v/>
          </cell>
        </row>
        <row r="407">
          <cell r="B407" t="str">
            <v/>
          </cell>
        </row>
        <row r="408">
          <cell r="B408" t="str">
            <v/>
          </cell>
        </row>
        <row r="409">
          <cell r="B409" t="str">
            <v/>
          </cell>
        </row>
        <row r="410">
          <cell r="B410" t="str">
            <v/>
          </cell>
        </row>
        <row r="411">
          <cell r="B411" t="str">
            <v/>
          </cell>
        </row>
        <row r="412">
          <cell r="B412" t="str">
            <v/>
          </cell>
        </row>
        <row r="413">
          <cell r="B413" t="str">
            <v/>
          </cell>
        </row>
        <row r="414">
          <cell r="B414" t="str">
            <v/>
          </cell>
        </row>
        <row r="415">
          <cell r="B415" t="str">
            <v/>
          </cell>
        </row>
        <row r="416">
          <cell r="B416" t="str">
            <v/>
          </cell>
        </row>
        <row r="417">
          <cell r="B417" t="str">
            <v/>
          </cell>
        </row>
        <row r="418">
          <cell r="B418" t="str">
            <v/>
          </cell>
        </row>
        <row r="419">
          <cell r="B419" t="str">
            <v/>
          </cell>
        </row>
        <row r="420">
          <cell r="B420" t="str">
            <v/>
          </cell>
        </row>
        <row r="421">
          <cell r="B421" t="str">
            <v/>
          </cell>
        </row>
        <row r="422">
          <cell r="B422" t="str">
            <v/>
          </cell>
        </row>
        <row r="423">
          <cell r="B423" t="str">
            <v/>
          </cell>
        </row>
        <row r="424">
          <cell r="B424" t="str">
            <v/>
          </cell>
        </row>
        <row r="425">
          <cell r="B425" t="str">
            <v/>
          </cell>
        </row>
        <row r="426">
          <cell r="B426" t="str">
            <v/>
          </cell>
        </row>
        <row r="427">
          <cell r="B427" t="str">
            <v/>
          </cell>
        </row>
        <row r="428">
          <cell r="B428" t="str">
            <v/>
          </cell>
        </row>
        <row r="429">
          <cell r="B429" t="str">
            <v/>
          </cell>
        </row>
        <row r="430">
          <cell r="B430" t="str">
            <v/>
          </cell>
        </row>
        <row r="431">
          <cell r="B431" t="str">
            <v/>
          </cell>
        </row>
        <row r="432">
          <cell r="B432" t="str">
            <v/>
          </cell>
        </row>
        <row r="433">
          <cell r="B433" t="str">
            <v/>
          </cell>
        </row>
        <row r="434">
          <cell r="B434" t="str">
            <v/>
          </cell>
        </row>
        <row r="435">
          <cell r="B435" t="str">
            <v/>
          </cell>
        </row>
        <row r="436">
          <cell r="B436" t="str">
            <v/>
          </cell>
        </row>
        <row r="437">
          <cell r="B437" t="str">
            <v/>
          </cell>
        </row>
        <row r="438">
          <cell r="B438" t="str">
            <v/>
          </cell>
        </row>
        <row r="439">
          <cell r="B439" t="str">
            <v/>
          </cell>
        </row>
        <row r="440">
          <cell r="B440" t="str">
            <v/>
          </cell>
        </row>
        <row r="441">
          <cell r="B441" t="str">
            <v/>
          </cell>
        </row>
        <row r="442">
          <cell r="B442" t="str">
            <v/>
          </cell>
        </row>
        <row r="443">
          <cell r="B443" t="str">
            <v/>
          </cell>
        </row>
        <row r="444">
          <cell r="B444" t="str">
            <v/>
          </cell>
        </row>
        <row r="445">
          <cell r="B445" t="str">
            <v/>
          </cell>
        </row>
        <row r="446">
          <cell r="B446" t="str">
            <v/>
          </cell>
        </row>
        <row r="447">
          <cell r="B447" t="str">
            <v/>
          </cell>
        </row>
        <row r="448">
          <cell r="B448" t="str">
            <v/>
          </cell>
        </row>
        <row r="449">
          <cell r="B449" t="str">
            <v/>
          </cell>
        </row>
        <row r="450">
          <cell r="B450" t="str">
            <v/>
          </cell>
        </row>
        <row r="451">
          <cell r="B451" t="str">
            <v/>
          </cell>
        </row>
        <row r="452">
          <cell r="B452" t="str">
            <v/>
          </cell>
        </row>
        <row r="453">
          <cell r="B453" t="str">
            <v/>
          </cell>
        </row>
        <row r="454">
          <cell r="B454" t="str">
            <v/>
          </cell>
        </row>
        <row r="455">
          <cell r="B455" t="str">
            <v/>
          </cell>
        </row>
        <row r="456">
          <cell r="B456" t="str">
            <v/>
          </cell>
        </row>
        <row r="457">
          <cell r="B457" t="str">
            <v/>
          </cell>
        </row>
        <row r="458">
          <cell r="B458" t="str">
            <v/>
          </cell>
        </row>
        <row r="459">
          <cell r="B459" t="str">
            <v/>
          </cell>
        </row>
        <row r="460">
          <cell r="B460" t="str">
            <v/>
          </cell>
        </row>
        <row r="461">
          <cell r="B461" t="str">
            <v/>
          </cell>
        </row>
        <row r="462">
          <cell r="B462" t="str">
            <v/>
          </cell>
        </row>
        <row r="463">
          <cell r="B463" t="str">
            <v/>
          </cell>
        </row>
        <row r="464">
          <cell r="B464" t="str">
            <v/>
          </cell>
        </row>
        <row r="465">
          <cell r="B465" t="str">
            <v/>
          </cell>
        </row>
        <row r="466">
          <cell r="B466" t="str">
            <v/>
          </cell>
        </row>
        <row r="467">
          <cell r="B467" t="str">
            <v/>
          </cell>
        </row>
        <row r="468">
          <cell r="B468" t="str">
            <v/>
          </cell>
        </row>
        <row r="469">
          <cell r="B469" t="str">
            <v/>
          </cell>
        </row>
        <row r="470">
          <cell r="B470" t="str">
            <v/>
          </cell>
        </row>
        <row r="471">
          <cell r="B471" t="str">
            <v/>
          </cell>
        </row>
        <row r="472">
          <cell r="B472" t="str">
            <v/>
          </cell>
        </row>
        <row r="473">
          <cell r="B473" t="str">
            <v/>
          </cell>
        </row>
        <row r="474">
          <cell r="B474" t="str">
            <v/>
          </cell>
        </row>
        <row r="475">
          <cell r="B475" t="str">
            <v/>
          </cell>
        </row>
        <row r="476">
          <cell r="B476" t="str">
            <v/>
          </cell>
        </row>
        <row r="477">
          <cell r="B477" t="str">
            <v/>
          </cell>
        </row>
        <row r="478">
          <cell r="B478" t="str">
            <v/>
          </cell>
        </row>
        <row r="479">
          <cell r="B479" t="str">
            <v/>
          </cell>
        </row>
        <row r="480">
          <cell r="B480" t="str">
            <v/>
          </cell>
        </row>
        <row r="481">
          <cell r="B481" t="str">
            <v/>
          </cell>
        </row>
        <row r="482">
          <cell r="B482" t="str">
            <v/>
          </cell>
        </row>
        <row r="483">
          <cell r="B483" t="str">
            <v/>
          </cell>
        </row>
        <row r="484">
          <cell r="B484" t="str">
            <v/>
          </cell>
        </row>
        <row r="485">
          <cell r="B485" t="str">
            <v/>
          </cell>
        </row>
        <row r="486">
          <cell r="B486" t="str">
            <v/>
          </cell>
        </row>
        <row r="487">
          <cell r="B487" t="str">
            <v/>
          </cell>
        </row>
        <row r="488">
          <cell r="B488" t="str">
            <v/>
          </cell>
        </row>
        <row r="489">
          <cell r="B489" t="str">
            <v/>
          </cell>
        </row>
        <row r="490">
          <cell r="B490" t="str">
            <v/>
          </cell>
        </row>
        <row r="491">
          <cell r="B491" t="str">
            <v/>
          </cell>
        </row>
        <row r="492">
          <cell r="B492" t="str">
            <v/>
          </cell>
        </row>
        <row r="493">
          <cell r="B493" t="str">
            <v/>
          </cell>
        </row>
        <row r="494">
          <cell r="B494" t="str">
            <v/>
          </cell>
        </row>
        <row r="495">
          <cell r="B495" t="str">
            <v/>
          </cell>
        </row>
        <row r="496">
          <cell r="B496" t="str">
            <v/>
          </cell>
        </row>
        <row r="497">
          <cell r="B497" t="str">
            <v/>
          </cell>
        </row>
        <row r="498">
          <cell r="B498" t="str">
            <v/>
          </cell>
        </row>
        <row r="499">
          <cell r="B499" t="str">
            <v/>
          </cell>
        </row>
        <row r="500">
          <cell r="B500" t="str">
            <v/>
          </cell>
        </row>
        <row r="501">
          <cell r="B501" t="str">
            <v/>
          </cell>
        </row>
        <row r="502">
          <cell r="B502" t="str">
            <v/>
          </cell>
        </row>
        <row r="503">
          <cell r="B503" t="str">
            <v/>
          </cell>
        </row>
        <row r="504">
          <cell r="B504" t="str">
            <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1000000000000"/>
      <sheetName val="coverpage"/>
      <sheetName val="TS memo"/>
      <sheetName val="Spn report"/>
      <sheetName val="BTR"/>
      <sheetName val="RMR"/>
      <sheetName val="Road data"/>
      <sheetName val="road est"/>
      <sheetName val="abs road"/>
      <sheetName val="4V800"/>
      <sheetName val="3V800"/>
      <sheetName val="1vof Obul800"/>
      <sheetName val="1V800"/>
      <sheetName val="1V600"/>
      <sheetName val="2V600"/>
      <sheetName val="2V1000"/>
      <sheetName val="HP abs"/>
      <sheetName val="Det. CC"/>
      <sheetName val="Drt Slab"/>
      <sheetName val="Abs_CD_2"/>
      <sheetName val="certificate"/>
      <sheetName val="CBR"/>
      <sheetName val="Gen abs"/>
      <sheetName val="mlead"/>
      <sheetName val="ECV"/>
      <sheetName val="1rX1000"/>
      <sheetName val="TS_memo"/>
      <sheetName val="Spn_report"/>
      <sheetName val="Road_data"/>
      <sheetName val="road_est"/>
      <sheetName val="abs_road"/>
      <sheetName val="1vof_Obul800"/>
      <sheetName val="HP_abs"/>
      <sheetName val="Det__CC"/>
      <sheetName val="Drt_Slab"/>
      <sheetName val="Gen_abs"/>
      <sheetName val="TS_memo1"/>
      <sheetName val="Spn_report1"/>
      <sheetName val="Road_data1"/>
      <sheetName val="road_est1"/>
      <sheetName val="abs_road1"/>
      <sheetName val="1vof_Obul8001"/>
      <sheetName val="HP_abs1"/>
      <sheetName val="Det__CC1"/>
      <sheetName val="Drt_Slab1"/>
      <sheetName val="Gen_abs1"/>
      <sheetName val="ssr-rates"/>
      <sheetName val="Road Detail Est."/>
      <sheetName val="r"/>
      <sheetName val="Lead"/>
      <sheetName val="pvc-rates"/>
      <sheetName val="Estt"/>
      <sheetName val="Data_Renuals"/>
      <sheetName val="leads"/>
      <sheetName val="temp-SDData (2)"/>
      <sheetName val="Data.F8.BTR"/>
      <sheetName val="Labour"/>
      <sheetName val="Material"/>
      <sheetName val="Data_Base"/>
      <sheetName val="Data"/>
      <sheetName val="Plant &amp;  Machinery"/>
      <sheetName val="m"/>
      <sheetName val="v"/>
      <sheetName val="Lead statement"/>
      <sheetName val="quarry"/>
      <sheetName val="C-data"/>
      <sheetName val="ABS"/>
      <sheetName val="EST- Laxmidevipally"/>
      <sheetName val="ANGAN"/>
      <sheetName val="Levels"/>
      <sheetName val="lead-st"/>
      <sheetName val="gen_abst"/>
      <sheetName val="DATA_PRG"/>
      <sheetName val="final abstract"/>
      <sheetName val="Bridge Data 2005-06"/>
      <sheetName val="Sheet3"/>
      <sheetName val="EST"/>
      <sheetName val="sand"/>
      <sheetName val="stone"/>
      <sheetName val="index"/>
      <sheetName val="rdamdata"/>
      <sheetName val="sup dat"/>
      <sheetName val="sluice-AC"/>
      <sheetName val="WATER-HAMMER"/>
      <sheetName val="Specification"/>
      <sheetName val="sluice-PVC"/>
      <sheetName val="Airvalve-HDPE"/>
      <sheetName val="Part-A"/>
      <sheetName val="HDPE-pipe-rates"/>
      <sheetName val="pvc-pipe-rates"/>
      <sheetName val="Sheet9"/>
      <sheetName val="t_prsr"/>
      <sheetName val="wh"/>
      <sheetName val="data existing_do not delete"/>
      <sheetName val="Mortars"/>
      <sheetName val="DATA SHEET"/>
      <sheetName val="maya"/>
      <sheetName val="Sheet2"/>
      <sheetName val="detls"/>
      <sheetName val="PROCTOR"/>
      <sheetName val="Works"/>
      <sheetName val="General"/>
      <sheetName val="RATES"/>
      <sheetName val="CD Data"/>
      <sheetName val="Line"/>
      <sheetName val="other rates"/>
      <sheetName val="MRATES"/>
      <sheetName val="Data-ELSR"/>
      <sheetName val="BOQ_Direct_selling cost"/>
      <sheetName val="DATA-BASE"/>
      <sheetName val="DATA-ABSTRACT"/>
      <sheetName val="SSR 2015-16"/>
      <sheetName val="habs-list"/>
      <sheetName val="nodes"/>
      <sheetName val="Usage"/>
      <sheetName val="PVC_dia"/>
      <sheetName val="HDPE"/>
      <sheetName val="DI"/>
      <sheetName val="pvc"/>
      <sheetName val="hdpe_basic"/>
      <sheetName val="pvc_basic"/>
      <sheetName val="Cover"/>
      <sheetName val="Lead statement ss5"/>
      <sheetName val="Calendar"/>
      <sheetName val="m1"/>
      <sheetName val="Sheet1"/>
      <sheetName val="BALAN1"/>
      <sheetName val="Nspt-smp-final-ORIGINAL"/>
      <sheetName val="Specification report"/>
      <sheetName val="DATA_PILE_RT2"/>
      <sheetName val="Trunk unpaved"/>
      <sheetName val="PH Sor"/>
      <sheetName val="dbl-airvalve-PVC"/>
      <sheetName val="DFjoints"/>
      <sheetName val="VC rate"/>
      <sheetName val="sluice-HDPE"/>
      <sheetName val="Global factors"/>
      <sheetName val="Sorted"/>
      <sheetName val="TS_memo2"/>
      <sheetName val="Spn_report2"/>
      <sheetName val="Road_data2"/>
      <sheetName val="road_est2"/>
      <sheetName val="abs_road2"/>
      <sheetName val="1vof_Obul8002"/>
      <sheetName val="HP_abs2"/>
      <sheetName val="Det__CC2"/>
      <sheetName val="Drt_Slab2"/>
      <sheetName val="Gen_abs2"/>
      <sheetName val="TS_memo3"/>
      <sheetName val="Spn_report3"/>
      <sheetName val="Road_data3"/>
      <sheetName val="road_est3"/>
      <sheetName val="abs_road3"/>
      <sheetName val="1vof_Obul8003"/>
      <sheetName val="HP_abs3"/>
      <sheetName val="Det__CC3"/>
      <sheetName val="Drt_Slab3"/>
      <sheetName val="Gen_abs3"/>
      <sheetName val=" data sheet "/>
      <sheetName val="segments-details"/>
      <sheetName val="data-sheet"/>
      <sheetName val="Quarry Charts"/>
      <sheetName val="TBAL9697 -group wise  sdpl"/>
    </sheetNames>
    <sheetDataSet>
      <sheetData sheetId="0"/>
      <sheetData sheetId="1"/>
      <sheetData sheetId="2"/>
      <sheetData sheetId="3"/>
      <sheetData sheetId="4"/>
      <sheetData sheetId="5"/>
      <sheetData sheetId="6" refreshError="1">
        <row r="21">
          <cell r="L21">
            <v>931.346</v>
          </cell>
        </row>
        <row r="23">
          <cell r="L23">
            <v>703.64600000000007</v>
          </cell>
        </row>
        <row r="25">
          <cell r="L25">
            <v>224.46899999999999</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ABS-MODELS"/>
      <sheetName val="BT_Patch_works_BT_RC"/>
      <sheetName val="WMM_BT"/>
      <sheetName val="WBM_Patch_with_GRAVEL-BLINDAGE"/>
      <sheetName val="GRAVEL-BLINDAGE_WBM_Surface"/>
      <sheetName val="GSB-3Layrers"/>
      <sheetName val="GSB-2Layrers"/>
      <sheetName val="GSB-1Layer"/>
      <sheetName val="LEAD"/>
      <sheetName val="Data-Road "/>
      <sheetName val="Mtc-data"/>
      <sheetName val="DATA-CD"/>
      <sheetName val="Road-furniture"/>
      <sheetName val="Sheet4"/>
      <sheetName val="CD Abs"/>
      <sheetName val="Cd-qty-ws"/>
      <sheetName val="Gen Abs"/>
      <sheetName val="Det estt_Road"/>
      <sheetName val="Schedule-A"/>
      <sheetName val="ws"/>
      <sheetName val="NF"/>
      <sheetName val="MTC-ABS"/>
      <sheetName val="MTC-estimate"/>
      <sheetName val="Road Furniture-Data"/>
      <sheetName val="MTC-Table"/>
      <sheetName val="other rates"/>
      <sheetName val="Hire"/>
      <sheetName val="Conv"/>
      <sheetName val="NP3 pipes"/>
      <sheetName val="NP3 collars"/>
      <sheetName val="RMR"/>
    </sheetNames>
    <sheetDataSet>
      <sheetData sheetId="0"/>
      <sheetData sheetId="1"/>
      <sheetData sheetId="2"/>
      <sheetData sheetId="3"/>
      <sheetData sheetId="4"/>
      <sheetData sheetId="5"/>
      <sheetData sheetId="6"/>
      <sheetData sheetId="7"/>
      <sheetData sheetId="8"/>
      <sheetData sheetId="9"/>
      <sheetData sheetId="10">
        <row r="47">
          <cell r="K47">
            <v>0.125</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6">
          <cell r="C6">
            <v>13200</v>
          </cell>
        </row>
      </sheetData>
      <sheetData sheetId="25"/>
      <sheetData sheetId="26"/>
      <sheetData sheetId="27">
        <row r="20">
          <cell r="I20">
            <v>22</v>
          </cell>
        </row>
        <row r="21">
          <cell r="I21">
            <v>40</v>
          </cell>
        </row>
        <row r="22">
          <cell r="I22">
            <v>50</v>
          </cell>
        </row>
      </sheetData>
      <sheetData sheetId="28"/>
      <sheetData sheetId="29"/>
      <sheetData sheetId="30"/>
      <sheetData sheetId="31"/>
      <sheetData sheetId="32"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nav"/>
      <sheetName val="m4"/>
      <sheetName val="she"/>
      <sheetName val="m"/>
      <sheetName val="m1"/>
      <sheetName val="est"/>
      <sheetName val="est (2)"/>
      <sheetName val="m4 (2)"/>
      <sheetName val="m4 (4)"/>
      <sheetName val="Road Detail Est."/>
      <sheetName val="Road data"/>
      <sheetName val="other rates"/>
      <sheetName val="r"/>
      <sheetName val="Part-A"/>
      <sheetName val="RMR"/>
      <sheetName val="Data"/>
      <sheetName val="lead-st"/>
      <sheetName val="ewst"/>
      <sheetName val="maya"/>
      <sheetName val="Plant &amp;  Machinery"/>
      <sheetName val="Material"/>
      <sheetName val="Labour"/>
      <sheetName val="ssr-rates"/>
      <sheetName val="sand"/>
      <sheetName val="stone"/>
      <sheetName val="index"/>
      <sheetName val="Title"/>
      <sheetName val="other rates N"/>
      <sheetName val="LEAD"/>
      <sheetName val="Data.F8.BTR"/>
      <sheetName val="Lead statement"/>
      <sheetName val="t_prsr"/>
      <sheetName val="wh"/>
      <sheetName val="MRATES"/>
      <sheetName val="Estt"/>
      <sheetName val="C-data"/>
      <sheetName val="leads"/>
      <sheetName val="v"/>
      <sheetName val="CD Data"/>
      <sheetName val="ABS"/>
      <sheetName val="Data_Renuals"/>
      <sheetName val="l"/>
      <sheetName val="Sent NHO"/>
      <sheetName val="OPD-Civil"/>
      <sheetName val="Boq"/>
      <sheetName val="DATA-CD"/>
      <sheetName val="Data_Base"/>
      <sheetName val="Specification"/>
      <sheetName val="data existing_do not delete"/>
      <sheetName val="AX-B"/>
      <sheetName val="temp-SDData (2)"/>
      <sheetName val="Footings"/>
      <sheetName val="abs road"/>
      <sheetName val="est_(2)"/>
      <sheetName val="m4_(2)"/>
      <sheetName val="m4_(4)"/>
      <sheetName val="Road_Detail_Est_"/>
      <sheetName val="Road_data"/>
      <sheetName val="est_(2)1"/>
      <sheetName val="m4_(2)1"/>
      <sheetName val="m4_(4)1"/>
      <sheetName val="Road_Detail_Est_1"/>
      <sheetName val="Road_data1"/>
      <sheetName val="Input"/>
      <sheetName val="road_est (2)"/>
      <sheetName val="furniture"/>
      <sheetName val="abst-cdworks (2)"/>
      <sheetName val="Seig_Cal"/>
      <sheetName val="7 Other Costs"/>
      <sheetName val="other rates-C"/>
      <sheetName val="0000000000000"/>
      <sheetName val="Sheet3"/>
      <sheetName val="Sheet1"/>
      <sheetName val="Works"/>
      <sheetName val="General"/>
      <sheetName val="quarry"/>
      <sheetName val="BOQ_Direct_selling cost"/>
      <sheetName val="RA-markate"/>
      <sheetName val="GA"/>
      <sheetName val="Pipe data"/>
      <sheetName val="Box Culvert data"/>
      <sheetName val="LOAD CALCULATIONS"/>
    </sheetNames>
    <sheetDataSet>
      <sheetData sheetId="0" refreshError="1"/>
      <sheetData sheetId="1" refreshError="1"/>
      <sheetData sheetId="2" refreshError="1"/>
      <sheetData sheetId="3" refreshError="1">
        <row r="2">
          <cell r="A2" t="str">
            <v>Name of work: BT to road from PWD Road to Jaggasagari via Chowlamaddi and Kondrikarla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Work_Detiles"/>
      <sheetName val="ABS"/>
      <sheetName val="date_wise_qty"/>
      <sheetName val="date_of_payment"/>
      <sheetName val="bill_wise_qty_amt_Seig"/>
      <sheetName val="Bill_wise_amt_cc_"/>
      <sheetName val="Items_elgible"/>
      <sheetName val="Price_adjustment_Prg"/>
      <sheetName val="Seig_cal"/>
      <sheetName val="MB_wise_qty"/>
      <sheetName val="r"/>
      <sheetName val="RMR"/>
      <sheetName val="Data_Renuals"/>
      <sheetName val="ssr-rates"/>
      <sheetName val="coverpage"/>
      <sheetName val="Road data"/>
      <sheetName val="m"/>
      <sheetName val="other rates"/>
      <sheetName val="data existing_do not delete"/>
      <sheetName val="Lead"/>
      <sheetName val="Part-A"/>
    </sheetNames>
    <sheetDataSet>
      <sheetData sheetId="0" refreshError="1"/>
      <sheetData sheetId="1" refreshError="1"/>
      <sheetData sheetId="2" refreshError="1">
        <row r="21">
          <cell r="B21" t="str">
            <v>P.R.Bommraspet</v>
          </cell>
        </row>
      </sheetData>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Schedule-A"/>
      <sheetName val="Labour_Charges"/>
      <sheetName val="Labour_Charges(detl)"/>
      <sheetName val="Specification"/>
      <sheetName val="Core_SSR"/>
      <sheetName val="ABS"/>
      <sheetName val="Data_Renuals"/>
      <sheetName val="r"/>
      <sheetName val="m"/>
      <sheetName val="ssr-rates"/>
      <sheetName val="RMR"/>
      <sheetName val="Part-A"/>
      <sheetName val="MRATES"/>
      <sheetName val="Lead statement"/>
      <sheetName val="lead-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general abstract"/>
      <sheetName val="leads"/>
      <sheetName val="lead statement"/>
      <sheetName val="door window calculations"/>
      <sheetName val="door window datas"/>
      <sheetName val="electrification data"/>
      <sheetName val="data"/>
      <sheetName val="data existing_do not delete"/>
      <sheetName val="pipe line sub estimate"/>
      <sheetName val="pipe line data"/>
      <sheetName val="estimate"/>
      <sheetName val="hydraulic designs projects"/>
      <sheetName val="hydraulic designs pws schemes"/>
      <sheetName val="hydraulic statement"/>
      <sheetName val="economical pm calculations"/>
      <sheetName val="fp estimate"/>
      <sheetName val="rotary bore well estimate"/>
      <sheetName val="ohsr 40k sub estimate"/>
      <sheetName val="ohsr 40k verticals"/>
      <sheetName val="ohsr 60k sub estimate"/>
      <sheetName val="ohsr 60k verticals"/>
      <sheetName val="ohsr 90k sub estimate"/>
      <sheetName val="ohsr 90k verticals"/>
      <sheetName val="ohsr 120k sub estimate"/>
      <sheetName val="ohsr 120k verticals"/>
      <sheetName val="ohsr 150 sub estimate"/>
      <sheetName val="ohsr 150k verticals"/>
      <sheetName val="ohsr 200k sub estimate"/>
      <sheetName val="ohsr 200k verticals"/>
      <sheetName val="ohsr 250k sub estimate"/>
      <sheetName val="ohsr 250k verticals"/>
      <sheetName val="Sheet1"/>
      <sheetName val="Sheet2"/>
      <sheetName val="Sheet4"/>
      <sheetName val="Sheet5"/>
      <sheetName val="Sheet7"/>
      <sheetName val="Sheet8"/>
      <sheetName val="Sheet9"/>
      <sheetName val="Sheet13"/>
      <sheetName val="Sheet14"/>
      <sheetName val="Sheet15"/>
      <sheetName val="Sheet16"/>
      <sheetName val="Sheet17"/>
      <sheetName val="Sheet18"/>
      <sheetName val="Sheet19"/>
      <sheetName val="Sheet20"/>
      <sheetName val="Sheet21"/>
      <sheetName val="Sheet10"/>
      <sheetName val="Sheet11"/>
      <sheetName val="Sheet12"/>
      <sheetName val="Sheet6"/>
      <sheetName val="Sheet3"/>
      <sheetName val="Data_Base"/>
      <sheetName val="other rates"/>
      <sheetName val="Estt"/>
      <sheetName val="Material"/>
      <sheetName val="Labour"/>
      <sheetName val="ssr-rates"/>
      <sheetName val="m"/>
      <sheetName val="MRATES"/>
      <sheetName val="r"/>
      <sheetName val="Road data"/>
      <sheetName val="Usage"/>
      <sheetName val="ABS"/>
      <sheetName val="Plant &amp;  Machinery"/>
      <sheetName val="RMR"/>
      <sheetName val="l"/>
      <sheetName val="DATA-BASE"/>
      <sheetName val="DATA-ABSTRACT"/>
      <sheetName val="Rates SSR 2008-09"/>
      <sheetName val="Pile cap"/>
      <sheetName val="Boq"/>
      <sheetName val="Footings"/>
      <sheetName val="LEAD"/>
      <sheetName val="Specification"/>
      <sheetName val="MRoad data"/>
      <sheetName val="sand"/>
      <sheetName val="stone"/>
      <sheetName val="index"/>
      <sheetName val="Road Detail Est."/>
      <sheetName val="v"/>
      <sheetName val="int-Dia-hdpe"/>
      <sheetName val="PIpe Pushing"/>
      <sheetName val="pvc_basic"/>
      <sheetName val="LEAD (3)"/>
      <sheetName val="quarry"/>
      <sheetName val="Data_Renuals"/>
      <sheetName val="Part-A"/>
      <sheetName val="Lead  RATES"/>
      <sheetName val="wordsdata"/>
      <sheetName val="temp-SDData (2)"/>
      <sheetName val="HDPE"/>
      <sheetName val="Sorted"/>
      <sheetName val="G F  (2)"/>
      <sheetName val="UT Without Drop"/>
      <sheetName val="Data.F8.BTR"/>
      <sheetName val="hdpe-rates"/>
      <sheetName val="hdpe weights"/>
      <sheetName val="pvc-rates"/>
      <sheetName val="PVC weights"/>
      <sheetName val="abs road"/>
      <sheetName val="coverpage"/>
      <sheetName val="R_Det"/>
      <sheetName val="mlead"/>
      <sheetName val="7 Other Costs"/>
      <sheetName val="Data_Bit_I"/>
      <sheetName val="Sent NHO"/>
      <sheetName val="data1"/>
      <sheetName val="EST- Laxmidevipally"/>
      <sheetName val="ewst"/>
      <sheetName val="detls"/>
      <sheetName val="m1"/>
      <sheetName val="estimate "/>
      <sheetName val="cover_page"/>
      <sheetName val="general_abstract"/>
      <sheetName val="lead_statement"/>
      <sheetName val="door_window_calculations"/>
      <sheetName val="door_window_datas"/>
      <sheetName val="electrification_data"/>
      <sheetName val="data_existing_do_not_delete"/>
      <sheetName val="pipe_line_sub_estimate"/>
      <sheetName val="pipe_line_data"/>
      <sheetName val="hydraulic_designs_projects"/>
      <sheetName val="hydraulic_designs_pws_schemes"/>
      <sheetName val="hydraulic_statement"/>
      <sheetName val="economical_pm_calculations"/>
      <sheetName val="fp_estimate"/>
      <sheetName val="rotary_bore_well_estimate"/>
      <sheetName val="ohsr_40k_sub_estimate"/>
      <sheetName val="ohsr_40k_verticals"/>
      <sheetName val="ohsr_60k_sub_estimate"/>
      <sheetName val="ohsr_60k_verticals"/>
      <sheetName val="ohsr_90k_sub_estimate"/>
      <sheetName val="ohsr_90k_verticals"/>
      <sheetName val="ohsr_120k_sub_estimate"/>
      <sheetName val="ohsr_120k_verticals"/>
      <sheetName val="ohsr_150_sub_estimate"/>
      <sheetName val="ohsr_150k_verticals"/>
      <sheetName val="ohsr_200k_sub_estimate"/>
      <sheetName val="ohsr_200k_verticals"/>
      <sheetName val="ohsr_250k_sub_estimate"/>
      <sheetName val="ohsr_250k_verticals"/>
      <sheetName val="other_rates"/>
      <sheetName val="Road_data"/>
      <sheetName val="Rates_SSR_2008-09"/>
      <sheetName val="Plant_&amp;__Machinery"/>
      <sheetName val="Pile_cap"/>
      <sheetName val="MRoad_data"/>
      <sheetName val="cover_page1"/>
      <sheetName val="general_abstract1"/>
      <sheetName val="lead_statement1"/>
      <sheetName val="door_window_calculations1"/>
      <sheetName val="door_window_datas1"/>
      <sheetName val="electrification_data1"/>
      <sheetName val="data_existing_do_not_delete1"/>
      <sheetName val="pipe_line_sub_estimate1"/>
      <sheetName val="pipe_line_data1"/>
      <sheetName val="hydraulic_designs_projects1"/>
      <sheetName val="hydraulic_designs_pws_schemes1"/>
      <sheetName val="hydraulic_statement1"/>
      <sheetName val="economical_pm_calculations1"/>
      <sheetName val="fp_estimate1"/>
      <sheetName val="rotary_bore_well_estimate1"/>
      <sheetName val="ohsr_40k_sub_estimate1"/>
      <sheetName val="ohsr_40k_verticals1"/>
      <sheetName val="ohsr_60k_sub_estimate1"/>
      <sheetName val="ohsr_60k_verticals1"/>
      <sheetName val="ohsr_90k_sub_estimate1"/>
      <sheetName val="ohsr_90k_verticals1"/>
      <sheetName val="ohsr_120k_sub_estimate1"/>
      <sheetName val="ohsr_120k_verticals1"/>
      <sheetName val="ohsr_150_sub_estimate1"/>
      <sheetName val="ohsr_150k_verticals1"/>
      <sheetName val="ohsr_200k_sub_estimate1"/>
      <sheetName val="ohsr_200k_verticals1"/>
      <sheetName val="ohsr_250k_sub_estimate1"/>
      <sheetName val="ohsr_250k_verticals1"/>
      <sheetName val="maya"/>
      <sheetName val="Levels"/>
      <sheetName val="t_prsr"/>
      <sheetName val="wh"/>
      <sheetName val="0000000000000"/>
      <sheetName val="Det Est"/>
      <sheetName val="PLAN_FEB97"/>
      <sheetName val="Rates"/>
      <sheetName val="lead-st"/>
    </sheetNames>
    <sheetDataSet>
      <sheetData sheetId="0"/>
      <sheetData sheetId="1"/>
      <sheetData sheetId="2"/>
      <sheetData sheetId="3"/>
      <sheetData sheetId="4"/>
      <sheetData sheetId="5"/>
      <sheetData sheetId="6"/>
      <sheetData sheetId="7"/>
      <sheetData sheetId="8" refreshError="1">
        <row r="2">
          <cell r="I2" t="str">
            <v>Clayey &amp; Loamy soils</v>
          </cell>
        </row>
        <row r="3">
          <cell r="I3" t="str">
            <v>Hard Gravelly soils</v>
          </cell>
        </row>
        <row r="4">
          <cell r="I4" t="str">
            <v>Mixture of Gravel &amp; Soft disintegrated rocky soils</v>
          </cell>
        </row>
        <row r="5">
          <cell r="I5" t="str">
            <v>Soft disintegrated soils removed by pick axes and crow bars</v>
          </cell>
        </row>
        <row r="6">
          <cell r="I6" t="str">
            <v>Stone matrix soils</v>
          </cell>
        </row>
        <row r="7">
          <cell r="I7" t="str">
            <v>Hard disintegrated soils removed by pick axes and crow bars</v>
          </cell>
        </row>
        <row r="8">
          <cell r="I8" t="str">
            <v>Hard disintegrated rock requiring partial blasting</v>
          </cell>
        </row>
        <row r="9">
          <cell r="I9" t="str">
            <v>Soils requiring chiselling,wedging and benching</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2)"/>
      <sheetName val="Check_Slip"/>
      <sheetName val="Misc"/>
      <sheetName val="Data_Base"/>
      <sheetName val="quarry"/>
      <sheetName val="Cover_Sheet"/>
      <sheetName val="Sp_Report"/>
      <sheetName val="Estimate"/>
      <sheetName val="Lead"/>
      <sheetName val="Conveyance_Rates"/>
      <sheetName val="Conveyance_Table"/>
      <sheetName val="Est_amt_text"/>
      <sheetName val="Data"/>
      <sheetName val="Schedule-A"/>
      <sheetName val="Labour_Charges"/>
      <sheetName val="Labour_Charges(detl)"/>
      <sheetName val="Specification"/>
      <sheetName val="Core_SSR"/>
      <sheetName val="Sheet1"/>
      <sheetName val="data existing_do not delete"/>
      <sheetName val="ABS"/>
      <sheetName val="m"/>
      <sheetName val="Road 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 statement (2)"/>
      <sheetName val="Lead"/>
      <sheetName val="Data_Renuals"/>
      <sheetName val="Estimate"/>
      <sheetName val="spe"/>
      <sheetName val="Conveyance"/>
      <sheetName val="Specification"/>
      <sheetName val="sand"/>
      <sheetName val="stone"/>
      <sheetName val="index"/>
      <sheetName val="Data_Base"/>
      <sheetName val="Material"/>
      <sheetName val="data existing_do not delete"/>
      <sheetName val="ABS"/>
      <sheetName val="RMR"/>
      <sheetName val="r"/>
      <sheetName val="Plant &amp;  Machinery"/>
      <sheetName val="pvc-pipe-rates"/>
      <sheetName val="Leads"/>
      <sheetName val="Road data"/>
      <sheetName val="v"/>
      <sheetName val="data"/>
      <sheetName val="Road Detail Est."/>
      <sheetName val="Sheet1"/>
      <sheetName val="m"/>
      <sheetName val="other rates"/>
      <sheetName val="ssr-rates"/>
      <sheetName val="Lead statement"/>
      <sheetName val="WATER-HAMMER"/>
      <sheetName val="rdamdata"/>
      <sheetName val="l"/>
      <sheetName val="Labour"/>
      <sheetName val="0000000000000"/>
      <sheetName val="Sheet2"/>
      <sheetName val="BTR"/>
      <sheetName val="MRATES"/>
      <sheetName val="DATA_PRG"/>
    </sheetNames>
    <sheetDataSet>
      <sheetData sheetId="0"/>
      <sheetData sheetId="1" refreshError="1">
        <row r="15">
          <cell r="N15">
            <v>992.13</v>
          </cell>
        </row>
      </sheetData>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S"/>
      <sheetName val="M_R1"/>
      <sheetName val="M_CD_R"/>
      <sheetName val="Lead"/>
      <sheetName val="Specification"/>
      <sheetName val="data existing_do not delete"/>
    </sheetNames>
    <sheetDataSet>
      <sheetData sheetId="0" refreshError="1">
        <row r="1">
          <cell r="AD1" t="str">
            <v>2007-08</v>
          </cell>
        </row>
      </sheetData>
      <sheetData sheetId="1"/>
      <sheetData sheetId="2"/>
      <sheetData sheetId="3" refreshError="1"/>
      <sheetData sheetId="4" refreshError="1"/>
      <sheetData sheetId="5"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Lead"/>
      <sheetName val="ABS"/>
      <sheetName val="t_prsr"/>
      <sheetName val="wh"/>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LEADS"/>
      <sheetName val="Specification"/>
      <sheetName val="Road data"/>
      <sheetName val="pvc-pipe-rates"/>
      <sheetName val="m"/>
      <sheetName val="ssr-rates"/>
      <sheetName val="Plant &amp;  Machinery"/>
      <sheetName val="Material"/>
      <sheetName val="Labour"/>
      <sheetName val="Lead statement"/>
      <sheetName val="sand"/>
      <sheetName val="stone"/>
      <sheetName val="data existing_do not delete"/>
      <sheetName val="Lead"/>
      <sheetName val="Data_Base"/>
      <sheetName val="Data_Renuals"/>
      <sheetName val="ABS"/>
      <sheetName val="MRATES"/>
      <sheetName val="0000000000000"/>
      <sheetName val="segments-details"/>
      <sheetName val="int-Dia-hdpe"/>
      <sheetName val="habs-list"/>
      <sheetName val="int-Dia-pvc"/>
      <sheetName val="DATA"/>
      <sheetName val="other rates"/>
      <sheetName val="maya"/>
      <sheetName val="quarry"/>
      <sheetName val="data1"/>
      <sheetName val="RMR"/>
      <sheetName val="HDPE"/>
      <sheetName val="DI"/>
      <sheetName val="pvc"/>
      <sheetName val="Data.F8.BTR"/>
      <sheetName val="Specification report"/>
      <sheetName val="Proforma -II "/>
      <sheetName val="id"/>
      <sheetName val="Bridge Data 2005-06"/>
      <sheetName val="C.R G.F"/>
      <sheetName val="pvc_basic"/>
      <sheetName val="bldg"/>
      <sheetName val="Data-ELSR"/>
      <sheetName val="GROUND FLOOR"/>
      <sheetName val="DATA-BASE"/>
      <sheetName val="DATA-ABSTRACT"/>
      <sheetName val="rdamdata"/>
      <sheetName val="DATA_PRG"/>
      <sheetName val="Road Detail Est."/>
      <sheetName val="GA"/>
      <sheetName val="C-data"/>
      <sheetName val="Civil SSR"/>
      <sheetName val="WS Data"/>
      <sheetName val="ST"/>
      <sheetName val="Sump"/>
      <sheetName val="Process"/>
      <sheetName val="Main sheet"/>
      <sheetName val="m lead"/>
      <sheetName val="SSR"/>
      <sheetName val="Plant_&amp;__Machinery"/>
      <sheetName val="Road_data"/>
      <sheetName val="Lead_statement"/>
      <sheetName val="data_existing_do_not_delete"/>
      <sheetName val="Plant_&amp;__Machinery1"/>
      <sheetName val="Road_data1"/>
      <sheetName val="Lead_statement1"/>
      <sheetName val="data_existing_do_not_delete1"/>
      <sheetName val="rates"/>
      <sheetName val="Sheet1"/>
      <sheetName val="Road data "/>
      <sheetName val="SPECS"/>
      <sheetName val="CFForecast detail"/>
      <sheetName val="DI Rate Analysis"/>
      <sheetName val="Economic RisingMain  Ph-I"/>
      <sheetName val="temp-SDData (2)"/>
      <sheetName val="cert"/>
      <sheetName val="Sheet9"/>
      <sheetName val="Part-A"/>
      <sheetName val="Sorted"/>
      <sheetName val="MRoad data"/>
      <sheetName val="FINAL LEAD"/>
      <sheetName val="select items_PMW"/>
      <sheetName val="Bill-12"/>
      <sheetName val="dlvoid"/>
      <sheetName val="slab"/>
      <sheetName val="DL CAL"/>
      <sheetName val="Cover"/>
      <sheetName val="1V800"/>
      <sheetName val="materials"/>
      <sheetName val="Sheet2"/>
      <sheetName val="Convey"/>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p&amp;m"/>
      <sheetName val="t_prsr"/>
      <sheetName val="detls"/>
      <sheetName val="wh"/>
      <sheetName val="Sheet3"/>
      <sheetName val="Levels"/>
      <sheetName val="Data o"/>
      <sheetName val="Dn SLRB (R2)"/>
      <sheetName val="Data_"/>
      <sheetName val="Sheet1 (2)"/>
      <sheetName val="Aug,02"/>
      <sheetName val="road est"/>
      <sheetName val="mlead"/>
      <sheetName val="Basicrates"/>
      <sheetName val="C.D.Abs.Est."/>
      <sheetName val="SLAB  DATA"/>
      <sheetName val="Summary"/>
      <sheetName val="CD Data"/>
      <sheetName val="MTC-estimate"/>
      <sheetName val="Sub -  Analysis"/>
      <sheetName val="RM"/>
      <sheetName val="pt-cw"/>
      <sheetName val="51"/>
      <sheetName val="Data-2010-11"/>
      <sheetName val="sept-plan"/>
      <sheetName val="BOQ"/>
      <sheetName val="PUMP_DATA"/>
      <sheetName val="FINAL DATA"/>
      <sheetName val="Road data.PS"/>
      <sheetName val="Road data  PH"/>
      <sheetName val="RA-markate"/>
      <sheetName val="GF SB Ok "/>
      <sheetName val="Design"/>
      <sheetName val="Hydraulic Design (Pipe)"/>
      <sheetName val="sup dat"/>
      <sheetName val="abs road"/>
      <sheetName val="R_Det"/>
      <sheetName val="Note"/>
      <sheetName val="GN-ST-10"/>
      <sheetName val="d-safe DELUXE"/>
      <sheetName val="bASICDATA"/>
      <sheetName val="MPP_Gundlapally1"/>
      <sheetName val="hdpe weights"/>
      <sheetName val="Sheet5"/>
      <sheetName val="PVC weights"/>
      <sheetName val="ESTIMATE"/>
      <sheetName val="Lookup"/>
      <sheetName val="Specification_report"/>
      <sheetName val="GROUND_FLOOR"/>
      <sheetName val="Civil_SSR"/>
      <sheetName val="WS_Data"/>
      <sheetName val="Data_F8_BTR"/>
      <sheetName val="Road_Detail_Est_"/>
      <sheetName val="other_rates"/>
      <sheetName val="temp-SDData_(2)"/>
      <sheetName val="Road_data_"/>
      <sheetName val="Bridge_Data_2005-06"/>
      <sheetName val="MRoad_data"/>
      <sheetName val="Main_sheet"/>
      <sheetName val="hdpe_basic"/>
      <sheetName val="BTR (2)"/>
      <sheetName val="Nspt-smp-final-ORIGINAL"/>
      <sheetName val="SS ENERGISE"/>
      <sheetName val="MA"/>
      <sheetName val="basic-data"/>
      <sheetName val="Bitumen trunk"/>
      <sheetName val="Feeder"/>
      <sheetName val="R99 etc"/>
      <sheetName val="Trunk unpaved"/>
      <sheetName val="Supplier"/>
      <sheetName val="sg-clay(d)"/>
      <sheetName val="Design of two-way slab"/>
      <sheetName val="Data Road"/>
      <sheetName val="road safety datas"/>
      <sheetName val="MRMECADAMoad data"/>
      <sheetName val="lead modified"/>
      <sheetName val="CC road"/>
      <sheetName val="Road Est."/>
      <sheetName val="WATER-HAMMER"/>
      <sheetName val="DET-ABS(toilet&amp;residence of ju)"/>
      <sheetName val="BTR"/>
      <sheetName val="Boppudi data sheet "/>
      <sheetName val="Common "/>
      <sheetName val="Usage"/>
      <sheetName val="Abs_CD_2"/>
      <sheetName val="coverpage"/>
      <sheetName val="ECV"/>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Conveyance"/>
      <sheetName val="Lead statement ss5"/>
      <sheetName val="section"/>
      <sheetName val="Data_culverts"/>
      <sheetName val="Work_sheet"/>
      <sheetName val="int-Dia"/>
      <sheetName val="nodes"/>
      <sheetName val="JAWAHAR-hyd-original"/>
      <sheetName val="RF"/>
      <sheetName val="sectorwise"/>
      <sheetName val="PROCTOR"/>
      <sheetName val="PVC DATA General"/>
      <sheetName val="OHSR-1"/>
      <sheetName val="Rate Calc-1"/>
      <sheetName val="BWSCPlt"/>
      <sheetName val="CI"/>
      <sheetName val="G.R.P"/>
      <sheetName val="PSC REVISED"/>
      <sheetName val="AV-HDPE"/>
      <sheetName val="Di_gate-HDPE"/>
      <sheetName val="clvrt_data"/>
      <sheetName val="ww-march-02"/>
      <sheetName val="sluice-PVC"/>
      <sheetName val="Rate"/>
      <sheetName val="DATA SHEET"/>
      <sheetName val="Marteru"/>
      <sheetName val="Crust"/>
      <sheetName val="m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sheetData sheetId="184"/>
      <sheetData sheetId="185"/>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sheetData sheetId="199"/>
      <sheetData sheetId="200"/>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MRATES"/>
      <sheetName val="stone"/>
      <sheetName val="Road data"/>
      <sheetName val="Nspt-smp-final-ORIGINAL"/>
      <sheetName val="Labour"/>
      <sheetName val="Lead"/>
      <sheetName val="Note"/>
      <sheetName val="0000000000000"/>
      <sheetName val="data"/>
      <sheetName val="LEADS"/>
      <sheetName val="Summary"/>
      <sheetName val="Specification"/>
      <sheetName val="Data_Renuals"/>
      <sheetName val="WITH STACKING CHARGES"/>
      <sheetName val="pvc"/>
      <sheetName val="Data_Base"/>
      <sheetName val="Road Detail Est."/>
      <sheetName val="ABS"/>
      <sheetName val="pvc-pipe-rates"/>
      <sheetName val="Labour rates"/>
      <sheetName val="m"/>
      <sheetName val="Civil Boq"/>
      <sheetName val="Material"/>
      <sheetName val="data existing_do not delete"/>
      <sheetName val="Legal Risk Analysis"/>
      <sheetName val="RMR"/>
      <sheetName val="ssr-rates"/>
      <sheetName val="DATA-BASE"/>
      <sheetName val="DATA-ABSTRACT"/>
      <sheetName val="Lead statement"/>
      <sheetName val="Cover-MEstt."/>
      <sheetName val="Table10"/>
      <sheetName val="Table11"/>
      <sheetName val="Table12"/>
      <sheetName val="Data.F8.BTR"/>
      <sheetName val="Main sheet"/>
      <sheetName val="G F  (2)"/>
      <sheetName val="SPT vs PHI"/>
      <sheetName val="Plant &amp;  Machinery"/>
      <sheetName val="bldg"/>
      <sheetName val="SSR 2014-15 Rates"/>
      <sheetName val="detls"/>
      <sheetName val="Proforma -II "/>
      <sheetName val="sand"/>
      <sheetName val="organi synthesis lab"/>
      <sheetName val="t_prsr"/>
      <sheetName val="wh"/>
      <sheetName val="sectorwise"/>
      <sheetName val="Sent NHO"/>
      <sheetName val="MTC-estimate"/>
      <sheetName val="Sheet1"/>
      <sheetName val="Basic Rates"/>
      <sheetName val="quarry"/>
      <sheetName val="HDPE"/>
      <sheetName val="Cover Page"/>
      <sheetName val="DATA_PRG"/>
      <sheetName val="maya"/>
      <sheetName val="DI"/>
      <sheetName val="moments-table(tri)"/>
      <sheetName val="Outlet Details"/>
      <sheetName val="Table9"/>
      <sheetName val="WS Data"/>
      <sheetName val="Part-A"/>
      <sheetName val="Sheet2"/>
      <sheetName val="other rates"/>
      <sheetName val="Calc1"/>
      <sheetName val="LEAD S 10-11"/>
      <sheetName val="Levels"/>
      <sheetName val="GF SB Ok "/>
      <sheetName val="int-Dia-hdpe"/>
      <sheetName val="Mahendra hills"/>
      <sheetName val="Sorted"/>
      <sheetName val="int-Dia"/>
      <sheetName val="PUMP_DATA"/>
      <sheetName val="coverpage"/>
      <sheetName val="W. SUPPLY"/>
      <sheetName val="DATA SHEET"/>
      <sheetName val="mlead"/>
      <sheetName val="Estt"/>
      <sheetName val="clvrt_data"/>
      <sheetName val="abs road"/>
      <sheetName val="R_Det"/>
      <sheetName val="Common "/>
      <sheetName val="General"/>
      <sheetName val="계정"/>
      <sheetName val="rdamdata"/>
      <sheetName val="census91"/>
      <sheetName val="C-data"/>
      <sheetName val="Estimate "/>
      <sheetName val="BTR"/>
      <sheetName val="DES"/>
      <sheetName val="COVER"/>
      <sheetName val="HP PIPE  DATA"/>
      <sheetName val="SLAB  DATA"/>
      <sheetName val="Line"/>
      <sheetName val="CRUST"/>
      <sheetName val="QDTS"/>
      <sheetName val="Rates"/>
      <sheetName val="Boq"/>
      <sheetName val="PH data"/>
      <sheetName val="cert"/>
      <sheetName val="Road_data"/>
      <sheetName val="Civil_Boq"/>
      <sheetName val="Mahendra_hills"/>
      <sheetName val="Spacing of Delineators"/>
      <sheetName val="THK"/>
      <sheetName val="C-Mat"/>
      <sheetName val="labour &amp; Hire-20-21"/>
      <sheetName val="bundqty"/>
      <sheetName val="Lead(4380)"/>
      <sheetName val="ANGAN"/>
    </sheetNames>
    <sheetDataSet>
      <sheetData sheetId="0"/>
      <sheetData sheetId="1"/>
      <sheetData sheetId="2"/>
      <sheetData sheetId="3"/>
      <sheetData sheetId="4"/>
      <sheetData sheetId="5"/>
      <sheetData sheetId="6"/>
      <sheetData sheetId="7"/>
      <sheetData sheetId="8" refreshError="1">
        <row r="2">
          <cell r="F2">
            <v>100</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2V_3M_SLAB (2)"/>
      <sheetName val="RD_X"/>
      <sheetName val="ROAD_DAM_100M"/>
      <sheetName val="RD_100M"/>
      <sheetName val="CC_WC"/>
      <sheetName val="RD_VENTES"/>
    </sheetNames>
    <sheetDataSet>
      <sheetData sheetId="0">
        <row r="20">
          <cell r="H20">
            <v>4</v>
          </cell>
        </row>
      </sheetData>
      <sheetData sheetId="1"/>
      <sheetData sheetId="2" refreshError="1"/>
      <sheetData sheetId="3"/>
      <sheetData sheetId="4"/>
      <sheetData sheetId="5"/>
      <sheetData sheetId="6"/>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2V_3M_SLAB (2)"/>
      <sheetName val="RD_X"/>
      <sheetName val="ROAD_DAM_100M"/>
      <sheetName val="RD_100M"/>
      <sheetName val="CC_WC"/>
      <sheetName val="RD_VENTES"/>
      <sheetName val="data-WC"/>
      <sheetName val="Lead"/>
      <sheetName val="rdamdata"/>
      <sheetName val="r"/>
      <sheetName val="HDPE"/>
      <sheetName val="DI"/>
      <sheetName val="pvc"/>
      <sheetName val="hdpe_basic"/>
      <sheetName val="pvc_basic"/>
      <sheetName val="Material"/>
      <sheetName val="Plant &amp;  Machinery"/>
      <sheetName val="Labour"/>
      <sheetName val="leads"/>
      <sheetName val="v"/>
    </sheetNames>
    <sheetDataSet>
      <sheetData sheetId="0">
        <row r="20">
          <cell r="H20">
            <v>4</v>
          </cell>
        </row>
      </sheetData>
      <sheetData sheetId="1"/>
      <sheetData sheetId="2" refreshError="1"/>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DATA"/>
    </sheetNames>
    <sheetDataSet>
      <sheetData sheetId="0" refreshError="1"/>
      <sheetData sheetId="1" refreshError="1"/>
      <sheetData sheetId="2" refreshError="1"/>
      <sheetData sheetId="3" refreshError="1"/>
      <sheetData sheetId="4" refreshError="1">
        <row r="4">
          <cell r="F4">
            <v>65</v>
          </cell>
        </row>
      </sheetData>
      <sheetData sheetId="5" refreshError="1"/>
      <sheetData sheetId="6"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stone"/>
      <sheetName val="index"/>
      <sheetName val="v"/>
      <sheetName val="r"/>
      <sheetName val="DATA"/>
      <sheetName val="sectorwise"/>
      <sheetName val="m"/>
      <sheetName val="other rates"/>
      <sheetName val="Road data"/>
      <sheetName val="0000000000000"/>
      <sheetName val="General"/>
      <sheetName val="wh_data_R"/>
      <sheetName val="MRATES"/>
      <sheetName val="Nspt-smp-final-ORIGINAL"/>
      <sheetName val="Specification"/>
      <sheetName val="Letter"/>
      <sheetName val="Usage"/>
      <sheetName val="Note"/>
      <sheetName val="MTC-estimate"/>
      <sheetName val="leads"/>
      <sheetName val="Det Est"/>
      <sheetName val="Sent NHO"/>
      <sheetName val="sand"/>
      <sheetName val="Civil Boq"/>
      <sheetName val="Material"/>
      <sheetName val="Plant &amp;  Machinery"/>
      <sheetName val="DATA-ABSTRACT"/>
      <sheetName val="Cover-MEstt_"/>
      <sheetName val="ABST(PART_B)_"/>
      <sheetName val="F6-Gnrl_Abstrt"/>
      <sheetName val="Data_F8_BTR"/>
      <sheetName val="sub-data_-no_full"/>
      <sheetName val="Diff_stmnt_(2)"/>
      <sheetName val="Cover-MEstt_1"/>
      <sheetName val="ABST(PART_B)_1"/>
      <sheetName val="F6-Gnrl_Abstrt1"/>
      <sheetName val="Data_F8_BTR1"/>
      <sheetName val="sub-data_-no_full1"/>
      <sheetName val="Diff_stmnt_(2)1"/>
      <sheetName val="lead-st"/>
      <sheetName val="RAFT"/>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m"/>
      <sheetName val="Nspt-smp-final-ORIGINAL"/>
      <sheetName val="r"/>
      <sheetName val="MTC-estimate"/>
      <sheetName val="v"/>
      <sheetName val="t_prsr"/>
      <sheetName val="wh"/>
      <sheetName val="Lead statement ss5"/>
      <sheetName val="Road Detail Est."/>
      <sheetName val="Sheet5"/>
      <sheetName val="mlead"/>
      <sheetName val="Activity No (A) ( 12)  "/>
      <sheetName val="Data base"/>
      <sheetName val="Data base Feb 09"/>
      <sheetName val="Leve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3">
          <cell r="D3">
            <v>156</v>
          </cell>
        </row>
        <row r="18">
          <cell r="D18">
            <v>137</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8">
          <cell r="D18">
            <v>137</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XXXXXXX"/>
      <sheetName val="cover-page"/>
      <sheetName val="insp-report-SE"/>
      <sheetName val="insp-report"/>
      <sheetName val="spe-report"/>
      <sheetName val="GEN-ABST"/>
      <sheetName val="cd-abst"/>
      <sheetName val="sch-B"/>
      <sheetName val="DE"/>
      <sheetName val="CR"/>
      <sheetName val="cc-150m"/>
      <sheetName val="traffic"/>
      <sheetName val="cc-50"/>
      <sheetName val="WC-40M"/>
      <sheetName val="WC-50m "/>
      <sheetName val="4-900mm"/>
      <sheetName val="3-900mm"/>
      <sheetName val="3-600mm"/>
      <sheetName val="2-600mm"/>
      <sheetName val="1-900mm"/>
      <sheetName val="50m-RD"/>
      <sheetName val="data-WC"/>
      <sheetName val="data-600-900"/>
      <sheetName val="Labour"/>
      <sheetName val="r"/>
      <sheetName val="DATA"/>
      <sheetName val="v"/>
      <sheetName val="Material"/>
      <sheetName val="Le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ABS-MODELS"/>
      <sheetName val="Data-Road "/>
      <sheetName val="LEAD"/>
      <sheetName val="Hire"/>
      <sheetName val="WMM_BT"/>
      <sheetName val="BT_Patch_works_SDBC_RC"/>
      <sheetName val="BT_Patch_works_MSS-25_RC"/>
      <sheetName val="BT_Patch_works_MSS-20_RC"/>
      <sheetName val="BT_Patch_works_BT_RC"/>
      <sheetName val="WBM_Patch_with_GRAVEL-BLINDAGE"/>
      <sheetName val="GRAVEL-BLINDAGE_WBM_Surface"/>
      <sheetName val="GSB-3Layrers"/>
      <sheetName val="GSB-2Layrers"/>
      <sheetName val="GSB-1Layer"/>
      <sheetName val="Sheet4"/>
      <sheetName val="Data-Road  (2)"/>
      <sheetName val="Mtc-data"/>
      <sheetName val="DATA-CD"/>
      <sheetName val="Road-furniture"/>
      <sheetName val="CD Abs"/>
      <sheetName val="Cd-qty-ws"/>
      <sheetName val="Gen Abs"/>
      <sheetName val="Det estt_Road"/>
      <sheetName val="Schedule-A"/>
      <sheetName val="ws"/>
      <sheetName val="NF"/>
      <sheetName val="MTC-ABS"/>
      <sheetName val="MTC-estimate"/>
      <sheetName val="Road Furniture-Data"/>
      <sheetName val="MTC-Table"/>
      <sheetName val="other rates"/>
      <sheetName val="Conv"/>
      <sheetName val="NP3 pipes"/>
      <sheetName val="NP3 collars"/>
      <sheetName val="maya"/>
      <sheetName val="data-WC"/>
    </sheetNames>
    <sheetDataSet>
      <sheetData sheetId="0" refreshError="1"/>
      <sheetData sheetId="1" refreshError="1"/>
      <sheetData sheetId="2" refreshError="1"/>
      <sheetData sheetId="3" refreshError="1"/>
      <sheetData sheetId="4" refreshError="1">
        <row r="47">
          <cell r="K47">
            <v>0.125</v>
          </cell>
        </row>
      </sheetData>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XXXXXXXXXXXXX"/>
      <sheetName val="XXXXXXXXXXXX0"/>
      <sheetName val="CBR  certificate (2)"/>
      <sheetName val="input=pave=design"/>
      <sheetName val="pavement  design"/>
      <sheetName val="Lead"/>
      <sheetName val="LUKUP=TABLE=LEADS"/>
      <sheetName val="DATA==DUMMY"/>
      <sheetName val="Data"/>
      <sheetName val="est (2)"/>
      <sheetName val="Ins.rep"/>
      <sheetName val="BT"/>
      <sheetName val="HDPE"/>
      <sheetName val="hdpe_basic"/>
      <sheetName val="DI"/>
      <sheetName val="pvc"/>
      <sheetName val="pvc_basic"/>
      <sheetName val="v"/>
      <sheetName val="Labour"/>
      <sheetName val="Plant &amp;  Machinery"/>
      <sheetName val="Summary"/>
      <sheetName val="data-WC"/>
      <sheetName val="WT AVG LEAD"/>
      <sheetName val="r"/>
      <sheetName val="Specification"/>
      <sheetName val="quarry"/>
      <sheetName val="DATA-BASE"/>
      <sheetName val="DATA-ABSTRACT"/>
      <sheetName val="C-data"/>
      <sheetName val="Material"/>
      <sheetName val="General"/>
      <sheetName val="maya"/>
      <sheetName val="detls"/>
      <sheetName val="Levels"/>
      <sheetName val="GA"/>
      <sheetName val="SSR 2014-15 Rates"/>
      <sheetName val="bundqty"/>
      <sheetName val="ESTIMATE"/>
      <sheetName val="Data_Base"/>
      <sheetName val="wordsdata"/>
      <sheetName val="RateAnalysis"/>
      <sheetName val="ssr-rates"/>
      <sheetName val="LEAD STATEMENT"/>
      <sheetName val="DATA SHEET"/>
      <sheetName val="Nspt-smp-final-ORIGINAL"/>
      <sheetName val="m"/>
      <sheetName val="WATER-HAMMER"/>
      <sheetName val="temp-SDData (2)"/>
      <sheetName val="JAWAHAR-hyd-original"/>
      <sheetName val="ABSTRACT_FINAL"/>
      <sheetName val="Sheet2"/>
      <sheetName val="Sheet5"/>
      <sheetName val="Ward areas"/>
      <sheetName val="Civil Boq"/>
      <sheetName val="leads"/>
      <sheetName val="Sheet3"/>
      <sheetName val="PVC_dia"/>
      <sheetName val="MRATES"/>
      <sheetName val="Road Detail Est."/>
      <sheetName val="C"/>
      <sheetName val="t_prs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XXXXXXXXXXXXX"/>
      <sheetName val="XXXXXXXXXXXX0"/>
      <sheetName val="CBR  certificate (2)"/>
      <sheetName val="input=pave=design"/>
      <sheetName val="pavement  design"/>
      <sheetName val="Lead"/>
      <sheetName val="LUKUP=TABLE=LEADS"/>
      <sheetName val="DATA==DUMMY"/>
      <sheetName val="Data"/>
      <sheetName val="est (2)"/>
      <sheetName val="Ins.rep"/>
      <sheetName val="BT"/>
      <sheetName val="data-WC"/>
      <sheetName val="Labour"/>
      <sheetName val="MTC-estimate"/>
      <sheetName val="r"/>
      <sheetName val="v"/>
      <sheetName val="Road Detail Est."/>
      <sheetName val="Road data"/>
      <sheetName val="DATA-BASE"/>
      <sheetName val="DATA-ABSTRACT"/>
      <sheetName val="m"/>
      <sheetName val="maya"/>
      <sheetName val="Plant &amp;  Machinery"/>
      <sheetName val="Material"/>
      <sheetName val="rdamdata"/>
      <sheetName val="C-data"/>
      <sheetName val="ONLINE DUMP"/>
      <sheetName val="Levels"/>
      <sheetName val="bundqty"/>
      <sheetName val="leads"/>
      <sheetName val="Part-A"/>
      <sheetName val="pvc_basic"/>
      <sheetName val="wordsdata"/>
      <sheetName val="RateAnalysis"/>
      <sheetName val="HDPE"/>
      <sheetName val="DI"/>
      <sheetName val="pvc"/>
      <sheetName val="RMR"/>
      <sheetName val="Summary"/>
      <sheetName val="Nspt-smp-final-ORIGINAL"/>
      <sheetName val="hdpe_basic"/>
      <sheetName val="Ward areas"/>
      <sheetName val="detls"/>
      <sheetName val="Sheet2"/>
      <sheetName val="PVC_dia"/>
      <sheetName val="WATER-HAMMER"/>
      <sheetName val="ssr-rates"/>
      <sheetName val="GA"/>
      <sheetName val="DATA_PRG"/>
      <sheetName val="POP"/>
      <sheetName val="stone"/>
      <sheetName val="index"/>
      <sheetName val="abs road"/>
      <sheetName val="MRATES"/>
      <sheetName val="pvc-pipe-rates"/>
      <sheetName val="quarry"/>
      <sheetName val="INTIAL_RATES"/>
      <sheetName val="final abstrac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XXXXXXXXXXXXX"/>
      <sheetName val="XXXXXXXXXXXX0"/>
      <sheetName val="CBR  certificate"/>
      <sheetName val="input=pave=design"/>
      <sheetName val="pavement  design"/>
      <sheetName val="LUKUP=TABLE=LEADS (2)"/>
      <sheetName val="Lead"/>
      <sheetName val="data=dummy"/>
      <sheetName val="Data"/>
      <sheetName val="est"/>
      <sheetName val="BT"/>
      <sheetName val="Ins.rep"/>
      <sheetName val="r"/>
      <sheetName val="v"/>
      <sheetName val="Plant &amp;  Machinery"/>
      <sheetName val="data-WC"/>
      <sheetName val="C-data"/>
      <sheetName val="pvc_basic"/>
      <sheetName val="Labour"/>
      <sheetName val="Civil Boq"/>
      <sheetName val="Summary"/>
      <sheetName val="Data_Base"/>
      <sheetName val="maya"/>
      <sheetName val="HDPE"/>
      <sheetName val="DI"/>
      <sheetName val="pvc"/>
      <sheetName val="Material"/>
      <sheetName val="wordsdata"/>
      <sheetName val="m"/>
      <sheetName val="detls"/>
      <sheetName val="PVC_dia"/>
      <sheetName val="Sheet2"/>
      <sheetName val="Ward areas"/>
      <sheetName val="MRATES"/>
      <sheetName val="wh"/>
      <sheetName val="sectorwise"/>
      <sheetName val="leads"/>
      <sheetName val="RateAnalysis"/>
      <sheetName val="quarry"/>
      <sheetName val="lead-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6x4"/>
      <sheetName val="data"/>
      <sheetName val="Lead"/>
      <sheetName val="00000"/>
      <sheetName val="AAAAAAAAAAAAA"/>
      <sheetName val="ew OG"/>
      <sheetName val="ew-DiMs"/>
      <sheetName val="ssr-rates"/>
      <sheetName val="PVC"/>
      <sheetName val="HDPE"/>
      <sheetName val="BWSCP"/>
      <sheetName val="GRP"/>
      <sheetName val="DI"/>
      <sheetName val="PSC"/>
      <sheetName val="AC"/>
      <sheetName val="CI"/>
      <sheetName val="MS8mm-revised"/>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Sheet1"/>
      <sheetName val="PVC weights"/>
      <sheetName val="leads"/>
      <sheetName val="Labour"/>
      <sheetName val="r"/>
      <sheetName val="Specification"/>
      <sheetName val="sand"/>
      <sheetName val="stone"/>
      <sheetName val="l"/>
      <sheetName val="v"/>
      <sheetName val="hdpe_basic"/>
      <sheetName val="pvc_basic"/>
      <sheetName val="data-WC"/>
      <sheetName val="maya"/>
      <sheetName val="Sheet2"/>
      <sheetName val="index"/>
      <sheetName val="Plant &amp;  Machinery"/>
      <sheetName val="m"/>
      <sheetName val="WATER-HAMMER"/>
      <sheetName val="Leads Entry"/>
      <sheetName val="Summary"/>
      <sheetName val="Road Detail Est."/>
      <sheetName val="Material"/>
      <sheetName val="rdamdata"/>
      <sheetName val="Suppl-data"/>
      <sheetName val="Main sheet"/>
      <sheetName val="SSR 2014-15 Rates"/>
      <sheetName val="data existing_do not delete"/>
      <sheetName val="Data_Base"/>
      <sheetName val="Levels"/>
      <sheetName val="bundqty"/>
      <sheetName val="ESTIMATE"/>
      <sheetName val="MRATES"/>
      <sheetName val="Road data"/>
      <sheetName val="other rates"/>
      <sheetName val="General"/>
      <sheetName val="RMR"/>
      <sheetName val="Cover"/>
      <sheetName val="C-data"/>
      <sheetName val="final abstract"/>
      <sheetName val="1"/>
      <sheetName val="Boppudi data sheet "/>
      <sheetName val="Data.F8.BTR"/>
      <sheetName val="Data_Renuals"/>
      <sheetName val="detls"/>
      <sheetName val="joinery data"/>
      <sheetName val="Ward areas"/>
      <sheetName val="DATA-ABSTRACT"/>
      <sheetName val="m1"/>
      <sheetName val="bar bending"/>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index"/>
      <sheetName val="0000000000000"/>
      <sheetName val="data"/>
      <sheetName val="DI"/>
      <sheetName val="data-WC"/>
      <sheetName val="r"/>
      <sheetName val="pvc_basic"/>
      <sheetName val="v"/>
      <sheetName val="maya"/>
      <sheetName val="Lead"/>
      <sheetName val="hdpe weights"/>
      <sheetName val="PVC weights"/>
      <sheetName val="detls"/>
      <sheetName val="Suppl-data"/>
      <sheetName val="wh"/>
      <sheetName val="leads"/>
      <sheetName val="Ward areas"/>
      <sheetName val="Zi-co"/>
      <sheetName val="lead-st"/>
      <sheetName val="HDPE"/>
      <sheetName val="PVC"/>
      <sheetName val="BTR (2)"/>
      <sheetName val="RateAnalysis"/>
      <sheetName val="wordsdata"/>
      <sheetName val="m"/>
      <sheetName val="Road Detail Est."/>
      <sheetName val="LEAD STATEMENT"/>
      <sheetName val="DATA SHEET"/>
      <sheetName val="data.f8.btr"/>
      <sheetName val="DATA-BASE"/>
      <sheetName val="DATA-ABSTRACT"/>
      <sheetName val="stone"/>
      <sheetName val="Levels"/>
      <sheetName val="Specification"/>
      <sheetName val="data existing_do not delete"/>
      <sheetName val="WATER-HAMMER"/>
      <sheetName val="rdamdata"/>
      <sheetName val="Arrp data (3)"/>
      <sheetName val="Road data"/>
      <sheetName val="細目"/>
      <sheetName val="Input"/>
      <sheetName val="17.2"/>
      <sheetName val="labour &amp; Hire-20-21"/>
      <sheetName val="Main sheet"/>
      <sheetName val="LEAD S 10-11"/>
      <sheetName val="Boppudi data sheet "/>
      <sheetName val="other rates"/>
      <sheetName val=" data sheet "/>
      <sheetName val="THK"/>
      <sheetName val="bar bending"/>
      <sheetName val="ssr-rates"/>
      <sheetName val="Data_Base"/>
      <sheetName val="Cover"/>
      <sheetName val="t_prsr"/>
      <sheetName val="Leads Entry"/>
      <sheetName val="PM"/>
      <sheetName val="Data_Renuals"/>
      <sheetName val="Sheet5"/>
      <sheetName val="RMR"/>
      <sheetName val="Lead-11-12"/>
      <sheetName val="Civil Boq"/>
      <sheetName val="Nspt-smp-final-ORIGINAL"/>
      <sheetName val="MRATES"/>
      <sheetName val="PLAN_FEB97"/>
      <sheetName val="mlead"/>
      <sheetName val="Cd"/>
      <sheetName val="Cs"/>
      <sheetName val="CPIPE"/>
      <sheetName val="CPIPE 1"/>
      <sheetName val="Iocount"/>
      <sheetName val="C-data"/>
      <sheetName val="Fin Sum"/>
      <sheetName val="Backup PRW - VIIA"/>
      <sheetName val="PROG_DATA"/>
      <sheetName val="m1"/>
      <sheetName val="Det. Secty bld"/>
      <sheetName val="abs road"/>
      <sheetName val="ew OG"/>
      <sheetName val="Revised rates(SSR 2017-18)"/>
      <sheetName val="SS TANK(HOMO)"/>
      <sheetName val="hdpe_basic"/>
      <sheetName val="wh_data_R"/>
    </sheetNames>
    <sheetDataSet>
      <sheetData sheetId="0" refreshError="1"/>
      <sheetData sheetId="1" refreshError="1"/>
      <sheetData sheetId="2" refreshError="1"/>
      <sheetData sheetId="3" refreshError="1"/>
      <sheetData sheetId="4" refreshError="1">
        <row r="3">
          <cell r="D3">
            <v>93.6</v>
          </cell>
        </row>
        <row r="69">
          <cell r="D69">
            <v>46.8</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XXXXXXXXXXXXX"/>
      <sheetName val="XXXXXXXXXXXX0"/>
      <sheetName val="connect status"/>
      <sheetName val="Census"/>
      <sheetName val="3 day"/>
      <sheetName val="Hydraulic(3.00) 1vent (2)"/>
      <sheetName val="COVER"/>
      <sheetName val="ave lead (calculation))"/>
      <sheetName val="3m-S1"/>
      <sheetName val="2m-S1"/>
      <sheetName val="Spec Report "/>
      <sheetName val="CBR Cert"/>
      <sheetName val="Inspect Report EE"/>
      <sheetName val="traffic"/>
      <sheetName val="design1"/>
      <sheetName val="design1 (2)"/>
      <sheetName val="Ls 250"/>
      <sheetName val="Ls 200"/>
      <sheetName val="Lead"/>
      <sheetName val="LS"/>
      <sheetName val="CS"/>
      <sheetName val="CS -color"/>
      <sheetName val="Pro-C"/>
      <sheetName val="CS-color les"/>
      <sheetName val="Quarry"/>
      <sheetName val="CD-PC-Data"/>
      <sheetName val="PC1000"/>
      <sheetName val="CC pave"/>
      <sheetName val="Ave lead"/>
      <sheetName val="Data"/>
      <sheetName val="Gen-abs"/>
      <sheetName val="Prof -C "/>
      <sheetName val="prof-B"/>
      <sheetName val="Hydraulic"/>
      <sheetName val="data(MORD)"/>
      <sheetName val="Esti"/>
      <sheetName val="Esti -part -b"/>
      <sheetName val="Data CD"/>
      <sheetName val="Hydraulic(2.00) 1vent"/>
      <sheetName val="data-WC"/>
      <sheetName val="Material"/>
      <sheetName val="Plant &amp;  Machine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page"/>
      <sheetName val="GEN-ABST"/>
      <sheetName val="ESTT_MOST"/>
      <sheetName val="cd-abst"/>
      <sheetName val="2-600mm"/>
      <sheetName val="1-900mm"/>
      <sheetName val="41M-RD"/>
      <sheetName val="1V 2M RCC"/>
      <sheetName val="sr"/>
      <sheetName val="2V 3M RCC"/>
      <sheetName val="data-600-900"/>
      <sheetName val="Suppl-data"/>
      <sheetName val="CR"/>
      <sheetName val="CR (2)"/>
      <sheetName val="2V 3M RCC-CR"/>
      <sheetName val="Data"/>
      <sheetName val="Material"/>
      <sheetName val="LE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 Doors window-Country Wood  (2"/>
      <sheetName val="Ele data  (2)"/>
      <sheetName val="Spicification Report  (3)"/>
      <sheetName val="Sheet4 (3)"/>
      <sheetName val="Sheet4 (2)"/>
      <sheetName val="Ele data  (3)"/>
      <sheetName val="Input Sheet"/>
      <sheetName val="Cover1"/>
      <sheetName val="Spicification Report "/>
      <sheetName val="SPR1"/>
      <sheetName val=".40 major and minor"/>
      <sheetName val="CC  Form Okay"/>
      <sheetName val="Live stock"/>
      <sheetName val=" Compound wall for Angan BLDG "/>
      <sheetName val="Toilet Block "/>
      <sheetName val="Sheet1"/>
      <sheetName val="Modal Estimate "/>
      <sheetName val=" Ramp"/>
      <sheetName val="Elec Estimate"/>
      <sheetName val="CR Okay"/>
      <sheetName val="Septic tank"/>
      <sheetName val="Bore &amp; Pumpset"/>
      <sheetName val="Furniture "/>
      <sheetName val="20 TNs Detailed Est "/>
      <sheetName val="Bar Bending Schedule"/>
      <sheetName val="Flush Door  Shutter Country"/>
      <sheetName val="Datas  Side wall "/>
      <sheetName val="Veternory  Desponsory  BLDG"/>
      <sheetName val=" Compound wall Desponsory "/>
      <sheetName val="Modal estimate Rural Live stock"/>
      <sheetName val="Calculations"/>
      <sheetName val="Sheet2"/>
      <sheetName val="Community Hall "/>
      <sheetName val="Sheet5"/>
      <sheetName val="CW data"/>
      <sheetName val="Building-Estimate-SBR"/>
      <sheetName val="Sub Est-Toilet"/>
      <sheetName val="Sub Est_Elec"/>
      <sheetName val="Lead"/>
      <sheetName val="Datas"/>
      <sheetName val="Ele data "/>
      <sheetName val="Sanitary&amp;water supply DATA "/>
      <sheetName val=" Doors window-Country Wood "/>
      <sheetName val="Modal Anganwadi Building "/>
      <sheetName val=" Doors window- Country  -2.0 m"/>
      <sheetName val=" Doors window- Country 2.0- 1.2"/>
      <sheetName val="s Doors window-Country Wood (2)"/>
      <sheetName val="s Doors window-Country Wood  (2"/>
      <sheetName val=" Doors and windows "/>
      <sheetName val="Conveyance"/>
    </sheetNames>
    <sheetDataSet>
      <sheetData sheetId="0"/>
      <sheetData sheetId="1"/>
      <sheetData sheetId="2"/>
      <sheetData sheetId="3"/>
      <sheetData sheetId="4"/>
      <sheetData sheetId="5"/>
      <sheetData sheetId="6">
        <row r="2">
          <cell r="C2" t="str">
            <v>Construction of Anganwadi Building Centre at Marchal village of Kalwakurthy Mandal in Nagarkurnool District</v>
          </cell>
        </row>
        <row r="7">
          <cell r="C7" t="str">
            <v>MPP Kalwakurthy</v>
          </cell>
        </row>
        <row r="8">
          <cell r="C8" t="str">
            <v>PR SD : Kalwakurthy</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ow r="299">
          <cell r="N299">
            <v>152657</v>
          </cell>
        </row>
      </sheetData>
      <sheetData sheetId="37">
        <row r="55">
          <cell r="N55">
            <v>28216</v>
          </cell>
        </row>
      </sheetData>
      <sheetData sheetId="38">
        <row r="2">
          <cell r="A2" t="str">
            <v>Construction of Anganwadi Building Centre at Marchal village of Kalwakurthy Mandal in Nagarkurnool District</v>
          </cell>
        </row>
        <row r="10">
          <cell r="R10">
            <v>60000</v>
          </cell>
        </row>
        <row r="30">
          <cell r="Q30">
            <v>0</v>
          </cell>
        </row>
        <row r="31">
          <cell r="Q31">
            <v>0</v>
          </cell>
        </row>
        <row r="42">
          <cell r="B42" t="str">
            <v>Asst.Executive  Engineer</v>
          </cell>
          <cell r="H42" t="str">
            <v>Dy.Executive.Engineer</v>
          </cell>
        </row>
      </sheetData>
      <sheetData sheetId="39">
        <row r="84">
          <cell r="G84">
            <v>170.03</v>
          </cell>
        </row>
        <row r="156">
          <cell r="C156" t="str">
            <v xml:space="preserve">Plain Cement concrete (1:4:8) using 40 mm metal with concrete mixture.           All work upto plinth level. nominal mix (cement: fine aggregate: Coarse aggregate) using 40mm size HBG  (SS5) metal from approved quarry including cost and conveyance of all materials like cement,  50% sand+50% Rock Sand  coarse aggregate, water etc. to site, including seigniorage charges, Countryes &amp; other taxes on all materials, all operational, incidental,  and labor charges such as mixing, laying and ramming concrete in layers in position not exceeding 15cm, finishing top surface, curing concrete,  etc., complete for finished item of work for Foundations and Flooring Bed (APSS No. 402) </v>
          </cell>
        </row>
        <row r="283">
          <cell r="G283">
            <v>853.34</v>
          </cell>
        </row>
        <row r="544">
          <cell r="C544" t="str">
            <v>Providing High Yield Strength Deformed (HYSD)/ Thermo Mechanically Treated (TMT) / Mild steel (MS) steel bars (Fe 415/ Fe 500 grade as per IS 1786-1979) of different diameters for RCC works , including labour charges for straightening, cutting, bending to required sizes and shapes, placing in position with cover blocks of approved materials and size and tying and lap-splicing with binding wire of 18 SWG, forming grills for reinforcement work as per approved designs and drawings, including cost and conveyance of steel bars, including all wastages such as overlaps, couplings, chairs, spacer bars including cost and conveyance of binding wire, cover blocks and all incidental, operational, labour charges such as cutting, bending, placing in position, tying including sales and other taxes on all materials etc., complete for finished item of work in all floors.( APSS No.126)</v>
          </cell>
        </row>
        <row r="555">
          <cell r="G555">
            <v>89162</v>
          </cell>
        </row>
        <row r="556">
          <cell r="C556" t="str">
            <v>Brick Masonry in CM (1:6) with 2nd class Bricks traditional size 23 x 11 x 7 cms</v>
          </cell>
        </row>
        <row r="625">
          <cell r="E625">
            <v>1396.87</v>
          </cell>
        </row>
        <row r="652">
          <cell r="E652">
            <v>4029.98</v>
          </cell>
        </row>
        <row r="677">
          <cell r="E677">
            <v>4152.1900000000005</v>
          </cell>
        </row>
        <row r="722">
          <cell r="E722">
            <v>7373.25</v>
          </cell>
        </row>
        <row r="780">
          <cell r="C780" t="str">
            <v>Providing skirting to internal walls to 15 cm height/risers of steps with 25 mm thick polished shabad  stone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Cuddapah stone, cement, sand and water etc., complete including seigniorage charges, etc., complete for finished item of work, but excluding the cost of conveyance of all materials</v>
          </cell>
        </row>
        <row r="798">
          <cell r="G798">
            <v>8076.4499999999989</v>
          </cell>
        </row>
        <row r="842">
          <cell r="G842">
            <v>606.52</v>
          </cell>
        </row>
        <row r="887">
          <cell r="G887">
            <v>1244.8</v>
          </cell>
        </row>
        <row r="943">
          <cell r="G943">
            <v>1947.2</v>
          </cell>
        </row>
      </sheetData>
      <sheetData sheetId="40">
        <row r="74">
          <cell r="H74">
            <v>93.3</v>
          </cell>
        </row>
      </sheetData>
      <sheetData sheetId="41"/>
      <sheetData sheetId="42"/>
      <sheetData sheetId="43"/>
      <sheetData sheetId="44"/>
      <sheetData sheetId="45"/>
      <sheetData sheetId="46"/>
      <sheetData sheetId="47"/>
      <sheetData sheetId="48"/>
      <sheetData sheetId="49"/>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
      <sheetName val="Cover"/>
      <sheetName val="SPC1"/>
      <sheetName val="Estimate (2)"/>
      <sheetName val="Estimate-AW (2)_Lax ramp"/>
      <sheetName val="Estimate-AW-Final Ramp Brick"/>
      <sheetName val="Estimate-AW-Final"/>
      <sheetName val="Toilet Block"/>
      <sheetName val="Electrical"/>
      <sheetName val="Lead"/>
      <sheetName val="Datas"/>
      <sheetName val="Sub-Estimate-Bore drilling"/>
      <sheetName val="Sub-Estimate-Compoundwall"/>
      <sheetName val=" Doors window- Sal"/>
      <sheetName val="Ele data "/>
      <sheetName val="Sanitary&amp;water supply DATA"/>
      <sheetName val="Doors windows-Sal_own"/>
      <sheetName val=" Doors windows Sal wood "/>
      <sheetName val="Sanitary&amp;water supply DATA _own"/>
      <sheetName val=" Doors and windows "/>
      <sheetName val="Conveyance"/>
    </sheetNames>
    <sheetDataSet>
      <sheetData sheetId="0"/>
      <sheetData sheetId="1"/>
      <sheetData sheetId="2"/>
      <sheetData sheetId="3"/>
      <sheetData sheetId="4"/>
      <sheetData sheetId="5"/>
      <sheetData sheetId="6"/>
      <sheetData sheetId="7">
        <row r="274">
          <cell r="L274">
            <v>0</v>
          </cell>
        </row>
      </sheetData>
      <sheetData sheetId="8">
        <row r="55">
          <cell r="L55">
            <v>0</v>
          </cell>
          <cell r="N55">
            <v>3701</v>
          </cell>
        </row>
      </sheetData>
      <sheetData sheetId="9">
        <row r="40">
          <cell r="B40" t="str">
            <v>Asst.Engineer</v>
          </cell>
        </row>
      </sheetData>
      <sheetData sheetId="10">
        <row r="21">
          <cell r="H21">
            <v>23.54</v>
          </cell>
        </row>
        <row r="23">
          <cell r="H23">
            <v>639.48</v>
          </cell>
        </row>
        <row r="116">
          <cell r="G116">
            <v>3704.87</v>
          </cell>
        </row>
        <row r="179">
          <cell r="G179">
            <v>2949.48</v>
          </cell>
        </row>
      </sheetData>
      <sheetData sheetId="11"/>
      <sheetData sheetId="12"/>
      <sheetData sheetId="13"/>
      <sheetData sheetId="14">
        <row r="195">
          <cell r="H195">
            <v>88.5</v>
          </cell>
        </row>
      </sheetData>
      <sheetData sheetId="15">
        <row r="41">
          <cell r="G41">
            <v>568</v>
          </cell>
        </row>
      </sheetData>
      <sheetData sheetId="16"/>
      <sheetData sheetId="17"/>
      <sheetData sheetId="18"/>
      <sheetData sheetId="19"/>
      <sheetData sheetId="2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60"/>
  <sheetViews>
    <sheetView zoomScale="142" zoomScaleNormal="142" workbookViewId="0">
      <selection activeCell="A22" sqref="A22"/>
    </sheetView>
  </sheetViews>
  <sheetFormatPr defaultColWidth="10.109375" defaultRowHeight="13.8"/>
  <cols>
    <col min="1" max="1" width="5.88671875" style="1139" customWidth="1"/>
    <col min="2" max="2" width="30.6640625" style="1139" customWidth="1"/>
    <col min="3" max="3" width="24.44140625" style="1152" customWidth="1"/>
    <col min="4" max="4" width="27.88671875" style="1139" customWidth="1"/>
    <col min="5" max="5" width="19.5546875" style="1152" customWidth="1"/>
    <col min="6" max="6" width="15.5546875" style="1152" customWidth="1"/>
    <col min="7" max="7" width="4.88671875" style="1139" customWidth="1"/>
    <col min="8" max="256" width="10.109375" style="1139"/>
  </cols>
  <sheetData>
    <row r="1" spans="1:13" ht="30.75" customHeight="1">
      <c r="A1" s="1155" t="s">
        <v>986</v>
      </c>
      <c r="B1" s="1137"/>
      <c r="C1" s="1137"/>
      <c r="D1" s="1137"/>
      <c r="E1" s="1137"/>
      <c r="F1" s="1137"/>
      <c r="G1" s="1138"/>
    </row>
    <row r="2" spans="1:13" ht="59.25" customHeight="1">
      <c r="B2" s="1140" t="str">
        <f>CONCATENATE(" Accompanying the Detailed Estimate for the work ",'Lead- Input sheet '!A2," PIU Rangareddy DIST ")</f>
        <v xml:space="preserve"> Accompanying the Detailed Estimate for the work  Construction of  Anganwadi Building at Jeedipally Thanda (V) of Kalwakurthy (M) of Nagarkurnool District  PIU Rangareddy DIST </v>
      </c>
      <c r="C2" s="1140"/>
      <c r="D2" s="1140"/>
      <c r="E2" s="1140"/>
      <c r="F2" s="1140"/>
      <c r="G2" s="1141"/>
    </row>
    <row r="3" spans="1:13" s="1142" customFormat="1" ht="14.1">
      <c r="A3" s="1156"/>
      <c r="B3" s="1157"/>
      <c r="E3" s="1153" t="s">
        <v>497</v>
      </c>
      <c r="F3" s="1158">
        <v>24250000</v>
      </c>
      <c r="G3" s="1139"/>
    </row>
    <row r="4" spans="1:13" s="1142" customFormat="1" ht="74.25" customHeight="1">
      <c r="B4" s="2395" t="s">
        <v>2367</v>
      </c>
      <c r="C4" s="2395"/>
      <c r="D4" s="2395"/>
      <c r="E4" s="2395"/>
      <c r="F4" s="2395"/>
    </row>
    <row r="5" spans="1:13" s="1142" customFormat="1">
      <c r="B5" s="1159" t="s">
        <v>2200</v>
      </c>
      <c r="C5" s="1159" t="s">
        <v>2201</v>
      </c>
      <c r="D5" s="1159" t="s">
        <v>2202</v>
      </c>
      <c r="E5" s="2395" t="s">
        <v>2203</v>
      </c>
      <c r="F5" s="2395"/>
    </row>
    <row r="6" spans="1:13" s="1142" customFormat="1">
      <c r="B6" s="1159" t="s">
        <v>2207</v>
      </c>
      <c r="C6" s="1159" t="s">
        <v>2204</v>
      </c>
      <c r="D6" s="1159" t="s">
        <v>221</v>
      </c>
      <c r="E6" s="2395" t="s">
        <v>2205</v>
      </c>
      <c r="F6" s="2395"/>
    </row>
    <row r="7" spans="1:13" s="1142" customFormat="1">
      <c r="B7" s="1159" t="s">
        <v>2309</v>
      </c>
      <c r="C7" s="1159" t="s">
        <v>2310</v>
      </c>
      <c r="D7" s="1159" t="s">
        <v>2206</v>
      </c>
      <c r="E7" s="1160" t="s">
        <v>2205</v>
      </c>
      <c r="F7" s="1159"/>
    </row>
    <row r="8" spans="1:13" s="1142" customFormat="1">
      <c r="B8" s="1159"/>
      <c r="C8" s="1159"/>
      <c r="D8" s="1159"/>
      <c r="E8" s="1160"/>
      <c r="F8" s="1159"/>
    </row>
    <row r="9" spans="1:13" s="1142" customFormat="1" ht="28.5" customHeight="1">
      <c r="B9" s="1191" t="s">
        <v>2368</v>
      </c>
      <c r="C9" s="1191" t="s">
        <v>2402</v>
      </c>
      <c r="D9" s="1192" t="s">
        <v>2370</v>
      </c>
      <c r="E9" s="2402" t="s">
        <v>2372</v>
      </c>
      <c r="F9" s="2402"/>
    </row>
    <row r="10" spans="1:13" s="1142" customFormat="1" ht="14.1">
      <c r="B10" s="1157"/>
      <c r="C10" s="1157"/>
      <c r="D10" s="1159"/>
      <c r="E10" s="1159"/>
      <c r="F10" s="1159"/>
    </row>
    <row r="11" spans="1:13" s="1142" customFormat="1" ht="14.1">
      <c r="A11" s="1143"/>
      <c r="B11" s="1161" t="s">
        <v>2208</v>
      </c>
      <c r="C11" s="1162"/>
      <c r="D11" s="1161"/>
      <c r="E11" s="1161"/>
      <c r="F11" s="1161"/>
      <c r="H11" s="2399"/>
      <c r="I11" s="2399"/>
      <c r="J11" s="2399"/>
      <c r="K11" s="2399"/>
      <c r="L11" s="2399"/>
      <c r="M11" s="2399"/>
    </row>
    <row r="12" spans="1:13" s="1142" customFormat="1" ht="14.1">
      <c r="A12" s="1143"/>
      <c r="B12" s="1161"/>
      <c r="C12" s="1162"/>
      <c r="D12" s="1161"/>
      <c r="E12" s="1161"/>
      <c r="F12" s="1161"/>
      <c r="H12" s="1187"/>
      <c r="I12" s="1187"/>
      <c r="J12" s="1187"/>
      <c r="K12" s="1187"/>
      <c r="L12" s="1187"/>
      <c r="M12" s="1187"/>
    </row>
    <row r="13" spans="1:13" s="1146" customFormat="1" ht="67.5" customHeight="1">
      <c r="A13" s="1144">
        <v>1</v>
      </c>
      <c r="B13" s="2395" t="s">
        <v>2057</v>
      </c>
      <c r="C13" s="2395"/>
      <c r="D13" s="2395"/>
      <c r="E13" s="2395"/>
      <c r="F13" s="2395"/>
      <c r="G13" s="1145"/>
    </row>
    <row r="14" spans="1:13" s="1146" customFormat="1" ht="87" customHeight="1">
      <c r="A14" s="1144">
        <f>A13+1</f>
        <v>2</v>
      </c>
      <c r="B14" s="2398" t="s">
        <v>2371</v>
      </c>
      <c r="C14" s="2398"/>
      <c r="D14" s="2398"/>
      <c r="E14" s="2398"/>
      <c r="F14" s="2398"/>
      <c r="G14" s="1144"/>
    </row>
    <row r="15" spans="1:13" s="1146" customFormat="1" ht="77.25" customHeight="1">
      <c r="A15" s="1144">
        <f t="shared" ref="A15:A39" si="0">A14+1</f>
        <v>3</v>
      </c>
      <c r="B15" s="2398" t="s">
        <v>2312</v>
      </c>
      <c r="C15" s="2398"/>
      <c r="D15" s="2398"/>
      <c r="E15" s="2398"/>
      <c r="F15" s="2398"/>
      <c r="G15" s="1144"/>
    </row>
    <row r="16" spans="1:13" s="1146" customFormat="1" ht="60.75" customHeight="1">
      <c r="A16" s="1144">
        <f t="shared" si="0"/>
        <v>4</v>
      </c>
      <c r="B16" s="2398" t="s">
        <v>2313</v>
      </c>
      <c r="C16" s="2398"/>
      <c r="D16" s="2398"/>
      <c r="E16" s="2398"/>
      <c r="F16" s="2398"/>
      <c r="G16" s="1145"/>
    </row>
    <row r="17" spans="1:7" s="1055" customFormat="1" ht="72.75" customHeight="1">
      <c r="A17" s="1144">
        <f t="shared" si="0"/>
        <v>5</v>
      </c>
      <c r="B17" s="2396" t="s">
        <v>2314</v>
      </c>
      <c r="C17" s="2397"/>
      <c r="D17" s="2397"/>
      <c r="E17" s="2397"/>
      <c r="F17" s="2397"/>
      <c r="G17" s="1145"/>
    </row>
    <row r="18" spans="1:7" s="1055" customFormat="1" ht="96.75" customHeight="1">
      <c r="A18" s="1144">
        <f t="shared" si="0"/>
        <v>6</v>
      </c>
      <c r="B18" s="2396" t="s">
        <v>2315</v>
      </c>
      <c r="C18" s="2397"/>
      <c r="D18" s="2397"/>
      <c r="E18" s="2397"/>
      <c r="F18" s="2397"/>
      <c r="G18" s="1145"/>
    </row>
    <row r="19" spans="1:7" s="1055" customFormat="1" ht="69" customHeight="1">
      <c r="A19" s="1144">
        <f t="shared" si="0"/>
        <v>7</v>
      </c>
      <c r="B19" s="2396" t="s">
        <v>2316</v>
      </c>
      <c r="C19" s="2397"/>
      <c r="D19" s="2397"/>
      <c r="E19" s="2397"/>
      <c r="F19" s="2397"/>
      <c r="G19" s="1145"/>
    </row>
    <row r="20" spans="1:7" s="1055" customFormat="1" ht="65.25" customHeight="1">
      <c r="A20" s="1144">
        <f t="shared" si="0"/>
        <v>8</v>
      </c>
      <c r="B20" s="2395" t="s">
        <v>2317</v>
      </c>
      <c r="C20" s="2395"/>
      <c r="D20" s="2395"/>
      <c r="E20" s="2395"/>
      <c r="F20" s="2395"/>
      <c r="G20" s="1145"/>
    </row>
    <row r="21" spans="1:7" s="1055" customFormat="1" ht="97.5" customHeight="1">
      <c r="A21" s="1144">
        <f t="shared" si="0"/>
        <v>9</v>
      </c>
      <c r="B21" s="2395" t="s">
        <v>144</v>
      </c>
      <c r="C21" s="2395"/>
      <c r="D21" s="2395"/>
      <c r="E21" s="2395"/>
      <c r="F21" s="2395"/>
      <c r="G21" s="1147"/>
    </row>
    <row r="22" spans="1:7" s="1055" customFormat="1" ht="86.25" customHeight="1">
      <c r="A22" s="1144">
        <f t="shared" si="0"/>
        <v>10</v>
      </c>
      <c r="B22" s="2395" t="s">
        <v>634</v>
      </c>
      <c r="C22" s="2395"/>
      <c r="D22" s="2395"/>
      <c r="E22" s="2395"/>
      <c r="F22" s="2395"/>
      <c r="G22" s="1147"/>
    </row>
    <row r="23" spans="1:7" s="1055" customFormat="1" ht="76.5" customHeight="1">
      <c r="A23" s="1144">
        <f t="shared" si="0"/>
        <v>11</v>
      </c>
      <c r="B23" s="2398" t="s">
        <v>1376</v>
      </c>
      <c r="C23" s="2398"/>
      <c r="D23" s="2398"/>
      <c r="E23" s="2398"/>
      <c r="F23" s="2398"/>
      <c r="G23" s="1147"/>
    </row>
    <row r="24" spans="1:7" s="1055" customFormat="1">
      <c r="A24" s="1144"/>
      <c r="B24" s="2398"/>
      <c r="C24" s="2398"/>
      <c r="D24" s="2398"/>
      <c r="E24" s="2398"/>
      <c r="F24" s="2398"/>
      <c r="G24" s="1147"/>
    </row>
    <row r="25" spans="1:7" s="1055" customFormat="1" ht="38.25" customHeight="1">
      <c r="A25" s="1144">
        <v>12</v>
      </c>
      <c r="B25" s="2398" t="s">
        <v>2251</v>
      </c>
      <c r="C25" s="2398"/>
      <c r="D25" s="2398"/>
      <c r="E25" s="2398"/>
      <c r="F25" s="2398"/>
      <c r="G25" s="1147"/>
    </row>
    <row r="26" spans="1:7" s="1055" customFormat="1" ht="62.25" customHeight="1">
      <c r="A26" s="1144">
        <f t="shared" si="0"/>
        <v>13</v>
      </c>
      <c r="B26" s="2398" t="s">
        <v>2252</v>
      </c>
      <c r="C26" s="2398"/>
      <c r="D26" s="2398"/>
      <c r="E26" s="2398"/>
      <c r="F26" s="2398"/>
      <c r="G26" s="1147"/>
    </row>
    <row r="27" spans="1:7" s="1055" customFormat="1" ht="76.5" customHeight="1">
      <c r="A27" s="1144">
        <f t="shared" si="0"/>
        <v>14</v>
      </c>
      <c r="B27" s="2398" t="s">
        <v>2253</v>
      </c>
      <c r="C27" s="2398"/>
      <c r="D27" s="2398"/>
      <c r="E27" s="2398"/>
      <c r="F27" s="2398"/>
      <c r="G27" s="1147"/>
    </row>
    <row r="28" spans="1:7" s="1055" customFormat="1" ht="76.5" customHeight="1">
      <c r="A28" s="1144">
        <f t="shared" si="0"/>
        <v>15</v>
      </c>
      <c r="B28" s="2398" t="s">
        <v>2197</v>
      </c>
      <c r="C28" s="2398"/>
      <c r="D28" s="2398"/>
      <c r="E28" s="2398"/>
      <c r="F28" s="2398"/>
      <c r="G28" s="1147"/>
    </row>
    <row r="29" spans="1:7" s="1055" customFormat="1" ht="94.5" customHeight="1">
      <c r="A29" s="1144">
        <f t="shared" si="0"/>
        <v>16</v>
      </c>
      <c r="B29" s="2395" t="s">
        <v>2234</v>
      </c>
      <c r="C29" s="2395"/>
      <c r="D29" s="2395"/>
      <c r="E29" s="2395"/>
      <c r="F29" s="2395"/>
      <c r="G29" s="1147"/>
    </row>
    <row r="30" spans="1:7" s="1055" customFormat="1" ht="39.75" customHeight="1">
      <c r="A30" s="1144">
        <f t="shared" si="0"/>
        <v>17</v>
      </c>
      <c r="B30" s="1163" t="s">
        <v>2249</v>
      </c>
      <c r="C30" s="1163" t="s">
        <v>2230</v>
      </c>
      <c r="D30" s="1163" t="s">
        <v>2248</v>
      </c>
      <c r="E30" s="1159"/>
      <c r="F30" s="1159"/>
      <c r="G30" s="1147"/>
    </row>
    <row r="31" spans="1:7" s="1055" customFormat="1" ht="153.75" customHeight="1">
      <c r="A31" s="1144">
        <f t="shared" si="0"/>
        <v>18</v>
      </c>
      <c r="B31" s="2395" t="s">
        <v>2246</v>
      </c>
      <c r="C31" s="2395"/>
      <c r="D31" s="2395"/>
      <c r="E31" s="2395"/>
      <c r="F31" s="2395"/>
      <c r="G31" s="1147"/>
    </row>
    <row r="32" spans="1:7" s="1055" customFormat="1" ht="21" customHeight="1">
      <c r="A32" s="1144">
        <f t="shared" si="0"/>
        <v>19</v>
      </c>
      <c r="B32" s="1163" t="s">
        <v>2250</v>
      </c>
      <c r="C32" s="1159"/>
      <c r="D32" s="1159"/>
      <c r="E32" s="1159"/>
      <c r="F32" s="1159"/>
      <c r="G32" s="1147"/>
    </row>
    <row r="33" spans="1:7" ht="23.25" customHeight="1">
      <c r="A33" s="1144">
        <f t="shared" si="0"/>
        <v>20</v>
      </c>
      <c r="B33" s="2400" t="s">
        <v>434</v>
      </c>
      <c r="C33" s="2400"/>
      <c r="D33" s="2400"/>
      <c r="E33" s="2400"/>
      <c r="F33" s="2400"/>
    </row>
    <row r="34" spans="1:7" s="1055" customFormat="1" ht="197.25" customHeight="1">
      <c r="A34" s="1144">
        <f t="shared" si="0"/>
        <v>21</v>
      </c>
      <c r="B34" s="2400" t="s">
        <v>2173</v>
      </c>
      <c r="C34" s="2400"/>
      <c r="D34" s="2400"/>
      <c r="E34" s="2400"/>
      <c r="F34" s="2400"/>
      <c r="G34" s="1147"/>
    </row>
    <row r="35" spans="1:7" ht="95.25" customHeight="1">
      <c r="A35" s="1144">
        <f t="shared" si="0"/>
        <v>22</v>
      </c>
      <c r="B35" s="2400" t="s">
        <v>2198</v>
      </c>
      <c r="C35" s="2400"/>
      <c r="D35" s="2400"/>
      <c r="E35" s="2400"/>
      <c r="F35" s="2400"/>
    </row>
    <row r="36" spans="1:7" ht="101.25" customHeight="1">
      <c r="A36" s="1144">
        <f t="shared" si="0"/>
        <v>23</v>
      </c>
      <c r="B36" s="2400" t="s">
        <v>1340</v>
      </c>
      <c r="C36" s="2400"/>
      <c r="D36" s="2400"/>
      <c r="E36" s="2400"/>
      <c r="F36" s="2400"/>
    </row>
    <row r="37" spans="1:7" s="1055" customFormat="1" ht="67.5" customHeight="1">
      <c r="A37" s="1144">
        <f t="shared" si="0"/>
        <v>24</v>
      </c>
      <c r="B37" s="2400" t="s">
        <v>2180</v>
      </c>
      <c r="C37" s="2400"/>
      <c r="D37" s="2400"/>
      <c r="E37" s="2400"/>
      <c r="F37" s="2400"/>
      <c r="G37" s="1145"/>
    </row>
    <row r="38" spans="1:7" s="1055" customFormat="1" ht="28.5" customHeight="1">
      <c r="A38" s="1144">
        <f t="shared" si="0"/>
        <v>25</v>
      </c>
      <c r="B38" s="2400" t="s">
        <v>2254</v>
      </c>
      <c r="C38" s="2400"/>
      <c r="D38" s="2400"/>
      <c r="E38" s="2400"/>
      <c r="F38" s="2400"/>
      <c r="G38" s="1145"/>
    </row>
    <row r="39" spans="1:7" s="1055" customFormat="1">
      <c r="A39" s="1144">
        <f t="shared" si="0"/>
        <v>26</v>
      </c>
      <c r="B39" s="2400" t="s">
        <v>2255</v>
      </c>
      <c r="C39" s="2400"/>
      <c r="D39" s="2400"/>
      <c r="E39" s="2400"/>
      <c r="F39" s="2400"/>
      <c r="G39" s="1145"/>
    </row>
    <row r="40" spans="1:7" s="1055" customFormat="1" ht="18.75" customHeight="1">
      <c r="A40" s="1144"/>
      <c r="B40" s="2400"/>
      <c r="C40" s="2400"/>
      <c r="D40" s="2400"/>
      <c r="E40" s="2400"/>
      <c r="F40" s="2400"/>
      <c r="G40" s="1145"/>
    </row>
    <row r="41" spans="1:7" s="1055" customFormat="1" ht="39" customHeight="1">
      <c r="A41" s="1148"/>
      <c r="B41" s="2401" t="s">
        <v>2199</v>
      </c>
      <c r="C41" s="2401"/>
      <c r="D41" s="2401"/>
      <c r="E41" s="2401"/>
      <c r="F41" s="2401"/>
      <c r="G41" s="1145"/>
    </row>
    <row r="42" spans="1:7" s="1055" customFormat="1">
      <c r="A42" s="1142"/>
      <c r="B42" s="1142"/>
      <c r="C42" s="1142"/>
      <c r="D42" s="1142"/>
      <c r="E42" s="1142"/>
      <c r="F42" s="1142"/>
      <c r="G42" s="1145"/>
    </row>
    <row r="43" spans="1:7" s="1055" customFormat="1">
      <c r="A43" s="1142"/>
      <c r="B43" s="1142"/>
      <c r="C43" s="1142"/>
      <c r="D43" s="1142"/>
      <c r="E43" s="1142"/>
      <c r="F43" s="1142"/>
      <c r="G43" s="1145"/>
    </row>
    <row r="44" spans="1:7">
      <c r="A44" s="1142"/>
      <c r="B44" s="1142"/>
      <c r="C44" s="1142"/>
      <c r="D44" s="1142"/>
      <c r="E44" s="1142"/>
      <c r="F44" s="1142"/>
    </row>
    <row r="45" spans="1:7" s="1151" customFormat="1" ht="15" customHeight="1">
      <c r="A45" s="1149"/>
      <c r="B45" s="1150" t="str">
        <f>'Lead- Input sheet '!B44</f>
        <v xml:space="preserve">  Assistant Exc.Engineer  </v>
      </c>
      <c r="D45" s="1150" t="str">
        <f>'Lead- Input sheet '!H44</f>
        <v>Deputy Executive Engineer</v>
      </c>
      <c r="E45" s="1150"/>
      <c r="F45" s="1150"/>
    </row>
    <row r="46" spans="1:7" s="1142" customFormat="1" ht="14.1">
      <c r="A46" s="1149"/>
      <c r="B46" s="1150" t="str">
        <f>'Lead- Input sheet '!B45</f>
        <v>PR MPP Kalwakurthy</v>
      </c>
      <c r="D46" s="1150" t="str">
        <f>'Lead- Input sheet '!H45</f>
        <v>PR SD Kalwakurthy</v>
      </c>
      <c r="E46" s="1150"/>
      <c r="F46" s="1150"/>
    </row>
    <row r="47" spans="1:7" s="1142" customFormat="1" ht="14.1">
      <c r="A47" s="1149"/>
      <c r="B47" s="1149"/>
      <c r="C47" s="1150"/>
      <c r="D47" s="1149"/>
      <c r="E47" s="1150"/>
      <c r="F47" s="1150"/>
    </row>
    <row r="48" spans="1:7" s="1142" customFormat="1">
      <c r="A48" s="1139"/>
      <c r="B48" s="1139"/>
      <c r="C48" s="1152"/>
      <c r="D48" s="1139"/>
      <c r="E48" s="1152"/>
      <c r="F48" s="1152"/>
    </row>
    <row r="49" spans="1:10" s="1149" customFormat="1" ht="14.1">
      <c r="A49" s="1139"/>
      <c r="B49" s="1139"/>
      <c r="C49" s="1152"/>
      <c r="D49" s="1139"/>
      <c r="E49" s="1152"/>
      <c r="F49" s="1152"/>
      <c r="G49" s="1150"/>
      <c r="H49" s="1150"/>
      <c r="I49" s="1150"/>
      <c r="J49" s="1150"/>
    </row>
    <row r="50" spans="1:10" s="1149" customFormat="1" ht="14.1">
      <c r="A50" s="1139"/>
      <c r="B50" s="1139"/>
      <c r="C50" s="1152"/>
      <c r="D50" s="1139"/>
      <c r="E50" s="1152"/>
      <c r="F50" s="1152"/>
      <c r="G50" s="1150"/>
      <c r="H50" s="1150"/>
      <c r="I50" s="1150"/>
      <c r="J50" s="1150"/>
    </row>
    <row r="51" spans="1:10" s="1149" customFormat="1" ht="14.1">
      <c r="A51" s="1139"/>
      <c r="B51" s="1139"/>
      <c r="C51" s="1152"/>
      <c r="D51" s="1139"/>
      <c r="E51" s="1152"/>
      <c r="F51" s="1152"/>
      <c r="G51" s="1153"/>
    </row>
    <row r="54" spans="1:10">
      <c r="A54" s="1154"/>
      <c r="B54" s="2400"/>
      <c r="C54" s="2400"/>
      <c r="D54" s="2400"/>
      <c r="E54" s="2400"/>
      <c r="F54" s="2400"/>
    </row>
    <row r="55" spans="1:10">
      <c r="A55" s="1154"/>
      <c r="B55" s="2400"/>
      <c r="C55" s="2400"/>
      <c r="D55" s="2400"/>
      <c r="E55" s="2400"/>
      <c r="F55" s="2400"/>
    </row>
    <row r="56" spans="1:10">
      <c r="A56" s="1154"/>
      <c r="B56" s="2400"/>
      <c r="C56" s="2400"/>
      <c r="D56" s="2400"/>
      <c r="E56" s="2400"/>
      <c r="F56" s="2400"/>
    </row>
    <row r="58" spans="1:10" s="1055" customFormat="1" ht="30.75" customHeight="1">
      <c r="A58" s="1139"/>
      <c r="B58" s="1139"/>
      <c r="C58" s="1152"/>
      <c r="D58" s="1139"/>
      <c r="E58" s="1152"/>
      <c r="F58" s="1152"/>
      <c r="G58" s="1145"/>
    </row>
    <row r="59" spans="1:10" s="1055" customFormat="1" ht="61.5" customHeight="1">
      <c r="A59" s="1139"/>
      <c r="B59" s="1139"/>
      <c r="C59" s="1152"/>
      <c r="D59" s="1139"/>
      <c r="E59" s="1152"/>
      <c r="F59" s="1152"/>
      <c r="G59" s="1145"/>
    </row>
    <row r="60" spans="1:10" s="1055" customFormat="1" ht="30.75" customHeight="1">
      <c r="A60" s="1139"/>
      <c r="B60" s="1139"/>
      <c r="C60" s="1152"/>
      <c r="D60" s="1139"/>
      <c r="E60" s="1152"/>
      <c r="F60" s="1152"/>
      <c r="G60" s="1145"/>
    </row>
  </sheetData>
  <mergeCells count="35">
    <mergeCell ref="B56:F56"/>
    <mergeCell ref="B28:F28"/>
    <mergeCell ref="B19:F19"/>
    <mergeCell ref="E5:F5"/>
    <mergeCell ref="B15:F15"/>
    <mergeCell ref="B17:F17"/>
    <mergeCell ref="E9:F9"/>
    <mergeCell ref="B31:F31"/>
    <mergeCell ref="B20:F20"/>
    <mergeCell ref="B21:F21"/>
    <mergeCell ref="B23:F23"/>
    <mergeCell ref="B24:F24"/>
    <mergeCell ref="B25:F25"/>
    <mergeCell ref="H11:M11"/>
    <mergeCell ref="B34:F34"/>
    <mergeCell ref="B55:F55"/>
    <mergeCell ref="B40:F40"/>
    <mergeCell ref="B54:F54"/>
    <mergeCell ref="B37:F37"/>
    <mergeCell ref="B26:F26"/>
    <mergeCell ref="B27:F27"/>
    <mergeCell ref="B39:F39"/>
    <mergeCell ref="B36:F36"/>
    <mergeCell ref="B22:F22"/>
    <mergeCell ref="B41:F41"/>
    <mergeCell ref="B29:F29"/>
    <mergeCell ref="B35:F35"/>
    <mergeCell ref="B38:F38"/>
    <mergeCell ref="B33:F33"/>
    <mergeCell ref="B4:F4"/>
    <mergeCell ref="B18:F18"/>
    <mergeCell ref="B14:F14"/>
    <mergeCell ref="B16:F16"/>
    <mergeCell ref="E6:F6"/>
    <mergeCell ref="B13:F13"/>
  </mergeCells>
  <printOptions horizontalCentered="1"/>
  <pageMargins left="0.5" right="0.25" top="0.75" bottom="0.4" header="0.5" footer="0.5"/>
  <pageSetup paperSize="9" scale="7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IV504"/>
  <sheetViews>
    <sheetView topLeftCell="A360" zoomScale="140" zoomScaleNormal="140" zoomScaleSheetLayoutView="150" workbookViewId="0">
      <selection activeCell="A364" sqref="A364"/>
    </sheetView>
  </sheetViews>
  <sheetFormatPr defaultRowHeight="13.8"/>
  <cols>
    <col min="1" max="1" width="6.5546875" style="1134" customWidth="1"/>
    <col min="2" max="2" width="37.6640625" style="1069" customWidth="1"/>
    <col min="3" max="3" width="3.109375" style="1135" customWidth="1"/>
    <col min="4" max="4" width="2.5546875" style="1069" customWidth="1"/>
    <col min="5" max="5" width="3" style="1135" customWidth="1"/>
    <col min="6" max="6" width="7.44140625" style="1136" customWidth="1"/>
    <col min="7" max="7" width="7.33203125" style="1136" customWidth="1"/>
    <col min="8" max="8" width="11.109375" style="1087" customWidth="1"/>
    <col min="9" max="9" width="10.109375" style="1087" customWidth="1"/>
    <col min="10" max="10" width="11.44140625" style="1087" customWidth="1"/>
    <col min="11" max="11" width="19.33203125" style="1087" customWidth="1"/>
    <col min="12" max="12" width="11.109375" style="1087" hidden="1" customWidth="1"/>
    <col min="13" max="13" width="9.6640625" style="1087" hidden="1" customWidth="1"/>
    <col min="14" max="14" width="9.44140625" style="1069" customWidth="1"/>
    <col min="15" max="15" width="16.6640625" style="1069" customWidth="1"/>
    <col min="16" max="16" width="12.5546875" style="1069" bestFit="1" customWidth="1"/>
    <col min="17" max="17" width="9.5546875" style="1069" bestFit="1" customWidth="1"/>
    <col min="18" max="256" width="9.109375" style="1069"/>
  </cols>
  <sheetData>
    <row r="1" spans="1:13" ht="14.1">
      <c r="A1" s="2435" t="s">
        <v>2243</v>
      </c>
      <c r="B1" s="2436"/>
      <c r="C1" s="2436"/>
      <c r="D1" s="2436"/>
      <c r="E1" s="2436"/>
      <c r="F1" s="2436"/>
      <c r="G1" s="2436"/>
      <c r="H1" s="2436"/>
      <c r="I1" s="2436"/>
      <c r="J1" s="2436"/>
      <c r="K1" s="2436"/>
      <c r="L1" s="1028"/>
      <c r="M1" s="1028"/>
    </row>
    <row r="2" spans="1:13" ht="25.5" customHeight="1">
      <c r="A2" s="2449" t="str">
        <f>'Lead- Input sheet '!A2</f>
        <v xml:space="preserve"> Construction of  Anganwadi Building at Jeedipally Thanda (V) of Kalwakurthy (M) of Nagarkurnool District </v>
      </c>
      <c r="B2" s="2450"/>
      <c r="C2" s="2450"/>
      <c r="D2" s="2450"/>
      <c r="E2" s="2450"/>
      <c r="F2" s="2450"/>
      <c r="G2" s="2450"/>
      <c r="H2" s="2450"/>
      <c r="I2" s="2450"/>
      <c r="J2" s="2450"/>
      <c r="K2" s="2451"/>
      <c r="L2" s="1035"/>
      <c r="M2" s="1035"/>
    </row>
    <row r="3" spans="1:13" ht="14.1">
      <c r="A3" s="2437" t="s">
        <v>1200</v>
      </c>
      <c r="B3" s="2437" t="s">
        <v>1201</v>
      </c>
      <c r="C3" s="2453" t="s">
        <v>527</v>
      </c>
      <c r="D3" s="2454"/>
      <c r="E3" s="2455"/>
      <c r="F3" s="2439" t="s">
        <v>1202</v>
      </c>
      <c r="G3" s="2440"/>
      <c r="H3" s="2441"/>
      <c r="I3" s="2459" t="s">
        <v>786</v>
      </c>
      <c r="J3" s="2459" t="s">
        <v>1203</v>
      </c>
      <c r="K3" s="2461" t="s">
        <v>1115</v>
      </c>
      <c r="L3" s="2452" t="s">
        <v>1204</v>
      </c>
      <c r="M3" s="2452" t="s">
        <v>1205</v>
      </c>
    </row>
    <row r="4" spans="1:13" ht="14.1">
      <c r="A4" s="2438"/>
      <c r="B4" s="2438"/>
      <c r="C4" s="2456"/>
      <c r="D4" s="2457"/>
      <c r="E4" s="2458"/>
      <c r="F4" s="1036" t="s">
        <v>1417</v>
      </c>
      <c r="G4" s="1036" t="s">
        <v>859</v>
      </c>
      <c r="H4" s="1036" t="s">
        <v>785</v>
      </c>
      <c r="I4" s="2460"/>
      <c r="J4" s="2460"/>
      <c r="K4" s="2462"/>
      <c r="L4" s="2452"/>
      <c r="M4" s="2452"/>
    </row>
    <row r="5" spans="1:13" s="1070" customFormat="1" ht="15" customHeight="1">
      <c r="A5" s="1037">
        <v>1</v>
      </c>
      <c r="B5" s="1037">
        <f>A5+1</f>
        <v>2</v>
      </c>
      <c r="C5" s="2442">
        <f>B5+1</f>
        <v>3</v>
      </c>
      <c r="D5" s="2443"/>
      <c r="E5" s="2444"/>
      <c r="F5" s="1038">
        <f>C5+1</f>
        <v>4</v>
      </c>
      <c r="G5" s="1038">
        <f>F5+1</f>
        <v>5</v>
      </c>
      <c r="H5" s="1038">
        <f t="shared" ref="H5:M5" si="0">G5+1</f>
        <v>6</v>
      </c>
      <c r="I5" s="1038">
        <f t="shared" si="0"/>
        <v>7</v>
      </c>
      <c r="J5" s="1038">
        <f t="shared" si="0"/>
        <v>8</v>
      </c>
      <c r="K5" s="1038">
        <v>9</v>
      </c>
      <c r="L5" s="1038">
        <f t="shared" si="0"/>
        <v>10</v>
      </c>
      <c r="M5" s="1038">
        <f t="shared" si="0"/>
        <v>11</v>
      </c>
    </row>
    <row r="6" spans="1:13" ht="75.75" customHeight="1">
      <c r="A6" s="1039">
        <v>1</v>
      </c>
      <c r="B6" s="2445" t="s">
        <v>2042</v>
      </c>
      <c r="C6" s="2446"/>
      <c r="D6" s="2446"/>
      <c r="E6" s="2446"/>
      <c r="F6" s="2446"/>
      <c r="G6" s="2446"/>
      <c r="H6" s="2446"/>
      <c r="I6" s="2447"/>
      <c r="J6" s="1040"/>
      <c r="K6" s="1040"/>
      <c r="L6" s="1040"/>
      <c r="M6" s="1040"/>
    </row>
    <row r="7" spans="1:13" ht="14.1">
      <c r="A7" s="1041"/>
      <c r="B7" s="1042" t="s">
        <v>2061</v>
      </c>
      <c r="C7" s="1043"/>
      <c r="D7" s="1043"/>
      <c r="E7" s="1043"/>
      <c r="F7" s="1044"/>
      <c r="G7" s="1044"/>
      <c r="H7" s="1044"/>
      <c r="I7" s="1044"/>
      <c r="J7" s="1045"/>
      <c r="K7" s="1045"/>
      <c r="L7" s="1045"/>
      <c r="M7" s="1045"/>
    </row>
    <row r="8" spans="1:13" ht="14.1">
      <c r="A8" s="1046"/>
      <c r="B8" s="1047" t="s">
        <v>2004</v>
      </c>
      <c r="C8" s="1048">
        <v>2</v>
      </c>
      <c r="D8" s="1048" t="s">
        <v>1472</v>
      </c>
      <c r="E8" s="1048">
        <v>6</v>
      </c>
      <c r="F8" s="1049">
        <v>1.8</v>
      </c>
      <c r="G8" s="1049">
        <v>1.8</v>
      </c>
      <c r="H8" s="1049">
        <v>1.65</v>
      </c>
      <c r="I8" s="1049">
        <f t="shared" ref="I8:I19" si="1">ROUND(C8*E8*F8*G8*H8,2)</f>
        <v>64.150000000000006</v>
      </c>
      <c r="J8" s="1049"/>
      <c r="K8" s="1049"/>
      <c r="L8" s="1049"/>
      <c r="M8" s="1049"/>
    </row>
    <row r="9" spans="1:13" ht="27.6">
      <c r="A9" s="1046"/>
      <c r="B9" s="1050" t="s">
        <v>2090</v>
      </c>
      <c r="C9" s="1048">
        <v>1</v>
      </c>
      <c r="D9" s="1048" t="s">
        <v>1472</v>
      </c>
      <c r="E9" s="1048">
        <v>2</v>
      </c>
      <c r="F9" s="1049">
        <f>(60+1.5)*0.3048</f>
        <v>18.745200000000001</v>
      </c>
      <c r="G9" s="1049">
        <v>0.6</v>
      </c>
      <c r="H9" s="1049">
        <v>0.6</v>
      </c>
      <c r="I9" s="1049">
        <f t="shared" si="1"/>
        <v>13.5</v>
      </c>
      <c r="J9" s="1049"/>
      <c r="K9" s="1049"/>
      <c r="L9" s="1049"/>
      <c r="M9" s="1049"/>
    </row>
    <row r="10" spans="1:13" ht="27.6">
      <c r="A10" s="1046"/>
      <c r="B10" s="1050" t="s">
        <v>2091</v>
      </c>
      <c r="C10" s="1048">
        <v>1</v>
      </c>
      <c r="D10" s="1048" t="s">
        <v>1472</v>
      </c>
      <c r="E10" s="1048">
        <v>2</v>
      </c>
      <c r="F10" s="1049">
        <f>(30.75-2)*0.3048</f>
        <v>8.7629999999999999</v>
      </c>
      <c r="G10" s="1049">
        <v>0.6</v>
      </c>
      <c r="H10" s="1049">
        <v>0.6</v>
      </c>
      <c r="I10" s="1049">
        <f t="shared" si="1"/>
        <v>6.31</v>
      </c>
      <c r="J10" s="1049"/>
      <c r="K10" s="1049"/>
      <c r="L10" s="1049"/>
      <c r="M10" s="1049"/>
    </row>
    <row r="11" spans="1:13" ht="14.1">
      <c r="A11" s="1046"/>
      <c r="B11" s="1050" t="s">
        <v>2092</v>
      </c>
      <c r="C11" s="1048">
        <v>2</v>
      </c>
      <c r="D11" s="1048" t="s">
        <v>1472</v>
      </c>
      <c r="E11" s="1048">
        <v>2</v>
      </c>
      <c r="F11" s="1049">
        <v>1.2</v>
      </c>
      <c r="G11" s="1049">
        <v>0.6</v>
      </c>
      <c r="H11" s="1049">
        <v>0.6</v>
      </c>
      <c r="I11" s="1049">
        <f t="shared" si="1"/>
        <v>1.73</v>
      </c>
      <c r="J11" s="1049"/>
      <c r="K11" s="1049"/>
      <c r="L11" s="1049"/>
      <c r="M11" s="1049"/>
    </row>
    <row r="12" spans="1:13" ht="14.1">
      <c r="A12" s="1046"/>
      <c r="B12" s="1050" t="s">
        <v>2093</v>
      </c>
      <c r="C12" s="1048">
        <v>2</v>
      </c>
      <c r="D12" s="1048" t="s">
        <v>1472</v>
      </c>
      <c r="E12" s="1048">
        <v>2</v>
      </c>
      <c r="F12" s="1049">
        <v>4.1500000000000004</v>
      </c>
      <c r="G12" s="1049">
        <v>0.6</v>
      </c>
      <c r="H12" s="1049">
        <v>0.6</v>
      </c>
      <c r="I12" s="1049">
        <f t="shared" si="1"/>
        <v>5.98</v>
      </c>
      <c r="J12" s="1049"/>
      <c r="K12" s="1049"/>
      <c r="L12" s="1049"/>
      <c r="M12" s="1049"/>
    </row>
    <row r="13" spans="1:13" ht="14.1">
      <c r="A13" s="1046"/>
      <c r="B13" s="1050" t="s">
        <v>2094</v>
      </c>
      <c r="C13" s="1048">
        <v>2</v>
      </c>
      <c r="D13" s="1048" t="s">
        <v>1472</v>
      </c>
      <c r="E13" s="1048">
        <v>2</v>
      </c>
      <c r="F13" s="1049">
        <v>4</v>
      </c>
      <c r="G13" s="1049">
        <v>0.6</v>
      </c>
      <c r="H13" s="1049">
        <v>0.6</v>
      </c>
      <c r="I13" s="1049">
        <f t="shared" si="1"/>
        <v>5.76</v>
      </c>
      <c r="J13" s="1049"/>
      <c r="K13" s="1049"/>
      <c r="L13" s="1049"/>
      <c r="M13" s="1049"/>
    </row>
    <row r="14" spans="1:13" ht="27.6">
      <c r="A14" s="1046"/>
      <c r="B14" s="1050" t="s">
        <v>2095</v>
      </c>
      <c r="C14" s="1048">
        <v>1</v>
      </c>
      <c r="D14" s="1048" t="s">
        <v>1472</v>
      </c>
      <c r="E14" s="1048">
        <v>2</v>
      </c>
      <c r="F14" s="1049">
        <v>1.8</v>
      </c>
      <c r="G14" s="1049">
        <v>0.6</v>
      </c>
      <c r="H14" s="1049">
        <v>0.6</v>
      </c>
      <c r="I14" s="1049">
        <f t="shared" si="1"/>
        <v>1.3</v>
      </c>
      <c r="J14" s="1049"/>
      <c r="K14" s="1049"/>
      <c r="L14" s="1049"/>
      <c r="M14" s="1049"/>
    </row>
    <row r="15" spans="1:13" ht="14.1">
      <c r="A15" s="1046"/>
      <c r="B15" s="1050" t="s">
        <v>2289</v>
      </c>
      <c r="C15" s="1165" t="s">
        <v>2290</v>
      </c>
      <c r="D15" s="1048" t="s">
        <v>1472</v>
      </c>
      <c r="E15" s="1048">
        <v>2</v>
      </c>
      <c r="F15" s="1049">
        <v>1.35</v>
      </c>
      <c r="G15" s="1049">
        <v>1.35</v>
      </c>
      <c r="H15" s="1049">
        <v>2</v>
      </c>
      <c r="I15" s="1049">
        <f>ROUND(PI()/4*E15*F15*G15*H15,2)</f>
        <v>5.73</v>
      </c>
      <c r="J15" s="1049"/>
      <c r="K15" s="1049"/>
      <c r="L15" s="1049"/>
      <c r="M15" s="1049"/>
    </row>
    <row r="16" spans="1:13" ht="14.1">
      <c r="A16" s="1046"/>
      <c r="B16" s="1051" t="s">
        <v>2096</v>
      </c>
      <c r="C16" s="1048">
        <v>1</v>
      </c>
      <c r="D16" s="1048" t="s">
        <v>1472</v>
      </c>
      <c r="E16" s="1048">
        <v>1</v>
      </c>
      <c r="F16" s="1049">
        <f>(31.5-6-4)*0.3048</f>
        <v>6.5532000000000004</v>
      </c>
      <c r="G16" s="1049">
        <v>0.6</v>
      </c>
      <c r="H16" s="1049">
        <v>0.3</v>
      </c>
      <c r="I16" s="1049">
        <f t="shared" si="1"/>
        <v>1.18</v>
      </c>
      <c r="J16" s="1049"/>
      <c r="K16" s="1049"/>
      <c r="L16" s="1049"/>
      <c r="M16" s="1049"/>
    </row>
    <row r="17" spans="1:15" ht="14.1">
      <c r="A17" s="1046"/>
      <c r="B17" s="1051" t="s">
        <v>2097</v>
      </c>
      <c r="C17" s="1048">
        <v>1</v>
      </c>
      <c r="D17" s="1048" t="s">
        <v>1472</v>
      </c>
      <c r="E17" s="1048">
        <v>2</v>
      </c>
      <c r="F17" s="1049">
        <v>3</v>
      </c>
      <c r="G17" s="1049">
        <v>0.6</v>
      </c>
      <c r="H17" s="1049">
        <v>0.3</v>
      </c>
      <c r="I17" s="1049">
        <f t="shared" si="1"/>
        <v>1.08</v>
      </c>
      <c r="J17" s="1049"/>
      <c r="K17" s="1049"/>
      <c r="L17" s="1049"/>
      <c r="M17" s="1049"/>
    </row>
    <row r="18" spans="1:15" ht="14.1">
      <c r="A18" s="1046"/>
      <c r="B18" s="1051" t="s">
        <v>2100</v>
      </c>
      <c r="C18" s="1048">
        <v>1</v>
      </c>
      <c r="D18" s="1048" t="s">
        <v>1472</v>
      </c>
      <c r="E18" s="1048">
        <v>1</v>
      </c>
      <c r="F18" s="1049">
        <f>(31.5-6)*0.3048</f>
        <v>7.7724000000000002</v>
      </c>
      <c r="G18" s="1049">
        <v>1.2</v>
      </c>
      <c r="H18" s="1049">
        <v>0.3</v>
      </c>
      <c r="I18" s="1049">
        <f t="shared" si="1"/>
        <v>2.8</v>
      </c>
      <c r="J18" s="1049"/>
      <c r="K18" s="1049"/>
      <c r="L18" s="1049"/>
      <c r="M18" s="1049"/>
    </row>
    <row r="19" spans="1:15" ht="14.1">
      <c r="A19" s="1046"/>
      <c r="B19" s="1051" t="s">
        <v>2099</v>
      </c>
      <c r="C19" s="1048">
        <v>1</v>
      </c>
      <c r="D19" s="1048" t="s">
        <v>1472</v>
      </c>
      <c r="E19" s="1048">
        <v>2</v>
      </c>
      <c r="F19" s="1049">
        <v>4.2</v>
      </c>
      <c r="G19" s="1049">
        <v>1.2</v>
      </c>
      <c r="H19" s="1049">
        <v>0.3</v>
      </c>
      <c r="I19" s="1049">
        <f t="shared" si="1"/>
        <v>3.02</v>
      </c>
      <c r="J19" s="1049"/>
      <c r="K19" s="1049"/>
      <c r="L19" s="1049"/>
      <c r="M19" s="1049"/>
    </row>
    <row r="20" spans="1:15" ht="14.1">
      <c r="A20" s="1046"/>
      <c r="B20" s="1051"/>
      <c r="C20" s="1048"/>
      <c r="D20" s="1048"/>
      <c r="E20" s="1048"/>
      <c r="F20" s="1049"/>
      <c r="G20" s="1049"/>
      <c r="H20" s="1049"/>
      <c r="I20" s="1049">
        <f>SUM(I8:I19)</f>
        <v>112.54000000000002</v>
      </c>
      <c r="J20" s="1049"/>
      <c r="K20" s="1049"/>
      <c r="L20" s="1049"/>
      <c r="M20" s="1049"/>
    </row>
    <row r="21" spans="1:15" ht="14.1">
      <c r="A21" s="1046"/>
      <c r="B21" s="2448" t="s">
        <v>2062</v>
      </c>
      <c r="C21" s="2448"/>
      <c r="D21" s="2448"/>
      <c r="E21" s="2448"/>
      <c r="F21" s="2448"/>
      <c r="G21" s="2448"/>
      <c r="H21" s="2448"/>
      <c r="I21" s="1052">
        <f>CEILING(I20,0.05)</f>
        <v>112.55000000000001</v>
      </c>
      <c r="J21" s="1053">
        <v>197.21</v>
      </c>
      <c r="K21" s="1054">
        <f>ROUND(J21*I21/1,0)</f>
        <v>22196</v>
      </c>
      <c r="L21" s="1029">
        <v>30</v>
      </c>
      <c r="M21" s="1055">
        <f>L21*I21</f>
        <v>3376.5000000000005</v>
      </c>
      <c r="N21" s="1087"/>
      <c r="O21" s="1087">
        <f>ROUND(I21*N21,0)</f>
        <v>0</v>
      </c>
    </row>
    <row r="22" spans="1:15" ht="14.1">
      <c r="A22" s="1046"/>
      <c r="B22" s="1056"/>
      <c r="C22" s="1048"/>
      <c r="D22" s="1048"/>
      <c r="E22" s="1048"/>
      <c r="F22" s="1049"/>
      <c r="G22" s="1049"/>
      <c r="H22" s="1049"/>
      <c r="I22" s="1053" t="s">
        <v>656</v>
      </c>
      <c r="J22" s="1049" t="s">
        <v>2041</v>
      </c>
      <c r="K22" s="1049"/>
      <c r="L22" s="1049"/>
      <c r="M22" s="1049"/>
      <c r="N22" s="1087"/>
      <c r="O22" s="1087"/>
    </row>
    <row r="23" spans="1:15" ht="136.5" customHeight="1">
      <c r="A23" s="1046">
        <v>2</v>
      </c>
      <c r="B23" s="2415" t="s">
        <v>2291</v>
      </c>
      <c r="C23" s="2426"/>
      <c r="D23" s="2426"/>
      <c r="E23" s="2426"/>
      <c r="F23" s="2426"/>
      <c r="G23" s="2426"/>
      <c r="H23" s="2426"/>
      <c r="I23" s="2427"/>
      <c r="J23" s="1049"/>
      <c r="K23" s="1049"/>
      <c r="L23" s="1049"/>
      <c r="M23" s="1049"/>
      <c r="N23" s="1087"/>
      <c r="O23" s="1087"/>
    </row>
    <row r="24" spans="1:15" ht="14.1">
      <c r="A24" s="1046"/>
      <c r="B24" s="1047" t="s">
        <v>2004</v>
      </c>
      <c r="C24" s="1048">
        <v>2</v>
      </c>
      <c r="D24" s="1048" t="s">
        <v>1472</v>
      </c>
      <c r="E24" s="1048">
        <v>6</v>
      </c>
      <c r="F24" s="1049">
        <v>2</v>
      </c>
      <c r="G24" s="1049">
        <v>2</v>
      </c>
      <c r="H24" s="1049">
        <v>0.15</v>
      </c>
      <c r="I24" s="1049">
        <f>ROUND(C24*E24*F24*G24*H24,2)</f>
        <v>7.2</v>
      </c>
      <c r="J24" s="1049"/>
      <c r="K24" s="1049"/>
      <c r="L24" s="1049"/>
      <c r="M24" s="1049"/>
      <c r="N24" s="1087"/>
      <c r="O24" s="1087"/>
    </row>
    <row r="25" spans="1:15" ht="14.1">
      <c r="A25" s="1046"/>
      <c r="B25" s="2432"/>
      <c r="C25" s="2433"/>
      <c r="D25" s="2433"/>
      <c r="E25" s="2433"/>
      <c r="F25" s="2433"/>
      <c r="G25" s="2433"/>
      <c r="H25" s="2434"/>
      <c r="I25" s="1052">
        <f>I24</f>
        <v>7.2</v>
      </c>
      <c r="J25" s="1049">
        <f>Datas!G154</f>
        <v>4371.4635670906127</v>
      </c>
      <c r="K25" s="1053">
        <f>ROUND(J25*I25,0)</f>
        <v>31475</v>
      </c>
      <c r="L25" s="1049">
        <v>108</v>
      </c>
      <c r="M25" s="1055">
        <f>L25*I25</f>
        <v>777.6</v>
      </c>
      <c r="N25" s="1087">
        <v>108</v>
      </c>
      <c r="O25" s="1087">
        <f>ROUND(I25*N25,0)</f>
        <v>778</v>
      </c>
    </row>
    <row r="26" spans="1:15" ht="14.1">
      <c r="A26" s="1046"/>
      <c r="B26" s="1060"/>
      <c r="C26" s="1048"/>
      <c r="D26" s="1048"/>
      <c r="E26" s="1048"/>
      <c r="F26" s="1049"/>
      <c r="G26" s="1049"/>
      <c r="H26" s="1049"/>
      <c r="I26" s="1053" t="s">
        <v>656</v>
      </c>
      <c r="J26" s="1053" t="s">
        <v>656</v>
      </c>
      <c r="K26" s="1053"/>
      <c r="L26" s="1053"/>
      <c r="M26" s="1053"/>
      <c r="N26" s="1087"/>
      <c r="O26" s="1087"/>
    </row>
    <row r="27" spans="1:15" ht="137.25" customHeight="1">
      <c r="A27" s="1046">
        <v>3</v>
      </c>
      <c r="B27" s="2415" t="s">
        <v>2292</v>
      </c>
      <c r="C27" s="2426"/>
      <c r="D27" s="2426"/>
      <c r="E27" s="2426"/>
      <c r="F27" s="2426"/>
      <c r="G27" s="2426"/>
      <c r="H27" s="2426"/>
      <c r="I27" s="2427"/>
      <c r="J27" s="1049"/>
      <c r="K27" s="1049"/>
      <c r="L27" s="1049"/>
      <c r="M27" s="1049"/>
      <c r="N27" s="1087"/>
      <c r="O27" s="1087"/>
    </row>
    <row r="28" spans="1:15" ht="14.1">
      <c r="A28" s="1046"/>
      <c r="B28" s="1050" t="s">
        <v>2218</v>
      </c>
      <c r="C28" s="1048">
        <v>1</v>
      </c>
      <c r="D28" s="1048" t="s">
        <v>1472</v>
      </c>
      <c r="E28" s="1048">
        <v>1</v>
      </c>
      <c r="F28" s="1049">
        <f>(46.5)*0.3048</f>
        <v>14.173200000000001</v>
      </c>
      <c r="G28" s="1049">
        <f>(30)*0.3048</f>
        <v>9.1440000000000001</v>
      </c>
      <c r="H28" s="1049">
        <v>0.1</v>
      </c>
      <c r="I28" s="1049">
        <f>ROUND(C28*E28*F28*G28*H28,2)</f>
        <v>12.96</v>
      </c>
      <c r="J28" s="1049"/>
      <c r="K28" s="1049"/>
      <c r="L28" s="1049"/>
      <c r="M28" s="1049"/>
      <c r="N28" s="1166"/>
      <c r="O28" s="1166"/>
    </row>
    <row r="29" spans="1:15" ht="14.1">
      <c r="A29" s="1046"/>
      <c r="B29" s="1050" t="s">
        <v>2219</v>
      </c>
      <c r="C29" s="1048">
        <v>1</v>
      </c>
      <c r="D29" s="1048" t="s">
        <v>1472</v>
      </c>
      <c r="E29" s="1048">
        <v>1</v>
      </c>
      <c r="F29" s="1049">
        <v>3.6</v>
      </c>
      <c r="G29" s="1049">
        <f>(12)*0.3048</f>
        <v>3.6576000000000004</v>
      </c>
      <c r="H29" s="1049">
        <v>0.1</v>
      </c>
      <c r="I29" s="1049">
        <f>ROUND(C29*E29*F29*G29*H29,2)</f>
        <v>1.32</v>
      </c>
      <c r="J29" s="1049"/>
      <c r="K29" s="1049"/>
      <c r="L29" s="1049"/>
      <c r="M29" s="1049"/>
      <c r="N29" s="1166"/>
      <c r="O29" s="1166"/>
    </row>
    <row r="30" spans="1:15" ht="27.6">
      <c r="A30" s="1046"/>
      <c r="B30" s="1050" t="s">
        <v>2220</v>
      </c>
      <c r="C30" s="1048">
        <v>1</v>
      </c>
      <c r="D30" s="1048" t="s">
        <v>1472</v>
      </c>
      <c r="E30" s="1048">
        <v>1</v>
      </c>
      <c r="F30" s="1049">
        <v>3.6</v>
      </c>
      <c r="G30" s="1049">
        <f>(17.23)*0.3048</f>
        <v>5.2517040000000001</v>
      </c>
      <c r="H30" s="1049">
        <v>0.1</v>
      </c>
      <c r="I30" s="1049">
        <f>ROUND(C30*E30*F30*G30*H30,2)</f>
        <v>1.89</v>
      </c>
      <c r="J30" s="1049"/>
      <c r="K30" s="1049"/>
      <c r="L30" s="1049"/>
      <c r="M30" s="1049"/>
      <c r="N30" s="1166"/>
      <c r="O30" s="1166"/>
    </row>
    <row r="31" spans="1:15" ht="14.1">
      <c r="A31" s="1046"/>
      <c r="B31" s="1050" t="s">
        <v>2221</v>
      </c>
      <c r="C31" s="1048">
        <v>1</v>
      </c>
      <c r="D31" s="1048" t="s">
        <v>1472</v>
      </c>
      <c r="E31" s="1048">
        <v>1</v>
      </c>
      <c r="F31" s="1049">
        <v>3.2</v>
      </c>
      <c r="G31" s="1049">
        <v>3</v>
      </c>
      <c r="H31" s="1049">
        <v>0.1</v>
      </c>
      <c r="I31" s="1049">
        <f>ROUND(C31*E31*F31*G31*H31,2)</f>
        <v>0.96</v>
      </c>
      <c r="J31" s="1049"/>
      <c r="K31" s="1049"/>
      <c r="L31" s="1049"/>
      <c r="M31" s="1049"/>
      <c r="N31" s="1087"/>
      <c r="O31" s="1087"/>
    </row>
    <row r="32" spans="1:15" ht="14.1">
      <c r="A32" s="1046"/>
      <c r="B32" s="1050" t="s">
        <v>2222</v>
      </c>
      <c r="C32" s="1048">
        <v>1</v>
      </c>
      <c r="D32" s="1048" t="s">
        <v>1472</v>
      </c>
      <c r="E32" s="1048">
        <v>1</v>
      </c>
      <c r="F32" s="1049">
        <v>3.6</v>
      </c>
      <c r="G32" s="1049">
        <f>(17.23)*0.3048</f>
        <v>5.2517040000000001</v>
      </c>
      <c r="H32" s="1049">
        <v>0.1</v>
      </c>
      <c r="I32" s="1049">
        <f>ROUND(C32*E32*F32*G32*H32,2)</f>
        <v>1.89</v>
      </c>
      <c r="J32" s="1049"/>
      <c r="K32" s="1049"/>
      <c r="L32" s="1049"/>
      <c r="M32" s="1049"/>
      <c r="N32" s="1087"/>
      <c r="O32" s="1087"/>
    </row>
    <row r="33" spans="1:15" ht="27.6">
      <c r="A33" s="1046"/>
      <c r="B33" s="1050" t="s">
        <v>2090</v>
      </c>
      <c r="C33" s="1048">
        <v>1</v>
      </c>
      <c r="D33" s="1048" t="s">
        <v>1472</v>
      </c>
      <c r="E33" s="1048">
        <v>2</v>
      </c>
      <c r="F33" s="1049">
        <f>(60+2)*0.3048</f>
        <v>18.897600000000001</v>
      </c>
      <c r="G33" s="1049">
        <v>0.6</v>
      </c>
      <c r="H33" s="1049">
        <v>0.1</v>
      </c>
      <c r="I33" s="1049">
        <f t="shared" ref="I33:I42" si="2">ROUND(C33*E33*F33*G33*H33,2)</f>
        <v>2.27</v>
      </c>
      <c r="J33" s="1049"/>
      <c r="K33" s="1049"/>
      <c r="L33" s="1049"/>
      <c r="M33" s="1049"/>
      <c r="N33" s="1087"/>
      <c r="O33" s="1087"/>
    </row>
    <row r="34" spans="1:15" ht="27.6">
      <c r="A34" s="1046"/>
      <c r="B34" s="1050" t="s">
        <v>2091</v>
      </c>
      <c r="C34" s="1048">
        <v>1</v>
      </c>
      <c r="D34" s="1048" t="s">
        <v>1472</v>
      </c>
      <c r="E34" s="1048">
        <v>2</v>
      </c>
      <c r="F34" s="1049">
        <f>(30.75-2)*0.3048</f>
        <v>8.7629999999999999</v>
      </c>
      <c r="G34" s="1049">
        <v>0.6</v>
      </c>
      <c r="H34" s="1049">
        <v>0.1</v>
      </c>
      <c r="I34" s="1049">
        <f t="shared" si="2"/>
        <v>1.05</v>
      </c>
      <c r="J34" s="1049"/>
      <c r="K34" s="1049"/>
      <c r="L34" s="1049"/>
      <c r="M34" s="1049"/>
      <c r="N34" s="1087"/>
      <c r="O34" s="1087"/>
    </row>
    <row r="35" spans="1:15" ht="14.1">
      <c r="A35" s="1046"/>
      <c r="B35" s="1050" t="s">
        <v>2092</v>
      </c>
      <c r="C35" s="1048">
        <v>2</v>
      </c>
      <c r="D35" s="1048" t="s">
        <v>1472</v>
      </c>
      <c r="E35" s="1048">
        <v>2</v>
      </c>
      <c r="F35" s="1049">
        <v>1.2</v>
      </c>
      <c r="G35" s="1049">
        <v>0.6</v>
      </c>
      <c r="H35" s="1049">
        <v>0.1</v>
      </c>
      <c r="I35" s="1049">
        <f t="shared" si="2"/>
        <v>0.28999999999999998</v>
      </c>
      <c r="J35" s="1049"/>
      <c r="K35" s="1049"/>
      <c r="L35" s="1049"/>
      <c r="M35" s="1049"/>
      <c r="N35" s="1087"/>
      <c r="O35" s="1087"/>
    </row>
    <row r="36" spans="1:15" ht="14.1">
      <c r="A36" s="1046"/>
      <c r="B36" s="1050" t="s">
        <v>2093</v>
      </c>
      <c r="C36" s="1048">
        <v>2</v>
      </c>
      <c r="D36" s="1048" t="s">
        <v>1472</v>
      </c>
      <c r="E36" s="1048">
        <v>2</v>
      </c>
      <c r="F36" s="1049">
        <v>4.1500000000000004</v>
      </c>
      <c r="G36" s="1049">
        <v>0.6</v>
      </c>
      <c r="H36" s="1049">
        <v>0.1</v>
      </c>
      <c r="I36" s="1049">
        <f t="shared" si="2"/>
        <v>1</v>
      </c>
      <c r="J36" s="1049"/>
      <c r="K36" s="1049"/>
      <c r="L36" s="1049"/>
      <c r="M36" s="1049"/>
      <c r="N36" s="1087"/>
      <c r="O36" s="1087"/>
    </row>
    <row r="37" spans="1:15" ht="14.1">
      <c r="A37" s="1046"/>
      <c r="B37" s="1050" t="s">
        <v>2094</v>
      </c>
      <c r="C37" s="1048">
        <v>2</v>
      </c>
      <c r="D37" s="1048" t="s">
        <v>1472</v>
      </c>
      <c r="E37" s="1048">
        <v>2</v>
      </c>
      <c r="F37" s="1049">
        <v>4</v>
      </c>
      <c r="G37" s="1049">
        <v>0.6</v>
      </c>
      <c r="H37" s="1049">
        <v>0.1</v>
      </c>
      <c r="I37" s="1049">
        <f t="shared" si="2"/>
        <v>0.96</v>
      </c>
      <c r="J37" s="1049"/>
      <c r="K37" s="1049"/>
      <c r="L37" s="1049"/>
      <c r="M37" s="1049"/>
      <c r="N37" s="1087"/>
      <c r="O37" s="1087"/>
    </row>
    <row r="38" spans="1:15" ht="27.6">
      <c r="A38" s="1046"/>
      <c r="B38" s="1050" t="s">
        <v>2095</v>
      </c>
      <c r="C38" s="1048">
        <v>1</v>
      </c>
      <c r="D38" s="1048" t="s">
        <v>1472</v>
      </c>
      <c r="E38" s="1048">
        <v>2</v>
      </c>
      <c r="F38" s="1049">
        <v>1.8</v>
      </c>
      <c r="G38" s="1049">
        <v>0.6</v>
      </c>
      <c r="H38" s="1049">
        <v>0.1</v>
      </c>
      <c r="I38" s="1049">
        <f t="shared" si="2"/>
        <v>0.22</v>
      </c>
      <c r="J38" s="1049"/>
      <c r="K38" s="1049"/>
      <c r="L38" s="1049"/>
      <c r="M38" s="1049"/>
      <c r="N38" s="1087"/>
      <c r="O38" s="1087"/>
    </row>
    <row r="39" spans="1:15" ht="14.1">
      <c r="A39" s="1046"/>
      <c r="B39" s="1051" t="s">
        <v>2096</v>
      </c>
      <c r="C39" s="1048">
        <v>1</v>
      </c>
      <c r="D39" s="1048" t="s">
        <v>1472</v>
      </c>
      <c r="E39" s="1048">
        <v>1</v>
      </c>
      <c r="F39" s="1049">
        <f>(31.5-6-4)*0.3048</f>
        <v>6.5532000000000004</v>
      </c>
      <c r="G39" s="1049">
        <v>0.6</v>
      </c>
      <c r="H39" s="1049">
        <v>0.1</v>
      </c>
      <c r="I39" s="1049">
        <f t="shared" si="2"/>
        <v>0.39</v>
      </c>
      <c r="J39" s="1049"/>
      <c r="K39" s="1049"/>
      <c r="L39" s="1049"/>
      <c r="M39" s="1049"/>
      <c r="N39" s="1087"/>
      <c r="O39" s="1087"/>
    </row>
    <row r="40" spans="1:15" ht="14.1">
      <c r="A40" s="1046"/>
      <c r="B40" s="1051" t="s">
        <v>2097</v>
      </c>
      <c r="C40" s="1048">
        <v>1</v>
      </c>
      <c r="D40" s="1048" t="s">
        <v>1472</v>
      </c>
      <c r="E40" s="1048">
        <v>2</v>
      </c>
      <c r="F40" s="1049">
        <v>3</v>
      </c>
      <c r="G40" s="1049">
        <v>0.6</v>
      </c>
      <c r="H40" s="1049">
        <v>0.1</v>
      </c>
      <c r="I40" s="1049">
        <f t="shared" si="2"/>
        <v>0.36</v>
      </c>
      <c r="J40" s="1049"/>
      <c r="K40" s="1049"/>
      <c r="L40" s="1049"/>
      <c r="M40" s="1049"/>
      <c r="N40" s="1087"/>
      <c r="O40" s="1087"/>
    </row>
    <row r="41" spans="1:15" ht="14.1">
      <c r="A41" s="1046"/>
      <c r="B41" s="1051" t="s">
        <v>2098</v>
      </c>
      <c r="C41" s="1048">
        <v>1</v>
      </c>
      <c r="D41" s="1048" t="s">
        <v>1472</v>
      </c>
      <c r="E41" s="1048">
        <v>1</v>
      </c>
      <c r="F41" s="1049">
        <f>(31.5-6)*0.3048</f>
        <v>7.7724000000000002</v>
      </c>
      <c r="G41" s="1049">
        <v>1.2</v>
      </c>
      <c r="H41" s="1049">
        <v>0.1</v>
      </c>
      <c r="I41" s="1049">
        <f t="shared" si="2"/>
        <v>0.93</v>
      </c>
      <c r="J41" s="1049"/>
      <c r="K41" s="1049"/>
      <c r="L41" s="1049"/>
      <c r="M41" s="1049"/>
      <c r="N41" s="1087"/>
      <c r="O41" s="1087"/>
    </row>
    <row r="42" spans="1:15" ht="14.1">
      <c r="A42" s="1046"/>
      <c r="B42" s="1051" t="s">
        <v>2098</v>
      </c>
      <c r="C42" s="1048">
        <v>1</v>
      </c>
      <c r="D42" s="1048" t="s">
        <v>1472</v>
      </c>
      <c r="E42" s="1048">
        <v>2</v>
      </c>
      <c r="F42" s="1049">
        <v>4.2</v>
      </c>
      <c r="G42" s="1049">
        <v>1.2</v>
      </c>
      <c r="H42" s="1049">
        <v>0.1</v>
      </c>
      <c r="I42" s="1049">
        <f t="shared" si="2"/>
        <v>1.01</v>
      </c>
      <c r="J42" s="1049"/>
      <c r="K42" s="1049"/>
      <c r="L42" s="1049"/>
      <c r="M42" s="1049"/>
      <c r="N42" s="1087"/>
      <c r="O42" s="1087"/>
    </row>
    <row r="43" spans="1:15" ht="14.1">
      <c r="A43" s="1046"/>
      <c r="B43" s="2432"/>
      <c r="C43" s="2433"/>
      <c r="D43" s="2433"/>
      <c r="E43" s="2433"/>
      <c r="F43" s="2433"/>
      <c r="G43" s="2433"/>
      <c r="H43" s="2434"/>
      <c r="I43" s="1052">
        <f>SUM(I28:I42)</f>
        <v>27.500000000000004</v>
      </c>
      <c r="J43" s="1049">
        <f>Datas!G174</f>
        <v>4155.8100000000004</v>
      </c>
      <c r="K43" s="1053">
        <f>ROUND(J43*I43,0)</f>
        <v>114285</v>
      </c>
      <c r="L43" s="1049">
        <v>108</v>
      </c>
      <c r="M43" s="1055">
        <f>L43*I43</f>
        <v>2970.0000000000005</v>
      </c>
      <c r="N43" s="1087">
        <v>108</v>
      </c>
      <c r="O43" s="1087">
        <f>ROUND(I43*N43,0)</f>
        <v>2970</v>
      </c>
    </row>
    <row r="44" spans="1:15" ht="14.1">
      <c r="A44" s="1046"/>
      <c r="B44" s="1060"/>
      <c r="C44" s="1048"/>
      <c r="D44" s="1048"/>
      <c r="E44" s="1048"/>
      <c r="F44" s="1049"/>
      <c r="G44" s="1049"/>
      <c r="H44" s="1049"/>
      <c r="I44" s="1053" t="s">
        <v>656</v>
      </c>
      <c r="J44" s="1053" t="s">
        <v>656</v>
      </c>
      <c r="K44" s="1053"/>
      <c r="L44" s="1053"/>
      <c r="M44" s="1053"/>
      <c r="N44" s="1087"/>
      <c r="O44" s="1087"/>
    </row>
    <row r="45" spans="1:15" ht="126.75" customHeight="1">
      <c r="A45" s="1046">
        <v>4</v>
      </c>
      <c r="B45" s="2415" t="s">
        <v>2293</v>
      </c>
      <c r="C45" s="2426"/>
      <c r="D45" s="2426"/>
      <c r="E45" s="2426"/>
      <c r="F45" s="2426"/>
      <c r="G45" s="2426"/>
      <c r="H45" s="2426"/>
      <c r="I45" s="2427"/>
      <c r="J45" s="1049"/>
      <c r="K45" s="1049"/>
      <c r="L45" s="1049"/>
      <c r="M45" s="1049"/>
      <c r="N45" s="1087"/>
      <c r="O45" s="1087"/>
    </row>
    <row r="46" spans="1:15" ht="14.1">
      <c r="A46" s="1046"/>
      <c r="B46" s="1060" t="s">
        <v>657</v>
      </c>
      <c r="C46" s="1061"/>
      <c r="D46" s="1061"/>
      <c r="E46" s="1061"/>
      <c r="F46" s="1062"/>
      <c r="G46" s="1062"/>
      <c r="H46" s="1062"/>
      <c r="I46" s="1062"/>
      <c r="J46" s="1049"/>
      <c r="K46" s="1049"/>
      <c r="L46" s="1049"/>
      <c r="M46" s="1049"/>
      <c r="N46" s="1087"/>
      <c r="O46" s="1087"/>
    </row>
    <row r="47" spans="1:15" ht="27.6">
      <c r="A47" s="1046"/>
      <c r="B47" s="1050" t="s">
        <v>2090</v>
      </c>
      <c r="C47" s="1048">
        <v>1</v>
      </c>
      <c r="D47" s="1048" t="s">
        <v>1472</v>
      </c>
      <c r="E47" s="1048">
        <v>2</v>
      </c>
      <c r="F47" s="1049">
        <f>(60+1.5)*0.3048</f>
        <v>18.745200000000001</v>
      </c>
      <c r="G47" s="1049">
        <v>0.45</v>
      </c>
      <c r="H47" s="1049">
        <v>0.5</v>
      </c>
      <c r="I47" s="1049">
        <f>ROUND(C47*E47*F47*G47*H47,2)</f>
        <v>8.44</v>
      </c>
      <c r="J47" s="1049"/>
      <c r="K47" s="1049"/>
      <c r="L47" s="1049"/>
      <c r="M47" s="1049"/>
      <c r="N47" s="1087"/>
      <c r="O47" s="1087"/>
    </row>
    <row r="48" spans="1:15" ht="27.6">
      <c r="A48" s="1046"/>
      <c r="B48" s="1050" t="s">
        <v>2091</v>
      </c>
      <c r="C48" s="1048">
        <v>1</v>
      </c>
      <c r="D48" s="1048" t="s">
        <v>1472</v>
      </c>
      <c r="E48" s="1048">
        <v>2</v>
      </c>
      <c r="F48" s="1049">
        <f>(30.75-1.5)*0.3048</f>
        <v>8.9154</v>
      </c>
      <c r="G48" s="1049">
        <v>0.45</v>
      </c>
      <c r="H48" s="1049">
        <v>0.5</v>
      </c>
      <c r="I48" s="1049">
        <f t="shared" ref="I48:I54" si="3">ROUND(C48*E48*F48*G48*H48,2)</f>
        <v>4.01</v>
      </c>
      <c r="J48" s="1049"/>
      <c r="K48" s="1049"/>
      <c r="L48" s="1049"/>
      <c r="M48" s="1049"/>
      <c r="N48" s="1087"/>
      <c r="O48" s="1087"/>
    </row>
    <row r="49" spans="1:15" ht="14.1">
      <c r="A49" s="1046"/>
      <c r="B49" s="1050" t="s">
        <v>2092</v>
      </c>
      <c r="C49" s="1048">
        <v>2</v>
      </c>
      <c r="D49" s="1048" t="s">
        <v>1472</v>
      </c>
      <c r="E49" s="1048">
        <v>2</v>
      </c>
      <c r="F49" s="1049">
        <v>1.2</v>
      </c>
      <c r="G49" s="1049">
        <v>0.45</v>
      </c>
      <c r="H49" s="1049">
        <v>0.5</v>
      </c>
      <c r="I49" s="1049">
        <f t="shared" si="3"/>
        <v>1.08</v>
      </c>
      <c r="J49" s="1049"/>
      <c r="K49" s="1049"/>
      <c r="L49" s="1049"/>
      <c r="M49" s="1049"/>
      <c r="N49" s="1087"/>
      <c r="O49" s="1087"/>
    </row>
    <row r="50" spans="1:15" ht="14.1">
      <c r="A50" s="1046"/>
      <c r="B50" s="1050" t="s">
        <v>2093</v>
      </c>
      <c r="C50" s="1048">
        <v>2</v>
      </c>
      <c r="D50" s="1048" t="s">
        <v>1472</v>
      </c>
      <c r="E50" s="1048">
        <v>2</v>
      </c>
      <c r="F50" s="1049">
        <v>4.1500000000000004</v>
      </c>
      <c r="G50" s="1049">
        <v>0.45</v>
      </c>
      <c r="H50" s="1049">
        <v>0.5</v>
      </c>
      <c r="I50" s="1049">
        <f t="shared" si="3"/>
        <v>3.74</v>
      </c>
      <c r="J50" s="1049"/>
      <c r="K50" s="1049"/>
      <c r="L50" s="1049"/>
      <c r="M50" s="1049"/>
      <c r="N50" s="1087"/>
      <c r="O50" s="1087"/>
    </row>
    <row r="51" spans="1:15" ht="14.1">
      <c r="A51" s="1046"/>
      <c r="B51" s="1050" t="s">
        <v>2094</v>
      </c>
      <c r="C51" s="1048">
        <v>2</v>
      </c>
      <c r="D51" s="1048" t="s">
        <v>1472</v>
      </c>
      <c r="E51" s="1048">
        <v>2</v>
      </c>
      <c r="F51" s="1049">
        <v>4</v>
      </c>
      <c r="G51" s="1049">
        <v>0.45</v>
      </c>
      <c r="H51" s="1049">
        <v>0.5</v>
      </c>
      <c r="I51" s="1049">
        <f t="shared" si="3"/>
        <v>3.6</v>
      </c>
      <c r="J51" s="1049"/>
      <c r="K51" s="1049"/>
      <c r="L51" s="1049"/>
      <c r="M51" s="1049"/>
      <c r="N51" s="1087"/>
      <c r="O51" s="1087"/>
    </row>
    <row r="52" spans="1:15" ht="27.6">
      <c r="A52" s="1046"/>
      <c r="B52" s="1050" t="s">
        <v>2095</v>
      </c>
      <c r="C52" s="1048">
        <v>1</v>
      </c>
      <c r="D52" s="1048" t="s">
        <v>1472</v>
      </c>
      <c r="E52" s="1048">
        <v>2</v>
      </c>
      <c r="F52" s="1049">
        <v>1.8</v>
      </c>
      <c r="G52" s="1049">
        <v>0.45</v>
      </c>
      <c r="H52" s="1049">
        <v>0.5</v>
      </c>
      <c r="I52" s="1049">
        <f t="shared" si="3"/>
        <v>0.81</v>
      </c>
      <c r="J52" s="1049"/>
      <c r="K52" s="1049"/>
      <c r="L52" s="1049"/>
      <c r="M52" s="1049"/>
      <c r="N52" s="1087"/>
      <c r="O52" s="1087"/>
    </row>
    <row r="53" spans="1:15" ht="14.1">
      <c r="A53" s="1046"/>
      <c r="B53" s="1051" t="s">
        <v>2096</v>
      </c>
      <c r="C53" s="1048">
        <v>1</v>
      </c>
      <c r="D53" s="1048" t="s">
        <v>1472</v>
      </c>
      <c r="E53" s="1048">
        <v>1</v>
      </c>
      <c r="F53" s="1049">
        <f>(31.5-6-4)*0.3048</f>
        <v>6.5532000000000004</v>
      </c>
      <c r="G53" s="1049">
        <v>0.45</v>
      </c>
      <c r="H53" s="1049">
        <v>0.5</v>
      </c>
      <c r="I53" s="1049">
        <f t="shared" si="3"/>
        <v>1.47</v>
      </c>
      <c r="J53" s="1049"/>
      <c r="K53" s="1049"/>
      <c r="L53" s="1049"/>
      <c r="M53" s="1049"/>
      <c r="N53" s="1087"/>
      <c r="O53" s="1087"/>
    </row>
    <row r="54" spans="1:15" ht="14.1">
      <c r="A54" s="1046"/>
      <c r="B54" s="1051" t="s">
        <v>2097</v>
      </c>
      <c r="C54" s="1048">
        <v>1</v>
      </c>
      <c r="D54" s="1048" t="s">
        <v>1472</v>
      </c>
      <c r="E54" s="1048">
        <v>2</v>
      </c>
      <c r="F54" s="1049">
        <v>3</v>
      </c>
      <c r="G54" s="1049">
        <v>0.45</v>
      </c>
      <c r="H54" s="1049">
        <v>0.5</v>
      </c>
      <c r="I54" s="1049">
        <f t="shared" si="3"/>
        <v>1.35</v>
      </c>
      <c r="J54" s="1049"/>
      <c r="K54" s="1049"/>
      <c r="L54" s="1049"/>
      <c r="M54" s="1049"/>
      <c r="N54" s="1087"/>
      <c r="O54" s="1087"/>
    </row>
    <row r="55" spans="1:15" ht="14.1">
      <c r="A55" s="1046"/>
      <c r="B55" s="1060" t="s">
        <v>2017</v>
      </c>
      <c r="C55" s="1061"/>
      <c r="D55" s="1061"/>
      <c r="E55" s="1061"/>
      <c r="F55" s="1062"/>
      <c r="G55" s="1062"/>
      <c r="H55" s="1062"/>
      <c r="I55" s="1063">
        <f>SUM(I47:I54)</f>
        <v>24.5</v>
      </c>
      <c r="J55" s="1049"/>
      <c r="K55" s="1049"/>
      <c r="L55" s="1049"/>
      <c r="M55" s="1049"/>
      <c r="N55" s="1087"/>
      <c r="O55" s="1087"/>
    </row>
    <row r="56" spans="1:15" ht="27.6">
      <c r="A56" s="1046"/>
      <c r="B56" s="1050" t="s">
        <v>2090</v>
      </c>
      <c r="C56" s="1048">
        <v>1</v>
      </c>
      <c r="D56" s="1048" t="s">
        <v>1472</v>
      </c>
      <c r="E56" s="1048">
        <v>2</v>
      </c>
      <c r="F56" s="1049">
        <f>(60+1.5)*0.3048</f>
        <v>18.745200000000001</v>
      </c>
      <c r="G56" s="1049">
        <v>0.45</v>
      </c>
      <c r="H56" s="1049">
        <v>0.45</v>
      </c>
      <c r="I56" s="1049">
        <f t="shared" ref="I56:I63" si="4">ROUND(C56*E56*F56*G56*H56,2)</f>
        <v>7.59</v>
      </c>
      <c r="J56" s="1049"/>
      <c r="K56" s="1049"/>
      <c r="L56" s="1049"/>
      <c r="M56" s="1049"/>
      <c r="N56" s="1087"/>
      <c r="O56" s="1087"/>
    </row>
    <row r="57" spans="1:15" ht="27.6">
      <c r="A57" s="1046"/>
      <c r="B57" s="1050" t="s">
        <v>2091</v>
      </c>
      <c r="C57" s="1048">
        <v>1</v>
      </c>
      <c r="D57" s="1048" t="s">
        <v>1472</v>
      </c>
      <c r="E57" s="1048">
        <v>2</v>
      </c>
      <c r="F57" s="1049">
        <f>(30.75-1.5)*0.3048</f>
        <v>8.9154</v>
      </c>
      <c r="G57" s="1049">
        <v>0.45</v>
      </c>
      <c r="H57" s="1049">
        <v>0.45</v>
      </c>
      <c r="I57" s="1049">
        <f t="shared" si="4"/>
        <v>3.61</v>
      </c>
      <c r="J57" s="1049"/>
      <c r="K57" s="1049"/>
      <c r="L57" s="1049"/>
      <c r="M57" s="1049"/>
      <c r="N57" s="1087"/>
      <c r="O57" s="1087"/>
    </row>
    <row r="58" spans="1:15" ht="14.1">
      <c r="A58" s="1046"/>
      <c r="B58" s="1050" t="s">
        <v>2092</v>
      </c>
      <c r="C58" s="1048">
        <v>2</v>
      </c>
      <c r="D58" s="1048" t="s">
        <v>1472</v>
      </c>
      <c r="E58" s="1048">
        <v>2</v>
      </c>
      <c r="F58" s="1049">
        <v>1.2</v>
      </c>
      <c r="G58" s="1049">
        <v>0.45</v>
      </c>
      <c r="H58" s="1049">
        <v>0.45</v>
      </c>
      <c r="I58" s="1049">
        <f t="shared" si="4"/>
        <v>0.97</v>
      </c>
      <c r="J58" s="1049"/>
      <c r="K58" s="1049"/>
      <c r="L58" s="1049"/>
      <c r="M58" s="1049"/>
      <c r="N58" s="1087"/>
      <c r="O58" s="1087"/>
    </row>
    <row r="59" spans="1:15" ht="14.1">
      <c r="A59" s="1046"/>
      <c r="B59" s="1050" t="s">
        <v>2093</v>
      </c>
      <c r="C59" s="1048">
        <v>2</v>
      </c>
      <c r="D59" s="1048" t="s">
        <v>1472</v>
      </c>
      <c r="E59" s="1048">
        <v>2</v>
      </c>
      <c r="F59" s="1049">
        <v>4.1500000000000004</v>
      </c>
      <c r="G59" s="1049">
        <v>0.45</v>
      </c>
      <c r="H59" s="1049">
        <v>0.45</v>
      </c>
      <c r="I59" s="1049">
        <f t="shared" si="4"/>
        <v>3.36</v>
      </c>
      <c r="J59" s="1049"/>
      <c r="K59" s="1049"/>
      <c r="L59" s="1049"/>
      <c r="M59" s="1049"/>
      <c r="N59" s="1087"/>
      <c r="O59" s="1087"/>
    </row>
    <row r="60" spans="1:15" ht="14.1">
      <c r="A60" s="1046"/>
      <c r="B60" s="1050" t="s">
        <v>2094</v>
      </c>
      <c r="C60" s="1048">
        <v>2</v>
      </c>
      <c r="D60" s="1048" t="s">
        <v>1472</v>
      </c>
      <c r="E60" s="1048">
        <v>2</v>
      </c>
      <c r="F60" s="1049">
        <v>4</v>
      </c>
      <c r="G60" s="1049">
        <v>0.45</v>
      </c>
      <c r="H60" s="1049">
        <v>0.45</v>
      </c>
      <c r="I60" s="1049">
        <f t="shared" si="4"/>
        <v>3.24</v>
      </c>
      <c r="J60" s="1049"/>
      <c r="K60" s="1049"/>
      <c r="L60" s="1049"/>
      <c r="M60" s="1049"/>
      <c r="N60" s="1087"/>
      <c r="O60" s="1087"/>
    </row>
    <row r="61" spans="1:15" ht="27.6">
      <c r="A61" s="1046"/>
      <c r="B61" s="1050" t="s">
        <v>2095</v>
      </c>
      <c r="C61" s="1048">
        <v>1</v>
      </c>
      <c r="D61" s="1048" t="s">
        <v>1472</v>
      </c>
      <c r="E61" s="1048">
        <v>2</v>
      </c>
      <c r="F61" s="1049">
        <v>1.8</v>
      </c>
      <c r="G61" s="1049">
        <v>0.45</v>
      </c>
      <c r="H61" s="1049">
        <v>0.45</v>
      </c>
      <c r="I61" s="1049">
        <f t="shared" si="4"/>
        <v>0.73</v>
      </c>
      <c r="J61" s="1049"/>
      <c r="K61" s="1049"/>
      <c r="L61" s="1049"/>
      <c r="M61" s="1049"/>
      <c r="N61" s="1087"/>
      <c r="O61" s="1087"/>
    </row>
    <row r="62" spans="1:15" ht="14.1">
      <c r="A62" s="1046"/>
      <c r="B62" s="1051" t="s">
        <v>2096</v>
      </c>
      <c r="C62" s="1048">
        <v>1</v>
      </c>
      <c r="D62" s="1048" t="s">
        <v>1472</v>
      </c>
      <c r="E62" s="1048">
        <v>1</v>
      </c>
      <c r="F62" s="1049">
        <f>(31.5-6-4)*0.3048</f>
        <v>6.5532000000000004</v>
      </c>
      <c r="G62" s="1049">
        <v>0.45</v>
      </c>
      <c r="H62" s="1049">
        <v>0.45</v>
      </c>
      <c r="I62" s="1049">
        <f t="shared" si="4"/>
        <v>1.33</v>
      </c>
      <c r="J62" s="1049"/>
      <c r="K62" s="1049"/>
      <c r="L62" s="1049"/>
      <c r="M62" s="1049"/>
      <c r="N62" s="1087"/>
      <c r="O62" s="1087"/>
    </row>
    <row r="63" spans="1:15" ht="14.1">
      <c r="A63" s="1046"/>
      <c r="B63" s="1051" t="s">
        <v>2097</v>
      </c>
      <c r="C63" s="1048">
        <v>1</v>
      </c>
      <c r="D63" s="1048" t="s">
        <v>1472</v>
      </c>
      <c r="E63" s="1048">
        <v>2</v>
      </c>
      <c r="F63" s="1049">
        <v>3</v>
      </c>
      <c r="G63" s="1049">
        <v>0.45</v>
      </c>
      <c r="H63" s="1049">
        <v>0.45</v>
      </c>
      <c r="I63" s="1049">
        <f t="shared" si="4"/>
        <v>1.22</v>
      </c>
      <c r="J63" s="1049"/>
      <c r="K63" s="1049"/>
      <c r="L63" s="1049"/>
      <c r="M63" s="1049"/>
      <c r="N63" s="1087"/>
      <c r="O63" s="1087"/>
    </row>
    <row r="64" spans="1:15" ht="14.1">
      <c r="A64" s="1046"/>
      <c r="B64" s="1064"/>
      <c r="C64" s="1048"/>
      <c r="D64" s="1048"/>
      <c r="E64" s="1048"/>
      <c r="F64" s="1049"/>
      <c r="G64" s="1049"/>
      <c r="H64" s="1049"/>
      <c r="I64" s="1053">
        <f>SUM(I56:I63)</f>
        <v>22.049999999999997</v>
      </c>
      <c r="J64" s="1049"/>
      <c r="K64" s="1049"/>
      <c r="L64" s="1049"/>
      <c r="M64" s="1049"/>
      <c r="N64" s="1087"/>
      <c r="O64" s="1087"/>
    </row>
    <row r="65" spans="1:15" ht="14.1">
      <c r="A65" s="1046"/>
      <c r="B65" s="1064" t="s">
        <v>421</v>
      </c>
      <c r="C65" s="1048"/>
      <c r="D65" s="1048"/>
      <c r="E65" s="1048"/>
      <c r="F65" s="1049"/>
      <c r="G65" s="1049"/>
      <c r="H65" s="1049"/>
      <c r="I65" s="1049"/>
      <c r="J65" s="1049"/>
      <c r="K65" s="1049"/>
      <c r="L65" s="1049"/>
      <c r="M65" s="1049"/>
      <c r="N65" s="1087"/>
      <c r="O65" s="1087"/>
    </row>
    <row r="66" spans="1:15" ht="14.1">
      <c r="A66" s="1046"/>
      <c r="B66" s="1065" t="s">
        <v>2102</v>
      </c>
      <c r="C66" s="1048">
        <v>1</v>
      </c>
      <c r="D66" s="1048" t="s">
        <v>1472</v>
      </c>
      <c r="E66" s="1048">
        <v>1</v>
      </c>
      <c r="F66" s="1049">
        <f>(31.5-6)*0.3048</f>
        <v>7.7724000000000002</v>
      </c>
      <c r="G66" s="1049">
        <v>1.2</v>
      </c>
      <c r="H66" s="1049">
        <v>0.15</v>
      </c>
      <c r="I66" s="1049">
        <f t="shared" ref="I66:I73" si="5">ROUND(C66*E66*F66*G66*H66,2)</f>
        <v>1.4</v>
      </c>
      <c r="J66" s="1049"/>
      <c r="K66" s="1049"/>
      <c r="L66" s="1049"/>
      <c r="M66" s="1049"/>
      <c r="N66" s="1049"/>
      <c r="O66" s="1087"/>
    </row>
    <row r="67" spans="1:15" ht="14.1">
      <c r="A67" s="1046"/>
      <c r="B67" s="1065" t="s">
        <v>2103</v>
      </c>
      <c r="C67" s="1048">
        <v>1</v>
      </c>
      <c r="D67" s="1048" t="s">
        <v>1472</v>
      </c>
      <c r="E67" s="1048">
        <v>1</v>
      </c>
      <c r="F67" s="1049">
        <f>(31.5-6-2)*0.3048</f>
        <v>7.1628000000000007</v>
      </c>
      <c r="G67" s="1049">
        <v>0.9</v>
      </c>
      <c r="H67" s="1049">
        <v>0.15</v>
      </c>
      <c r="I67" s="1049">
        <f t="shared" si="5"/>
        <v>0.97</v>
      </c>
      <c r="J67" s="1049"/>
      <c r="K67" s="1049"/>
      <c r="L67" s="1049"/>
      <c r="M67" s="1049"/>
      <c r="N67" s="1049"/>
      <c r="O67" s="1087"/>
    </row>
    <row r="68" spans="1:15" ht="14.1">
      <c r="A68" s="1046"/>
      <c r="B68" s="1065" t="s">
        <v>2101</v>
      </c>
      <c r="C68" s="1048">
        <v>1</v>
      </c>
      <c r="D68" s="1048" t="s">
        <v>1472</v>
      </c>
      <c r="E68" s="1048">
        <v>1</v>
      </c>
      <c r="F68" s="1049">
        <f>(31.5-6-2-2)*0.3048</f>
        <v>6.5532000000000004</v>
      </c>
      <c r="G68" s="1049">
        <v>0.6</v>
      </c>
      <c r="H68" s="1049">
        <v>0.15</v>
      </c>
      <c r="I68" s="1049">
        <f t="shared" si="5"/>
        <v>0.59</v>
      </c>
      <c r="J68" s="1049"/>
      <c r="K68" s="1049"/>
      <c r="L68" s="1049"/>
      <c r="M68" s="1049"/>
      <c r="N68" s="1049"/>
      <c r="O68" s="1087"/>
    </row>
    <row r="69" spans="1:15" ht="14.1">
      <c r="A69" s="1046"/>
      <c r="B69" s="1065" t="s">
        <v>2104</v>
      </c>
      <c r="C69" s="1048">
        <v>1</v>
      </c>
      <c r="D69" s="1048" t="s">
        <v>1472</v>
      </c>
      <c r="E69" s="1048">
        <v>1</v>
      </c>
      <c r="F69" s="1049">
        <f>(31.5-6-2-2-2)*0.3048</f>
        <v>5.9436</v>
      </c>
      <c r="G69" s="1049">
        <v>0.3</v>
      </c>
      <c r="H69" s="1049">
        <v>0.15</v>
      </c>
      <c r="I69" s="1049">
        <f t="shared" si="5"/>
        <v>0.27</v>
      </c>
      <c r="J69" s="1049"/>
      <c r="K69" s="1049"/>
      <c r="L69" s="1049"/>
      <c r="M69" s="1049"/>
      <c r="N69" s="1049"/>
      <c r="O69" s="1087"/>
    </row>
    <row r="70" spans="1:15" ht="14.1">
      <c r="A70" s="1046"/>
      <c r="B70" s="1065" t="s">
        <v>2105</v>
      </c>
      <c r="C70" s="1048">
        <v>1</v>
      </c>
      <c r="D70" s="1048" t="s">
        <v>1472</v>
      </c>
      <c r="E70" s="1048">
        <v>1</v>
      </c>
      <c r="F70" s="1049">
        <f>(10)*0.3048</f>
        <v>3.048</v>
      </c>
      <c r="G70" s="1049">
        <v>1.2</v>
      </c>
      <c r="H70" s="1049">
        <v>0.15</v>
      </c>
      <c r="I70" s="1049">
        <f t="shared" si="5"/>
        <v>0.55000000000000004</v>
      </c>
      <c r="J70" s="1049"/>
      <c r="K70" s="1049"/>
      <c r="L70" s="1049"/>
      <c r="M70" s="1049"/>
      <c r="N70" s="1049"/>
      <c r="O70" s="1087"/>
    </row>
    <row r="71" spans="1:15" ht="14.1">
      <c r="A71" s="1046"/>
      <c r="B71" s="1065" t="s">
        <v>2106</v>
      </c>
      <c r="C71" s="1048">
        <v>1</v>
      </c>
      <c r="D71" s="1048" t="s">
        <v>1472</v>
      </c>
      <c r="E71" s="1048">
        <v>1</v>
      </c>
      <c r="F71" s="1049">
        <f>(10-1)*0.3048</f>
        <v>2.7432000000000003</v>
      </c>
      <c r="G71" s="1049">
        <v>0.9</v>
      </c>
      <c r="H71" s="1049">
        <v>0.15</v>
      </c>
      <c r="I71" s="1049">
        <f t="shared" si="5"/>
        <v>0.37</v>
      </c>
      <c r="J71" s="1049"/>
      <c r="K71" s="1049"/>
      <c r="L71" s="1049"/>
      <c r="M71" s="1049"/>
      <c r="N71" s="1049"/>
      <c r="O71" s="1087"/>
    </row>
    <row r="72" spans="1:15" ht="14.1">
      <c r="A72" s="1046"/>
      <c r="B72" s="1065" t="s">
        <v>2107</v>
      </c>
      <c r="C72" s="1048">
        <v>1</v>
      </c>
      <c r="D72" s="1048" t="s">
        <v>1472</v>
      </c>
      <c r="E72" s="1048">
        <v>1</v>
      </c>
      <c r="F72" s="1049">
        <f>(10-2)*0.3048</f>
        <v>2.4384000000000001</v>
      </c>
      <c r="G72" s="1049">
        <v>0.6</v>
      </c>
      <c r="H72" s="1049">
        <v>0.15</v>
      </c>
      <c r="I72" s="1049">
        <f t="shared" si="5"/>
        <v>0.22</v>
      </c>
      <c r="J72" s="1049"/>
      <c r="K72" s="1049"/>
      <c r="L72" s="1049"/>
      <c r="M72" s="1049"/>
      <c r="N72" s="1049"/>
      <c r="O72" s="1087"/>
    </row>
    <row r="73" spans="1:15" ht="14.1">
      <c r="A73" s="1046"/>
      <c r="B73" s="1065" t="s">
        <v>2108</v>
      </c>
      <c r="C73" s="1048">
        <v>1</v>
      </c>
      <c r="D73" s="1048" t="s">
        <v>1472</v>
      </c>
      <c r="E73" s="1048">
        <v>1</v>
      </c>
      <c r="F73" s="1049">
        <f>(10-3)*0.3048</f>
        <v>2.1335999999999999</v>
      </c>
      <c r="G73" s="1049">
        <v>0.3</v>
      </c>
      <c r="H73" s="1049">
        <v>0.15</v>
      </c>
      <c r="I73" s="1049">
        <f t="shared" si="5"/>
        <v>0.1</v>
      </c>
      <c r="J73" s="1049"/>
      <c r="K73" s="1049"/>
      <c r="L73" s="1049"/>
      <c r="M73" s="1049"/>
      <c r="N73" s="1049"/>
      <c r="O73" s="1087"/>
    </row>
    <row r="74" spans="1:15" ht="14.1">
      <c r="A74" s="1046"/>
      <c r="B74" s="1065"/>
      <c r="C74" s="1048"/>
      <c r="D74" s="1048"/>
      <c r="E74" s="1048"/>
      <c r="F74" s="1049"/>
      <c r="G74" s="1049"/>
      <c r="H74" s="1049"/>
      <c r="I74" s="1053">
        <f>SUM(I66:I73)</f>
        <v>4.47</v>
      </c>
      <c r="J74" s="1049"/>
      <c r="K74" s="1049"/>
      <c r="L74" s="1049"/>
      <c r="M74" s="1049"/>
      <c r="N74" s="1068"/>
      <c r="O74" s="1087"/>
    </row>
    <row r="75" spans="1:15" ht="14.1">
      <c r="A75" s="1046"/>
      <c r="B75" s="2432"/>
      <c r="C75" s="2433"/>
      <c r="D75" s="2433"/>
      <c r="E75" s="2433"/>
      <c r="F75" s="2433"/>
      <c r="G75" s="2433"/>
      <c r="H75" s="2434"/>
      <c r="I75" s="1053">
        <f>I74+I64+I55</f>
        <v>51.019999999999996</v>
      </c>
      <c r="J75" s="1049">
        <f>Datas!$G$212</f>
        <v>3494.84</v>
      </c>
      <c r="K75" s="1053">
        <f>ROUND(J75*I75,0)</f>
        <v>178307</v>
      </c>
      <c r="L75" s="1049">
        <f>1.1*75+0.33*90</f>
        <v>112.2</v>
      </c>
      <c r="M75" s="1055">
        <f>L75*I75</f>
        <v>5724.4439999999995</v>
      </c>
      <c r="N75" s="1087">
        <f>(1.1*75+0.33*90)</f>
        <v>112.2</v>
      </c>
      <c r="O75" s="1087">
        <f>ROUND(I75*N75,0)</f>
        <v>5724</v>
      </c>
    </row>
    <row r="76" spans="1:15" ht="14.1">
      <c r="A76" s="1046"/>
      <c r="B76" s="1051"/>
      <c r="C76" s="1048"/>
      <c r="D76" s="1048"/>
      <c r="E76" s="1048"/>
      <c r="F76" s="1049"/>
      <c r="G76" s="1049"/>
      <c r="H76" s="1049"/>
      <c r="I76" s="1053" t="s">
        <v>656</v>
      </c>
      <c r="J76" s="1049" t="s">
        <v>197</v>
      </c>
      <c r="K76" s="1049"/>
      <c r="L76" s="1049"/>
      <c r="M76" s="1049"/>
      <c r="N76" s="1087"/>
      <c r="O76" s="1087"/>
    </row>
    <row r="77" spans="1:15" ht="157.5" customHeight="1">
      <c r="A77" s="1046">
        <v>5</v>
      </c>
      <c r="B77" s="2415" t="s">
        <v>2294</v>
      </c>
      <c r="C77" s="2426"/>
      <c r="D77" s="2426"/>
      <c r="E77" s="2426"/>
      <c r="F77" s="2426"/>
      <c r="G77" s="2426"/>
      <c r="H77" s="2426"/>
      <c r="I77" s="2427"/>
      <c r="J77" s="1049"/>
      <c r="K77" s="1049"/>
      <c r="L77" s="1049"/>
      <c r="M77" s="1049"/>
      <c r="N77" s="1087"/>
      <c r="O77" s="1087"/>
    </row>
    <row r="78" spans="1:15" ht="14.1">
      <c r="A78" s="1046" t="s">
        <v>659</v>
      </c>
      <c r="B78" s="1066" t="s">
        <v>660</v>
      </c>
      <c r="C78" s="1048">
        <v>2</v>
      </c>
      <c r="D78" s="1048" t="s">
        <v>1472</v>
      </c>
      <c r="E78" s="1048">
        <v>6</v>
      </c>
      <c r="F78" s="1049">
        <v>1.5</v>
      </c>
      <c r="G78" s="1049">
        <v>1.5</v>
      </c>
      <c r="H78" s="1049">
        <v>0.4</v>
      </c>
      <c r="I78" s="1049">
        <f>ROUND(C78*E78*F78*G78*H78,2)</f>
        <v>10.8</v>
      </c>
      <c r="J78" s="1049"/>
      <c r="K78" s="1049"/>
      <c r="L78" s="1049"/>
      <c r="M78" s="1049"/>
      <c r="N78" s="1087">
        <v>108</v>
      </c>
      <c r="O78" s="1087">
        <f>ROUND(I78*N78,0)</f>
        <v>1166</v>
      </c>
    </row>
    <row r="79" spans="1:15" ht="14.1">
      <c r="A79" s="1046"/>
      <c r="B79" s="1065"/>
      <c r="C79" s="1048"/>
      <c r="D79" s="1048"/>
      <c r="E79" s="1048"/>
      <c r="F79" s="1049"/>
      <c r="G79" s="1049"/>
      <c r="H79" s="1049"/>
      <c r="I79" s="1052">
        <f>I78</f>
        <v>10.8</v>
      </c>
      <c r="J79" s="1049">
        <f>Datas!$G$318</f>
        <v>8788.51</v>
      </c>
      <c r="K79" s="1053">
        <f>ROUND(J79*I79,0)</f>
        <v>94916</v>
      </c>
      <c r="L79" s="1049">
        <v>108</v>
      </c>
      <c r="M79" s="1055">
        <f>L79*I79</f>
        <v>1166.4000000000001</v>
      </c>
      <c r="N79" s="1087"/>
      <c r="O79" s="1087"/>
    </row>
    <row r="80" spans="1:15" ht="14.1">
      <c r="A80" s="1046"/>
      <c r="B80" s="1065"/>
      <c r="C80" s="1048"/>
      <c r="D80" s="1048"/>
      <c r="E80" s="1048"/>
      <c r="F80" s="1049"/>
      <c r="G80" s="1049"/>
      <c r="H80" s="1049"/>
      <c r="I80" s="1053" t="s">
        <v>656</v>
      </c>
      <c r="J80" s="1049" t="s">
        <v>658</v>
      </c>
      <c r="K80" s="1053"/>
      <c r="L80" s="1053"/>
      <c r="M80" s="1053"/>
      <c r="N80" s="1087"/>
      <c r="O80" s="1087"/>
    </row>
    <row r="81" spans="1:15" ht="14.1">
      <c r="A81" s="1046" t="s">
        <v>950</v>
      </c>
      <c r="B81" s="1066" t="s">
        <v>662</v>
      </c>
      <c r="C81" s="1048"/>
      <c r="D81" s="1048"/>
      <c r="E81" s="1048"/>
      <c r="F81" s="1049"/>
      <c r="G81" s="1049"/>
      <c r="H81" s="1049"/>
      <c r="I81" s="1049"/>
      <c r="J81" s="1049"/>
      <c r="K81" s="1049"/>
      <c r="L81" s="1049"/>
      <c r="M81" s="1049"/>
      <c r="N81" s="1087"/>
      <c r="O81" s="1087"/>
    </row>
    <row r="82" spans="1:15" ht="14.1">
      <c r="A82" s="1046"/>
      <c r="B82" s="1065" t="s">
        <v>155</v>
      </c>
      <c r="C82" s="1048">
        <v>2</v>
      </c>
      <c r="D82" s="1048" t="s">
        <v>1472</v>
      </c>
      <c r="E82" s="1048">
        <v>6</v>
      </c>
      <c r="F82" s="1049">
        <v>0.23</v>
      </c>
      <c r="G82" s="1049">
        <v>0.375</v>
      </c>
      <c r="H82" s="1049">
        <f>1.65-0.15-0.4</f>
        <v>1.1000000000000001</v>
      </c>
      <c r="I82" s="1049">
        <f>ROUND(C82*E82*F82*G82*H82,2)</f>
        <v>1.1399999999999999</v>
      </c>
      <c r="J82" s="1049"/>
      <c r="K82" s="1049"/>
      <c r="L82" s="1049"/>
      <c r="M82" s="1049"/>
      <c r="N82" s="1087"/>
      <c r="O82" s="1087"/>
    </row>
    <row r="83" spans="1:15" ht="14.1">
      <c r="A83" s="1046"/>
      <c r="B83" s="1066" t="s">
        <v>665</v>
      </c>
      <c r="C83" s="1048"/>
      <c r="D83" s="1048"/>
      <c r="E83" s="1048"/>
      <c r="F83" s="1049"/>
      <c r="G83" s="1049"/>
      <c r="H83" s="1049"/>
      <c r="I83" s="1053"/>
      <c r="J83" s="1049"/>
      <c r="K83" s="1049"/>
      <c r="L83" s="1049"/>
      <c r="M83" s="1049"/>
      <c r="N83" s="1087"/>
      <c r="O83" s="1087"/>
    </row>
    <row r="84" spans="1:15" ht="14.1">
      <c r="A84" s="1046"/>
      <c r="B84" s="1065" t="s">
        <v>155</v>
      </c>
      <c r="C84" s="1048">
        <v>2</v>
      </c>
      <c r="D84" s="1048" t="s">
        <v>1472</v>
      </c>
      <c r="E84" s="1048">
        <v>6</v>
      </c>
      <c r="F84" s="1049">
        <v>0.23</v>
      </c>
      <c r="G84" s="1049">
        <v>0.375</v>
      </c>
      <c r="H84" s="1049">
        <v>4.9000000000000004</v>
      </c>
      <c r="I84" s="1049">
        <f>ROUND(C84*E84*F84*G84*H84,2)</f>
        <v>5.07</v>
      </c>
      <c r="J84" s="1049"/>
      <c r="K84" s="1049"/>
      <c r="L84" s="1049"/>
      <c r="M84" s="1049"/>
      <c r="N84" s="1087"/>
      <c r="O84" s="1087"/>
    </row>
    <row r="85" spans="1:15" ht="14.1">
      <c r="A85" s="1046"/>
      <c r="B85" s="1065"/>
      <c r="C85" s="1048"/>
      <c r="D85" s="1048"/>
      <c r="E85" s="1048"/>
      <c r="F85" s="1049"/>
      <c r="G85" s="1049"/>
      <c r="H85" s="1049"/>
      <c r="I85" s="1053">
        <f>SUM(I82:I84)</f>
        <v>6.21</v>
      </c>
      <c r="J85" s="1049"/>
      <c r="K85" s="1049"/>
      <c r="L85" s="1049"/>
      <c r="M85" s="1049"/>
      <c r="N85" s="1087"/>
      <c r="O85" s="1087"/>
    </row>
    <row r="86" spans="1:15" ht="14.1">
      <c r="A86" s="1046"/>
      <c r="B86" s="2432"/>
      <c r="C86" s="2433"/>
      <c r="D86" s="2433"/>
      <c r="E86" s="2433"/>
      <c r="F86" s="2433"/>
      <c r="G86" s="2433"/>
      <c r="H86" s="2434"/>
      <c r="I86" s="1052">
        <f>I85</f>
        <v>6.21</v>
      </c>
      <c r="J86" s="1049">
        <f>Datas!$E$388</f>
        <v>11842.03</v>
      </c>
      <c r="K86" s="1053">
        <f>ROUND(J86*I86,0)</f>
        <v>73539</v>
      </c>
      <c r="L86" s="1049">
        <v>108</v>
      </c>
      <c r="M86" s="1055">
        <f>L86*I86</f>
        <v>670.68</v>
      </c>
      <c r="N86" s="1087">
        <v>108</v>
      </c>
      <c r="O86" s="1087">
        <f>ROUND(I86*N86,0)</f>
        <v>671</v>
      </c>
    </row>
    <row r="87" spans="1:15" ht="14.1">
      <c r="A87" s="1046"/>
      <c r="B87" s="1065"/>
      <c r="C87" s="1048"/>
      <c r="D87" s="1048"/>
      <c r="E87" s="1048"/>
      <c r="F87" s="1049"/>
      <c r="G87" s="1049"/>
      <c r="H87" s="1049"/>
      <c r="I87" s="1053" t="s">
        <v>656</v>
      </c>
      <c r="J87" s="1049" t="s">
        <v>668</v>
      </c>
      <c r="K87" s="1053"/>
      <c r="L87" s="1053"/>
      <c r="M87" s="1053"/>
      <c r="N87" s="1087"/>
      <c r="O87" s="1087"/>
    </row>
    <row r="88" spans="1:15" ht="14.1">
      <c r="A88" s="1046" t="s">
        <v>661</v>
      </c>
      <c r="B88" s="1064" t="s">
        <v>154</v>
      </c>
      <c r="C88" s="1067"/>
      <c r="D88" s="1067"/>
      <c r="E88" s="1048"/>
      <c r="F88" s="1049"/>
      <c r="G88" s="1049"/>
      <c r="H88" s="1049"/>
      <c r="I88" s="1049"/>
      <c r="J88" s="1049"/>
      <c r="K88" s="1053"/>
      <c r="L88" s="1049"/>
      <c r="M88" s="1049"/>
      <c r="N88" s="1087"/>
      <c r="O88" s="1087"/>
    </row>
    <row r="89" spans="1:15" ht="14.1">
      <c r="A89" s="1046"/>
      <c r="B89" s="1051" t="s">
        <v>2109</v>
      </c>
      <c r="C89" s="1048">
        <v>1</v>
      </c>
      <c r="D89" s="1048" t="s">
        <v>1472</v>
      </c>
      <c r="E89" s="1048">
        <v>2</v>
      </c>
      <c r="F89" s="1049">
        <f>60.75*0.3048-6*0.225</f>
        <v>17.166599999999999</v>
      </c>
      <c r="G89" s="1049">
        <v>0.23</v>
      </c>
      <c r="H89" s="1049">
        <v>0.3</v>
      </c>
      <c r="I89" s="1049">
        <f>ROUND(C89*E89*F89*G89*H89,2)</f>
        <v>2.37</v>
      </c>
      <c r="J89" s="1049"/>
      <c r="K89" s="1049"/>
      <c r="L89" s="1049"/>
      <c r="M89" s="1049"/>
      <c r="N89" s="1087"/>
      <c r="O89" s="1087"/>
    </row>
    <row r="90" spans="1:15" ht="14.1">
      <c r="A90" s="1046"/>
      <c r="B90" s="1051" t="s">
        <v>2110</v>
      </c>
      <c r="C90" s="1048">
        <v>1</v>
      </c>
      <c r="D90" s="1048" t="s">
        <v>1472</v>
      </c>
      <c r="E90" s="1048">
        <v>3</v>
      </c>
      <c r="F90" s="1049">
        <f>30*0.3048</f>
        <v>9.1440000000000001</v>
      </c>
      <c r="G90" s="1049">
        <v>0.23</v>
      </c>
      <c r="H90" s="1049">
        <v>0.3</v>
      </c>
      <c r="I90" s="1049">
        <f>ROUND(C90*E90*F90*G90*H90,2)</f>
        <v>1.89</v>
      </c>
      <c r="J90" s="1049"/>
      <c r="K90" s="1049"/>
      <c r="L90" s="1049"/>
      <c r="M90" s="1049"/>
      <c r="N90" s="1087"/>
      <c r="O90" s="1087"/>
    </row>
    <row r="91" spans="1:15" ht="14.1">
      <c r="A91" s="1046"/>
      <c r="B91" s="1065"/>
      <c r="C91" s="1048"/>
      <c r="D91" s="1048"/>
      <c r="E91" s="1048"/>
      <c r="F91" s="1049"/>
      <c r="G91" s="1049"/>
      <c r="H91" s="1049"/>
      <c r="I91" s="1052">
        <f>SUM(I89:I90)</f>
        <v>4.26</v>
      </c>
      <c r="J91" s="1049">
        <f>Datas!$G$340</f>
        <v>11378.51</v>
      </c>
      <c r="K91" s="1053">
        <f>ROUND(J91*I91,0)</f>
        <v>48472</v>
      </c>
      <c r="L91" s="1049">
        <v>108</v>
      </c>
      <c r="M91" s="1055">
        <f>L91*I91</f>
        <v>460.08</v>
      </c>
      <c r="N91" s="1087">
        <v>108</v>
      </c>
      <c r="O91" s="1087">
        <f>ROUND(I91*N91,0)</f>
        <v>460</v>
      </c>
    </row>
    <row r="92" spans="1:15" ht="14.1">
      <c r="A92" s="1046"/>
      <c r="B92" s="1065"/>
      <c r="C92" s="1048"/>
      <c r="D92" s="1048"/>
      <c r="E92" s="1048"/>
      <c r="F92" s="1049"/>
      <c r="G92" s="1049"/>
      <c r="H92" s="1049"/>
      <c r="I92" s="1053" t="s">
        <v>656</v>
      </c>
      <c r="J92" s="1053" t="s">
        <v>670</v>
      </c>
      <c r="K92" s="1053"/>
      <c r="L92" s="1053"/>
      <c r="M92" s="1053"/>
      <c r="N92" s="1087"/>
      <c r="O92" s="1087"/>
    </row>
    <row r="93" spans="1:15" ht="14.1">
      <c r="A93" s="1046" t="s">
        <v>669</v>
      </c>
      <c r="B93" s="1064" t="s">
        <v>2324</v>
      </c>
      <c r="C93" s="1067"/>
      <c r="D93" s="1067"/>
      <c r="E93" s="1048"/>
      <c r="F93" s="1049"/>
      <c r="G93" s="1049"/>
      <c r="H93" s="1049"/>
      <c r="I93" s="1049"/>
      <c r="J93" s="1049"/>
      <c r="K93" s="1049"/>
      <c r="L93" s="1049"/>
      <c r="M93" s="1049"/>
      <c r="N93" s="1087"/>
      <c r="O93" s="1087"/>
    </row>
    <row r="94" spans="1:15" ht="14.1">
      <c r="A94" s="1046"/>
      <c r="B94" s="1051" t="s">
        <v>2325</v>
      </c>
      <c r="C94" s="1048">
        <v>1</v>
      </c>
      <c r="D94" s="1048" t="s">
        <v>1472</v>
      </c>
      <c r="E94" s="1048">
        <v>2</v>
      </c>
      <c r="F94" s="1049">
        <f>60.75*0.3048-6*0.225</f>
        <v>17.166599999999999</v>
      </c>
      <c r="G94" s="1049">
        <v>0.23</v>
      </c>
      <c r="H94" s="1049">
        <v>0.3</v>
      </c>
      <c r="I94" s="1049">
        <f>ROUND(C94*E94*F94*G94*H94,2)</f>
        <v>2.37</v>
      </c>
      <c r="J94" s="1049"/>
      <c r="K94" s="1049"/>
      <c r="L94" s="1049"/>
      <c r="M94" s="1049"/>
      <c r="N94" s="1087"/>
      <c r="O94" s="1087"/>
    </row>
    <row r="95" spans="1:15" ht="14.1">
      <c r="A95" s="1046"/>
      <c r="B95" s="1051" t="s">
        <v>2110</v>
      </c>
      <c r="C95" s="1048">
        <v>1</v>
      </c>
      <c r="D95" s="1048" t="s">
        <v>1472</v>
      </c>
      <c r="E95" s="1048">
        <v>2</v>
      </c>
      <c r="F95" s="1049">
        <v>9</v>
      </c>
      <c r="G95" s="1049">
        <v>0.23</v>
      </c>
      <c r="H95" s="1049">
        <v>0.3</v>
      </c>
      <c r="I95" s="1049">
        <f>ROUND(C95*E95*F95*G95*H95,2)</f>
        <v>1.24</v>
      </c>
      <c r="J95" s="1049"/>
      <c r="K95" s="1049"/>
      <c r="L95" s="1049"/>
      <c r="M95" s="1049"/>
      <c r="N95" s="1087"/>
      <c r="O95" s="1087"/>
    </row>
    <row r="96" spans="1:15" ht="14.1">
      <c r="A96" s="1046"/>
      <c r="B96" s="1065"/>
      <c r="C96" s="1048"/>
      <c r="D96" s="1048"/>
      <c r="E96" s="1048"/>
      <c r="F96" s="1049"/>
      <c r="G96" s="1049"/>
      <c r="H96" s="1049" t="s">
        <v>667</v>
      </c>
      <c r="I96" s="1052">
        <f>SUM(I94:I95)</f>
        <v>3.6100000000000003</v>
      </c>
      <c r="J96" s="1049">
        <f>Datas!$E$419</f>
        <v>11257.84</v>
      </c>
      <c r="K96" s="1053">
        <f>ROUND(J96*I96,0)</f>
        <v>40641</v>
      </c>
      <c r="L96" s="1049">
        <v>108</v>
      </c>
      <c r="M96" s="1055">
        <f>L96*I96</f>
        <v>389.88000000000005</v>
      </c>
      <c r="N96" s="1087">
        <v>108</v>
      </c>
      <c r="O96" s="1087">
        <f>ROUND(I96*N96,0)</f>
        <v>390</v>
      </c>
    </row>
    <row r="97" spans="1:15" ht="14.1">
      <c r="A97" s="1046"/>
      <c r="B97" s="1065"/>
      <c r="C97" s="1048"/>
      <c r="D97" s="1048"/>
      <c r="E97" s="1048"/>
      <c r="F97" s="1049"/>
      <c r="G97" s="1049"/>
      <c r="H97" s="1049"/>
      <c r="I97" s="1053" t="s">
        <v>656</v>
      </c>
      <c r="J97" s="1053" t="s">
        <v>670</v>
      </c>
      <c r="K97" s="1053"/>
      <c r="L97" s="1053"/>
      <c r="M97" s="1053"/>
      <c r="N97" s="1087"/>
      <c r="O97" s="1087"/>
    </row>
    <row r="98" spans="1:15" ht="14.1">
      <c r="A98" s="1046" t="s">
        <v>671</v>
      </c>
      <c r="B98" s="1064" t="s">
        <v>2259</v>
      </c>
      <c r="C98" s="1067"/>
      <c r="D98" s="1067"/>
      <c r="E98" s="1048"/>
      <c r="F98" s="1049"/>
      <c r="G98" s="1049"/>
      <c r="H98" s="1049"/>
      <c r="I98" s="1049"/>
      <c r="J98" s="1049"/>
      <c r="K98" s="1049"/>
      <c r="L98" s="1049"/>
      <c r="M98" s="1049"/>
      <c r="N98" s="1087"/>
      <c r="O98" s="1087"/>
    </row>
    <row r="99" spans="1:15" ht="14.1">
      <c r="A99" s="1046"/>
      <c r="B99" s="1051"/>
      <c r="C99" s="1048">
        <v>1</v>
      </c>
      <c r="D99" s="1048" t="s">
        <v>1472</v>
      </c>
      <c r="E99" s="1048">
        <v>1</v>
      </c>
      <c r="F99" s="1049">
        <f>14*0.3048</f>
        <v>4.2671999999999999</v>
      </c>
      <c r="G99" s="1084">
        <v>1</v>
      </c>
      <c r="H99" s="1049">
        <f>13.5*0.3048</f>
        <v>4.1147999999999998</v>
      </c>
      <c r="I99" s="1049">
        <f>ROUND(C99*E99*F99*G99*H99,2)</f>
        <v>17.559999999999999</v>
      </c>
      <c r="J99" s="1049"/>
      <c r="K99" s="1049"/>
      <c r="L99" s="1049"/>
      <c r="M99" s="1049"/>
      <c r="N99" s="1087"/>
      <c r="O99" s="1087"/>
    </row>
    <row r="100" spans="1:15" ht="14.1">
      <c r="A100" s="1046"/>
      <c r="B100" s="1065"/>
      <c r="C100" s="1048"/>
      <c r="D100" s="1048"/>
      <c r="E100" s="1048"/>
      <c r="F100" s="1049"/>
      <c r="G100" s="1049"/>
      <c r="H100" s="1049" t="s">
        <v>667</v>
      </c>
      <c r="I100" s="1052">
        <f>SUM(I99:I99)</f>
        <v>17.559999999999999</v>
      </c>
      <c r="J100" s="1049">
        <f>Datas!E467</f>
        <v>13463.55</v>
      </c>
      <c r="K100" s="1053">
        <f>ROUND(J100*I100/10,0)</f>
        <v>23642</v>
      </c>
      <c r="L100" s="1049">
        <v>108</v>
      </c>
      <c r="M100" s="1055">
        <f>L100*I100</f>
        <v>1896.4799999999998</v>
      </c>
      <c r="N100" s="1087">
        <v>108</v>
      </c>
      <c r="O100" s="1087">
        <f>ROUND(I100*N100*0.125,0)</f>
        <v>237</v>
      </c>
    </row>
    <row r="101" spans="1:15" ht="14.1">
      <c r="A101" s="1046"/>
      <c r="B101" s="1065"/>
      <c r="C101" s="1048"/>
      <c r="D101" s="1048"/>
      <c r="E101" s="1048"/>
      <c r="F101" s="1049"/>
      <c r="G101" s="1049"/>
      <c r="H101" s="1049"/>
      <c r="I101" s="1053" t="s">
        <v>2260</v>
      </c>
      <c r="J101" s="1053" t="s">
        <v>2169</v>
      </c>
      <c r="K101" s="1053"/>
      <c r="L101" s="1053"/>
      <c r="M101" s="1053"/>
      <c r="N101" s="1087"/>
      <c r="O101" s="1087"/>
    </row>
    <row r="102" spans="1:15" ht="131.25" customHeight="1">
      <c r="A102" s="1046">
        <v>6</v>
      </c>
      <c r="B102" s="2415" t="s">
        <v>2295</v>
      </c>
      <c r="C102" s="2426"/>
      <c r="D102" s="2426"/>
      <c r="E102" s="2426"/>
      <c r="F102" s="2426"/>
      <c r="G102" s="2426"/>
      <c r="H102" s="2426"/>
      <c r="I102" s="2427"/>
      <c r="J102" s="1049"/>
      <c r="K102" s="1049"/>
      <c r="L102" s="1049"/>
      <c r="M102" s="1049"/>
      <c r="N102" s="1087"/>
      <c r="O102" s="1087"/>
    </row>
    <row r="103" spans="1:15" ht="14.1">
      <c r="A103" s="1046"/>
      <c r="B103" s="1061" t="s">
        <v>673</v>
      </c>
      <c r="C103" s="1048"/>
      <c r="D103" s="1048"/>
      <c r="E103" s="1048"/>
      <c r="F103" s="1049"/>
      <c r="G103" s="1049"/>
      <c r="H103" s="1049"/>
      <c r="I103" s="1049"/>
      <c r="J103" s="1049"/>
      <c r="K103" s="1049"/>
      <c r="L103" s="1049"/>
      <c r="M103" s="1049"/>
      <c r="N103" s="1087"/>
      <c r="O103" s="1087"/>
    </row>
    <row r="104" spans="1:15">
      <c r="A104" s="1048"/>
      <c r="B104" s="1061" t="s">
        <v>2209</v>
      </c>
      <c r="C104" s="1048">
        <v>1</v>
      </c>
      <c r="D104" s="1048" t="s">
        <v>1472</v>
      </c>
      <c r="E104" s="1048">
        <v>1</v>
      </c>
      <c r="F104" s="1049">
        <v>1.6</v>
      </c>
      <c r="G104" s="1049">
        <v>0.23</v>
      </c>
      <c r="H104" s="1049">
        <v>0.1</v>
      </c>
      <c r="I104" s="1049">
        <f>ROUND(C104*E104*F104*G104*H104,2)</f>
        <v>0.04</v>
      </c>
      <c r="J104" s="1049"/>
      <c r="K104" s="1049"/>
      <c r="L104" s="1049"/>
      <c r="M104" s="1049"/>
      <c r="N104" s="1087"/>
      <c r="O104" s="1087"/>
    </row>
    <row r="105" spans="1:15">
      <c r="A105" s="1048"/>
      <c r="B105" s="1061" t="s">
        <v>2210</v>
      </c>
      <c r="C105" s="1048">
        <v>1</v>
      </c>
      <c r="D105" s="1048" t="s">
        <v>1472</v>
      </c>
      <c r="E105" s="1048">
        <v>2</v>
      </c>
      <c r="F105" s="1049">
        <v>1.05</v>
      </c>
      <c r="G105" s="1049">
        <v>0.115</v>
      </c>
      <c r="H105" s="1049">
        <v>0.1</v>
      </c>
      <c r="I105" s="1049">
        <f>ROUND(C105*E105*F105*G105*H105,2)</f>
        <v>0.02</v>
      </c>
      <c r="J105" s="1049"/>
      <c r="K105" s="1049"/>
      <c r="L105" s="1049"/>
      <c r="M105" s="1049"/>
      <c r="N105" s="1087"/>
      <c r="O105" s="1087"/>
    </row>
    <row r="106" spans="1:15">
      <c r="A106" s="1048"/>
      <c r="B106" s="1061" t="s">
        <v>2112</v>
      </c>
      <c r="C106" s="1048">
        <v>1</v>
      </c>
      <c r="D106" s="1048" t="s">
        <v>1472</v>
      </c>
      <c r="E106" s="1048">
        <v>2</v>
      </c>
      <c r="F106" s="1049">
        <v>1.8</v>
      </c>
      <c r="G106" s="1049">
        <v>0.23</v>
      </c>
      <c r="H106" s="1049">
        <v>0.15</v>
      </c>
      <c r="I106" s="1049">
        <f>ROUND(C106*E106*F106*G106*H106,2)</f>
        <v>0.12</v>
      </c>
      <c r="J106" s="1049"/>
      <c r="K106" s="1049"/>
      <c r="L106" s="1049"/>
      <c r="M106" s="1049"/>
      <c r="N106" s="1087"/>
      <c r="O106" s="1087"/>
    </row>
    <row r="107" spans="1:15" ht="14.1">
      <c r="A107" s="1046"/>
      <c r="B107" s="1061"/>
      <c r="C107" s="1048"/>
      <c r="D107" s="1048"/>
      <c r="E107" s="1048"/>
      <c r="F107" s="1049"/>
      <c r="G107" s="1049"/>
      <c r="H107" s="1049"/>
      <c r="I107" s="1052">
        <f>SUM(I104:I106)</f>
        <v>0.18</v>
      </c>
      <c r="J107" s="1049">
        <f>Datas!$E$372</f>
        <v>11905.03</v>
      </c>
      <c r="K107" s="1053">
        <f>ROUND(J107*I107,0)</f>
        <v>2143</v>
      </c>
      <c r="L107" s="1049">
        <v>108</v>
      </c>
      <c r="M107" s="1055">
        <f>L107*I107</f>
        <v>19.439999999999998</v>
      </c>
      <c r="N107" s="1087">
        <v>108</v>
      </c>
      <c r="O107" s="1087">
        <f>ROUND(I107*N107,0)</f>
        <v>19</v>
      </c>
    </row>
    <row r="108" spans="1:15" ht="14.1">
      <c r="A108" s="1046"/>
      <c r="B108" s="1061"/>
      <c r="C108" s="1048"/>
      <c r="D108" s="1048"/>
      <c r="E108" s="1048"/>
      <c r="F108" s="1049"/>
      <c r="G108" s="1049"/>
      <c r="H108" s="1049"/>
      <c r="I108" s="1053" t="s">
        <v>656</v>
      </c>
      <c r="J108" s="1053" t="s">
        <v>670</v>
      </c>
      <c r="K108" s="1053"/>
      <c r="L108" s="1049"/>
      <c r="M108" s="1049"/>
      <c r="N108" s="1087"/>
      <c r="O108" s="1087"/>
    </row>
    <row r="109" spans="1:15" ht="145.5" customHeight="1">
      <c r="A109" s="1046">
        <v>7</v>
      </c>
      <c r="B109" s="2415" t="s">
        <v>2296</v>
      </c>
      <c r="C109" s="2426"/>
      <c r="D109" s="2426"/>
      <c r="E109" s="2426"/>
      <c r="F109" s="2426"/>
      <c r="G109" s="2426"/>
      <c r="H109" s="2426"/>
      <c r="I109" s="2427"/>
      <c r="J109" s="1049"/>
      <c r="K109" s="1049"/>
      <c r="L109" s="1049"/>
      <c r="M109" s="1049"/>
      <c r="N109" s="1087"/>
      <c r="O109" s="1087"/>
    </row>
    <row r="110" spans="1:15">
      <c r="A110" s="1048"/>
      <c r="B110" s="1061" t="s">
        <v>2211</v>
      </c>
      <c r="C110" s="1048">
        <v>1</v>
      </c>
      <c r="D110" s="1048" t="s">
        <v>1472</v>
      </c>
      <c r="E110" s="1048">
        <v>2</v>
      </c>
      <c r="F110" s="1049">
        <f>(60.75-2.75)*0.3048</f>
        <v>17.6784</v>
      </c>
      <c r="G110" s="1049"/>
      <c r="H110" s="1049"/>
      <c r="I110" s="1049">
        <f>ROUND(C110*E110*F110,2)</f>
        <v>35.36</v>
      </c>
      <c r="J110" s="1049"/>
      <c r="K110" s="1049"/>
      <c r="L110" s="1049"/>
      <c r="M110" s="1068"/>
      <c r="N110" s="1087"/>
      <c r="O110" s="1087"/>
    </row>
    <row r="111" spans="1:15">
      <c r="A111" s="1048"/>
      <c r="B111" s="1061" t="s">
        <v>2111</v>
      </c>
      <c r="C111" s="1048">
        <v>1</v>
      </c>
      <c r="D111" s="1048" t="s">
        <v>1472</v>
      </c>
      <c r="E111" s="1048">
        <v>2</v>
      </c>
      <c r="F111" s="1049">
        <v>1.8</v>
      </c>
      <c r="G111" s="1049"/>
      <c r="H111" s="1049"/>
      <c r="I111" s="1049">
        <f>ROUND(C111*E111*F111,2)</f>
        <v>3.6</v>
      </c>
      <c r="J111" s="1049"/>
      <c r="K111" s="1049"/>
      <c r="L111" s="1049"/>
      <c r="M111" s="1049"/>
      <c r="N111" s="1087"/>
      <c r="O111" s="1087"/>
    </row>
    <row r="112" spans="1:15" ht="14.1">
      <c r="A112" s="1046"/>
      <c r="B112" s="1061" t="s">
        <v>674</v>
      </c>
      <c r="C112" s="1048"/>
      <c r="D112" s="1048"/>
      <c r="E112" s="1048"/>
      <c r="F112" s="1049"/>
      <c r="G112" s="1049"/>
      <c r="H112" s="1049"/>
      <c r="I112" s="1053">
        <f>SUM(I110:I111)</f>
        <v>38.96</v>
      </c>
      <c r="J112" s="1049">
        <f>Datas!$E$500</f>
        <v>606.11</v>
      </c>
      <c r="K112" s="1053">
        <f>ROUND(J112*I112,0)</f>
        <v>23614</v>
      </c>
      <c r="L112" s="1049">
        <f>0.0625*108</f>
        <v>6.75</v>
      </c>
      <c r="M112" s="1055">
        <f>L112*I112</f>
        <v>262.98</v>
      </c>
      <c r="N112" s="1087">
        <v>108</v>
      </c>
      <c r="O112" s="1087">
        <f>ROUND(I112*N112*0.0375,0)</f>
        <v>158</v>
      </c>
    </row>
    <row r="113" spans="1:15" ht="14.1">
      <c r="A113" s="1046"/>
      <c r="B113" s="1061"/>
      <c r="C113" s="1048"/>
      <c r="D113" s="1048"/>
      <c r="E113" s="1048"/>
      <c r="F113" s="1049"/>
      <c r="G113" s="1049"/>
      <c r="H113" s="1049"/>
      <c r="I113" s="1053" t="s">
        <v>495</v>
      </c>
      <c r="J113" s="1053" t="s">
        <v>2</v>
      </c>
      <c r="K113" s="1053"/>
      <c r="L113" s="1049"/>
      <c r="M113" s="1049"/>
      <c r="N113" s="1087"/>
      <c r="O113" s="1087"/>
    </row>
    <row r="114" spans="1:15" ht="125.25" customHeight="1">
      <c r="A114" s="1046">
        <v>8</v>
      </c>
      <c r="B114" s="2415" t="s">
        <v>2297</v>
      </c>
      <c r="C114" s="2426"/>
      <c r="D114" s="2426"/>
      <c r="E114" s="2426"/>
      <c r="F114" s="2426"/>
      <c r="G114" s="2426"/>
      <c r="H114" s="2426"/>
      <c r="I114" s="2427"/>
      <c r="J114" s="1049"/>
      <c r="K114" s="1049"/>
      <c r="L114" s="1049"/>
      <c r="M114" s="1049"/>
      <c r="N114" s="1087"/>
      <c r="O114" s="1087"/>
    </row>
    <row r="115" spans="1:15">
      <c r="A115" s="1048"/>
      <c r="B115" s="1061" t="s">
        <v>2213</v>
      </c>
      <c r="C115" s="1048">
        <v>4</v>
      </c>
      <c r="D115" s="1048" t="s">
        <v>1472</v>
      </c>
      <c r="E115" s="1048">
        <v>7</v>
      </c>
      <c r="F115" s="1049">
        <v>0.23</v>
      </c>
      <c r="G115" s="1049">
        <v>0.2</v>
      </c>
      <c r="H115" s="1049">
        <v>0.15</v>
      </c>
      <c r="I115" s="1049">
        <f>ROUND(C115*E115*F115*G115*H115,2)</f>
        <v>0.19</v>
      </c>
      <c r="J115" s="1049"/>
      <c r="K115" s="1049"/>
      <c r="L115" s="1049"/>
      <c r="M115" s="1049"/>
      <c r="N115" s="1087"/>
      <c r="O115" s="1087"/>
    </row>
    <row r="116" spans="1:15">
      <c r="A116" s="1048"/>
      <c r="B116" s="1061" t="s">
        <v>2212</v>
      </c>
      <c r="C116" s="1048">
        <v>4</v>
      </c>
      <c r="D116" s="1048" t="s">
        <v>1472</v>
      </c>
      <c r="E116" s="1048">
        <v>2</v>
      </c>
      <c r="F116" s="1049">
        <v>0.23</v>
      </c>
      <c r="G116" s="1049">
        <v>0.2</v>
      </c>
      <c r="H116" s="1049">
        <v>0.15</v>
      </c>
      <c r="I116" s="1049">
        <f>ROUND(C116*E116*F116*G116*H116,2)</f>
        <v>0.06</v>
      </c>
      <c r="J116" s="1049"/>
      <c r="K116" s="1049"/>
      <c r="L116" s="1049"/>
      <c r="M116" s="1049"/>
      <c r="N116" s="1087"/>
      <c r="O116" s="1087"/>
    </row>
    <row r="117" spans="1:15">
      <c r="A117" s="1048"/>
      <c r="B117" s="1061" t="s">
        <v>2114</v>
      </c>
      <c r="C117" s="1048">
        <v>4</v>
      </c>
      <c r="D117" s="1048" t="s">
        <v>1472</v>
      </c>
      <c r="E117" s="1048">
        <v>4</v>
      </c>
      <c r="F117" s="1049">
        <v>0.23</v>
      </c>
      <c r="G117" s="1049">
        <v>0.2</v>
      </c>
      <c r="H117" s="1049">
        <v>0.15</v>
      </c>
      <c r="I117" s="1049">
        <f>ROUND(C117*E117*F117*G117*H117,2)</f>
        <v>0.11</v>
      </c>
      <c r="J117" s="1049"/>
      <c r="K117" s="1049"/>
      <c r="L117" s="1049"/>
      <c r="M117" s="1049"/>
      <c r="N117" s="1087"/>
      <c r="O117" s="1087"/>
    </row>
    <row r="118" spans="1:15">
      <c r="A118" s="1048"/>
      <c r="B118" s="1071"/>
      <c r="C118" s="1072"/>
      <c r="D118" s="1072"/>
      <c r="E118" s="1072"/>
      <c r="F118" s="1073"/>
      <c r="G118" s="1073"/>
      <c r="H118" s="1074"/>
      <c r="I118" s="1049"/>
      <c r="J118" s="1049"/>
      <c r="K118" s="1049"/>
      <c r="L118" s="1049"/>
      <c r="M118" s="1068"/>
      <c r="N118" s="1087"/>
      <c r="O118" s="1087"/>
    </row>
    <row r="119" spans="1:15" ht="14.1">
      <c r="A119" s="1046"/>
      <c r="B119" s="2432"/>
      <c r="C119" s="2433"/>
      <c r="D119" s="2433"/>
      <c r="E119" s="2433"/>
      <c r="F119" s="2433"/>
      <c r="G119" s="2433"/>
      <c r="H119" s="2434"/>
      <c r="I119" s="1053">
        <f>SUM(I115:I117)</f>
        <v>0.36</v>
      </c>
      <c r="J119" s="1049">
        <f>Datas!$G$536</f>
        <v>5340.5599999999995</v>
      </c>
      <c r="K119" s="1053">
        <f>ROUND(J119*I119,0)</f>
        <v>1923</v>
      </c>
      <c r="L119" s="1049">
        <v>108</v>
      </c>
      <c r="M119" s="1055">
        <f>L119*I119</f>
        <v>38.879999999999995</v>
      </c>
      <c r="N119" s="1087">
        <v>108</v>
      </c>
      <c r="O119" s="1087">
        <f>ROUND(I119*N119,0)</f>
        <v>39</v>
      </c>
    </row>
    <row r="120" spans="1:15" ht="14.1">
      <c r="A120" s="1046"/>
      <c r="B120" s="1061"/>
      <c r="C120" s="1048"/>
      <c r="D120" s="1048"/>
      <c r="E120" s="1048"/>
      <c r="F120" s="1049"/>
      <c r="G120" s="1049"/>
      <c r="H120" s="1049"/>
      <c r="I120" s="1053" t="s">
        <v>656</v>
      </c>
      <c r="J120" s="1053" t="s">
        <v>658</v>
      </c>
      <c r="K120" s="1053"/>
      <c r="L120" s="1049"/>
      <c r="M120" s="1049"/>
      <c r="N120" s="1087"/>
      <c r="O120" s="1087"/>
    </row>
    <row r="121" spans="1:15" ht="99" customHeight="1">
      <c r="A121" s="1046">
        <v>9</v>
      </c>
      <c r="B121" s="2415" t="s">
        <v>2305</v>
      </c>
      <c r="C121" s="2426"/>
      <c r="D121" s="2426"/>
      <c r="E121" s="2426"/>
      <c r="F121" s="2426"/>
      <c r="G121" s="2426"/>
      <c r="H121" s="2426"/>
      <c r="I121" s="2427"/>
      <c r="J121" s="1049"/>
      <c r="K121" s="1049"/>
      <c r="L121" s="1049"/>
      <c r="M121" s="1049"/>
      <c r="N121" s="1087"/>
      <c r="O121" s="1087"/>
    </row>
    <row r="122" spans="1:15" ht="14.1">
      <c r="A122" s="1046"/>
      <c r="B122" s="1075" t="s">
        <v>2123</v>
      </c>
      <c r="C122" s="1058"/>
      <c r="D122" s="1058"/>
      <c r="E122" s="1058"/>
      <c r="F122" s="1058"/>
      <c r="G122" s="1058"/>
      <c r="H122" s="1058"/>
      <c r="I122" s="1059"/>
      <c r="J122" s="1049"/>
      <c r="K122" s="1049"/>
      <c r="L122" s="1049"/>
      <c r="M122" s="1049"/>
      <c r="N122" s="1087"/>
      <c r="O122" s="1087"/>
    </row>
    <row r="123" spans="1:15" ht="14.1">
      <c r="A123" s="1046"/>
      <c r="B123" s="1050" t="s">
        <v>2115</v>
      </c>
      <c r="C123" s="1048">
        <v>1</v>
      </c>
      <c r="D123" s="1048" t="s">
        <v>1472</v>
      </c>
      <c r="E123" s="1048">
        <v>2</v>
      </c>
      <c r="F123" s="1049">
        <f>(60.75*0.3048-6*0.225)</f>
        <v>17.166599999999999</v>
      </c>
      <c r="G123" s="1049">
        <v>0.23</v>
      </c>
      <c r="H123" s="1049">
        <v>4.26</v>
      </c>
      <c r="I123" s="1049">
        <f>ROUND(C123*E123*F123*G123*H123,2)</f>
        <v>33.64</v>
      </c>
      <c r="J123" s="1049"/>
      <c r="K123" s="1049"/>
      <c r="L123" s="1049"/>
      <c r="M123" s="1049"/>
      <c r="N123" s="1087"/>
      <c r="O123" s="1087"/>
    </row>
    <row r="124" spans="1:15" ht="14.1">
      <c r="A124" s="1046"/>
      <c r="B124" s="1050" t="s">
        <v>2033</v>
      </c>
      <c r="C124" s="1048">
        <v>1</v>
      </c>
      <c r="D124" s="1048" t="s">
        <v>1472</v>
      </c>
      <c r="E124" s="1048">
        <v>2</v>
      </c>
      <c r="F124" s="1049">
        <f>(30.75-2*0.75)*0.3048</f>
        <v>8.9154</v>
      </c>
      <c r="G124" s="1049">
        <v>0.23</v>
      </c>
      <c r="H124" s="1169" t="s">
        <v>2334</v>
      </c>
      <c r="I124" s="1049">
        <f>ROUND(C124*E124*F124*G124*AVERAGE(4.26,6,4.26),2)</f>
        <v>19.850000000000001</v>
      </c>
      <c r="J124" s="1049"/>
      <c r="K124" s="1049"/>
      <c r="L124" s="1049"/>
      <c r="M124" s="1049"/>
      <c r="N124" s="1087"/>
      <c r="O124" s="1087"/>
    </row>
    <row r="125" spans="1:15" ht="27.6">
      <c r="A125" s="1046"/>
      <c r="B125" s="1050" t="s">
        <v>2116</v>
      </c>
      <c r="C125" s="1048">
        <v>1</v>
      </c>
      <c r="D125" s="1048" t="s">
        <v>1472</v>
      </c>
      <c r="E125" s="1048">
        <v>1</v>
      </c>
      <c r="F125" s="1049">
        <f>(30.75-2*0.75)*0.3048</f>
        <v>8.9154</v>
      </c>
      <c r="G125" s="1049">
        <v>0.23</v>
      </c>
      <c r="H125" s="1049">
        <v>4.26</v>
      </c>
      <c r="I125" s="1049">
        <f>ROUND(C125*E125*F125*G125*H125,2)</f>
        <v>8.74</v>
      </c>
      <c r="J125" s="1049"/>
      <c r="K125" s="1049"/>
      <c r="L125" s="1049"/>
      <c r="M125" s="1049"/>
      <c r="N125" s="1087"/>
      <c r="O125" s="1087"/>
    </row>
    <row r="126" spans="1:15" ht="14.1">
      <c r="A126" s="1046"/>
      <c r="B126" s="1060" t="s">
        <v>675</v>
      </c>
      <c r="C126" s="1048"/>
      <c r="D126" s="1048"/>
      <c r="E126" s="1048"/>
      <c r="F126" s="1049"/>
      <c r="G126" s="1049"/>
      <c r="H126" s="1049"/>
      <c r="I126" s="1049"/>
      <c r="J126" s="1049"/>
      <c r="K126" s="1049"/>
      <c r="L126" s="1049"/>
      <c r="M126" s="1049"/>
      <c r="N126" s="1087"/>
      <c r="O126" s="1087"/>
    </row>
    <row r="127" spans="1:15">
      <c r="A127" s="1076"/>
      <c r="B127" s="1061" t="s">
        <v>2214</v>
      </c>
      <c r="C127" s="1048">
        <v>1</v>
      </c>
      <c r="D127" s="1048" t="s">
        <v>1472</v>
      </c>
      <c r="E127" s="1048">
        <v>1</v>
      </c>
      <c r="F127" s="1049">
        <v>2.5</v>
      </c>
      <c r="G127" s="1049">
        <v>0.23</v>
      </c>
      <c r="H127" s="1049">
        <v>2.4</v>
      </c>
      <c r="I127" s="1049">
        <f>-ROUND(C127*E127*F127*G127*H127,2)</f>
        <v>-1.38</v>
      </c>
      <c r="J127" s="1049"/>
      <c r="K127" s="1049"/>
      <c r="L127" s="1049"/>
      <c r="M127" s="1049"/>
      <c r="N127" s="1087"/>
      <c r="O127" s="1087"/>
    </row>
    <row r="128" spans="1:15">
      <c r="A128" s="1076"/>
      <c r="B128" s="1061" t="s">
        <v>980</v>
      </c>
      <c r="C128" s="1048">
        <v>1</v>
      </c>
      <c r="D128" s="1048" t="s">
        <v>1472</v>
      </c>
      <c r="E128" s="1048">
        <v>2</v>
      </c>
      <c r="F128" s="1049">
        <v>1.5</v>
      </c>
      <c r="G128" s="1049">
        <v>0.23</v>
      </c>
      <c r="H128" s="1049">
        <v>2.1</v>
      </c>
      <c r="I128" s="1049">
        <f>-ROUND(C128*E128*F128*G128*H128,2)</f>
        <v>-1.45</v>
      </c>
      <c r="J128" s="1049"/>
      <c r="K128" s="1049"/>
      <c r="L128" s="1049"/>
      <c r="M128" s="1049"/>
      <c r="N128" s="1087"/>
      <c r="O128" s="1087"/>
    </row>
    <row r="129" spans="1:15">
      <c r="A129" s="1076"/>
      <c r="B129" s="1061" t="s">
        <v>981</v>
      </c>
      <c r="C129" s="1048">
        <v>1</v>
      </c>
      <c r="D129" s="1048" t="s">
        <v>1472</v>
      </c>
      <c r="E129" s="1048">
        <v>2</v>
      </c>
      <c r="F129" s="1049">
        <v>0.9</v>
      </c>
      <c r="G129" s="1049">
        <v>0.23</v>
      </c>
      <c r="H129" s="1049">
        <v>2.1</v>
      </c>
      <c r="I129" s="1049">
        <f t="shared" ref="I129:I144" si="6">-ROUND(C129*E129*F129*G129*H129,2)</f>
        <v>-0.87</v>
      </c>
      <c r="J129" s="1049"/>
      <c r="K129" s="1049"/>
      <c r="L129" s="1049"/>
      <c r="M129" s="1049"/>
      <c r="N129" s="1087"/>
      <c r="O129" s="1087"/>
    </row>
    <row r="130" spans="1:15">
      <c r="A130" s="1076"/>
      <c r="B130" s="1061" t="s">
        <v>2117</v>
      </c>
      <c r="C130" s="1048">
        <v>1</v>
      </c>
      <c r="D130" s="1048" t="s">
        <v>1472</v>
      </c>
      <c r="E130" s="1048">
        <v>4</v>
      </c>
      <c r="F130" s="1049">
        <v>1.5</v>
      </c>
      <c r="G130" s="1049">
        <v>0.23</v>
      </c>
      <c r="H130" s="1049">
        <v>1.2</v>
      </c>
      <c r="I130" s="1049">
        <f t="shared" si="6"/>
        <v>-1.66</v>
      </c>
      <c r="J130" s="1049"/>
      <c r="K130" s="1049"/>
      <c r="L130" s="1049"/>
      <c r="M130" s="1049"/>
      <c r="N130" s="1087"/>
      <c r="O130" s="1087"/>
    </row>
    <row r="131" spans="1:15" ht="14.1">
      <c r="A131" s="1046"/>
      <c r="B131" s="1061" t="s">
        <v>2215</v>
      </c>
      <c r="C131" s="1048">
        <v>1</v>
      </c>
      <c r="D131" s="1048" t="s">
        <v>1472</v>
      </c>
      <c r="E131" s="1048">
        <v>6</v>
      </c>
      <c r="F131" s="1049">
        <f>11*0.3048</f>
        <v>3.3528000000000002</v>
      </c>
      <c r="G131" s="1049">
        <v>0.23</v>
      </c>
      <c r="H131" s="1049">
        <v>0.9</v>
      </c>
      <c r="I131" s="1049">
        <f>-ROUND(C131*E131*F131*G131*H131,2)</f>
        <v>-4.16</v>
      </c>
      <c r="J131" s="1049"/>
      <c r="K131" s="1049"/>
      <c r="L131" s="1049"/>
      <c r="M131" s="1049"/>
      <c r="N131" s="1087"/>
      <c r="O131" s="1087"/>
    </row>
    <row r="132" spans="1:15" ht="14.1">
      <c r="A132" s="1046"/>
      <c r="B132" s="1061" t="s">
        <v>2216</v>
      </c>
      <c r="C132" s="1048">
        <v>1</v>
      </c>
      <c r="D132" s="1048" t="s">
        <v>1472</v>
      </c>
      <c r="E132" s="1048">
        <v>2</v>
      </c>
      <c r="F132" s="1049">
        <v>2.4</v>
      </c>
      <c r="G132" s="1049">
        <v>0.23</v>
      </c>
      <c r="H132" s="1049">
        <v>2</v>
      </c>
      <c r="I132" s="1049">
        <f>-ROUND(C132*E132*F132*G132*H132,2)</f>
        <v>-2.21</v>
      </c>
      <c r="J132" s="1049"/>
      <c r="K132" s="1049"/>
      <c r="L132" s="1049"/>
      <c r="M132" s="1049"/>
      <c r="N132" s="1087"/>
      <c r="O132" s="1087"/>
    </row>
    <row r="133" spans="1:15" ht="14.1">
      <c r="A133" s="1046"/>
      <c r="B133" s="1060" t="s">
        <v>2121</v>
      </c>
      <c r="C133" s="1048"/>
      <c r="D133" s="1048"/>
      <c r="E133" s="1048"/>
      <c r="F133" s="1049"/>
      <c r="G133" s="1049"/>
      <c r="H133" s="1049"/>
      <c r="I133" s="1049"/>
      <c r="J133" s="1049"/>
      <c r="K133" s="1049"/>
      <c r="L133" s="1049"/>
      <c r="M133" s="1049"/>
      <c r="N133" s="1087"/>
      <c r="O133" s="1087"/>
    </row>
    <row r="134" spans="1:15" ht="14.1">
      <c r="A134" s="1046"/>
      <c r="B134" s="1051" t="s">
        <v>2330</v>
      </c>
      <c r="C134" s="1048">
        <v>1</v>
      </c>
      <c r="D134" s="1048" t="s">
        <v>1472</v>
      </c>
      <c r="E134" s="1048">
        <v>2</v>
      </c>
      <c r="F134" s="1049">
        <f>(60.75*0.3048)</f>
        <v>18.5166</v>
      </c>
      <c r="G134" s="1049">
        <v>0.23</v>
      </c>
      <c r="H134" s="1049">
        <v>0.3</v>
      </c>
      <c r="I134" s="1049">
        <f t="shared" si="6"/>
        <v>-2.56</v>
      </c>
      <c r="J134" s="1049"/>
      <c r="K134" s="1049"/>
      <c r="L134" s="1049"/>
      <c r="M134" s="1049"/>
      <c r="N134" s="1087"/>
      <c r="O134" s="1087"/>
    </row>
    <row r="135" spans="1:15" ht="14.1">
      <c r="A135" s="1046"/>
      <c r="B135" s="1051" t="s">
        <v>2331</v>
      </c>
      <c r="C135" s="1048">
        <v>1</v>
      </c>
      <c r="D135" s="1048" t="s">
        <v>1472</v>
      </c>
      <c r="E135" s="1048">
        <v>2</v>
      </c>
      <c r="F135" s="1049">
        <f>(60.75*0.3048)</f>
        <v>18.5166</v>
      </c>
      <c r="G135" s="1049">
        <v>0.23</v>
      </c>
      <c r="H135" s="1049">
        <v>0.3</v>
      </c>
      <c r="I135" s="1049">
        <f t="shared" si="6"/>
        <v>-2.56</v>
      </c>
      <c r="J135" s="1049"/>
      <c r="K135" s="1049"/>
      <c r="L135" s="1049"/>
      <c r="M135" s="1049"/>
      <c r="N135" s="1087"/>
      <c r="O135" s="1087"/>
    </row>
    <row r="136" spans="1:15" ht="14.1">
      <c r="A136" s="1046"/>
      <c r="B136" s="1051" t="s">
        <v>2332</v>
      </c>
      <c r="C136" s="1048">
        <v>1</v>
      </c>
      <c r="D136" s="1048" t="s">
        <v>1472</v>
      </c>
      <c r="E136" s="1048">
        <v>2</v>
      </c>
      <c r="F136" s="1049">
        <v>9</v>
      </c>
      <c r="G136" s="1049">
        <v>0.23</v>
      </c>
      <c r="H136" s="1049">
        <v>0.3</v>
      </c>
      <c r="I136" s="1049">
        <f t="shared" si="6"/>
        <v>-1.24</v>
      </c>
      <c r="J136" s="1049"/>
      <c r="K136" s="1049"/>
      <c r="L136" s="1049"/>
      <c r="M136" s="1049"/>
      <c r="N136" s="1087"/>
      <c r="O136" s="1087"/>
    </row>
    <row r="137" spans="1:15" ht="14.1">
      <c r="A137" s="1046"/>
      <c r="B137" s="1051" t="s">
        <v>2333</v>
      </c>
      <c r="C137" s="1048">
        <v>1</v>
      </c>
      <c r="D137" s="1048" t="s">
        <v>1472</v>
      </c>
      <c r="E137" s="1048">
        <v>2</v>
      </c>
      <c r="F137" s="1049">
        <v>9</v>
      </c>
      <c r="G137" s="1049">
        <v>0.23</v>
      </c>
      <c r="H137" s="1049">
        <v>0.3</v>
      </c>
      <c r="I137" s="1049">
        <f t="shared" si="6"/>
        <v>-1.24</v>
      </c>
      <c r="J137" s="1049"/>
      <c r="K137" s="1049"/>
      <c r="L137" s="1049"/>
      <c r="M137" s="1049"/>
      <c r="N137" s="1087"/>
      <c r="O137" s="1087"/>
    </row>
    <row r="138" spans="1:15" ht="14.1">
      <c r="A138" s="1046"/>
      <c r="B138" s="1061"/>
      <c r="C138" s="1048"/>
      <c r="D138" s="1048"/>
      <c r="E138" s="1048"/>
      <c r="F138" s="1049"/>
      <c r="G138" s="1049"/>
      <c r="H138" s="1049"/>
      <c r="I138" s="1049"/>
      <c r="J138" s="1049"/>
      <c r="K138" s="1049"/>
      <c r="L138" s="1049"/>
      <c r="M138" s="1049"/>
      <c r="N138" s="1087"/>
      <c r="O138" s="1087"/>
    </row>
    <row r="139" spans="1:15" ht="14.1">
      <c r="A139" s="1046"/>
      <c r="B139" s="1060" t="s">
        <v>2118</v>
      </c>
      <c r="C139" s="1048"/>
      <c r="D139" s="1048"/>
      <c r="E139" s="1048"/>
      <c r="F139" s="1049"/>
      <c r="G139" s="1049"/>
      <c r="H139" s="1049"/>
      <c r="I139" s="1049"/>
      <c r="J139" s="1049"/>
      <c r="K139" s="1049"/>
      <c r="L139" s="1049"/>
      <c r="M139" s="1049"/>
      <c r="N139" s="1087"/>
      <c r="O139" s="1087"/>
    </row>
    <row r="140" spans="1:15">
      <c r="A140" s="1048"/>
      <c r="B140" s="1061" t="s">
        <v>2209</v>
      </c>
      <c r="C140" s="1048">
        <v>1</v>
      </c>
      <c r="D140" s="1048" t="s">
        <v>1472</v>
      </c>
      <c r="E140" s="1048">
        <v>1</v>
      </c>
      <c r="F140" s="1049">
        <v>1.6</v>
      </c>
      <c r="G140" s="1049">
        <v>0.23</v>
      </c>
      <c r="H140" s="1049">
        <v>0.1</v>
      </c>
      <c r="I140" s="1049">
        <f t="shared" si="6"/>
        <v>-0.04</v>
      </c>
      <c r="J140" s="1049"/>
      <c r="K140" s="1049"/>
      <c r="L140" s="1049"/>
      <c r="M140" s="1049"/>
      <c r="N140" s="1087"/>
      <c r="O140" s="1087"/>
    </row>
    <row r="141" spans="1:15">
      <c r="A141" s="1048"/>
      <c r="B141" s="1061"/>
      <c r="C141" s="1048"/>
      <c r="D141" s="1048"/>
      <c r="E141" s="1048"/>
      <c r="F141" s="1049"/>
      <c r="G141" s="1049"/>
      <c r="H141" s="1049"/>
      <c r="I141" s="1049"/>
      <c r="J141" s="1049"/>
      <c r="K141" s="1049"/>
      <c r="L141" s="1049"/>
      <c r="M141" s="1049"/>
      <c r="N141" s="1087"/>
      <c r="O141" s="1087"/>
    </row>
    <row r="142" spans="1:15" ht="14.1">
      <c r="A142" s="1048"/>
      <c r="B142" s="1060" t="s">
        <v>38</v>
      </c>
      <c r="C142" s="1048"/>
      <c r="D142" s="1048"/>
      <c r="E142" s="1048"/>
      <c r="F142" s="1049"/>
      <c r="G142" s="1049"/>
      <c r="H142" s="1049"/>
      <c r="I142" s="1049"/>
      <c r="J142" s="1049"/>
      <c r="K142" s="1049"/>
      <c r="L142" s="1049"/>
      <c r="M142" s="1049"/>
      <c r="N142" s="1087"/>
      <c r="O142" s="1087"/>
    </row>
    <row r="143" spans="1:15">
      <c r="A143" s="1048"/>
      <c r="B143" s="1061" t="s">
        <v>2113</v>
      </c>
      <c r="C143" s="1048">
        <v>4</v>
      </c>
      <c r="D143" s="1048" t="s">
        <v>1472</v>
      </c>
      <c r="E143" s="1048">
        <v>7</v>
      </c>
      <c r="F143" s="1049">
        <v>0.23</v>
      </c>
      <c r="G143" s="1049">
        <v>0.2</v>
      </c>
      <c r="H143" s="1049">
        <v>0.15</v>
      </c>
      <c r="I143" s="1049">
        <f t="shared" si="6"/>
        <v>-0.19</v>
      </c>
      <c r="J143" s="1049"/>
      <c r="K143" s="1049"/>
      <c r="L143" s="1049"/>
      <c r="M143" s="1049"/>
      <c r="N143" s="1087"/>
      <c r="O143" s="1087"/>
    </row>
    <row r="144" spans="1:15">
      <c r="A144" s="1048"/>
      <c r="B144" s="1061" t="s">
        <v>2114</v>
      </c>
      <c r="C144" s="1048">
        <v>4</v>
      </c>
      <c r="D144" s="1048" t="s">
        <v>1472</v>
      </c>
      <c r="E144" s="1048">
        <v>4</v>
      </c>
      <c r="F144" s="1049">
        <v>0.23</v>
      </c>
      <c r="G144" s="1049">
        <v>0.2</v>
      </c>
      <c r="H144" s="1049">
        <v>0.15</v>
      </c>
      <c r="I144" s="1049">
        <f t="shared" si="6"/>
        <v>-0.11</v>
      </c>
      <c r="J144" s="1049"/>
      <c r="K144" s="1049"/>
      <c r="L144" s="1049"/>
      <c r="M144" s="1049"/>
      <c r="N144" s="1087"/>
      <c r="O144" s="1087"/>
    </row>
    <row r="145" spans="1:15">
      <c r="A145" s="1048"/>
      <c r="B145" s="1061"/>
      <c r="C145" s="1048"/>
      <c r="D145" s="1048"/>
      <c r="E145" s="1048"/>
      <c r="F145" s="1049"/>
      <c r="G145" s="1049"/>
      <c r="H145" s="1049"/>
      <c r="I145" s="1049"/>
      <c r="J145" s="1049"/>
      <c r="K145" s="1049"/>
      <c r="L145" s="1049"/>
      <c r="M145" s="1049"/>
      <c r="N145" s="1087"/>
      <c r="O145" s="1087"/>
    </row>
    <row r="146" spans="1:15" ht="14.1">
      <c r="A146" s="1048"/>
      <c r="B146" s="1060" t="s">
        <v>2124</v>
      </c>
      <c r="C146" s="1048"/>
      <c r="D146" s="1048"/>
      <c r="E146" s="1048"/>
      <c r="F146" s="1049"/>
      <c r="G146" s="1049"/>
      <c r="H146" s="1049"/>
      <c r="I146" s="1049"/>
      <c r="J146" s="1049"/>
      <c r="K146" s="1049"/>
      <c r="L146" s="1049"/>
      <c r="M146" s="1049"/>
      <c r="N146" s="1087"/>
      <c r="O146" s="1087"/>
    </row>
    <row r="147" spans="1:15" ht="14.1">
      <c r="A147" s="1046"/>
      <c r="B147" s="1050" t="s">
        <v>2093</v>
      </c>
      <c r="C147" s="1048">
        <v>1</v>
      </c>
      <c r="D147" s="1048" t="s">
        <v>1472</v>
      </c>
      <c r="E147" s="1048">
        <v>2</v>
      </c>
      <c r="F147" s="1049">
        <f>12*0.3048</f>
        <v>3.6576000000000004</v>
      </c>
      <c r="G147" s="1049">
        <v>0.23</v>
      </c>
      <c r="H147" s="1049">
        <v>2.9</v>
      </c>
      <c r="I147" s="1049">
        <f>ROUND(C147*E147*F147*G147*H147,2)</f>
        <v>4.88</v>
      </c>
      <c r="J147" s="1049"/>
      <c r="K147" s="1049"/>
      <c r="L147" s="1049"/>
      <c r="M147" s="1049"/>
      <c r="N147" s="1087"/>
      <c r="O147" s="1087"/>
    </row>
    <row r="148" spans="1:15" ht="14.1">
      <c r="A148" s="1046"/>
      <c r="B148" s="1050" t="s">
        <v>2094</v>
      </c>
      <c r="C148" s="1048">
        <v>1</v>
      </c>
      <c r="D148" s="1048" t="s">
        <v>1472</v>
      </c>
      <c r="E148" s="1048">
        <v>2</v>
      </c>
      <c r="F148" s="1049">
        <f>11.5*0.3048</f>
        <v>3.5052000000000003</v>
      </c>
      <c r="G148" s="1049">
        <v>0.23</v>
      </c>
      <c r="H148" s="1049">
        <v>2.9</v>
      </c>
      <c r="I148" s="1049">
        <f>ROUND(C148*E148*F148*G148*H148,2)</f>
        <v>4.68</v>
      </c>
      <c r="J148" s="1049"/>
      <c r="K148" s="1049"/>
      <c r="L148" s="1049"/>
      <c r="M148" s="1049"/>
      <c r="N148" s="1087"/>
      <c r="O148" s="1087"/>
    </row>
    <row r="149" spans="1:15">
      <c r="A149" s="1048"/>
      <c r="B149" s="1061" t="s">
        <v>2125</v>
      </c>
      <c r="C149" s="1048">
        <v>1</v>
      </c>
      <c r="D149" s="1048" t="s">
        <v>1472</v>
      </c>
      <c r="E149" s="1048">
        <v>1</v>
      </c>
      <c r="F149" s="1049">
        <f>10.5*0.3048</f>
        <v>3.2004000000000001</v>
      </c>
      <c r="G149" s="1049">
        <v>0.115</v>
      </c>
      <c r="H149" s="1049">
        <v>2.1</v>
      </c>
      <c r="I149" s="1049">
        <f>ROUND(C149*E149*F149*G149*H149,2)</f>
        <v>0.77</v>
      </c>
      <c r="J149" s="1049"/>
      <c r="K149" s="1049"/>
      <c r="L149" s="1049"/>
      <c r="M149" s="1049"/>
      <c r="N149" s="1087"/>
      <c r="O149" s="1087"/>
    </row>
    <row r="150" spans="1:15">
      <c r="A150" s="1048"/>
      <c r="B150" s="1061" t="s">
        <v>2125</v>
      </c>
      <c r="C150" s="1048">
        <v>1</v>
      </c>
      <c r="D150" s="1048" t="s">
        <v>1472</v>
      </c>
      <c r="E150" s="1048">
        <v>1</v>
      </c>
      <c r="F150" s="1049">
        <f>11.25*0.3048</f>
        <v>3.4290000000000003</v>
      </c>
      <c r="G150" s="1049">
        <v>0.115</v>
      </c>
      <c r="H150" s="1049">
        <v>2.1</v>
      </c>
      <c r="I150" s="1049">
        <f>ROUND(C150*E150*F150*G150*H150,2)</f>
        <v>0.83</v>
      </c>
      <c r="J150" s="1049"/>
      <c r="K150" s="1049"/>
      <c r="L150" s="1049"/>
      <c r="M150" s="1049"/>
      <c r="N150" s="1087"/>
      <c r="O150" s="1087"/>
    </row>
    <row r="151" spans="1:15" ht="14.1">
      <c r="A151" s="1048"/>
      <c r="B151" s="1060" t="s">
        <v>675</v>
      </c>
      <c r="C151" s="1048"/>
      <c r="D151" s="1048"/>
      <c r="E151" s="1048"/>
      <c r="F151" s="1049"/>
      <c r="G151" s="1049"/>
      <c r="H151" s="1049"/>
      <c r="I151" s="1049"/>
      <c r="J151" s="1049"/>
      <c r="K151" s="1049"/>
      <c r="L151" s="1049"/>
      <c r="M151" s="1049"/>
      <c r="N151" s="1087"/>
      <c r="O151" s="1087"/>
    </row>
    <row r="152" spans="1:15">
      <c r="A152" s="1048"/>
      <c r="B152" s="1061" t="s">
        <v>2126</v>
      </c>
      <c r="C152" s="1048">
        <v>1</v>
      </c>
      <c r="D152" s="1048" t="s">
        <v>1472</v>
      </c>
      <c r="E152" s="1048">
        <v>2</v>
      </c>
      <c r="F152" s="1049">
        <v>0.9</v>
      </c>
      <c r="G152" s="1049">
        <v>0.23</v>
      </c>
      <c r="H152" s="1049">
        <v>2.1</v>
      </c>
      <c r="I152" s="1049">
        <f>-ROUND(C152*E152*F152*G152*H152,2)</f>
        <v>-0.87</v>
      </c>
      <c r="J152" s="1049"/>
      <c r="K152" s="1049"/>
      <c r="L152" s="1049"/>
      <c r="M152" s="1049"/>
      <c r="N152" s="1087"/>
      <c r="O152" s="1087"/>
    </row>
    <row r="153" spans="1:15">
      <c r="A153" s="1048"/>
      <c r="B153" s="1061" t="s">
        <v>980</v>
      </c>
      <c r="C153" s="1048">
        <v>1</v>
      </c>
      <c r="D153" s="1048" t="s">
        <v>1472</v>
      </c>
      <c r="E153" s="1048">
        <v>2</v>
      </c>
      <c r="F153" s="1049">
        <v>0.75</v>
      </c>
      <c r="G153" s="1049">
        <v>0.115</v>
      </c>
      <c r="H153" s="1049">
        <v>2.1</v>
      </c>
      <c r="I153" s="1049">
        <f>-ROUND(C153*E153*F153*G153*H153,2)</f>
        <v>-0.36</v>
      </c>
      <c r="J153" s="1049"/>
      <c r="K153" s="1049"/>
      <c r="L153" s="1049"/>
      <c r="M153" s="1049"/>
      <c r="N153" s="1087"/>
      <c r="O153" s="1087"/>
    </row>
    <row r="154" spans="1:15" ht="14.1">
      <c r="A154" s="1046"/>
      <c r="B154" s="1060" t="s">
        <v>2118</v>
      </c>
      <c r="C154" s="1048"/>
      <c r="D154" s="1048"/>
      <c r="E154" s="1048"/>
      <c r="F154" s="1049"/>
      <c r="G154" s="1049"/>
      <c r="H154" s="1049"/>
      <c r="I154" s="1049"/>
      <c r="J154" s="1049"/>
      <c r="K154" s="1049"/>
      <c r="L154" s="1049"/>
      <c r="M154" s="1049"/>
      <c r="N154" s="1087"/>
      <c r="O154" s="1087"/>
    </row>
    <row r="155" spans="1:15">
      <c r="A155" s="1048"/>
      <c r="B155" s="1061" t="s">
        <v>2217</v>
      </c>
      <c r="C155" s="1048">
        <v>1</v>
      </c>
      <c r="D155" s="1048" t="s">
        <v>1472</v>
      </c>
      <c r="E155" s="1048">
        <v>2</v>
      </c>
      <c r="F155" s="1049">
        <v>1.05</v>
      </c>
      <c r="G155" s="1049">
        <v>0.115</v>
      </c>
      <c r="H155" s="1049">
        <v>0.15</v>
      </c>
      <c r="I155" s="1049">
        <f>-ROUND(C155*E155*F155*G155*H155,2)</f>
        <v>-0.04</v>
      </c>
      <c r="J155" s="1049"/>
      <c r="K155" s="1049"/>
      <c r="L155" s="1049"/>
      <c r="M155" s="1049"/>
      <c r="N155" s="1087"/>
      <c r="O155" s="1087"/>
    </row>
    <row r="156" spans="1:15">
      <c r="A156" s="1048"/>
      <c r="B156" s="1061" t="s">
        <v>2210</v>
      </c>
      <c r="C156" s="1048">
        <v>1</v>
      </c>
      <c r="D156" s="1048" t="s">
        <v>1472</v>
      </c>
      <c r="E156" s="1048">
        <v>2</v>
      </c>
      <c r="F156" s="1049">
        <v>1.05</v>
      </c>
      <c r="G156" s="1049">
        <v>0.115</v>
      </c>
      <c r="H156" s="1049">
        <v>0.1</v>
      </c>
      <c r="I156" s="1049">
        <f t="shared" ref="I156:I161" si="7">-ROUND(C156*E156*F156*G156*H156,2)</f>
        <v>-0.02</v>
      </c>
      <c r="J156" s="1049"/>
      <c r="K156" s="1049"/>
      <c r="L156" s="1049"/>
      <c r="M156" s="1049"/>
      <c r="N156" s="1087"/>
      <c r="O156" s="1087"/>
    </row>
    <row r="157" spans="1:15">
      <c r="A157" s="1048"/>
      <c r="B157" s="1061" t="s">
        <v>2112</v>
      </c>
      <c r="C157" s="1048">
        <v>1</v>
      </c>
      <c r="D157" s="1048" t="s">
        <v>1472</v>
      </c>
      <c r="E157" s="1048">
        <v>2</v>
      </c>
      <c r="F157" s="1049">
        <v>1.8</v>
      </c>
      <c r="G157" s="1049">
        <v>0.23</v>
      </c>
      <c r="H157" s="1049">
        <v>0.15</v>
      </c>
      <c r="I157" s="1049">
        <f t="shared" si="7"/>
        <v>-0.12</v>
      </c>
      <c r="J157" s="1049"/>
      <c r="K157" s="1049"/>
      <c r="L157" s="1049"/>
      <c r="M157" s="1049"/>
      <c r="N157" s="1087"/>
      <c r="O157" s="1087"/>
    </row>
    <row r="158" spans="1:15" ht="14.1">
      <c r="A158" s="1048"/>
      <c r="B158" s="1060" t="s">
        <v>38</v>
      </c>
      <c r="C158" s="1048"/>
      <c r="D158" s="1048"/>
      <c r="E158" s="1048"/>
      <c r="F158" s="1049"/>
      <c r="G158" s="1049"/>
      <c r="H158" s="1049"/>
      <c r="I158" s="1049"/>
      <c r="J158" s="1049"/>
      <c r="K158" s="1049"/>
      <c r="L158" s="1049"/>
      <c r="M158" s="1049"/>
      <c r="N158" s="1087"/>
      <c r="O158" s="1087"/>
    </row>
    <row r="159" spans="1:15">
      <c r="A159" s="1048"/>
      <c r="B159" s="1061" t="s">
        <v>2213</v>
      </c>
      <c r="C159" s="1048">
        <v>4</v>
      </c>
      <c r="D159" s="1048" t="s">
        <v>1472</v>
      </c>
      <c r="E159" s="1048">
        <v>7</v>
      </c>
      <c r="F159" s="1049">
        <v>0.23</v>
      </c>
      <c r="G159" s="1049">
        <v>0.2</v>
      </c>
      <c r="H159" s="1049">
        <v>0.15</v>
      </c>
      <c r="I159" s="1049">
        <f t="shared" si="7"/>
        <v>-0.19</v>
      </c>
      <c r="J159" s="1049"/>
      <c r="K159" s="1049"/>
      <c r="L159" s="1049"/>
      <c r="M159" s="1049"/>
      <c r="N159" s="1087"/>
      <c r="O159" s="1087"/>
    </row>
    <row r="160" spans="1:15">
      <c r="A160" s="1048"/>
      <c r="B160" s="1061" t="s">
        <v>2212</v>
      </c>
      <c r="C160" s="1048">
        <v>4</v>
      </c>
      <c r="D160" s="1048" t="s">
        <v>1472</v>
      </c>
      <c r="E160" s="1048">
        <v>2</v>
      </c>
      <c r="F160" s="1049">
        <v>0.23</v>
      </c>
      <c r="G160" s="1049">
        <v>0.2</v>
      </c>
      <c r="H160" s="1049">
        <v>0.15</v>
      </c>
      <c r="I160" s="1049">
        <f t="shared" si="7"/>
        <v>-0.06</v>
      </c>
      <c r="J160" s="1049"/>
      <c r="K160" s="1049"/>
      <c r="L160" s="1049"/>
      <c r="M160" s="1049"/>
      <c r="N160" s="1087"/>
      <c r="O160" s="1087"/>
    </row>
    <row r="161" spans="1:15">
      <c r="A161" s="1048"/>
      <c r="B161" s="1061" t="s">
        <v>2114</v>
      </c>
      <c r="C161" s="1048">
        <v>4</v>
      </c>
      <c r="D161" s="1048" t="s">
        <v>1472</v>
      </c>
      <c r="E161" s="1048">
        <v>4</v>
      </c>
      <c r="F161" s="1049">
        <v>0.23</v>
      </c>
      <c r="G161" s="1049">
        <v>0.2</v>
      </c>
      <c r="H161" s="1049">
        <v>0.15</v>
      </c>
      <c r="I161" s="1049">
        <f t="shared" si="7"/>
        <v>-0.11</v>
      </c>
      <c r="J161" s="1049"/>
      <c r="K161" s="1049"/>
      <c r="L161" s="1049"/>
      <c r="M161" s="1049"/>
      <c r="N161" s="1087"/>
      <c r="O161" s="1087"/>
    </row>
    <row r="162" spans="1:15">
      <c r="A162" s="1048"/>
      <c r="B162" s="1061"/>
      <c r="C162" s="1048"/>
      <c r="D162" s="1048"/>
      <c r="E162" s="1048"/>
      <c r="F162" s="1049"/>
      <c r="G162" s="1049"/>
      <c r="H162" s="1049"/>
      <c r="I162" s="1049"/>
      <c r="J162" s="1049"/>
      <c r="K162" s="1049"/>
      <c r="L162" s="1049"/>
      <c r="M162" s="1049"/>
      <c r="N162" s="1087"/>
      <c r="O162" s="1087"/>
    </row>
    <row r="163" spans="1:15" ht="14.1">
      <c r="A163" s="1046"/>
      <c r="B163" s="1061" t="s">
        <v>84</v>
      </c>
      <c r="C163" s="1048"/>
      <c r="D163" s="1048"/>
      <c r="E163" s="1048"/>
      <c r="F163" s="1049"/>
      <c r="G163" s="1049"/>
      <c r="H163" s="1049"/>
      <c r="I163" s="1053">
        <f>SUM(I123:I162)</f>
        <v>51.95000000000001</v>
      </c>
      <c r="J163" s="1049"/>
      <c r="K163" s="1049"/>
      <c r="L163" s="1049"/>
      <c r="M163" s="1049"/>
      <c r="N163" s="1087"/>
      <c r="O163" s="1087"/>
    </row>
    <row r="164" spans="1:15" ht="14.1">
      <c r="A164" s="1046"/>
      <c r="B164" s="2432"/>
      <c r="C164" s="2433"/>
      <c r="D164" s="2433"/>
      <c r="E164" s="2433"/>
      <c r="F164" s="2433"/>
      <c r="G164" s="2433"/>
      <c r="H164" s="2434"/>
      <c r="I164" s="1052">
        <f>I163</f>
        <v>51.95000000000001</v>
      </c>
      <c r="J164" s="1049">
        <f>Datas!$E$632</f>
        <v>6936.09</v>
      </c>
      <c r="K164" s="1053">
        <f>ROUND(J164*I164,0)</f>
        <v>360330</v>
      </c>
      <c r="L164" s="1049">
        <f>0.2*90+0.512*60</f>
        <v>48.72</v>
      </c>
      <c r="M164" s="1055">
        <f>L164*I164</f>
        <v>2531.0040000000004</v>
      </c>
      <c r="N164" s="1087">
        <f>(0.2*90+0.512*60)</f>
        <v>48.72</v>
      </c>
      <c r="O164" s="1087">
        <f>ROUND(I164*N164,0)</f>
        <v>2531</v>
      </c>
    </row>
    <row r="165" spans="1:15" ht="14.1">
      <c r="A165" s="1046"/>
      <c r="B165" s="1061"/>
      <c r="C165" s="1048"/>
      <c r="D165" s="1048"/>
      <c r="E165" s="1048"/>
      <c r="F165" s="1049"/>
      <c r="G165" s="1049"/>
      <c r="H165" s="1049"/>
      <c r="I165" s="1053" t="s">
        <v>656</v>
      </c>
      <c r="J165" s="1053" t="s">
        <v>658</v>
      </c>
      <c r="K165" s="1053"/>
      <c r="L165" s="1049"/>
      <c r="M165" s="1049"/>
      <c r="N165" s="1087"/>
      <c r="O165" s="1087"/>
    </row>
    <row r="166" spans="1:15" ht="79.5" customHeight="1">
      <c r="A166" s="1046">
        <v>10</v>
      </c>
      <c r="B166" s="2415" t="s">
        <v>2304</v>
      </c>
      <c r="C166" s="2426"/>
      <c r="D166" s="2426"/>
      <c r="E166" s="2426"/>
      <c r="F166" s="2426"/>
      <c r="G166" s="2426"/>
      <c r="H166" s="2426"/>
      <c r="I166" s="2427"/>
      <c r="J166" s="1049"/>
      <c r="K166" s="1049"/>
      <c r="L166" s="1049"/>
      <c r="M166" s="1049"/>
      <c r="N166" s="1087"/>
      <c r="O166" s="1087"/>
    </row>
    <row r="167" spans="1:15" ht="14.1">
      <c r="A167" s="1041"/>
      <c r="B167" s="1043" t="s">
        <v>39</v>
      </c>
      <c r="C167" s="1043"/>
      <c r="D167" s="1043"/>
      <c r="E167" s="1043"/>
      <c r="F167" s="1044"/>
      <c r="G167" s="1044"/>
      <c r="H167" s="1044"/>
      <c r="I167" s="1044"/>
      <c r="J167" s="1045"/>
      <c r="K167" s="1045"/>
      <c r="L167" s="1045"/>
      <c r="M167" s="1045"/>
      <c r="N167" s="1087"/>
      <c r="O167" s="1087"/>
    </row>
    <row r="168" spans="1:15" ht="14.1">
      <c r="A168" s="1046"/>
      <c r="B168" s="1047" t="s">
        <v>2004</v>
      </c>
      <c r="C168" s="1048">
        <v>2</v>
      </c>
      <c r="D168" s="1048" t="s">
        <v>1472</v>
      </c>
      <c r="E168" s="1048">
        <v>6</v>
      </c>
      <c r="F168" s="1049">
        <v>1.8</v>
      </c>
      <c r="G168" s="1049">
        <v>1.8</v>
      </c>
      <c r="H168" s="1049">
        <v>1.65</v>
      </c>
      <c r="I168" s="1049">
        <f t="shared" ref="I168:I177" si="8">ROUND(C168*E168*F168*G168*H168,2)</f>
        <v>64.150000000000006</v>
      </c>
      <c r="J168" s="1049"/>
      <c r="K168" s="1049"/>
      <c r="L168" s="1049"/>
      <c r="M168" s="1049"/>
      <c r="N168" s="1087"/>
      <c r="O168" s="1087"/>
    </row>
    <row r="169" spans="1:15" ht="27.6">
      <c r="A169" s="1046"/>
      <c r="B169" s="1050" t="s">
        <v>2090</v>
      </c>
      <c r="C169" s="1048">
        <v>1</v>
      </c>
      <c r="D169" s="1048" t="s">
        <v>1472</v>
      </c>
      <c r="E169" s="1048">
        <v>2</v>
      </c>
      <c r="F169" s="1049">
        <f>60.75*0.3048</f>
        <v>18.5166</v>
      </c>
      <c r="G169" s="1049">
        <v>0.6</v>
      </c>
      <c r="H169" s="1049">
        <v>0.6</v>
      </c>
      <c r="I169" s="1049">
        <f t="shared" si="8"/>
        <v>13.33</v>
      </c>
      <c r="J169" s="1049"/>
      <c r="K169" s="1049"/>
      <c r="L169" s="1049"/>
      <c r="M169" s="1049"/>
      <c r="N169" s="1087"/>
      <c r="O169" s="1087"/>
    </row>
    <row r="170" spans="1:15" ht="27.6">
      <c r="A170" s="1046"/>
      <c r="B170" s="1050" t="s">
        <v>2091</v>
      </c>
      <c r="C170" s="1048">
        <v>1</v>
      </c>
      <c r="D170" s="1048" t="s">
        <v>1472</v>
      </c>
      <c r="E170" s="1048">
        <v>2</v>
      </c>
      <c r="F170" s="1049">
        <f>31.5*0.3048</f>
        <v>9.6012000000000004</v>
      </c>
      <c r="G170" s="1049">
        <v>0.6</v>
      </c>
      <c r="H170" s="1049">
        <v>0.6</v>
      </c>
      <c r="I170" s="1049">
        <f t="shared" si="8"/>
        <v>6.91</v>
      </c>
      <c r="J170" s="1049"/>
      <c r="K170" s="1049"/>
      <c r="L170" s="1049"/>
      <c r="M170" s="1049"/>
      <c r="N170" s="1087"/>
      <c r="O170" s="1087"/>
    </row>
    <row r="171" spans="1:15" ht="14.1">
      <c r="A171" s="1046"/>
      <c r="B171" s="1050" t="s">
        <v>2092</v>
      </c>
      <c r="C171" s="1048">
        <v>2</v>
      </c>
      <c r="D171" s="1048" t="s">
        <v>1472</v>
      </c>
      <c r="E171" s="1048">
        <v>2</v>
      </c>
      <c r="F171" s="1049">
        <v>2.4</v>
      </c>
      <c r="G171" s="1049">
        <v>0.6</v>
      </c>
      <c r="H171" s="1049">
        <v>0.6</v>
      </c>
      <c r="I171" s="1049">
        <f t="shared" si="8"/>
        <v>3.46</v>
      </c>
      <c r="J171" s="1049"/>
      <c r="K171" s="1049"/>
      <c r="L171" s="1049"/>
      <c r="M171" s="1049"/>
      <c r="N171" s="1087"/>
      <c r="O171" s="1087"/>
    </row>
    <row r="172" spans="1:15" ht="14.1">
      <c r="A172" s="1046"/>
      <c r="B172" s="1050" t="s">
        <v>2093</v>
      </c>
      <c r="C172" s="1048">
        <v>2</v>
      </c>
      <c r="D172" s="1048" t="s">
        <v>1472</v>
      </c>
      <c r="E172" s="1048">
        <v>2</v>
      </c>
      <c r="F172" s="1049">
        <v>4.1500000000000004</v>
      </c>
      <c r="G172" s="1049">
        <v>0.6</v>
      </c>
      <c r="H172" s="1049">
        <v>0.6</v>
      </c>
      <c r="I172" s="1049">
        <f t="shared" si="8"/>
        <v>5.98</v>
      </c>
      <c r="J172" s="1049"/>
      <c r="K172" s="1049"/>
      <c r="L172" s="1049"/>
      <c r="M172" s="1049"/>
      <c r="N172" s="1087"/>
      <c r="O172" s="1087"/>
    </row>
    <row r="173" spans="1:15" ht="14.1">
      <c r="A173" s="1046"/>
      <c r="B173" s="1050" t="s">
        <v>2094</v>
      </c>
      <c r="C173" s="1048">
        <v>2</v>
      </c>
      <c r="D173" s="1048" t="s">
        <v>1472</v>
      </c>
      <c r="E173" s="1048">
        <v>2</v>
      </c>
      <c r="F173" s="1049">
        <v>4</v>
      </c>
      <c r="G173" s="1049">
        <v>0.6</v>
      </c>
      <c r="H173" s="1049">
        <v>0.6</v>
      </c>
      <c r="I173" s="1049">
        <f t="shared" si="8"/>
        <v>5.76</v>
      </c>
      <c r="J173" s="1049"/>
      <c r="K173" s="1049"/>
      <c r="L173" s="1049"/>
      <c r="M173" s="1049"/>
      <c r="N173" s="1087"/>
      <c r="O173" s="1087"/>
    </row>
    <row r="174" spans="1:15" ht="27.6">
      <c r="A174" s="1046"/>
      <c r="B174" s="1050" t="s">
        <v>2095</v>
      </c>
      <c r="C174" s="1048">
        <v>1</v>
      </c>
      <c r="D174" s="1048" t="s">
        <v>1472</v>
      </c>
      <c r="E174" s="1048">
        <v>2</v>
      </c>
      <c r="F174" s="1049">
        <v>1.8</v>
      </c>
      <c r="G174" s="1049">
        <v>0.6</v>
      </c>
      <c r="H174" s="1049">
        <v>0.6</v>
      </c>
      <c r="I174" s="1049">
        <f t="shared" si="8"/>
        <v>1.3</v>
      </c>
      <c r="J174" s="1049"/>
      <c r="K174" s="1049"/>
      <c r="L174" s="1049"/>
      <c r="M174" s="1049"/>
      <c r="N174" s="1087"/>
      <c r="O174" s="1087"/>
    </row>
    <row r="175" spans="1:15" ht="14.1">
      <c r="A175" s="1046"/>
      <c r="B175" s="1051" t="s">
        <v>2096</v>
      </c>
      <c r="C175" s="1048">
        <v>1</v>
      </c>
      <c r="D175" s="1048" t="s">
        <v>1472</v>
      </c>
      <c r="E175" s="1048">
        <v>1</v>
      </c>
      <c r="F175" s="1049">
        <f>(31.5-6-4)*0.3048</f>
        <v>6.5532000000000004</v>
      </c>
      <c r="G175" s="1049">
        <v>0.6</v>
      </c>
      <c r="H175" s="1049">
        <v>0.3</v>
      </c>
      <c r="I175" s="1049">
        <f t="shared" si="8"/>
        <v>1.18</v>
      </c>
      <c r="J175" s="1049"/>
      <c r="K175" s="1049"/>
      <c r="L175" s="1049"/>
      <c r="M175" s="1049"/>
      <c r="N175" s="1087"/>
      <c r="O175" s="1087"/>
    </row>
    <row r="176" spans="1:15" ht="14.1">
      <c r="A176" s="1046"/>
      <c r="B176" s="1051" t="s">
        <v>2097</v>
      </c>
      <c r="C176" s="1048">
        <v>1</v>
      </c>
      <c r="D176" s="1048" t="s">
        <v>1472</v>
      </c>
      <c r="E176" s="1048">
        <v>2</v>
      </c>
      <c r="F176" s="1049">
        <v>3</v>
      </c>
      <c r="G176" s="1049">
        <v>0.6</v>
      </c>
      <c r="H176" s="1049">
        <v>0.3</v>
      </c>
      <c r="I176" s="1049">
        <f t="shared" si="8"/>
        <v>1.08</v>
      </c>
      <c r="J176" s="1049"/>
      <c r="K176" s="1049"/>
      <c r="L176" s="1049"/>
      <c r="M176" s="1049"/>
      <c r="N176" s="1087"/>
      <c r="O176" s="1087"/>
    </row>
    <row r="177" spans="1:15" ht="14.1">
      <c r="A177" s="1046"/>
      <c r="B177" s="1047" t="s">
        <v>2122</v>
      </c>
      <c r="C177" s="1048">
        <v>1</v>
      </c>
      <c r="D177" s="1048" t="s">
        <v>1472</v>
      </c>
      <c r="E177" s="1048">
        <v>1</v>
      </c>
      <c r="F177" s="1049">
        <f>60.75*0.3048</f>
        <v>18.5166</v>
      </c>
      <c r="G177" s="1049">
        <f>31.5*0.3048</f>
        <v>9.6012000000000004</v>
      </c>
      <c r="H177" s="1049">
        <v>0.6</v>
      </c>
      <c r="I177" s="1049">
        <f t="shared" si="8"/>
        <v>106.67</v>
      </c>
      <c r="J177" s="1049"/>
      <c r="K177" s="1049"/>
      <c r="L177" s="1049"/>
      <c r="M177" s="1049"/>
      <c r="N177" s="1087"/>
      <c r="O177" s="1087"/>
    </row>
    <row r="178" spans="1:15" ht="14.1">
      <c r="A178" s="1046"/>
      <c r="B178" s="2423" t="s">
        <v>2063</v>
      </c>
      <c r="C178" s="2424"/>
      <c r="D178" s="2424"/>
      <c r="E178" s="2424"/>
      <c r="F178" s="2424"/>
      <c r="G178" s="2424"/>
      <c r="H178" s="2425"/>
      <c r="I178" s="1053">
        <f>I177</f>
        <v>106.67</v>
      </c>
      <c r="J178" s="1049">
        <v>25.6</v>
      </c>
      <c r="K178" s="1054">
        <f>ROUND(J178*I178,0)</f>
        <v>2731</v>
      </c>
      <c r="L178" s="1049">
        <v>30</v>
      </c>
      <c r="M178" s="1055">
        <f>L178*I178</f>
        <v>3200.1</v>
      </c>
      <c r="N178" s="1087">
        <v>1</v>
      </c>
      <c r="O178" s="1087"/>
    </row>
    <row r="179" spans="1:15" ht="14.1">
      <c r="A179" s="1046"/>
      <c r="B179" s="1061"/>
      <c r="C179" s="1048"/>
      <c r="D179" s="1048"/>
      <c r="E179" s="1048"/>
      <c r="F179" s="1049"/>
      <c r="G179" s="1049"/>
      <c r="H179" s="1049"/>
      <c r="I179" s="1053"/>
      <c r="J179" s="1053" t="s">
        <v>658</v>
      </c>
      <c r="K179" s="1053"/>
      <c r="L179" s="1049"/>
      <c r="M179" s="1049"/>
      <c r="N179" s="1087"/>
      <c r="O179" s="1087"/>
    </row>
    <row r="180" spans="1:15" ht="93" customHeight="1">
      <c r="A180" s="1046">
        <v>11</v>
      </c>
      <c r="B180" s="2415" t="s">
        <v>2303</v>
      </c>
      <c r="C180" s="2426"/>
      <c r="D180" s="2426"/>
      <c r="E180" s="2426"/>
      <c r="F180" s="2426"/>
      <c r="G180" s="2426"/>
      <c r="H180" s="2426"/>
      <c r="I180" s="2427"/>
      <c r="J180" s="1049"/>
      <c r="K180" s="1049"/>
      <c r="L180" s="1049"/>
      <c r="M180" s="1049"/>
      <c r="N180" s="1087"/>
      <c r="O180" s="1087"/>
    </row>
    <row r="181" spans="1:15" ht="14.1">
      <c r="A181" s="1046"/>
      <c r="B181" s="1047" t="s">
        <v>2004</v>
      </c>
      <c r="C181" s="1048">
        <v>2</v>
      </c>
      <c r="D181" s="1048" t="s">
        <v>1472</v>
      </c>
      <c r="E181" s="1048">
        <v>6</v>
      </c>
      <c r="F181" s="1049">
        <v>1.8</v>
      </c>
      <c r="G181" s="1049">
        <v>1.8</v>
      </c>
      <c r="H181" s="1049">
        <v>1.65</v>
      </c>
      <c r="I181" s="1049">
        <f t="shared" ref="I181:I189" si="9">ROUND(C181*E181*F181*G181*H181,2)</f>
        <v>64.150000000000006</v>
      </c>
      <c r="J181" s="1049"/>
      <c r="K181" s="1049"/>
      <c r="L181" s="1049"/>
      <c r="M181" s="1049"/>
      <c r="N181" s="1087"/>
      <c r="O181" s="1087"/>
    </row>
    <row r="182" spans="1:15" ht="27.6">
      <c r="A182" s="1046"/>
      <c r="B182" s="1050" t="s">
        <v>2090</v>
      </c>
      <c r="C182" s="1048">
        <v>1</v>
      </c>
      <c r="D182" s="1048" t="s">
        <v>1472</v>
      </c>
      <c r="E182" s="1048">
        <v>2</v>
      </c>
      <c r="F182" s="1049">
        <f>60.75*0.3048</f>
        <v>18.5166</v>
      </c>
      <c r="G182" s="1049">
        <v>0.6</v>
      </c>
      <c r="H182" s="1049">
        <v>0.6</v>
      </c>
      <c r="I182" s="1049">
        <f t="shared" si="9"/>
        <v>13.33</v>
      </c>
      <c r="J182" s="1049"/>
      <c r="K182" s="1049"/>
      <c r="L182" s="1049"/>
      <c r="M182" s="1049"/>
      <c r="N182" s="1087"/>
      <c r="O182" s="1087"/>
    </row>
    <row r="183" spans="1:15" ht="27.6">
      <c r="A183" s="1046"/>
      <c r="B183" s="1050" t="s">
        <v>2091</v>
      </c>
      <c r="C183" s="1048">
        <v>1</v>
      </c>
      <c r="D183" s="1048" t="s">
        <v>1472</v>
      </c>
      <c r="E183" s="1048">
        <v>2</v>
      </c>
      <c r="F183" s="1049">
        <f>31.5*0.3048</f>
        <v>9.6012000000000004</v>
      </c>
      <c r="G183" s="1049">
        <v>0.6</v>
      </c>
      <c r="H183" s="1049">
        <v>0.6</v>
      </c>
      <c r="I183" s="1049">
        <f t="shared" si="9"/>
        <v>6.91</v>
      </c>
      <c r="J183" s="1049"/>
      <c r="K183" s="1049"/>
      <c r="L183" s="1049"/>
      <c r="M183" s="1049"/>
      <c r="N183" s="1087"/>
      <c r="O183" s="1087"/>
    </row>
    <row r="184" spans="1:15" ht="14.1">
      <c r="A184" s="1046"/>
      <c r="B184" s="1050" t="s">
        <v>2092</v>
      </c>
      <c r="C184" s="1048">
        <v>2</v>
      </c>
      <c r="D184" s="1048" t="s">
        <v>1472</v>
      </c>
      <c r="E184" s="1048">
        <v>2</v>
      </c>
      <c r="F184" s="1049">
        <v>2.4</v>
      </c>
      <c r="G184" s="1049">
        <v>0.6</v>
      </c>
      <c r="H184" s="1049">
        <v>0.6</v>
      </c>
      <c r="I184" s="1049">
        <f t="shared" si="9"/>
        <v>3.46</v>
      </c>
      <c r="J184" s="1049"/>
      <c r="K184" s="1049"/>
      <c r="L184" s="1049"/>
      <c r="M184" s="1049"/>
      <c r="N184" s="1087"/>
      <c r="O184" s="1087"/>
    </row>
    <row r="185" spans="1:15" ht="14.1">
      <c r="A185" s="1046"/>
      <c r="B185" s="1050" t="s">
        <v>2093</v>
      </c>
      <c r="C185" s="1048">
        <v>2</v>
      </c>
      <c r="D185" s="1048" t="s">
        <v>1472</v>
      </c>
      <c r="E185" s="1048">
        <v>2</v>
      </c>
      <c r="F185" s="1049">
        <v>4.1500000000000004</v>
      </c>
      <c r="G185" s="1049">
        <v>0.6</v>
      </c>
      <c r="H185" s="1049">
        <v>0.6</v>
      </c>
      <c r="I185" s="1049">
        <f t="shared" si="9"/>
        <v>5.98</v>
      </c>
      <c r="J185" s="1049"/>
      <c r="K185" s="1049"/>
      <c r="L185" s="1049"/>
      <c r="M185" s="1049"/>
      <c r="N185" s="1087"/>
      <c r="O185" s="1087"/>
    </row>
    <row r="186" spans="1:15" ht="14.1">
      <c r="A186" s="1046"/>
      <c r="B186" s="1050" t="s">
        <v>2094</v>
      </c>
      <c r="C186" s="1048">
        <v>2</v>
      </c>
      <c r="D186" s="1048" t="s">
        <v>1472</v>
      </c>
      <c r="E186" s="1048">
        <v>2</v>
      </c>
      <c r="F186" s="1049">
        <v>4</v>
      </c>
      <c r="G186" s="1049">
        <v>0.6</v>
      </c>
      <c r="H186" s="1049">
        <v>0.6</v>
      </c>
      <c r="I186" s="1049">
        <f t="shared" si="9"/>
        <v>5.76</v>
      </c>
      <c r="J186" s="1049"/>
      <c r="K186" s="1049"/>
      <c r="L186" s="1049"/>
      <c r="M186" s="1049"/>
      <c r="N186" s="1087"/>
      <c r="O186" s="1087"/>
    </row>
    <row r="187" spans="1:15" ht="27.6">
      <c r="A187" s="1046"/>
      <c r="B187" s="1050" t="s">
        <v>2095</v>
      </c>
      <c r="C187" s="1048">
        <v>1</v>
      </c>
      <c r="D187" s="1048" t="s">
        <v>1472</v>
      </c>
      <c r="E187" s="1048">
        <v>2</v>
      </c>
      <c r="F187" s="1049">
        <v>1.8</v>
      </c>
      <c r="G187" s="1049">
        <v>0.6</v>
      </c>
      <c r="H187" s="1049">
        <v>0.6</v>
      </c>
      <c r="I187" s="1049">
        <f t="shared" si="9"/>
        <v>1.3</v>
      </c>
      <c r="J187" s="1049"/>
      <c r="K187" s="1049"/>
      <c r="L187" s="1049"/>
      <c r="M187" s="1049"/>
      <c r="N187" s="1087"/>
      <c r="O187" s="1087"/>
    </row>
    <row r="188" spans="1:15" ht="14.1">
      <c r="A188" s="1046"/>
      <c r="B188" s="1051" t="s">
        <v>2096</v>
      </c>
      <c r="C188" s="1048">
        <v>1</v>
      </c>
      <c r="D188" s="1048" t="s">
        <v>1472</v>
      </c>
      <c r="E188" s="1048">
        <v>1</v>
      </c>
      <c r="F188" s="1049">
        <f>(31.5-6-4)*0.3048</f>
        <v>6.5532000000000004</v>
      </c>
      <c r="G188" s="1049">
        <v>0.6</v>
      </c>
      <c r="H188" s="1049">
        <v>0.3</v>
      </c>
      <c r="I188" s="1049">
        <f t="shared" si="9"/>
        <v>1.18</v>
      </c>
      <c r="J188" s="1049"/>
      <c r="K188" s="1049"/>
      <c r="L188" s="1049"/>
      <c r="M188" s="1049"/>
      <c r="N188" s="1087"/>
      <c r="O188" s="1087"/>
    </row>
    <row r="189" spans="1:15" ht="14.1">
      <c r="A189" s="1046"/>
      <c r="B189" s="1051" t="s">
        <v>2097</v>
      </c>
      <c r="C189" s="1048">
        <v>1</v>
      </c>
      <c r="D189" s="1048" t="s">
        <v>1472</v>
      </c>
      <c r="E189" s="1048">
        <v>2</v>
      </c>
      <c r="F189" s="1049">
        <v>3</v>
      </c>
      <c r="G189" s="1049">
        <v>0.6</v>
      </c>
      <c r="H189" s="1049">
        <v>0.3</v>
      </c>
      <c r="I189" s="1049">
        <f t="shared" si="9"/>
        <v>1.08</v>
      </c>
      <c r="J189" s="1049"/>
      <c r="K189" s="1049"/>
      <c r="L189" s="1049"/>
      <c r="M189" s="1049"/>
      <c r="N189" s="1087"/>
      <c r="O189" s="1087"/>
    </row>
    <row r="190" spans="1:15" ht="14.1">
      <c r="A190" s="1046"/>
      <c r="B190" s="1060" t="s">
        <v>85</v>
      </c>
      <c r="C190" s="1061"/>
      <c r="D190" s="1061"/>
      <c r="E190" s="1061"/>
      <c r="F190" s="1062"/>
      <c r="G190" s="1062"/>
      <c r="H190" s="1062"/>
      <c r="I190" s="1077">
        <f>SUM(I181:I189)</f>
        <v>103.15</v>
      </c>
      <c r="J190" s="1049"/>
      <c r="K190" s="1049"/>
      <c r="L190" s="1049"/>
      <c r="M190" s="1049"/>
      <c r="N190" s="1087"/>
      <c r="O190" s="1087"/>
    </row>
    <row r="191" spans="1:15" ht="14.1">
      <c r="A191" s="1046"/>
      <c r="B191" s="1047" t="s">
        <v>2122</v>
      </c>
      <c r="C191" s="1048">
        <v>1</v>
      </c>
      <c r="D191" s="1048" t="s">
        <v>1472</v>
      </c>
      <c r="E191" s="1048">
        <v>1</v>
      </c>
      <c r="F191" s="1049">
        <f>60.75*0.3048</f>
        <v>18.5166</v>
      </c>
      <c r="G191" s="1049">
        <f>31.5*0.3048</f>
        <v>9.6012000000000004</v>
      </c>
      <c r="H191" s="1049">
        <v>0.6</v>
      </c>
      <c r="I191" s="1049">
        <f t="shared" ref="I191:I197" si="10">ROUND(C191*E191*F191*G191*H191,2)</f>
        <v>106.67</v>
      </c>
      <c r="J191" s="1049"/>
      <c r="K191" s="1049"/>
      <c r="L191" s="1049"/>
      <c r="M191" s="1049"/>
      <c r="N191" s="1087"/>
      <c r="O191" s="1087"/>
    </row>
    <row r="192" spans="1:15" ht="14.1">
      <c r="A192" s="1046"/>
      <c r="B192" s="1061" t="s">
        <v>2127</v>
      </c>
      <c r="C192" s="1048">
        <v>1</v>
      </c>
      <c r="D192" s="1048" t="s">
        <v>1472</v>
      </c>
      <c r="E192" s="1048">
        <v>1</v>
      </c>
      <c r="F192" s="1049">
        <v>14.55</v>
      </c>
      <c r="G192" s="1049">
        <v>2</v>
      </c>
      <c r="H192" s="1049">
        <v>0.6</v>
      </c>
      <c r="I192" s="1049">
        <f t="shared" si="10"/>
        <v>17.46</v>
      </c>
      <c r="J192" s="1049"/>
      <c r="K192" s="1049"/>
      <c r="L192" s="1049"/>
      <c r="M192" s="1049"/>
      <c r="N192" s="1087"/>
      <c r="O192" s="1087"/>
    </row>
    <row r="193" spans="1:15" ht="14.1">
      <c r="A193" s="1046"/>
      <c r="B193" s="1061" t="s">
        <v>2128</v>
      </c>
      <c r="C193" s="1048">
        <v>1</v>
      </c>
      <c r="D193" s="1048" t="s">
        <v>1472</v>
      </c>
      <c r="E193" s="1048">
        <v>1</v>
      </c>
      <c r="F193" s="1049">
        <v>14.55</v>
      </c>
      <c r="G193" s="1049">
        <v>2</v>
      </c>
      <c r="H193" s="1049">
        <v>0.6</v>
      </c>
      <c r="I193" s="1049">
        <f t="shared" si="10"/>
        <v>17.46</v>
      </c>
      <c r="J193" s="1049"/>
      <c r="K193" s="1049"/>
      <c r="L193" s="1049"/>
      <c r="M193" s="1049"/>
      <c r="N193" s="1087"/>
      <c r="O193" s="1087"/>
    </row>
    <row r="194" spans="1:15" ht="14.1">
      <c r="A194" s="1046"/>
      <c r="B194" s="1061" t="s">
        <v>2132</v>
      </c>
      <c r="C194" s="1048">
        <v>1</v>
      </c>
      <c r="D194" s="1048" t="s">
        <v>1472</v>
      </c>
      <c r="E194" s="1048">
        <v>1</v>
      </c>
      <c r="F194" s="1049">
        <v>4.4000000000000004</v>
      </c>
      <c r="G194" s="1049">
        <v>2.4</v>
      </c>
      <c r="H194" s="1049">
        <v>0.6</v>
      </c>
      <c r="I194" s="1049">
        <f t="shared" si="10"/>
        <v>6.34</v>
      </c>
      <c r="J194" s="1049"/>
      <c r="K194" s="1049"/>
      <c r="L194" s="1049"/>
      <c r="M194" s="1049"/>
      <c r="N194" s="1087"/>
      <c r="O194" s="1087"/>
    </row>
    <row r="195" spans="1:15" ht="14.1">
      <c r="A195" s="1046"/>
      <c r="B195" s="1061" t="s">
        <v>2133</v>
      </c>
      <c r="C195" s="1048">
        <v>1</v>
      </c>
      <c r="D195" s="1048" t="s">
        <v>1472</v>
      </c>
      <c r="E195" s="1048">
        <v>1</v>
      </c>
      <c r="F195" s="1049">
        <v>5</v>
      </c>
      <c r="G195" s="1049">
        <v>1.87</v>
      </c>
      <c r="H195" s="1049">
        <v>0.45</v>
      </c>
      <c r="I195" s="1049">
        <f t="shared" si="10"/>
        <v>4.21</v>
      </c>
      <c r="J195" s="1049"/>
      <c r="K195" s="1049"/>
      <c r="L195" s="1049"/>
      <c r="M195" s="1049"/>
      <c r="N195" s="1087"/>
      <c r="O195" s="1087"/>
    </row>
    <row r="196" spans="1:15" ht="14.1">
      <c r="A196" s="1046"/>
      <c r="B196" s="1061" t="s">
        <v>2130</v>
      </c>
      <c r="C196" s="1048">
        <v>1</v>
      </c>
      <c r="D196" s="1048" t="s">
        <v>1472</v>
      </c>
      <c r="E196" s="1048">
        <v>1</v>
      </c>
      <c r="F196" s="1049">
        <v>2.75</v>
      </c>
      <c r="G196" s="1049">
        <v>2.6</v>
      </c>
      <c r="H196" s="1049">
        <v>0.6</v>
      </c>
      <c r="I196" s="1049">
        <f t="shared" si="10"/>
        <v>4.29</v>
      </c>
      <c r="J196" s="1049"/>
      <c r="K196" s="1049"/>
      <c r="L196" s="1049"/>
      <c r="M196" s="1049"/>
      <c r="N196" s="1087"/>
      <c r="O196" s="1087"/>
    </row>
    <row r="197" spans="1:15" ht="14.1">
      <c r="A197" s="1046"/>
      <c r="B197" s="1061" t="s">
        <v>2129</v>
      </c>
      <c r="C197" s="1048">
        <v>1</v>
      </c>
      <c r="D197" s="1048" t="s">
        <v>1472</v>
      </c>
      <c r="E197" s="1048">
        <v>2</v>
      </c>
      <c r="F197" s="1049">
        <v>1.65</v>
      </c>
      <c r="G197" s="1049">
        <v>1.2</v>
      </c>
      <c r="H197" s="1049">
        <v>0.6</v>
      </c>
      <c r="I197" s="1049">
        <f t="shared" si="10"/>
        <v>2.38</v>
      </c>
      <c r="J197" s="1049"/>
      <c r="K197" s="1049"/>
      <c r="L197" s="1049"/>
      <c r="M197" s="1049"/>
      <c r="N197" s="1087"/>
      <c r="O197" s="1087"/>
    </row>
    <row r="198" spans="1:15" ht="14.1">
      <c r="A198" s="1046"/>
      <c r="B198" s="1061"/>
      <c r="C198" s="1048"/>
      <c r="D198" s="1048"/>
      <c r="E198" s="1048"/>
      <c r="F198" s="1049"/>
      <c r="G198" s="1049"/>
      <c r="H198" s="1049"/>
      <c r="I198" s="1053">
        <f>SUM(I190:I197)</f>
        <v>261.96000000000004</v>
      </c>
      <c r="J198" s="1049"/>
      <c r="K198" s="1049"/>
      <c r="L198" s="1049"/>
      <c r="M198" s="1049"/>
      <c r="N198" s="1087"/>
      <c r="O198" s="1087"/>
    </row>
    <row r="199" spans="1:15" ht="14.1">
      <c r="A199" s="1046"/>
      <c r="B199" s="1060" t="s">
        <v>1036</v>
      </c>
      <c r="C199" s="1061"/>
      <c r="D199" s="1061"/>
      <c r="E199" s="1061"/>
      <c r="F199" s="1062"/>
      <c r="G199" s="1062"/>
      <c r="H199" s="1062"/>
      <c r="I199" s="1062"/>
      <c r="J199" s="1049"/>
      <c r="K199" s="1049"/>
      <c r="L199" s="1049"/>
      <c r="M199" s="1049"/>
      <c r="N199" s="1087"/>
      <c r="O199" s="1087"/>
    </row>
    <row r="200" spans="1:15" ht="14.1">
      <c r="A200" s="1046"/>
      <c r="B200" s="1061" t="s">
        <v>2131</v>
      </c>
      <c r="C200" s="1061"/>
      <c r="D200" s="1061"/>
      <c r="E200" s="1061"/>
      <c r="F200" s="1062">
        <f>I25</f>
        <v>7.2</v>
      </c>
      <c r="G200" s="1062"/>
      <c r="H200" s="1062"/>
      <c r="I200" s="1062"/>
      <c r="J200" s="1049"/>
      <c r="K200" s="1049"/>
      <c r="L200" s="1049"/>
      <c r="M200" s="1049"/>
      <c r="N200" s="1087"/>
      <c r="O200" s="1087"/>
    </row>
    <row r="201" spans="1:15">
      <c r="A201" s="1061"/>
      <c r="B201" s="1061" t="s">
        <v>2026</v>
      </c>
      <c r="C201" s="1061"/>
      <c r="D201" s="1061"/>
      <c r="E201" s="1061"/>
      <c r="F201" s="1062">
        <f>I43</f>
        <v>27.500000000000004</v>
      </c>
      <c r="G201" s="1062"/>
      <c r="H201" s="1062"/>
      <c r="I201" s="1062"/>
      <c r="J201" s="1049"/>
      <c r="K201" s="1049"/>
      <c r="L201" s="1049"/>
      <c r="M201" s="1049"/>
      <c r="N201" s="1087"/>
      <c r="O201" s="1087"/>
    </row>
    <row r="202" spans="1:15" ht="14.1">
      <c r="A202" s="1046"/>
      <c r="B202" s="1061" t="s">
        <v>86</v>
      </c>
      <c r="C202" s="1061"/>
      <c r="D202" s="1061"/>
      <c r="E202" s="1061"/>
      <c r="F202" s="1062">
        <f>I55</f>
        <v>24.5</v>
      </c>
      <c r="G202" s="1062"/>
      <c r="H202" s="1062"/>
      <c r="I202" s="1062"/>
      <c r="J202" s="1049"/>
      <c r="K202" s="1049"/>
      <c r="L202" s="1049"/>
      <c r="M202" s="1049"/>
      <c r="N202" s="1087"/>
      <c r="O202" s="1087"/>
    </row>
    <row r="203" spans="1:15" ht="14.1">
      <c r="A203" s="1046"/>
      <c r="B203" s="1061" t="s">
        <v>983</v>
      </c>
      <c r="C203" s="1061"/>
      <c r="D203" s="1061"/>
      <c r="E203" s="1061"/>
      <c r="F203" s="1062">
        <f>I79</f>
        <v>10.8</v>
      </c>
      <c r="G203" s="1062"/>
      <c r="H203" s="1062"/>
      <c r="I203" s="1062"/>
      <c r="J203" s="1049"/>
      <c r="K203" s="1049"/>
      <c r="L203" s="1049"/>
      <c r="M203" s="1049"/>
      <c r="N203" s="1087"/>
      <c r="O203" s="1087"/>
    </row>
    <row r="204" spans="1:15" ht="14.1">
      <c r="A204" s="1046"/>
      <c r="B204" s="1061" t="s">
        <v>87</v>
      </c>
      <c r="C204" s="1061"/>
      <c r="D204" s="1061"/>
      <c r="E204" s="1061"/>
      <c r="F204" s="1062">
        <f>I82</f>
        <v>1.1399999999999999</v>
      </c>
      <c r="G204" s="1062"/>
      <c r="H204" s="1062"/>
      <c r="I204" s="1062"/>
      <c r="J204" s="1049"/>
      <c r="K204" s="1049"/>
      <c r="L204" s="1049"/>
      <c r="M204" s="1049"/>
      <c r="N204" s="1087"/>
      <c r="O204" s="1087"/>
    </row>
    <row r="205" spans="1:15" ht="14.1">
      <c r="A205" s="1046"/>
      <c r="B205" s="1061" t="s">
        <v>88</v>
      </c>
      <c r="C205" s="1061"/>
      <c r="D205" s="1061"/>
      <c r="E205" s="1061"/>
      <c r="F205" s="1062">
        <f>I91</f>
        <v>4.26</v>
      </c>
      <c r="G205" s="1062"/>
      <c r="H205" s="1062"/>
      <c r="I205" s="1062"/>
      <c r="J205" s="1049"/>
      <c r="K205" s="1049"/>
      <c r="L205" s="1049"/>
      <c r="M205" s="1049"/>
      <c r="N205" s="1087"/>
      <c r="O205" s="1087"/>
    </row>
    <row r="206" spans="1:15" ht="14.1">
      <c r="A206" s="1046"/>
      <c r="B206" s="1061"/>
      <c r="C206" s="1061"/>
      <c r="D206" s="1061"/>
      <c r="E206" s="1061"/>
      <c r="F206" s="1078">
        <f>SUM(F200:F205)</f>
        <v>75.400000000000006</v>
      </c>
      <c r="G206" s="1062"/>
      <c r="H206" s="1062"/>
      <c r="I206" s="1062"/>
      <c r="J206" s="1049"/>
      <c r="K206" s="1049"/>
      <c r="L206" s="1049"/>
      <c r="M206" s="1049"/>
      <c r="N206" s="1087"/>
      <c r="O206" s="1087"/>
    </row>
    <row r="207" spans="1:15" ht="14.1">
      <c r="A207" s="1046"/>
      <c r="B207" s="1079" t="s">
        <v>89</v>
      </c>
      <c r="C207" s="1048"/>
      <c r="D207" s="1048"/>
      <c r="E207" s="1048"/>
      <c r="F207" s="1053">
        <f>I198</f>
        <v>261.96000000000004</v>
      </c>
      <c r="G207" s="1049" t="s">
        <v>524</v>
      </c>
      <c r="H207" s="1053">
        <f>F206</f>
        <v>75.400000000000006</v>
      </c>
      <c r="I207" s="1053">
        <f>F207-H207</f>
        <v>186.56000000000003</v>
      </c>
      <c r="J207" s="1049"/>
      <c r="K207" s="1049"/>
      <c r="L207" s="1049"/>
      <c r="M207" s="1049"/>
      <c r="N207" s="1087"/>
      <c r="O207" s="1087"/>
    </row>
    <row r="208" spans="1:15" ht="14.1">
      <c r="A208" s="1046"/>
      <c r="B208" s="2423"/>
      <c r="C208" s="2424"/>
      <c r="D208" s="2424"/>
      <c r="E208" s="2424"/>
      <c r="F208" s="2424"/>
      <c r="G208" s="2424"/>
      <c r="H208" s="2425"/>
      <c r="I208" s="1053"/>
      <c r="J208" s="1049"/>
      <c r="K208" s="1049"/>
      <c r="L208" s="1049"/>
      <c r="M208" s="1049"/>
      <c r="N208" s="1087"/>
      <c r="O208" s="1087"/>
    </row>
    <row r="209" spans="1:15" ht="28.2">
      <c r="A209" s="1046"/>
      <c r="B209" s="1078" t="s">
        <v>2051</v>
      </c>
      <c r="C209" s="1067"/>
      <c r="D209" s="1067"/>
      <c r="E209" s="1048"/>
      <c r="F209" s="1053">
        <f>I207</f>
        <v>186.56000000000003</v>
      </c>
      <c r="G209" s="1049" t="s">
        <v>524</v>
      </c>
      <c r="H209" s="1053">
        <f>I178</f>
        <v>106.67</v>
      </c>
      <c r="I209" s="1053">
        <f>F209-H209</f>
        <v>79.890000000000029</v>
      </c>
      <c r="J209" s="1049">
        <f>Datas!G54</f>
        <v>228.33</v>
      </c>
      <c r="K209" s="1053">
        <f>ROUND(J209*I209,0)</f>
        <v>18241</v>
      </c>
      <c r="L209" s="1049">
        <v>30</v>
      </c>
      <c r="M209" s="1055">
        <f>L209*I209</f>
        <v>2396.7000000000007</v>
      </c>
      <c r="N209" s="1087">
        <v>30</v>
      </c>
      <c r="O209" s="1087">
        <f>ROUND(I209*N209,0)</f>
        <v>2397</v>
      </c>
    </row>
    <row r="210" spans="1:15" ht="14.1">
      <c r="A210" s="1046"/>
      <c r="B210" s="1060"/>
      <c r="C210" s="1048"/>
      <c r="D210" s="1048"/>
      <c r="E210" s="1048"/>
      <c r="F210" s="1049"/>
      <c r="G210" s="1049"/>
      <c r="H210" s="1049"/>
      <c r="I210" s="1053" t="s">
        <v>1473</v>
      </c>
      <c r="J210" s="1053" t="s">
        <v>658</v>
      </c>
      <c r="K210" s="1053"/>
      <c r="L210" s="1049"/>
      <c r="M210" s="1049"/>
      <c r="N210" s="1087"/>
      <c r="O210" s="1087"/>
    </row>
    <row r="211" spans="1:15" ht="120.75" customHeight="1">
      <c r="A211" s="1046">
        <v>12</v>
      </c>
      <c r="B211" s="2415" t="s">
        <v>2302</v>
      </c>
      <c r="C211" s="2416"/>
      <c r="D211" s="2416"/>
      <c r="E211" s="2416"/>
      <c r="F211" s="2416"/>
      <c r="G211" s="2416"/>
      <c r="H211" s="2416"/>
      <c r="I211" s="2417"/>
      <c r="J211" s="1049"/>
      <c r="K211" s="1049"/>
      <c r="L211" s="1049"/>
      <c r="M211" s="1049"/>
      <c r="N211" s="1087"/>
      <c r="O211" s="1087"/>
    </row>
    <row r="212" spans="1:15" ht="14.1">
      <c r="A212" s="1046"/>
      <c r="B212" s="1060" t="s">
        <v>466</v>
      </c>
      <c r="C212" s="1082"/>
      <c r="D212" s="1082"/>
      <c r="E212" s="1082"/>
      <c r="F212" s="1083"/>
      <c r="G212" s="1083"/>
      <c r="H212" s="1083"/>
      <c r="I212" s="1083"/>
      <c r="J212" s="1049"/>
      <c r="K212" s="1049"/>
      <c r="L212" s="1049"/>
      <c r="M212" s="1049"/>
      <c r="N212" s="1087"/>
      <c r="O212" s="1087"/>
    </row>
    <row r="213" spans="1:15" ht="14.1">
      <c r="A213" s="1046"/>
      <c r="B213" s="1050" t="s">
        <v>2115</v>
      </c>
      <c r="C213" s="1048">
        <v>1</v>
      </c>
      <c r="D213" s="1048" t="s">
        <v>1472</v>
      </c>
      <c r="E213" s="1048">
        <v>2</v>
      </c>
      <c r="F213" s="1049">
        <f>(60.75-0.23*2)*0.3048</f>
        <v>18.376391999999999</v>
      </c>
      <c r="G213" s="1049"/>
      <c r="H213" s="1049">
        <v>4.26</v>
      </c>
      <c r="I213" s="1049">
        <f>ROUND(C213*E213*F213*H213,2)</f>
        <v>156.57</v>
      </c>
      <c r="J213" s="1049"/>
      <c r="K213" s="1049"/>
      <c r="L213" s="1049"/>
      <c r="M213" s="1049"/>
      <c r="N213" s="1087"/>
      <c r="O213" s="1087"/>
    </row>
    <row r="214" spans="1:15" ht="14.1">
      <c r="A214" s="1046"/>
      <c r="B214" s="1050" t="s">
        <v>2033</v>
      </c>
      <c r="C214" s="1048">
        <v>1</v>
      </c>
      <c r="D214" s="1048" t="s">
        <v>1472</v>
      </c>
      <c r="E214" s="1048">
        <v>2</v>
      </c>
      <c r="F214" s="1049">
        <f>(31.5-2*0.23)*0.3048</f>
        <v>9.460992000000001</v>
      </c>
      <c r="G214" s="1049"/>
      <c r="H214" s="1164" t="s">
        <v>2335</v>
      </c>
      <c r="I214" s="1049">
        <f>ROUND(C214*E214*F214*AVERAGE(4.26,6,4.26),2)</f>
        <v>91.58</v>
      </c>
      <c r="J214" s="1049"/>
      <c r="K214" s="1049"/>
      <c r="L214" s="1049"/>
      <c r="M214" s="1049"/>
      <c r="N214" s="1087"/>
      <c r="O214" s="1087"/>
    </row>
    <row r="215" spans="1:15" ht="27.6">
      <c r="A215" s="1046"/>
      <c r="B215" s="1050" t="s">
        <v>2116</v>
      </c>
      <c r="C215" s="1048">
        <v>1</v>
      </c>
      <c r="D215" s="1048" t="s">
        <v>1472</v>
      </c>
      <c r="E215" s="1048">
        <v>2</v>
      </c>
      <c r="F215" s="1049">
        <f>(31.5-2*0.23)*0.3048</f>
        <v>9.460992000000001</v>
      </c>
      <c r="G215" s="1049"/>
      <c r="H215" s="1049">
        <v>4.26</v>
      </c>
      <c r="I215" s="1049">
        <f>ROUND(C215*E215*F215*H215,2)</f>
        <v>80.61</v>
      </c>
      <c r="J215" s="1049"/>
      <c r="K215" s="1049"/>
      <c r="L215" s="1049"/>
      <c r="M215" s="1049"/>
      <c r="N215" s="1087"/>
      <c r="O215" s="1087"/>
    </row>
    <row r="216" spans="1:15" ht="14.1">
      <c r="A216" s="1046"/>
      <c r="B216" s="1050" t="s">
        <v>2134</v>
      </c>
      <c r="C216" s="1048">
        <v>1</v>
      </c>
      <c r="D216" s="1048" t="s">
        <v>1472</v>
      </c>
      <c r="E216" s="1048">
        <v>2</v>
      </c>
      <c r="F216" s="1049">
        <v>3.6</v>
      </c>
      <c r="G216" s="1049"/>
      <c r="H216" s="1049">
        <v>3.6</v>
      </c>
      <c r="I216" s="1049">
        <f>ROUND(C216*E216*F216*H216,2)</f>
        <v>25.92</v>
      </c>
      <c r="J216" s="1049"/>
      <c r="K216" s="1049"/>
      <c r="L216" s="1049"/>
      <c r="M216" s="1049"/>
      <c r="N216" s="1087"/>
      <c r="O216" s="1087"/>
    </row>
    <row r="217" spans="1:15" ht="14.1">
      <c r="A217" s="1046"/>
      <c r="B217" s="1050" t="s">
        <v>2119</v>
      </c>
      <c r="C217" s="1048">
        <v>1</v>
      </c>
      <c r="D217" s="1048" t="s">
        <v>1472</v>
      </c>
      <c r="E217" s="1048">
        <v>2</v>
      </c>
      <c r="F217" s="1049">
        <v>2.1</v>
      </c>
      <c r="G217" s="1049"/>
      <c r="H217" s="1049">
        <v>0.45</v>
      </c>
      <c r="I217" s="1049">
        <f>ROUND(C217*E217*F217*H217,2)</f>
        <v>1.89</v>
      </c>
      <c r="J217" s="1049"/>
      <c r="K217" s="1049"/>
      <c r="L217" s="1049"/>
      <c r="M217" s="1049"/>
      <c r="N217" s="1087"/>
      <c r="O217" s="1087"/>
    </row>
    <row r="218" spans="1:15" ht="14.1">
      <c r="A218" s="1046"/>
      <c r="B218" s="1050" t="s">
        <v>2120</v>
      </c>
      <c r="C218" s="1048">
        <v>1</v>
      </c>
      <c r="D218" s="1048" t="s">
        <v>1472</v>
      </c>
      <c r="E218" s="1048">
        <v>1</v>
      </c>
      <c r="F218" s="1049">
        <v>4.95</v>
      </c>
      <c r="G218" s="1049"/>
      <c r="H218" s="1049">
        <v>0.45</v>
      </c>
      <c r="I218" s="1049">
        <f>ROUND(C218*E218*F218*H218,2)</f>
        <v>2.23</v>
      </c>
      <c r="J218" s="1049"/>
      <c r="K218" s="1049"/>
      <c r="L218" s="1049"/>
      <c r="M218" s="1049"/>
      <c r="N218" s="1087"/>
      <c r="O218" s="1087"/>
    </row>
    <row r="219" spans="1:15" ht="14.1">
      <c r="A219" s="1046"/>
      <c r="B219" s="1060" t="s">
        <v>675</v>
      </c>
      <c r="C219" s="1048"/>
      <c r="D219" s="1048"/>
      <c r="E219" s="1048"/>
      <c r="F219" s="1049"/>
      <c r="G219" s="1049"/>
      <c r="H219" s="1049"/>
      <c r="I219" s="1049"/>
      <c r="J219" s="1049"/>
      <c r="K219" s="1049"/>
      <c r="L219" s="1049"/>
      <c r="M219" s="1049"/>
      <c r="N219" s="1087"/>
      <c r="O219" s="1087"/>
    </row>
    <row r="220" spans="1:15">
      <c r="A220" s="1076"/>
      <c r="B220" s="1061" t="s">
        <v>2223</v>
      </c>
      <c r="C220" s="1048">
        <v>1</v>
      </c>
      <c r="D220" s="1048" t="s">
        <v>1472</v>
      </c>
      <c r="E220" s="1048">
        <v>1</v>
      </c>
      <c r="F220" s="1049">
        <v>1.8</v>
      </c>
      <c r="G220" s="1084">
        <v>1</v>
      </c>
      <c r="H220" s="1049">
        <v>2.4</v>
      </c>
      <c r="I220" s="1049">
        <f t="shared" ref="I220:I225" si="11">-ROUND(C220*E220*F220*G220*H220,2)</f>
        <v>-4.32</v>
      </c>
      <c r="J220" s="1049"/>
      <c r="K220" s="1049"/>
      <c r="L220" s="1049"/>
      <c r="M220" s="1049"/>
      <c r="N220" s="1087"/>
      <c r="O220" s="1087"/>
    </row>
    <row r="221" spans="1:15">
      <c r="A221" s="1076"/>
      <c r="B221" s="1061" t="s">
        <v>980</v>
      </c>
      <c r="C221" s="1048">
        <v>1</v>
      </c>
      <c r="D221" s="1048" t="s">
        <v>1472</v>
      </c>
      <c r="E221" s="1048">
        <v>2</v>
      </c>
      <c r="F221" s="1049">
        <v>1.5</v>
      </c>
      <c r="G221" s="1084">
        <v>1</v>
      </c>
      <c r="H221" s="1049">
        <v>2.4</v>
      </c>
      <c r="I221" s="1049">
        <f t="shared" si="11"/>
        <v>-7.2</v>
      </c>
      <c r="J221" s="1049"/>
      <c r="K221" s="1049"/>
      <c r="L221" s="1049"/>
      <c r="M221" s="1049"/>
      <c r="N221" s="1087"/>
      <c r="O221" s="1087"/>
    </row>
    <row r="222" spans="1:15">
      <c r="A222" s="1076"/>
      <c r="B222" s="1061" t="s">
        <v>981</v>
      </c>
      <c r="C222" s="1048">
        <v>1</v>
      </c>
      <c r="D222" s="1048" t="s">
        <v>1472</v>
      </c>
      <c r="E222" s="1048">
        <v>2</v>
      </c>
      <c r="F222" s="1049">
        <v>0.9</v>
      </c>
      <c r="G222" s="1084">
        <v>1</v>
      </c>
      <c r="H222" s="1049">
        <v>2.1</v>
      </c>
      <c r="I222" s="1049">
        <f t="shared" si="11"/>
        <v>-3.78</v>
      </c>
      <c r="J222" s="1049"/>
      <c r="K222" s="1049"/>
      <c r="L222" s="1049"/>
      <c r="M222" s="1049"/>
      <c r="N222" s="1087"/>
      <c r="O222" s="1087"/>
    </row>
    <row r="223" spans="1:15">
      <c r="A223" s="1076"/>
      <c r="B223" s="1061" t="s">
        <v>2117</v>
      </c>
      <c r="C223" s="1048">
        <v>1</v>
      </c>
      <c r="D223" s="1048" t="s">
        <v>1472</v>
      </c>
      <c r="E223" s="1048">
        <v>1</v>
      </c>
      <c r="F223" s="1049">
        <v>1.5</v>
      </c>
      <c r="G223" s="1084">
        <v>1</v>
      </c>
      <c r="H223" s="1049">
        <v>1.2</v>
      </c>
      <c r="I223" s="1049">
        <f t="shared" si="11"/>
        <v>-1.8</v>
      </c>
      <c r="J223" s="1049"/>
      <c r="K223" s="1049"/>
      <c r="L223" s="1049"/>
      <c r="M223" s="1049"/>
      <c r="N223" s="1087"/>
      <c r="O223" s="1087"/>
    </row>
    <row r="224" spans="1:15" ht="14.1">
      <c r="A224" s="1046"/>
      <c r="B224" s="1061" t="s">
        <v>2215</v>
      </c>
      <c r="C224" s="1048">
        <v>1</v>
      </c>
      <c r="D224" s="1048" t="s">
        <v>1472</v>
      </c>
      <c r="E224" s="1048">
        <v>6</v>
      </c>
      <c r="F224" s="1049">
        <f>11*0.3048</f>
        <v>3.3528000000000002</v>
      </c>
      <c r="G224" s="1084">
        <v>1</v>
      </c>
      <c r="H224" s="1049">
        <v>0.9</v>
      </c>
      <c r="I224" s="1049">
        <f t="shared" si="11"/>
        <v>-18.11</v>
      </c>
      <c r="J224" s="1049"/>
      <c r="K224" s="1049"/>
      <c r="L224" s="1049"/>
      <c r="M224" s="1049"/>
      <c r="N224" s="1087"/>
      <c r="O224" s="1087"/>
    </row>
    <row r="225" spans="1:15" ht="14.1">
      <c r="A225" s="1046"/>
      <c r="B225" s="1061" t="s">
        <v>2216</v>
      </c>
      <c r="C225" s="1048">
        <v>1</v>
      </c>
      <c r="D225" s="1048" t="s">
        <v>1472</v>
      </c>
      <c r="E225" s="1048">
        <v>2</v>
      </c>
      <c r="F225" s="1049">
        <v>2.4</v>
      </c>
      <c r="G225" s="1084">
        <v>1</v>
      </c>
      <c r="H225" s="1049">
        <v>2</v>
      </c>
      <c r="I225" s="1049">
        <f t="shared" si="11"/>
        <v>-9.6</v>
      </c>
      <c r="J225" s="1049"/>
      <c r="K225" s="1049"/>
      <c r="L225" s="1049"/>
      <c r="M225" s="1049"/>
      <c r="N225" s="1087"/>
      <c r="O225" s="1087"/>
    </row>
    <row r="226" spans="1:15" ht="14.1">
      <c r="A226" s="1048"/>
      <c r="B226" s="1060" t="s">
        <v>2124</v>
      </c>
      <c r="C226" s="1048"/>
      <c r="D226" s="1048"/>
      <c r="E226" s="1048"/>
      <c r="F226" s="1049"/>
      <c r="G226" s="1049"/>
      <c r="H226" s="1049"/>
      <c r="I226" s="1049"/>
      <c r="J226" s="1049"/>
      <c r="K226" s="1049"/>
      <c r="L226" s="1049"/>
      <c r="M226" s="1049"/>
      <c r="N226" s="1087"/>
      <c r="O226" s="1087"/>
    </row>
    <row r="227" spans="1:15" ht="14.1">
      <c r="A227" s="1046"/>
      <c r="B227" s="1050" t="s">
        <v>2093</v>
      </c>
      <c r="C227" s="1048">
        <v>1</v>
      </c>
      <c r="D227" s="1048" t="s">
        <v>1472</v>
      </c>
      <c r="E227" s="1048">
        <v>2</v>
      </c>
      <c r="F227" s="1049">
        <f>10.5*0.3048</f>
        <v>3.2004000000000001</v>
      </c>
      <c r="G227" s="1084">
        <v>1</v>
      </c>
      <c r="H227" s="1049">
        <v>2.9</v>
      </c>
      <c r="I227" s="1049">
        <f>ROUND(C227*E227*F227*G227*H227,2)</f>
        <v>18.559999999999999</v>
      </c>
      <c r="J227" s="1049"/>
      <c r="K227" s="1049"/>
      <c r="L227" s="1049"/>
      <c r="M227" s="1049"/>
      <c r="N227" s="1087"/>
      <c r="O227" s="1087"/>
    </row>
    <row r="228" spans="1:15" ht="14.1">
      <c r="A228" s="1046"/>
      <c r="B228" s="1050" t="s">
        <v>2094</v>
      </c>
      <c r="C228" s="1048">
        <v>1</v>
      </c>
      <c r="D228" s="1048" t="s">
        <v>1472</v>
      </c>
      <c r="E228" s="1048">
        <v>2</v>
      </c>
      <c r="F228" s="1049">
        <f>10*0.3048</f>
        <v>3.048</v>
      </c>
      <c r="G228" s="1084">
        <v>1</v>
      </c>
      <c r="H228" s="1049">
        <v>2.9</v>
      </c>
      <c r="I228" s="1049">
        <f>ROUND(C228*E228*F228*G228*H228,2)</f>
        <v>17.68</v>
      </c>
      <c r="J228" s="1049"/>
      <c r="K228" s="1049"/>
      <c r="L228" s="1049"/>
      <c r="M228" s="1049"/>
      <c r="N228" s="1087"/>
      <c r="O228" s="1087"/>
    </row>
    <row r="229" spans="1:15">
      <c r="A229" s="1048"/>
      <c r="B229" s="1061" t="s">
        <v>2125</v>
      </c>
      <c r="C229" s="1048">
        <v>1</v>
      </c>
      <c r="D229" s="1048" t="s">
        <v>1472</v>
      </c>
      <c r="E229" s="1048">
        <v>2</v>
      </c>
      <c r="F229" s="1049">
        <f>10.5*0.3048</f>
        <v>3.2004000000000001</v>
      </c>
      <c r="G229" s="1084">
        <v>1</v>
      </c>
      <c r="H229" s="1049">
        <v>2.1</v>
      </c>
      <c r="I229" s="1049">
        <f>ROUND(C229*E229*F229*G229*H229,2)</f>
        <v>13.44</v>
      </c>
      <c r="J229" s="1049"/>
      <c r="K229" s="1049"/>
      <c r="L229" s="1049"/>
      <c r="M229" s="1049"/>
      <c r="N229" s="1087"/>
      <c r="O229" s="1087"/>
    </row>
    <row r="230" spans="1:15">
      <c r="A230" s="1048"/>
      <c r="B230" s="1061" t="s">
        <v>2125</v>
      </c>
      <c r="C230" s="1048">
        <v>1</v>
      </c>
      <c r="D230" s="1048" t="s">
        <v>1472</v>
      </c>
      <c r="E230" s="1048">
        <v>2</v>
      </c>
      <c r="F230" s="1049">
        <v>3.42</v>
      </c>
      <c r="G230" s="1084">
        <v>1</v>
      </c>
      <c r="H230" s="1049">
        <v>2.1</v>
      </c>
      <c r="I230" s="1049">
        <f>ROUND(C230*E230*F230*G230*H230,2)</f>
        <v>14.36</v>
      </c>
      <c r="J230" s="1049"/>
      <c r="K230" s="1049"/>
      <c r="L230" s="1049"/>
      <c r="M230" s="1049"/>
      <c r="N230" s="1087"/>
      <c r="O230" s="1087"/>
    </row>
    <row r="231" spans="1:15" ht="14.1">
      <c r="A231" s="1048"/>
      <c r="B231" s="1060" t="s">
        <v>675</v>
      </c>
      <c r="C231" s="1048"/>
      <c r="D231" s="1048"/>
      <c r="E231" s="1048"/>
      <c r="F231" s="1049"/>
      <c r="G231" s="1049"/>
      <c r="H231" s="1049"/>
      <c r="I231" s="1049"/>
      <c r="J231" s="1049"/>
      <c r="K231" s="1049"/>
      <c r="L231" s="1049"/>
      <c r="M231" s="1049"/>
      <c r="N231" s="1087"/>
      <c r="O231" s="1087"/>
    </row>
    <row r="232" spans="1:15">
      <c r="A232" s="1048"/>
      <c r="B232" s="1061" t="s">
        <v>2126</v>
      </c>
      <c r="C232" s="1048">
        <v>1</v>
      </c>
      <c r="D232" s="1048" t="s">
        <v>1472</v>
      </c>
      <c r="E232" s="1048">
        <v>2</v>
      </c>
      <c r="F232" s="1049">
        <v>0.9</v>
      </c>
      <c r="G232" s="1084">
        <v>1</v>
      </c>
      <c r="H232" s="1049">
        <v>2.1</v>
      </c>
      <c r="I232" s="1049">
        <f>-ROUND(C232*E232*F232*G232*H232,2)</f>
        <v>-3.78</v>
      </c>
      <c r="J232" s="1049"/>
      <c r="K232" s="1049"/>
      <c r="L232" s="1049"/>
      <c r="M232" s="1049"/>
      <c r="N232" s="1087"/>
      <c r="O232" s="1087"/>
    </row>
    <row r="233" spans="1:15">
      <c r="A233" s="1048"/>
      <c r="B233" s="1061" t="s">
        <v>101</v>
      </c>
      <c r="C233" s="1048">
        <v>1</v>
      </c>
      <c r="D233" s="1048" t="s">
        <v>1472</v>
      </c>
      <c r="E233" s="1048">
        <v>2</v>
      </c>
      <c r="F233" s="1049">
        <v>0.75</v>
      </c>
      <c r="G233" s="1084">
        <v>1</v>
      </c>
      <c r="H233" s="1049">
        <v>2.1</v>
      </c>
      <c r="I233" s="1049">
        <f>-ROUND(C233*E233*F233*G233*H233,2)</f>
        <v>-3.15</v>
      </c>
      <c r="J233" s="1049"/>
      <c r="K233" s="1049"/>
      <c r="L233" s="1049"/>
      <c r="M233" s="1049"/>
      <c r="N233" s="1087"/>
      <c r="O233" s="1087"/>
    </row>
    <row r="234" spans="1:15">
      <c r="A234" s="1048"/>
      <c r="B234" s="1061" t="s">
        <v>2224</v>
      </c>
      <c r="C234" s="1048">
        <v>1</v>
      </c>
      <c r="D234" s="1048" t="s">
        <v>1472</v>
      </c>
      <c r="E234" s="1048">
        <v>2</v>
      </c>
      <c r="F234" s="1049">
        <v>0.75</v>
      </c>
      <c r="G234" s="1084">
        <v>1</v>
      </c>
      <c r="H234" s="1049">
        <v>0.3</v>
      </c>
      <c r="I234" s="1049">
        <f>-ROUND(C234*E234*F234*G234*H234,2)</f>
        <v>-0.45</v>
      </c>
      <c r="J234" s="1049"/>
      <c r="K234" s="1049"/>
      <c r="L234" s="1049"/>
      <c r="M234" s="1049"/>
      <c r="N234" s="1087"/>
      <c r="O234" s="1087"/>
    </row>
    <row r="235" spans="1:15" ht="14.1">
      <c r="A235" s="1046"/>
      <c r="B235" s="1065"/>
      <c r="C235" s="1048"/>
      <c r="D235" s="1048"/>
      <c r="E235" s="1048"/>
      <c r="F235" s="1049"/>
      <c r="G235" s="1049"/>
      <c r="H235" s="1049"/>
      <c r="I235" s="1049">
        <f>SUM(I213:I234)</f>
        <v>370.65000000000009</v>
      </c>
      <c r="J235" s="1049"/>
      <c r="K235" s="1049"/>
      <c r="L235" s="1049"/>
      <c r="M235" s="1049"/>
      <c r="N235" s="1087"/>
      <c r="O235" s="1087"/>
    </row>
    <row r="236" spans="1:15" ht="14.1">
      <c r="A236" s="1046"/>
      <c r="B236" s="1065"/>
      <c r="C236" s="1048"/>
      <c r="D236" s="1048"/>
      <c r="E236" s="1048"/>
      <c r="F236" s="1049"/>
      <c r="G236" s="1049" t="s">
        <v>667</v>
      </c>
      <c r="H236" s="1049"/>
      <c r="I236" s="1052">
        <f>I235</f>
        <v>370.65000000000009</v>
      </c>
      <c r="J236" s="1049">
        <f>Datas!$E$679</f>
        <v>4266.8500000000004</v>
      </c>
      <c r="K236" s="1053">
        <f>ROUND(J236*I236/10,0)</f>
        <v>158151</v>
      </c>
      <c r="L236" s="1049"/>
      <c r="M236" s="1055"/>
      <c r="N236" s="1087">
        <f>(0.15*9)</f>
        <v>1.3499999999999999</v>
      </c>
      <c r="O236" s="1087">
        <f>ROUND(I236*N236,0)</f>
        <v>500</v>
      </c>
    </row>
    <row r="237" spans="1:15" ht="14.1">
      <c r="A237" s="1046"/>
      <c r="B237" s="1061"/>
      <c r="C237" s="1085"/>
      <c r="D237" s="1085"/>
      <c r="E237" s="1048"/>
      <c r="F237" s="1049"/>
      <c r="G237" s="1049"/>
      <c r="H237" s="1049"/>
      <c r="I237" s="1053" t="s">
        <v>1478</v>
      </c>
      <c r="J237" s="1053" t="s">
        <v>37</v>
      </c>
      <c r="K237" s="1053"/>
      <c r="L237" s="1049"/>
      <c r="M237" s="1049"/>
      <c r="N237" s="1087"/>
      <c r="O237" s="1087"/>
    </row>
    <row r="238" spans="1:15" ht="132" customHeight="1">
      <c r="A238" s="1046">
        <v>13</v>
      </c>
      <c r="B238" s="2415" t="s">
        <v>2301</v>
      </c>
      <c r="C238" s="2416"/>
      <c r="D238" s="2416"/>
      <c r="E238" s="2416"/>
      <c r="F238" s="2416"/>
      <c r="G238" s="2416"/>
      <c r="H238" s="2416"/>
      <c r="I238" s="2417"/>
      <c r="J238" s="1049"/>
      <c r="K238" s="1049"/>
      <c r="L238" s="1049"/>
      <c r="M238" s="1049"/>
      <c r="N238" s="1087"/>
      <c r="O238" s="1087"/>
    </row>
    <row r="239" spans="1:15" ht="14.1">
      <c r="A239" s="1046"/>
      <c r="B239" s="1060" t="s">
        <v>2135</v>
      </c>
      <c r="C239" s="1082"/>
      <c r="D239" s="1082"/>
      <c r="E239" s="1082"/>
      <c r="F239" s="1083"/>
      <c r="G239" s="1083"/>
      <c r="H239" s="1083"/>
      <c r="I239" s="1083"/>
      <c r="J239" s="1049"/>
      <c r="K239" s="1049"/>
      <c r="L239" s="1049"/>
      <c r="M239" s="1049"/>
      <c r="N239" s="1087"/>
      <c r="O239" s="1087"/>
    </row>
    <row r="240" spans="1:15" ht="14.1">
      <c r="A240" s="1046"/>
      <c r="B240" s="1050" t="s">
        <v>2115</v>
      </c>
      <c r="C240" s="1048">
        <v>1</v>
      </c>
      <c r="D240" s="1048" t="s">
        <v>1472</v>
      </c>
      <c r="E240" s="1048">
        <v>2</v>
      </c>
      <c r="F240" s="1049">
        <f>60.75*0.3048</f>
        <v>18.5166</v>
      </c>
      <c r="G240" s="1084">
        <v>1</v>
      </c>
      <c r="H240" s="1049">
        <v>4.26</v>
      </c>
      <c r="I240" s="1049">
        <f>ROUND(C240*E240*F240*G240*H240,2)</f>
        <v>157.76</v>
      </c>
      <c r="J240" s="1049"/>
      <c r="K240" s="1049"/>
      <c r="L240" s="1049"/>
      <c r="M240" s="1049"/>
      <c r="N240" s="1087"/>
      <c r="O240" s="1087"/>
    </row>
    <row r="241" spans="1:15" ht="14.1">
      <c r="A241" s="1046"/>
      <c r="B241" s="1050" t="s">
        <v>2033</v>
      </c>
      <c r="C241" s="1048">
        <v>1</v>
      </c>
      <c r="D241" s="1048" t="s">
        <v>1472</v>
      </c>
      <c r="E241" s="1048">
        <v>2</v>
      </c>
      <c r="F241" s="1049">
        <f>31.5*0.3048</f>
        <v>9.6012000000000004</v>
      </c>
      <c r="G241" s="1084">
        <v>1</v>
      </c>
      <c r="H241" s="1164" t="s">
        <v>2335</v>
      </c>
      <c r="I241" s="1049">
        <f>ROUND(C241*E241*F241*AVERAGE(4.26,6,4.26),2)</f>
        <v>92.94</v>
      </c>
      <c r="J241" s="1049"/>
      <c r="K241" s="1049"/>
      <c r="L241" s="1049"/>
      <c r="M241" s="1049"/>
      <c r="N241" s="1087"/>
      <c r="O241" s="1087"/>
    </row>
    <row r="242" spans="1:15" ht="14.1">
      <c r="A242" s="1046"/>
      <c r="B242" s="1060" t="s">
        <v>2136</v>
      </c>
      <c r="C242" s="1048"/>
      <c r="D242" s="1048"/>
      <c r="E242" s="1048"/>
      <c r="F242" s="1049"/>
      <c r="G242" s="1084"/>
      <c r="H242" s="1049"/>
      <c r="I242" s="1068"/>
      <c r="J242" s="1049"/>
      <c r="K242" s="1049"/>
      <c r="L242" s="1049"/>
      <c r="M242" s="1068"/>
      <c r="N242" s="1087"/>
      <c r="O242" s="1087"/>
    </row>
    <row r="243" spans="1:15" ht="14.1">
      <c r="A243" s="1046"/>
      <c r="B243" s="1050" t="s">
        <v>2093</v>
      </c>
      <c r="C243" s="1048">
        <v>1</v>
      </c>
      <c r="D243" s="1048" t="s">
        <v>1472</v>
      </c>
      <c r="E243" s="1048">
        <v>2</v>
      </c>
      <c r="F243" s="1049">
        <f>12*0.3048</f>
        <v>3.6576000000000004</v>
      </c>
      <c r="G243" s="1084">
        <v>1</v>
      </c>
      <c r="H243" s="1049">
        <v>2.4</v>
      </c>
      <c r="I243" s="1049">
        <f>ROUND(C243*E243*F243*G243*H243,2)</f>
        <v>17.559999999999999</v>
      </c>
      <c r="J243" s="1049"/>
      <c r="K243" s="1049"/>
      <c r="L243" s="1049"/>
      <c r="M243" s="1049"/>
      <c r="N243" s="1087"/>
      <c r="O243" s="1087"/>
    </row>
    <row r="244" spans="1:15" ht="14.1">
      <c r="A244" s="1046"/>
      <c r="B244" s="1050" t="s">
        <v>2094</v>
      </c>
      <c r="C244" s="1048">
        <v>1</v>
      </c>
      <c r="D244" s="1048" t="s">
        <v>1472</v>
      </c>
      <c r="E244" s="1048">
        <v>2</v>
      </c>
      <c r="F244" s="1049">
        <f>11.5*0.3048</f>
        <v>3.5052000000000003</v>
      </c>
      <c r="G244" s="1084">
        <v>1</v>
      </c>
      <c r="H244" s="1049">
        <v>2.4</v>
      </c>
      <c r="I244" s="1049">
        <f>ROUND(C244*E244*F244*G244*H244,2)</f>
        <v>16.82</v>
      </c>
      <c r="J244" s="1049"/>
      <c r="K244" s="1049"/>
      <c r="L244" s="1049"/>
      <c r="M244" s="1049"/>
      <c r="N244" s="1087"/>
      <c r="O244" s="1087"/>
    </row>
    <row r="245" spans="1:15" ht="14.1">
      <c r="A245" s="1046"/>
      <c r="B245" s="1061"/>
      <c r="C245" s="1048"/>
      <c r="D245" s="1048"/>
      <c r="E245" s="1048"/>
      <c r="F245" s="1049"/>
      <c r="G245" s="1049"/>
      <c r="H245" s="1049" t="s">
        <v>982</v>
      </c>
      <c r="I245" s="1052">
        <f>SUM(I240:I244)</f>
        <v>285.08</v>
      </c>
      <c r="J245" s="1049">
        <f>Datas!E706</f>
        <v>439.762</v>
      </c>
      <c r="K245" s="1053">
        <f>ROUND(J245*I245/10,0)</f>
        <v>12537</v>
      </c>
      <c r="L245" s="1049">
        <f>0.12*9+1.1*8</f>
        <v>9.8800000000000008</v>
      </c>
      <c r="M245" s="1055">
        <f>L245*I245</f>
        <v>2816.5904</v>
      </c>
      <c r="N245" s="1087">
        <f>(0.22*9)</f>
        <v>1.98</v>
      </c>
      <c r="O245" s="1087">
        <f>ROUND(I245*N245,0)</f>
        <v>564</v>
      </c>
    </row>
    <row r="246" spans="1:15" ht="14.1">
      <c r="A246" s="1046"/>
      <c r="B246" s="1061"/>
      <c r="C246" s="1048"/>
      <c r="D246" s="1048"/>
      <c r="E246" s="1048"/>
      <c r="F246" s="1049"/>
      <c r="G246" s="1049"/>
      <c r="H246" s="1049"/>
      <c r="I246" s="1053" t="s">
        <v>1478</v>
      </c>
      <c r="J246" s="1053" t="s">
        <v>37</v>
      </c>
      <c r="K246" s="1053"/>
      <c r="L246" s="1049"/>
      <c r="M246" s="1049"/>
      <c r="N246" s="1087"/>
      <c r="O246" s="1087"/>
    </row>
    <row r="247" spans="1:15" ht="104.25" customHeight="1">
      <c r="A247" s="1046">
        <v>14</v>
      </c>
      <c r="B247" s="2415" t="s">
        <v>2320</v>
      </c>
      <c r="C247" s="2416"/>
      <c r="D247" s="2416"/>
      <c r="E247" s="2416"/>
      <c r="F247" s="2416"/>
      <c r="G247" s="2416"/>
      <c r="H247" s="2416"/>
      <c r="I247" s="2417"/>
      <c r="J247" s="1049"/>
      <c r="K247" s="1049"/>
      <c r="L247" s="1049"/>
      <c r="M247" s="1049"/>
      <c r="N247" s="1087"/>
      <c r="O247" s="1087"/>
    </row>
    <row r="248" spans="1:15" ht="14.1">
      <c r="A248" s="1046"/>
      <c r="B248" s="1050" t="s">
        <v>2319</v>
      </c>
      <c r="C248" s="1048">
        <v>1</v>
      </c>
      <c r="D248" s="1048" t="s">
        <v>1472</v>
      </c>
      <c r="E248" s="1048">
        <v>1</v>
      </c>
      <c r="F248" s="1049">
        <f>10*0.3048</f>
        <v>3.048</v>
      </c>
      <c r="G248" s="1084">
        <v>1</v>
      </c>
      <c r="H248" s="1049">
        <f>9*0.3048</f>
        <v>2.7432000000000003</v>
      </c>
      <c r="I248" s="1049">
        <f>ROUND(C248*E248*F248*G248*H248,2)</f>
        <v>8.36</v>
      </c>
      <c r="J248" s="1049"/>
      <c r="K248" s="1049"/>
      <c r="L248" s="1049"/>
      <c r="M248" s="1049"/>
      <c r="N248" s="1087"/>
      <c r="O248" s="1087"/>
    </row>
    <row r="249" spans="1:15" ht="14.1">
      <c r="A249" s="1046"/>
      <c r="B249" s="1061" t="s">
        <v>2321</v>
      </c>
      <c r="C249" s="1048">
        <v>1</v>
      </c>
      <c r="D249" s="1048" t="s">
        <v>1472</v>
      </c>
      <c r="E249" s="1048">
        <v>2</v>
      </c>
      <c r="F249" s="1049">
        <f>(60.75-2.75)*0.3048</f>
        <v>17.6784</v>
      </c>
      <c r="G249" s="1049"/>
      <c r="H249" s="1049"/>
      <c r="I249" s="1049">
        <f>ROUND(C249*E249*F249,2)</f>
        <v>35.36</v>
      </c>
      <c r="J249" s="1049"/>
      <c r="K249" s="1049"/>
      <c r="L249" s="1049"/>
      <c r="M249" s="1068"/>
      <c r="N249" s="1087"/>
      <c r="O249" s="1087"/>
    </row>
    <row r="250" spans="1:15" ht="14.1">
      <c r="A250" s="1046"/>
      <c r="B250" s="1061" t="s">
        <v>2322</v>
      </c>
      <c r="C250" s="1048">
        <v>1</v>
      </c>
      <c r="D250" s="1048" t="s">
        <v>1472</v>
      </c>
      <c r="E250" s="1048">
        <v>2</v>
      </c>
      <c r="F250" s="1049">
        <v>1.8</v>
      </c>
      <c r="G250" s="1049"/>
      <c r="H250" s="1049"/>
      <c r="I250" s="1049">
        <f>ROUND(C250*E250*F250,2)</f>
        <v>3.6</v>
      </c>
      <c r="J250" s="1049"/>
      <c r="K250" s="1049"/>
      <c r="L250" s="1049"/>
      <c r="M250" s="1068"/>
      <c r="N250" s="1087"/>
      <c r="O250" s="1087"/>
    </row>
    <row r="251" spans="1:15" ht="14.1">
      <c r="A251" s="1046"/>
      <c r="B251" s="1061"/>
      <c r="C251" s="1048"/>
      <c r="D251" s="1048"/>
      <c r="E251" s="1048"/>
      <c r="F251" s="1049"/>
      <c r="G251" s="1049"/>
      <c r="H251" s="1049" t="s">
        <v>982</v>
      </c>
      <c r="I251" s="1052">
        <f>SUM(I248:I250)</f>
        <v>47.32</v>
      </c>
      <c r="J251" s="1049">
        <f>Datas!E654</f>
        <v>1489.73</v>
      </c>
      <c r="K251" s="1053">
        <f>ROUND(J251*I251/10,0)</f>
        <v>7049</v>
      </c>
      <c r="L251" s="1049">
        <f>0.12*9+1.1*8</f>
        <v>9.8800000000000008</v>
      </c>
      <c r="M251" s="1055">
        <f>L251*I251</f>
        <v>467.52160000000003</v>
      </c>
      <c r="N251" s="1087">
        <f>(0.15*9)</f>
        <v>1.3499999999999999</v>
      </c>
      <c r="O251" s="1087">
        <f>ROUND(I251*N251,0)</f>
        <v>64</v>
      </c>
    </row>
    <row r="252" spans="1:15" ht="14.1">
      <c r="A252" s="1046"/>
      <c r="B252" s="1061"/>
      <c r="C252" s="1048"/>
      <c r="D252" s="1048"/>
      <c r="E252" s="1048"/>
      <c r="F252" s="1049"/>
      <c r="G252" s="1049"/>
      <c r="H252" s="1049"/>
      <c r="I252" s="1053" t="s">
        <v>1478</v>
      </c>
      <c r="J252" s="1053" t="s">
        <v>37</v>
      </c>
      <c r="K252" s="1053"/>
      <c r="L252" s="1049"/>
      <c r="M252" s="1049"/>
      <c r="N252" s="1087"/>
      <c r="O252" s="1087"/>
    </row>
    <row r="253" spans="1:15" ht="91.5" customHeight="1">
      <c r="A253" s="1046">
        <v>15</v>
      </c>
      <c r="B253" s="2415" t="s">
        <v>2318</v>
      </c>
      <c r="C253" s="2416"/>
      <c r="D253" s="2416"/>
      <c r="E253" s="2416"/>
      <c r="F253" s="2416"/>
      <c r="G253" s="2416"/>
      <c r="H253" s="2416"/>
      <c r="I253" s="2417"/>
      <c r="J253" s="1049"/>
      <c r="K253" s="1049"/>
      <c r="L253" s="1049"/>
      <c r="M253" s="1049"/>
      <c r="N253" s="1087"/>
      <c r="O253" s="1087"/>
    </row>
    <row r="254" spans="1:15" ht="14.1">
      <c r="A254" s="1046"/>
      <c r="B254" s="1050" t="s">
        <v>2319</v>
      </c>
      <c r="C254" s="1048">
        <v>1</v>
      </c>
      <c r="D254" s="1048" t="s">
        <v>1472</v>
      </c>
      <c r="E254" s="1048">
        <v>1</v>
      </c>
      <c r="F254" s="1049">
        <f>14*0.3048</f>
        <v>4.2671999999999999</v>
      </c>
      <c r="G254" s="1084">
        <v>1</v>
      </c>
      <c r="H254" s="1049">
        <f>13.5*0.3048</f>
        <v>4.1147999999999998</v>
      </c>
      <c r="I254" s="1049">
        <f>ROUND(C254*E254*F254*G254*H254,2)</f>
        <v>17.559999999999999</v>
      </c>
      <c r="J254" s="1049"/>
      <c r="K254" s="1049"/>
      <c r="L254" s="1049"/>
      <c r="M254" s="1049"/>
      <c r="N254" s="1087"/>
      <c r="O254" s="1087"/>
    </row>
    <row r="255" spans="1:15" ht="14.1">
      <c r="A255" s="1046"/>
      <c r="B255" s="1061"/>
      <c r="C255" s="1048"/>
      <c r="D255" s="1048"/>
      <c r="E255" s="1048"/>
      <c r="F255" s="1049"/>
      <c r="G255" s="1049"/>
      <c r="H255" s="1049" t="s">
        <v>982</v>
      </c>
      <c r="I255" s="1052">
        <f>SUM(I254:I254)</f>
        <v>17.559999999999999</v>
      </c>
      <c r="J255" s="1049">
        <f>Datas!E867</f>
        <v>489.39799999999997</v>
      </c>
      <c r="K255" s="1053">
        <f>ROUND(J255*I255/10,0)</f>
        <v>859</v>
      </c>
      <c r="L255" s="1049">
        <f>0.12*9+1.1*8</f>
        <v>9.8800000000000008</v>
      </c>
      <c r="M255" s="1055">
        <f>L255*I255</f>
        <v>173.49279999999999</v>
      </c>
      <c r="N255" s="1087">
        <f>(0.21*9)</f>
        <v>1.89</v>
      </c>
      <c r="O255" s="1087">
        <f>ROUND(I255*N255,0)</f>
        <v>33</v>
      </c>
    </row>
    <row r="256" spans="1:15" ht="14.1">
      <c r="A256" s="1046"/>
      <c r="B256" s="1061"/>
      <c r="C256" s="1048"/>
      <c r="D256" s="1048"/>
      <c r="E256" s="1048"/>
      <c r="F256" s="1049"/>
      <c r="G256" s="1049"/>
      <c r="H256" s="1049"/>
      <c r="I256" s="1053" t="s">
        <v>1478</v>
      </c>
      <c r="J256" s="1053" t="s">
        <v>37</v>
      </c>
      <c r="K256" s="1053"/>
      <c r="L256" s="1049"/>
      <c r="M256" s="1049"/>
      <c r="N256" s="1087"/>
      <c r="O256" s="1087"/>
    </row>
    <row r="257" spans="1:15" ht="120.75" customHeight="1">
      <c r="A257" s="1046">
        <v>16</v>
      </c>
      <c r="B257" s="2415" t="s">
        <v>2306</v>
      </c>
      <c r="C257" s="2426"/>
      <c r="D257" s="2426"/>
      <c r="E257" s="2426"/>
      <c r="F257" s="2426"/>
      <c r="G257" s="2426"/>
      <c r="H257" s="2426"/>
      <c r="I257" s="2427"/>
      <c r="J257" s="1049"/>
      <c r="K257" s="1049"/>
      <c r="L257" s="1049"/>
      <c r="M257" s="1049"/>
      <c r="N257" s="1087"/>
      <c r="O257" s="1087"/>
    </row>
    <row r="258" spans="1:15" ht="14.1">
      <c r="A258" s="1046"/>
      <c r="B258" s="1061" t="s">
        <v>2018</v>
      </c>
      <c r="C258" s="1048">
        <v>1</v>
      </c>
      <c r="D258" s="1048" t="s">
        <v>1472</v>
      </c>
      <c r="E258" s="1048">
        <v>1</v>
      </c>
      <c r="F258" s="1049">
        <f>(46.5)*0.3048</f>
        <v>14.173200000000001</v>
      </c>
      <c r="G258" s="1069"/>
      <c r="H258" s="1049">
        <f>(31.5-1.5)*0.3048</f>
        <v>9.1440000000000001</v>
      </c>
      <c r="I258" s="1049">
        <f>ROUND(C258*E258*F258*H258,2)</f>
        <v>129.6</v>
      </c>
      <c r="J258" s="1049"/>
      <c r="K258" s="1049"/>
      <c r="L258" s="1049"/>
      <c r="M258" s="1049"/>
      <c r="N258" s="1087"/>
      <c r="O258" s="1087"/>
    </row>
    <row r="259" spans="1:15" ht="14.1">
      <c r="A259" s="1046"/>
      <c r="B259" s="1061" t="s">
        <v>2137</v>
      </c>
      <c r="C259" s="1048">
        <v>1</v>
      </c>
      <c r="D259" s="1048" t="s">
        <v>1472</v>
      </c>
      <c r="E259" s="1048">
        <v>1</v>
      </c>
      <c r="F259" s="1049">
        <f>(12)*0.3048</f>
        <v>3.6576000000000004</v>
      </c>
      <c r="G259" s="1069"/>
      <c r="H259" s="1049">
        <f>(12)*0.3048</f>
        <v>3.6576000000000004</v>
      </c>
      <c r="I259" s="1049">
        <f>ROUND(C259*E259*F259*H259,2)</f>
        <v>13.38</v>
      </c>
      <c r="J259" s="1049"/>
      <c r="K259" s="1049"/>
      <c r="L259" s="1049"/>
      <c r="M259" s="1049"/>
      <c r="N259" s="1087"/>
      <c r="O259" s="1087"/>
    </row>
    <row r="260" spans="1:15" ht="14.1">
      <c r="A260" s="1046"/>
      <c r="B260" s="1061" t="s">
        <v>2138</v>
      </c>
      <c r="C260" s="1048">
        <v>1</v>
      </c>
      <c r="D260" s="1048" t="s">
        <v>1472</v>
      </c>
      <c r="E260" s="1048">
        <v>1</v>
      </c>
      <c r="F260" s="1049">
        <f>(17.625)*0.3048</f>
        <v>5.3721000000000005</v>
      </c>
      <c r="G260" s="1069"/>
      <c r="H260" s="1049">
        <f>(12)*0.3048</f>
        <v>3.6576000000000004</v>
      </c>
      <c r="I260" s="1049">
        <f>ROUND(C260*E260*F260*H260,2)</f>
        <v>19.649999999999999</v>
      </c>
      <c r="J260" s="1049"/>
      <c r="K260" s="1049"/>
      <c r="L260" s="1049"/>
      <c r="M260" s="1049"/>
      <c r="N260" s="1087"/>
      <c r="O260" s="1087"/>
    </row>
    <row r="261" spans="1:15" ht="14.1">
      <c r="A261" s="1046"/>
      <c r="B261" s="1061" t="s">
        <v>2262</v>
      </c>
      <c r="C261" s="1048">
        <v>1</v>
      </c>
      <c r="D261" s="1048" t="s">
        <v>1472</v>
      </c>
      <c r="E261" s="1048">
        <v>1</v>
      </c>
      <c r="F261" s="1049">
        <f>(31.5-12)*0.3048</f>
        <v>5.9436</v>
      </c>
      <c r="G261" s="1069"/>
      <c r="H261" s="1049">
        <f>(7)*0.3048</f>
        <v>2.1335999999999999</v>
      </c>
      <c r="I261" s="1049">
        <f>ROUND(C261*E261*F261*H261,2)</f>
        <v>12.68</v>
      </c>
      <c r="J261" s="1049"/>
      <c r="K261" s="1049"/>
      <c r="L261" s="1049"/>
      <c r="M261" s="1049"/>
      <c r="N261" s="1087"/>
      <c r="O261" s="1087"/>
    </row>
    <row r="262" spans="1:15" ht="14.1">
      <c r="A262" s="1046"/>
      <c r="B262" s="1064" t="s">
        <v>421</v>
      </c>
      <c r="C262" s="1048"/>
      <c r="D262" s="1048"/>
      <c r="E262" s="1048"/>
      <c r="F262" s="1049"/>
      <c r="G262" s="1049"/>
      <c r="H262" s="1049"/>
      <c r="I262" s="1049"/>
      <c r="J262" s="1049"/>
      <c r="K262" s="1049"/>
      <c r="L262" s="1049"/>
      <c r="M262" s="1049"/>
      <c r="N262" s="1087"/>
      <c r="O262" s="1087"/>
    </row>
    <row r="263" spans="1:15" ht="14.1">
      <c r="A263" s="1046"/>
      <c r="B263" s="1065" t="s">
        <v>2185</v>
      </c>
      <c r="C263" s="1048">
        <v>1</v>
      </c>
      <c r="D263" s="1048" t="s">
        <v>1472</v>
      </c>
      <c r="E263" s="1048">
        <v>1</v>
      </c>
      <c r="F263" s="1049">
        <f>(31.5-6)*0.3048</f>
        <v>7.7724000000000002</v>
      </c>
      <c r="G263" s="1049">
        <v>1</v>
      </c>
      <c r="H263" s="1049">
        <v>0.45</v>
      </c>
      <c r="I263" s="1049">
        <f t="shared" ref="I263:I270" si="12">ROUND(C263*E263*F263*G263*H263,2)</f>
        <v>3.5</v>
      </c>
      <c r="J263" s="1049"/>
      <c r="K263" s="1049"/>
      <c r="L263" s="1049"/>
      <c r="M263" s="1049"/>
      <c r="N263" s="1049"/>
      <c r="O263" s="1087"/>
    </row>
    <row r="264" spans="1:15" ht="14.1">
      <c r="A264" s="1046"/>
      <c r="B264" s="1065" t="s">
        <v>2186</v>
      </c>
      <c r="C264" s="1048">
        <v>1</v>
      </c>
      <c r="D264" s="1048" t="s">
        <v>1472</v>
      </c>
      <c r="E264" s="1048">
        <v>1</v>
      </c>
      <c r="F264" s="1049">
        <f>(31.5-6-2)*0.3048</f>
        <v>7.1628000000000007</v>
      </c>
      <c r="G264" s="1049">
        <v>1</v>
      </c>
      <c r="H264" s="1049">
        <v>0.45</v>
      </c>
      <c r="I264" s="1049">
        <f t="shared" si="12"/>
        <v>3.22</v>
      </c>
      <c r="J264" s="1049"/>
      <c r="K264" s="1049"/>
      <c r="L264" s="1049"/>
      <c r="M264" s="1049"/>
      <c r="N264" s="1049"/>
      <c r="O264" s="1087"/>
    </row>
    <row r="265" spans="1:15" ht="14.1">
      <c r="A265" s="1046"/>
      <c r="B265" s="1065" t="s">
        <v>2187</v>
      </c>
      <c r="C265" s="1048">
        <v>1</v>
      </c>
      <c r="D265" s="1048" t="s">
        <v>1472</v>
      </c>
      <c r="E265" s="1048">
        <v>1</v>
      </c>
      <c r="F265" s="1049">
        <f>(31.5-6-2-2)*0.3048</f>
        <v>6.5532000000000004</v>
      </c>
      <c r="G265" s="1049">
        <v>1</v>
      </c>
      <c r="H265" s="1049">
        <v>0.45</v>
      </c>
      <c r="I265" s="1049">
        <f t="shared" si="12"/>
        <v>2.95</v>
      </c>
      <c r="J265" s="1049"/>
      <c r="K265" s="1049"/>
      <c r="L265" s="1049"/>
      <c r="M265" s="1049"/>
      <c r="N265" s="1049"/>
      <c r="O265" s="1087"/>
    </row>
    <row r="266" spans="1:15" ht="14.1">
      <c r="A266" s="1046"/>
      <c r="B266" s="1065" t="s">
        <v>2188</v>
      </c>
      <c r="C266" s="1048">
        <v>1</v>
      </c>
      <c r="D266" s="1048" t="s">
        <v>1472</v>
      </c>
      <c r="E266" s="1048">
        <v>1</v>
      </c>
      <c r="F266" s="1049">
        <f>(31.5-6-2-2-2)*0.3048</f>
        <v>5.9436</v>
      </c>
      <c r="G266" s="1049">
        <v>1</v>
      </c>
      <c r="H266" s="1049">
        <v>0.45</v>
      </c>
      <c r="I266" s="1049">
        <f t="shared" si="12"/>
        <v>2.67</v>
      </c>
      <c r="J266" s="1049"/>
      <c r="K266" s="1049"/>
      <c r="L266" s="1049"/>
      <c r="M266" s="1049"/>
      <c r="N266" s="1049"/>
      <c r="O266" s="1087"/>
    </row>
    <row r="267" spans="1:15" ht="14.1">
      <c r="A267" s="1046"/>
      <c r="B267" s="1065" t="s">
        <v>2189</v>
      </c>
      <c r="C267" s="1048">
        <v>1</v>
      </c>
      <c r="D267" s="1048" t="s">
        <v>1472</v>
      </c>
      <c r="E267" s="1048">
        <v>2</v>
      </c>
      <c r="F267" s="1049">
        <f>(10)*0.3048</f>
        <v>3.048</v>
      </c>
      <c r="G267" s="1049">
        <v>1</v>
      </c>
      <c r="H267" s="1049">
        <v>0.45</v>
      </c>
      <c r="I267" s="1049">
        <f t="shared" si="12"/>
        <v>2.74</v>
      </c>
      <c r="J267" s="1049"/>
      <c r="K267" s="1049"/>
      <c r="L267" s="1049"/>
      <c r="M267" s="1049"/>
      <c r="N267" s="1049"/>
      <c r="O267" s="1087"/>
    </row>
    <row r="268" spans="1:15" ht="14.1">
      <c r="A268" s="1046"/>
      <c r="B268" s="1065" t="s">
        <v>2190</v>
      </c>
      <c r="C268" s="1048">
        <v>1</v>
      </c>
      <c r="D268" s="1048" t="s">
        <v>1472</v>
      </c>
      <c r="E268" s="1048">
        <v>2</v>
      </c>
      <c r="F268" s="1049">
        <f>(10-1)*0.3048</f>
        <v>2.7432000000000003</v>
      </c>
      <c r="G268" s="1049">
        <v>1</v>
      </c>
      <c r="H268" s="1049">
        <v>0.45</v>
      </c>
      <c r="I268" s="1049">
        <f t="shared" si="12"/>
        <v>2.4700000000000002</v>
      </c>
      <c r="J268" s="1049"/>
      <c r="K268" s="1049"/>
      <c r="L268" s="1049"/>
      <c r="M268" s="1049"/>
      <c r="N268" s="1049"/>
      <c r="O268" s="1087"/>
    </row>
    <row r="269" spans="1:15" ht="14.1">
      <c r="A269" s="1046"/>
      <c r="B269" s="1065" t="s">
        <v>2191</v>
      </c>
      <c r="C269" s="1048">
        <v>1</v>
      </c>
      <c r="D269" s="1048" t="s">
        <v>1472</v>
      </c>
      <c r="E269" s="1048">
        <v>2</v>
      </c>
      <c r="F269" s="1049">
        <f>(10-2)*0.3048</f>
        <v>2.4384000000000001</v>
      </c>
      <c r="G269" s="1049">
        <v>1</v>
      </c>
      <c r="H269" s="1049">
        <v>0.45</v>
      </c>
      <c r="I269" s="1049">
        <f t="shared" si="12"/>
        <v>2.19</v>
      </c>
      <c r="J269" s="1049"/>
      <c r="K269" s="1049"/>
      <c r="L269" s="1049"/>
      <c r="M269" s="1049"/>
      <c r="N269" s="1049"/>
      <c r="O269" s="1087"/>
    </row>
    <row r="270" spans="1:15" ht="14.1">
      <c r="A270" s="1046"/>
      <c r="B270" s="1065" t="s">
        <v>2192</v>
      </c>
      <c r="C270" s="1048">
        <v>1</v>
      </c>
      <c r="D270" s="1048" t="s">
        <v>1472</v>
      </c>
      <c r="E270" s="1048">
        <v>2</v>
      </c>
      <c r="F270" s="1049">
        <f>(10-3)*0.3048</f>
        <v>2.1335999999999999</v>
      </c>
      <c r="G270" s="1049">
        <v>1</v>
      </c>
      <c r="H270" s="1049">
        <v>0.45</v>
      </c>
      <c r="I270" s="1049">
        <f t="shared" si="12"/>
        <v>1.92</v>
      </c>
      <c r="J270" s="1049"/>
      <c r="K270" s="1049"/>
      <c r="L270" s="1049"/>
      <c r="M270" s="1049"/>
      <c r="N270" s="1049"/>
      <c r="O270" s="1087"/>
    </row>
    <row r="271" spans="1:15" ht="14.1">
      <c r="A271" s="1046"/>
      <c r="B271" s="1061" t="s">
        <v>2139</v>
      </c>
      <c r="C271" s="1048">
        <v>1</v>
      </c>
      <c r="D271" s="1048" t="s">
        <v>1472</v>
      </c>
      <c r="E271" s="1048">
        <v>2</v>
      </c>
      <c r="F271" s="1049">
        <v>1.8</v>
      </c>
      <c r="G271" s="1069"/>
      <c r="H271" s="1049">
        <v>1.45</v>
      </c>
      <c r="I271" s="1049">
        <f>ROUND(C271*E271*F271*H271,2)</f>
        <v>5.22</v>
      </c>
      <c r="J271" s="1049"/>
      <c r="K271" s="1049"/>
      <c r="L271" s="1049"/>
      <c r="M271" s="1049"/>
      <c r="N271" s="1087"/>
      <c r="O271" s="1087"/>
    </row>
    <row r="272" spans="1:15">
      <c r="A272" s="1048"/>
      <c r="B272" s="1061" t="s">
        <v>40</v>
      </c>
      <c r="C272" s="1048">
        <v>1</v>
      </c>
      <c r="D272" s="1048" t="s">
        <v>1472</v>
      </c>
      <c r="E272" s="1048">
        <v>3</v>
      </c>
      <c r="F272" s="1049">
        <v>1.5</v>
      </c>
      <c r="G272" s="1069"/>
      <c r="H272" s="1049">
        <v>0.23</v>
      </c>
      <c r="I272" s="1049">
        <f>ROUND(C272*E272*F272*H272,2)</f>
        <v>1.04</v>
      </c>
      <c r="J272" s="1049"/>
      <c r="K272" s="1049"/>
      <c r="L272" s="1049"/>
      <c r="M272" s="1049"/>
      <c r="N272" s="1087"/>
      <c r="O272" s="1087"/>
    </row>
    <row r="273" spans="1:15">
      <c r="A273" s="1048"/>
      <c r="B273" s="1061" t="s">
        <v>41</v>
      </c>
      <c r="C273" s="1048">
        <v>1</v>
      </c>
      <c r="D273" s="1048" t="s">
        <v>1472</v>
      </c>
      <c r="E273" s="1048">
        <v>2</v>
      </c>
      <c r="F273" s="1049">
        <v>0.9</v>
      </c>
      <c r="G273" s="1069"/>
      <c r="H273" s="1049">
        <v>0.23</v>
      </c>
      <c r="I273" s="1049">
        <f>ROUND(C273*E273*F273*H273,2)</f>
        <v>0.41</v>
      </c>
      <c r="J273" s="1049"/>
      <c r="K273" s="1049"/>
      <c r="L273" s="1049"/>
      <c r="M273" s="1049"/>
      <c r="N273" s="1087"/>
      <c r="O273" s="1087"/>
    </row>
    <row r="274" spans="1:15">
      <c r="A274" s="1048"/>
      <c r="B274" s="1061" t="s">
        <v>2140</v>
      </c>
      <c r="C274" s="1048">
        <v>1</v>
      </c>
      <c r="D274" s="1048" t="s">
        <v>1472</v>
      </c>
      <c r="E274" s="1048">
        <v>2</v>
      </c>
      <c r="F274" s="1049">
        <v>0.9</v>
      </c>
      <c r="G274" s="1069"/>
      <c r="H274" s="1049">
        <v>0.23</v>
      </c>
      <c r="I274" s="1049">
        <f>ROUND(C274*E274*F274*H274,2)</f>
        <v>0.41</v>
      </c>
      <c r="J274" s="1049"/>
      <c r="K274" s="1049"/>
      <c r="L274" s="1049"/>
      <c r="M274" s="1049"/>
      <c r="N274" s="1087"/>
      <c r="O274" s="1087"/>
    </row>
    <row r="275" spans="1:15" ht="14.1">
      <c r="A275" s="1046"/>
      <c r="B275" s="1061"/>
      <c r="C275" s="1048"/>
      <c r="D275" s="1048"/>
      <c r="E275" s="1048"/>
      <c r="F275" s="1049"/>
      <c r="G275" s="1049"/>
      <c r="H275" s="1049" t="s">
        <v>982</v>
      </c>
      <c r="I275" s="1052">
        <f>SUM(I258:I274)</f>
        <v>204.04999999999995</v>
      </c>
      <c r="J275" s="1049">
        <f>Datas!$G$844</f>
        <v>8348.74</v>
      </c>
      <c r="K275" s="1053">
        <f>ROUND(J275*I275/10,0)</f>
        <v>170356</v>
      </c>
      <c r="L275" s="1049">
        <f>0.12*9+1.1*8</f>
        <v>9.8800000000000008</v>
      </c>
      <c r="M275" s="1055">
        <f>L275*I275</f>
        <v>2016.0139999999997</v>
      </c>
      <c r="N275" s="1087">
        <f>(0.12*9+1.1*8)</f>
        <v>9.8800000000000008</v>
      </c>
      <c r="O275" s="1087">
        <f>ROUND(I275*N275,0)</f>
        <v>2016</v>
      </c>
    </row>
    <row r="276" spans="1:15" ht="14.1">
      <c r="A276" s="1046"/>
      <c r="B276" s="1061"/>
      <c r="C276" s="1048"/>
      <c r="D276" s="1048"/>
      <c r="E276" s="1048"/>
      <c r="F276" s="1049"/>
      <c r="G276" s="1049"/>
      <c r="H276" s="1049"/>
      <c r="I276" s="1053" t="s">
        <v>1478</v>
      </c>
      <c r="J276" s="1053" t="s">
        <v>37</v>
      </c>
      <c r="K276" s="1053"/>
      <c r="L276" s="1049"/>
      <c r="M276" s="1049"/>
      <c r="N276" s="1087"/>
      <c r="O276" s="1087"/>
    </row>
    <row r="277" spans="1:15" ht="42" customHeight="1">
      <c r="A277" s="1046">
        <v>17</v>
      </c>
      <c r="B277" s="2415" t="s">
        <v>2300</v>
      </c>
      <c r="C277" s="2426"/>
      <c r="D277" s="2426"/>
      <c r="E277" s="2426"/>
      <c r="F277" s="2426"/>
      <c r="G277" s="2426"/>
      <c r="H277" s="2426"/>
      <c r="I277" s="2427"/>
      <c r="J277" s="1049"/>
      <c r="K277" s="1049"/>
      <c r="L277" s="1049"/>
      <c r="M277" s="1049"/>
      <c r="N277" s="1087"/>
      <c r="O277" s="1087"/>
    </row>
    <row r="278" spans="1:15" ht="14.1">
      <c r="A278" s="1046"/>
      <c r="B278" s="1061" t="s">
        <v>2193</v>
      </c>
      <c r="C278" s="1048">
        <v>1</v>
      </c>
      <c r="D278" s="1048" t="s">
        <v>1472</v>
      </c>
      <c r="E278" s="1048">
        <v>2</v>
      </c>
      <c r="F278" s="1049">
        <f>(51.75)*0.3048</f>
        <v>15.773400000000001</v>
      </c>
      <c r="G278" s="1069"/>
      <c r="H278" s="1049">
        <v>1.2</v>
      </c>
      <c r="I278" s="1049">
        <f>ROUND(C278*E278*F278*H278,2)</f>
        <v>37.86</v>
      </c>
      <c r="J278" s="1049"/>
      <c r="K278" s="1049"/>
      <c r="L278" s="1049"/>
      <c r="M278" s="1049"/>
      <c r="N278" s="1087"/>
      <c r="O278" s="1087"/>
    </row>
    <row r="279" spans="1:15" ht="14.1">
      <c r="A279" s="1046"/>
      <c r="B279" s="1061" t="s">
        <v>2194</v>
      </c>
      <c r="C279" s="1048">
        <v>1</v>
      </c>
      <c r="D279" s="1048" t="s">
        <v>1472</v>
      </c>
      <c r="E279" s="1048">
        <v>2</v>
      </c>
      <c r="F279" s="1049">
        <v>1.8</v>
      </c>
      <c r="G279" s="1069"/>
      <c r="H279" s="1049">
        <v>1.2</v>
      </c>
      <c r="I279" s="1049">
        <f>ROUND(C279*E279*F279*H279,2)</f>
        <v>4.32</v>
      </c>
      <c r="J279" s="1049"/>
      <c r="K279" s="1049"/>
      <c r="L279" s="1049"/>
      <c r="M279" s="1049"/>
      <c r="N279" s="1087"/>
      <c r="O279" s="1087"/>
    </row>
    <row r="280" spans="1:15" ht="14.1">
      <c r="A280" s="1046"/>
      <c r="B280" s="1061"/>
      <c r="C280" s="1048"/>
      <c r="D280" s="1048"/>
      <c r="E280" s="1048"/>
      <c r="F280" s="1049"/>
      <c r="G280" s="1049"/>
      <c r="H280" s="1049" t="s">
        <v>982</v>
      </c>
      <c r="I280" s="1052">
        <f>SUM(I278:I279)</f>
        <v>42.18</v>
      </c>
      <c r="J280" s="1049">
        <f>Datas!G1265</f>
        <v>9150.58</v>
      </c>
      <c r="K280" s="1053">
        <f>ROUND(J280*I280/10,0)</f>
        <v>38597</v>
      </c>
      <c r="L280" s="1049">
        <f>0.12*9+1.1*8</f>
        <v>9.8800000000000008</v>
      </c>
      <c r="M280" s="1055">
        <f>L280*I280</f>
        <v>416.73840000000001</v>
      </c>
      <c r="N280" s="1087">
        <f>(10.8)</f>
        <v>10.8</v>
      </c>
      <c r="O280" s="1087">
        <f>ROUND(I280*N280,0)</f>
        <v>456</v>
      </c>
    </row>
    <row r="281" spans="1:15" ht="14.1">
      <c r="A281" s="1046"/>
      <c r="B281" s="1061"/>
      <c r="C281" s="1048"/>
      <c r="D281" s="1048"/>
      <c r="E281" s="1048"/>
      <c r="F281" s="1049"/>
      <c r="G281" s="1049"/>
      <c r="H281" s="1049"/>
      <c r="I281" s="1053" t="s">
        <v>1478</v>
      </c>
      <c r="J281" s="1053" t="s">
        <v>37</v>
      </c>
      <c r="K281" s="1053"/>
      <c r="L281" s="1049"/>
      <c r="M281" s="1049"/>
      <c r="N281" s="1087"/>
      <c r="O281" s="1087"/>
    </row>
    <row r="282" spans="1:15" ht="138" customHeight="1">
      <c r="A282" s="1046">
        <v>18</v>
      </c>
      <c r="B282" s="2428" t="s">
        <v>2299</v>
      </c>
      <c r="C282" s="2429"/>
      <c r="D282" s="2429"/>
      <c r="E282" s="2429"/>
      <c r="F282" s="2429"/>
      <c r="G282" s="2429"/>
      <c r="H282" s="2429"/>
      <c r="I282" s="2430"/>
      <c r="J282" s="1049"/>
      <c r="K282" s="1049"/>
      <c r="N282" s="1087"/>
      <c r="O282" s="1087"/>
    </row>
    <row r="283" spans="1:15" ht="14.1">
      <c r="A283" s="1088"/>
      <c r="B283" s="1089" t="s">
        <v>2034</v>
      </c>
      <c r="C283" s="1048">
        <v>1</v>
      </c>
      <c r="D283" s="1048" t="s">
        <v>1472</v>
      </c>
      <c r="E283" s="1048">
        <v>2</v>
      </c>
      <c r="F283" s="1049">
        <v>1.5</v>
      </c>
      <c r="G283" s="1049">
        <v>1.45</v>
      </c>
      <c r="H283" s="1069"/>
      <c r="I283" s="1049">
        <f>ROUND(C283*E283*F283*G283,2)</f>
        <v>4.3499999999999996</v>
      </c>
      <c r="J283" s="1049"/>
      <c r="K283" s="1049"/>
      <c r="N283" s="1087"/>
      <c r="O283" s="1087"/>
    </row>
    <row r="284" spans="1:15" ht="14.1">
      <c r="A284" s="1046"/>
      <c r="B284" s="1061"/>
      <c r="C284" s="1048"/>
      <c r="D284" s="1048"/>
      <c r="E284" s="1048"/>
      <c r="F284" s="1049"/>
      <c r="G284" s="1049"/>
      <c r="H284" s="1049" t="s">
        <v>982</v>
      </c>
      <c r="I284" s="1052">
        <f>SUM(I283)</f>
        <v>4.3499999999999996</v>
      </c>
      <c r="J284" s="1049">
        <f>Datas!$G$789</f>
        <v>8076.9498000000003</v>
      </c>
      <c r="K284" s="1053">
        <f>ROUND(J284*I284/10,0)</f>
        <v>3513</v>
      </c>
      <c r="L284" s="1049">
        <f>1.1*0+0.012*9</f>
        <v>0.108</v>
      </c>
      <c r="M284" s="1055">
        <f>L284*I284</f>
        <v>0.46979999999999994</v>
      </c>
      <c r="N284" s="1087">
        <f>(0.12*9)</f>
        <v>1.08</v>
      </c>
      <c r="O284" s="1087">
        <f>ROUND(I284*N284,0)</f>
        <v>5</v>
      </c>
    </row>
    <row r="285" spans="1:15" ht="14.1">
      <c r="A285" s="1046"/>
      <c r="B285" s="1061"/>
      <c r="C285" s="1048"/>
      <c r="D285" s="1048"/>
      <c r="E285" s="1048"/>
      <c r="F285" s="1049"/>
      <c r="G285" s="1049"/>
      <c r="H285" s="1049"/>
      <c r="I285" s="1053" t="s">
        <v>1478</v>
      </c>
      <c r="J285" s="1053" t="s">
        <v>37</v>
      </c>
      <c r="K285" s="1053"/>
      <c r="N285" s="1087"/>
      <c r="O285" s="1087"/>
    </row>
    <row r="286" spans="1:15" ht="125.2" customHeight="1">
      <c r="A286" s="1046">
        <v>19</v>
      </c>
      <c r="B286" s="2428" t="s">
        <v>2298</v>
      </c>
      <c r="C286" s="2429"/>
      <c r="D286" s="2429"/>
      <c r="E286" s="2429"/>
      <c r="F286" s="2429"/>
      <c r="G286" s="2429"/>
      <c r="H286" s="2429"/>
      <c r="I286" s="2430"/>
      <c r="J286" s="1049"/>
      <c r="K286" s="1049"/>
      <c r="N286" s="1087"/>
      <c r="O286" s="1087"/>
    </row>
    <row r="287" spans="1:15" ht="14.1">
      <c r="A287" s="1088"/>
      <c r="B287" s="1089" t="s">
        <v>2184</v>
      </c>
      <c r="C287" s="1048">
        <v>1</v>
      </c>
      <c r="D287" s="1048" t="s">
        <v>1472</v>
      </c>
      <c r="E287" s="1048">
        <v>2</v>
      </c>
      <c r="F287" s="1049">
        <f>2*1.5+2*1.45</f>
        <v>5.9</v>
      </c>
      <c r="G287" s="1090"/>
      <c r="H287" s="1049">
        <v>1.2</v>
      </c>
      <c r="I287" s="1049">
        <f>ROUND(C287*E287*F287*H287,2)</f>
        <v>14.16</v>
      </c>
      <c r="J287" s="1049"/>
      <c r="K287" s="1049"/>
      <c r="N287" s="1087"/>
      <c r="O287" s="1087"/>
    </row>
    <row r="288" spans="1:15" ht="14.1">
      <c r="A288" s="1088"/>
      <c r="B288" s="1089" t="s">
        <v>2035</v>
      </c>
      <c r="C288" s="1048">
        <v>-1</v>
      </c>
      <c r="D288" s="1048" t="s">
        <v>1472</v>
      </c>
      <c r="E288" s="1048">
        <v>2</v>
      </c>
      <c r="F288" s="1049">
        <v>0.75</v>
      </c>
      <c r="G288" s="1090"/>
      <c r="H288" s="1049">
        <v>1.2</v>
      </c>
      <c r="I288" s="1049">
        <f>ROUND(C288*E288*F288*H288,2)</f>
        <v>-1.8</v>
      </c>
      <c r="J288" s="1049"/>
      <c r="K288" s="1049"/>
      <c r="N288" s="1087"/>
      <c r="O288" s="1087"/>
    </row>
    <row r="289" spans="1:15" ht="14.1">
      <c r="A289" s="1046"/>
      <c r="B289" s="1061"/>
      <c r="C289" s="1048"/>
      <c r="D289" s="1048"/>
      <c r="E289" s="1048"/>
      <c r="F289" s="1049"/>
      <c r="G289" s="1049"/>
      <c r="H289" s="1049"/>
      <c r="I289" s="1052">
        <f>SUM(I287:I288)</f>
        <v>12.36</v>
      </c>
      <c r="J289" s="1049">
        <f>Datas!$G$806</f>
        <v>6385.4000000000005</v>
      </c>
      <c r="K289" s="1053">
        <f>ROUND(J289*I289/10,0)</f>
        <v>7892</v>
      </c>
      <c r="L289" s="1049">
        <f>0.012*9</f>
        <v>0.108</v>
      </c>
      <c r="M289" s="1055">
        <f>L289*I289</f>
        <v>1.3348799999999998</v>
      </c>
      <c r="N289" s="1087">
        <f>(0.12*9)</f>
        <v>1.08</v>
      </c>
      <c r="O289" s="1087">
        <f>ROUND(I289*N289,0)</f>
        <v>13</v>
      </c>
    </row>
    <row r="290" spans="1:15" ht="14.1">
      <c r="A290" s="1046"/>
      <c r="B290" s="1061"/>
      <c r="C290" s="1048"/>
      <c r="D290" s="1048"/>
      <c r="E290" s="1048"/>
      <c r="F290" s="1049"/>
      <c r="G290" s="1049"/>
      <c r="H290" s="1049"/>
      <c r="I290" s="1053" t="s">
        <v>1478</v>
      </c>
      <c r="J290" s="1053" t="s">
        <v>37</v>
      </c>
      <c r="K290" s="1053"/>
      <c r="L290" s="1049"/>
      <c r="M290" s="1055"/>
      <c r="N290" s="1087"/>
      <c r="O290" s="1087"/>
    </row>
    <row r="291" spans="1:15" ht="132" customHeight="1">
      <c r="A291" s="1046">
        <v>20</v>
      </c>
      <c r="B291" s="2415" t="s">
        <v>2307</v>
      </c>
      <c r="C291" s="2426"/>
      <c r="D291" s="2426"/>
      <c r="E291" s="2426"/>
      <c r="F291" s="2426"/>
      <c r="G291" s="2426"/>
      <c r="H291" s="2426"/>
      <c r="I291" s="2427"/>
      <c r="J291" s="1049"/>
      <c r="K291" s="1049"/>
      <c r="L291" s="1049"/>
      <c r="M291" s="1049"/>
      <c r="N291" s="1087"/>
      <c r="O291" s="1087"/>
    </row>
    <row r="292" spans="1:15" ht="14.1">
      <c r="A292" s="1046"/>
      <c r="B292" s="1061" t="s">
        <v>2141</v>
      </c>
      <c r="C292" s="1048">
        <v>1</v>
      </c>
      <c r="D292" s="1048" t="s">
        <v>1472</v>
      </c>
      <c r="E292" s="1048">
        <v>2</v>
      </c>
      <c r="F292" s="1049">
        <f>(46.5-1.5)*0.3048</f>
        <v>13.716000000000001</v>
      </c>
      <c r="G292" s="1049">
        <v>0.1</v>
      </c>
      <c r="H292" s="1069"/>
      <c r="I292" s="1049">
        <f>ROUND(C292*E292*F292*G292,2)</f>
        <v>2.74</v>
      </c>
      <c r="J292" s="1049"/>
      <c r="K292" s="1049"/>
      <c r="L292" s="1049"/>
      <c r="M292" s="1049"/>
      <c r="N292" s="1087"/>
      <c r="O292" s="1087"/>
    </row>
    <row r="293" spans="1:15" ht="14.1">
      <c r="A293" s="1046"/>
      <c r="B293" s="1061" t="s">
        <v>2142</v>
      </c>
      <c r="C293" s="1048">
        <v>1</v>
      </c>
      <c r="D293" s="1048" t="s">
        <v>1472</v>
      </c>
      <c r="E293" s="1048">
        <v>2</v>
      </c>
      <c r="F293" s="1049">
        <f>(30)*0.3048</f>
        <v>9.1440000000000001</v>
      </c>
      <c r="G293" s="1049">
        <v>0.1</v>
      </c>
      <c r="H293" s="1069"/>
      <c r="I293" s="1049">
        <f>ROUND(C293*E293*F293*G293,2)</f>
        <v>1.83</v>
      </c>
      <c r="J293" s="1049"/>
      <c r="K293" s="1049"/>
      <c r="L293" s="1049"/>
      <c r="M293" s="1049"/>
      <c r="N293" s="1087"/>
      <c r="O293" s="1087"/>
    </row>
    <row r="294" spans="1:15">
      <c r="A294" s="1048"/>
      <c r="B294" s="1061" t="s">
        <v>40</v>
      </c>
      <c r="C294" s="1048">
        <v>1</v>
      </c>
      <c r="D294" s="1048" t="s">
        <v>1472</v>
      </c>
      <c r="E294" s="1048">
        <v>3</v>
      </c>
      <c r="F294" s="1049">
        <v>1.5</v>
      </c>
      <c r="G294" s="1049">
        <v>0.1</v>
      </c>
      <c r="H294" s="1049"/>
      <c r="I294" s="1049">
        <f>-ROUND(C294*E294*F294*G294,2)</f>
        <v>-0.45</v>
      </c>
      <c r="J294" s="1049"/>
      <c r="K294" s="1049"/>
      <c r="L294" s="1049"/>
      <c r="M294" s="1049"/>
      <c r="N294" s="1087"/>
      <c r="O294" s="1087"/>
    </row>
    <row r="295" spans="1:15">
      <c r="A295" s="1048"/>
      <c r="B295" s="1061" t="s">
        <v>41</v>
      </c>
      <c r="C295" s="1048">
        <v>1</v>
      </c>
      <c r="D295" s="1048" t="s">
        <v>1472</v>
      </c>
      <c r="E295" s="1048">
        <v>2</v>
      </c>
      <c r="F295" s="1049">
        <v>0.9</v>
      </c>
      <c r="G295" s="1049">
        <v>0.1</v>
      </c>
      <c r="H295" s="1049"/>
      <c r="I295" s="1049">
        <f>-ROUND(C295*E295*F295*G295,2)</f>
        <v>-0.18</v>
      </c>
      <c r="J295" s="1049"/>
      <c r="K295" s="1049"/>
      <c r="L295" s="1049"/>
      <c r="M295" s="1049"/>
      <c r="N295" s="1087"/>
      <c r="O295" s="1087"/>
    </row>
    <row r="296" spans="1:15" ht="14.1">
      <c r="A296" s="1046"/>
      <c r="B296" s="1061"/>
      <c r="C296" s="1048"/>
      <c r="D296" s="1048"/>
      <c r="E296" s="1048"/>
      <c r="F296" s="1049"/>
      <c r="G296" s="1049"/>
      <c r="H296" s="1049" t="s">
        <v>982</v>
      </c>
      <c r="I296" s="1052">
        <f>SUM(I292:I295)</f>
        <v>3.94</v>
      </c>
      <c r="J296" s="1049">
        <f>Datas!$G$844</f>
        <v>8348.74</v>
      </c>
      <c r="K296" s="1053">
        <f>ROUND(J296*I296/10,0)</f>
        <v>3289</v>
      </c>
      <c r="L296" s="1049">
        <f>0.12*9+1.1*8</f>
        <v>9.8800000000000008</v>
      </c>
      <c r="M296" s="1055">
        <f>L296*I296</f>
        <v>38.927199999999999</v>
      </c>
      <c r="N296" s="1087">
        <f>(0.12*9+1.1*8)</f>
        <v>9.8800000000000008</v>
      </c>
      <c r="O296" s="1087">
        <f>ROUND(I296*N296,0)</f>
        <v>39</v>
      </c>
    </row>
    <row r="297" spans="1:15" ht="14.1">
      <c r="A297" s="1046"/>
      <c r="B297" s="1061"/>
      <c r="C297" s="1048"/>
      <c r="D297" s="1048"/>
      <c r="E297" s="1048"/>
      <c r="F297" s="1049"/>
      <c r="G297" s="1049"/>
      <c r="H297" s="1049"/>
      <c r="I297" s="1053" t="s">
        <v>1478</v>
      </c>
      <c r="J297" s="1053" t="s">
        <v>37</v>
      </c>
      <c r="K297" s="1053"/>
      <c r="L297" s="1049"/>
      <c r="M297" s="1049"/>
      <c r="N297" s="1087"/>
      <c r="O297" s="1087"/>
    </row>
    <row r="298" spans="1:15" ht="91.5" customHeight="1">
      <c r="A298" s="1046">
        <v>21</v>
      </c>
      <c r="B298" s="2415" t="s">
        <v>2308</v>
      </c>
      <c r="C298" s="2416"/>
      <c r="D298" s="2416"/>
      <c r="E298" s="2416"/>
      <c r="F298" s="2416"/>
      <c r="G298" s="2416"/>
      <c r="H298" s="2416"/>
      <c r="I298" s="2417"/>
      <c r="J298" s="1049"/>
      <c r="K298" s="1049"/>
      <c r="L298" s="1049"/>
      <c r="M298" s="1049"/>
      <c r="N298" s="1087"/>
      <c r="O298" s="1087"/>
    </row>
    <row r="299" spans="1:15" ht="14.1">
      <c r="A299" s="1046"/>
      <c r="B299" s="1057" t="s">
        <v>2143</v>
      </c>
      <c r="C299" s="1080"/>
      <c r="D299" s="1080"/>
      <c r="E299" s="1080"/>
      <c r="F299" s="1080"/>
      <c r="G299" s="1055"/>
      <c r="H299" s="1080"/>
      <c r="I299" s="1081"/>
      <c r="J299" s="1049"/>
      <c r="K299" s="1049"/>
      <c r="L299" s="1049"/>
      <c r="M299" s="1049"/>
      <c r="N299" s="1087"/>
      <c r="O299" s="1087"/>
    </row>
    <row r="300" spans="1:15" s="1090" customFormat="1" ht="14.1">
      <c r="A300" s="1088"/>
      <c r="B300" s="1061" t="s">
        <v>2141</v>
      </c>
      <c r="C300" s="1048">
        <v>1</v>
      </c>
      <c r="D300" s="1048" t="s">
        <v>1472</v>
      </c>
      <c r="E300" s="1048">
        <v>2</v>
      </c>
      <c r="F300" s="1049">
        <f>(60.75)*0.3048</f>
        <v>18.5166</v>
      </c>
      <c r="H300" s="1049">
        <v>0.6</v>
      </c>
      <c r="I300" s="1049">
        <f>ROUND(C300*E300*F300*H300,2)</f>
        <v>22.22</v>
      </c>
      <c r="J300" s="1049"/>
      <c r="K300" s="1049"/>
      <c r="L300" s="1049"/>
      <c r="M300" s="1049"/>
      <c r="N300" s="1087"/>
      <c r="O300" s="1087"/>
    </row>
    <row r="301" spans="1:15" s="1090" customFormat="1" ht="14.1">
      <c r="A301" s="1088"/>
      <c r="B301" s="1061" t="s">
        <v>2142</v>
      </c>
      <c r="C301" s="1048">
        <v>1</v>
      </c>
      <c r="D301" s="1048" t="s">
        <v>1472</v>
      </c>
      <c r="E301" s="1048">
        <v>2</v>
      </c>
      <c r="F301" s="1049">
        <f>(31.5)*0.3048</f>
        <v>9.6012000000000004</v>
      </c>
      <c r="H301" s="1049">
        <v>0.6</v>
      </c>
      <c r="I301" s="1049">
        <f>ROUND(C301*E301*F301*H301,2)</f>
        <v>11.52</v>
      </c>
      <c r="J301" s="1049"/>
      <c r="K301" s="1049"/>
      <c r="L301" s="1049"/>
      <c r="M301" s="1049"/>
      <c r="N301" s="1087"/>
      <c r="O301" s="1087"/>
    </row>
    <row r="302" spans="1:15" s="1090" customFormat="1" ht="14.1">
      <c r="A302" s="1088"/>
      <c r="B302" s="1089" t="s">
        <v>470</v>
      </c>
      <c r="C302" s="1048">
        <v>1</v>
      </c>
      <c r="D302" s="1048" t="s">
        <v>1472</v>
      </c>
      <c r="E302" s="1048">
        <v>1</v>
      </c>
      <c r="F302" s="1049">
        <f>(31.5-6)*0.3048</f>
        <v>7.7724000000000002</v>
      </c>
      <c r="G302" s="1049"/>
      <c r="H302" s="1049">
        <v>0.6</v>
      </c>
      <c r="I302" s="1049">
        <f>-ROUND(C302*E302*F302*H302,2)</f>
        <v>-4.66</v>
      </c>
      <c r="J302" s="1049"/>
      <c r="K302" s="1049"/>
      <c r="L302" s="1049"/>
      <c r="M302" s="1049"/>
      <c r="N302" s="1087"/>
      <c r="O302" s="1087"/>
    </row>
    <row r="303" spans="1:15" ht="14.1">
      <c r="A303" s="1046"/>
      <c r="B303" s="1057" t="s">
        <v>2124</v>
      </c>
      <c r="C303" s="1080"/>
      <c r="D303" s="1080"/>
      <c r="E303" s="1080"/>
      <c r="F303" s="1080"/>
      <c r="G303" s="1055"/>
      <c r="H303" s="1080"/>
      <c r="I303" s="1081"/>
      <c r="J303" s="1049"/>
      <c r="K303" s="1049"/>
      <c r="L303" s="1049"/>
      <c r="M303" s="1049"/>
      <c r="N303" s="1185"/>
      <c r="O303" s="1185"/>
    </row>
    <row r="304" spans="1:15" s="1090" customFormat="1" ht="14.1">
      <c r="A304" s="1088"/>
      <c r="B304" s="1061" t="s">
        <v>2141</v>
      </c>
      <c r="C304" s="1048">
        <v>1</v>
      </c>
      <c r="D304" s="1048" t="s">
        <v>1472</v>
      </c>
      <c r="E304" s="1048">
        <v>2</v>
      </c>
      <c r="F304" s="1049">
        <f>(12-6)*0.3048</f>
        <v>1.8288000000000002</v>
      </c>
      <c r="H304" s="1049">
        <v>0.6</v>
      </c>
      <c r="I304" s="1049">
        <f>ROUND(C304*E304*F304*H304,2)</f>
        <v>2.19</v>
      </c>
      <c r="J304" s="1049"/>
      <c r="K304" s="1049"/>
      <c r="L304" s="1049"/>
      <c r="M304" s="1049"/>
      <c r="N304" s="1185"/>
      <c r="O304" s="1185"/>
    </row>
    <row r="305" spans="1:16" s="1090" customFormat="1" ht="14.1">
      <c r="A305" s="1088"/>
      <c r="B305" s="1061" t="s">
        <v>2142</v>
      </c>
      <c r="C305" s="1048">
        <v>1</v>
      </c>
      <c r="D305" s="1048" t="s">
        <v>1472</v>
      </c>
      <c r="E305" s="1048">
        <v>1</v>
      </c>
      <c r="F305" s="1049">
        <f>(12)*0.3048</f>
        <v>3.6576000000000004</v>
      </c>
      <c r="H305" s="1049">
        <v>0.6</v>
      </c>
      <c r="I305" s="1049">
        <f>ROUND(C305*E305*F305*H305,2)</f>
        <v>2.19</v>
      </c>
      <c r="J305" s="1049"/>
      <c r="K305" s="1049"/>
      <c r="L305" s="1049"/>
      <c r="M305" s="1049"/>
      <c r="N305" s="1185"/>
      <c r="O305" s="1185"/>
    </row>
    <row r="306" spans="1:16" ht="14.1">
      <c r="A306" s="1046"/>
      <c r="B306" s="1060"/>
      <c r="C306" s="1048"/>
      <c r="D306" s="1048"/>
      <c r="E306" s="1048"/>
      <c r="F306" s="1049"/>
      <c r="G306" s="1049"/>
      <c r="H306" s="1049"/>
      <c r="I306" s="1052">
        <f>SUM(I300:I305)</f>
        <v>33.459999999999994</v>
      </c>
      <c r="J306" s="1049">
        <f>Datas!$G$263</f>
        <v>905.74</v>
      </c>
      <c r="K306" s="1053">
        <f>ROUND(J306*I306/10,0)</f>
        <v>3031</v>
      </c>
      <c r="L306" s="1049">
        <f>0.03*9</f>
        <v>0.27</v>
      </c>
      <c r="M306" s="1055">
        <f>L306*I306</f>
        <v>9.0341999999999985</v>
      </c>
      <c r="N306" s="1087">
        <f>(0.03*9)</f>
        <v>0.27</v>
      </c>
      <c r="O306" s="1087">
        <f>ROUND(I306*N306,0)</f>
        <v>9</v>
      </c>
    </row>
    <row r="307" spans="1:16" ht="14.1">
      <c r="A307" s="1046"/>
      <c r="B307" s="1060"/>
      <c r="C307" s="1048"/>
      <c r="D307" s="1048"/>
      <c r="E307" s="1048"/>
      <c r="F307" s="1049"/>
      <c r="G307" s="1049"/>
      <c r="H307" s="1049"/>
      <c r="I307" s="1053" t="s">
        <v>1478</v>
      </c>
      <c r="J307" s="1053" t="s">
        <v>37</v>
      </c>
      <c r="K307" s="1053"/>
      <c r="L307" s="1053"/>
      <c r="M307" s="1053"/>
      <c r="N307" s="1185"/>
      <c r="O307" s="1185"/>
    </row>
    <row r="308" spans="1:16" ht="14.1">
      <c r="A308" s="1046"/>
      <c r="B308" s="1091"/>
      <c r="C308" s="1072"/>
      <c r="D308" s="1072"/>
      <c r="E308" s="1072"/>
      <c r="F308" s="1073"/>
      <c r="G308" s="1073"/>
      <c r="H308" s="1073"/>
      <c r="I308" s="1092"/>
      <c r="J308" s="1053"/>
      <c r="K308" s="1053"/>
      <c r="L308" s="1053"/>
      <c r="M308" s="1053"/>
      <c r="N308" s="1185"/>
      <c r="O308" s="1185"/>
    </row>
    <row r="309" spans="1:16" ht="147.75" customHeight="1">
      <c r="A309" s="1046">
        <v>22</v>
      </c>
      <c r="B309" s="2415" t="s">
        <v>2264</v>
      </c>
      <c r="C309" s="2416"/>
      <c r="D309" s="2416"/>
      <c r="E309" s="2416"/>
      <c r="F309" s="2416"/>
      <c r="G309" s="2416"/>
      <c r="H309" s="2416"/>
      <c r="I309" s="2417"/>
      <c r="J309" s="1049"/>
      <c r="K309" s="1049"/>
      <c r="L309" s="1049"/>
      <c r="M309" s="1049"/>
      <c r="N309" s="1087"/>
      <c r="O309" s="1087"/>
    </row>
    <row r="310" spans="1:16" ht="14.1">
      <c r="A310" s="1046"/>
      <c r="B310" s="1057" t="s">
        <v>2143</v>
      </c>
      <c r="C310" s="1080"/>
      <c r="D310" s="1080"/>
      <c r="E310" s="1080"/>
      <c r="F310" s="1080"/>
      <c r="G310" s="1055"/>
      <c r="H310" s="1080"/>
      <c r="I310" s="1081"/>
      <c r="J310" s="1049"/>
      <c r="K310" s="1049"/>
      <c r="L310" s="1049"/>
      <c r="M310" s="1049"/>
      <c r="N310" s="1087"/>
      <c r="O310" s="1087"/>
    </row>
    <row r="311" spans="1:16" s="1090" customFormat="1" ht="14.1">
      <c r="A311" s="1088"/>
      <c r="B311" s="1061" t="s">
        <v>2229</v>
      </c>
      <c r="C311" s="1048">
        <v>1</v>
      </c>
      <c r="D311" s="1048" t="s">
        <v>1472</v>
      </c>
      <c r="E311" s="1048">
        <v>1</v>
      </c>
      <c r="F311" s="1049">
        <v>1.8</v>
      </c>
      <c r="H311" s="1049">
        <v>2.4</v>
      </c>
      <c r="I311" s="1049">
        <v>1</v>
      </c>
      <c r="J311" s="1049">
        <f>' data-Doors window- Sal Wood '!J232</f>
        <v>24316.42139</v>
      </c>
      <c r="K311" s="1053">
        <f>ROUND(J311*I311,0)</f>
        <v>24316</v>
      </c>
      <c r="L311" s="1049"/>
      <c r="M311" s="1049"/>
      <c r="N311" s="1087"/>
      <c r="O311" s="1087"/>
    </row>
    <row r="312" spans="1:16" ht="14.1">
      <c r="A312" s="1046"/>
      <c r="B312" s="1060"/>
      <c r="C312" s="1048"/>
      <c r="D312" s="1048"/>
      <c r="E312" s="1048"/>
      <c r="F312" s="1049"/>
      <c r="G312" s="1049"/>
      <c r="H312" s="1049"/>
      <c r="I312" s="1053" t="s">
        <v>472</v>
      </c>
      <c r="J312" s="1053" t="s">
        <v>166</v>
      </c>
      <c r="K312" s="1053"/>
      <c r="L312" s="1049">
        <f>0.03*9</f>
        <v>0.27</v>
      </c>
      <c r="M312" s="1055" t="e">
        <f>L312*I312</f>
        <v>#VALUE!</v>
      </c>
      <c r="N312" s="1087"/>
      <c r="O312" s="1087"/>
    </row>
    <row r="313" spans="1:16" ht="147.75" customHeight="1">
      <c r="A313" s="1046">
        <v>23</v>
      </c>
      <c r="B313" s="2415" t="s">
        <v>2269</v>
      </c>
      <c r="C313" s="2416"/>
      <c r="D313" s="2416"/>
      <c r="E313" s="2416"/>
      <c r="F313" s="2416"/>
      <c r="G313" s="2416"/>
      <c r="H313" s="2416"/>
      <c r="I313" s="2417"/>
      <c r="J313" s="1049"/>
      <c r="K313" s="1049"/>
      <c r="L313" s="1049"/>
      <c r="M313" s="1049"/>
      <c r="N313" s="1087"/>
      <c r="O313" s="1087"/>
    </row>
    <row r="314" spans="1:16" s="1090" customFormat="1" ht="14.1">
      <c r="A314" s="1088"/>
      <c r="B314" s="1061" t="s">
        <v>2265</v>
      </c>
      <c r="C314" s="1048">
        <v>1</v>
      </c>
      <c r="D314" s="1048" t="s">
        <v>1472</v>
      </c>
      <c r="E314" s="1048">
        <v>2</v>
      </c>
      <c r="F314" s="1049">
        <v>1.5</v>
      </c>
      <c r="H314" s="1049">
        <v>2.4</v>
      </c>
      <c r="I314" s="1049">
        <v>2</v>
      </c>
      <c r="J314" s="1049">
        <f>' data-Doors window- Sal Wood '!J194</f>
        <v>13907.051390000001</v>
      </c>
      <c r="K314" s="1053">
        <f>ROUND(J314*I314,0)</f>
        <v>27814</v>
      </c>
      <c r="L314" s="1049"/>
      <c r="M314" s="1049"/>
      <c r="N314" s="1185"/>
      <c r="O314" s="1185"/>
    </row>
    <row r="315" spans="1:16" ht="14.1">
      <c r="A315" s="1046"/>
      <c r="B315" s="1060"/>
      <c r="C315" s="1048"/>
      <c r="D315" s="1048"/>
      <c r="E315" s="1048"/>
      <c r="F315" s="1049"/>
      <c r="G315" s="1049"/>
      <c r="H315" s="1049"/>
      <c r="I315" s="1053" t="s">
        <v>472</v>
      </c>
      <c r="J315" s="1053" t="s">
        <v>166</v>
      </c>
      <c r="K315" s="1053"/>
      <c r="L315" s="1049">
        <f>0.03*9</f>
        <v>0.27</v>
      </c>
      <c r="M315" s="1055" t="e">
        <f>L315*I315</f>
        <v>#VALUE!</v>
      </c>
      <c r="N315" s="1087"/>
      <c r="O315" s="1087"/>
    </row>
    <row r="316" spans="1:16" ht="147.75" customHeight="1">
      <c r="A316" s="1046">
        <v>24</v>
      </c>
      <c r="B316" s="2415" t="s">
        <v>2276</v>
      </c>
      <c r="C316" s="2416"/>
      <c r="D316" s="2416"/>
      <c r="E316" s="2416"/>
      <c r="F316" s="2416"/>
      <c r="G316" s="2416"/>
      <c r="H316" s="2416"/>
      <c r="I316" s="2417"/>
      <c r="J316" s="1049"/>
      <c r="K316" s="1049"/>
      <c r="L316" s="1049"/>
      <c r="M316" s="1049"/>
      <c r="N316" s="1087"/>
      <c r="O316" s="1087"/>
    </row>
    <row r="317" spans="1:16" s="1090" customFormat="1" ht="14.1">
      <c r="A317" s="1088"/>
      <c r="B317" s="1061" t="s">
        <v>2277</v>
      </c>
      <c r="C317" s="1048">
        <v>1</v>
      </c>
      <c r="D317" s="1048" t="s">
        <v>1472</v>
      </c>
      <c r="E317" s="1048">
        <v>2</v>
      </c>
      <c r="F317" s="1049">
        <v>0.9</v>
      </c>
      <c r="H317" s="1049">
        <v>2.1</v>
      </c>
      <c r="I317" s="1049">
        <v>2</v>
      </c>
      <c r="J317" s="1049">
        <f>' data-Doors window- Sal Wood '!J85</f>
        <v>12556.041137249998</v>
      </c>
      <c r="K317" s="1053">
        <f>ROUND(J317*I317,0)</f>
        <v>25112</v>
      </c>
      <c r="L317" s="1049"/>
      <c r="M317" s="1049"/>
      <c r="N317" s="1185"/>
      <c r="O317" s="1185"/>
    </row>
    <row r="318" spans="1:16" ht="14.1">
      <c r="A318" s="1046"/>
      <c r="B318" s="1060"/>
      <c r="C318" s="1048"/>
      <c r="D318" s="1048"/>
      <c r="E318" s="1048"/>
      <c r="F318" s="1049"/>
      <c r="G318" s="1049"/>
      <c r="H318" s="1049"/>
      <c r="I318" s="1053" t="s">
        <v>472</v>
      </c>
      <c r="J318" s="1053" t="s">
        <v>166</v>
      </c>
      <c r="K318" s="1053"/>
      <c r="L318" s="1049">
        <f>0.03*9</f>
        <v>0.27</v>
      </c>
      <c r="M318" s="1055" t="e">
        <f>L318*I318</f>
        <v>#VALUE!</v>
      </c>
      <c r="N318" s="1087"/>
      <c r="O318" s="1087"/>
    </row>
    <row r="319" spans="1:16" ht="174.9" customHeight="1">
      <c r="A319" s="1046">
        <v>25</v>
      </c>
      <c r="B319" s="2415" t="s">
        <v>2246</v>
      </c>
      <c r="C319" s="2416"/>
      <c r="D319" s="2416"/>
      <c r="E319" s="2416"/>
      <c r="F319" s="2416"/>
      <c r="G319" s="2416"/>
      <c r="H319" s="2416"/>
      <c r="I319" s="2417"/>
      <c r="J319" s="1049"/>
      <c r="K319" s="1049"/>
      <c r="L319" s="1049"/>
      <c r="M319" s="1049"/>
      <c r="N319" s="1087"/>
      <c r="O319" s="1087"/>
    </row>
    <row r="320" spans="1:16" s="1090" customFormat="1" ht="14.1">
      <c r="A320" s="1088"/>
      <c r="B320" s="1071"/>
      <c r="C320" s="1048"/>
      <c r="D320" s="1048"/>
      <c r="E320" s="1048"/>
      <c r="F320" s="1049"/>
      <c r="H320" s="1049"/>
      <c r="I320" s="1049"/>
      <c r="J320" s="1049"/>
      <c r="K320" s="1053"/>
      <c r="L320" s="1049"/>
      <c r="M320" s="1068"/>
      <c r="N320" s="1185"/>
      <c r="O320" s="1185"/>
      <c r="P320" s="1090">
        <v>6134</v>
      </c>
    </row>
    <row r="321" spans="1:16" s="1090" customFormat="1" ht="14.1">
      <c r="A321" s="1088"/>
      <c r="B321" s="1061" t="s">
        <v>2358</v>
      </c>
      <c r="C321" s="1048">
        <v>1</v>
      </c>
      <c r="D321" s="1048" t="s">
        <v>1472</v>
      </c>
      <c r="E321" s="1048">
        <v>4</v>
      </c>
      <c r="F321" s="1049">
        <v>1.5</v>
      </c>
      <c r="H321" s="1049">
        <v>1.2</v>
      </c>
      <c r="I321" s="1049">
        <f>H321*F321*E321</f>
        <v>7.1999999999999993</v>
      </c>
      <c r="J321" s="1049">
        <v>6134</v>
      </c>
      <c r="K321" s="1053">
        <f>ROUND(J321*I321,0)</f>
        <v>44165</v>
      </c>
      <c r="L321" s="1049"/>
      <c r="M321" s="1049"/>
      <c r="N321" s="1087"/>
      <c r="O321" s="1087"/>
      <c r="P321" s="1090">
        <f>(350/0.3048^2)</f>
        <v>3767.3686458484026</v>
      </c>
    </row>
    <row r="322" spans="1:16" ht="14.1">
      <c r="A322" s="1046"/>
      <c r="B322" s="1060"/>
      <c r="C322" s="1048"/>
      <c r="D322" s="1048"/>
      <c r="E322" s="1048"/>
      <c r="F322" s="1049"/>
      <c r="G322" s="1049"/>
      <c r="H322" s="1049"/>
      <c r="I322" s="1053" t="s">
        <v>1478</v>
      </c>
      <c r="J322" s="1053" t="s">
        <v>2169</v>
      </c>
      <c r="K322" s="1053"/>
      <c r="L322" s="1049">
        <f>0.03*9</f>
        <v>0.27</v>
      </c>
      <c r="M322" s="1055" t="e">
        <f>L322*I322</f>
        <v>#VALUE!</v>
      </c>
      <c r="N322" s="1087"/>
      <c r="O322" s="1087"/>
    </row>
    <row r="323" spans="1:16" ht="138.75" customHeight="1">
      <c r="A323" s="1046">
        <v>26</v>
      </c>
      <c r="B323" s="2415" t="s">
        <v>2274</v>
      </c>
      <c r="C323" s="2416"/>
      <c r="D323" s="2416"/>
      <c r="E323" s="2416"/>
      <c r="F323" s="2416"/>
      <c r="G323" s="2416"/>
      <c r="H323" s="2416"/>
      <c r="I323" s="2417"/>
      <c r="J323" s="1049"/>
      <c r="K323" s="1049"/>
      <c r="L323" s="1049"/>
      <c r="M323" s="1049"/>
      <c r="N323" s="1185"/>
      <c r="O323" s="1185"/>
    </row>
    <row r="324" spans="1:16" ht="14.1">
      <c r="A324" s="1046"/>
      <c r="B324" s="1057" t="s">
        <v>2144</v>
      </c>
      <c r="C324" s="1048"/>
      <c r="D324" s="1048"/>
      <c r="E324" s="1048"/>
      <c r="F324" s="1049"/>
      <c r="G324" s="1049"/>
      <c r="H324" s="1049"/>
      <c r="I324" s="1053"/>
      <c r="J324" s="1053"/>
      <c r="K324" s="1053"/>
      <c r="L324" s="1049">
        <f>0.03*9</f>
        <v>0.27</v>
      </c>
      <c r="M324" s="1055">
        <f>L324*I324</f>
        <v>0</v>
      </c>
      <c r="N324" s="1185"/>
      <c r="O324" s="1185"/>
    </row>
    <row r="325" spans="1:16" s="1090" customFormat="1" ht="14.1">
      <c r="A325" s="1088"/>
      <c r="B325" s="1061" t="s">
        <v>2279</v>
      </c>
      <c r="C325" s="1048">
        <v>1</v>
      </c>
      <c r="D325" s="1048" t="s">
        <v>1472</v>
      </c>
      <c r="E325" s="1048">
        <v>2</v>
      </c>
      <c r="F325" s="1049">
        <v>0.75</v>
      </c>
      <c r="H325" s="1049">
        <v>2.1</v>
      </c>
      <c r="I325" s="1049">
        <v>2</v>
      </c>
      <c r="J325" s="1049">
        <f>' data-Doors window- Sal Wood '!J49</f>
        <v>10819.3</v>
      </c>
      <c r="K325" s="1053">
        <f>ROUND(J325*I325,0)</f>
        <v>21639</v>
      </c>
      <c r="L325" s="1049"/>
      <c r="M325" s="1049"/>
      <c r="N325" s="1087"/>
      <c r="O325" s="1087"/>
    </row>
    <row r="326" spans="1:16" ht="14.1">
      <c r="A326" s="1046"/>
      <c r="B326" s="1060"/>
      <c r="C326" s="1048"/>
      <c r="D326" s="1048"/>
      <c r="E326" s="1048"/>
      <c r="F326" s="1049"/>
      <c r="G326" s="1049"/>
      <c r="H326" s="1049"/>
      <c r="I326" s="1053" t="s">
        <v>472</v>
      </c>
      <c r="J326" s="1053" t="s">
        <v>166</v>
      </c>
      <c r="K326" s="1053"/>
      <c r="L326" s="1049">
        <f>0.03*9</f>
        <v>0.27</v>
      </c>
      <c r="M326" s="1055" t="e">
        <f>L326*I326</f>
        <v>#VALUE!</v>
      </c>
      <c r="N326" s="1087"/>
      <c r="O326" s="1087"/>
    </row>
    <row r="327" spans="1:16" s="1095" customFormat="1" ht="52.5" customHeight="1">
      <c r="A327" s="1093">
        <v>27</v>
      </c>
      <c r="B327" s="2404" t="s">
        <v>909</v>
      </c>
      <c r="C327" s="2405"/>
      <c r="D327" s="2405"/>
      <c r="E327" s="2405"/>
      <c r="F327" s="2405"/>
      <c r="G327" s="2405"/>
      <c r="H327" s="2405"/>
      <c r="I327" s="2406"/>
      <c r="J327" s="1094"/>
      <c r="K327" s="1094"/>
      <c r="L327" s="1094"/>
      <c r="M327" s="1094"/>
      <c r="N327" s="1087"/>
      <c r="O327" s="1087"/>
    </row>
    <row r="328" spans="1:16" ht="14.1">
      <c r="A328" s="1046"/>
      <c r="B328" s="1061" t="s">
        <v>2215</v>
      </c>
      <c r="C328" s="1048">
        <v>1</v>
      </c>
      <c r="D328" s="1048" t="s">
        <v>1472</v>
      </c>
      <c r="E328" s="1048">
        <v>6</v>
      </c>
      <c r="F328" s="1049">
        <f>11*0.3048</f>
        <v>3.3528000000000002</v>
      </c>
      <c r="G328" s="1096">
        <v>1</v>
      </c>
      <c r="H328" s="1049">
        <v>0.9</v>
      </c>
      <c r="I328" s="1049">
        <f>ROUND(C328*E328*F328*G328*H328,2)</f>
        <v>18.11</v>
      </c>
      <c r="J328" s="1049"/>
      <c r="K328" s="1049"/>
      <c r="L328" s="1049"/>
      <c r="M328" s="1049"/>
      <c r="N328" s="1185"/>
      <c r="O328" s="1185"/>
    </row>
    <row r="329" spans="1:16" ht="14.1">
      <c r="A329" s="1046"/>
      <c r="B329" s="1061" t="s">
        <v>2216</v>
      </c>
      <c r="C329" s="1048">
        <v>1</v>
      </c>
      <c r="D329" s="1048" t="s">
        <v>1472</v>
      </c>
      <c r="E329" s="1048">
        <v>2</v>
      </c>
      <c r="F329" s="1049">
        <v>2.4</v>
      </c>
      <c r="G329" s="1096">
        <v>1</v>
      </c>
      <c r="H329" s="1049">
        <v>2</v>
      </c>
      <c r="I329" s="1049">
        <f>ROUND(C329*E329*F329*G329*H329,2)</f>
        <v>9.6</v>
      </c>
      <c r="J329" s="1049"/>
      <c r="K329" s="1049"/>
      <c r="L329" s="1049"/>
      <c r="M329" s="1049"/>
      <c r="N329" s="1087"/>
      <c r="O329" s="1087"/>
    </row>
    <row r="330" spans="1:16" ht="14.1">
      <c r="A330" s="1046"/>
      <c r="B330" s="1061"/>
      <c r="C330" s="1048"/>
      <c r="D330" s="1048"/>
      <c r="E330" s="1048"/>
      <c r="F330" s="1049"/>
      <c r="G330" s="1096"/>
      <c r="H330" s="1049"/>
      <c r="I330" s="1049">
        <f>SUM(I328:I329)</f>
        <v>27.71</v>
      </c>
      <c r="J330" s="1049"/>
      <c r="K330" s="1049"/>
      <c r="L330" s="1049"/>
      <c r="M330" s="1049"/>
      <c r="N330" s="1166"/>
      <c r="O330" s="1166"/>
    </row>
    <row r="331" spans="1:16" ht="14.1">
      <c r="A331" s="1046"/>
      <c r="B331" s="1061"/>
      <c r="C331" s="1048"/>
      <c r="D331" s="1048"/>
      <c r="E331" s="1048"/>
      <c r="F331" s="1049"/>
      <c r="G331" s="1049"/>
      <c r="H331" s="1049"/>
      <c r="I331" s="1049">
        <f>ROUND(I330/0.3048^2*2,2)</f>
        <v>596.54</v>
      </c>
      <c r="J331" s="1049">
        <f>Datas!G1054</f>
        <v>116.62</v>
      </c>
      <c r="K331" s="1053">
        <f>ROUND(J331*I331,0)</f>
        <v>69568</v>
      </c>
      <c r="L331" s="1049"/>
      <c r="M331" s="1049"/>
      <c r="N331" s="1087"/>
      <c r="O331" s="1087"/>
    </row>
    <row r="332" spans="1:16" ht="14.1">
      <c r="A332" s="1046"/>
      <c r="B332" s="1061"/>
      <c r="C332" s="1048"/>
      <c r="D332" s="1048"/>
      <c r="E332" s="1048"/>
      <c r="F332" s="1049"/>
      <c r="G332" s="1049"/>
      <c r="H332" s="1049"/>
      <c r="I332" s="1053" t="s">
        <v>2240</v>
      </c>
      <c r="J332" s="1053" t="s">
        <v>2241</v>
      </c>
      <c r="K332" s="1053"/>
      <c r="L332" s="1049"/>
      <c r="M332" s="1049"/>
      <c r="N332" s="1087"/>
      <c r="O332" s="1087"/>
    </row>
    <row r="333" spans="1:16" ht="14.1">
      <c r="A333" s="1046"/>
      <c r="B333" s="1071"/>
      <c r="C333" s="1072"/>
      <c r="D333" s="1072"/>
      <c r="E333" s="1072"/>
      <c r="F333" s="1073"/>
      <c r="G333" s="1073"/>
      <c r="H333" s="1073"/>
      <c r="I333" s="1092"/>
      <c r="J333" s="1053"/>
      <c r="K333" s="1053"/>
      <c r="L333" s="1049"/>
      <c r="M333" s="1049"/>
      <c r="N333" s="1087"/>
      <c r="O333" s="1087"/>
    </row>
    <row r="334" spans="1:16" ht="56.25" customHeight="1">
      <c r="A334" s="1093">
        <v>28</v>
      </c>
      <c r="B334" s="2404" t="s">
        <v>2329</v>
      </c>
      <c r="C334" s="2405"/>
      <c r="D334" s="2405"/>
      <c r="E334" s="2405"/>
      <c r="F334" s="2405"/>
      <c r="G334" s="2405"/>
      <c r="H334" s="2405"/>
      <c r="I334" s="2406"/>
      <c r="J334" s="1094"/>
      <c r="K334" s="1094"/>
      <c r="L334" s="1049"/>
      <c r="M334" s="1049"/>
      <c r="N334" s="1087"/>
      <c r="O334" s="1087"/>
    </row>
    <row r="335" spans="1:16" ht="14.1">
      <c r="A335" s="1046"/>
      <c r="B335" s="1061" t="s">
        <v>2326</v>
      </c>
      <c r="C335" s="1048">
        <v>2</v>
      </c>
      <c r="D335" s="1048" t="s">
        <v>1472</v>
      </c>
      <c r="E335" s="1048">
        <v>6</v>
      </c>
      <c r="F335" s="1049"/>
      <c r="G335" s="1049"/>
      <c r="H335" s="1049"/>
      <c r="I335" s="1049">
        <v>33.9</v>
      </c>
      <c r="J335" s="1049">
        <f>'Data Truss and steel works'!G48</f>
        <v>136.70859999999999</v>
      </c>
      <c r="K335" s="1053">
        <f>ROUND(J335*I335/1,0)</f>
        <v>4634</v>
      </c>
      <c r="L335" s="1049"/>
      <c r="M335" s="1049"/>
      <c r="N335" s="1087"/>
      <c r="O335" s="1087"/>
    </row>
    <row r="336" spans="1:16" ht="14.1">
      <c r="A336" s="1046"/>
      <c r="B336" s="1061" t="s">
        <v>2327</v>
      </c>
      <c r="C336" s="1048"/>
      <c r="D336" s="1048"/>
      <c r="E336" s="1048"/>
      <c r="F336" s="1049"/>
      <c r="G336" s="1049"/>
      <c r="H336" s="1049"/>
      <c r="I336" s="1049" t="s">
        <v>1038</v>
      </c>
      <c r="J336" s="1049" t="s">
        <v>2328</v>
      </c>
      <c r="K336" s="1053"/>
      <c r="L336" s="1049"/>
      <c r="M336" s="1049"/>
      <c r="N336" s="1087"/>
      <c r="O336" s="1087"/>
    </row>
    <row r="337" spans="1:15" ht="45" customHeight="1">
      <c r="A337" s="1093">
        <v>29</v>
      </c>
      <c r="B337" s="2404" t="s">
        <v>2336</v>
      </c>
      <c r="C337" s="2405"/>
      <c r="D337" s="2405"/>
      <c r="E337" s="2405"/>
      <c r="F337" s="2405"/>
      <c r="G337" s="2405"/>
      <c r="H337" s="2405"/>
      <c r="I337" s="2406"/>
      <c r="J337" s="1094"/>
      <c r="K337" s="1094"/>
      <c r="L337" s="1049"/>
      <c r="M337" s="1049"/>
      <c r="N337" s="1087"/>
      <c r="O337" s="1087"/>
    </row>
    <row r="338" spans="1:15" ht="14.1">
      <c r="A338" s="1046"/>
      <c r="B338" s="1061" t="s">
        <v>2326</v>
      </c>
      <c r="C338" s="1048">
        <v>12</v>
      </c>
      <c r="D338" s="1048" t="s">
        <v>1472</v>
      </c>
      <c r="E338" s="1048">
        <v>9</v>
      </c>
      <c r="F338" s="1049">
        <v>0.15</v>
      </c>
      <c r="G338" s="1049"/>
      <c r="H338" s="1049"/>
      <c r="I338" s="1049">
        <v>113.04</v>
      </c>
      <c r="J338" s="1049">
        <v>90</v>
      </c>
      <c r="K338" s="1053">
        <f>ROUND(J338*I338/1,0)</f>
        <v>10174</v>
      </c>
      <c r="L338" s="1049"/>
      <c r="M338" s="1049"/>
      <c r="N338" s="1087"/>
      <c r="O338" s="1087"/>
    </row>
    <row r="339" spans="1:15" ht="14.1">
      <c r="A339" s="1046"/>
      <c r="B339" s="1061" t="s">
        <v>2337</v>
      </c>
      <c r="C339" s="1048"/>
      <c r="D339" s="1048"/>
      <c r="E339" s="1048"/>
      <c r="F339" s="1049"/>
      <c r="G339" s="1049"/>
      <c r="H339" s="1049"/>
      <c r="I339" s="1049" t="s">
        <v>1038</v>
      </c>
      <c r="J339" s="1049" t="s">
        <v>2328</v>
      </c>
      <c r="K339" s="1053"/>
      <c r="L339" s="1049"/>
      <c r="M339" s="1049"/>
      <c r="N339" s="1087"/>
      <c r="O339" s="1087"/>
    </row>
    <row r="340" spans="1:15" ht="14.1">
      <c r="A340" s="1046"/>
      <c r="B340" s="1061">
        <f>12*8*0.15*7850/1000</f>
        <v>113.03999999999999</v>
      </c>
      <c r="C340" s="1048"/>
      <c r="D340" s="1048"/>
      <c r="E340" s="1048"/>
      <c r="F340" s="1049"/>
      <c r="G340" s="1049"/>
      <c r="H340" s="1049"/>
      <c r="I340" s="1049"/>
      <c r="J340" s="1049"/>
      <c r="K340" s="1053"/>
      <c r="L340" s="1049"/>
      <c r="M340" s="1049"/>
      <c r="N340" s="1087"/>
      <c r="O340" s="1087"/>
    </row>
    <row r="341" spans="1:15" ht="103.5" customHeight="1">
      <c r="A341" s="1093">
        <v>30</v>
      </c>
      <c r="B341" s="2404" t="s">
        <v>2344</v>
      </c>
      <c r="C341" s="2405"/>
      <c r="D341" s="2405"/>
      <c r="E341" s="2405"/>
      <c r="F341" s="2405"/>
      <c r="G341" s="2405"/>
      <c r="H341" s="2405"/>
      <c r="I341" s="2406"/>
      <c r="J341" s="1094"/>
      <c r="K341" s="1094"/>
      <c r="L341" s="1049"/>
      <c r="M341" s="1049"/>
      <c r="N341" s="1087"/>
      <c r="O341" s="1087"/>
    </row>
    <row r="342" spans="1:15" ht="14.4">
      <c r="A342" s="1093"/>
      <c r="B342" s="1170" t="s">
        <v>2341</v>
      </c>
      <c r="C342" s="1167"/>
      <c r="D342" s="1167"/>
      <c r="E342" s="1167"/>
      <c r="F342" s="1167"/>
      <c r="G342" s="1167"/>
      <c r="H342" s="1167"/>
      <c r="I342" s="1168"/>
      <c r="J342" s="1094"/>
      <c r="K342" s="1094"/>
      <c r="L342" s="1049"/>
      <c r="M342" s="1049"/>
      <c r="N342" s="1087"/>
      <c r="O342" s="1087"/>
    </row>
    <row r="343" spans="1:15" ht="28.8">
      <c r="A343" s="1046"/>
      <c r="B343" s="1171" t="s">
        <v>2342</v>
      </c>
      <c r="C343" s="1048">
        <v>1</v>
      </c>
      <c r="D343" s="1048" t="s">
        <v>1472</v>
      </c>
      <c r="E343" s="1048">
        <v>1</v>
      </c>
      <c r="F343" s="1049">
        <v>9.6</v>
      </c>
      <c r="G343" s="1049">
        <v>10.4</v>
      </c>
      <c r="H343" s="1069"/>
      <c r="I343" s="1049">
        <f>G343*F343</f>
        <v>99.84</v>
      </c>
      <c r="J343" s="1049"/>
      <c r="K343" s="1053"/>
      <c r="L343" s="1049"/>
      <c r="M343" s="1049"/>
      <c r="N343" s="1087"/>
      <c r="O343" s="1087"/>
    </row>
    <row r="344" spans="1:15" ht="14.4">
      <c r="A344" s="1046"/>
      <c r="B344" s="1170" t="s">
        <v>2339</v>
      </c>
      <c r="C344" s="1048">
        <v>2</v>
      </c>
      <c r="D344" s="1048" t="s">
        <v>1472</v>
      </c>
      <c r="E344" s="1048">
        <v>1</v>
      </c>
      <c r="F344" s="1049">
        <v>5.98</v>
      </c>
      <c r="G344" s="1049">
        <v>10.4</v>
      </c>
      <c r="H344" s="1069"/>
      <c r="I344" s="1049">
        <f>G344*F344</f>
        <v>62.192000000000007</v>
      </c>
      <c r="J344" s="1049"/>
      <c r="K344" s="1053"/>
      <c r="L344" s="1049"/>
      <c r="M344" s="1049"/>
      <c r="N344" s="1087"/>
      <c r="O344" s="1087"/>
    </row>
    <row r="345" spans="1:15" ht="14.4">
      <c r="A345" s="1046"/>
      <c r="B345" s="1170" t="s">
        <v>2340</v>
      </c>
      <c r="C345" s="1048"/>
      <c r="D345" s="1048"/>
      <c r="E345" s="1048"/>
      <c r="F345" s="1049"/>
      <c r="G345" s="1049"/>
      <c r="H345" s="1069"/>
      <c r="I345" s="1049"/>
      <c r="J345" s="1049"/>
      <c r="K345" s="1053"/>
      <c r="L345" s="1049"/>
      <c r="M345" s="1049"/>
      <c r="N345" s="1087"/>
      <c r="O345" s="1087"/>
    </row>
    <row r="346" spans="1:15" ht="14.4">
      <c r="A346" s="1046"/>
      <c r="B346" s="1170" t="s">
        <v>2338</v>
      </c>
      <c r="C346" s="1048">
        <v>1</v>
      </c>
      <c r="D346" s="1048" t="s">
        <v>1472</v>
      </c>
      <c r="E346" s="1048">
        <v>1</v>
      </c>
      <c r="F346" s="1049">
        <v>1.2</v>
      </c>
      <c r="G346" s="1049">
        <v>6.26</v>
      </c>
      <c r="H346" s="1069"/>
      <c r="I346" s="1049">
        <f>G346*F346*E346*C346</f>
        <v>7.5119999999999996</v>
      </c>
      <c r="J346" s="1049"/>
      <c r="K346" s="1053"/>
      <c r="L346" s="1049"/>
      <c r="M346" s="1049"/>
      <c r="N346" s="1087"/>
      <c r="O346" s="1087"/>
    </row>
    <row r="347" spans="1:15" ht="14.4">
      <c r="A347" s="1046"/>
      <c r="B347" s="1170" t="s">
        <v>2353</v>
      </c>
      <c r="C347" s="1048">
        <v>2</v>
      </c>
      <c r="D347" s="1048" t="s">
        <v>1472</v>
      </c>
      <c r="E347" s="1048">
        <v>1</v>
      </c>
      <c r="F347" s="1049">
        <v>0.96</v>
      </c>
      <c r="G347" s="1049">
        <v>6.26</v>
      </c>
      <c r="H347" s="1069"/>
      <c r="I347" s="1049">
        <f>G347*F347*E347*C347</f>
        <v>12.0192</v>
      </c>
      <c r="J347" s="1049"/>
      <c r="K347" s="1053"/>
      <c r="L347" s="1049"/>
      <c r="M347" s="1049"/>
      <c r="N347" s="1087"/>
      <c r="O347" s="1087"/>
    </row>
    <row r="348" spans="1:15" ht="14.4">
      <c r="A348" s="1046"/>
      <c r="B348" s="1170" t="s">
        <v>2352</v>
      </c>
      <c r="C348" s="1048">
        <v>2</v>
      </c>
      <c r="D348" s="1048" t="s">
        <v>1472</v>
      </c>
      <c r="E348" s="1048">
        <v>1</v>
      </c>
      <c r="F348" s="1049">
        <v>0.72</v>
      </c>
      <c r="G348" s="1049">
        <v>6.26</v>
      </c>
      <c r="H348" s="1069"/>
      <c r="I348" s="1049">
        <f>G348*F348*E348*C348</f>
        <v>9.0144000000000002</v>
      </c>
      <c r="J348" s="1049"/>
      <c r="K348" s="1053"/>
      <c r="L348" s="1049"/>
      <c r="M348" s="1049"/>
      <c r="N348" s="1087"/>
      <c r="O348" s="1087"/>
    </row>
    <row r="349" spans="1:15" ht="14.4">
      <c r="A349" s="1046"/>
      <c r="B349" s="1170" t="s">
        <v>2351</v>
      </c>
      <c r="C349" s="1048">
        <v>2</v>
      </c>
      <c r="D349" s="1048" t="s">
        <v>1472</v>
      </c>
      <c r="E349" s="1048">
        <v>1</v>
      </c>
      <c r="F349" s="1049">
        <v>0.48</v>
      </c>
      <c r="G349" s="1049">
        <v>6.26</v>
      </c>
      <c r="H349" s="1069"/>
      <c r="I349" s="1049">
        <f>G349*F349*E349*C349</f>
        <v>6.0095999999999998</v>
      </c>
      <c r="J349" s="1049"/>
      <c r="K349" s="1053"/>
      <c r="L349" s="1049"/>
      <c r="M349" s="1049"/>
      <c r="N349" s="1087"/>
      <c r="O349" s="1087"/>
    </row>
    <row r="350" spans="1:15" ht="14.4">
      <c r="A350" s="1046"/>
      <c r="B350" s="1170" t="s">
        <v>2350</v>
      </c>
      <c r="C350" s="1048">
        <v>2</v>
      </c>
      <c r="D350" s="1048" t="s">
        <v>1472</v>
      </c>
      <c r="E350" s="1048">
        <v>1</v>
      </c>
      <c r="F350" s="1049">
        <v>0.24</v>
      </c>
      <c r="G350" s="1049">
        <v>6.26</v>
      </c>
      <c r="H350" s="1069"/>
      <c r="I350" s="1049">
        <f>G350*F350*E350*C350</f>
        <v>3.0047999999999999</v>
      </c>
      <c r="J350" s="1049"/>
      <c r="K350" s="1053"/>
      <c r="L350" s="1049"/>
      <c r="M350" s="1049"/>
      <c r="N350" s="1087"/>
      <c r="O350" s="1087"/>
    </row>
    <row r="351" spans="1:15" ht="14.4">
      <c r="A351" s="1046"/>
      <c r="B351" s="1170" t="s">
        <v>2354</v>
      </c>
      <c r="C351" s="1048"/>
      <c r="D351" s="1048"/>
      <c r="E351" s="1048"/>
      <c r="F351" s="1049"/>
      <c r="G351" s="1049"/>
      <c r="H351" s="1069"/>
      <c r="I351" s="1049"/>
      <c r="J351" s="1049"/>
      <c r="K351" s="1053"/>
      <c r="L351" s="1049"/>
      <c r="M351" s="1049"/>
      <c r="N351" s="1087"/>
      <c r="O351" s="1087"/>
    </row>
    <row r="352" spans="1:15" ht="14.4">
      <c r="A352" s="1046"/>
      <c r="B352" s="1170" t="s">
        <v>2353</v>
      </c>
      <c r="C352" s="1048">
        <v>1</v>
      </c>
      <c r="D352" s="1048" t="s">
        <v>1472</v>
      </c>
      <c r="E352" s="1048">
        <v>1</v>
      </c>
      <c r="F352" s="1049">
        <v>1.35</v>
      </c>
      <c r="G352" s="1049">
        <v>6.26</v>
      </c>
      <c r="H352" s="1069"/>
      <c r="I352" s="1049">
        <f>G352*F352*E352*C352</f>
        <v>8.4510000000000005</v>
      </c>
      <c r="J352" s="1049"/>
      <c r="K352" s="1053"/>
      <c r="L352" s="1049"/>
      <c r="M352" s="1049"/>
      <c r="N352" s="1087"/>
      <c r="O352" s="1087"/>
    </row>
    <row r="353" spans="1:15" ht="14.4">
      <c r="A353" s="1046"/>
      <c r="B353" s="1170" t="s">
        <v>2352</v>
      </c>
      <c r="C353" s="1048">
        <v>2</v>
      </c>
      <c r="D353" s="1048" t="s">
        <v>1472</v>
      </c>
      <c r="E353" s="1048">
        <v>1</v>
      </c>
      <c r="F353" s="1049">
        <v>1.02</v>
      </c>
      <c r="G353" s="1049">
        <v>6.26</v>
      </c>
      <c r="H353" s="1069"/>
      <c r="I353" s="1049">
        <f>G353*F353*E353*C353</f>
        <v>12.7704</v>
      </c>
      <c r="J353" s="1049"/>
      <c r="K353" s="1053"/>
      <c r="L353" s="1049"/>
      <c r="M353" s="1049"/>
      <c r="N353" s="1087"/>
      <c r="O353" s="1087"/>
    </row>
    <row r="354" spans="1:15" ht="14.4">
      <c r="A354" s="1046"/>
      <c r="B354" s="1170" t="s">
        <v>2351</v>
      </c>
      <c r="C354" s="1048">
        <v>2</v>
      </c>
      <c r="D354" s="1048" t="s">
        <v>1472</v>
      </c>
      <c r="E354" s="1048">
        <v>1</v>
      </c>
      <c r="F354" s="1049">
        <v>1.07</v>
      </c>
      <c r="G354" s="1049">
        <v>6.26</v>
      </c>
      <c r="H354" s="1069"/>
      <c r="I354" s="1049">
        <f>G354*F354*E354*C354</f>
        <v>13.3964</v>
      </c>
      <c r="J354" s="1049"/>
      <c r="K354" s="1053"/>
      <c r="L354" s="1049"/>
      <c r="M354" s="1049"/>
      <c r="N354" s="1087"/>
      <c r="O354" s="1087"/>
    </row>
    <row r="355" spans="1:15" ht="14.4">
      <c r="A355" s="1046"/>
      <c r="B355" s="1170" t="s">
        <v>2350</v>
      </c>
      <c r="C355" s="1048">
        <v>2</v>
      </c>
      <c r="D355" s="1048" t="s">
        <v>1472</v>
      </c>
      <c r="E355" s="1048">
        <v>1</v>
      </c>
      <c r="F355" s="1049">
        <v>0.98</v>
      </c>
      <c r="G355" s="1049">
        <v>6.26</v>
      </c>
      <c r="H355" s="1069"/>
      <c r="I355" s="1049">
        <f>G355*F355*E355*C355</f>
        <v>12.269599999999999</v>
      </c>
      <c r="J355" s="1049"/>
      <c r="K355" s="1053"/>
      <c r="L355" s="1049"/>
      <c r="M355" s="1049"/>
      <c r="N355" s="1087"/>
      <c r="O355" s="1087"/>
    </row>
    <row r="356" spans="1:15" ht="14.4">
      <c r="A356" s="1046"/>
      <c r="B356" s="1170"/>
      <c r="C356" s="1048"/>
      <c r="D356" s="1048"/>
      <c r="E356" s="1048"/>
      <c r="F356" s="1049"/>
      <c r="G356" s="1049"/>
      <c r="H356" s="1069"/>
      <c r="I356" s="1049">
        <f>SUM(I343:I355)</f>
        <v>246.4794</v>
      </c>
      <c r="J356" s="1049"/>
      <c r="K356" s="1053"/>
      <c r="L356" s="1049"/>
      <c r="M356" s="1049"/>
      <c r="N356" s="1087"/>
      <c r="O356" s="1087"/>
    </row>
    <row r="357" spans="1:15" ht="14.4">
      <c r="A357" s="1046"/>
      <c r="B357" s="1170"/>
      <c r="C357" s="1048"/>
      <c r="D357" s="1048"/>
      <c r="E357" s="1048"/>
      <c r="F357" s="1049"/>
      <c r="G357" s="1049"/>
      <c r="H357" s="1069"/>
      <c r="I357" s="1049">
        <f>SUM(I356:I356)</f>
        <v>246.4794</v>
      </c>
      <c r="J357" s="1049"/>
      <c r="K357" s="1053"/>
      <c r="L357" s="1049"/>
      <c r="M357" s="1049"/>
      <c r="N357" s="1087"/>
      <c r="O357" s="1087"/>
    </row>
    <row r="358" spans="1:15" ht="14.4">
      <c r="A358" s="1046"/>
      <c r="B358" s="1172" t="s">
        <v>2343</v>
      </c>
      <c r="C358" s="1048">
        <v>1</v>
      </c>
      <c r="D358" s="1048" t="s">
        <v>1472</v>
      </c>
      <c r="E358" s="1048">
        <v>6</v>
      </c>
      <c r="F358" s="1049">
        <f>I357</f>
        <v>246.4794</v>
      </c>
      <c r="G358" s="1049"/>
      <c r="H358" s="1049"/>
      <c r="I358" s="1049">
        <f>F358*E358</f>
        <v>1478.8764000000001</v>
      </c>
      <c r="J358" s="1049">
        <f>'Data Truss and steel works'!G17</f>
        <v>142.25</v>
      </c>
      <c r="K358" s="1053">
        <f>ROUND(J358*I358/1,0)</f>
        <v>210370</v>
      </c>
      <c r="L358" s="1049"/>
      <c r="M358" s="1049"/>
      <c r="N358" s="1087"/>
      <c r="O358" s="1087"/>
    </row>
    <row r="359" spans="1:15" ht="14.1">
      <c r="A359" s="1046"/>
      <c r="B359" s="1061"/>
      <c r="C359" s="1048"/>
      <c r="D359" s="1048"/>
      <c r="E359" s="1048"/>
      <c r="F359" s="1049"/>
      <c r="G359" s="1049"/>
      <c r="H359" s="1049"/>
      <c r="I359" s="1049" t="s">
        <v>1038</v>
      </c>
      <c r="J359" s="1049" t="s">
        <v>2328</v>
      </c>
      <c r="K359" s="1053"/>
      <c r="L359" s="1049"/>
      <c r="M359" s="1049"/>
      <c r="N359" s="1087"/>
      <c r="O359" s="1087"/>
    </row>
    <row r="360" spans="1:15" ht="30.75" customHeight="1">
      <c r="A360" s="1093">
        <v>31</v>
      </c>
      <c r="B360" s="2404" t="s">
        <v>2345</v>
      </c>
      <c r="C360" s="2405"/>
      <c r="D360" s="2405"/>
      <c r="E360" s="2405"/>
      <c r="F360" s="2405"/>
      <c r="G360" s="2405"/>
      <c r="H360" s="2405"/>
      <c r="I360" s="2406"/>
      <c r="J360" s="1094"/>
      <c r="K360" s="1094"/>
      <c r="L360" s="1049"/>
      <c r="M360" s="1049"/>
      <c r="N360" s="1087"/>
      <c r="O360" s="1087"/>
    </row>
    <row r="361" spans="1:15" ht="14.4">
      <c r="A361" s="1046"/>
      <c r="B361" s="1170" t="s">
        <v>2355</v>
      </c>
      <c r="C361" s="1048"/>
      <c r="D361" s="1048"/>
      <c r="E361" s="1048"/>
      <c r="F361" s="1049"/>
      <c r="G361" s="1049"/>
      <c r="H361" s="1069"/>
      <c r="I361" s="1049"/>
      <c r="J361" s="1049"/>
      <c r="K361" s="1053"/>
      <c r="L361" s="1049"/>
      <c r="M361" s="1049"/>
      <c r="N361" s="1087"/>
      <c r="O361" s="1087"/>
    </row>
    <row r="362" spans="1:15" ht="14.4">
      <c r="A362" s="1046"/>
      <c r="B362" s="1170"/>
      <c r="C362" s="1048">
        <v>12</v>
      </c>
      <c r="D362" s="1048" t="s">
        <v>1472</v>
      </c>
      <c r="E362" s="1048">
        <v>1</v>
      </c>
      <c r="F362" s="1049">
        <v>18.75</v>
      </c>
      <c r="G362" s="1049">
        <v>4.41</v>
      </c>
      <c r="H362" s="1069"/>
      <c r="I362" s="1049">
        <f>G362*F362*E362*C362</f>
        <v>992.25</v>
      </c>
      <c r="J362" s="1049">
        <f>J358</f>
        <v>142.25</v>
      </c>
      <c r="K362" s="1053">
        <f>ROUND(J362*I362/1,0)</f>
        <v>141148</v>
      </c>
      <c r="L362" s="1049"/>
      <c r="M362" s="1049"/>
      <c r="N362" s="1087"/>
      <c r="O362" s="1087"/>
    </row>
    <row r="363" spans="1:15" ht="14.1">
      <c r="A363" s="1046"/>
      <c r="B363" s="1071"/>
      <c r="C363" s="1072"/>
      <c r="D363" s="1072"/>
      <c r="E363" s="1072"/>
      <c r="F363" s="1073"/>
      <c r="G363" s="1074"/>
      <c r="H363" s="1069"/>
      <c r="I363" s="1049" t="s">
        <v>1038</v>
      </c>
      <c r="J363" s="1049" t="s">
        <v>2328</v>
      </c>
      <c r="K363" s="1053"/>
      <c r="L363" s="1049"/>
      <c r="M363" s="1049"/>
      <c r="N363" s="1087"/>
      <c r="O363" s="1087"/>
    </row>
    <row r="364" spans="1:15" ht="134.25" customHeight="1">
      <c r="A364" s="1093">
        <v>32</v>
      </c>
      <c r="B364" s="2404" t="s">
        <v>2346</v>
      </c>
      <c r="C364" s="2405"/>
      <c r="D364" s="2405"/>
      <c r="E364" s="2405"/>
      <c r="F364" s="2405"/>
      <c r="G364" s="2405"/>
      <c r="H364" s="2405"/>
      <c r="I364" s="2406"/>
      <c r="J364" s="1094"/>
      <c r="K364" s="1094"/>
      <c r="L364" s="1049"/>
      <c r="M364" s="1049"/>
      <c r="N364" s="1087"/>
      <c r="O364" s="1087"/>
    </row>
    <row r="365" spans="1:15" ht="14.4">
      <c r="A365" s="1093"/>
      <c r="B365" s="1170" t="s">
        <v>2347</v>
      </c>
      <c r="C365" s="1048">
        <v>2</v>
      </c>
      <c r="D365" s="1048" t="s">
        <v>1472</v>
      </c>
      <c r="E365" s="1048"/>
      <c r="F365" s="1049">
        <v>18.75</v>
      </c>
      <c r="G365" s="1049">
        <v>6.2</v>
      </c>
      <c r="H365" s="1049"/>
      <c r="I365" s="1049">
        <f>G365*F365*C365</f>
        <v>232.5</v>
      </c>
      <c r="J365" s="1094"/>
      <c r="K365" s="1094"/>
      <c r="L365" s="1049"/>
      <c r="M365" s="1049"/>
      <c r="N365" s="1087"/>
      <c r="O365" s="1087"/>
    </row>
    <row r="366" spans="1:15" ht="14.4">
      <c r="A366" s="1093"/>
      <c r="B366" s="1170" t="s">
        <v>2349</v>
      </c>
      <c r="C366" s="1048">
        <v>1</v>
      </c>
      <c r="D366" s="1048" t="s">
        <v>1472</v>
      </c>
      <c r="E366" s="1048"/>
      <c r="F366" s="1049">
        <v>18.75</v>
      </c>
      <c r="G366" s="1049">
        <v>0.4</v>
      </c>
      <c r="H366" s="1069"/>
      <c r="I366" s="1049">
        <f>G366*F366*C366</f>
        <v>7.5</v>
      </c>
      <c r="J366" s="1094"/>
      <c r="K366" s="1094"/>
      <c r="L366" s="1049"/>
      <c r="M366" s="1049"/>
      <c r="N366" s="1087"/>
      <c r="O366" s="1087"/>
    </row>
    <row r="367" spans="1:15" ht="14.4">
      <c r="A367" s="1046"/>
      <c r="B367" s="1170"/>
      <c r="C367" s="1048"/>
      <c r="D367" s="1048"/>
      <c r="E367" s="1048"/>
      <c r="F367" s="1049"/>
      <c r="G367" s="1049"/>
      <c r="H367" s="1069"/>
      <c r="I367" s="1049">
        <f>SUM(I365:I366)</f>
        <v>240</v>
      </c>
      <c r="J367" s="1049">
        <f>Datas!G1173</f>
        <v>735.21</v>
      </c>
      <c r="K367" s="1053">
        <f>ROUND(J367*I367/1,0)</f>
        <v>176450</v>
      </c>
      <c r="L367" s="1049"/>
      <c r="M367" s="1049"/>
      <c r="N367" s="1087"/>
      <c r="O367" s="1087"/>
    </row>
    <row r="368" spans="1:15" ht="14.1">
      <c r="A368" s="1046"/>
      <c r="B368" s="1071"/>
      <c r="C368" s="1072"/>
      <c r="D368" s="1072"/>
      <c r="E368" s="1072"/>
      <c r="F368" s="1073"/>
      <c r="G368" s="1074"/>
      <c r="H368" s="1069"/>
      <c r="I368" s="1049" t="s">
        <v>1478</v>
      </c>
      <c r="J368" s="1049" t="s">
        <v>2348</v>
      </c>
      <c r="K368" s="1053"/>
      <c r="L368" s="1049"/>
      <c r="M368" s="1049"/>
      <c r="N368" s="1087"/>
      <c r="O368" s="1087"/>
    </row>
    <row r="369" spans="1:15" ht="116.25" customHeight="1">
      <c r="A369" s="1046">
        <v>33</v>
      </c>
      <c r="B369" s="2415" t="s">
        <v>2198</v>
      </c>
      <c r="C369" s="2416"/>
      <c r="D369" s="2416"/>
      <c r="E369" s="2416"/>
      <c r="F369" s="2416"/>
      <c r="G369" s="2416"/>
      <c r="H369" s="2416"/>
      <c r="I369" s="2417"/>
      <c r="J369" s="1049"/>
      <c r="K369" s="1049"/>
      <c r="L369" s="1049"/>
      <c r="M369" s="1049"/>
      <c r="N369" s="1087"/>
      <c r="O369" s="1087"/>
    </row>
    <row r="370" spans="1:15" ht="14.1">
      <c r="A370" s="1046"/>
      <c r="B370" s="1060" t="s">
        <v>466</v>
      </c>
      <c r="C370" s="1082"/>
      <c r="D370" s="1082"/>
      <c r="E370" s="1082"/>
      <c r="F370" s="1083"/>
      <c r="G370" s="1083"/>
      <c r="H370" s="1083"/>
      <c r="I370" s="1083"/>
      <c r="J370" s="1049"/>
      <c r="K370" s="1049"/>
      <c r="L370" s="1049"/>
      <c r="M370" s="1049"/>
      <c r="N370" s="1087"/>
      <c r="O370" s="1087"/>
    </row>
    <row r="371" spans="1:15" ht="14.1">
      <c r="A371" s="1046"/>
      <c r="B371" s="1050" t="s">
        <v>2115</v>
      </c>
      <c r="C371" s="1048">
        <v>1</v>
      </c>
      <c r="D371" s="1048" t="s">
        <v>1472</v>
      </c>
      <c r="E371" s="1048">
        <v>2</v>
      </c>
      <c r="F371" s="1049">
        <f>(60.75-0.23*2)*0.3048</f>
        <v>18.376391999999999</v>
      </c>
      <c r="G371" s="1049"/>
      <c r="H371" s="1049">
        <v>3.6</v>
      </c>
      <c r="I371" s="1049">
        <f>ROUND(C371*E371*F371*H371,2)</f>
        <v>132.31</v>
      </c>
      <c r="J371" s="1049"/>
      <c r="K371" s="1049"/>
      <c r="L371" s="1049"/>
      <c r="M371" s="1049"/>
      <c r="N371" s="1087"/>
      <c r="O371" s="1087"/>
    </row>
    <row r="372" spans="1:15" ht="14.1">
      <c r="A372" s="1046"/>
      <c r="B372" s="1050" t="s">
        <v>2033</v>
      </c>
      <c r="C372" s="1048">
        <v>1</v>
      </c>
      <c r="D372" s="1048" t="s">
        <v>1472</v>
      </c>
      <c r="E372" s="1048">
        <v>2</v>
      </c>
      <c r="F372" s="1049">
        <f>(31.5-2*0.23)*0.3048</f>
        <v>9.460992000000001</v>
      </c>
      <c r="G372" s="1049"/>
      <c r="H372" s="1164" t="s">
        <v>2287</v>
      </c>
      <c r="I372" s="1049">
        <f>ROUND(C372*E372*F372*AVERAGE(3.6,5.4,3.6),2)</f>
        <v>79.47</v>
      </c>
      <c r="J372" s="1049"/>
      <c r="K372" s="1049"/>
      <c r="L372" s="1049"/>
      <c r="M372" s="1049"/>
      <c r="N372" s="1087"/>
      <c r="O372" s="1087"/>
    </row>
    <row r="373" spans="1:15" ht="27.6">
      <c r="A373" s="1046"/>
      <c r="B373" s="1050" t="s">
        <v>2116</v>
      </c>
      <c r="C373" s="1048">
        <v>1</v>
      </c>
      <c r="D373" s="1048" t="s">
        <v>1472</v>
      </c>
      <c r="E373" s="1048">
        <v>2</v>
      </c>
      <c r="F373" s="1049">
        <f>(31.5-2*0.23)*0.3048</f>
        <v>9.460992000000001</v>
      </c>
      <c r="G373" s="1049"/>
      <c r="H373" s="1049">
        <v>3.6</v>
      </c>
      <c r="I373" s="1049">
        <f>ROUND(C373*E373*F373*H373,2)</f>
        <v>68.12</v>
      </c>
      <c r="J373" s="1049"/>
      <c r="K373" s="1049"/>
      <c r="L373" s="1049"/>
      <c r="M373" s="1049"/>
      <c r="N373" s="1087"/>
      <c r="O373" s="1087"/>
    </row>
    <row r="374" spans="1:15" ht="14.1">
      <c r="A374" s="1046"/>
      <c r="B374" s="1050" t="s">
        <v>2134</v>
      </c>
      <c r="C374" s="1048">
        <v>1</v>
      </c>
      <c r="D374" s="1048" t="s">
        <v>1472</v>
      </c>
      <c r="E374" s="1048">
        <v>2</v>
      </c>
      <c r="F374" s="1049">
        <v>3.6</v>
      </c>
      <c r="G374" s="1049"/>
      <c r="H374" s="1049">
        <v>3.6</v>
      </c>
      <c r="I374" s="1049">
        <f>ROUND(C374*E374*F374*H374,2)</f>
        <v>25.92</v>
      </c>
      <c r="J374" s="1049"/>
      <c r="K374" s="1049"/>
      <c r="L374" s="1049"/>
      <c r="M374" s="1049"/>
      <c r="N374" s="1087"/>
      <c r="O374" s="1087"/>
    </row>
    <row r="375" spans="1:15" ht="14.1">
      <c r="A375" s="1046"/>
      <c r="B375" s="1050" t="s">
        <v>2119</v>
      </c>
      <c r="C375" s="1048">
        <v>1</v>
      </c>
      <c r="D375" s="1048" t="s">
        <v>1472</v>
      </c>
      <c r="E375" s="1048">
        <v>2</v>
      </c>
      <c r="F375" s="1049">
        <v>2.1</v>
      </c>
      <c r="G375" s="1049"/>
      <c r="H375" s="1049">
        <v>0.45</v>
      </c>
      <c r="I375" s="1049">
        <f>ROUND(C375*E375*F375*H375,2)</f>
        <v>1.89</v>
      </c>
      <c r="J375" s="1049"/>
      <c r="K375" s="1049"/>
      <c r="L375" s="1049"/>
      <c r="M375" s="1049"/>
      <c r="N375" s="1087"/>
      <c r="O375" s="1087"/>
    </row>
    <row r="376" spans="1:15" ht="14.1">
      <c r="A376" s="1046"/>
      <c r="B376" s="1050" t="s">
        <v>2120</v>
      </c>
      <c r="C376" s="1048">
        <v>1</v>
      </c>
      <c r="D376" s="1048" t="s">
        <v>1472</v>
      </c>
      <c r="E376" s="1048">
        <v>1</v>
      </c>
      <c r="F376" s="1049">
        <v>4.95</v>
      </c>
      <c r="G376" s="1049"/>
      <c r="H376" s="1049">
        <v>0.45</v>
      </c>
      <c r="I376" s="1049">
        <f>ROUND(C376*E376*F376*H376,2)</f>
        <v>2.23</v>
      </c>
      <c r="J376" s="1049"/>
      <c r="K376" s="1049"/>
      <c r="L376" s="1049"/>
      <c r="M376" s="1049"/>
      <c r="N376" s="1087"/>
      <c r="O376" s="1087"/>
    </row>
    <row r="377" spans="1:15" ht="14.1">
      <c r="A377" s="1046"/>
      <c r="B377" s="1060" t="s">
        <v>675</v>
      </c>
      <c r="C377" s="1048"/>
      <c r="D377" s="1048"/>
      <c r="E377" s="1048"/>
      <c r="F377" s="1049"/>
      <c r="G377" s="1049"/>
      <c r="H377" s="1049"/>
      <c r="I377" s="1049"/>
      <c r="J377" s="1049"/>
      <c r="K377" s="1049"/>
      <c r="L377" s="1049"/>
      <c r="M377" s="1049"/>
      <c r="N377" s="1087"/>
      <c r="O377" s="1087"/>
    </row>
    <row r="378" spans="1:15">
      <c r="A378" s="1076"/>
      <c r="B378" s="1061" t="s">
        <v>2223</v>
      </c>
      <c r="C378" s="1048">
        <v>1</v>
      </c>
      <c r="D378" s="1048" t="s">
        <v>1472</v>
      </c>
      <c r="E378" s="1048">
        <v>1</v>
      </c>
      <c r="F378" s="1049">
        <v>1.8</v>
      </c>
      <c r="G378" s="1084">
        <v>1</v>
      </c>
      <c r="H378" s="1049">
        <v>2.4</v>
      </c>
      <c r="I378" s="1049">
        <f t="shared" ref="I378:I383" si="13">-ROUND(C378*E378*F378*G378*H378,2)</f>
        <v>-4.32</v>
      </c>
      <c r="J378" s="1049"/>
      <c r="K378" s="1049"/>
      <c r="L378" s="1049"/>
      <c r="M378" s="1049"/>
      <c r="N378" s="1087"/>
      <c r="O378" s="1087"/>
    </row>
    <row r="379" spans="1:15">
      <c r="A379" s="1076"/>
      <c r="B379" s="1061" t="s">
        <v>980</v>
      </c>
      <c r="C379" s="1048">
        <v>1</v>
      </c>
      <c r="D379" s="1048" t="s">
        <v>1472</v>
      </c>
      <c r="E379" s="1048">
        <v>2</v>
      </c>
      <c r="F379" s="1049">
        <v>1.5</v>
      </c>
      <c r="G379" s="1084">
        <v>1</v>
      </c>
      <c r="H379" s="1049">
        <v>2.4</v>
      </c>
      <c r="I379" s="1049">
        <f t="shared" si="13"/>
        <v>-7.2</v>
      </c>
      <c r="J379" s="1049"/>
      <c r="K379" s="1049"/>
      <c r="L379" s="1049"/>
      <c r="M379" s="1049"/>
      <c r="N379" s="1087"/>
      <c r="O379" s="1087"/>
    </row>
    <row r="380" spans="1:15">
      <c r="A380" s="1076"/>
      <c r="B380" s="1061" t="s">
        <v>981</v>
      </c>
      <c r="C380" s="1048">
        <v>1</v>
      </c>
      <c r="D380" s="1048" t="s">
        <v>1472</v>
      </c>
      <c r="E380" s="1048">
        <v>2</v>
      </c>
      <c r="F380" s="1049">
        <v>0.9</v>
      </c>
      <c r="G380" s="1084">
        <v>1</v>
      </c>
      <c r="H380" s="1049">
        <v>2.1</v>
      </c>
      <c r="I380" s="1049">
        <f t="shared" si="13"/>
        <v>-3.78</v>
      </c>
      <c r="J380" s="1049"/>
      <c r="K380" s="1049"/>
      <c r="L380" s="1049"/>
      <c r="M380" s="1049"/>
      <c r="N380" s="1087"/>
      <c r="O380" s="1087"/>
    </row>
    <row r="381" spans="1:15">
      <c r="A381" s="1076"/>
      <c r="B381" s="1061" t="s">
        <v>2117</v>
      </c>
      <c r="C381" s="1048">
        <v>1</v>
      </c>
      <c r="D381" s="1048" t="s">
        <v>1472</v>
      </c>
      <c r="E381" s="1048">
        <v>1</v>
      </c>
      <c r="F381" s="1049">
        <v>1.5</v>
      </c>
      <c r="G381" s="1084">
        <v>1</v>
      </c>
      <c r="H381" s="1049">
        <v>1.2</v>
      </c>
      <c r="I381" s="1049">
        <f t="shared" si="13"/>
        <v>-1.8</v>
      </c>
      <c r="J381" s="1049"/>
      <c r="K381" s="1049"/>
      <c r="L381" s="1049"/>
      <c r="M381" s="1049"/>
      <c r="N381" s="1087"/>
      <c r="O381" s="1087"/>
    </row>
    <row r="382" spans="1:15" ht="14.1">
      <c r="A382" s="1046"/>
      <c r="B382" s="1061" t="s">
        <v>2215</v>
      </c>
      <c r="C382" s="1048">
        <v>1</v>
      </c>
      <c r="D382" s="1048" t="s">
        <v>1472</v>
      </c>
      <c r="E382" s="1048">
        <v>6</v>
      </c>
      <c r="F382" s="1049">
        <f>11*0.3048</f>
        <v>3.3528000000000002</v>
      </c>
      <c r="G382" s="1084">
        <v>1</v>
      </c>
      <c r="H382" s="1049">
        <v>0.9</v>
      </c>
      <c r="I382" s="1049">
        <f t="shared" si="13"/>
        <v>-18.11</v>
      </c>
      <c r="J382" s="1049"/>
      <c r="K382" s="1049"/>
      <c r="L382" s="1049"/>
      <c r="M382" s="1049"/>
      <c r="N382" s="1087"/>
      <c r="O382" s="1087"/>
    </row>
    <row r="383" spans="1:15" ht="14.1">
      <c r="A383" s="1046"/>
      <c r="B383" s="1061" t="s">
        <v>2216</v>
      </c>
      <c r="C383" s="1048">
        <v>1</v>
      </c>
      <c r="D383" s="1048" t="s">
        <v>1472</v>
      </c>
      <c r="E383" s="1048">
        <v>2</v>
      </c>
      <c r="F383" s="1049">
        <v>2.4</v>
      </c>
      <c r="G383" s="1084">
        <v>1</v>
      </c>
      <c r="H383" s="1049">
        <v>2</v>
      </c>
      <c r="I383" s="1049">
        <f t="shared" si="13"/>
        <v>-9.6</v>
      </c>
      <c r="J383" s="1049"/>
      <c r="K383" s="1049"/>
      <c r="L383" s="1049"/>
      <c r="M383" s="1049"/>
      <c r="N383" s="1087"/>
      <c r="O383" s="1087"/>
    </row>
    <row r="384" spans="1:15" ht="14.1">
      <c r="A384" s="1048"/>
      <c r="B384" s="1060" t="s">
        <v>2124</v>
      </c>
      <c r="C384" s="1048"/>
      <c r="D384" s="1048"/>
      <c r="E384" s="1048"/>
      <c r="F384" s="1049"/>
      <c r="G384" s="1049"/>
      <c r="H384" s="1049"/>
      <c r="I384" s="1049"/>
      <c r="J384" s="1049"/>
      <c r="K384" s="1049"/>
      <c r="L384" s="1049"/>
      <c r="M384" s="1049"/>
      <c r="N384" s="1087"/>
      <c r="O384" s="1087"/>
    </row>
    <row r="385" spans="1:15" ht="14.1">
      <c r="A385" s="1046"/>
      <c r="B385" s="1050" t="s">
        <v>2093</v>
      </c>
      <c r="C385" s="1048">
        <v>1</v>
      </c>
      <c r="D385" s="1048" t="s">
        <v>1472</v>
      </c>
      <c r="E385" s="1048">
        <v>2</v>
      </c>
      <c r="F385" s="1049">
        <f>10.5*0.3048</f>
        <v>3.2004000000000001</v>
      </c>
      <c r="G385" s="1084">
        <v>1</v>
      </c>
      <c r="H385" s="1049">
        <v>2.9</v>
      </c>
      <c r="I385" s="1049">
        <f>ROUND(C385*E385*F385*G385*H385,2)</f>
        <v>18.559999999999999</v>
      </c>
      <c r="J385" s="1049"/>
      <c r="K385" s="1049"/>
      <c r="L385" s="1049"/>
      <c r="M385" s="1049"/>
      <c r="N385" s="1087"/>
      <c r="O385" s="1087"/>
    </row>
    <row r="386" spans="1:15" ht="14.1">
      <c r="A386" s="1046"/>
      <c r="B386" s="1050" t="s">
        <v>2094</v>
      </c>
      <c r="C386" s="1048">
        <v>1</v>
      </c>
      <c r="D386" s="1048" t="s">
        <v>1472</v>
      </c>
      <c r="E386" s="1048">
        <v>2</v>
      </c>
      <c r="F386" s="1049">
        <f>10*0.3048</f>
        <v>3.048</v>
      </c>
      <c r="G386" s="1084">
        <v>1</v>
      </c>
      <c r="H386" s="1049">
        <v>2.9</v>
      </c>
      <c r="I386" s="1049">
        <f>ROUND(C386*E386*F386*G386*H386,2)</f>
        <v>17.68</v>
      </c>
      <c r="J386" s="1049"/>
      <c r="K386" s="1049"/>
      <c r="L386" s="1049"/>
      <c r="M386" s="1049"/>
      <c r="N386" s="1087"/>
      <c r="O386" s="1087"/>
    </row>
    <row r="387" spans="1:15">
      <c r="A387" s="1048"/>
      <c r="B387" s="1061" t="s">
        <v>2125</v>
      </c>
      <c r="C387" s="1048">
        <v>1</v>
      </c>
      <c r="D387" s="1048" t="s">
        <v>1472</v>
      </c>
      <c r="E387" s="1048">
        <v>2</v>
      </c>
      <c r="F387" s="1049">
        <f>10.5*0.3048</f>
        <v>3.2004000000000001</v>
      </c>
      <c r="G387" s="1084">
        <v>1</v>
      </c>
      <c r="H387" s="1049">
        <v>2.1</v>
      </c>
      <c r="I387" s="1049">
        <f>ROUND(C387*E387*F387*G387*H387,2)</f>
        <v>13.44</v>
      </c>
      <c r="J387" s="1049"/>
      <c r="K387" s="1049"/>
      <c r="L387" s="1049"/>
      <c r="M387" s="1049"/>
      <c r="N387" s="1087"/>
      <c r="O387" s="1087"/>
    </row>
    <row r="388" spans="1:15">
      <c r="A388" s="1048"/>
      <c r="B388" s="1061" t="s">
        <v>2125</v>
      </c>
      <c r="C388" s="1048">
        <v>1</v>
      </c>
      <c r="D388" s="1048" t="s">
        <v>1472</v>
      </c>
      <c r="E388" s="1048">
        <v>2</v>
      </c>
      <c r="F388" s="1049">
        <v>3.42</v>
      </c>
      <c r="G388" s="1084">
        <v>1</v>
      </c>
      <c r="H388" s="1049">
        <v>2.1</v>
      </c>
      <c r="I388" s="1049">
        <f>ROUND(C388*E388*F388*G388*H388,2)</f>
        <v>14.36</v>
      </c>
      <c r="J388" s="1049"/>
      <c r="K388" s="1049"/>
      <c r="L388" s="1049"/>
      <c r="M388" s="1049"/>
      <c r="N388" s="1087"/>
      <c r="O388" s="1087"/>
    </row>
    <row r="389" spans="1:15" ht="14.1">
      <c r="A389" s="1048"/>
      <c r="B389" s="1060" t="s">
        <v>675</v>
      </c>
      <c r="C389" s="1048"/>
      <c r="D389" s="1048"/>
      <c r="E389" s="1048"/>
      <c r="F389" s="1049"/>
      <c r="G389" s="1049"/>
      <c r="H389" s="1049"/>
      <c r="I389" s="1049"/>
      <c r="J389" s="1049"/>
      <c r="K389" s="1049"/>
      <c r="L389" s="1049"/>
      <c r="M389" s="1049"/>
      <c r="N389" s="1087"/>
      <c r="O389" s="1087"/>
    </row>
    <row r="390" spans="1:15">
      <c r="A390" s="1048"/>
      <c r="B390" s="1061" t="s">
        <v>2126</v>
      </c>
      <c r="C390" s="1048">
        <v>1</v>
      </c>
      <c r="D390" s="1048" t="s">
        <v>1472</v>
      </c>
      <c r="E390" s="1048">
        <v>2</v>
      </c>
      <c r="F390" s="1049">
        <v>0.9</v>
      </c>
      <c r="G390" s="1084">
        <v>1</v>
      </c>
      <c r="H390" s="1049">
        <v>2.1</v>
      </c>
      <c r="I390" s="1049">
        <f>-ROUND(C390*E390*F390*G390*H390,2)</f>
        <v>-3.78</v>
      </c>
      <c r="J390" s="1049"/>
      <c r="K390" s="1049"/>
      <c r="L390" s="1049"/>
      <c r="M390" s="1049"/>
      <c r="N390" s="1087"/>
      <c r="O390" s="1087"/>
    </row>
    <row r="391" spans="1:15">
      <c r="A391" s="1048"/>
      <c r="B391" s="1061" t="s">
        <v>101</v>
      </c>
      <c r="C391" s="1048">
        <v>1</v>
      </c>
      <c r="D391" s="1048" t="s">
        <v>1472</v>
      </c>
      <c r="E391" s="1048">
        <v>2</v>
      </c>
      <c r="F391" s="1049">
        <v>0.75</v>
      </c>
      <c r="G391" s="1084">
        <v>1</v>
      </c>
      <c r="H391" s="1049">
        <v>2.1</v>
      </c>
      <c r="I391" s="1049">
        <f>-ROUND(C391*E391*F391*G391*H391,2)</f>
        <v>-3.15</v>
      </c>
      <c r="J391" s="1049"/>
      <c r="K391" s="1049"/>
      <c r="L391" s="1049"/>
      <c r="M391" s="1049"/>
      <c r="N391" s="1087"/>
      <c r="O391" s="1087"/>
    </row>
    <row r="392" spans="1:15">
      <c r="A392" s="1048"/>
      <c r="B392" s="1061" t="s">
        <v>2224</v>
      </c>
      <c r="C392" s="1048">
        <v>1</v>
      </c>
      <c r="D392" s="1048" t="s">
        <v>1472</v>
      </c>
      <c r="E392" s="1048">
        <v>2</v>
      </c>
      <c r="F392" s="1049">
        <v>0.75</v>
      </c>
      <c r="G392" s="1084">
        <v>1</v>
      </c>
      <c r="H392" s="1049">
        <v>0.3</v>
      </c>
      <c r="I392" s="1049">
        <f>-ROUND(C392*E392*F392*G392*H392,2)</f>
        <v>-0.45</v>
      </c>
      <c r="J392" s="1049"/>
      <c r="K392" s="1049"/>
      <c r="L392" s="1049"/>
      <c r="M392" s="1049"/>
      <c r="N392" s="1087"/>
      <c r="O392" s="1087"/>
    </row>
    <row r="393" spans="1:15" ht="14.1">
      <c r="A393" s="1046"/>
      <c r="B393" s="1065"/>
      <c r="C393" s="1048"/>
      <c r="D393" s="1048"/>
      <c r="E393" s="1048"/>
      <c r="F393" s="1049"/>
      <c r="G393" s="1049"/>
      <c r="H393" s="1049"/>
      <c r="I393" s="1049">
        <f>SUM(I371:I392)</f>
        <v>321.79000000000008</v>
      </c>
      <c r="J393" s="1049">
        <f>Datas!G892</f>
        <v>1206.3</v>
      </c>
      <c r="K393" s="1053">
        <f>ROUND(J393*I393/10,0)</f>
        <v>38818</v>
      </c>
      <c r="L393" s="1049"/>
      <c r="M393" s="1049"/>
      <c r="N393" s="1087"/>
      <c r="O393" s="1087"/>
    </row>
    <row r="394" spans="1:15" ht="14.1">
      <c r="A394" s="1046"/>
      <c r="B394" s="1071"/>
      <c r="C394" s="1086"/>
      <c r="D394" s="1086"/>
      <c r="E394" s="1086"/>
      <c r="F394" s="1049"/>
      <c r="G394" s="1086"/>
      <c r="H394" s="1086"/>
      <c r="I394" s="1097" t="s">
        <v>1478</v>
      </c>
      <c r="J394" s="1049" t="s">
        <v>37</v>
      </c>
      <c r="K394" s="1049"/>
      <c r="L394" s="1049"/>
      <c r="M394" s="1049"/>
      <c r="N394" s="1087"/>
      <c r="O394" s="1087"/>
    </row>
    <row r="395" spans="1:15" ht="107.25" customHeight="1">
      <c r="A395" s="1046">
        <v>34</v>
      </c>
      <c r="B395" s="2415" t="s">
        <v>2244</v>
      </c>
      <c r="C395" s="2416"/>
      <c r="D395" s="2416"/>
      <c r="E395" s="2416"/>
      <c r="F395" s="2416"/>
      <c r="G395" s="2416"/>
      <c r="H395" s="2416"/>
      <c r="I395" s="2417"/>
      <c r="J395" s="1049"/>
      <c r="K395" s="1049"/>
      <c r="L395" s="1049"/>
      <c r="M395" s="1049"/>
      <c r="N395" s="1087"/>
      <c r="O395" s="1087"/>
    </row>
    <row r="396" spans="1:15" ht="14.1">
      <c r="A396" s="1046"/>
      <c r="B396" s="1060" t="s">
        <v>2135</v>
      </c>
      <c r="C396" s="1082"/>
      <c r="D396" s="1082"/>
      <c r="E396" s="1082"/>
      <c r="F396" s="1083"/>
      <c r="G396" s="1083"/>
      <c r="H396" s="1083"/>
      <c r="I396" s="1083"/>
      <c r="J396" s="1049"/>
      <c r="K396" s="1049"/>
      <c r="L396" s="1049"/>
      <c r="M396" s="1049"/>
      <c r="N396" s="1087"/>
      <c r="O396" s="1087"/>
    </row>
    <row r="397" spans="1:15" ht="14.1">
      <c r="A397" s="1046"/>
      <c r="B397" s="1050" t="s">
        <v>2115</v>
      </c>
      <c r="C397" s="1048">
        <v>1</v>
      </c>
      <c r="D397" s="1048" t="s">
        <v>1472</v>
      </c>
      <c r="E397" s="1048">
        <v>2</v>
      </c>
      <c r="F397" s="1049">
        <f>60.75*0.3048</f>
        <v>18.5166</v>
      </c>
      <c r="G397" s="1084">
        <v>1</v>
      </c>
      <c r="H397" s="1049">
        <v>3.6</v>
      </c>
      <c r="I397" s="1049">
        <f>ROUND(C397*E397*F397*G397*H397,2)</f>
        <v>133.32</v>
      </c>
      <c r="J397" s="1049"/>
      <c r="K397" s="1049"/>
      <c r="L397" s="1049"/>
      <c r="M397" s="1049"/>
      <c r="N397" s="1087"/>
      <c r="O397" s="1087"/>
    </row>
    <row r="398" spans="1:15" ht="14.1">
      <c r="A398" s="1046"/>
      <c r="B398" s="1050" t="s">
        <v>2033</v>
      </c>
      <c r="C398" s="1048">
        <v>1</v>
      </c>
      <c r="D398" s="1048" t="s">
        <v>1472</v>
      </c>
      <c r="E398" s="1048">
        <v>2</v>
      </c>
      <c r="F398" s="1049">
        <f>31.5*0.3048</f>
        <v>9.6012000000000004</v>
      </c>
      <c r="G398" s="1084">
        <v>1</v>
      </c>
      <c r="H398" s="1164" t="s">
        <v>2286</v>
      </c>
      <c r="I398" s="1049">
        <f>ROUND(C398*E398*F398*G398*AVERAGE(3.6,5.5,3.6),2)</f>
        <v>81.290000000000006</v>
      </c>
      <c r="J398" s="1049"/>
      <c r="K398" s="1049"/>
      <c r="L398" s="1049"/>
      <c r="M398" s="1049"/>
      <c r="N398" s="1087"/>
      <c r="O398" s="1087"/>
    </row>
    <row r="399" spans="1:15" ht="14.1">
      <c r="A399" s="1046"/>
      <c r="B399" s="1060" t="s">
        <v>2136</v>
      </c>
      <c r="C399" s="1048"/>
      <c r="D399" s="1048"/>
      <c r="E399" s="1048"/>
      <c r="F399" s="1049"/>
      <c r="G399" s="1084"/>
      <c r="H399" s="1049"/>
      <c r="I399" s="1068"/>
      <c r="J399" s="1049"/>
      <c r="K399" s="1049"/>
      <c r="L399" s="1049"/>
      <c r="M399" s="1068"/>
      <c r="N399" s="1087"/>
      <c r="O399" s="1087"/>
    </row>
    <row r="400" spans="1:15" ht="14.1">
      <c r="A400" s="1046"/>
      <c r="B400" s="1050" t="s">
        <v>2093</v>
      </c>
      <c r="C400" s="1048">
        <v>1</v>
      </c>
      <c r="D400" s="1048" t="s">
        <v>1472</v>
      </c>
      <c r="E400" s="1048">
        <v>2</v>
      </c>
      <c r="F400" s="1049">
        <f>12*0.3048</f>
        <v>3.6576000000000004</v>
      </c>
      <c r="G400" s="1084">
        <v>1</v>
      </c>
      <c r="H400" s="1049">
        <v>2.4</v>
      </c>
      <c r="I400" s="1049">
        <f>ROUND(C400*E400*F400*G400*H400,2)</f>
        <v>17.559999999999999</v>
      </c>
      <c r="J400" s="1049"/>
      <c r="K400" s="1049"/>
      <c r="L400" s="1049"/>
      <c r="M400" s="1049"/>
      <c r="N400" s="1087"/>
      <c r="O400" s="1087"/>
    </row>
    <row r="401" spans="1:15" ht="14.1">
      <c r="A401" s="1046"/>
      <c r="B401" s="1050" t="s">
        <v>2094</v>
      </c>
      <c r="C401" s="1048">
        <v>1</v>
      </c>
      <c r="D401" s="1048" t="s">
        <v>1472</v>
      </c>
      <c r="E401" s="1048">
        <v>2</v>
      </c>
      <c r="F401" s="1049">
        <f>11.5*0.3048</f>
        <v>3.5052000000000003</v>
      </c>
      <c r="G401" s="1084">
        <v>1</v>
      </c>
      <c r="H401" s="1049">
        <v>2.4</v>
      </c>
      <c r="I401" s="1049">
        <f>ROUND(C401*E401*F401*G401*H401,2)</f>
        <v>16.82</v>
      </c>
      <c r="J401" s="1049"/>
      <c r="K401" s="1049"/>
      <c r="L401" s="1049"/>
      <c r="M401" s="1049"/>
      <c r="N401" s="1087"/>
      <c r="O401" s="1087"/>
    </row>
    <row r="402" spans="1:15" ht="14.1">
      <c r="A402" s="1046"/>
      <c r="B402" s="1061"/>
      <c r="C402" s="1048"/>
      <c r="D402" s="1048"/>
      <c r="E402" s="1048"/>
      <c r="F402" s="1049"/>
      <c r="G402" s="1049"/>
      <c r="H402" s="1049" t="s">
        <v>982</v>
      </c>
      <c r="I402" s="1052">
        <f>SUM(I397:I401)</f>
        <v>248.99</v>
      </c>
      <c r="J402" s="1049">
        <f>Datas!G983</f>
        <v>2032.3400000000001</v>
      </c>
      <c r="K402" s="1053">
        <f>ROUND(J402*I402/10,0)</f>
        <v>50603</v>
      </c>
      <c r="L402" s="1049">
        <f>0.12*9+1.1*8</f>
        <v>9.8800000000000008</v>
      </c>
      <c r="M402" s="1055">
        <f>L402*I402</f>
        <v>2460.0212000000001</v>
      </c>
      <c r="N402" s="1087"/>
      <c r="O402" s="1087"/>
    </row>
    <row r="403" spans="1:15" ht="14.1">
      <c r="A403" s="1046"/>
      <c r="B403" s="1060"/>
      <c r="C403" s="1048"/>
      <c r="D403" s="1048"/>
      <c r="E403" s="1048"/>
      <c r="F403" s="1049"/>
      <c r="G403" s="1049"/>
      <c r="H403" s="1049"/>
      <c r="I403" s="1053" t="s">
        <v>1478</v>
      </c>
      <c r="J403" s="1049" t="s">
        <v>37</v>
      </c>
      <c r="K403" s="1053"/>
      <c r="L403" s="1049"/>
      <c r="M403" s="1049"/>
      <c r="N403" s="1087"/>
      <c r="O403" s="1087"/>
    </row>
    <row r="404" spans="1:15" ht="48.75" customHeight="1">
      <c r="A404" s="1046">
        <v>35</v>
      </c>
      <c r="B404" s="2428" t="s">
        <v>2180</v>
      </c>
      <c r="C404" s="2429"/>
      <c r="D404" s="2429"/>
      <c r="E404" s="2429"/>
      <c r="F404" s="2429"/>
      <c r="G404" s="2429"/>
      <c r="H404" s="2429"/>
      <c r="I404" s="2430"/>
      <c r="J404" s="1049"/>
      <c r="K404" s="1049"/>
      <c r="L404" s="1049"/>
      <c r="M404" s="1049"/>
      <c r="N404" s="1087"/>
      <c r="O404" s="1087"/>
    </row>
    <row r="405" spans="1:15">
      <c r="A405" s="1048"/>
      <c r="B405" s="1061" t="s">
        <v>2242</v>
      </c>
      <c r="C405" s="1048">
        <v>1</v>
      </c>
      <c r="D405" s="1048" t="s">
        <v>1472</v>
      </c>
      <c r="E405" s="1048">
        <v>1</v>
      </c>
      <c r="F405" s="1049">
        <v>2.25</v>
      </c>
      <c r="G405" s="1049">
        <v>1.8</v>
      </c>
      <c r="H405" s="1049">
        <v>2.4</v>
      </c>
      <c r="I405" s="1049">
        <f>ROUND(C405*E405*F405*G405*H405,2)</f>
        <v>9.7200000000000006</v>
      </c>
      <c r="J405" s="1049"/>
      <c r="K405" s="1049"/>
      <c r="L405" s="1049"/>
      <c r="M405" s="1049"/>
      <c r="N405" s="1087"/>
      <c r="O405" s="1087"/>
    </row>
    <row r="406" spans="1:15">
      <c r="A406" s="1048"/>
      <c r="B406" s="1061" t="s">
        <v>2181</v>
      </c>
      <c r="C406" s="1048">
        <v>1</v>
      </c>
      <c r="D406" s="1048" t="s">
        <v>1472</v>
      </c>
      <c r="E406" s="1048">
        <v>2</v>
      </c>
      <c r="F406" s="1049">
        <v>2.25</v>
      </c>
      <c r="G406" s="1049">
        <v>1.5</v>
      </c>
      <c r="H406" s="1049">
        <v>2.4</v>
      </c>
      <c r="I406" s="1049">
        <f>ROUND(C406*E406*F406*G406*H406,2)</f>
        <v>16.2</v>
      </c>
      <c r="J406" s="1049"/>
      <c r="K406" s="1049"/>
      <c r="L406" s="1049"/>
      <c r="M406" s="1049"/>
      <c r="N406" s="1087"/>
      <c r="O406" s="1087"/>
    </row>
    <row r="407" spans="1:15">
      <c r="A407" s="1048"/>
      <c r="B407" s="1061" t="s">
        <v>981</v>
      </c>
      <c r="C407" s="1048">
        <v>1</v>
      </c>
      <c r="D407" s="1048" t="s">
        <v>1472</v>
      </c>
      <c r="E407" s="1048">
        <v>2</v>
      </c>
      <c r="F407" s="1049">
        <v>2.25</v>
      </c>
      <c r="G407" s="1049">
        <v>0.9</v>
      </c>
      <c r="H407" s="1049">
        <v>2.1</v>
      </c>
      <c r="I407" s="1049">
        <f>ROUND(C407*E407*F407*G407*H407,2)</f>
        <v>8.51</v>
      </c>
      <c r="J407" s="1049"/>
      <c r="K407" s="1049"/>
      <c r="L407" s="1049"/>
      <c r="M407" s="1049"/>
      <c r="N407" s="1087"/>
      <c r="O407" s="1087"/>
    </row>
    <row r="408" spans="1:15">
      <c r="A408" s="1048"/>
      <c r="B408" s="1061" t="s">
        <v>2182</v>
      </c>
      <c r="C408" s="1048">
        <v>1</v>
      </c>
      <c r="D408" s="1048" t="s">
        <v>1472</v>
      </c>
      <c r="E408" s="1048">
        <v>2</v>
      </c>
      <c r="F408" s="1049">
        <v>2.25</v>
      </c>
      <c r="G408" s="1049">
        <v>0.75</v>
      </c>
      <c r="H408" s="1049">
        <v>2.1</v>
      </c>
      <c r="I408" s="1049">
        <f>ROUND(C408*E408*F408*G408*H408,2)</f>
        <v>7.09</v>
      </c>
      <c r="J408" s="1049"/>
      <c r="K408" s="1049"/>
      <c r="L408" s="1049"/>
      <c r="M408" s="1049"/>
      <c r="N408" s="1087"/>
      <c r="O408" s="1087"/>
    </row>
    <row r="409" spans="1:15">
      <c r="A409" s="1048"/>
      <c r="B409" s="1061" t="s">
        <v>2117</v>
      </c>
      <c r="C409" s="1048">
        <v>1</v>
      </c>
      <c r="D409" s="1048" t="s">
        <v>1472</v>
      </c>
      <c r="E409" s="1048">
        <v>4</v>
      </c>
      <c r="F409" s="1049">
        <v>2.75</v>
      </c>
      <c r="G409" s="1049">
        <v>1.5</v>
      </c>
      <c r="H409" s="1049">
        <v>1.2</v>
      </c>
      <c r="I409" s="1049">
        <f>ROUND(C409*E409*F409*G409*H409,2)</f>
        <v>19.8</v>
      </c>
      <c r="J409" s="1049"/>
      <c r="K409" s="1049"/>
      <c r="L409" s="1049"/>
      <c r="M409" s="1049"/>
      <c r="N409" s="1087"/>
      <c r="O409" s="1087"/>
    </row>
    <row r="410" spans="1:15" ht="14.1">
      <c r="A410" s="1046"/>
      <c r="B410" s="1061"/>
      <c r="C410" s="1048"/>
      <c r="D410" s="1048"/>
      <c r="E410" s="1048"/>
      <c r="F410" s="1049"/>
      <c r="G410" s="1049"/>
      <c r="H410" s="1049"/>
      <c r="I410" s="1049">
        <f>SUM(I405:I409)</f>
        <v>61.319999999999993</v>
      </c>
      <c r="J410" s="1049"/>
      <c r="K410" s="1049"/>
      <c r="L410" s="1049"/>
      <c r="M410" s="1049"/>
      <c r="N410" s="1087"/>
      <c r="O410" s="1087"/>
    </row>
    <row r="411" spans="1:15" ht="14.1">
      <c r="A411" s="1046"/>
      <c r="B411" s="1060"/>
      <c r="C411" s="1048"/>
      <c r="D411" s="1048"/>
      <c r="E411" s="1048"/>
      <c r="F411" s="1049"/>
      <c r="G411" s="1049"/>
      <c r="H411" s="1049" t="s">
        <v>471</v>
      </c>
      <c r="I411" s="1053">
        <f>CEILING(I410,0.05)</f>
        <v>61.35</v>
      </c>
      <c r="J411" s="1049">
        <f>Datas!G925</f>
        <v>113.67999999999999</v>
      </c>
      <c r="K411" s="1053">
        <f>ROUND(J411*I411/10,0)</f>
        <v>697</v>
      </c>
      <c r="L411" s="1049"/>
      <c r="M411" s="1049"/>
      <c r="N411" s="1087"/>
      <c r="O411" s="1087"/>
    </row>
    <row r="412" spans="1:15" ht="14.1">
      <c r="A412" s="1046"/>
      <c r="B412" s="1060"/>
      <c r="C412" s="1048"/>
      <c r="D412" s="1048"/>
      <c r="E412" s="1048"/>
      <c r="F412" s="1049"/>
      <c r="G412" s="1049"/>
      <c r="H412" s="1049"/>
      <c r="I412" s="1053" t="s">
        <v>1478</v>
      </c>
      <c r="J412" s="1049" t="s">
        <v>37</v>
      </c>
      <c r="K412" s="1053"/>
      <c r="L412" s="1049"/>
      <c r="M412" s="1049"/>
      <c r="N412" s="1087"/>
      <c r="O412" s="1087"/>
    </row>
    <row r="413" spans="1:15" ht="138" customHeight="1">
      <c r="A413" s="1046">
        <v>36</v>
      </c>
      <c r="B413" s="2415" t="s">
        <v>0</v>
      </c>
      <c r="C413" s="2416"/>
      <c r="D413" s="2416"/>
      <c r="E413" s="2416"/>
      <c r="F413" s="2416"/>
      <c r="G413" s="2416"/>
      <c r="H413" s="2416"/>
      <c r="I413" s="2417"/>
      <c r="J413" s="1049"/>
      <c r="K413" s="1049"/>
      <c r="L413" s="1049"/>
      <c r="M413" s="1049"/>
      <c r="N413" s="1087"/>
      <c r="O413" s="1087"/>
    </row>
    <row r="414" spans="1:15" ht="20.25" customHeight="1">
      <c r="A414" s="1046"/>
      <c r="B414" s="1060" t="s">
        <v>2050</v>
      </c>
      <c r="C414" s="1048"/>
      <c r="D414" s="1048"/>
      <c r="E414" s="1048"/>
      <c r="F414" s="1049"/>
      <c r="G414" s="1049"/>
      <c r="H414" s="1049"/>
      <c r="I414" s="1053">
        <v>1.6</v>
      </c>
      <c r="J414" s="1049">
        <f>Datas!$G$584</f>
        <v>77799</v>
      </c>
      <c r="K414" s="1053">
        <f>ROUND(J414*I414,0)</f>
        <v>124478</v>
      </c>
      <c r="L414" s="1049"/>
      <c r="M414" s="1049"/>
      <c r="N414" s="1087"/>
      <c r="O414" s="1087"/>
    </row>
    <row r="415" spans="1:15" ht="20.25" customHeight="1">
      <c r="A415" s="1046"/>
      <c r="B415" s="1060"/>
      <c r="C415" s="1048"/>
      <c r="D415" s="1048"/>
      <c r="E415" s="1048"/>
      <c r="F415" s="1049"/>
      <c r="G415" s="1049"/>
      <c r="H415" s="1049"/>
      <c r="I415" s="1053" t="s">
        <v>205</v>
      </c>
      <c r="J415" s="1049" t="s">
        <v>206</v>
      </c>
      <c r="K415" s="1053"/>
      <c r="L415" s="1049"/>
      <c r="M415" s="1049"/>
      <c r="N415" s="1087"/>
      <c r="O415" s="1087"/>
    </row>
    <row r="416" spans="1:15" s="1055" customFormat="1" ht="26.25" customHeight="1">
      <c r="A416" s="1030"/>
      <c r="B416" s="2431" t="s">
        <v>1165</v>
      </c>
      <c r="C416" s="2431"/>
      <c r="D416" s="2431"/>
      <c r="E416" s="2431"/>
      <c r="F416" s="2431"/>
      <c r="G416" s="2431"/>
      <c r="H416" s="2431"/>
      <c r="I416" s="2431"/>
      <c r="J416" s="1098"/>
      <c r="K416" s="1029"/>
      <c r="L416" s="1029"/>
      <c r="N416" s="1087"/>
      <c r="O416" s="1087"/>
    </row>
    <row r="417" spans="1:15" s="1055" customFormat="1" ht="66" customHeight="1">
      <c r="A417" s="1046">
        <v>35</v>
      </c>
      <c r="B417" s="2415" t="s">
        <v>1</v>
      </c>
      <c r="C417" s="2416"/>
      <c r="D417" s="2416"/>
      <c r="E417" s="2416"/>
      <c r="F417" s="2416"/>
      <c r="G417" s="2416"/>
      <c r="H417" s="2416"/>
      <c r="I417" s="2417"/>
      <c r="J417" s="1098"/>
      <c r="K417" s="1029"/>
      <c r="L417" s="1029"/>
      <c r="N417" s="1087"/>
      <c r="O417" s="1087"/>
    </row>
    <row r="418" spans="1:15" s="1055" customFormat="1" ht="14.1">
      <c r="A418" s="1046"/>
      <c r="B418" s="1076"/>
      <c r="C418" s="1076"/>
      <c r="D418" s="1076"/>
      <c r="E418" s="1098"/>
      <c r="F418" s="1099"/>
      <c r="G418" s="1099"/>
      <c r="H418" s="1100"/>
      <c r="I418" s="1099">
        <v>80</v>
      </c>
      <c r="J418" s="1049">
        <f>'data-Elec '!$H$60</f>
        <v>111.43</v>
      </c>
      <c r="K418" s="1053">
        <f>ROUND(J418*I418,0)</f>
        <v>8914</v>
      </c>
      <c r="L418" s="1029"/>
      <c r="N418" s="1087"/>
      <c r="O418" s="1087"/>
    </row>
    <row r="419" spans="1:15" s="1055" customFormat="1" ht="18.75" customHeight="1">
      <c r="A419" s="1046"/>
      <c r="B419" s="1076"/>
      <c r="C419" s="1076"/>
      <c r="D419" s="1076"/>
      <c r="E419" s="1098"/>
      <c r="F419" s="1099"/>
      <c r="G419" s="1099"/>
      <c r="H419" s="1100"/>
      <c r="I419" s="1099" t="s">
        <v>495</v>
      </c>
      <c r="J419" s="1049" t="s">
        <v>453</v>
      </c>
      <c r="K419" s="1053"/>
      <c r="L419" s="1029"/>
      <c r="N419" s="1147"/>
      <c r="O419" s="1147"/>
    </row>
    <row r="420" spans="1:15" s="1055" customFormat="1" ht="42" customHeight="1">
      <c r="A420" s="1046">
        <v>38</v>
      </c>
      <c r="B420" s="2415" t="s">
        <v>1245</v>
      </c>
      <c r="C420" s="2416"/>
      <c r="D420" s="2416"/>
      <c r="E420" s="2416"/>
      <c r="F420" s="2416"/>
      <c r="G420" s="2416"/>
      <c r="H420" s="2416"/>
      <c r="I420" s="2417"/>
      <c r="J420" s="1098"/>
      <c r="K420" s="1029"/>
      <c r="L420" s="1029"/>
      <c r="N420" s="1147"/>
      <c r="O420" s="1147"/>
    </row>
    <row r="421" spans="1:15" s="1055" customFormat="1" ht="14.1">
      <c r="A421" s="1046"/>
      <c r="B421" s="1076"/>
      <c r="C421" s="1076">
        <v>1</v>
      </c>
      <c r="D421" s="1076" t="s">
        <v>1472</v>
      </c>
      <c r="E421" s="1098">
        <v>1</v>
      </c>
      <c r="F421" s="1099">
        <v>4</v>
      </c>
      <c r="G421" s="1099"/>
      <c r="H421" s="1100"/>
      <c r="I421" s="1099">
        <v>30</v>
      </c>
      <c r="J421" s="1049">
        <f>'data-Elec '!$H$92</f>
        <v>554.66999999999996</v>
      </c>
      <c r="K421" s="1053">
        <f>ROUND(J421*I421,0)</f>
        <v>16640</v>
      </c>
      <c r="L421" s="1029"/>
      <c r="N421" s="1147"/>
      <c r="O421" s="1147"/>
    </row>
    <row r="422" spans="1:15" s="1055" customFormat="1" ht="18.75" customHeight="1">
      <c r="A422" s="1046"/>
      <c r="B422" s="1076"/>
      <c r="C422" s="1076"/>
      <c r="D422" s="1076"/>
      <c r="E422" s="1098"/>
      <c r="F422" s="1099"/>
      <c r="G422" s="1099"/>
      <c r="H422" s="1100"/>
      <c r="I422" s="1099" t="s">
        <v>1164</v>
      </c>
      <c r="J422" s="1049" t="s">
        <v>3</v>
      </c>
      <c r="K422" s="1053"/>
      <c r="L422" s="1029"/>
      <c r="N422" s="1147"/>
      <c r="O422" s="1147"/>
    </row>
    <row r="423" spans="1:15" s="1055" customFormat="1" ht="50.25" customHeight="1">
      <c r="A423" s="1046">
        <v>39</v>
      </c>
      <c r="B423" s="2415" t="s">
        <v>1248</v>
      </c>
      <c r="C423" s="2416"/>
      <c r="D423" s="2416"/>
      <c r="E423" s="2416"/>
      <c r="F423" s="2416"/>
      <c r="G423" s="2416"/>
      <c r="H423" s="2416"/>
      <c r="I423" s="2417"/>
      <c r="J423" s="1101"/>
      <c r="K423" s="1029"/>
      <c r="L423" s="1029"/>
      <c r="N423" s="1147"/>
      <c r="O423" s="1147"/>
    </row>
    <row r="424" spans="1:15" s="1055" customFormat="1" ht="14.1">
      <c r="A424" s="1046"/>
      <c r="B424" s="1076" t="s">
        <v>199</v>
      </c>
      <c r="C424" s="1076">
        <v>1</v>
      </c>
      <c r="D424" s="1076" t="s">
        <v>1472</v>
      </c>
      <c r="E424" s="1098">
        <v>1</v>
      </c>
      <c r="F424" s="1099">
        <v>10</v>
      </c>
      <c r="G424" s="1099"/>
      <c r="H424" s="1100"/>
      <c r="I424" s="1099">
        <v>200</v>
      </c>
      <c r="J424" s="1049">
        <f>'data-Elec '!$H$136</f>
        <v>60.25</v>
      </c>
      <c r="K424" s="1053">
        <f>ROUND(J424*I424,0)</f>
        <v>12050</v>
      </c>
      <c r="L424" s="1029"/>
      <c r="N424" s="1147"/>
      <c r="O424" s="1147"/>
    </row>
    <row r="425" spans="1:15" s="1055" customFormat="1" ht="14.1">
      <c r="A425" s="1046"/>
      <c r="B425" s="1076"/>
      <c r="C425" s="1076"/>
      <c r="D425" s="1076"/>
      <c r="E425" s="1098"/>
      <c r="F425" s="1099"/>
      <c r="G425" s="1099"/>
      <c r="H425" s="1100"/>
      <c r="I425" s="1099" t="s">
        <v>495</v>
      </c>
      <c r="J425" s="1049" t="s">
        <v>5</v>
      </c>
      <c r="K425" s="1053"/>
      <c r="L425" s="1029"/>
      <c r="N425" s="1147"/>
      <c r="O425" s="1147"/>
    </row>
    <row r="426" spans="1:15" s="1055" customFormat="1" ht="14.1">
      <c r="A426" s="1046"/>
      <c r="B426" s="1076" t="s">
        <v>200</v>
      </c>
      <c r="C426" s="1076">
        <v>1</v>
      </c>
      <c r="D426" s="1076" t="s">
        <v>1472</v>
      </c>
      <c r="E426" s="1098">
        <v>1</v>
      </c>
      <c r="F426" s="1099">
        <v>10</v>
      </c>
      <c r="G426" s="1099"/>
      <c r="H426" s="1100"/>
      <c r="I426" s="1099">
        <v>200</v>
      </c>
      <c r="J426" s="1049">
        <f>'data-Elec '!$H$149</f>
        <v>100.55</v>
      </c>
      <c r="K426" s="1053">
        <f>ROUND(J426*I426,0)</f>
        <v>20110</v>
      </c>
      <c r="L426" s="1029"/>
      <c r="N426" s="1147"/>
      <c r="O426" s="1147"/>
    </row>
    <row r="427" spans="1:15" s="1055" customFormat="1" ht="14.1">
      <c r="A427" s="1046"/>
      <c r="B427" s="1076"/>
      <c r="C427" s="1076"/>
      <c r="D427" s="1076"/>
      <c r="E427" s="1098"/>
      <c r="F427" s="1099"/>
      <c r="G427" s="1099"/>
      <c r="H427" s="1100"/>
      <c r="I427" s="1099" t="s">
        <v>495</v>
      </c>
      <c r="J427" s="1049" t="s">
        <v>5</v>
      </c>
      <c r="K427" s="1053"/>
      <c r="L427" s="1029"/>
      <c r="N427" s="1147"/>
      <c r="O427" s="1147"/>
    </row>
    <row r="428" spans="1:15" s="1055" customFormat="1" ht="69.75" customHeight="1">
      <c r="A428" s="1046">
        <v>40</v>
      </c>
      <c r="B428" s="2415" t="s">
        <v>48</v>
      </c>
      <c r="C428" s="2416"/>
      <c r="D428" s="2416"/>
      <c r="E428" s="2416"/>
      <c r="F428" s="2416"/>
      <c r="G428" s="2416"/>
      <c r="H428" s="2416"/>
      <c r="I428" s="2417"/>
      <c r="J428" s="1098"/>
      <c r="K428" s="1029"/>
      <c r="L428" s="1029"/>
      <c r="N428" s="1147"/>
      <c r="O428" s="1147"/>
    </row>
    <row r="429" spans="1:15" s="1055" customFormat="1" ht="18" customHeight="1">
      <c r="A429" s="1046"/>
      <c r="B429" s="1076"/>
      <c r="C429" s="1076">
        <v>1</v>
      </c>
      <c r="D429" s="1076" t="s">
        <v>1472</v>
      </c>
      <c r="E429" s="1098">
        <v>1</v>
      </c>
      <c r="F429" s="1099">
        <v>1</v>
      </c>
      <c r="G429" s="1099"/>
      <c r="H429" s="1100"/>
      <c r="I429" s="1099">
        <f>F429</f>
        <v>1</v>
      </c>
      <c r="J429" s="1049">
        <f>'data-Elec '!$H$438</f>
        <v>4622.5</v>
      </c>
      <c r="K429" s="1053">
        <f>ROUND(J429*I429,0)</f>
        <v>4623</v>
      </c>
      <c r="L429" s="1029"/>
      <c r="N429" s="1147"/>
      <c r="O429" s="1147"/>
    </row>
    <row r="430" spans="1:15" s="1055" customFormat="1" ht="18" customHeight="1">
      <c r="A430" s="1046"/>
      <c r="B430" s="1076"/>
      <c r="C430" s="1076"/>
      <c r="D430" s="1076"/>
      <c r="E430" s="1098"/>
      <c r="F430" s="1099"/>
      <c r="G430" s="1099"/>
      <c r="H430" s="1100"/>
      <c r="I430" s="1099" t="s">
        <v>857</v>
      </c>
      <c r="J430" s="1049" t="s">
        <v>4</v>
      </c>
      <c r="K430" s="1053"/>
      <c r="L430" s="1029"/>
      <c r="N430" s="1147"/>
      <c r="O430" s="1147"/>
    </row>
    <row r="431" spans="1:15" s="1055" customFormat="1" ht="34.5" customHeight="1">
      <c r="A431" s="1046">
        <v>41</v>
      </c>
      <c r="B431" s="2415" t="s">
        <v>865</v>
      </c>
      <c r="C431" s="2416"/>
      <c r="D431" s="2416"/>
      <c r="E431" s="2416"/>
      <c r="F431" s="2416"/>
      <c r="G431" s="2416"/>
      <c r="H431" s="2416"/>
      <c r="I431" s="2417"/>
      <c r="J431" s="1076"/>
      <c r="K431" s="1031"/>
      <c r="L431" s="1029"/>
      <c r="N431" s="1147"/>
      <c r="O431" s="1147"/>
    </row>
    <row r="432" spans="1:15" s="1055" customFormat="1" ht="17.25" customHeight="1">
      <c r="A432" s="1046"/>
      <c r="B432" s="1076" t="s">
        <v>451</v>
      </c>
      <c r="C432" s="1076">
        <v>1</v>
      </c>
      <c r="D432" s="1076" t="s">
        <v>1472</v>
      </c>
      <c r="E432" s="1102">
        <v>1</v>
      </c>
      <c r="F432" s="1099"/>
      <c r="G432" s="1099"/>
      <c r="H432" s="1100"/>
      <c r="I432" s="1103">
        <v>16</v>
      </c>
      <c r="J432" s="1049">
        <f>'data-Elec '!H407</f>
        <v>485.96</v>
      </c>
      <c r="K432" s="1053">
        <f>ROUND(J432*I432,0)</f>
        <v>7775</v>
      </c>
      <c r="L432" s="1029"/>
      <c r="N432" s="1147"/>
      <c r="O432" s="1147"/>
    </row>
    <row r="433" spans="1:18" s="1055" customFormat="1" ht="17.25" customHeight="1">
      <c r="A433" s="1046"/>
      <c r="B433" s="1076"/>
      <c r="C433" s="1076"/>
      <c r="D433" s="1076"/>
      <c r="E433" s="1102"/>
      <c r="F433" s="1099"/>
      <c r="G433" s="1099"/>
      <c r="H433" s="1100"/>
      <c r="I433" s="1103" t="s">
        <v>472</v>
      </c>
      <c r="J433" s="1049" t="s">
        <v>4</v>
      </c>
      <c r="K433" s="1053"/>
      <c r="L433" s="1029"/>
      <c r="N433" s="1147"/>
      <c r="O433" s="1147"/>
    </row>
    <row r="434" spans="1:18" s="1055" customFormat="1" ht="24.75" customHeight="1">
      <c r="A434" s="1046">
        <v>42</v>
      </c>
      <c r="B434" s="2415" t="s">
        <v>2183</v>
      </c>
      <c r="C434" s="2416"/>
      <c r="D434" s="2416"/>
      <c r="E434" s="2416"/>
      <c r="F434" s="2416"/>
      <c r="G434" s="2416"/>
      <c r="H434" s="2416"/>
      <c r="I434" s="2417"/>
      <c r="J434" s="1076"/>
      <c r="K434" s="1031"/>
      <c r="L434" s="1029"/>
      <c r="N434" s="1147"/>
      <c r="O434" s="1147"/>
    </row>
    <row r="435" spans="1:18" s="1055" customFormat="1" ht="17.25" customHeight="1">
      <c r="A435" s="1046"/>
      <c r="B435" s="1076"/>
      <c r="C435" s="1076">
        <v>1</v>
      </c>
      <c r="D435" s="1076" t="s">
        <v>1472</v>
      </c>
      <c r="E435" s="1102">
        <v>1</v>
      </c>
      <c r="F435" s="1099"/>
      <c r="G435" s="1099"/>
      <c r="H435" s="1100"/>
      <c r="I435" s="1103">
        <v>16</v>
      </c>
      <c r="J435" s="1049">
        <v>2200</v>
      </c>
      <c r="K435" s="1053">
        <f>ROUND(J435*I435,0)</f>
        <v>35200</v>
      </c>
      <c r="L435" s="1029"/>
      <c r="N435" s="1147"/>
      <c r="O435" s="1147"/>
    </row>
    <row r="436" spans="1:18" s="1055" customFormat="1" ht="17.25" customHeight="1">
      <c r="A436" s="1046"/>
      <c r="B436" s="1076"/>
      <c r="C436" s="1076"/>
      <c r="D436" s="1076"/>
      <c r="E436" s="1102"/>
      <c r="F436" s="1099"/>
      <c r="G436" s="1099"/>
      <c r="H436" s="1100"/>
      <c r="I436" s="1103" t="s">
        <v>472</v>
      </c>
      <c r="J436" s="1049" t="s">
        <v>4</v>
      </c>
      <c r="K436" s="1053"/>
      <c r="L436" s="1029"/>
      <c r="N436" s="1147"/>
      <c r="O436" s="1147"/>
    </row>
    <row r="437" spans="1:18" s="1055" customFormat="1" ht="71.25" customHeight="1">
      <c r="A437" s="1046">
        <v>43</v>
      </c>
      <c r="B437" s="2415" t="s">
        <v>1386</v>
      </c>
      <c r="C437" s="2416"/>
      <c r="D437" s="2416"/>
      <c r="E437" s="2416"/>
      <c r="F437" s="2416"/>
      <c r="G437" s="2416"/>
      <c r="H437" s="2416"/>
      <c r="I437" s="2417"/>
      <c r="J437" s="1076"/>
      <c r="K437" s="1031"/>
      <c r="L437" s="1029"/>
      <c r="N437" s="1147"/>
      <c r="O437" s="1147"/>
    </row>
    <row r="438" spans="1:18" s="1055" customFormat="1" ht="17.25" customHeight="1">
      <c r="A438" s="1046"/>
      <c r="B438" s="1076"/>
      <c r="C438" s="1076">
        <v>1</v>
      </c>
      <c r="D438" s="1076" t="s">
        <v>1472</v>
      </c>
      <c r="E438" s="1102">
        <v>1</v>
      </c>
      <c r="F438" s="1099"/>
      <c r="G438" s="1099"/>
      <c r="H438" s="1100"/>
      <c r="I438" s="1103">
        <v>1</v>
      </c>
      <c r="J438" s="1049">
        <f>'data-Elec '!H458</f>
        <v>4910.21</v>
      </c>
      <c r="K438" s="1053">
        <f>ROUND(J438*I438,0)</f>
        <v>4910</v>
      </c>
      <c r="L438" s="1029"/>
      <c r="N438" s="1147"/>
      <c r="O438" s="1147"/>
    </row>
    <row r="439" spans="1:18" s="1055" customFormat="1" ht="17.25" customHeight="1">
      <c r="A439" s="1046"/>
      <c r="B439" s="1076"/>
      <c r="C439" s="1076"/>
      <c r="D439" s="1076"/>
      <c r="E439" s="1102"/>
      <c r="F439" s="1099"/>
      <c r="G439" s="1099"/>
      <c r="H439" s="1100"/>
      <c r="I439" s="1103" t="s">
        <v>472</v>
      </c>
      <c r="J439" s="1049" t="s">
        <v>4</v>
      </c>
      <c r="K439" s="1053"/>
      <c r="L439" s="1029"/>
      <c r="N439" s="1147"/>
      <c r="O439" s="1147"/>
    </row>
    <row r="440" spans="1:18" s="1055" customFormat="1" ht="42" customHeight="1">
      <c r="A440" s="1046">
        <v>44</v>
      </c>
      <c r="B440" s="2415" t="s">
        <v>1147</v>
      </c>
      <c r="C440" s="2416"/>
      <c r="D440" s="2416"/>
      <c r="E440" s="2416"/>
      <c r="F440" s="2416"/>
      <c r="G440" s="2416"/>
      <c r="H440" s="2416"/>
      <c r="I440" s="2417"/>
      <c r="J440" s="1076"/>
      <c r="K440" s="1031"/>
      <c r="L440" s="1029"/>
      <c r="N440" s="1147"/>
      <c r="O440" s="1147"/>
    </row>
    <row r="441" spans="1:18" s="1055" customFormat="1" ht="17.25" customHeight="1">
      <c r="A441" s="1046"/>
      <c r="B441" s="1076"/>
      <c r="C441" s="1076">
        <v>1</v>
      </c>
      <c r="D441" s="1076" t="s">
        <v>1472</v>
      </c>
      <c r="E441" s="1102">
        <v>1</v>
      </c>
      <c r="F441" s="1099"/>
      <c r="G441" s="1099"/>
      <c r="H441" s="1100"/>
      <c r="I441" s="1103">
        <v>1</v>
      </c>
      <c r="J441" s="1049">
        <f>'data-Elec '!H381</f>
        <v>5291.56</v>
      </c>
      <c r="K441" s="1053">
        <f>ROUND(J441*I441,0)</f>
        <v>5292</v>
      </c>
      <c r="L441" s="1029"/>
      <c r="N441" s="1147"/>
      <c r="O441" s="1147"/>
    </row>
    <row r="442" spans="1:18" s="1055" customFormat="1" ht="17.25" customHeight="1">
      <c r="A442" s="1046"/>
      <c r="B442" s="1076"/>
      <c r="C442" s="1076"/>
      <c r="D442" s="1076"/>
      <c r="E442" s="1102"/>
      <c r="F442" s="1099"/>
      <c r="G442" s="1099"/>
      <c r="H442" s="1100"/>
      <c r="I442" s="1103" t="s">
        <v>472</v>
      </c>
      <c r="J442" s="1049" t="s">
        <v>4</v>
      </c>
      <c r="K442" s="1053"/>
      <c r="L442" s="1029"/>
      <c r="N442" s="1147"/>
      <c r="O442" s="1147"/>
    </row>
    <row r="443" spans="1:18" s="1107" customFormat="1" ht="27.75" customHeight="1">
      <c r="A443" s="1104"/>
      <c r="B443" s="2411" t="s">
        <v>1163</v>
      </c>
      <c r="C443" s="2411"/>
      <c r="D443" s="2411"/>
      <c r="E443" s="2411"/>
      <c r="F443" s="2411"/>
      <c r="G443" s="2411"/>
      <c r="H443" s="2411"/>
      <c r="I443" s="1105"/>
      <c r="J443" s="1106"/>
      <c r="K443" s="1032"/>
      <c r="L443" s="1032"/>
      <c r="N443" s="1147"/>
      <c r="O443" s="1147"/>
    </row>
    <row r="444" spans="1:18" s="1107" customFormat="1" ht="48" customHeight="1">
      <c r="A444" s="1104">
        <v>45</v>
      </c>
      <c r="B444" s="2408" t="s">
        <v>211</v>
      </c>
      <c r="C444" s="2409"/>
      <c r="D444" s="2409"/>
      <c r="E444" s="2409"/>
      <c r="F444" s="2409"/>
      <c r="G444" s="2409"/>
      <c r="H444" s="2409"/>
      <c r="I444" s="2410"/>
      <c r="J444" s="1109"/>
      <c r="K444" s="1032"/>
      <c r="L444" s="1032"/>
      <c r="M444" s="1110"/>
      <c r="N444" s="1147"/>
      <c r="O444" s="1147"/>
      <c r="P444" s="1110"/>
      <c r="Q444" s="1111"/>
      <c r="R444" s="1110"/>
    </row>
    <row r="445" spans="1:18" s="1107" customFormat="1" ht="14.1">
      <c r="A445" s="1104"/>
      <c r="B445" s="1112"/>
      <c r="C445" s="1106">
        <v>1</v>
      </c>
      <c r="D445" s="1112" t="s">
        <v>1472</v>
      </c>
      <c r="E445" s="1106">
        <v>1</v>
      </c>
      <c r="F445" s="1113">
        <v>1</v>
      </c>
      <c r="G445" s="1113"/>
      <c r="H445" s="1113"/>
      <c r="I445" s="1113">
        <v>2</v>
      </c>
      <c r="J445" s="1114">
        <f>' DATA -Sanitary&amp;water supply'!$G$5</f>
        <v>2207</v>
      </c>
      <c r="K445" s="1115">
        <f>ROUND(J445*I445,0)</f>
        <v>4414</v>
      </c>
      <c r="L445" s="1032"/>
      <c r="M445" s="1110"/>
      <c r="N445" s="1147"/>
      <c r="O445" s="1147"/>
      <c r="P445" s="1110"/>
      <c r="Q445" s="1111"/>
      <c r="R445" s="1110"/>
    </row>
    <row r="446" spans="1:18" s="1107" customFormat="1" ht="14.1">
      <c r="A446" s="1104"/>
      <c r="B446" s="1112"/>
      <c r="C446" s="1112"/>
      <c r="D446" s="1112"/>
      <c r="E446" s="1106"/>
      <c r="F446" s="1105"/>
      <c r="G446" s="1105"/>
      <c r="H446" s="1105"/>
      <c r="I446" s="1105" t="s">
        <v>857</v>
      </c>
      <c r="J446" s="1114" t="s">
        <v>4</v>
      </c>
      <c r="K446" s="1115"/>
      <c r="L446" s="1032"/>
      <c r="M446" s="1110"/>
      <c r="N446" s="1186"/>
      <c r="O446" s="1186"/>
      <c r="P446" s="1110"/>
      <c r="Q446" s="1111"/>
      <c r="R446" s="1110"/>
    </row>
    <row r="447" spans="1:18" s="1107" customFormat="1" ht="30" customHeight="1">
      <c r="A447" s="1104">
        <v>46</v>
      </c>
      <c r="B447" s="2408" t="s">
        <v>2086</v>
      </c>
      <c r="C447" s="2409"/>
      <c r="D447" s="2409"/>
      <c r="E447" s="2409"/>
      <c r="F447" s="2409"/>
      <c r="G447" s="2409"/>
      <c r="H447" s="2409"/>
      <c r="I447" s="2410"/>
      <c r="J447" s="1109"/>
      <c r="K447" s="1032"/>
      <c r="L447" s="1032"/>
      <c r="M447" s="1110"/>
      <c r="N447" s="1111"/>
      <c r="O447" s="1111"/>
      <c r="P447" s="1110"/>
      <c r="Q447" s="1111"/>
      <c r="R447" s="1110"/>
    </row>
    <row r="448" spans="1:18" s="1107" customFormat="1" ht="14.1">
      <c r="A448" s="1104"/>
      <c r="B448" s="1112" t="s">
        <v>2056</v>
      </c>
      <c r="C448" s="1106">
        <v>1</v>
      </c>
      <c r="D448" s="1112" t="s">
        <v>1472</v>
      </c>
      <c r="E448" s="1106">
        <v>2</v>
      </c>
      <c r="F448" s="1113">
        <v>6</v>
      </c>
      <c r="G448" s="1113"/>
      <c r="H448" s="1113"/>
      <c r="I448" s="1113">
        <f>F448*E448</f>
        <v>12</v>
      </c>
      <c r="J448" s="1114">
        <v>400</v>
      </c>
      <c r="K448" s="1115">
        <f>ROUND(J448*I448,0)</f>
        <v>4800</v>
      </c>
      <c r="L448" s="1032"/>
      <c r="M448" s="1110"/>
      <c r="N448" s="1111"/>
      <c r="O448" s="1111"/>
      <c r="P448" s="1110"/>
      <c r="Q448" s="1111"/>
      <c r="R448" s="1110"/>
    </row>
    <row r="449" spans="1:18" s="1107" customFormat="1" ht="14.1">
      <c r="A449" s="1104"/>
      <c r="B449" s="1112"/>
      <c r="C449" s="1112"/>
      <c r="D449" s="1112"/>
      <c r="E449" s="1106"/>
      <c r="F449" s="1105"/>
      <c r="G449" s="1105"/>
      <c r="H449" s="1105"/>
      <c r="I449" s="1105" t="s">
        <v>857</v>
      </c>
      <c r="J449" s="1114" t="s">
        <v>4</v>
      </c>
      <c r="K449" s="1115"/>
      <c r="L449" s="1032"/>
      <c r="M449" s="1110"/>
      <c r="N449" s="1111"/>
      <c r="O449" s="1111"/>
      <c r="P449" s="1110"/>
      <c r="Q449" s="1111"/>
      <c r="R449" s="1110"/>
    </row>
    <row r="450" spans="1:18" s="1107" customFormat="1" ht="34.5" customHeight="1">
      <c r="A450" s="1104">
        <v>47</v>
      </c>
      <c r="B450" s="2408" t="s">
        <v>2087</v>
      </c>
      <c r="C450" s="2409"/>
      <c r="D450" s="2409"/>
      <c r="E450" s="2409"/>
      <c r="F450" s="2409"/>
      <c r="G450" s="2409"/>
      <c r="H450" s="2409"/>
      <c r="I450" s="2410"/>
      <c r="J450" s="1109"/>
      <c r="K450" s="1032"/>
      <c r="L450" s="1032"/>
      <c r="M450" s="1110"/>
      <c r="N450" s="1111"/>
      <c r="O450" s="1111"/>
      <c r="P450" s="1110"/>
      <c r="Q450" s="1111"/>
      <c r="R450" s="1110"/>
    </row>
    <row r="451" spans="1:18" s="1107" customFormat="1" ht="27.6">
      <c r="A451" s="1104"/>
      <c r="B451" s="1112" t="s">
        <v>2088</v>
      </c>
      <c r="C451" s="1106">
        <v>1</v>
      </c>
      <c r="D451" s="1112" t="s">
        <v>1472</v>
      </c>
      <c r="E451" s="1106">
        <v>2</v>
      </c>
      <c r="F451" s="1113">
        <v>1</v>
      </c>
      <c r="G451" s="1113"/>
      <c r="H451" s="1113"/>
      <c r="I451" s="1113">
        <f>F451*E451</f>
        <v>2</v>
      </c>
      <c r="J451" s="1114">
        <v>732</v>
      </c>
      <c r="K451" s="1115">
        <f>ROUND(J451*I451,0)</f>
        <v>1464</v>
      </c>
      <c r="L451" s="1032"/>
      <c r="M451" s="1110"/>
      <c r="N451" s="1111"/>
      <c r="O451" s="1111"/>
      <c r="P451" s="1110"/>
      <c r="Q451" s="1111"/>
      <c r="R451" s="1110"/>
    </row>
    <row r="452" spans="1:18" s="1107" customFormat="1" ht="14.1">
      <c r="A452" s="1104"/>
      <c r="B452" s="1112"/>
      <c r="C452" s="1112"/>
      <c r="D452" s="1112"/>
      <c r="E452" s="1106"/>
      <c r="F452" s="1105"/>
      <c r="G452" s="1105"/>
      <c r="H452" s="1105"/>
      <c r="I452" s="1105" t="s">
        <v>857</v>
      </c>
      <c r="J452" s="1114" t="s">
        <v>4</v>
      </c>
      <c r="K452" s="1115"/>
      <c r="L452" s="1032"/>
      <c r="M452" s="1110"/>
      <c r="N452" s="1111"/>
      <c r="O452" s="1111"/>
      <c r="P452" s="1110"/>
      <c r="Q452" s="1111"/>
      <c r="R452" s="1110"/>
    </row>
    <row r="453" spans="1:18" s="1107" customFormat="1" ht="22.5" customHeight="1">
      <c r="A453" s="1104">
        <v>48</v>
      </c>
      <c r="B453" s="2408" t="s">
        <v>2037</v>
      </c>
      <c r="C453" s="2409"/>
      <c r="D453" s="2409"/>
      <c r="E453" s="2409"/>
      <c r="F453" s="2409"/>
      <c r="G453" s="2409"/>
      <c r="H453" s="2409"/>
      <c r="I453" s="1105"/>
      <c r="J453" s="1106"/>
      <c r="K453" s="1033"/>
      <c r="L453" s="1032"/>
      <c r="M453" s="1110"/>
      <c r="N453" s="1111"/>
      <c r="O453" s="1111"/>
      <c r="P453" s="1111"/>
      <c r="Q453" s="1111"/>
      <c r="R453" s="1110"/>
    </row>
    <row r="454" spans="1:18" s="1107" customFormat="1" ht="14.1">
      <c r="A454" s="1104"/>
      <c r="B454" s="1116" t="s">
        <v>2038</v>
      </c>
      <c r="C454" s="1117"/>
      <c r="D454" s="1117"/>
      <c r="E454" s="1117"/>
      <c r="F454" s="1117"/>
      <c r="G454" s="1117"/>
      <c r="H454" s="1117"/>
      <c r="I454" s="1105">
        <v>6</v>
      </c>
      <c r="J454" s="1114">
        <f>' DATA -Sanitary&amp;water supply'!$G$160</f>
        <v>178</v>
      </c>
      <c r="K454" s="1115">
        <f>ROUND(J454*I454,0)</f>
        <v>1068</v>
      </c>
      <c r="L454" s="1032"/>
      <c r="M454" s="1110"/>
      <c r="N454" s="1111"/>
      <c r="O454" s="1111"/>
      <c r="P454" s="1111"/>
      <c r="Q454" s="1111"/>
      <c r="R454" s="1110"/>
    </row>
    <row r="455" spans="1:18" s="1107" customFormat="1" ht="14.1">
      <c r="A455" s="1104"/>
      <c r="B455" s="1117"/>
      <c r="C455" s="1117"/>
      <c r="D455" s="1117"/>
      <c r="E455" s="1117"/>
      <c r="F455" s="1117"/>
      <c r="G455" s="1117"/>
      <c r="H455" s="1117"/>
      <c r="I455" s="1105" t="s">
        <v>452</v>
      </c>
      <c r="J455" s="1114" t="s">
        <v>453</v>
      </c>
      <c r="K455" s="1115"/>
      <c r="L455" s="1032"/>
      <c r="M455" s="1110"/>
      <c r="N455" s="1111"/>
      <c r="O455" s="1111"/>
      <c r="P455" s="1111"/>
      <c r="Q455" s="1111"/>
      <c r="R455" s="1110"/>
    </row>
    <row r="456" spans="1:18" s="1107" customFormat="1" ht="14.1">
      <c r="A456" s="1104">
        <v>49</v>
      </c>
      <c r="B456" s="1116" t="s">
        <v>2039</v>
      </c>
      <c r="C456" s="1117"/>
      <c r="D456" s="1117"/>
      <c r="E456" s="1117"/>
      <c r="F456" s="1117"/>
      <c r="G456" s="1117"/>
      <c r="H456" s="1117"/>
      <c r="I456" s="1105">
        <v>6</v>
      </c>
      <c r="J456" s="1114">
        <f>' DATA -Sanitary&amp;water supply'!$G$156</f>
        <v>155</v>
      </c>
      <c r="K456" s="1115">
        <f>ROUND(J456*I456,0)</f>
        <v>930</v>
      </c>
      <c r="L456" s="1032"/>
      <c r="M456" s="1110"/>
      <c r="N456" s="1111"/>
      <c r="O456" s="1111"/>
      <c r="P456" s="1111"/>
      <c r="Q456" s="1111"/>
      <c r="R456" s="1110"/>
    </row>
    <row r="457" spans="1:18" s="1107" customFormat="1" ht="14.1">
      <c r="A457" s="1104"/>
      <c r="B457" s="1117"/>
      <c r="C457" s="1117"/>
      <c r="D457" s="1117"/>
      <c r="E457" s="1117"/>
      <c r="F457" s="1117"/>
      <c r="G457" s="1117"/>
      <c r="H457" s="1117"/>
      <c r="I457" s="1105" t="s">
        <v>452</v>
      </c>
      <c r="J457" s="1114" t="s">
        <v>453</v>
      </c>
      <c r="K457" s="1115"/>
      <c r="L457" s="1032"/>
      <c r="M457" s="1110"/>
      <c r="N457" s="1111"/>
      <c r="O457" s="1111"/>
      <c r="P457" s="1111"/>
      <c r="Q457" s="1111"/>
      <c r="R457" s="1110"/>
    </row>
    <row r="458" spans="1:18" s="1107" customFormat="1" ht="30.75" customHeight="1">
      <c r="A458" s="1104">
        <v>50</v>
      </c>
      <c r="B458" s="2412" t="s">
        <v>2245</v>
      </c>
      <c r="C458" s="2413"/>
      <c r="D458" s="2413"/>
      <c r="E458" s="2413"/>
      <c r="F458" s="2413"/>
      <c r="G458" s="2413"/>
      <c r="H458" s="2414"/>
      <c r="I458" s="1106"/>
      <c r="J458" s="1109"/>
      <c r="K458" s="1033"/>
      <c r="L458" s="1032"/>
      <c r="M458" s="1110"/>
      <c r="N458" s="1111"/>
      <c r="O458" s="1111"/>
      <c r="P458" s="1110"/>
      <c r="Q458" s="1111"/>
      <c r="R458" s="1110"/>
    </row>
    <row r="459" spans="1:18" s="1107" customFormat="1" ht="14.1">
      <c r="A459" s="1104"/>
      <c r="B459" s="1117"/>
      <c r="C459" s="1117"/>
      <c r="D459" s="1117"/>
      <c r="E459" s="1117"/>
      <c r="F459" s="1117"/>
      <c r="G459" s="1117"/>
      <c r="H459" s="1117"/>
      <c r="I459" s="1105">
        <v>6</v>
      </c>
      <c r="J459" s="1114">
        <f>' DATA -Sanitary&amp;water supply'!$G$39</f>
        <v>204.33</v>
      </c>
      <c r="K459" s="1115">
        <f>ROUND(J459*I459,0)</f>
        <v>1226</v>
      </c>
      <c r="L459" s="1032"/>
      <c r="M459" s="1110"/>
      <c r="N459" s="1111"/>
      <c r="O459" s="1111"/>
      <c r="P459" s="1110"/>
      <c r="Q459" s="1111"/>
      <c r="R459" s="1110"/>
    </row>
    <row r="460" spans="1:18" s="1107" customFormat="1" ht="14.1">
      <c r="A460" s="1104"/>
      <c r="B460" s="1117"/>
      <c r="C460" s="1117"/>
      <c r="D460" s="1117"/>
      <c r="E460" s="1117"/>
      <c r="F460" s="1117"/>
      <c r="G460" s="1117"/>
      <c r="H460" s="1117"/>
      <c r="I460" s="1105" t="s">
        <v>452</v>
      </c>
      <c r="J460" s="1106" t="s">
        <v>453</v>
      </c>
      <c r="K460" s="1033"/>
      <c r="L460" s="1032"/>
      <c r="M460" s="1110"/>
      <c r="N460" s="1111"/>
      <c r="O460" s="1111"/>
      <c r="P460" s="1111"/>
      <c r="Q460" s="1111"/>
      <c r="R460" s="1110"/>
    </row>
    <row r="461" spans="1:18" s="1107" customFormat="1" ht="31.5" customHeight="1">
      <c r="A461" s="1104">
        <v>51</v>
      </c>
      <c r="B461" s="2412" t="s">
        <v>207</v>
      </c>
      <c r="C461" s="2413"/>
      <c r="D461" s="2413"/>
      <c r="E461" s="2413"/>
      <c r="F461" s="2413"/>
      <c r="G461" s="2413"/>
      <c r="H461" s="2414"/>
      <c r="I461" s="1105"/>
      <c r="J461" s="1109"/>
      <c r="K461" s="1033"/>
      <c r="L461" s="1032"/>
      <c r="M461" s="1110"/>
      <c r="N461" s="1111"/>
      <c r="O461" s="1111"/>
      <c r="P461" s="1110"/>
      <c r="Q461" s="1111"/>
      <c r="R461" s="1110"/>
    </row>
    <row r="462" spans="1:18" s="1107" customFormat="1" ht="14.1">
      <c r="A462" s="1104"/>
      <c r="B462" s="2407"/>
      <c r="C462" s="2407"/>
      <c r="D462" s="2407"/>
      <c r="E462" s="2407"/>
      <c r="F462" s="2407"/>
      <c r="G462" s="2407"/>
      <c r="H462" s="2407"/>
      <c r="I462" s="1105">
        <v>6</v>
      </c>
      <c r="J462" s="1114">
        <f>' DATA -Sanitary&amp;water supply'!$G$33</f>
        <v>293.67</v>
      </c>
      <c r="K462" s="1115">
        <f>ROUND(J462*I462,0)</f>
        <v>1762</v>
      </c>
      <c r="L462" s="1032"/>
      <c r="M462" s="1110"/>
      <c r="N462" s="1111"/>
      <c r="O462" s="1111"/>
      <c r="P462" s="1110"/>
      <c r="Q462" s="1111"/>
      <c r="R462" s="1110"/>
    </row>
    <row r="463" spans="1:18" s="1107" customFormat="1" ht="14.1">
      <c r="A463" s="1104"/>
      <c r="B463" s="1117"/>
      <c r="C463" s="1117"/>
      <c r="D463" s="1117"/>
      <c r="E463" s="1117"/>
      <c r="F463" s="1117"/>
      <c r="G463" s="1117"/>
      <c r="H463" s="1117"/>
      <c r="I463" s="1105" t="s">
        <v>452</v>
      </c>
      <c r="J463" s="1106" t="s">
        <v>453</v>
      </c>
      <c r="K463" s="1033"/>
      <c r="L463" s="1032"/>
      <c r="M463" s="1110"/>
      <c r="N463" s="1111"/>
      <c r="O463" s="1111"/>
      <c r="P463" s="1111"/>
      <c r="Q463" s="1111"/>
      <c r="R463" s="1110"/>
    </row>
    <row r="464" spans="1:18" s="1107" customFormat="1" ht="72.75" customHeight="1">
      <c r="A464" s="1104">
        <v>52</v>
      </c>
      <c r="B464" s="2412" t="s">
        <v>1252</v>
      </c>
      <c r="C464" s="2413"/>
      <c r="D464" s="2413"/>
      <c r="E464" s="2413"/>
      <c r="F464" s="2413"/>
      <c r="G464" s="2413"/>
      <c r="H464" s="2414"/>
      <c r="I464" s="1105"/>
      <c r="J464" s="1109"/>
      <c r="K464" s="1033"/>
      <c r="L464" s="1032"/>
      <c r="M464" s="1110"/>
      <c r="N464" s="1111"/>
      <c r="O464" s="1111"/>
      <c r="P464" s="1110"/>
      <c r="Q464" s="1111"/>
      <c r="R464" s="1110"/>
    </row>
    <row r="465" spans="1:18" s="1107" customFormat="1" ht="14.1">
      <c r="A465" s="1104"/>
      <c r="B465" s="2407"/>
      <c r="C465" s="2407"/>
      <c r="D465" s="2407"/>
      <c r="E465" s="2407"/>
      <c r="F465" s="2407"/>
      <c r="G465" s="2407"/>
      <c r="H465" s="2407"/>
      <c r="I465" s="1105">
        <v>2</v>
      </c>
      <c r="J465" s="1114">
        <f>' DATA -Sanitary&amp;water supply'!$G$26</f>
        <v>171</v>
      </c>
      <c r="K465" s="1115">
        <f>ROUND(J465*I465,0)</f>
        <v>342</v>
      </c>
      <c r="L465" s="1032"/>
      <c r="M465" s="1110"/>
      <c r="N465" s="1111"/>
      <c r="O465" s="1111"/>
      <c r="P465" s="1110"/>
      <c r="Q465" s="1111"/>
      <c r="R465" s="1110"/>
    </row>
    <row r="466" spans="1:18" s="1107" customFormat="1" ht="14.1">
      <c r="A466" s="1104"/>
      <c r="B466" s="1117"/>
      <c r="C466" s="1117"/>
      <c r="D466" s="1117"/>
      <c r="E466" s="1117"/>
      <c r="F466" s="1117"/>
      <c r="G466" s="1117"/>
      <c r="H466" s="1117"/>
      <c r="I466" s="1105" t="s">
        <v>472</v>
      </c>
      <c r="J466" s="1106" t="s">
        <v>4</v>
      </c>
      <c r="K466" s="1033"/>
      <c r="L466" s="1032"/>
      <c r="M466" s="1110"/>
      <c r="N466" s="1111"/>
      <c r="O466" s="1111"/>
      <c r="P466" s="1111"/>
      <c r="Q466" s="1111"/>
      <c r="R466" s="1110"/>
    </row>
    <row r="467" spans="1:18" s="1107" customFormat="1" ht="81.75" customHeight="1">
      <c r="A467" s="1104">
        <v>53</v>
      </c>
      <c r="B467" s="2412" t="s">
        <v>1031</v>
      </c>
      <c r="C467" s="2413"/>
      <c r="D467" s="2413"/>
      <c r="E467" s="2413"/>
      <c r="F467" s="2413"/>
      <c r="G467" s="2413"/>
      <c r="H467" s="2414"/>
      <c r="I467" s="1105"/>
      <c r="J467" s="1106"/>
      <c r="K467" s="1033"/>
      <c r="L467" s="1032"/>
      <c r="M467" s="1110"/>
      <c r="N467" s="1111"/>
      <c r="O467" s="1111"/>
      <c r="P467" s="1110"/>
      <c r="Q467" s="1111"/>
      <c r="R467" s="1110"/>
    </row>
    <row r="468" spans="1:18" s="1107" customFormat="1" ht="14.1">
      <c r="A468" s="1104"/>
      <c r="B468" s="2407"/>
      <c r="C468" s="2407"/>
      <c r="D468" s="2407"/>
      <c r="E468" s="2407"/>
      <c r="F468" s="2407"/>
      <c r="G468" s="2407"/>
      <c r="H468" s="2407"/>
      <c r="I468" s="1105">
        <v>2</v>
      </c>
      <c r="J468" s="1114">
        <f>' DATA -Sanitary&amp;water supply'!$G$140</f>
        <v>84</v>
      </c>
      <c r="K468" s="1115">
        <f>ROUND(J468*I468,0)</f>
        <v>168</v>
      </c>
      <c r="L468" s="1032"/>
      <c r="M468" s="1110"/>
      <c r="N468" s="1111"/>
      <c r="O468" s="1111"/>
      <c r="P468" s="1110"/>
      <c r="Q468" s="1111"/>
      <c r="R468" s="1110"/>
    </row>
    <row r="469" spans="1:18" s="1107" customFormat="1" ht="14.1">
      <c r="A469" s="1104"/>
      <c r="B469" s="1117"/>
      <c r="C469" s="1117"/>
      <c r="D469" s="1117"/>
      <c r="E469" s="1117"/>
      <c r="F469" s="1117"/>
      <c r="G469" s="1117"/>
      <c r="H469" s="1117"/>
      <c r="I469" s="1105" t="s">
        <v>472</v>
      </c>
      <c r="J469" s="1106" t="s">
        <v>4</v>
      </c>
      <c r="K469" s="1033"/>
      <c r="L469" s="1032"/>
      <c r="M469" s="1110"/>
      <c r="N469" s="1111"/>
      <c r="O469" s="1111"/>
      <c r="P469" s="1111"/>
      <c r="Q469" s="1111"/>
      <c r="R469" s="1110"/>
    </row>
    <row r="470" spans="1:18" s="1107" customFormat="1" ht="81" customHeight="1">
      <c r="A470" s="1104">
        <v>54</v>
      </c>
      <c r="B470" s="2412" t="s">
        <v>447</v>
      </c>
      <c r="C470" s="2418"/>
      <c r="D470" s="2418"/>
      <c r="E470" s="2418"/>
      <c r="F470" s="2418"/>
      <c r="G470" s="2418"/>
      <c r="H470" s="2419"/>
      <c r="I470" s="1105"/>
      <c r="J470" s="1106"/>
      <c r="K470" s="1033"/>
      <c r="L470" s="1032"/>
      <c r="M470" s="1110"/>
      <c r="N470" s="1111"/>
      <c r="O470" s="1111"/>
      <c r="P470" s="1110"/>
      <c r="Q470" s="1111"/>
      <c r="R470" s="1110"/>
    </row>
    <row r="471" spans="1:18" s="1107" customFormat="1" ht="27.75" customHeight="1">
      <c r="A471" s="1104"/>
      <c r="B471" s="2407"/>
      <c r="C471" s="2407"/>
      <c r="D471" s="2407"/>
      <c r="E471" s="2407"/>
      <c r="F471" s="2407"/>
      <c r="G471" s="2407"/>
      <c r="H471" s="2407"/>
      <c r="I471" s="1105">
        <v>4</v>
      </c>
      <c r="J471" s="1114">
        <f>' DATA -Sanitary&amp;water supply'!$G$144</f>
        <v>47</v>
      </c>
      <c r="K471" s="1115">
        <f>ROUND(J471*I471,0)</f>
        <v>188</v>
      </c>
      <c r="L471" s="1032"/>
      <c r="M471" s="1110"/>
      <c r="N471" s="1111"/>
      <c r="O471" s="1111"/>
      <c r="P471" s="1110"/>
      <c r="Q471" s="1111"/>
      <c r="R471" s="1110"/>
    </row>
    <row r="472" spans="1:18" s="1107" customFormat="1" ht="14.1">
      <c r="A472" s="1104"/>
      <c r="B472" s="1117"/>
      <c r="C472" s="1117"/>
      <c r="D472" s="1117"/>
      <c r="E472" s="1117"/>
      <c r="F472" s="1117"/>
      <c r="G472" s="1117"/>
      <c r="H472" s="1117"/>
      <c r="I472" s="1105" t="s">
        <v>472</v>
      </c>
      <c r="J472" s="1106" t="s">
        <v>4</v>
      </c>
      <c r="K472" s="1033"/>
      <c r="L472" s="1032"/>
      <c r="M472" s="1110"/>
      <c r="N472" s="1111"/>
      <c r="O472" s="1111"/>
      <c r="P472" s="1111"/>
      <c r="Q472" s="1111"/>
      <c r="R472" s="1110"/>
    </row>
    <row r="473" spans="1:18" s="1107" customFormat="1" ht="35.25" customHeight="1">
      <c r="A473" s="1104">
        <v>55</v>
      </c>
      <c r="B473" s="2412" t="s">
        <v>448</v>
      </c>
      <c r="C473" s="2418"/>
      <c r="D473" s="2418"/>
      <c r="E473" s="2418"/>
      <c r="F473" s="2418"/>
      <c r="G473" s="2418"/>
      <c r="H473" s="2419"/>
      <c r="I473" s="1113"/>
      <c r="J473" s="1109"/>
      <c r="K473" s="1033"/>
      <c r="L473" s="1032"/>
      <c r="M473" s="1110"/>
      <c r="N473" s="1111"/>
      <c r="O473" s="1111"/>
      <c r="P473" s="1110"/>
      <c r="Q473" s="1111"/>
      <c r="R473" s="1110"/>
    </row>
    <row r="474" spans="1:18" s="1107" customFormat="1" ht="14.1">
      <c r="A474" s="1104"/>
      <c r="B474" s="2407"/>
      <c r="C474" s="2407"/>
      <c r="D474" s="2407"/>
      <c r="E474" s="2407"/>
      <c r="F474" s="2407"/>
      <c r="G474" s="2407"/>
      <c r="H474" s="2407"/>
      <c r="I474" s="1105">
        <v>2</v>
      </c>
      <c r="J474" s="1114">
        <f>' DATA -Sanitary&amp;water supply'!$G$148</f>
        <v>23</v>
      </c>
      <c r="K474" s="1115">
        <f>ROUND(J474*I474,0)</f>
        <v>46</v>
      </c>
      <c r="L474" s="1032"/>
      <c r="M474" s="1110"/>
      <c r="N474" s="1111"/>
      <c r="O474" s="1111"/>
      <c r="P474" s="1110"/>
      <c r="Q474" s="1111"/>
      <c r="R474" s="1110"/>
    </row>
    <row r="475" spans="1:18" s="1107" customFormat="1" ht="14.1">
      <c r="A475" s="1104"/>
      <c r="B475" s="1117"/>
      <c r="C475" s="1117"/>
      <c r="D475" s="1117"/>
      <c r="E475" s="1117"/>
      <c r="F475" s="1117"/>
      <c r="G475" s="1117"/>
      <c r="H475" s="1117"/>
      <c r="I475" s="1105" t="s">
        <v>472</v>
      </c>
      <c r="J475" s="1106" t="s">
        <v>4</v>
      </c>
      <c r="K475" s="1033"/>
      <c r="L475" s="1032"/>
      <c r="M475" s="1110"/>
      <c r="N475" s="1111"/>
      <c r="O475" s="1111"/>
      <c r="P475" s="1111"/>
      <c r="Q475" s="1111"/>
      <c r="R475" s="1110"/>
    </row>
    <row r="476" spans="1:18" s="1107" customFormat="1" ht="109.5" customHeight="1">
      <c r="A476" s="1104">
        <v>56</v>
      </c>
      <c r="B476" s="2412" t="s">
        <v>1441</v>
      </c>
      <c r="C476" s="2418"/>
      <c r="D476" s="2418"/>
      <c r="E476" s="2418"/>
      <c r="F476" s="2418"/>
      <c r="G476" s="2418"/>
      <c r="H476" s="2419"/>
      <c r="I476" s="1105"/>
      <c r="J476" s="1109"/>
      <c r="K476" s="1033"/>
      <c r="L476" s="1032"/>
      <c r="M476" s="1110"/>
      <c r="N476" s="1111"/>
      <c r="O476" s="1111"/>
      <c r="P476" s="1110"/>
      <c r="Q476" s="1111"/>
      <c r="R476" s="1110"/>
    </row>
    <row r="477" spans="1:18" s="1107" customFormat="1" ht="14.1">
      <c r="A477" s="1104"/>
      <c r="B477" s="2407"/>
      <c r="C477" s="2407"/>
      <c r="D477" s="2407"/>
      <c r="E477" s="2407"/>
      <c r="F477" s="2407"/>
      <c r="G477" s="2407"/>
      <c r="H477" s="2407"/>
      <c r="I477" s="1105">
        <v>2</v>
      </c>
      <c r="J477" s="1114">
        <f>' DATA -Sanitary&amp;water supply'!G83</f>
        <v>4610</v>
      </c>
      <c r="K477" s="1115">
        <f>ROUND(J477*I477,0)</f>
        <v>9220</v>
      </c>
      <c r="L477" s="1032"/>
      <c r="M477" s="1110"/>
      <c r="N477" s="1111"/>
      <c r="O477" s="1111"/>
      <c r="P477" s="1110"/>
      <c r="Q477" s="1111"/>
      <c r="R477" s="1110"/>
    </row>
    <row r="478" spans="1:18" s="1107" customFormat="1" ht="14.1">
      <c r="A478" s="1104"/>
      <c r="B478" s="1117"/>
      <c r="C478" s="1117"/>
      <c r="D478" s="1117"/>
      <c r="E478" s="1117"/>
      <c r="F478" s="1117"/>
      <c r="G478" s="1117"/>
      <c r="H478" s="1117"/>
      <c r="I478" s="1105" t="s">
        <v>472</v>
      </c>
      <c r="J478" s="1106" t="s">
        <v>4</v>
      </c>
      <c r="K478" s="1033"/>
      <c r="L478" s="1032"/>
      <c r="M478" s="1110"/>
      <c r="N478" s="1111"/>
      <c r="O478" s="1111"/>
      <c r="P478" s="1111"/>
      <c r="Q478" s="1111"/>
      <c r="R478" s="1110"/>
    </row>
    <row r="479" spans="1:18" s="1107" customFormat="1" ht="14.1">
      <c r="A479" s="1104"/>
      <c r="B479" s="1118"/>
      <c r="C479" s="1119"/>
      <c r="D479" s="1119"/>
      <c r="E479" s="1119"/>
      <c r="F479" s="1119"/>
      <c r="G479" s="1119"/>
      <c r="H479" s="1120"/>
      <c r="I479" s="1105"/>
      <c r="J479" s="1106" t="s">
        <v>4</v>
      </c>
      <c r="K479" s="1115"/>
      <c r="L479" s="1032"/>
      <c r="M479" s="1110"/>
      <c r="N479" s="1111"/>
      <c r="O479" s="1111"/>
      <c r="P479" s="1110"/>
      <c r="Q479" s="1111"/>
      <c r="R479" s="1110"/>
    </row>
    <row r="480" spans="1:18" s="1107" customFormat="1" ht="49.5" customHeight="1">
      <c r="A480" s="1104">
        <v>57</v>
      </c>
      <c r="B480" s="2412" t="s">
        <v>2040</v>
      </c>
      <c r="C480" s="2418"/>
      <c r="D480" s="2418"/>
      <c r="E480" s="2418"/>
      <c r="F480" s="2418"/>
      <c r="G480" s="2418"/>
      <c r="H480" s="2419"/>
      <c r="I480" s="1105"/>
      <c r="J480" s="1106"/>
      <c r="K480" s="1033"/>
      <c r="L480" s="1032"/>
      <c r="M480" s="1110"/>
      <c r="N480" s="1111"/>
      <c r="O480" s="1111"/>
      <c r="P480" s="1110"/>
      <c r="Q480" s="1111"/>
      <c r="R480" s="1110"/>
    </row>
    <row r="481" spans="1:18" s="1107" customFormat="1" ht="14.1">
      <c r="A481" s="1104"/>
      <c r="B481" s="2407"/>
      <c r="C481" s="2407"/>
      <c r="D481" s="2407"/>
      <c r="E481" s="2407"/>
      <c r="F481" s="2407"/>
      <c r="G481" s="2407"/>
      <c r="H481" s="2407"/>
      <c r="I481" s="1105">
        <v>1000</v>
      </c>
      <c r="J481" s="1114">
        <f>' DATA -Sanitary&amp;water supply'!G124</f>
        <v>10</v>
      </c>
      <c r="K481" s="1115">
        <f>ROUND(J481*I481,0)</f>
        <v>10000</v>
      </c>
      <c r="L481" s="1032"/>
      <c r="M481" s="1110"/>
      <c r="N481" s="1111"/>
      <c r="O481" s="1111"/>
      <c r="P481" s="1110"/>
      <c r="Q481" s="1111"/>
      <c r="R481" s="1110"/>
    </row>
    <row r="482" spans="1:18" s="1107" customFormat="1" ht="14.1">
      <c r="A482" s="1104"/>
      <c r="B482" s="1117"/>
      <c r="C482" s="1117"/>
      <c r="D482" s="1117"/>
      <c r="E482" s="1117"/>
      <c r="F482" s="1117"/>
      <c r="G482" s="1117"/>
      <c r="H482" s="1117"/>
      <c r="I482" s="1105" t="s">
        <v>1426</v>
      </c>
      <c r="J482" s="1106" t="s">
        <v>883</v>
      </c>
      <c r="K482" s="1115"/>
      <c r="L482" s="1032"/>
      <c r="M482" s="1110"/>
      <c r="N482" s="1111"/>
      <c r="O482" s="1111"/>
      <c r="P482" s="1111"/>
      <c r="Q482" s="1111"/>
      <c r="R482" s="1110"/>
    </row>
    <row r="483" spans="1:18" s="1107" customFormat="1" ht="94.5" customHeight="1">
      <c r="A483" s="1104">
        <v>58</v>
      </c>
      <c r="B483" s="2412" t="s">
        <v>1353</v>
      </c>
      <c r="C483" s="2418"/>
      <c r="D483" s="2418"/>
      <c r="E483" s="2418"/>
      <c r="F483" s="2418"/>
      <c r="G483" s="2418"/>
      <c r="H483" s="2419"/>
      <c r="I483" s="1105"/>
      <c r="J483" s="1109"/>
      <c r="K483" s="1033"/>
      <c r="L483" s="1032"/>
      <c r="M483" s="1110"/>
      <c r="N483" s="1111"/>
      <c r="O483" s="1111"/>
      <c r="P483" s="1110"/>
      <c r="Q483" s="1111"/>
      <c r="R483" s="1110"/>
    </row>
    <row r="484" spans="1:18" s="1107" customFormat="1" ht="14.1">
      <c r="A484" s="1104"/>
      <c r="B484" s="2420"/>
      <c r="C484" s="2421"/>
      <c r="D484" s="2421"/>
      <c r="E484" s="2421"/>
      <c r="F484" s="2421"/>
      <c r="G484" s="2421"/>
      <c r="H484" s="2422"/>
      <c r="I484" s="1105">
        <v>6</v>
      </c>
      <c r="J484" s="1114">
        <f>' DATA -Sanitary&amp;water supply'!G117</f>
        <v>531</v>
      </c>
      <c r="K484" s="1115">
        <f>ROUND(J484*I484,0)</f>
        <v>3186</v>
      </c>
      <c r="L484" s="1032"/>
      <c r="M484" s="1110"/>
      <c r="N484" s="1111"/>
      <c r="O484" s="1111"/>
      <c r="P484" s="1110"/>
      <c r="Q484" s="1111"/>
      <c r="R484" s="1110"/>
    </row>
    <row r="485" spans="1:18" s="1107" customFormat="1" ht="14.1">
      <c r="A485" s="1104"/>
      <c r="B485" s="1108"/>
      <c r="C485" s="1121"/>
      <c r="D485" s="1121"/>
      <c r="E485" s="1121"/>
      <c r="F485" s="1121"/>
      <c r="G485" s="1121"/>
      <c r="H485" s="1122"/>
      <c r="I485" s="1105" t="s">
        <v>6</v>
      </c>
      <c r="J485" s="1106" t="s">
        <v>453</v>
      </c>
      <c r="K485" s="1115"/>
      <c r="L485" s="1032"/>
      <c r="M485" s="1110"/>
      <c r="N485" s="1111"/>
      <c r="O485" s="1111"/>
      <c r="P485" s="1110"/>
      <c r="Q485" s="1111"/>
      <c r="R485" s="1110"/>
    </row>
    <row r="486" spans="1:18" s="1107" customFormat="1" ht="114.75" customHeight="1">
      <c r="A486" s="1104">
        <v>59</v>
      </c>
      <c r="B486" s="2412" t="s">
        <v>1922</v>
      </c>
      <c r="C486" s="2418"/>
      <c r="D486" s="2418"/>
      <c r="E486" s="2418"/>
      <c r="F486" s="2418"/>
      <c r="G486" s="2418"/>
      <c r="H486" s="2419"/>
      <c r="I486" s="1105"/>
      <c r="J486" s="1109"/>
      <c r="K486" s="1033"/>
      <c r="L486" s="1032"/>
      <c r="M486" s="1110"/>
      <c r="N486" s="1111"/>
      <c r="O486" s="1111"/>
      <c r="P486" s="1110"/>
      <c r="Q486" s="1111"/>
      <c r="R486" s="1110"/>
    </row>
    <row r="487" spans="1:18" s="1107" customFormat="1" ht="14.1">
      <c r="A487" s="1104"/>
      <c r="B487" s="2420"/>
      <c r="C487" s="2421"/>
      <c r="D487" s="2421"/>
      <c r="E487" s="2421"/>
      <c r="F487" s="2421"/>
      <c r="G487" s="2421"/>
      <c r="H487" s="2422"/>
      <c r="I487" s="1105">
        <v>2</v>
      </c>
      <c r="J487" s="1114">
        <f>' DATA -Sanitary&amp;water supply'!G152</f>
        <v>2045</v>
      </c>
      <c r="K487" s="1115">
        <f>ROUND(J487*I487,0)</f>
        <v>4090</v>
      </c>
      <c r="L487" s="1032"/>
      <c r="M487" s="1110"/>
      <c r="N487" s="1111"/>
      <c r="O487" s="1111"/>
      <c r="P487" s="1110"/>
      <c r="Q487" s="1111"/>
      <c r="R487" s="1110"/>
    </row>
    <row r="488" spans="1:18" s="1107" customFormat="1" ht="14.1">
      <c r="A488" s="1104"/>
      <c r="B488" s="1108"/>
      <c r="C488" s="1121"/>
      <c r="D488" s="1121"/>
      <c r="E488" s="1121"/>
      <c r="F488" s="1121"/>
      <c r="G488" s="1121"/>
      <c r="H488" s="1122"/>
      <c r="I488" s="1105" t="s">
        <v>6</v>
      </c>
      <c r="J488" s="1106" t="s">
        <v>453</v>
      </c>
      <c r="K488" s="1115"/>
      <c r="L488" s="1032"/>
      <c r="M488" s="1110"/>
      <c r="N488" s="1111"/>
      <c r="O488" s="1111"/>
      <c r="P488" s="1110"/>
      <c r="Q488" s="1111"/>
      <c r="R488" s="1110"/>
    </row>
    <row r="489" spans="1:18" s="1107" customFormat="1" ht="14.1">
      <c r="A489" s="1123"/>
      <c r="B489" s="1124"/>
      <c r="C489" s="1124"/>
      <c r="D489" s="1124"/>
      <c r="E489" s="1124"/>
      <c r="F489" s="1124"/>
      <c r="G489" s="1124"/>
      <c r="H489" s="1124"/>
      <c r="I489" s="1125"/>
      <c r="J489" s="1126"/>
      <c r="K489" s="1127">
        <f>SUM(K6:K487)</f>
        <v>2570133</v>
      </c>
      <c r="L489" s="1034"/>
      <c r="M489" s="1110"/>
      <c r="N489" s="1111"/>
      <c r="O489" s="1127">
        <f>SUM(O6:O488)</f>
        <v>21239</v>
      </c>
      <c r="P489" s="1110"/>
      <c r="Q489" s="1111"/>
      <c r="R489" s="1110"/>
    </row>
    <row r="490" spans="1:18" s="1107" customFormat="1" ht="24.9" customHeight="1">
      <c r="A490" s="1104">
        <v>60</v>
      </c>
      <c r="B490" s="2412" t="s">
        <v>2288</v>
      </c>
      <c r="C490" s="2418"/>
      <c r="D490" s="2418"/>
      <c r="E490" s="2418"/>
      <c r="F490" s="2418"/>
      <c r="G490" s="2418"/>
      <c r="H490" s="2419"/>
      <c r="I490" s="1105"/>
      <c r="J490" s="1109"/>
      <c r="K490" s="1033">
        <f>ROUND(K489*0.5%,0)</f>
        <v>12851</v>
      </c>
      <c r="L490" s="1034"/>
      <c r="M490" s="1110"/>
      <c r="N490" s="1111"/>
      <c r="O490" s="1111"/>
      <c r="P490" s="1110"/>
      <c r="Q490" s="1111"/>
      <c r="R490" s="1110"/>
    </row>
    <row r="491" spans="1:18" s="1107" customFormat="1" ht="30" customHeight="1">
      <c r="A491" s="1104">
        <f>A490+1</f>
        <v>61</v>
      </c>
      <c r="B491" s="2412" t="s">
        <v>2393</v>
      </c>
      <c r="C491" s="2418"/>
      <c r="D491" s="2418"/>
      <c r="E491" s="2418"/>
      <c r="F491" s="2418"/>
      <c r="G491" s="2418"/>
      <c r="H491" s="2419"/>
      <c r="I491" s="1105"/>
      <c r="J491" s="1109"/>
      <c r="K491" s="1033">
        <v>70000</v>
      </c>
      <c r="L491" s="1034"/>
      <c r="M491" s="1110"/>
      <c r="N491" s="1111"/>
      <c r="O491" s="1111"/>
      <c r="P491" s="1110"/>
      <c r="Q491" s="1111"/>
      <c r="R491" s="1110"/>
    </row>
    <row r="492" spans="1:18" s="1107" customFormat="1" ht="24.9" customHeight="1">
      <c r="A492" s="1104">
        <f>A491+1</f>
        <v>62</v>
      </c>
      <c r="B492" s="2412" t="s">
        <v>2196</v>
      </c>
      <c r="C492" s="2418"/>
      <c r="D492" s="2418"/>
      <c r="E492" s="2418"/>
      <c r="F492" s="2418"/>
      <c r="G492" s="2418"/>
      <c r="H492" s="2419"/>
      <c r="I492" s="1105"/>
      <c r="J492" s="1109"/>
      <c r="K492" s="1033">
        <v>15000</v>
      </c>
      <c r="L492" s="1034"/>
      <c r="M492" s="1110"/>
      <c r="N492" s="1111"/>
      <c r="P492" s="1110"/>
      <c r="Q492" s="1111"/>
      <c r="R492" s="1110"/>
    </row>
    <row r="493" spans="1:18" s="1107" customFormat="1" ht="24.9" customHeight="1">
      <c r="A493" s="1104">
        <f>A492+1</f>
        <v>63</v>
      </c>
      <c r="B493" s="2412" t="s">
        <v>2323</v>
      </c>
      <c r="C493" s="2418"/>
      <c r="D493" s="2418"/>
      <c r="E493" s="2418"/>
      <c r="F493" s="2418"/>
      <c r="G493" s="2418"/>
      <c r="H493" s="2419"/>
      <c r="I493" s="1105"/>
      <c r="J493" s="1109"/>
      <c r="K493" s="1033">
        <v>1780</v>
      </c>
      <c r="L493" s="1034"/>
      <c r="M493" s="1110"/>
      <c r="N493" s="1110"/>
      <c r="O493" s="1110"/>
      <c r="P493" s="1110"/>
      <c r="Q493" s="1111"/>
      <c r="R493" s="1110"/>
    </row>
    <row r="494" spans="1:18" s="1132" customFormat="1" ht="24.9" customHeight="1">
      <c r="A494" s="1128"/>
      <c r="B494" s="1128" t="s">
        <v>2059</v>
      </c>
      <c r="C494" s="1128"/>
      <c r="D494" s="1128"/>
      <c r="E494" s="1128"/>
      <c r="F494" s="1129"/>
      <c r="G494" s="1129"/>
      <c r="H494" s="1129"/>
      <c r="I494" s="1129"/>
      <c r="J494" s="1129"/>
      <c r="K494" s="1127">
        <f>SUM(K489:K493)</f>
        <v>2669764</v>
      </c>
      <c r="L494" s="1130">
        <f>K494-1260000</f>
        <v>1409764</v>
      </c>
      <c r="M494" s="1131"/>
      <c r="O494" s="1133">
        <f>2400000-K494</f>
        <v>-269764</v>
      </c>
    </row>
    <row r="497" spans="2:9">
      <c r="B497" s="1069" t="str">
        <f>'Lead- Input sheet '!B44</f>
        <v xml:space="preserve">  Assistant Exc.Engineer  </v>
      </c>
      <c r="F497" s="1136" t="str">
        <f>'Lead- Input sheet '!H44</f>
        <v>Deputy Executive Engineer</v>
      </c>
    </row>
    <row r="498" spans="2:9">
      <c r="B498" s="1069" t="str">
        <f>'Lead- Input sheet '!B45</f>
        <v>PR MPP Kalwakurthy</v>
      </c>
      <c r="F498" s="1136" t="str">
        <f>'Lead- Input sheet '!H45</f>
        <v>PR SD Kalwakurthy</v>
      </c>
    </row>
    <row r="502" spans="2:9" ht="50.2" customHeight="1">
      <c r="B502" s="2395" t="s">
        <v>2395</v>
      </c>
      <c r="C502" s="2395"/>
      <c r="D502" s="2395"/>
      <c r="E502" s="2395"/>
      <c r="F502" s="2403"/>
      <c r="G502" s="2403"/>
      <c r="H502" s="2403"/>
      <c r="I502" s="2403"/>
    </row>
    <row r="503" spans="2:9">
      <c r="B503" s="1069" t="s">
        <v>2397</v>
      </c>
    </row>
    <row r="504" spans="2:9">
      <c r="B504" s="1069" t="s">
        <v>2396</v>
      </c>
    </row>
  </sheetData>
  <mergeCells count="95">
    <mergeCell ref="M3:M4"/>
    <mergeCell ref="B3:B4"/>
    <mergeCell ref="C3:E4"/>
    <mergeCell ref="I3:I4"/>
    <mergeCell ref="K3:K4"/>
    <mergeCell ref="L3:L4"/>
    <mergeCell ref="J3:J4"/>
    <mergeCell ref="A1:K1"/>
    <mergeCell ref="B77:I77"/>
    <mergeCell ref="B25:H25"/>
    <mergeCell ref="B27:I27"/>
    <mergeCell ref="B43:H43"/>
    <mergeCell ref="B45:I45"/>
    <mergeCell ref="B75:H75"/>
    <mergeCell ref="A3:A4"/>
    <mergeCell ref="F3:H3"/>
    <mergeCell ref="C5:E5"/>
    <mergeCell ref="B6:I6"/>
    <mergeCell ref="B21:H21"/>
    <mergeCell ref="B23:I23"/>
    <mergeCell ref="A2:K2"/>
    <mergeCell ref="B86:H86"/>
    <mergeCell ref="B102:I102"/>
    <mergeCell ref="B109:I109"/>
    <mergeCell ref="B282:I282"/>
    <mergeCell ref="B238:I238"/>
    <mergeCell ref="B114:I114"/>
    <mergeCell ref="B119:H119"/>
    <mergeCell ref="B121:I121"/>
    <mergeCell ref="B164:H164"/>
    <mergeCell ref="B253:I253"/>
    <mergeCell ref="B257:I257"/>
    <mergeCell ref="B277:I277"/>
    <mergeCell ref="B434:I434"/>
    <mergeCell ref="B178:H178"/>
    <mergeCell ref="B166:I166"/>
    <mergeCell ref="B413:I413"/>
    <mergeCell ref="B211:I211"/>
    <mergeCell ref="B180:I180"/>
    <mergeCell ref="B313:I313"/>
    <mergeCell ref="B420:I420"/>
    <mergeCell ref="B208:H208"/>
    <mergeCell ref="B395:I395"/>
    <mergeCell ref="B286:I286"/>
    <mergeCell ref="B416:I416"/>
    <mergeCell ref="B404:I404"/>
    <mergeCell ref="B337:I337"/>
    <mergeCell ref="B298:I298"/>
    <mergeCell ref="B291:I291"/>
    <mergeCell ref="B464:H464"/>
    <mergeCell ref="B476:H476"/>
    <mergeCell ref="B473:H473"/>
    <mergeCell ref="B247:I247"/>
    <mergeCell ref="B334:I334"/>
    <mergeCell ref="B309:I309"/>
    <mergeCell ref="B360:I360"/>
    <mergeCell ref="B316:I316"/>
    <mergeCell ref="B319:I319"/>
    <mergeCell ref="B323:I323"/>
    <mergeCell ref="B444:I444"/>
    <mergeCell ref="B437:I437"/>
    <mergeCell ref="B423:I423"/>
    <mergeCell ref="B431:I431"/>
    <mergeCell ref="B461:H461"/>
    <mergeCell ref="B417:I417"/>
    <mergeCell ref="B490:H490"/>
    <mergeCell ref="B465:H465"/>
    <mergeCell ref="B468:H468"/>
    <mergeCell ref="B493:H493"/>
    <mergeCell ref="B491:H491"/>
    <mergeCell ref="B487:H487"/>
    <mergeCell ref="B486:H486"/>
    <mergeCell ref="B467:H467"/>
    <mergeCell ref="B480:H480"/>
    <mergeCell ref="B481:H481"/>
    <mergeCell ref="B483:H483"/>
    <mergeCell ref="B484:H484"/>
    <mergeCell ref="B470:H470"/>
    <mergeCell ref="B471:H471"/>
    <mergeCell ref="B502:I502"/>
    <mergeCell ref="B327:I327"/>
    <mergeCell ref="B341:I341"/>
    <mergeCell ref="B364:I364"/>
    <mergeCell ref="B477:H477"/>
    <mergeCell ref="B447:I447"/>
    <mergeCell ref="B443:H443"/>
    <mergeCell ref="B474:H474"/>
    <mergeCell ref="B458:H458"/>
    <mergeCell ref="B450:I450"/>
    <mergeCell ref="B453:H453"/>
    <mergeCell ref="B440:I440"/>
    <mergeCell ref="B369:I369"/>
    <mergeCell ref="B428:I428"/>
    <mergeCell ref="B492:H492"/>
    <mergeCell ref="B462:H462"/>
  </mergeCells>
  <printOptions gridLines="1"/>
  <pageMargins left="0.51181102362204722" right="0.23622047244094491" top="0.27559055118110237" bottom="0.51181102362204722" header="0.51181102362204722" footer="0.51181102362204722"/>
  <pageSetup paperSize="9" scale="80" orientation="portrait" r:id="rId1"/>
  <headerFooter alignWithMargins="0">
    <oddFooter>Page &amp;P of &amp;N</oddFooter>
  </headerFooter>
  <rowBreaks count="2" manualBreakCount="2">
    <brk id="415" max="10" man="1"/>
    <brk id="442"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60"/>
  <sheetViews>
    <sheetView topLeftCell="A3" zoomScale="142" zoomScaleNormal="142" workbookViewId="0">
      <selection activeCell="E9" sqref="E9:F9"/>
    </sheetView>
  </sheetViews>
  <sheetFormatPr defaultColWidth="10.109375" defaultRowHeight="13.8"/>
  <cols>
    <col min="1" max="1" width="5.88671875" style="1139" customWidth="1"/>
    <col min="2" max="2" width="30.6640625" style="1139" customWidth="1"/>
    <col min="3" max="3" width="24.44140625" style="1152" customWidth="1"/>
    <col min="4" max="4" width="27.88671875" style="1139" customWidth="1"/>
    <col min="5" max="5" width="19.5546875" style="1152" customWidth="1"/>
    <col min="6" max="6" width="15.5546875" style="1152" customWidth="1"/>
    <col min="7" max="7" width="4.88671875" style="1139" customWidth="1"/>
    <col min="8" max="256" width="10.109375" style="1139"/>
  </cols>
  <sheetData>
    <row r="1" spans="1:13" ht="30.75" customHeight="1">
      <c r="A1" s="1155" t="s">
        <v>986</v>
      </c>
      <c r="B1" s="1137"/>
      <c r="C1" s="1137"/>
      <c r="D1" s="1137"/>
      <c r="E1" s="1137"/>
      <c r="F1" s="1137"/>
      <c r="G1" s="1138"/>
    </row>
    <row r="2" spans="1:13" ht="59.25" customHeight="1">
      <c r="B2" s="1140" t="str">
        <f>CONCATENATE(" Accompanying the Detailed Estimate for the work ",'Lead- Input sheet '!A2," PIU Rangareddy DIST ")</f>
        <v xml:space="preserve"> Accompanying the Detailed Estimate for the work  Construction of  Anganwadi Building at Jeedipally Thanda (V) of Kalwakurthy (M) of Nagarkurnool District  PIU Rangareddy DIST </v>
      </c>
      <c r="C2" s="1140"/>
      <c r="D2" s="1140"/>
      <c r="E2" s="1140"/>
      <c r="F2" s="1140"/>
      <c r="G2" s="1141"/>
    </row>
    <row r="3" spans="1:13" s="1142" customFormat="1" ht="14.1">
      <c r="A3" s="1156"/>
      <c r="B3" s="1157"/>
      <c r="E3" s="1153" t="s">
        <v>497</v>
      </c>
      <c r="F3" s="1158">
        <v>2400000</v>
      </c>
      <c r="G3" s="1139"/>
    </row>
    <row r="4" spans="1:13" s="1142" customFormat="1" ht="74.25" customHeight="1">
      <c r="B4" s="2395" t="s">
        <v>2367</v>
      </c>
      <c r="C4" s="2395"/>
      <c r="D4" s="2395"/>
      <c r="E4" s="2395"/>
      <c r="F4" s="2395"/>
    </row>
    <row r="5" spans="1:13" s="1142" customFormat="1">
      <c r="B5" s="1159" t="s">
        <v>2200</v>
      </c>
      <c r="C5" s="1159" t="s">
        <v>2201</v>
      </c>
      <c r="D5" s="1159" t="s">
        <v>2202</v>
      </c>
      <c r="E5" s="2395" t="s">
        <v>2203</v>
      </c>
      <c r="F5" s="2395"/>
    </row>
    <row r="6" spans="1:13" s="1142" customFormat="1">
      <c r="B6" s="1159" t="s">
        <v>2207</v>
      </c>
      <c r="C6" s="1159" t="s">
        <v>2204</v>
      </c>
      <c r="D6" s="1159" t="s">
        <v>221</v>
      </c>
      <c r="E6" s="2395" t="s">
        <v>2205</v>
      </c>
      <c r="F6" s="2395"/>
    </row>
    <row r="7" spans="1:13" s="1142" customFormat="1">
      <c r="B7" s="1159" t="s">
        <v>2309</v>
      </c>
      <c r="C7" s="1159" t="s">
        <v>2310</v>
      </c>
      <c r="D7" s="1159" t="s">
        <v>2206</v>
      </c>
      <c r="E7" s="1160" t="s">
        <v>2205</v>
      </c>
      <c r="F7" s="1159"/>
    </row>
    <row r="8" spans="1:13" s="1142" customFormat="1">
      <c r="B8" s="1159"/>
      <c r="C8" s="1159"/>
      <c r="D8" s="1159"/>
      <c r="E8" s="1160"/>
      <c r="F8" s="1159"/>
    </row>
    <row r="9" spans="1:13" s="1142" customFormat="1" ht="26.25" customHeight="1">
      <c r="B9" s="1188" t="s">
        <v>2368</v>
      </c>
      <c r="C9" s="1188" t="s">
        <v>2394</v>
      </c>
      <c r="D9" s="1189" t="s">
        <v>2370</v>
      </c>
      <c r="E9" s="2463" t="s">
        <v>2392</v>
      </c>
      <c r="F9" s="2463"/>
    </row>
    <row r="10" spans="1:13" s="1142" customFormat="1" ht="14.1">
      <c r="B10" s="1157"/>
      <c r="C10" s="1157"/>
      <c r="D10" s="1159"/>
      <c r="E10" s="1159"/>
      <c r="F10" s="1159"/>
    </row>
    <row r="11" spans="1:13" s="1142" customFormat="1" ht="14.1">
      <c r="A11" s="1143"/>
      <c r="B11" s="1161" t="s">
        <v>2208</v>
      </c>
      <c r="C11" s="1162"/>
      <c r="D11" s="1161"/>
      <c r="E11" s="1161"/>
      <c r="F11" s="1161"/>
      <c r="H11" s="2399"/>
      <c r="I11" s="2399"/>
      <c r="J11" s="2399"/>
      <c r="K11" s="2399"/>
      <c r="L11" s="2399"/>
      <c r="M11" s="2399"/>
    </row>
    <row r="12" spans="1:13" s="1142" customFormat="1" ht="14.1">
      <c r="A12" s="1143"/>
      <c r="B12" s="1161"/>
      <c r="C12" s="1162"/>
      <c r="D12" s="1161"/>
      <c r="E12" s="1161"/>
      <c r="F12" s="1161"/>
      <c r="H12" s="1187"/>
      <c r="I12" s="1187"/>
      <c r="J12" s="1187"/>
      <c r="K12" s="1187"/>
      <c r="L12" s="1187"/>
      <c r="M12" s="1187"/>
    </row>
    <row r="13" spans="1:13" s="1146" customFormat="1" ht="67.5" customHeight="1">
      <c r="A13" s="1144">
        <v>1</v>
      </c>
      <c r="B13" s="2395" t="s">
        <v>2057</v>
      </c>
      <c r="C13" s="2395"/>
      <c r="D13" s="2395"/>
      <c r="E13" s="2395"/>
      <c r="F13" s="2395"/>
      <c r="G13" s="1145"/>
    </row>
    <row r="14" spans="1:13" s="1146" customFormat="1" ht="87" customHeight="1">
      <c r="A14" s="1144">
        <f>A13+1</f>
        <v>2</v>
      </c>
      <c r="B14" s="2398" t="s">
        <v>2371</v>
      </c>
      <c r="C14" s="2398"/>
      <c r="D14" s="2398"/>
      <c r="E14" s="2398"/>
      <c r="F14" s="2398"/>
      <c r="G14" s="1144"/>
    </row>
    <row r="15" spans="1:13" s="1146" customFormat="1" ht="77.25" customHeight="1">
      <c r="A15" s="1144">
        <f t="shared" ref="A15:A39" si="0">A14+1</f>
        <v>3</v>
      </c>
      <c r="B15" s="2398" t="s">
        <v>2312</v>
      </c>
      <c r="C15" s="2398"/>
      <c r="D15" s="2398"/>
      <c r="E15" s="2398"/>
      <c r="F15" s="2398"/>
      <c r="G15" s="1144"/>
    </row>
    <row r="16" spans="1:13" s="1146" customFormat="1" ht="60.75" customHeight="1">
      <c r="A16" s="1144">
        <f t="shared" si="0"/>
        <v>4</v>
      </c>
      <c r="B16" s="2398" t="s">
        <v>2313</v>
      </c>
      <c r="C16" s="2398"/>
      <c r="D16" s="2398"/>
      <c r="E16" s="2398"/>
      <c r="F16" s="2398"/>
      <c r="G16" s="1145"/>
    </row>
    <row r="17" spans="1:7" s="1055" customFormat="1" ht="72.75" customHeight="1">
      <c r="A17" s="1144">
        <f t="shared" si="0"/>
        <v>5</v>
      </c>
      <c r="B17" s="2396" t="s">
        <v>2314</v>
      </c>
      <c r="C17" s="2397"/>
      <c r="D17" s="2397"/>
      <c r="E17" s="2397"/>
      <c r="F17" s="2397"/>
      <c r="G17" s="1145"/>
    </row>
    <row r="18" spans="1:7" s="1055" customFormat="1" ht="96.75" customHeight="1">
      <c r="A18" s="1144">
        <f t="shared" si="0"/>
        <v>6</v>
      </c>
      <c r="B18" s="2396" t="s">
        <v>2315</v>
      </c>
      <c r="C18" s="2397"/>
      <c r="D18" s="2397"/>
      <c r="E18" s="2397"/>
      <c r="F18" s="2397"/>
      <c r="G18" s="1145"/>
    </row>
    <row r="19" spans="1:7" s="1055" customFormat="1" ht="69" customHeight="1">
      <c r="A19" s="1144">
        <f t="shared" si="0"/>
        <v>7</v>
      </c>
      <c r="B19" s="2396" t="s">
        <v>2316</v>
      </c>
      <c r="C19" s="2397"/>
      <c r="D19" s="2397"/>
      <c r="E19" s="2397"/>
      <c r="F19" s="2397"/>
      <c r="G19" s="1145"/>
    </row>
    <row r="20" spans="1:7" s="1055" customFormat="1" ht="65.25" customHeight="1">
      <c r="A20" s="1144">
        <f t="shared" si="0"/>
        <v>8</v>
      </c>
      <c r="B20" s="2395" t="s">
        <v>2317</v>
      </c>
      <c r="C20" s="2395"/>
      <c r="D20" s="2395"/>
      <c r="E20" s="2395"/>
      <c r="F20" s="2395"/>
      <c r="G20" s="1145"/>
    </row>
    <row r="21" spans="1:7" s="1055" customFormat="1" ht="97.5" customHeight="1">
      <c r="A21" s="1144">
        <f t="shared" si="0"/>
        <v>9</v>
      </c>
      <c r="B21" s="2395" t="s">
        <v>144</v>
      </c>
      <c r="C21" s="2395"/>
      <c r="D21" s="2395"/>
      <c r="E21" s="2395"/>
      <c r="F21" s="2395"/>
      <c r="G21" s="1147"/>
    </row>
    <row r="22" spans="1:7" s="1055" customFormat="1" ht="86.25" customHeight="1">
      <c r="A22" s="1144">
        <f t="shared" si="0"/>
        <v>10</v>
      </c>
      <c r="B22" s="2395" t="s">
        <v>634</v>
      </c>
      <c r="C22" s="2395"/>
      <c r="D22" s="2395"/>
      <c r="E22" s="2395"/>
      <c r="F22" s="2395"/>
      <c r="G22" s="1147"/>
    </row>
    <row r="23" spans="1:7" s="1055" customFormat="1" ht="76.5" customHeight="1">
      <c r="A23" s="1144">
        <f t="shared" si="0"/>
        <v>11</v>
      </c>
      <c r="B23" s="2398" t="s">
        <v>1376</v>
      </c>
      <c r="C23" s="2398"/>
      <c r="D23" s="2398"/>
      <c r="E23" s="2398"/>
      <c r="F23" s="2398"/>
      <c r="G23" s="1147"/>
    </row>
    <row r="24" spans="1:7" s="1055" customFormat="1">
      <c r="A24" s="1144"/>
      <c r="B24" s="2398"/>
      <c r="C24" s="2398"/>
      <c r="D24" s="2398"/>
      <c r="E24" s="2398"/>
      <c r="F24" s="2398"/>
      <c r="G24" s="1147"/>
    </row>
    <row r="25" spans="1:7" s="1055" customFormat="1" ht="38.25" customHeight="1">
      <c r="A25" s="1144">
        <v>12</v>
      </c>
      <c r="B25" s="2398" t="s">
        <v>2251</v>
      </c>
      <c r="C25" s="2398"/>
      <c r="D25" s="2398"/>
      <c r="E25" s="2398"/>
      <c r="F25" s="2398"/>
      <c r="G25" s="1147"/>
    </row>
    <row r="26" spans="1:7" s="1055" customFormat="1" ht="62.25" customHeight="1">
      <c r="A26" s="1144">
        <f t="shared" si="0"/>
        <v>13</v>
      </c>
      <c r="B26" s="2398" t="s">
        <v>2252</v>
      </c>
      <c r="C26" s="2398"/>
      <c r="D26" s="2398"/>
      <c r="E26" s="2398"/>
      <c r="F26" s="2398"/>
      <c r="G26" s="1147"/>
    </row>
    <row r="27" spans="1:7" s="1055" customFormat="1" ht="76.5" customHeight="1">
      <c r="A27" s="1144">
        <f t="shared" si="0"/>
        <v>14</v>
      </c>
      <c r="B27" s="2398" t="s">
        <v>2253</v>
      </c>
      <c r="C27" s="2398"/>
      <c r="D27" s="2398"/>
      <c r="E27" s="2398"/>
      <c r="F27" s="2398"/>
      <c r="G27" s="1147"/>
    </row>
    <row r="28" spans="1:7" s="1055" customFormat="1" ht="76.5" customHeight="1">
      <c r="A28" s="1144">
        <f t="shared" si="0"/>
        <v>15</v>
      </c>
      <c r="B28" s="2398" t="s">
        <v>2197</v>
      </c>
      <c r="C28" s="2398"/>
      <c r="D28" s="2398"/>
      <c r="E28" s="2398"/>
      <c r="F28" s="2398"/>
      <c r="G28" s="1147"/>
    </row>
    <row r="29" spans="1:7" s="1055" customFormat="1" ht="94.5" customHeight="1">
      <c r="A29" s="1144">
        <f t="shared" si="0"/>
        <v>16</v>
      </c>
      <c r="B29" s="2395" t="s">
        <v>2234</v>
      </c>
      <c r="C29" s="2395"/>
      <c r="D29" s="2395"/>
      <c r="E29" s="2395"/>
      <c r="F29" s="2395"/>
      <c r="G29" s="1147"/>
    </row>
    <row r="30" spans="1:7" s="1055" customFormat="1" ht="39.75" customHeight="1">
      <c r="A30" s="1144">
        <f t="shared" si="0"/>
        <v>17</v>
      </c>
      <c r="B30" s="1163" t="s">
        <v>2249</v>
      </c>
      <c r="C30" s="1163" t="s">
        <v>2230</v>
      </c>
      <c r="D30" s="1163" t="s">
        <v>2248</v>
      </c>
      <c r="E30" s="1159"/>
      <c r="F30" s="1159"/>
      <c r="G30" s="1147"/>
    </row>
    <row r="31" spans="1:7" s="1055" customFormat="1" ht="153.75" customHeight="1">
      <c r="A31" s="1144">
        <f t="shared" si="0"/>
        <v>18</v>
      </c>
      <c r="B31" s="2395" t="s">
        <v>2246</v>
      </c>
      <c r="C31" s="2395"/>
      <c r="D31" s="2395"/>
      <c r="E31" s="2395"/>
      <c r="F31" s="2395"/>
      <c r="G31" s="1147"/>
    </row>
    <row r="32" spans="1:7" s="1055" customFormat="1" ht="21" customHeight="1">
      <c r="A32" s="1144">
        <f t="shared" si="0"/>
        <v>19</v>
      </c>
      <c r="B32" s="1163" t="s">
        <v>2250</v>
      </c>
      <c r="C32" s="1159"/>
      <c r="D32" s="1159"/>
      <c r="E32" s="1159"/>
      <c r="F32" s="1159"/>
      <c r="G32" s="1147"/>
    </row>
    <row r="33" spans="1:7" ht="23.25" customHeight="1">
      <c r="A33" s="1144">
        <f t="shared" si="0"/>
        <v>20</v>
      </c>
      <c r="B33" s="2400" t="s">
        <v>434</v>
      </c>
      <c r="C33" s="2400"/>
      <c r="D33" s="2400"/>
      <c r="E33" s="2400"/>
      <c r="F33" s="2400"/>
    </row>
    <row r="34" spans="1:7" s="1055" customFormat="1" ht="114.9" customHeight="1">
      <c r="A34" s="1144">
        <f t="shared" si="0"/>
        <v>21</v>
      </c>
      <c r="B34" s="2400" t="s">
        <v>2346</v>
      </c>
      <c r="C34" s="2400"/>
      <c r="D34" s="2400"/>
      <c r="E34" s="2400"/>
      <c r="F34" s="2400"/>
      <c r="G34" s="1147"/>
    </row>
    <row r="35" spans="1:7" ht="95.25" customHeight="1">
      <c r="A35" s="1144">
        <f t="shared" si="0"/>
        <v>22</v>
      </c>
      <c r="B35" s="2400" t="s">
        <v>2198</v>
      </c>
      <c r="C35" s="2400"/>
      <c r="D35" s="2400"/>
      <c r="E35" s="2400"/>
      <c r="F35" s="2400"/>
    </row>
    <row r="36" spans="1:7" ht="101.25" customHeight="1">
      <c r="A36" s="1144">
        <f t="shared" si="0"/>
        <v>23</v>
      </c>
      <c r="B36" s="2400" t="s">
        <v>1340</v>
      </c>
      <c r="C36" s="2400"/>
      <c r="D36" s="2400"/>
      <c r="E36" s="2400"/>
      <c r="F36" s="2400"/>
    </row>
    <row r="37" spans="1:7" s="1055" customFormat="1" ht="67.5" customHeight="1">
      <c r="A37" s="1144">
        <f t="shared" si="0"/>
        <v>24</v>
      </c>
      <c r="B37" s="2400" t="s">
        <v>2180</v>
      </c>
      <c r="C37" s="2400"/>
      <c r="D37" s="2400"/>
      <c r="E37" s="2400"/>
      <c r="F37" s="2400"/>
      <c r="G37" s="1145"/>
    </row>
    <row r="38" spans="1:7" s="1055" customFormat="1" ht="28.5" customHeight="1">
      <c r="A38" s="1144">
        <f t="shared" si="0"/>
        <v>25</v>
      </c>
      <c r="B38" s="2400" t="s">
        <v>2254</v>
      </c>
      <c r="C38" s="2400"/>
      <c r="D38" s="2400"/>
      <c r="E38" s="2400"/>
      <c r="F38" s="2400"/>
      <c r="G38" s="1145"/>
    </row>
    <row r="39" spans="1:7" s="1055" customFormat="1">
      <c r="A39" s="1144">
        <f t="shared" si="0"/>
        <v>26</v>
      </c>
      <c r="B39" s="2400" t="s">
        <v>2255</v>
      </c>
      <c r="C39" s="2400"/>
      <c r="D39" s="2400"/>
      <c r="E39" s="2400"/>
      <c r="F39" s="2400"/>
      <c r="G39" s="1145"/>
    </row>
    <row r="40" spans="1:7" s="1055" customFormat="1" ht="18.75" customHeight="1">
      <c r="A40" s="1144"/>
      <c r="B40" s="2400"/>
      <c r="C40" s="2400"/>
      <c r="D40" s="2400"/>
      <c r="E40" s="2400"/>
      <c r="F40" s="2400"/>
      <c r="G40" s="1145"/>
    </row>
    <row r="41" spans="1:7" s="1055" customFormat="1" ht="39" customHeight="1">
      <c r="A41" s="1148"/>
      <c r="B41" s="2401" t="s">
        <v>2199</v>
      </c>
      <c r="C41" s="2401"/>
      <c r="D41" s="2401"/>
      <c r="E41" s="2401"/>
      <c r="F41" s="2401"/>
      <c r="G41" s="1145"/>
    </row>
    <row r="42" spans="1:7" s="1055" customFormat="1">
      <c r="A42" s="1142"/>
      <c r="B42" s="1142"/>
      <c r="C42" s="1142"/>
      <c r="D42" s="1142"/>
      <c r="E42" s="1142"/>
      <c r="F42" s="1142"/>
      <c r="G42" s="1145"/>
    </row>
    <row r="43" spans="1:7" s="1055" customFormat="1">
      <c r="A43" s="1142"/>
      <c r="B43" s="1142"/>
      <c r="C43" s="1142"/>
      <c r="D43" s="1142"/>
      <c r="E43" s="1142"/>
      <c r="F43" s="1142"/>
      <c r="G43" s="1145"/>
    </row>
    <row r="44" spans="1:7">
      <c r="A44" s="1142"/>
      <c r="B44" s="1142"/>
      <c r="C44" s="1142"/>
      <c r="D44" s="1142"/>
      <c r="E44" s="1142"/>
      <c r="F44" s="1142"/>
    </row>
    <row r="45" spans="1:7" s="1151" customFormat="1" ht="15" customHeight="1">
      <c r="A45" s="1149"/>
      <c r="B45" s="1150" t="str">
        <f>'Lead- Input sheet '!B44</f>
        <v xml:space="preserve">  Assistant Exc.Engineer  </v>
      </c>
      <c r="D45" s="1150" t="str">
        <f>'Lead- Input sheet '!H44</f>
        <v>Deputy Executive Engineer</v>
      </c>
      <c r="E45" s="1150"/>
      <c r="F45" s="1150"/>
    </row>
    <row r="46" spans="1:7" s="1142" customFormat="1" ht="14.1">
      <c r="A46" s="1149"/>
      <c r="B46" s="1150" t="str">
        <f>'Lead- Input sheet '!B45</f>
        <v>PR MPP Kalwakurthy</v>
      </c>
      <c r="D46" s="1150" t="str">
        <f>'Lead- Input sheet '!H45</f>
        <v>PR SD Kalwakurthy</v>
      </c>
      <c r="E46" s="1150"/>
      <c r="F46" s="1150"/>
    </row>
    <row r="47" spans="1:7" s="1142" customFormat="1" ht="14.1">
      <c r="A47" s="1149"/>
      <c r="B47" s="1149"/>
      <c r="C47" s="1150"/>
      <c r="D47" s="1149"/>
      <c r="E47" s="1150"/>
      <c r="F47" s="1150"/>
    </row>
    <row r="48" spans="1:7" s="1142" customFormat="1">
      <c r="A48" s="1139"/>
      <c r="B48" s="1139"/>
      <c r="C48" s="1152"/>
      <c r="D48" s="1139"/>
      <c r="E48" s="1152"/>
      <c r="F48" s="1152"/>
    </row>
    <row r="49" spans="1:10" s="1149" customFormat="1" ht="14.1">
      <c r="A49" s="1139"/>
      <c r="B49" s="1139"/>
      <c r="C49" s="1152"/>
      <c r="D49" s="1139"/>
      <c r="E49" s="1152"/>
      <c r="F49" s="1152"/>
      <c r="G49" s="1150"/>
      <c r="H49" s="1150"/>
      <c r="I49" s="1150"/>
      <c r="J49" s="1150"/>
    </row>
    <row r="50" spans="1:10" s="1149" customFormat="1" ht="14.1">
      <c r="A50" s="1139"/>
      <c r="B50" s="1139"/>
      <c r="C50" s="1152"/>
      <c r="D50" s="1139"/>
      <c r="E50" s="1152"/>
      <c r="F50" s="1152"/>
      <c r="G50" s="1150"/>
      <c r="H50" s="1150"/>
      <c r="I50" s="1150"/>
      <c r="J50" s="1150"/>
    </row>
    <row r="51" spans="1:10" s="1149" customFormat="1" ht="14.1">
      <c r="A51" s="1139"/>
      <c r="B51" s="1139"/>
      <c r="C51" s="1152"/>
      <c r="D51" s="1139"/>
      <c r="E51" s="1152"/>
      <c r="F51" s="1152"/>
      <c r="G51" s="1153"/>
    </row>
    <row r="54" spans="1:10">
      <c r="A54" s="1154"/>
      <c r="B54" s="2400"/>
      <c r="C54" s="2400"/>
      <c r="D54" s="2400"/>
      <c r="E54" s="2400"/>
      <c r="F54" s="2400"/>
    </row>
    <row r="55" spans="1:10">
      <c r="A55" s="1154"/>
      <c r="B55" s="2400"/>
      <c r="C55" s="2400"/>
      <c r="D55" s="2400"/>
      <c r="E55" s="2400"/>
      <c r="F55" s="2400"/>
    </row>
    <row r="56" spans="1:10">
      <c r="A56" s="1154"/>
      <c r="B56" s="2400"/>
      <c r="C56" s="2400"/>
      <c r="D56" s="2400"/>
      <c r="E56" s="2400"/>
      <c r="F56" s="2400"/>
    </row>
    <row r="58" spans="1:10" s="1055" customFormat="1" ht="30.75" customHeight="1">
      <c r="A58" s="1139"/>
      <c r="B58" s="1139"/>
      <c r="C58" s="1152"/>
      <c r="D58" s="1139"/>
      <c r="E58" s="1152"/>
      <c r="F58" s="1152"/>
      <c r="G58" s="1145"/>
    </row>
    <row r="59" spans="1:10" s="1055" customFormat="1" ht="61.5" customHeight="1">
      <c r="A59" s="1139"/>
      <c r="B59" s="1139"/>
      <c r="C59" s="1152"/>
      <c r="D59" s="1139"/>
      <c r="E59" s="1152"/>
      <c r="F59" s="1152"/>
      <c r="G59" s="1145"/>
    </row>
    <row r="60" spans="1:10" s="1055" customFormat="1" ht="30.75" customHeight="1">
      <c r="A60" s="1139"/>
      <c r="B60" s="1139"/>
      <c r="C60" s="1152"/>
      <c r="D60" s="1139"/>
      <c r="E60" s="1152"/>
      <c r="F60" s="1152"/>
      <c r="G60" s="1145"/>
    </row>
  </sheetData>
  <mergeCells count="35">
    <mergeCell ref="B56:F56"/>
    <mergeCell ref="B28:F28"/>
    <mergeCell ref="B19:F19"/>
    <mergeCell ref="E5:F5"/>
    <mergeCell ref="B15:F15"/>
    <mergeCell ref="B17:F17"/>
    <mergeCell ref="E9:F9"/>
    <mergeCell ref="B31:F31"/>
    <mergeCell ref="B20:F20"/>
    <mergeCell ref="B21:F21"/>
    <mergeCell ref="B23:F23"/>
    <mergeCell ref="B24:F24"/>
    <mergeCell ref="B25:F25"/>
    <mergeCell ref="H11:M11"/>
    <mergeCell ref="B34:F34"/>
    <mergeCell ref="B55:F55"/>
    <mergeCell ref="B40:F40"/>
    <mergeCell ref="B54:F54"/>
    <mergeCell ref="B37:F37"/>
    <mergeCell ref="B26:F26"/>
    <mergeCell ref="B27:F27"/>
    <mergeCell ref="B39:F39"/>
    <mergeCell ref="B36:F36"/>
    <mergeCell ref="B22:F22"/>
    <mergeCell ref="B41:F41"/>
    <mergeCell ref="B29:F29"/>
    <mergeCell ref="B35:F35"/>
    <mergeCell ref="B38:F38"/>
    <mergeCell ref="B33:F33"/>
    <mergeCell ref="B4:F4"/>
    <mergeCell ref="B18:F18"/>
    <mergeCell ref="B14:F14"/>
    <mergeCell ref="B16:F16"/>
    <mergeCell ref="E6:F6"/>
    <mergeCell ref="B13:F13"/>
  </mergeCells>
  <printOptions horizontalCentered="1"/>
  <pageMargins left="0.5" right="0.25" top="0.75" bottom="0.4" header="0.5" footer="0.5"/>
  <pageSetup paperSize="9" scale="75"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7E001-63EA-4282-AD0C-0BA5CAD5B9CA}">
  <dimension ref="A1:E23"/>
  <sheetViews>
    <sheetView workbookViewId="0">
      <selection activeCell="C8" sqref="C8"/>
    </sheetView>
  </sheetViews>
  <sheetFormatPr defaultRowHeight="12.3"/>
  <cols>
    <col min="2" max="2" width="26" customWidth="1"/>
    <col min="3" max="3" width="26.44140625" customWidth="1"/>
  </cols>
  <sheetData>
    <row r="1" spans="1:5" ht="15">
      <c r="A1" s="1804"/>
      <c r="B1" s="1814"/>
      <c r="C1" s="1814"/>
      <c r="D1" s="1814"/>
      <c r="E1" s="1814"/>
    </row>
    <row r="2" spans="1:5" ht="15">
      <c r="A2" s="1804"/>
      <c r="B2" s="1814"/>
      <c r="C2" s="1814"/>
      <c r="D2" s="1814"/>
      <c r="E2" s="1814"/>
    </row>
    <row r="3" spans="1:5" ht="15">
      <c r="A3" s="1804"/>
      <c r="B3" s="1814" t="s">
        <v>3263</v>
      </c>
      <c r="C3" s="1814" t="s">
        <v>3508</v>
      </c>
      <c r="D3" s="1814"/>
      <c r="E3" s="1814"/>
    </row>
    <row r="4" spans="1:5" ht="15">
      <c r="A4" s="1804"/>
      <c r="B4" s="1814"/>
      <c r="C4" s="1814"/>
      <c r="D4" s="1814"/>
      <c r="E4" s="1814"/>
    </row>
    <row r="5" spans="1:5" ht="15">
      <c r="A5" s="1804"/>
      <c r="B5" s="1814"/>
      <c r="C5" s="1814"/>
      <c r="D5" s="1814"/>
      <c r="E5" s="1814"/>
    </row>
    <row r="6" spans="1:5" ht="15">
      <c r="A6" s="1804"/>
      <c r="B6" s="1814" t="s">
        <v>3179</v>
      </c>
      <c r="C6" s="1814" t="s">
        <v>3583</v>
      </c>
      <c r="D6" s="1814"/>
      <c r="E6" s="1814"/>
    </row>
    <row r="7" spans="1:5" ht="15">
      <c r="A7" s="1804"/>
      <c r="B7" s="1814" t="s">
        <v>3180</v>
      </c>
      <c r="C7" s="1814" t="s">
        <v>3509</v>
      </c>
      <c r="D7" s="1814"/>
      <c r="E7" s="1814"/>
    </row>
    <row r="8" spans="1:5" ht="15">
      <c r="A8" s="1804"/>
      <c r="B8" s="1814" t="s">
        <v>3181</v>
      </c>
      <c r="C8" s="1814" t="s">
        <v>3509</v>
      </c>
      <c r="D8" s="1814"/>
      <c r="E8" s="1814"/>
    </row>
    <row r="9" spans="1:5" ht="15">
      <c r="A9" s="1804"/>
      <c r="B9" s="1814" t="s">
        <v>3182</v>
      </c>
      <c r="C9" s="1814" t="s">
        <v>3193</v>
      </c>
      <c r="D9" s="1814"/>
      <c r="E9" s="1814"/>
    </row>
    <row r="10" spans="1:5" ht="15">
      <c r="A10" s="1804"/>
      <c r="B10" s="1814"/>
      <c r="C10" s="1814"/>
      <c r="D10" s="1814"/>
      <c r="E10" s="1814"/>
    </row>
    <row r="11" spans="1:5" ht="15">
      <c r="A11" s="1804"/>
      <c r="B11" s="1814" t="s">
        <v>3208</v>
      </c>
      <c r="C11" s="1814"/>
      <c r="D11" s="1814"/>
      <c r="E11" s="1814"/>
    </row>
    <row r="12" spans="1:5" ht="15">
      <c r="A12" s="1804"/>
      <c r="B12" s="1815" t="s">
        <v>3183</v>
      </c>
      <c r="C12" s="1815" t="s">
        <v>3186</v>
      </c>
      <c r="D12" s="1815" t="s">
        <v>3261</v>
      </c>
      <c r="E12" s="1815"/>
    </row>
    <row r="13" spans="1:5" ht="15">
      <c r="A13" s="1804"/>
      <c r="B13" s="1814" t="s">
        <v>2845</v>
      </c>
      <c r="C13" s="1814" t="s">
        <v>3510</v>
      </c>
      <c r="D13" s="1814">
        <v>19</v>
      </c>
      <c r="E13" s="1814"/>
    </row>
    <row r="14" spans="1:5" ht="15">
      <c r="A14" s="1804"/>
      <c r="B14" s="1814" t="s">
        <v>3184</v>
      </c>
      <c r="C14" s="1814" t="s">
        <v>3188</v>
      </c>
      <c r="D14" s="1814">
        <v>19</v>
      </c>
      <c r="E14" s="1814"/>
    </row>
    <row r="15" spans="1:5" ht="15">
      <c r="A15" s="1804"/>
      <c r="B15" s="1814" t="s">
        <v>487</v>
      </c>
      <c r="C15" s="1814" t="s">
        <v>3511</v>
      </c>
      <c r="D15" s="1814">
        <v>18</v>
      </c>
      <c r="E15" s="1814"/>
    </row>
    <row r="16" spans="1:5" ht="15">
      <c r="A16" s="1804"/>
      <c r="B16" s="1814" t="s">
        <v>3185</v>
      </c>
      <c r="C16" s="1814" t="s">
        <v>3189</v>
      </c>
      <c r="D16" s="1814">
        <v>36</v>
      </c>
      <c r="E16" s="1814"/>
    </row>
    <row r="17" spans="1:5" ht="15">
      <c r="A17" s="1804"/>
      <c r="B17" s="1814" t="s">
        <v>3187</v>
      </c>
      <c r="C17" s="1814" t="s">
        <v>3513</v>
      </c>
      <c r="D17" s="1814">
        <v>11</v>
      </c>
      <c r="E17" s="1814"/>
    </row>
    <row r="18" spans="1:5" ht="15">
      <c r="A18" s="1804"/>
      <c r="B18" s="1814" t="s">
        <v>3190</v>
      </c>
      <c r="C18" s="1814" t="s">
        <v>3512</v>
      </c>
      <c r="D18" s="1814">
        <v>8</v>
      </c>
      <c r="E18" s="1814"/>
    </row>
    <row r="19" spans="1:5" ht="15">
      <c r="A19" s="1804"/>
      <c r="B19" s="1814" t="s">
        <v>3191</v>
      </c>
      <c r="C19" s="1814" t="s">
        <v>3189</v>
      </c>
      <c r="D19" s="1814">
        <v>36</v>
      </c>
      <c r="E19" s="1814"/>
    </row>
    <row r="20" spans="1:5" ht="15">
      <c r="A20" s="1804"/>
      <c r="B20" s="1814" t="s">
        <v>3192</v>
      </c>
      <c r="C20" s="1814" t="s">
        <v>3188</v>
      </c>
      <c r="D20" s="1814">
        <v>5</v>
      </c>
      <c r="E20" s="1814"/>
    </row>
    <row r="21" spans="1:5" ht="15">
      <c r="A21" s="1804"/>
      <c r="B21" s="1814" t="s">
        <v>3563</v>
      </c>
      <c r="C21" s="1814" t="s">
        <v>2089</v>
      </c>
      <c r="D21" s="1814">
        <v>150</v>
      </c>
      <c r="E21" s="1814"/>
    </row>
    <row r="22" spans="1:5" ht="15">
      <c r="A22" s="1804"/>
      <c r="B22" s="1814"/>
      <c r="C22" s="1814"/>
      <c r="D22" s="1814"/>
      <c r="E22" s="1814"/>
    </row>
    <row r="23" spans="1:5" ht="15">
      <c r="B23" s="1814"/>
      <c r="C23" s="1814"/>
      <c r="D23" s="1814"/>
      <c r="E23" s="1814"/>
    </row>
  </sheetData>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2902B-288F-470A-BF8D-925A216FBCEC}">
  <dimension ref="A1:IV36"/>
  <sheetViews>
    <sheetView view="pageBreakPreview" topLeftCell="A9" zoomScale="55" zoomScaleNormal="80" zoomScaleSheetLayoutView="55" workbookViewId="0">
      <selection activeCell="K42" sqref="K42"/>
    </sheetView>
  </sheetViews>
  <sheetFormatPr defaultColWidth="7.5546875" defaultRowHeight="13.2"/>
  <cols>
    <col min="1" max="3" width="2.88671875" style="2111" customWidth="1"/>
    <col min="4" max="4" width="4" style="2111" customWidth="1"/>
    <col min="5" max="5" width="7.5546875" style="2111"/>
    <col min="6" max="6" width="6.44140625" style="2111" customWidth="1"/>
    <col min="7" max="7" width="7.5546875" style="2111"/>
    <col min="8" max="8" width="3" style="2111" customWidth="1"/>
    <col min="9" max="9" width="12.44140625" style="2111" customWidth="1"/>
    <col min="10" max="10" width="9.33203125" style="2111" customWidth="1"/>
    <col min="11" max="11" width="15.33203125" style="2111" customWidth="1"/>
    <col min="12" max="12" width="14.6640625" style="2111" customWidth="1"/>
    <col min="13" max="13" width="4.109375" style="2111" customWidth="1"/>
    <col min="14" max="256" width="7.5546875" style="2111"/>
    <col min="257" max="259" width="2.88671875" style="2111" customWidth="1"/>
    <col min="260" max="260" width="4" style="2111" customWidth="1"/>
    <col min="261" max="261" width="7.5546875" style="2111"/>
    <col min="262" max="262" width="6.44140625" style="2111" customWidth="1"/>
    <col min="263" max="263" width="7.5546875" style="2111"/>
    <col min="264" max="264" width="3" style="2111" customWidth="1"/>
    <col min="265" max="265" width="12.44140625" style="2111" customWidth="1"/>
    <col min="266" max="266" width="9.33203125" style="2111" customWidth="1"/>
    <col min="267" max="267" width="15.33203125" style="2111" customWidth="1"/>
    <col min="268" max="268" width="14.6640625" style="2111" customWidth="1"/>
    <col min="269" max="269" width="4.109375" style="2111" customWidth="1"/>
    <col min="270" max="512" width="7.5546875" style="2111"/>
    <col min="513" max="515" width="2.88671875" style="2111" customWidth="1"/>
    <col min="516" max="516" width="4" style="2111" customWidth="1"/>
    <col min="517" max="517" width="7.5546875" style="2111"/>
    <col min="518" max="518" width="6.44140625" style="2111" customWidth="1"/>
    <col min="519" max="519" width="7.5546875" style="2111"/>
    <col min="520" max="520" width="3" style="2111" customWidth="1"/>
    <col min="521" max="521" width="12.44140625" style="2111" customWidth="1"/>
    <col min="522" max="522" width="9.33203125" style="2111" customWidth="1"/>
    <col min="523" max="523" width="15.33203125" style="2111" customWidth="1"/>
    <col min="524" max="524" width="14.6640625" style="2111" customWidth="1"/>
    <col min="525" max="525" width="4.109375" style="2111" customWidth="1"/>
    <col min="526" max="768" width="7.5546875" style="2111"/>
    <col min="769" max="771" width="2.88671875" style="2111" customWidth="1"/>
    <col min="772" max="772" width="4" style="2111" customWidth="1"/>
    <col min="773" max="773" width="7.5546875" style="2111"/>
    <col min="774" max="774" width="6.44140625" style="2111" customWidth="1"/>
    <col min="775" max="775" width="7.5546875" style="2111"/>
    <col min="776" max="776" width="3" style="2111" customWidth="1"/>
    <col min="777" max="777" width="12.44140625" style="2111" customWidth="1"/>
    <col min="778" max="778" width="9.33203125" style="2111" customWidth="1"/>
    <col min="779" max="779" width="15.33203125" style="2111" customWidth="1"/>
    <col min="780" max="780" width="14.6640625" style="2111" customWidth="1"/>
    <col min="781" max="781" width="4.109375" style="2111" customWidth="1"/>
    <col min="782" max="1024" width="7.5546875" style="2111"/>
    <col min="1025" max="1027" width="2.88671875" style="2111" customWidth="1"/>
    <col min="1028" max="1028" width="4" style="2111" customWidth="1"/>
    <col min="1029" max="1029" width="7.5546875" style="2111"/>
    <col min="1030" max="1030" width="6.44140625" style="2111" customWidth="1"/>
    <col min="1031" max="1031" width="7.5546875" style="2111"/>
    <col min="1032" max="1032" width="3" style="2111" customWidth="1"/>
    <col min="1033" max="1033" width="12.44140625" style="2111" customWidth="1"/>
    <col min="1034" max="1034" width="9.33203125" style="2111" customWidth="1"/>
    <col min="1035" max="1035" width="15.33203125" style="2111" customWidth="1"/>
    <col min="1036" max="1036" width="14.6640625" style="2111" customWidth="1"/>
    <col min="1037" max="1037" width="4.109375" style="2111" customWidth="1"/>
    <col min="1038" max="1280" width="7.5546875" style="2111"/>
    <col min="1281" max="1283" width="2.88671875" style="2111" customWidth="1"/>
    <col min="1284" max="1284" width="4" style="2111" customWidth="1"/>
    <col min="1285" max="1285" width="7.5546875" style="2111"/>
    <col min="1286" max="1286" width="6.44140625" style="2111" customWidth="1"/>
    <col min="1287" max="1287" width="7.5546875" style="2111"/>
    <col min="1288" max="1288" width="3" style="2111" customWidth="1"/>
    <col min="1289" max="1289" width="12.44140625" style="2111" customWidth="1"/>
    <col min="1290" max="1290" width="9.33203125" style="2111" customWidth="1"/>
    <col min="1291" max="1291" width="15.33203125" style="2111" customWidth="1"/>
    <col min="1292" max="1292" width="14.6640625" style="2111" customWidth="1"/>
    <col min="1293" max="1293" width="4.109375" style="2111" customWidth="1"/>
    <col min="1294" max="1536" width="7.5546875" style="2111"/>
    <col min="1537" max="1539" width="2.88671875" style="2111" customWidth="1"/>
    <col min="1540" max="1540" width="4" style="2111" customWidth="1"/>
    <col min="1541" max="1541" width="7.5546875" style="2111"/>
    <col min="1542" max="1542" width="6.44140625" style="2111" customWidth="1"/>
    <col min="1543" max="1543" width="7.5546875" style="2111"/>
    <col min="1544" max="1544" width="3" style="2111" customWidth="1"/>
    <col min="1545" max="1545" width="12.44140625" style="2111" customWidth="1"/>
    <col min="1546" max="1546" width="9.33203125" style="2111" customWidth="1"/>
    <col min="1547" max="1547" width="15.33203125" style="2111" customWidth="1"/>
    <col min="1548" max="1548" width="14.6640625" style="2111" customWidth="1"/>
    <col min="1549" max="1549" width="4.109375" style="2111" customWidth="1"/>
    <col min="1550" max="1792" width="7.5546875" style="2111"/>
    <col min="1793" max="1795" width="2.88671875" style="2111" customWidth="1"/>
    <col min="1796" max="1796" width="4" style="2111" customWidth="1"/>
    <col min="1797" max="1797" width="7.5546875" style="2111"/>
    <col min="1798" max="1798" width="6.44140625" style="2111" customWidth="1"/>
    <col min="1799" max="1799" width="7.5546875" style="2111"/>
    <col min="1800" max="1800" width="3" style="2111" customWidth="1"/>
    <col min="1801" max="1801" width="12.44140625" style="2111" customWidth="1"/>
    <col min="1802" max="1802" width="9.33203125" style="2111" customWidth="1"/>
    <col min="1803" max="1803" width="15.33203125" style="2111" customWidth="1"/>
    <col min="1804" max="1804" width="14.6640625" style="2111" customWidth="1"/>
    <col min="1805" max="1805" width="4.109375" style="2111" customWidth="1"/>
    <col min="1806" max="2048" width="7.5546875" style="2111"/>
    <col min="2049" max="2051" width="2.88671875" style="2111" customWidth="1"/>
    <col min="2052" max="2052" width="4" style="2111" customWidth="1"/>
    <col min="2053" max="2053" width="7.5546875" style="2111"/>
    <col min="2054" max="2054" width="6.44140625" style="2111" customWidth="1"/>
    <col min="2055" max="2055" width="7.5546875" style="2111"/>
    <col min="2056" max="2056" width="3" style="2111" customWidth="1"/>
    <col min="2057" max="2057" width="12.44140625" style="2111" customWidth="1"/>
    <col min="2058" max="2058" width="9.33203125" style="2111" customWidth="1"/>
    <col min="2059" max="2059" width="15.33203125" style="2111" customWidth="1"/>
    <col min="2060" max="2060" width="14.6640625" style="2111" customWidth="1"/>
    <col min="2061" max="2061" width="4.109375" style="2111" customWidth="1"/>
    <col min="2062" max="2304" width="7.5546875" style="2111"/>
    <col min="2305" max="2307" width="2.88671875" style="2111" customWidth="1"/>
    <col min="2308" max="2308" width="4" style="2111" customWidth="1"/>
    <col min="2309" max="2309" width="7.5546875" style="2111"/>
    <col min="2310" max="2310" width="6.44140625" style="2111" customWidth="1"/>
    <col min="2311" max="2311" width="7.5546875" style="2111"/>
    <col min="2312" max="2312" width="3" style="2111" customWidth="1"/>
    <col min="2313" max="2313" width="12.44140625" style="2111" customWidth="1"/>
    <col min="2314" max="2314" width="9.33203125" style="2111" customWidth="1"/>
    <col min="2315" max="2315" width="15.33203125" style="2111" customWidth="1"/>
    <col min="2316" max="2316" width="14.6640625" style="2111" customWidth="1"/>
    <col min="2317" max="2317" width="4.109375" style="2111" customWidth="1"/>
    <col min="2318" max="2560" width="7.5546875" style="2111"/>
    <col min="2561" max="2563" width="2.88671875" style="2111" customWidth="1"/>
    <col min="2564" max="2564" width="4" style="2111" customWidth="1"/>
    <col min="2565" max="2565" width="7.5546875" style="2111"/>
    <col min="2566" max="2566" width="6.44140625" style="2111" customWidth="1"/>
    <col min="2567" max="2567" width="7.5546875" style="2111"/>
    <col min="2568" max="2568" width="3" style="2111" customWidth="1"/>
    <col min="2569" max="2569" width="12.44140625" style="2111" customWidth="1"/>
    <col min="2570" max="2570" width="9.33203125" style="2111" customWidth="1"/>
    <col min="2571" max="2571" width="15.33203125" style="2111" customWidth="1"/>
    <col min="2572" max="2572" width="14.6640625" style="2111" customWidth="1"/>
    <col min="2573" max="2573" width="4.109375" style="2111" customWidth="1"/>
    <col min="2574" max="2816" width="7.5546875" style="2111"/>
    <col min="2817" max="2819" width="2.88671875" style="2111" customWidth="1"/>
    <col min="2820" max="2820" width="4" style="2111" customWidth="1"/>
    <col min="2821" max="2821" width="7.5546875" style="2111"/>
    <col min="2822" max="2822" width="6.44140625" style="2111" customWidth="1"/>
    <col min="2823" max="2823" width="7.5546875" style="2111"/>
    <col min="2824" max="2824" width="3" style="2111" customWidth="1"/>
    <col min="2825" max="2825" width="12.44140625" style="2111" customWidth="1"/>
    <col min="2826" max="2826" width="9.33203125" style="2111" customWidth="1"/>
    <col min="2827" max="2827" width="15.33203125" style="2111" customWidth="1"/>
    <col min="2828" max="2828" width="14.6640625" style="2111" customWidth="1"/>
    <col min="2829" max="2829" width="4.109375" style="2111" customWidth="1"/>
    <col min="2830" max="3072" width="7.5546875" style="2111"/>
    <col min="3073" max="3075" width="2.88671875" style="2111" customWidth="1"/>
    <col min="3076" max="3076" width="4" style="2111" customWidth="1"/>
    <col min="3077" max="3077" width="7.5546875" style="2111"/>
    <col min="3078" max="3078" width="6.44140625" style="2111" customWidth="1"/>
    <col min="3079" max="3079" width="7.5546875" style="2111"/>
    <col min="3080" max="3080" width="3" style="2111" customWidth="1"/>
    <col min="3081" max="3081" width="12.44140625" style="2111" customWidth="1"/>
    <col min="3082" max="3082" width="9.33203125" style="2111" customWidth="1"/>
    <col min="3083" max="3083" width="15.33203125" style="2111" customWidth="1"/>
    <col min="3084" max="3084" width="14.6640625" style="2111" customWidth="1"/>
    <col min="3085" max="3085" width="4.109375" style="2111" customWidth="1"/>
    <col min="3086" max="3328" width="7.5546875" style="2111"/>
    <col min="3329" max="3331" width="2.88671875" style="2111" customWidth="1"/>
    <col min="3332" max="3332" width="4" style="2111" customWidth="1"/>
    <col min="3333" max="3333" width="7.5546875" style="2111"/>
    <col min="3334" max="3334" width="6.44140625" style="2111" customWidth="1"/>
    <col min="3335" max="3335" width="7.5546875" style="2111"/>
    <col min="3336" max="3336" width="3" style="2111" customWidth="1"/>
    <col min="3337" max="3337" width="12.44140625" style="2111" customWidth="1"/>
    <col min="3338" max="3338" width="9.33203125" style="2111" customWidth="1"/>
    <col min="3339" max="3339" width="15.33203125" style="2111" customWidth="1"/>
    <col min="3340" max="3340" width="14.6640625" style="2111" customWidth="1"/>
    <col min="3341" max="3341" width="4.109375" style="2111" customWidth="1"/>
    <col min="3342" max="3584" width="7.5546875" style="2111"/>
    <col min="3585" max="3587" width="2.88671875" style="2111" customWidth="1"/>
    <col min="3588" max="3588" width="4" style="2111" customWidth="1"/>
    <col min="3589" max="3589" width="7.5546875" style="2111"/>
    <col min="3590" max="3590" width="6.44140625" style="2111" customWidth="1"/>
    <col min="3591" max="3591" width="7.5546875" style="2111"/>
    <col min="3592" max="3592" width="3" style="2111" customWidth="1"/>
    <col min="3593" max="3593" width="12.44140625" style="2111" customWidth="1"/>
    <col min="3594" max="3594" width="9.33203125" style="2111" customWidth="1"/>
    <col min="3595" max="3595" width="15.33203125" style="2111" customWidth="1"/>
    <col min="3596" max="3596" width="14.6640625" style="2111" customWidth="1"/>
    <col min="3597" max="3597" width="4.109375" style="2111" customWidth="1"/>
    <col min="3598" max="3840" width="7.5546875" style="2111"/>
    <col min="3841" max="3843" width="2.88671875" style="2111" customWidth="1"/>
    <col min="3844" max="3844" width="4" style="2111" customWidth="1"/>
    <col min="3845" max="3845" width="7.5546875" style="2111"/>
    <col min="3846" max="3846" width="6.44140625" style="2111" customWidth="1"/>
    <col min="3847" max="3847" width="7.5546875" style="2111"/>
    <col min="3848" max="3848" width="3" style="2111" customWidth="1"/>
    <col min="3849" max="3849" width="12.44140625" style="2111" customWidth="1"/>
    <col min="3850" max="3850" width="9.33203125" style="2111" customWidth="1"/>
    <col min="3851" max="3851" width="15.33203125" style="2111" customWidth="1"/>
    <col min="3852" max="3852" width="14.6640625" style="2111" customWidth="1"/>
    <col min="3853" max="3853" width="4.109375" style="2111" customWidth="1"/>
    <col min="3854" max="4096" width="7.5546875" style="2111"/>
    <col min="4097" max="4099" width="2.88671875" style="2111" customWidth="1"/>
    <col min="4100" max="4100" width="4" style="2111" customWidth="1"/>
    <col min="4101" max="4101" width="7.5546875" style="2111"/>
    <col min="4102" max="4102" width="6.44140625" style="2111" customWidth="1"/>
    <col min="4103" max="4103" width="7.5546875" style="2111"/>
    <col min="4104" max="4104" width="3" style="2111" customWidth="1"/>
    <col min="4105" max="4105" width="12.44140625" style="2111" customWidth="1"/>
    <col min="4106" max="4106" width="9.33203125" style="2111" customWidth="1"/>
    <col min="4107" max="4107" width="15.33203125" style="2111" customWidth="1"/>
    <col min="4108" max="4108" width="14.6640625" style="2111" customWidth="1"/>
    <col min="4109" max="4109" width="4.109375" style="2111" customWidth="1"/>
    <col min="4110" max="4352" width="7.5546875" style="2111"/>
    <col min="4353" max="4355" width="2.88671875" style="2111" customWidth="1"/>
    <col min="4356" max="4356" width="4" style="2111" customWidth="1"/>
    <col min="4357" max="4357" width="7.5546875" style="2111"/>
    <col min="4358" max="4358" width="6.44140625" style="2111" customWidth="1"/>
    <col min="4359" max="4359" width="7.5546875" style="2111"/>
    <col min="4360" max="4360" width="3" style="2111" customWidth="1"/>
    <col min="4361" max="4361" width="12.44140625" style="2111" customWidth="1"/>
    <col min="4362" max="4362" width="9.33203125" style="2111" customWidth="1"/>
    <col min="4363" max="4363" width="15.33203125" style="2111" customWidth="1"/>
    <col min="4364" max="4364" width="14.6640625" style="2111" customWidth="1"/>
    <col min="4365" max="4365" width="4.109375" style="2111" customWidth="1"/>
    <col min="4366" max="4608" width="7.5546875" style="2111"/>
    <col min="4609" max="4611" width="2.88671875" style="2111" customWidth="1"/>
    <col min="4612" max="4612" width="4" style="2111" customWidth="1"/>
    <col min="4613" max="4613" width="7.5546875" style="2111"/>
    <col min="4614" max="4614" width="6.44140625" style="2111" customWidth="1"/>
    <col min="4615" max="4615" width="7.5546875" style="2111"/>
    <col min="4616" max="4616" width="3" style="2111" customWidth="1"/>
    <col min="4617" max="4617" width="12.44140625" style="2111" customWidth="1"/>
    <col min="4618" max="4618" width="9.33203125" style="2111" customWidth="1"/>
    <col min="4619" max="4619" width="15.33203125" style="2111" customWidth="1"/>
    <col min="4620" max="4620" width="14.6640625" style="2111" customWidth="1"/>
    <col min="4621" max="4621" width="4.109375" style="2111" customWidth="1"/>
    <col min="4622" max="4864" width="7.5546875" style="2111"/>
    <col min="4865" max="4867" width="2.88671875" style="2111" customWidth="1"/>
    <col min="4868" max="4868" width="4" style="2111" customWidth="1"/>
    <col min="4869" max="4869" width="7.5546875" style="2111"/>
    <col min="4870" max="4870" width="6.44140625" style="2111" customWidth="1"/>
    <col min="4871" max="4871" width="7.5546875" style="2111"/>
    <col min="4872" max="4872" width="3" style="2111" customWidth="1"/>
    <col min="4873" max="4873" width="12.44140625" style="2111" customWidth="1"/>
    <col min="4874" max="4874" width="9.33203125" style="2111" customWidth="1"/>
    <col min="4875" max="4875" width="15.33203125" style="2111" customWidth="1"/>
    <col min="4876" max="4876" width="14.6640625" style="2111" customWidth="1"/>
    <col min="4877" max="4877" width="4.109375" style="2111" customWidth="1"/>
    <col min="4878" max="5120" width="7.5546875" style="2111"/>
    <col min="5121" max="5123" width="2.88671875" style="2111" customWidth="1"/>
    <col min="5124" max="5124" width="4" style="2111" customWidth="1"/>
    <col min="5125" max="5125" width="7.5546875" style="2111"/>
    <col min="5126" max="5126" width="6.44140625" style="2111" customWidth="1"/>
    <col min="5127" max="5127" width="7.5546875" style="2111"/>
    <col min="5128" max="5128" width="3" style="2111" customWidth="1"/>
    <col min="5129" max="5129" width="12.44140625" style="2111" customWidth="1"/>
    <col min="5130" max="5130" width="9.33203125" style="2111" customWidth="1"/>
    <col min="5131" max="5131" width="15.33203125" style="2111" customWidth="1"/>
    <col min="5132" max="5132" width="14.6640625" style="2111" customWidth="1"/>
    <col min="5133" max="5133" width="4.109375" style="2111" customWidth="1"/>
    <col min="5134" max="5376" width="7.5546875" style="2111"/>
    <col min="5377" max="5379" width="2.88671875" style="2111" customWidth="1"/>
    <col min="5380" max="5380" width="4" style="2111" customWidth="1"/>
    <col min="5381" max="5381" width="7.5546875" style="2111"/>
    <col min="5382" max="5382" width="6.44140625" style="2111" customWidth="1"/>
    <col min="5383" max="5383" width="7.5546875" style="2111"/>
    <col min="5384" max="5384" width="3" style="2111" customWidth="1"/>
    <col min="5385" max="5385" width="12.44140625" style="2111" customWidth="1"/>
    <col min="5386" max="5386" width="9.33203125" style="2111" customWidth="1"/>
    <col min="5387" max="5387" width="15.33203125" style="2111" customWidth="1"/>
    <col min="5388" max="5388" width="14.6640625" style="2111" customWidth="1"/>
    <col min="5389" max="5389" width="4.109375" style="2111" customWidth="1"/>
    <col min="5390" max="5632" width="7.5546875" style="2111"/>
    <col min="5633" max="5635" width="2.88671875" style="2111" customWidth="1"/>
    <col min="5636" max="5636" width="4" style="2111" customWidth="1"/>
    <col min="5637" max="5637" width="7.5546875" style="2111"/>
    <col min="5638" max="5638" width="6.44140625" style="2111" customWidth="1"/>
    <col min="5639" max="5639" width="7.5546875" style="2111"/>
    <col min="5640" max="5640" width="3" style="2111" customWidth="1"/>
    <col min="5641" max="5641" width="12.44140625" style="2111" customWidth="1"/>
    <col min="5642" max="5642" width="9.33203125" style="2111" customWidth="1"/>
    <col min="5643" max="5643" width="15.33203125" style="2111" customWidth="1"/>
    <col min="5644" max="5644" width="14.6640625" style="2111" customWidth="1"/>
    <col min="5645" max="5645" width="4.109375" style="2111" customWidth="1"/>
    <col min="5646" max="5888" width="7.5546875" style="2111"/>
    <col min="5889" max="5891" width="2.88671875" style="2111" customWidth="1"/>
    <col min="5892" max="5892" width="4" style="2111" customWidth="1"/>
    <col min="5893" max="5893" width="7.5546875" style="2111"/>
    <col min="5894" max="5894" width="6.44140625" style="2111" customWidth="1"/>
    <col min="5895" max="5895" width="7.5546875" style="2111"/>
    <col min="5896" max="5896" width="3" style="2111" customWidth="1"/>
    <col min="5897" max="5897" width="12.44140625" style="2111" customWidth="1"/>
    <col min="5898" max="5898" width="9.33203125" style="2111" customWidth="1"/>
    <col min="5899" max="5899" width="15.33203125" style="2111" customWidth="1"/>
    <col min="5900" max="5900" width="14.6640625" style="2111" customWidth="1"/>
    <col min="5901" max="5901" width="4.109375" style="2111" customWidth="1"/>
    <col min="5902" max="6144" width="7.5546875" style="2111"/>
    <col min="6145" max="6147" width="2.88671875" style="2111" customWidth="1"/>
    <col min="6148" max="6148" width="4" style="2111" customWidth="1"/>
    <col min="6149" max="6149" width="7.5546875" style="2111"/>
    <col min="6150" max="6150" width="6.44140625" style="2111" customWidth="1"/>
    <col min="6151" max="6151" width="7.5546875" style="2111"/>
    <col min="6152" max="6152" width="3" style="2111" customWidth="1"/>
    <col min="6153" max="6153" width="12.44140625" style="2111" customWidth="1"/>
    <col min="6154" max="6154" width="9.33203125" style="2111" customWidth="1"/>
    <col min="6155" max="6155" width="15.33203125" style="2111" customWidth="1"/>
    <col min="6156" max="6156" width="14.6640625" style="2111" customWidth="1"/>
    <col min="6157" max="6157" width="4.109375" style="2111" customWidth="1"/>
    <col min="6158" max="6400" width="7.5546875" style="2111"/>
    <col min="6401" max="6403" width="2.88671875" style="2111" customWidth="1"/>
    <col min="6404" max="6404" width="4" style="2111" customWidth="1"/>
    <col min="6405" max="6405" width="7.5546875" style="2111"/>
    <col min="6406" max="6406" width="6.44140625" style="2111" customWidth="1"/>
    <col min="6407" max="6407" width="7.5546875" style="2111"/>
    <col min="6408" max="6408" width="3" style="2111" customWidth="1"/>
    <col min="6409" max="6409" width="12.44140625" style="2111" customWidth="1"/>
    <col min="6410" max="6410" width="9.33203125" style="2111" customWidth="1"/>
    <col min="6411" max="6411" width="15.33203125" style="2111" customWidth="1"/>
    <col min="6412" max="6412" width="14.6640625" style="2111" customWidth="1"/>
    <col min="6413" max="6413" width="4.109375" style="2111" customWidth="1"/>
    <col min="6414" max="6656" width="7.5546875" style="2111"/>
    <col min="6657" max="6659" width="2.88671875" style="2111" customWidth="1"/>
    <col min="6660" max="6660" width="4" style="2111" customWidth="1"/>
    <col min="6661" max="6661" width="7.5546875" style="2111"/>
    <col min="6662" max="6662" width="6.44140625" style="2111" customWidth="1"/>
    <col min="6663" max="6663" width="7.5546875" style="2111"/>
    <col min="6664" max="6664" width="3" style="2111" customWidth="1"/>
    <col min="6665" max="6665" width="12.44140625" style="2111" customWidth="1"/>
    <col min="6666" max="6666" width="9.33203125" style="2111" customWidth="1"/>
    <col min="6667" max="6667" width="15.33203125" style="2111" customWidth="1"/>
    <col min="6668" max="6668" width="14.6640625" style="2111" customWidth="1"/>
    <col min="6669" max="6669" width="4.109375" style="2111" customWidth="1"/>
    <col min="6670" max="6912" width="7.5546875" style="2111"/>
    <col min="6913" max="6915" width="2.88671875" style="2111" customWidth="1"/>
    <col min="6916" max="6916" width="4" style="2111" customWidth="1"/>
    <col min="6917" max="6917" width="7.5546875" style="2111"/>
    <col min="6918" max="6918" width="6.44140625" style="2111" customWidth="1"/>
    <col min="6919" max="6919" width="7.5546875" style="2111"/>
    <col min="6920" max="6920" width="3" style="2111" customWidth="1"/>
    <col min="6921" max="6921" width="12.44140625" style="2111" customWidth="1"/>
    <col min="6922" max="6922" width="9.33203125" style="2111" customWidth="1"/>
    <col min="6923" max="6923" width="15.33203125" style="2111" customWidth="1"/>
    <col min="6924" max="6924" width="14.6640625" style="2111" customWidth="1"/>
    <col min="6925" max="6925" width="4.109375" style="2111" customWidth="1"/>
    <col min="6926" max="7168" width="7.5546875" style="2111"/>
    <col min="7169" max="7171" width="2.88671875" style="2111" customWidth="1"/>
    <col min="7172" max="7172" width="4" style="2111" customWidth="1"/>
    <col min="7173" max="7173" width="7.5546875" style="2111"/>
    <col min="7174" max="7174" width="6.44140625" style="2111" customWidth="1"/>
    <col min="7175" max="7175" width="7.5546875" style="2111"/>
    <col min="7176" max="7176" width="3" style="2111" customWidth="1"/>
    <col min="7177" max="7177" width="12.44140625" style="2111" customWidth="1"/>
    <col min="7178" max="7178" width="9.33203125" style="2111" customWidth="1"/>
    <col min="7179" max="7179" width="15.33203125" style="2111" customWidth="1"/>
    <col min="7180" max="7180" width="14.6640625" style="2111" customWidth="1"/>
    <col min="7181" max="7181" width="4.109375" style="2111" customWidth="1"/>
    <col min="7182" max="7424" width="7.5546875" style="2111"/>
    <col min="7425" max="7427" width="2.88671875" style="2111" customWidth="1"/>
    <col min="7428" max="7428" width="4" style="2111" customWidth="1"/>
    <col min="7429" max="7429" width="7.5546875" style="2111"/>
    <col min="7430" max="7430" width="6.44140625" style="2111" customWidth="1"/>
    <col min="7431" max="7431" width="7.5546875" style="2111"/>
    <col min="7432" max="7432" width="3" style="2111" customWidth="1"/>
    <col min="7433" max="7433" width="12.44140625" style="2111" customWidth="1"/>
    <col min="7434" max="7434" width="9.33203125" style="2111" customWidth="1"/>
    <col min="7435" max="7435" width="15.33203125" style="2111" customWidth="1"/>
    <col min="7436" max="7436" width="14.6640625" style="2111" customWidth="1"/>
    <col min="7437" max="7437" width="4.109375" style="2111" customWidth="1"/>
    <col min="7438" max="7680" width="7.5546875" style="2111"/>
    <col min="7681" max="7683" width="2.88671875" style="2111" customWidth="1"/>
    <col min="7684" max="7684" width="4" style="2111" customWidth="1"/>
    <col min="7685" max="7685" width="7.5546875" style="2111"/>
    <col min="7686" max="7686" width="6.44140625" style="2111" customWidth="1"/>
    <col min="7687" max="7687" width="7.5546875" style="2111"/>
    <col min="7688" max="7688" width="3" style="2111" customWidth="1"/>
    <col min="7689" max="7689" width="12.44140625" style="2111" customWidth="1"/>
    <col min="7690" max="7690" width="9.33203125" style="2111" customWidth="1"/>
    <col min="7691" max="7691" width="15.33203125" style="2111" customWidth="1"/>
    <col min="7692" max="7692" width="14.6640625" style="2111" customWidth="1"/>
    <col min="7693" max="7693" width="4.109375" style="2111" customWidth="1"/>
    <col min="7694" max="7936" width="7.5546875" style="2111"/>
    <col min="7937" max="7939" width="2.88671875" style="2111" customWidth="1"/>
    <col min="7940" max="7940" width="4" style="2111" customWidth="1"/>
    <col min="7941" max="7941" width="7.5546875" style="2111"/>
    <col min="7942" max="7942" width="6.44140625" style="2111" customWidth="1"/>
    <col min="7943" max="7943" width="7.5546875" style="2111"/>
    <col min="7944" max="7944" width="3" style="2111" customWidth="1"/>
    <col min="7945" max="7945" width="12.44140625" style="2111" customWidth="1"/>
    <col min="7946" max="7946" width="9.33203125" style="2111" customWidth="1"/>
    <col min="7947" max="7947" width="15.33203125" style="2111" customWidth="1"/>
    <col min="7948" max="7948" width="14.6640625" style="2111" customWidth="1"/>
    <col min="7949" max="7949" width="4.109375" style="2111" customWidth="1"/>
    <col min="7950" max="8192" width="7.5546875" style="2111"/>
    <col min="8193" max="8195" width="2.88671875" style="2111" customWidth="1"/>
    <col min="8196" max="8196" width="4" style="2111" customWidth="1"/>
    <col min="8197" max="8197" width="7.5546875" style="2111"/>
    <col min="8198" max="8198" width="6.44140625" style="2111" customWidth="1"/>
    <col min="8199" max="8199" width="7.5546875" style="2111"/>
    <col min="8200" max="8200" width="3" style="2111" customWidth="1"/>
    <col min="8201" max="8201" width="12.44140625" style="2111" customWidth="1"/>
    <col min="8202" max="8202" width="9.33203125" style="2111" customWidth="1"/>
    <col min="8203" max="8203" width="15.33203125" style="2111" customWidth="1"/>
    <col min="8204" max="8204" width="14.6640625" style="2111" customWidth="1"/>
    <col min="8205" max="8205" width="4.109375" style="2111" customWidth="1"/>
    <col min="8206" max="8448" width="7.5546875" style="2111"/>
    <col min="8449" max="8451" width="2.88671875" style="2111" customWidth="1"/>
    <col min="8452" max="8452" width="4" style="2111" customWidth="1"/>
    <col min="8453" max="8453" width="7.5546875" style="2111"/>
    <col min="8454" max="8454" width="6.44140625" style="2111" customWidth="1"/>
    <col min="8455" max="8455" width="7.5546875" style="2111"/>
    <col min="8456" max="8456" width="3" style="2111" customWidth="1"/>
    <col min="8457" max="8457" width="12.44140625" style="2111" customWidth="1"/>
    <col min="8458" max="8458" width="9.33203125" style="2111" customWidth="1"/>
    <col min="8459" max="8459" width="15.33203125" style="2111" customWidth="1"/>
    <col min="8460" max="8460" width="14.6640625" style="2111" customWidth="1"/>
    <col min="8461" max="8461" width="4.109375" style="2111" customWidth="1"/>
    <col min="8462" max="8704" width="7.5546875" style="2111"/>
    <col min="8705" max="8707" width="2.88671875" style="2111" customWidth="1"/>
    <col min="8708" max="8708" width="4" style="2111" customWidth="1"/>
    <col min="8709" max="8709" width="7.5546875" style="2111"/>
    <col min="8710" max="8710" width="6.44140625" style="2111" customWidth="1"/>
    <col min="8711" max="8711" width="7.5546875" style="2111"/>
    <col min="8712" max="8712" width="3" style="2111" customWidth="1"/>
    <col min="8713" max="8713" width="12.44140625" style="2111" customWidth="1"/>
    <col min="8714" max="8714" width="9.33203125" style="2111" customWidth="1"/>
    <col min="8715" max="8715" width="15.33203125" style="2111" customWidth="1"/>
    <col min="8716" max="8716" width="14.6640625" style="2111" customWidth="1"/>
    <col min="8717" max="8717" width="4.109375" style="2111" customWidth="1"/>
    <col min="8718" max="8960" width="7.5546875" style="2111"/>
    <col min="8961" max="8963" width="2.88671875" style="2111" customWidth="1"/>
    <col min="8964" max="8964" width="4" style="2111" customWidth="1"/>
    <col min="8965" max="8965" width="7.5546875" style="2111"/>
    <col min="8966" max="8966" width="6.44140625" style="2111" customWidth="1"/>
    <col min="8967" max="8967" width="7.5546875" style="2111"/>
    <col min="8968" max="8968" width="3" style="2111" customWidth="1"/>
    <col min="8969" max="8969" width="12.44140625" style="2111" customWidth="1"/>
    <col min="8970" max="8970" width="9.33203125" style="2111" customWidth="1"/>
    <col min="8971" max="8971" width="15.33203125" style="2111" customWidth="1"/>
    <col min="8972" max="8972" width="14.6640625" style="2111" customWidth="1"/>
    <col min="8973" max="8973" width="4.109375" style="2111" customWidth="1"/>
    <col min="8974" max="9216" width="7.5546875" style="2111"/>
    <col min="9217" max="9219" width="2.88671875" style="2111" customWidth="1"/>
    <col min="9220" max="9220" width="4" style="2111" customWidth="1"/>
    <col min="9221" max="9221" width="7.5546875" style="2111"/>
    <col min="9222" max="9222" width="6.44140625" style="2111" customWidth="1"/>
    <col min="9223" max="9223" width="7.5546875" style="2111"/>
    <col min="9224" max="9224" width="3" style="2111" customWidth="1"/>
    <col min="9225" max="9225" width="12.44140625" style="2111" customWidth="1"/>
    <col min="9226" max="9226" width="9.33203125" style="2111" customWidth="1"/>
    <col min="9227" max="9227" width="15.33203125" style="2111" customWidth="1"/>
    <col min="9228" max="9228" width="14.6640625" style="2111" customWidth="1"/>
    <col min="9229" max="9229" width="4.109375" style="2111" customWidth="1"/>
    <col min="9230" max="9472" width="7.5546875" style="2111"/>
    <col min="9473" max="9475" width="2.88671875" style="2111" customWidth="1"/>
    <col min="9476" max="9476" width="4" style="2111" customWidth="1"/>
    <col min="9477" max="9477" width="7.5546875" style="2111"/>
    <col min="9478" max="9478" width="6.44140625" style="2111" customWidth="1"/>
    <col min="9479" max="9479" width="7.5546875" style="2111"/>
    <col min="9480" max="9480" width="3" style="2111" customWidth="1"/>
    <col min="9481" max="9481" width="12.44140625" style="2111" customWidth="1"/>
    <col min="9482" max="9482" width="9.33203125" style="2111" customWidth="1"/>
    <col min="9483" max="9483" width="15.33203125" style="2111" customWidth="1"/>
    <col min="9484" max="9484" width="14.6640625" style="2111" customWidth="1"/>
    <col min="9485" max="9485" width="4.109375" style="2111" customWidth="1"/>
    <col min="9486" max="9728" width="7.5546875" style="2111"/>
    <col min="9729" max="9731" width="2.88671875" style="2111" customWidth="1"/>
    <col min="9732" max="9732" width="4" style="2111" customWidth="1"/>
    <col min="9733" max="9733" width="7.5546875" style="2111"/>
    <col min="9734" max="9734" width="6.44140625" style="2111" customWidth="1"/>
    <col min="9735" max="9735" width="7.5546875" style="2111"/>
    <col min="9736" max="9736" width="3" style="2111" customWidth="1"/>
    <col min="9737" max="9737" width="12.44140625" style="2111" customWidth="1"/>
    <col min="9738" max="9738" width="9.33203125" style="2111" customWidth="1"/>
    <col min="9739" max="9739" width="15.33203125" style="2111" customWidth="1"/>
    <col min="9740" max="9740" width="14.6640625" style="2111" customWidth="1"/>
    <col min="9741" max="9741" width="4.109375" style="2111" customWidth="1"/>
    <col min="9742" max="9984" width="7.5546875" style="2111"/>
    <col min="9985" max="9987" width="2.88671875" style="2111" customWidth="1"/>
    <col min="9988" max="9988" width="4" style="2111" customWidth="1"/>
    <col min="9989" max="9989" width="7.5546875" style="2111"/>
    <col min="9990" max="9990" width="6.44140625" style="2111" customWidth="1"/>
    <col min="9991" max="9991" width="7.5546875" style="2111"/>
    <col min="9992" max="9992" width="3" style="2111" customWidth="1"/>
    <col min="9993" max="9993" width="12.44140625" style="2111" customWidth="1"/>
    <col min="9994" max="9994" width="9.33203125" style="2111" customWidth="1"/>
    <col min="9995" max="9995" width="15.33203125" style="2111" customWidth="1"/>
    <col min="9996" max="9996" width="14.6640625" style="2111" customWidth="1"/>
    <col min="9997" max="9997" width="4.109375" style="2111" customWidth="1"/>
    <col min="9998" max="10240" width="7.5546875" style="2111"/>
    <col min="10241" max="10243" width="2.88671875" style="2111" customWidth="1"/>
    <col min="10244" max="10244" width="4" style="2111" customWidth="1"/>
    <col min="10245" max="10245" width="7.5546875" style="2111"/>
    <col min="10246" max="10246" width="6.44140625" style="2111" customWidth="1"/>
    <col min="10247" max="10247" width="7.5546875" style="2111"/>
    <col min="10248" max="10248" width="3" style="2111" customWidth="1"/>
    <col min="10249" max="10249" width="12.44140625" style="2111" customWidth="1"/>
    <col min="10250" max="10250" width="9.33203125" style="2111" customWidth="1"/>
    <col min="10251" max="10251" width="15.33203125" style="2111" customWidth="1"/>
    <col min="10252" max="10252" width="14.6640625" style="2111" customWidth="1"/>
    <col min="10253" max="10253" width="4.109375" style="2111" customWidth="1"/>
    <col min="10254" max="10496" width="7.5546875" style="2111"/>
    <col min="10497" max="10499" width="2.88671875" style="2111" customWidth="1"/>
    <col min="10500" max="10500" width="4" style="2111" customWidth="1"/>
    <col min="10501" max="10501" width="7.5546875" style="2111"/>
    <col min="10502" max="10502" width="6.44140625" style="2111" customWidth="1"/>
    <col min="10503" max="10503" width="7.5546875" style="2111"/>
    <col min="10504" max="10504" width="3" style="2111" customWidth="1"/>
    <col min="10505" max="10505" width="12.44140625" style="2111" customWidth="1"/>
    <col min="10506" max="10506" width="9.33203125" style="2111" customWidth="1"/>
    <col min="10507" max="10507" width="15.33203125" style="2111" customWidth="1"/>
    <col min="10508" max="10508" width="14.6640625" style="2111" customWidth="1"/>
    <col min="10509" max="10509" width="4.109375" style="2111" customWidth="1"/>
    <col min="10510" max="10752" width="7.5546875" style="2111"/>
    <col min="10753" max="10755" width="2.88671875" style="2111" customWidth="1"/>
    <col min="10756" max="10756" width="4" style="2111" customWidth="1"/>
    <col min="10757" max="10757" width="7.5546875" style="2111"/>
    <col min="10758" max="10758" width="6.44140625" style="2111" customWidth="1"/>
    <col min="10759" max="10759" width="7.5546875" style="2111"/>
    <col min="10760" max="10760" width="3" style="2111" customWidth="1"/>
    <col min="10761" max="10761" width="12.44140625" style="2111" customWidth="1"/>
    <col min="10762" max="10762" width="9.33203125" style="2111" customWidth="1"/>
    <col min="10763" max="10763" width="15.33203125" style="2111" customWidth="1"/>
    <col min="10764" max="10764" width="14.6640625" style="2111" customWidth="1"/>
    <col min="10765" max="10765" width="4.109375" style="2111" customWidth="1"/>
    <col min="10766" max="11008" width="7.5546875" style="2111"/>
    <col min="11009" max="11011" width="2.88671875" style="2111" customWidth="1"/>
    <col min="11012" max="11012" width="4" style="2111" customWidth="1"/>
    <col min="11013" max="11013" width="7.5546875" style="2111"/>
    <col min="11014" max="11014" width="6.44140625" style="2111" customWidth="1"/>
    <col min="11015" max="11015" width="7.5546875" style="2111"/>
    <col min="11016" max="11016" width="3" style="2111" customWidth="1"/>
    <col min="11017" max="11017" width="12.44140625" style="2111" customWidth="1"/>
    <col min="11018" max="11018" width="9.33203125" style="2111" customWidth="1"/>
    <col min="11019" max="11019" width="15.33203125" style="2111" customWidth="1"/>
    <col min="11020" max="11020" width="14.6640625" style="2111" customWidth="1"/>
    <col min="11021" max="11021" width="4.109375" style="2111" customWidth="1"/>
    <col min="11022" max="11264" width="7.5546875" style="2111"/>
    <col min="11265" max="11267" width="2.88671875" style="2111" customWidth="1"/>
    <col min="11268" max="11268" width="4" style="2111" customWidth="1"/>
    <col min="11269" max="11269" width="7.5546875" style="2111"/>
    <col min="11270" max="11270" width="6.44140625" style="2111" customWidth="1"/>
    <col min="11271" max="11271" width="7.5546875" style="2111"/>
    <col min="11272" max="11272" width="3" style="2111" customWidth="1"/>
    <col min="11273" max="11273" width="12.44140625" style="2111" customWidth="1"/>
    <col min="11274" max="11274" width="9.33203125" style="2111" customWidth="1"/>
    <col min="11275" max="11275" width="15.33203125" style="2111" customWidth="1"/>
    <col min="11276" max="11276" width="14.6640625" style="2111" customWidth="1"/>
    <col min="11277" max="11277" width="4.109375" style="2111" customWidth="1"/>
    <col min="11278" max="11520" width="7.5546875" style="2111"/>
    <col min="11521" max="11523" width="2.88671875" style="2111" customWidth="1"/>
    <col min="11524" max="11524" width="4" style="2111" customWidth="1"/>
    <col min="11525" max="11525" width="7.5546875" style="2111"/>
    <col min="11526" max="11526" width="6.44140625" style="2111" customWidth="1"/>
    <col min="11527" max="11527" width="7.5546875" style="2111"/>
    <col min="11528" max="11528" width="3" style="2111" customWidth="1"/>
    <col min="11529" max="11529" width="12.44140625" style="2111" customWidth="1"/>
    <col min="11530" max="11530" width="9.33203125" style="2111" customWidth="1"/>
    <col min="11531" max="11531" width="15.33203125" style="2111" customWidth="1"/>
    <col min="11532" max="11532" width="14.6640625" style="2111" customWidth="1"/>
    <col min="11533" max="11533" width="4.109375" style="2111" customWidth="1"/>
    <col min="11534" max="11776" width="7.5546875" style="2111"/>
    <col min="11777" max="11779" width="2.88671875" style="2111" customWidth="1"/>
    <col min="11780" max="11780" width="4" style="2111" customWidth="1"/>
    <col min="11781" max="11781" width="7.5546875" style="2111"/>
    <col min="11782" max="11782" width="6.44140625" style="2111" customWidth="1"/>
    <col min="11783" max="11783" width="7.5546875" style="2111"/>
    <col min="11784" max="11784" width="3" style="2111" customWidth="1"/>
    <col min="11785" max="11785" width="12.44140625" style="2111" customWidth="1"/>
    <col min="11786" max="11786" width="9.33203125" style="2111" customWidth="1"/>
    <col min="11787" max="11787" width="15.33203125" style="2111" customWidth="1"/>
    <col min="11788" max="11788" width="14.6640625" style="2111" customWidth="1"/>
    <col min="11789" max="11789" width="4.109375" style="2111" customWidth="1"/>
    <col min="11790" max="12032" width="7.5546875" style="2111"/>
    <col min="12033" max="12035" width="2.88671875" style="2111" customWidth="1"/>
    <col min="12036" max="12036" width="4" style="2111" customWidth="1"/>
    <col min="12037" max="12037" width="7.5546875" style="2111"/>
    <col min="12038" max="12038" width="6.44140625" style="2111" customWidth="1"/>
    <col min="12039" max="12039" width="7.5546875" style="2111"/>
    <col min="12040" max="12040" width="3" style="2111" customWidth="1"/>
    <col min="12041" max="12041" width="12.44140625" style="2111" customWidth="1"/>
    <col min="12042" max="12042" width="9.33203125" style="2111" customWidth="1"/>
    <col min="12043" max="12043" width="15.33203125" style="2111" customWidth="1"/>
    <col min="12044" max="12044" width="14.6640625" style="2111" customWidth="1"/>
    <col min="12045" max="12045" width="4.109375" style="2111" customWidth="1"/>
    <col min="12046" max="12288" width="7.5546875" style="2111"/>
    <col min="12289" max="12291" width="2.88671875" style="2111" customWidth="1"/>
    <col min="12292" max="12292" width="4" style="2111" customWidth="1"/>
    <col min="12293" max="12293" width="7.5546875" style="2111"/>
    <col min="12294" max="12294" width="6.44140625" style="2111" customWidth="1"/>
    <col min="12295" max="12295" width="7.5546875" style="2111"/>
    <col min="12296" max="12296" width="3" style="2111" customWidth="1"/>
    <col min="12297" max="12297" width="12.44140625" style="2111" customWidth="1"/>
    <col min="12298" max="12298" width="9.33203125" style="2111" customWidth="1"/>
    <col min="12299" max="12299" width="15.33203125" style="2111" customWidth="1"/>
    <col min="12300" max="12300" width="14.6640625" style="2111" customWidth="1"/>
    <col min="12301" max="12301" width="4.109375" style="2111" customWidth="1"/>
    <col min="12302" max="12544" width="7.5546875" style="2111"/>
    <col min="12545" max="12547" width="2.88671875" style="2111" customWidth="1"/>
    <col min="12548" max="12548" width="4" style="2111" customWidth="1"/>
    <col min="12549" max="12549" width="7.5546875" style="2111"/>
    <col min="12550" max="12550" width="6.44140625" style="2111" customWidth="1"/>
    <col min="12551" max="12551" width="7.5546875" style="2111"/>
    <col min="12552" max="12552" width="3" style="2111" customWidth="1"/>
    <col min="12553" max="12553" width="12.44140625" style="2111" customWidth="1"/>
    <col min="12554" max="12554" width="9.33203125" style="2111" customWidth="1"/>
    <col min="12555" max="12555" width="15.33203125" style="2111" customWidth="1"/>
    <col min="12556" max="12556" width="14.6640625" style="2111" customWidth="1"/>
    <col min="12557" max="12557" width="4.109375" style="2111" customWidth="1"/>
    <col min="12558" max="12800" width="7.5546875" style="2111"/>
    <col min="12801" max="12803" width="2.88671875" style="2111" customWidth="1"/>
    <col min="12804" max="12804" width="4" style="2111" customWidth="1"/>
    <col min="12805" max="12805" width="7.5546875" style="2111"/>
    <col min="12806" max="12806" width="6.44140625" style="2111" customWidth="1"/>
    <col min="12807" max="12807" width="7.5546875" style="2111"/>
    <col min="12808" max="12808" width="3" style="2111" customWidth="1"/>
    <col min="12809" max="12809" width="12.44140625" style="2111" customWidth="1"/>
    <col min="12810" max="12810" width="9.33203125" style="2111" customWidth="1"/>
    <col min="12811" max="12811" width="15.33203125" style="2111" customWidth="1"/>
    <col min="12812" max="12812" width="14.6640625" style="2111" customWidth="1"/>
    <col min="12813" max="12813" width="4.109375" style="2111" customWidth="1"/>
    <col min="12814" max="13056" width="7.5546875" style="2111"/>
    <col min="13057" max="13059" width="2.88671875" style="2111" customWidth="1"/>
    <col min="13060" max="13060" width="4" style="2111" customWidth="1"/>
    <col min="13061" max="13061" width="7.5546875" style="2111"/>
    <col min="13062" max="13062" width="6.44140625" style="2111" customWidth="1"/>
    <col min="13063" max="13063" width="7.5546875" style="2111"/>
    <col min="13064" max="13064" width="3" style="2111" customWidth="1"/>
    <col min="13065" max="13065" width="12.44140625" style="2111" customWidth="1"/>
    <col min="13066" max="13066" width="9.33203125" style="2111" customWidth="1"/>
    <col min="13067" max="13067" width="15.33203125" style="2111" customWidth="1"/>
    <col min="13068" max="13068" width="14.6640625" style="2111" customWidth="1"/>
    <col min="13069" max="13069" width="4.109375" style="2111" customWidth="1"/>
    <col min="13070" max="13312" width="7.5546875" style="2111"/>
    <col min="13313" max="13315" width="2.88671875" style="2111" customWidth="1"/>
    <col min="13316" max="13316" width="4" style="2111" customWidth="1"/>
    <col min="13317" max="13317" width="7.5546875" style="2111"/>
    <col min="13318" max="13318" width="6.44140625" style="2111" customWidth="1"/>
    <col min="13319" max="13319" width="7.5546875" style="2111"/>
    <col min="13320" max="13320" width="3" style="2111" customWidth="1"/>
    <col min="13321" max="13321" width="12.44140625" style="2111" customWidth="1"/>
    <col min="13322" max="13322" width="9.33203125" style="2111" customWidth="1"/>
    <col min="13323" max="13323" width="15.33203125" style="2111" customWidth="1"/>
    <col min="13324" max="13324" width="14.6640625" style="2111" customWidth="1"/>
    <col min="13325" max="13325" width="4.109375" style="2111" customWidth="1"/>
    <col min="13326" max="13568" width="7.5546875" style="2111"/>
    <col min="13569" max="13571" width="2.88671875" style="2111" customWidth="1"/>
    <col min="13572" max="13572" width="4" style="2111" customWidth="1"/>
    <col min="13573" max="13573" width="7.5546875" style="2111"/>
    <col min="13574" max="13574" width="6.44140625" style="2111" customWidth="1"/>
    <col min="13575" max="13575" width="7.5546875" style="2111"/>
    <col min="13576" max="13576" width="3" style="2111" customWidth="1"/>
    <col min="13577" max="13577" width="12.44140625" style="2111" customWidth="1"/>
    <col min="13578" max="13578" width="9.33203125" style="2111" customWidth="1"/>
    <col min="13579" max="13579" width="15.33203125" style="2111" customWidth="1"/>
    <col min="13580" max="13580" width="14.6640625" style="2111" customWidth="1"/>
    <col min="13581" max="13581" width="4.109375" style="2111" customWidth="1"/>
    <col min="13582" max="13824" width="7.5546875" style="2111"/>
    <col min="13825" max="13827" width="2.88671875" style="2111" customWidth="1"/>
    <col min="13828" max="13828" width="4" style="2111" customWidth="1"/>
    <col min="13829" max="13829" width="7.5546875" style="2111"/>
    <col min="13830" max="13830" width="6.44140625" style="2111" customWidth="1"/>
    <col min="13831" max="13831" width="7.5546875" style="2111"/>
    <col min="13832" max="13832" width="3" style="2111" customWidth="1"/>
    <col min="13833" max="13833" width="12.44140625" style="2111" customWidth="1"/>
    <col min="13834" max="13834" width="9.33203125" style="2111" customWidth="1"/>
    <col min="13835" max="13835" width="15.33203125" style="2111" customWidth="1"/>
    <col min="13836" max="13836" width="14.6640625" style="2111" customWidth="1"/>
    <col min="13837" max="13837" width="4.109375" style="2111" customWidth="1"/>
    <col min="13838" max="14080" width="7.5546875" style="2111"/>
    <col min="14081" max="14083" width="2.88671875" style="2111" customWidth="1"/>
    <col min="14084" max="14084" width="4" style="2111" customWidth="1"/>
    <col min="14085" max="14085" width="7.5546875" style="2111"/>
    <col min="14086" max="14086" width="6.44140625" style="2111" customWidth="1"/>
    <col min="14087" max="14087" width="7.5546875" style="2111"/>
    <col min="14088" max="14088" width="3" style="2111" customWidth="1"/>
    <col min="14089" max="14089" width="12.44140625" style="2111" customWidth="1"/>
    <col min="14090" max="14090" width="9.33203125" style="2111" customWidth="1"/>
    <col min="14091" max="14091" width="15.33203125" style="2111" customWidth="1"/>
    <col min="14092" max="14092" width="14.6640625" style="2111" customWidth="1"/>
    <col min="14093" max="14093" width="4.109375" style="2111" customWidth="1"/>
    <col min="14094" max="14336" width="7.5546875" style="2111"/>
    <col min="14337" max="14339" width="2.88671875" style="2111" customWidth="1"/>
    <col min="14340" max="14340" width="4" style="2111" customWidth="1"/>
    <col min="14341" max="14341" width="7.5546875" style="2111"/>
    <col min="14342" max="14342" width="6.44140625" style="2111" customWidth="1"/>
    <col min="14343" max="14343" width="7.5546875" style="2111"/>
    <col min="14344" max="14344" width="3" style="2111" customWidth="1"/>
    <col min="14345" max="14345" width="12.44140625" style="2111" customWidth="1"/>
    <col min="14346" max="14346" width="9.33203125" style="2111" customWidth="1"/>
    <col min="14347" max="14347" width="15.33203125" style="2111" customWidth="1"/>
    <col min="14348" max="14348" width="14.6640625" style="2111" customWidth="1"/>
    <col min="14349" max="14349" width="4.109375" style="2111" customWidth="1"/>
    <col min="14350" max="14592" width="7.5546875" style="2111"/>
    <col min="14593" max="14595" width="2.88671875" style="2111" customWidth="1"/>
    <col min="14596" max="14596" width="4" style="2111" customWidth="1"/>
    <col min="14597" max="14597" width="7.5546875" style="2111"/>
    <col min="14598" max="14598" width="6.44140625" style="2111" customWidth="1"/>
    <col min="14599" max="14599" width="7.5546875" style="2111"/>
    <col min="14600" max="14600" width="3" style="2111" customWidth="1"/>
    <col min="14601" max="14601" width="12.44140625" style="2111" customWidth="1"/>
    <col min="14602" max="14602" width="9.33203125" style="2111" customWidth="1"/>
    <col min="14603" max="14603" width="15.33203125" style="2111" customWidth="1"/>
    <col min="14604" max="14604" width="14.6640625" style="2111" customWidth="1"/>
    <col min="14605" max="14605" width="4.109375" style="2111" customWidth="1"/>
    <col min="14606" max="14848" width="7.5546875" style="2111"/>
    <col min="14849" max="14851" width="2.88671875" style="2111" customWidth="1"/>
    <col min="14852" max="14852" width="4" style="2111" customWidth="1"/>
    <col min="14853" max="14853" width="7.5546875" style="2111"/>
    <col min="14854" max="14854" width="6.44140625" style="2111" customWidth="1"/>
    <col min="14855" max="14855" width="7.5546875" style="2111"/>
    <col min="14856" max="14856" width="3" style="2111" customWidth="1"/>
    <col min="14857" max="14857" width="12.44140625" style="2111" customWidth="1"/>
    <col min="14858" max="14858" width="9.33203125" style="2111" customWidth="1"/>
    <col min="14859" max="14859" width="15.33203125" style="2111" customWidth="1"/>
    <col min="14860" max="14860" width="14.6640625" style="2111" customWidth="1"/>
    <col min="14861" max="14861" width="4.109375" style="2111" customWidth="1"/>
    <col min="14862" max="15104" width="7.5546875" style="2111"/>
    <col min="15105" max="15107" width="2.88671875" style="2111" customWidth="1"/>
    <col min="15108" max="15108" width="4" style="2111" customWidth="1"/>
    <col min="15109" max="15109" width="7.5546875" style="2111"/>
    <col min="15110" max="15110" width="6.44140625" style="2111" customWidth="1"/>
    <col min="15111" max="15111" width="7.5546875" style="2111"/>
    <col min="15112" max="15112" width="3" style="2111" customWidth="1"/>
    <col min="15113" max="15113" width="12.44140625" style="2111" customWidth="1"/>
    <col min="15114" max="15114" width="9.33203125" style="2111" customWidth="1"/>
    <col min="15115" max="15115" width="15.33203125" style="2111" customWidth="1"/>
    <col min="15116" max="15116" width="14.6640625" style="2111" customWidth="1"/>
    <col min="15117" max="15117" width="4.109375" style="2111" customWidth="1"/>
    <col min="15118" max="15360" width="7.5546875" style="2111"/>
    <col min="15361" max="15363" width="2.88671875" style="2111" customWidth="1"/>
    <col min="15364" max="15364" width="4" style="2111" customWidth="1"/>
    <col min="15365" max="15365" width="7.5546875" style="2111"/>
    <col min="15366" max="15366" width="6.44140625" style="2111" customWidth="1"/>
    <col min="15367" max="15367" width="7.5546875" style="2111"/>
    <col min="15368" max="15368" width="3" style="2111" customWidth="1"/>
    <col min="15369" max="15369" width="12.44140625" style="2111" customWidth="1"/>
    <col min="15370" max="15370" width="9.33203125" style="2111" customWidth="1"/>
    <col min="15371" max="15371" width="15.33203125" style="2111" customWidth="1"/>
    <col min="15372" max="15372" width="14.6640625" style="2111" customWidth="1"/>
    <col min="15373" max="15373" width="4.109375" style="2111" customWidth="1"/>
    <col min="15374" max="15616" width="7.5546875" style="2111"/>
    <col min="15617" max="15619" width="2.88671875" style="2111" customWidth="1"/>
    <col min="15620" max="15620" width="4" style="2111" customWidth="1"/>
    <col min="15621" max="15621" width="7.5546875" style="2111"/>
    <col min="15622" max="15622" width="6.44140625" style="2111" customWidth="1"/>
    <col min="15623" max="15623" width="7.5546875" style="2111"/>
    <col min="15624" max="15624" width="3" style="2111" customWidth="1"/>
    <col min="15625" max="15625" width="12.44140625" style="2111" customWidth="1"/>
    <col min="15626" max="15626" width="9.33203125" style="2111" customWidth="1"/>
    <col min="15627" max="15627" width="15.33203125" style="2111" customWidth="1"/>
    <col min="15628" max="15628" width="14.6640625" style="2111" customWidth="1"/>
    <col min="15629" max="15629" width="4.109375" style="2111" customWidth="1"/>
    <col min="15630" max="15872" width="7.5546875" style="2111"/>
    <col min="15873" max="15875" width="2.88671875" style="2111" customWidth="1"/>
    <col min="15876" max="15876" width="4" style="2111" customWidth="1"/>
    <col min="15877" max="15877" width="7.5546875" style="2111"/>
    <col min="15878" max="15878" width="6.44140625" style="2111" customWidth="1"/>
    <col min="15879" max="15879" width="7.5546875" style="2111"/>
    <col min="15880" max="15880" width="3" style="2111" customWidth="1"/>
    <col min="15881" max="15881" width="12.44140625" style="2111" customWidth="1"/>
    <col min="15882" max="15882" width="9.33203125" style="2111" customWidth="1"/>
    <col min="15883" max="15883" width="15.33203125" style="2111" customWidth="1"/>
    <col min="15884" max="15884" width="14.6640625" style="2111" customWidth="1"/>
    <col min="15885" max="15885" width="4.109375" style="2111" customWidth="1"/>
    <col min="15886" max="16128" width="7.5546875" style="2111"/>
    <col min="16129" max="16131" width="2.88671875" style="2111" customWidth="1"/>
    <col min="16132" max="16132" width="4" style="2111" customWidth="1"/>
    <col min="16133" max="16133" width="7.5546875" style="2111"/>
    <col min="16134" max="16134" width="6.44140625" style="2111" customWidth="1"/>
    <col min="16135" max="16135" width="7.5546875" style="2111"/>
    <col min="16136" max="16136" width="3" style="2111" customWidth="1"/>
    <col min="16137" max="16137" width="12.44140625" style="2111" customWidth="1"/>
    <col min="16138" max="16138" width="9.33203125" style="2111" customWidth="1"/>
    <col min="16139" max="16139" width="15.33203125" style="2111" customWidth="1"/>
    <col min="16140" max="16140" width="14.6640625" style="2111" customWidth="1"/>
    <col min="16141" max="16141" width="4.109375" style="2111" customWidth="1"/>
    <col min="16142" max="16384" width="7.5546875" style="2111"/>
  </cols>
  <sheetData>
    <row r="1" spans="1:12">
      <c r="A1" s="2108"/>
      <c r="B1" s="2109"/>
      <c r="C1" s="2109"/>
      <c r="D1" s="2109"/>
      <c r="E1" s="2109"/>
      <c r="F1" s="2109"/>
      <c r="G1" s="2109"/>
      <c r="H1" s="2109"/>
      <c r="I1" s="2109"/>
      <c r="J1" s="2109"/>
      <c r="K1" s="2109"/>
      <c r="L1" s="2110"/>
    </row>
    <row r="2" spans="1:12">
      <c r="A2" s="2112"/>
      <c r="L2" s="2113"/>
    </row>
    <row r="3" spans="1:12">
      <c r="A3" s="2112"/>
      <c r="E3" s="2114"/>
      <c r="F3" s="2114"/>
      <c r="G3" s="2114"/>
      <c r="H3" s="2115"/>
      <c r="I3" s="2115"/>
      <c r="J3" s="2115"/>
      <c r="K3" s="2115"/>
      <c r="L3" s="2113"/>
    </row>
    <row r="4" spans="1:12">
      <c r="A4" s="2112"/>
      <c r="E4" s="2114"/>
      <c r="F4" s="2114"/>
      <c r="G4" s="2114"/>
      <c r="H4" s="2115"/>
      <c r="I4" s="2115"/>
      <c r="J4" s="2115"/>
      <c r="K4" s="2115"/>
      <c r="L4" s="2113"/>
    </row>
    <row r="5" spans="1:12" ht="59.4" customHeight="1">
      <c r="A5" s="2467" t="s">
        <v>3549</v>
      </c>
      <c r="B5" s="2468"/>
      <c r="C5" s="2468"/>
      <c r="D5" s="2468"/>
      <c r="E5" s="2468"/>
      <c r="F5" s="2468"/>
      <c r="G5" s="2468"/>
      <c r="H5" s="2468"/>
      <c r="I5" s="2468"/>
      <c r="J5" s="2468"/>
      <c r="K5" s="2468"/>
      <c r="L5" s="2469"/>
    </row>
    <row r="6" spans="1:12" ht="14.1">
      <c r="A6" s="2112"/>
      <c r="E6" s="2114"/>
      <c r="F6" s="2114"/>
      <c r="G6" s="2114"/>
      <c r="H6" s="2115"/>
      <c r="I6" s="2116"/>
      <c r="J6" s="2115"/>
      <c r="K6" s="2115"/>
      <c r="L6" s="2113"/>
    </row>
    <row r="7" spans="1:12" ht="51" customHeight="1">
      <c r="A7" s="2470" t="s">
        <v>3550</v>
      </c>
      <c r="B7" s="2471"/>
      <c r="C7" s="2471"/>
      <c r="D7" s="2471"/>
      <c r="E7" s="2471"/>
      <c r="F7" s="2471"/>
      <c r="G7" s="2471"/>
      <c r="H7" s="2471"/>
      <c r="I7" s="2471"/>
      <c r="J7" s="2471"/>
      <c r="K7" s="2471"/>
      <c r="L7" s="2472"/>
    </row>
    <row r="8" spans="1:12">
      <c r="A8" s="2112"/>
      <c r="E8" s="2114"/>
      <c r="F8" s="2114"/>
      <c r="G8" s="2114"/>
      <c r="H8" s="2115"/>
      <c r="I8" s="2115"/>
      <c r="J8" s="2115"/>
      <c r="K8" s="2115"/>
      <c r="L8" s="2113"/>
    </row>
    <row r="9" spans="1:12">
      <c r="A9" s="2112"/>
      <c r="E9" s="2114"/>
      <c r="F9" s="2114"/>
      <c r="G9" s="2114"/>
      <c r="H9" s="2115"/>
      <c r="I9" s="2115"/>
      <c r="J9" s="2115"/>
      <c r="K9" s="2115"/>
      <c r="L9" s="2113"/>
    </row>
    <row r="10" spans="1:12" ht="54" customHeight="1">
      <c r="A10" s="2473" t="s">
        <v>3551</v>
      </c>
      <c r="B10" s="2474"/>
      <c r="C10" s="2474"/>
      <c r="D10" s="2474"/>
      <c r="E10" s="2474"/>
      <c r="F10" s="2474"/>
      <c r="G10" s="2474"/>
      <c r="H10" s="2474"/>
      <c r="I10" s="2474"/>
      <c r="J10" s="2474"/>
      <c r="K10" s="2474"/>
      <c r="L10" s="2475"/>
    </row>
    <row r="11" spans="1:12" ht="4.9000000000000004" customHeight="1">
      <c r="A11" s="2112"/>
      <c r="E11" s="2114"/>
      <c r="F11" s="2114"/>
      <c r="G11" s="2114"/>
      <c r="H11" s="2115"/>
      <c r="I11" s="2115"/>
      <c r="J11" s="2115"/>
      <c r="K11" s="2115"/>
      <c r="L11" s="2113"/>
    </row>
    <row r="12" spans="1:12" hidden="1">
      <c r="A12" s="2112"/>
      <c r="E12" s="2114"/>
      <c r="F12" s="2114"/>
      <c r="G12" s="2114"/>
      <c r="H12" s="2115"/>
      <c r="I12" s="2115"/>
      <c r="J12" s="2115"/>
      <c r="K12" s="2115"/>
      <c r="L12" s="2113"/>
    </row>
    <row r="13" spans="1:12" hidden="1">
      <c r="A13" s="2112"/>
      <c r="E13" s="2114"/>
      <c r="F13" s="2114"/>
      <c r="G13" s="2114"/>
      <c r="H13" s="2115"/>
      <c r="I13" s="2115"/>
      <c r="J13" s="2115"/>
      <c r="K13" s="2115"/>
      <c r="L13" s="2113"/>
    </row>
    <row r="14" spans="1:12" hidden="1">
      <c r="A14" s="2112"/>
      <c r="E14" s="2114"/>
      <c r="F14" s="2114"/>
      <c r="G14" s="2114"/>
      <c r="H14" s="2115"/>
      <c r="I14" s="2115"/>
      <c r="J14" s="2115"/>
      <c r="K14" s="2115"/>
      <c r="L14" s="2113"/>
    </row>
    <row r="15" spans="1:12" hidden="1">
      <c r="A15" s="2112"/>
      <c r="E15" s="2114"/>
      <c r="F15" s="2114"/>
      <c r="G15" s="2114"/>
      <c r="H15" s="2115"/>
      <c r="I15" s="2115"/>
      <c r="J15" s="2115"/>
      <c r="K15" s="2115"/>
      <c r="L15" s="2113"/>
    </row>
    <row r="16" spans="1:12" ht="83.4" customHeight="1">
      <c r="A16" s="2476" t="str">
        <f>Datas!A2</f>
        <v xml:space="preserve"> Construction of  Anganwadi Building at Jeedipally Thanda (V) of Kalwakurthy (M) of Nagarkurnool District </v>
      </c>
      <c r="B16" s="2477"/>
      <c r="C16" s="2477"/>
      <c r="D16" s="2477"/>
      <c r="E16" s="2477"/>
      <c r="F16" s="2477"/>
      <c r="G16" s="2477"/>
      <c r="H16" s="2477"/>
      <c r="I16" s="2477"/>
      <c r="J16" s="2477"/>
      <c r="K16" s="2477"/>
      <c r="L16" s="2478"/>
    </row>
    <row r="17" spans="1:256" ht="17.7">
      <c r="A17" s="2112"/>
      <c r="E17" s="2117"/>
      <c r="F17" s="2117"/>
      <c r="G17" s="2117"/>
      <c r="H17" s="2117"/>
      <c r="I17" s="2117"/>
      <c r="J17" s="2117"/>
      <c r="K17" s="2117"/>
      <c r="L17" s="2113"/>
    </row>
    <row r="18" spans="1:256" ht="43.2" customHeight="1">
      <c r="A18" s="2118"/>
      <c r="B18" s="2119"/>
      <c r="C18" s="2119"/>
      <c r="D18" s="2119"/>
      <c r="E18" s="2479" t="s">
        <v>3552</v>
      </c>
      <c r="F18" s="2479"/>
      <c r="G18" s="2479"/>
      <c r="H18" s="2120"/>
      <c r="I18" s="2480" t="s">
        <v>3560</v>
      </c>
      <c r="J18" s="2481"/>
      <c r="K18" s="2481"/>
      <c r="L18" s="2121"/>
      <c r="M18" s="2119"/>
      <c r="N18" s="2119"/>
      <c r="O18" s="2119"/>
      <c r="P18" s="2119"/>
      <c r="Q18" s="2119"/>
      <c r="R18" s="2119"/>
      <c r="S18" s="2119"/>
      <c r="T18" s="2119"/>
      <c r="U18" s="2119"/>
      <c r="V18" s="2119"/>
      <c r="W18" s="2119"/>
      <c r="X18" s="2119"/>
      <c r="Y18" s="2119"/>
      <c r="Z18" s="2119"/>
      <c r="AA18" s="2119"/>
      <c r="AB18" s="2119"/>
      <c r="AC18" s="2119"/>
      <c r="AD18" s="2119"/>
      <c r="AE18" s="2119"/>
      <c r="AF18" s="2119"/>
      <c r="AG18" s="2119"/>
      <c r="AH18" s="2119"/>
      <c r="AI18" s="2119"/>
      <c r="AJ18" s="2119"/>
      <c r="AK18" s="2119"/>
      <c r="AL18" s="2119"/>
      <c r="AM18" s="2119"/>
      <c r="AN18" s="2119"/>
      <c r="AO18" s="2119"/>
      <c r="AP18" s="2119"/>
      <c r="AQ18" s="2119"/>
      <c r="AR18" s="2119"/>
      <c r="AS18" s="2119"/>
      <c r="AT18" s="2119"/>
      <c r="AU18" s="2119"/>
      <c r="AV18" s="2119"/>
      <c r="AW18" s="2119"/>
      <c r="AX18" s="2119"/>
      <c r="AY18" s="2119"/>
      <c r="AZ18" s="2119"/>
      <c r="BA18" s="2119"/>
      <c r="BB18" s="2119"/>
      <c r="BC18" s="2119"/>
      <c r="BD18" s="2119"/>
      <c r="BE18" s="2119"/>
      <c r="BF18" s="2119"/>
      <c r="BG18" s="2119"/>
      <c r="BH18" s="2119"/>
      <c r="BI18" s="2119"/>
      <c r="BJ18" s="2119"/>
      <c r="BK18" s="2119"/>
      <c r="BL18" s="2119"/>
      <c r="BM18" s="2119"/>
      <c r="BN18" s="2119"/>
      <c r="BO18" s="2119"/>
      <c r="BP18" s="2119"/>
      <c r="BQ18" s="2119"/>
      <c r="BR18" s="2119"/>
      <c r="BS18" s="2119"/>
      <c r="BT18" s="2119"/>
      <c r="BU18" s="2119"/>
      <c r="BV18" s="2119"/>
      <c r="BW18" s="2119"/>
      <c r="BX18" s="2119"/>
      <c r="BY18" s="2119"/>
      <c r="BZ18" s="2119"/>
      <c r="CA18" s="2119"/>
      <c r="CB18" s="2119"/>
      <c r="CC18" s="2119"/>
      <c r="CD18" s="2119"/>
      <c r="CE18" s="2119"/>
      <c r="CF18" s="2119"/>
      <c r="CG18" s="2119"/>
      <c r="CH18" s="2119"/>
      <c r="CI18" s="2119"/>
      <c r="CJ18" s="2119"/>
      <c r="CK18" s="2119"/>
      <c r="CL18" s="2119"/>
      <c r="CM18" s="2119"/>
      <c r="CN18" s="2119"/>
      <c r="CO18" s="2119"/>
      <c r="CP18" s="2119"/>
      <c r="CQ18" s="2119"/>
      <c r="CR18" s="2119"/>
      <c r="CS18" s="2119"/>
      <c r="CT18" s="2119"/>
      <c r="CU18" s="2119"/>
      <c r="CV18" s="2119"/>
      <c r="CW18" s="2119"/>
      <c r="CX18" s="2119"/>
      <c r="CY18" s="2119"/>
      <c r="CZ18" s="2119"/>
      <c r="DA18" s="2119"/>
      <c r="DB18" s="2119"/>
      <c r="DC18" s="2119"/>
      <c r="DD18" s="2119"/>
      <c r="DE18" s="2119"/>
      <c r="DF18" s="2119"/>
      <c r="DG18" s="2119"/>
      <c r="DH18" s="2119"/>
      <c r="DI18" s="2119"/>
      <c r="DJ18" s="2119"/>
      <c r="DK18" s="2119"/>
      <c r="DL18" s="2119"/>
      <c r="DM18" s="2119"/>
      <c r="DN18" s="2119"/>
      <c r="DO18" s="2119"/>
      <c r="DP18" s="2119"/>
      <c r="DQ18" s="2119"/>
      <c r="DR18" s="2119"/>
      <c r="DS18" s="2119"/>
      <c r="DT18" s="2119"/>
      <c r="DU18" s="2119"/>
      <c r="DV18" s="2119"/>
      <c r="DW18" s="2119"/>
      <c r="DX18" s="2119"/>
      <c r="DY18" s="2119"/>
      <c r="DZ18" s="2119"/>
      <c r="EA18" s="2119"/>
      <c r="EB18" s="2119"/>
      <c r="EC18" s="2119"/>
      <c r="ED18" s="2119"/>
      <c r="EE18" s="2119"/>
      <c r="EF18" s="2119"/>
      <c r="EG18" s="2119"/>
      <c r="EH18" s="2119"/>
      <c r="EI18" s="2119"/>
      <c r="EJ18" s="2119"/>
      <c r="EK18" s="2119"/>
      <c r="EL18" s="2119"/>
      <c r="EM18" s="2119"/>
      <c r="EN18" s="2119"/>
      <c r="EO18" s="2119"/>
      <c r="EP18" s="2119"/>
      <c r="EQ18" s="2119"/>
      <c r="ER18" s="2119"/>
      <c r="ES18" s="2119"/>
      <c r="ET18" s="2119"/>
      <c r="EU18" s="2119"/>
      <c r="EV18" s="2119"/>
      <c r="EW18" s="2119"/>
      <c r="EX18" s="2119"/>
      <c r="EY18" s="2119"/>
      <c r="EZ18" s="2119"/>
      <c r="FA18" s="2119"/>
      <c r="FB18" s="2119"/>
      <c r="FC18" s="2119"/>
      <c r="FD18" s="2119"/>
      <c r="FE18" s="2119"/>
      <c r="FF18" s="2119"/>
      <c r="FG18" s="2119"/>
      <c r="FH18" s="2119"/>
      <c r="FI18" s="2119"/>
      <c r="FJ18" s="2119"/>
      <c r="FK18" s="2119"/>
      <c r="FL18" s="2119"/>
      <c r="FM18" s="2119"/>
      <c r="FN18" s="2119"/>
      <c r="FO18" s="2119"/>
      <c r="FP18" s="2119"/>
      <c r="FQ18" s="2119"/>
      <c r="FR18" s="2119"/>
      <c r="FS18" s="2119"/>
      <c r="FT18" s="2119"/>
      <c r="FU18" s="2119"/>
      <c r="FV18" s="2119"/>
      <c r="FW18" s="2119"/>
      <c r="FX18" s="2119"/>
      <c r="FY18" s="2119"/>
      <c r="FZ18" s="2119"/>
      <c r="GA18" s="2119"/>
      <c r="GB18" s="2119"/>
      <c r="GC18" s="2119"/>
      <c r="GD18" s="2119"/>
      <c r="GE18" s="2119"/>
      <c r="GF18" s="2119"/>
      <c r="GG18" s="2119"/>
      <c r="GH18" s="2119"/>
      <c r="GI18" s="2119"/>
      <c r="GJ18" s="2119"/>
      <c r="GK18" s="2119"/>
      <c r="GL18" s="2119"/>
      <c r="GM18" s="2119"/>
      <c r="GN18" s="2119"/>
      <c r="GO18" s="2119"/>
      <c r="GP18" s="2119"/>
      <c r="GQ18" s="2119"/>
      <c r="GR18" s="2119"/>
      <c r="GS18" s="2119"/>
      <c r="GT18" s="2119"/>
      <c r="GU18" s="2119"/>
      <c r="GV18" s="2119"/>
      <c r="GW18" s="2119"/>
      <c r="GX18" s="2119"/>
      <c r="GY18" s="2119"/>
      <c r="GZ18" s="2119"/>
      <c r="HA18" s="2119"/>
      <c r="HB18" s="2119"/>
      <c r="HC18" s="2119"/>
      <c r="HD18" s="2119"/>
      <c r="HE18" s="2119"/>
      <c r="HF18" s="2119"/>
      <c r="HG18" s="2119"/>
      <c r="HH18" s="2119"/>
      <c r="HI18" s="2119"/>
      <c r="HJ18" s="2119"/>
      <c r="HK18" s="2119"/>
      <c r="HL18" s="2119"/>
      <c r="HM18" s="2119"/>
      <c r="HN18" s="2119"/>
      <c r="HO18" s="2119"/>
      <c r="HP18" s="2119"/>
      <c r="HQ18" s="2119"/>
      <c r="HR18" s="2119"/>
      <c r="HS18" s="2119"/>
      <c r="HT18" s="2119"/>
      <c r="HU18" s="2119"/>
      <c r="HV18" s="2119"/>
      <c r="HW18" s="2119"/>
      <c r="HX18" s="2119"/>
      <c r="HY18" s="2119"/>
      <c r="HZ18" s="2119"/>
      <c r="IA18" s="2119"/>
      <c r="IB18" s="2119"/>
      <c r="IC18" s="2119"/>
      <c r="ID18" s="2119"/>
      <c r="IE18" s="2119"/>
      <c r="IF18" s="2119"/>
      <c r="IG18" s="2119"/>
      <c r="IH18" s="2119"/>
      <c r="II18" s="2119"/>
      <c r="IJ18" s="2119"/>
      <c r="IK18" s="2119"/>
      <c r="IL18" s="2119"/>
      <c r="IM18" s="2119"/>
      <c r="IN18" s="2119"/>
      <c r="IO18" s="2119"/>
      <c r="IP18" s="2119"/>
      <c r="IQ18" s="2119"/>
      <c r="IR18" s="2119"/>
      <c r="IS18" s="2119"/>
      <c r="IT18" s="2119"/>
      <c r="IU18" s="2119"/>
      <c r="IV18" s="2119"/>
    </row>
    <row r="19" spans="1:256" ht="15" hidden="1">
      <c r="A19" s="2118"/>
      <c r="B19" s="2119"/>
      <c r="C19" s="2119"/>
      <c r="D19" s="2119"/>
      <c r="E19" s="2464"/>
      <c r="F19" s="2464"/>
      <c r="G19" s="2464"/>
      <c r="H19" s="2122"/>
      <c r="I19" s="2123"/>
      <c r="J19" s="2119"/>
      <c r="K19" s="2124"/>
      <c r="L19" s="2121"/>
      <c r="M19" s="2119"/>
      <c r="N19" s="2119"/>
      <c r="O19" s="2119"/>
      <c r="P19" s="2119"/>
      <c r="Q19" s="2119"/>
      <c r="R19" s="2119"/>
      <c r="S19" s="2119"/>
      <c r="T19" s="2119"/>
      <c r="U19" s="2119"/>
      <c r="V19" s="2119"/>
      <c r="W19" s="2119"/>
      <c r="X19" s="2119"/>
      <c r="Y19" s="2119"/>
      <c r="Z19" s="2119"/>
      <c r="AA19" s="2119"/>
      <c r="AB19" s="2119"/>
      <c r="AC19" s="2119"/>
      <c r="AD19" s="2119"/>
      <c r="AE19" s="2119"/>
      <c r="AF19" s="2119"/>
      <c r="AG19" s="2119"/>
      <c r="AH19" s="2119"/>
      <c r="AI19" s="2119"/>
      <c r="AJ19" s="2119"/>
      <c r="AK19" s="2119"/>
      <c r="AL19" s="2119"/>
      <c r="AM19" s="2119"/>
      <c r="AN19" s="2119"/>
      <c r="AO19" s="2119"/>
      <c r="AP19" s="2119"/>
      <c r="AQ19" s="2119"/>
      <c r="AR19" s="2119"/>
      <c r="AS19" s="2119"/>
      <c r="AT19" s="2119"/>
      <c r="AU19" s="2119"/>
      <c r="AV19" s="2119"/>
      <c r="AW19" s="2119"/>
      <c r="AX19" s="2119"/>
      <c r="AY19" s="2119"/>
      <c r="AZ19" s="2119"/>
      <c r="BA19" s="2119"/>
      <c r="BB19" s="2119"/>
      <c r="BC19" s="2119"/>
      <c r="BD19" s="2119"/>
      <c r="BE19" s="2119"/>
      <c r="BF19" s="2119"/>
      <c r="BG19" s="2119"/>
      <c r="BH19" s="2119"/>
      <c r="BI19" s="2119"/>
      <c r="BJ19" s="2119"/>
      <c r="BK19" s="2119"/>
      <c r="BL19" s="2119"/>
      <c r="BM19" s="2119"/>
      <c r="BN19" s="2119"/>
      <c r="BO19" s="2119"/>
      <c r="BP19" s="2119"/>
      <c r="BQ19" s="2119"/>
      <c r="BR19" s="2119"/>
      <c r="BS19" s="2119"/>
      <c r="BT19" s="2119"/>
      <c r="BU19" s="2119"/>
      <c r="BV19" s="2119"/>
      <c r="BW19" s="2119"/>
      <c r="BX19" s="2119"/>
      <c r="BY19" s="2119"/>
      <c r="BZ19" s="2119"/>
      <c r="CA19" s="2119"/>
      <c r="CB19" s="2119"/>
      <c r="CC19" s="2119"/>
      <c r="CD19" s="2119"/>
      <c r="CE19" s="2119"/>
      <c r="CF19" s="2119"/>
      <c r="CG19" s="2119"/>
      <c r="CH19" s="2119"/>
      <c r="CI19" s="2119"/>
      <c r="CJ19" s="2119"/>
      <c r="CK19" s="2119"/>
      <c r="CL19" s="2119"/>
      <c r="CM19" s="2119"/>
      <c r="CN19" s="2119"/>
      <c r="CO19" s="2119"/>
      <c r="CP19" s="2119"/>
      <c r="CQ19" s="2119"/>
      <c r="CR19" s="2119"/>
      <c r="CS19" s="2119"/>
      <c r="CT19" s="2119"/>
      <c r="CU19" s="2119"/>
      <c r="CV19" s="2119"/>
      <c r="CW19" s="2119"/>
      <c r="CX19" s="2119"/>
      <c r="CY19" s="2119"/>
      <c r="CZ19" s="2119"/>
      <c r="DA19" s="2119"/>
      <c r="DB19" s="2119"/>
      <c r="DC19" s="2119"/>
      <c r="DD19" s="2119"/>
      <c r="DE19" s="2119"/>
      <c r="DF19" s="2119"/>
      <c r="DG19" s="2119"/>
      <c r="DH19" s="2119"/>
      <c r="DI19" s="2119"/>
      <c r="DJ19" s="2119"/>
      <c r="DK19" s="2119"/>
      <c r="DL19" s="2119"/>
      <c r="DM19" s="2119"/>
      <c r="DN19" s="2119"/>
      <c r="DO19" s="2119"/>
      <c r="DP19" s="2119"/>
      <c r="DQ19" s="2119"/>
      <c r="DR19" s="2119"/>
      <c r="DS19" s="2119"/>
      <c r="DT19" s="2119"/>
      <c r="DU19" s="2119"/>
      <c r="DV19" s="2119"/>
      <c r="DW19" s="2119"/>
      <c r="DX19" s="2119"/>
      <c r="DY19" s="2119"/>
      <c r="DZ19" s="2119"/>
      <c r="EA19" s="2119"/>
      <c r="EB19" s="2119"/>
      <c r="EC19" s="2119"/>
      <c r="ED19" s="2119"/>
      <c r="EE19" s="2119"/>
      <c r="EF19" s="2119"/>
      <c r="EG19" s="2119"/>
      <c r="EH19" s="2119"/>
      <c r="EI19" s="2119"/>
      <c r="EJ19" s="2119"/>
      <c r="EK19" s="2119"/>
      <c r="EL19" s="2119"/>
      <c r="EM19" s="2119"/>
      <c r="EN19" s="2119"/>
      <c r="EO19" s="2119"/>
      <c r="EP19" s="2119"/>
      <c r="EQ19" s="2119"/>
      <c r="ER19" s="2119"/>
      <c r="ES19" s="2119"/>
      <c r="ET19" s="2119"/>
      <c r="EU19" s="2119"/>
      <c r="EV19" s="2119"/>
      <c r="EW19" s="2119"/>
      <c r="EX19" s="2119"/>
      <c r="EY19" s="2119"/>
      <c r="EZ19" s="2119"/>
      <c r="FA19" s="2119"/>
      <c r="FB19" s="2119"/>
      <c r="FC19" s="2119"/>
      <c r="FD19" s="2119"/>
      <c r="FE19" s="2119"/>
      <c r="FF19" s="2119"/>
      <c r="FG19" s="2119"/>
      <c r="FH19" s="2119"/>
      <c r="FI19" s="2119"/>
      <c r="FJ19" s="2119"/>
      <c r="FK19" s="2119"/>
      <c r="FL19" s="2119"/>
      <c r="FM19" s="2119"/>
      <c r="FN19" s="2119"/>
      <c r="FO19" s="2119"/>
      <c r="FP19" s="2119"/>
      <c r="FQ19" s="2119"/>
      <c r="FR19" s="2119"/>
      <c r="FS19" s="2119"/>
      <c r="FT19" s="2119"/>
      <c r="FU19" s="2119"/>
      <c r="FV19" s="2119"/>
      <c r="FW19" s="2119"/>
      <c r="FX19" s="2119"/>
      <c r="FY19" s="2119"/>
      <c r="FZ19" s="2119"/>
      <c r="GA19" s="2119"/>
      <c r="GB19" s="2119"/>
      <c r="GC19" s="2119"/>
      <c r="GD19" s="2119"/>
      <c r="GE19" s="2119"/>
      <c r="GF19" s="2119"/>
      <c r="GG19" s="2119"/>
      <c r="GH19" s="2119"/>
      <c r="GI19" s="2119"/>
      <c r="GJ19" s="2119"/>
      <c r="GK19" s="2119"/>
      <c r="GL19" s="2119"/>
      <c r="GM19" s="2119"/>
      <c r="GN19" s="2119"/>
      <c r="GO19" s="2119"/>
      <c r="GP19" s="2119"/>
      <c r="GQ19" s="2119"/>
      <c r="GR19" s="2119"/>
      <c r="GS19" s="2119"/>
      <c r="GT19" s="2119"/>
      <c r="GU19" s="2119"/>
      <c r="GV19" s="2119"/>
      <c r="GW19" s="2119"/>
      <c r="GX19" s="2119"/>
      <c r="GY19" s="2119"/>
      <c r="GZ19" s="2119"/>
      <c r="HA19" s="2119"/>
      <c r="HB19" s="2119"/>
      <c r="HC19" s="2119"/>
      <c r="HD19" s="2119"/>
      <c r="HE19" s="2119"/>
      <c r="HF19" s="2119"/>
      <c r="HG19" s="2119"/>
      <c r="HH19" s="2119"/>
      <c r="HI19" s="2119"/>
      <c r="HJ19" s="2119"/>
      <c r="HK19" s="2119"/>
      <c r="HL19" s="2119"/>
      <c r="HM19" s="2119"/>
      <c r="HN19" s="2119"/>
      <c r="HO19" s="2119"/>
      <c r="HP19" s="2119"/>
      <c r="HQ19" s="2119"/>
      <c r="HR19" s="2119"/>
      <c r="HS19" s="2119"/>
      <c r="HT19" s="2119"/>
      <c r="HU19" s="2119"/>
      <c r="HV19" s="2119"/>
      <c r="HW19" s="2119"/>
      <c r="HX19" s="2119"/>
      <c r="HY19" s="2119"/>
      <c r="HZ19" s="2119"/>
      <c r="IA19" s="2119"/>
      <c r="IB19" s="2119"/>
      <c r="IC19" s="2119"/>
      <c r="ID19" s="2119"/>
      <c r="IE19" s="2119"/>
      <c r="IF19" s="2119"/>
      <c r="IG19" s="2119"/>
      <c r="IH19" s="2119"/>
      <c r="II19" s="2119"/>
      <c r="IJ19" s="2119"/>
      <c r="IK19" s="2119"/>
      <c r="IL19" s="2119"/>
      <c r="IM19" s="2119"/>
      <c r="IN19" s="2119"/>
      <c r="IO19" s="2119"/>
      <c r="IP19" s="2119"/>
      <c r="IQ19" s="2119"/>
      <c r="IR19" s="2119"/>
      <c r="IS19" s="2119"/>
      <c r="IT19" s="2119"/>
      <c r="IU19" s="2119"/>
      <c r="IV19" s="2119"/>
    </row>
    <row r="20" spans="1:256" s="2128" customFormat="1" ht="48.7" customHeight="1">
      <c r="A20" s="2125"/>
      <c r="B20" s="2126"/>
      <c r="C20" s="2126"/>
      <c r="D20" s="2126"/>
      <c r="E20" s="2465" t="s">
        <v>3553</v>
      </c>
      <c r="F20" s="2465"/>
      <c r="G20" s="2465"/>
      <c r="H20" s="2143" t="s">
        <v>3554</v>
      </c>
      <c r="I20" s="2466">
        <v>8</v>
      </c>
      <c r="J20" s="2466"/>
      <c r="K20" s="2144" t="s">
        <v>3561</v>
      </c>
      <c r="L20" s="2127"/>
      <c r="M20" s="2126"/>
      <c r="N20" s="2126"/>
      <c r="O20" s="2126"/>
      <c r="P20" s="2126"/>
      <c r="Q20" s="2126"/>
      <c r="R20" s="2126"/>
      <c r="S20" s="2126"/>
      <c r="T20" s="2126"/>
      <c r="U20" s="2126"/>
      <c r="V20" s="2126"/>
      <c r="W20" s="2126"/>
      <c r="X20" s="2126"/>
      <c r="Y20" s="2126"/>
      <c r="Z20" s="2126"/>
      <c r="AA20" s="2126"/>
      <c r="AB20" s="2126"/>
      <c r="AC20" s="2126"/>
      <c r="AD20" s="2126"/>
      <c r="AE20" s="2126"/>
      <c r="AF20" s="2126"/>
      <c r="AG20" s="2126"/>
      <c r="AH20" s="2126"/>
      <c r="AI20" s="2126"/>
      <c r="AJ20" s="2126"/>
      <c r="AK20" s="2126"/>
      <c r="AL20" s="2126"/>
      <c r="AM20" s="2126"/>
      <c r="AN20" s="2126"/>
      <c r="AO20" s="2126"/>
      <c r="AP20" s="2126"/>
      <c r="AQ20" s="2126"/>
      <c r="AR20" s="2126"/>
      <c r="AS20" s="2126"/>
      <c r="AT20" s="2126"/>
      <c r="AU20" s="2126"/>
      <c r="AV20" s="2126"/>
      <c r="AW20" s="2126"/>
      <c r="AX20" s="2126"/>
      <c r="AY20" s="2126"/>
      <c r="AZ20" s="2126"/>
      <c r="BA20" s="2126"/>
      <c r="BB20" s="2126"/>
      <c r="BC20" s="2126"/>
      <c r="BD20" s="2126"/>
      <c r="BE20" s="2126"/>
      <c r="BF20" s="2126"/>
      <c r="BG20" s="2126"/>
      <c r="BH20" s="2126"/>
      <c r="BI20" s="2126"/>
      <c r="BJ20" s="2126"/>
      <c r="BK20" s="2126"/>
      <c r="BL20" s="2126"/>
      <c r="BM20" s="2126"/>
      <c r="BN20" s="2126"/>
      <c r="BO20" s="2126"/>
      <c r="BP20" s="2126"/>
      <c r="BQ20" s="2126"/>
      <c r="BR20" s="2126"/>
      <c r="BS20" s="2126"/>
      <c r="BT20" s="2126"/>
      <c r="BU20" s="2126"/>
      <c r="BV20" s="2126"/>
      <c r="BW20" s="2126"/>
      <c r="BX20" s="2126"/>
      <c r="BY20" s="2126"/>
      <c r="BZ20" s="2126"/>
      <c r="CA20" s="2126"/>
      <c r="CB20" s="2126"/>
      <c r="CC20" s="2126"/>
      <c r="CD20" s="2126"/>
      <c r="CE20" s="2126"/>
      <c r="CF20" s="2126"/>
      <c r="CG20" s="2126"/>
      <c r="CH20" s="2126"/>
      <c r="CI20" s="2126"/>
      <c r="CJ20" s="2126"/>
      <c r="CK20" s="2126"/>
      <c r="CL20" s="2126"/>
      <c r="CM20" s="2126"/>
      <c r="CN20" s="2126"/>
      <c r="CO20" s="2126"/>
      <c r="CP20" s="2126"/>
      <c r="CQ20" s="2126"/>
      <c r="CR20" s="2126"/>
      <c r="CS20" s="2126"/>
      <c r="CT20" s="2126"/>
      <c r="CU20" s="2126"/>
      <c r="CV20" s="2126"/>
      <c r="CW20" s="2126"/>
      <c r="CX20" s="2126"/>
      <c r="CY20" s="2126"/>
      <c r="CZ20" s="2126"/>
      <c r="DA20" s="2126"/>
      <c r="DB20" s="2126"/>
      <c r="DC20" s="2126"/>
      <c r="DD20" s="2126"/>
      <c r="DE20" s="2126"/>
      <c r="DF20" s="2126"/>
      <c r="DG20" s="2126"/>
      <c r="DH20" s="2126"/>
      <c r="DI20" s="2126"/>
      <c r="DJ20" s="2126"/>
      <c r="DK20" s="2126"/>
      <c r="DL20" s="2126"/>
      <c r="DM20" s="2126"/>
      <c r="DN20" s="2126"/>
      <c r="DO20" s="2126"/>
      <c r="DP20" s="2126"/>
      <c r="DQ20" s="2126"/>
      <c r="DR20" s="2126"/>
      <c r="DS20" s="2126"/>
      <c r="DT20" s="2126"/>
      <c r="DU20" s="2126"/>
      <c r="DV20" s="2126"/>
      <c r="DW20" s="2126"/>
      <c r="DX20" s="2126"/>
      <c r="DY20" s="2126"/>
      <c r="DZ20" s="2126"/>
      <c r="EA20" s="2126"/>
      <c r="EB20" s="2126"/>
      <c r="EC20" s="2126"/>
      <c r="ED20" s="2126"/>
      <c r="EE20" s="2126"/>
      <c r="EF20" s="2126"/>
      <c r="EG20" s="2126"/>
      <c r="EH20" s="2126"/>
      <c r="EI20" s="2126"/>
      <c r="EJ20" s="2126"/>
      <c r="EK20" s="2126"/>
      <c r="EL20" s="2126"/>
      <c r="EM20" s="2126"/>
      <c r="EN20" s="2126"/>
      <c r="EO20" s="2126"/>
      <c r="EP20" s="2126"/>
      <c r="EQ20" s="2126"/>
      <c r="ER20" s="2126"/>
      <c r="ES20" s="2126"/>
      <c r="ET20" s="2126"/>
      <c r="EU20" s="2126"/>
      <c r="EV20" s="2126"/>
      <c r="EW20" s="2126"/>
      <c r="EX20" s="2126"/>
      <c r="EY20" s="2126"/>
      <c r="EZ20" s="2126"/>
      <c r="FA20" s="2126"/>
      <c r="FB20" s="2126"/>
      <c r="FC20" s="2126"/>
      <c r="FD20" s="2126"/>
      <c r="FE20" s="2126"/>
      <c r="FF20" s="2126"/>
      <c r="FG20" s="2126"/>
      <c r="FH20" s="2126"/>
      <c r="FI20" s="2126"/>
      <c r="FJ20" s="2126"/>
      <c r="FK20" s="2126"/>
      <c r="FL20" s="2126"/>
      <c r="FM20" s="2126"/>
      <c r="FN20" s="2126"/>
      <c r="FO20" s="2126"/>
      <c r="FP20" s="2126"/>
      <c r="FQ20" s="2126"/>
      <c r="FR20" s="2126"/>
      <c r="FS20" s="2126"/>
      <c r="FT20" s="2126"/>
      <c r="FU20" s="2126"/>
      <c r="FV20" s="2126"/>
      <c r="FW20" s="2126"/>
      <c r="FX20" s="2126"/>
      <c r="FY20" s="2126"/>
      <c r="FZ20" s="2126"/>
      <c r="GA20" s="2126"/>
      <c r="GB20" s="2126"/>
      <c r="GC20" s="2126"/>
      <c r="GD20" s="2126"/>
      <c r="GE20" s="2126"/>
      <c r="GF20" s="2126"/>
      <c r="GG20" s="2126"/>
      <c r="GH20" s="2126"/>
      <c r="GI20" s="2126"/>
      <c r="GJ20" s="2126"/>
      <c r="GK20" s="2126"/>
      <c r="GL20" s="2126"/>
      <c r="GM20" s="2126"/>
      <c r="GN20" s="2126"/>
      <c r="GO20" s="2126"/>
      <c r="GP20" s="2126"/>
      <c r="GQ20" s="2126"/>
      <c r="GR20" s="2126"/>
      <c r="GS20" s="2126"/>
      <c r="GT20" s="2126"/>
      <c r="GU20" s="2126"/>
      <c r="GV20" s="2126"/>
      <c r="GW20" s="2126"/>
      <c r="GX20" s="2126"/>
      <c r="GY20" s="2126"/>
      <c r="GZ20" s="2126"/>
      <c r="HA20" s="2126"/>
      <c r="HB20" s="2126"/>
      <c r="HC20" s="2126"/>
      <c r="HD20" s="2126"/>
      <c r="HE20" s="2126"/>
      <c r="HF20" s="2126"/>
      <c r="HG20" s="2126"/>
      <c r="HH20" s="2126"/>
      <c r="HI20" s="2126"/>
      <c r="HJ20" s="2126"/>
      <c r="HK20" s="2126"/>
      <c r="HL20" s="2126"/>
      <c r="HM20" s="2126"/>
      <c r="HN20" s="2126"/>
      <c r="HO20" s="2126"/>
      <c r="HP20" s="2126"/>
      <c r="HQ20" s="2126"/>
      <c r="HR20" s="2126"/>
      <c r="HS20" s="2126"/>
      <c r="HT20" s="2126"/>
      <c r="HU20" s="2126"/>
      <c r="HV20" s="2126"/>
      <c r="HW20" s="2126"/>
      <c r="HX20" s="2126"/>
      <c r="HY20" s="2126"/>
      <c r="HZ20" s="2126"/>
      <c r="IA20" s="2126"/>
      <c r="IB20" s="2126"/>
      <c r="IC20" s="2126"/>
      <c r="ID20" s="2126"/>
      <c r="IE20" s="2126"/>
      <c r="IF20" s="2126"/>
      <c r="IG20" s="2126"/>
      <c r="IH20" s="2126"/>
      <c r="II20" s="2126"/>
      <c r="IJ20" s="2126"/>
      <c r="IK20" s="2126"/>
      <c r="IL20" s="2126"/>
      <c r="IM20" s="2126"/>
      <c r="IN20" s="2126"/>
      <c r="IO20" s="2126"/>
      <c r="IP20" s="2126"/>
      <c r="IQ20" s="2126"/>
      <c r="IR20" s="2126"/>
      <c r="IS20" s="2126"/>
      <c r="IT20" s="2126"/>
      <c r="IU20" s="2126"/>
      <c r="IV20" s="2126"/>
    </row>
    <row r="21" spans="1:256" ht="14.1" hidden="1">
      <c r="A21" s="2129"/>
      <c r="B21" s="2130"/>
      <c r="C21" s="2130"/>
      <c r="D21" s="2130"/>
      <c r="E21" s="2130" t="s">
        <v>1480</v>
      </c>
      <c r="F21" s="2130"/>
      <c r="G21" s="2130"/>
      <c r="H21" s="2130"/>
      <c r="I21" s="2130"/>
      <c r="J21" s="2130"/>
      <c r="K21" s="2130"/>
      <c r="L21" s="2131"/>
      <c r="M21" s="2130"/>
      <c r="N21" s="2130"/>
      <c r="O21" s="2130"/>
      <c r="P21" s="2130"/>
      <c r="Q21" s="2130"/>
      <c r="R21" s="2130"/>
      <c r="S21" s="2130"/>
      <c r="T21" s="2130"/>
      <c r="U21" s="2130"/>
      <c r="V21" s="2130"/>
      <c r="W21" s="2130"/>
      <c r="X21" s="2130"/>
      <c r="Y21" s="2130"/>
      <c r="Z21" s="2130"/>
      <c r="AA21" s="2130"/>
      <c r="AB21" s="2130"/>
      <c r="AC21" s="2130"/>
      <c r="AD21" s="2130"/>
      <c r="AE21" s="2130"/>
      <c r="AF21" s="2130"/>
      <c r="AG21" s="2130"/>
      <c r="AH21" s="2130"/>
      <c r="AI21" s="2130"/>
      <c r="AJ21" s="2130"/>
      <c r="AK21" s="2130"/>
      <c r="AL21" s="2130"/>
      <c r="AM21" s="2130"/>
      <c r="AN21" s="2130"/>
      <c r="AO21" s="2130"/>
      <c r="AP21" s="2130"/>
      <c r="AQ21" s="2130"/>
      <c r="AR21" s="2130"/>
      <c r="AS21" s="2130"/>
      <c r="AT21" s="2130"/>
      <c r="AU21" s="2130"/>
      <c r="AV21" s="2130"/>
      <c r="AW21" s="2130"/>
      <c r="AX21" s="2130"/>
      <c r="AY21" s="2130"/>
      <c r="AZ21" s="2130"/>
      <c r="BA21" s="2130"/>
      <c r="BB21" s="2130"/>
      <c r="BC21" s="2130"/>
      <c r="BD21" s="2130"/>
      <c r="BE21" s="2130"/>
      <c r="BF21" s="2130"/>
      <c r="BG21" s="2130"/>
      <c r="BH21" s="2130"/>
      <c r="BI21" s="2130"/>
      <c r="BJ21" s="2130"/>
      <c r="BK21" s="2130"/>
      <c r="BL21" s="2130"/>
      <c r="BM21" s="2130"/>
      <c r="BN21" s="2130"/>
      <c r="BO21" s="2130"/>
      <c r="BP21" s="2130"/>
      <c r="BQ21" s="2130"/>
      <c r="BR21" s="2130"/>
      <c r="BS21" s="2130"/>
      <c r="BT21" s="2130"/>
      <c r="BU21" s="2130"/>
      <c r="BV21" s="2130"/>
      <c r="BW21" s="2130"/>
      <c r="BX21" s="2130"/>
      <c r="BY21" s="2130"/>
      <c r="BZ21" s="2130"/>
      <c r="CA21" s="2130"/>
      <c r="CB21" s="2130"/>
      <c r="CC21" s="2130"/>
      <c r="CD21" s="2130"/>
      <c r="CE21" s="2130"/>
      <c r="CF21" s="2130"/>
      <c r="CG21" s="2130"/>
      <c r="CH21" s="2130"/>
      <c r="CI21" s="2130"/>
      <c r="CJ21" s="2130"/>
      <c r="CK21" s="2130"/>
      <c r="CL21" s="2130"/>
      <c r="CM21" s="2130"/>
      <c r="CN21" s="2130"/>
      <c r="CO21" s="2130"/>
      <c r="CP21" s="2130"/>
      <c r="CQ21" s="2130"/>
      <c r="CR21" s="2130"/>
      <c r="CS21" s="2130"/>
      <c r="CT21" s="2130"/>
      <c r="CU21" s="2130"/>
      <c r="CV21" s="2130"/>
      <c r="CW21" s="2130"/>
      <c r="CX21" s="2130"/>
      <c r="CY21" s="2130"/>
      <c r="CZ21" s="2130"/>
      <c r="DA21" s="2130"/>
      <c r="DB21" s="2130"/>
      <c r="DC21" s="2130"/>
      <c r="DD21" s="2130"/>
      <c r="DE21" s="2130"/>
      <c r="DF21" s="2130"/>
      <c r="DG21" s="2130"/>
      <c r="DH21" s="2130"/>
      <c r="DI21" s="2130"/>
      <c r="DJ21" s="2130"/>
      <c r="DK21" s="2130"/>
      <c r="DL21" s="2130"/>
      <c r="DM21" s="2130"/>
      <c r="DN21" s="2130"/>
      <c r="DO21" s="2130"/>
      <c r="DP21" s="2130"/>
      <c r="DQ21" s="2130"/>
      <c r="DR21" s="2130"/>
      <c r="DS21" s="2130"/>
      <c r="DT21" s="2130"/>
      <c r="DU21" s="2130"/>
      <c r="DV21" s="2130"/>
      <c r="DW21" s="2130"/>
      <c r="DX21" s="2130"/>
      <c r="DY21" s="2130"/>
      <c r="DZ21" s="2130"/>
      <c r="EA21" s="2130"/>
      <c r="EB21" s="2130"/>
      <c r="EC21" s="2130"/>
      <c r="ED21" s="2130"/>
      <c r="EE21" s="2130"/>
      <c r="EF21" s="2130"/>
      <c r="EG21" s="2130"/>
      <c r="EH21" s="2130"/>
      <c r="EI21" s="2130"/>
      <c r="EJ21" s="2130"/>
      <c r="EK21" s="2130"/>
      <c r="EL21" s="2130"/>
      <c r="EM21" s="2130"/>
      <c r="EN21" s="2130"/>
      <c r="EO21" s="2130"/>
      <c r="EP21" s="2130"/>
      <c r="EQ21" s="2130"/>
      <c r="ER21" s="2130"/>
      <c r="ES21" s="2130"/>
      <c r="ET21" s="2130"/>
      <c r="EU21" s="2130"/>
      <c r="EV21" s="2130"/>
      <c r="EW21" s="2130"/>
      <c r="EX21" s="2130"/>
      <c r="EY21" s="2130"/>
      <c r="EZ21" s="2130"/>
      <c r="FA21" s="2130"/>
      <c r="FB21" s="2130"/>
      <c r="FC21" s="2130"/>
      <c r="FD21" s="2130"/>
      <c r="FE21" s="2130"/>
      <c r="FF21" s="2130"/>
      <c r="FG21" s="2130"/>
      <c r="FH21" s="2130"/>
      <c r="FI21" s="2130"/>
      <c r="FJ21" s="2130"/>
      <c r="FK21" s="2130"/>
      <c r="FL21" s="2130"/>
      <c r="FM21" s="2130"/>
      <c r="FN21" s="2130"/>
      <c r="FO21" s="2130"/>
      <c r="FP21" s="2130"/>
      <c r="FQ21" s="2130"/>
      <c r="FR21" s="2130"/>
      <c r="FS21" s="2130"/>
      <c r="FT21" s="2130"/>
      <c r="FU21" s="2130"/>
      <c r="FV21" s="2130"/>
      <c r="FW21" s="2130"/>
      <c r="FX21" s="2130"/>
      <c r="FY21" s="2130"/>
      <c r="FZ21" s="2130"/>
      <c r="GA21" s="2130"/>
      <c r="GB21" s="2130"/>
      <c r="GC21" s="2130"/>
      <c r="GD21" s="2130"/>
      <c r="GE21" s="2130"/>
      <c r="GF21" s="2130"/>
      <c r="GG21" s="2130"/>
      <c r="GH21" s="2130"/>
      <c r="GI21" s="2130"/>
      <c r="GJ21" s="2130"/>
      <c r="GK21" s="2130"/>
      <c r="GL21" s="2130"/>
      <c r="GM21" s="2130"/>
      <c r="GN21" s="2130"/>
      <c r="GO21" s="2130"/>
      <c r="GP21" s="2130"/>
      <c r="GQ21" s="2130"/>
      <c r="GR21" s="2130"/>
      <c r="GS21" s="2130"/>
      <c r="GT21" s="2130"/>
      <c r="GU21" s="2130"/>
      <c r="GV21" s="2130"/>
      <c r="GW21" s="2130"/>
      <c r="GX21" s="2130"/>
      <c r="GY21" s="2130"/>
      <c r="GZ21" s="2130"/>
      <c r="HA21" s="2130"/>
      <c r="HB21" s="2130"/>
      <c r="HC21" s="2130"/>
      <c r="HD21" s="2130"/>
      <c r="HE21" s="2130"/>
      <c r="HF21" s="2130"/>
      <c r="HG21" s="2130"/>
      <c r="HH21" s="2130"/>
      <c r="HI21" s="2130"/>
      <c r="HJ21" s="2130"/>
      <c r="HK21" s="2130"/>
      <c r="HL21" s="2130"/>
      <c r="HM21" s="2130"/>
      <c r="HN21" s="2130"/>
      <c r="HO21" s="2130"/>
      <c r="HP21" s="2130"/>
      <c r="HQ21" s="2130"/>
      <c r="HR21" s="2130"/>
      <c r="HS21" s="2130"/>
      <c r="HT21" s="2130"/>
      <c r="HU21" s="2130"/>
      <c r="HV21" s="2130"/>
      <c r="HW21" s="2130"/>
      <c r="HX21" s="2130"/>
      <c r="HY21" s="2130"/>
      <c r="HZ21" s="2130"/>
      <c r="IA21" s="2130"/>
      <c r="IB21" s="2130"/>
      <c r="IC21" s="2130"/>
      <c r="ID21" s="2130"/>
      <c r="IE21" s="2130"/>
      <c r="IF21" s="2130"/>
      <c r="IG21" s="2130"/>
      <c r="IH21" s="2130"/>
      <c r="II21" s="2130"/>
      <c r="IJ21" s="2130"/>
      <c r="IK21" s="2130"/>
      <c r="IL21" s="2130"/>
      <c r="IM21" s="2130"/>
      <c r="IN21" s="2130"/>
      <c r="IO21" s="2130"/>
      <c r="IP21" s="2130"/>
      <c r="IQ21" s="2130"/>
      <c r="IR21" s="2130"/>
      <c r="IS21" s="2130"/>
      <c r="IT21" s="2130"/>
      <c r="IU21" s="2130"/>
      <c r="IV21" s="2130"/>
    </row>
    <row r="22" spans="1:256" ht="9" hidden="1" customHeight="1">
      <c r="A22" s="2129"/>
      <c r="B22" s="2130"/>
      <c r="C22" s="2130"/>
      <c r="D22" s="2130"/>
      <c r="E22" s="2130"/>
      <c r="F22" s="2130"/>
      <c r="G22" s="2130"/>
      <c r="H22" s="2130"/>
      <c r="I22" s="2130"/>
      <c r="J22" s="2130" t="s">
        <v>1480</v>
      </c>
      <c r="K22" s="2130"/>
      <c r="L22" s="2131"/>
      <c r="M22" s="2130"/>
      <c r="N22" s="2130"/>
      <c r="O22" s="2130"/>
      <c r="P22" s="2130"/>
      <c r="Q22" s="2130"/>
      <c r="R22" s="2130"/>
      <c r="S22" s="2130"/>
      <c r="T22" s="2130"/>
      <c r="U22" s="2130"/>
      <c r="V22" s="2130"/>
      <c r="W22" s="2130"/>
      <c r="X22" s="2130"/>
      <c r="Y22" s="2130"/>
      <c r="Z22" s="2130"/>
      <c r="AA22" s="2130"/>
      <c r="AB22" s="2130"/>
      <c r="AC22" s="2130"/>
      <c r="AD22" s="2130"/>
      <c r="AE22" s="2130"/>
      <c r="AF22" s="2130"/>
      <c r="AG22" s="2130"/>
      <c r="AH22" s="2130"/>
      <c r="AI22" s="2130"/>
      <c r="AJ22" s="2130"/>
      <c r="AK22" s="2130"/>
      <c r="AL22" s="2130"/>
      <c r="AM22" s="2130"/>
      <c r="AN22" s="2130"/>
      <c r="AO22" s="2130"/>
      <c r="AP22" s="2130"/>
      <c r="AQ22" s="2130"/>
      <c r="AR22" s="2130"/>
      <c r="AS22" s="2130"/>
      <c r="AT22" s="2130"/>
      <c r="AU22" s="2130"/>
      <c r="AV22" s="2130"/>
      <c r="AW22" s="2130"/>
      <c r="AX22" s="2130"/>
      <c r="AY22" s="2130"/>
      <c r="AZ22" s="2130"/>
      <c r="BA22" s="2130"/>
      <c r="BB22" s="2130"/>
      <c r="BC22" s="2130"/>
      <c r="BD22" s="2130"/>
      <c r="BE22" s="2130"/>
      <c r="BF22" s="2130"/>
      <c r="BG22" s="2130"/>
      <c r="BH22" s="2130"/>
      <c r="BI22" s="2130"/>
      <c r="BJ22" s="2130"/>
      <c r="BK22" s="2130"/>
      <c r="BL22" s="2130"/>
      <c r="BM22" s="2130"/>
      <c r="BN22" s="2130"/>
      <c r="BO22" s="2130"/>
      <c r="BP22" s="2130"/>
      <c r="BQ22" s="2130"/>
      <c r="BR22" s="2130"/>
      <c r="BS22" s="2130"/>
      <c r="BT22" s="2130"/>
      <c r="BU22" s="2130"/>
      <c r="BV22" s="2130"/>
      <c r="BW22" s="2130"/>
      <c r="BX22" s="2130"/>
      <c r="BY22" s="2130"/>
      <c r="BZ22" s="2130"/>
      <c r="CA22" s="2130"/>
      <c r="CB22" s="2130"/>
      <c r="CC22" s="2130"/>
      <c r="CD22" s="2130"/>
      <c r="CE22" s="2130"/>
      <c r="CF22" s="2130"/>
      <c r="CG22" s="2130"/>
      <c r="CH22" s="2130"/>
      <c r="CI22" s="2130"/>
      <c r="CJ22" s="2130"/>
      <c r="CK22" s="2130"/>
      <c r="CL22" s="2130"/>
      <c r="CM22" s="2130"/>
      <c r="CN22" s="2130"/>
      <c r="CO22" s="2130"/>
      <c r="CP22" s="2130"/>
      <c r="CQ22" s="2130"/>
      <c r="CR22" s="2130"/>
      <c r="CS22" s="2130"/>
      <c r="CT22" s="2130"/>
      <c r="CU22" s="2130"/>
      <c r="CV22" s="2130"/>
      <c r="CW22" s="2130"/>
      <c r="CX22" s="2130"/>
      <c r="CY22" s="2130"/>
      <c r="CZ22" s="2130"/>
      <c r="DA22" s="2130"/>
      <c r="DB22" s="2130"/>
      <c r="DC22" s="2130"/>
      <c r="DD22" s="2130"/>
      <c r="DE22" s="2130"/>
      <c r="DF22" s="2130"/>
      <c r="DG22" s="2130"/>
      <c r="DH22" s="2130"/>
      <c r="DI22" s="2130"/>
      <c r="DJ22" s="2130"/>
      <c r="DK22" s="2130"/>
      <c r="DL22" s="2130"/>
      <c r="DM22" s="2130"/>
      <c r="DN22" s="2130"/>
      <c r="DO22" s="2130"/>
      <c r="DP22" s="2130"/>
      <c r="DQ22" s="2130"/>
      <c r="DR22" s="2130"/>
      <c r="DS22" s="2130"/>
      <c r="DT22" s="2130"/>
      <c r="DU22" s="2130"/>
      <c r="DV22" s="2130"/>
      <c r="DW22" s="2130"/>
      <c r="DX22" s="2130"/>
      <c r="DY22" s="2130"/>
      <c r="DZ22" s="2130"/>
      <c r="EA22" s="2130"/>
      <c r="EB22" s="2130"/>
      <c r="EC22" s="2130"/>
      <c r="ED22" s="2130"/>
      <c r="EE22" s="2130"/>
      <c r="EF22" s="2130"/>
      <c r="EG22" s="2130"/>
      <c r="EH22" s="2130"/>
      <c r="EI22" s="2130"/>
      <c r="EJ22" s="2130"/>
      <c r="EK22" s="2130"/>
      <c r="EL22" s="2130"/>
      <c r="EM22" s="2130"/>
      <c r="EN22" s="2130"/>
      <c r="EO22" s="2130"/>
      <c r="EP22" s="2130"/>
      <c r="EQ22" s="2130"/>
      <c r="ER22" s="2130"/>
      <c r="ES22" s="2130"/>
      <c r="ET22" s="2130"/>
      <c r="EU22" s="2130"/>
      <c r="EV22" s="2130"/>
      <c r="EW22" s="2130"/>
      <c r="EX22" s="2130"/>
      <c r="EY22" s="2130"/>
      <c r="EZ22" s="2130"/>
      <c r="FA22" s="2130"/>
      <c r="FB22" s="2130"/>
      <c r="FC22" s="2130"/>
      <c r="FD22" s="2130"/>
      <c r="FE22" s="2130"/>
      <c r="FF22" s="2130"/>
      <c r="FG22" s="2130"/>
      <c r="FH22" s="2130"/>
      <c r="FI22" s="2130"/>
      <c r="FJ22" s="2130"/>
      <c r="FK22" s="2130"/>
      <c r="FL22" s="2130"/>
      <c r="FM22" s="2130"/>
      <c r="FN22" s="2130"/>
      <c r="FO22" s="2130"/>
      <c r="FP22" s="2130"/>
      <c r="FQ22" s="2130"/>
      <c r="FR22" s="2130"/>
      <c r="FS22" s="2130"/>
      <c r="FT22" s="2130"/>
      <c r="FU22" s="2130"/>
      <c r="FV22" s="2130"/>
      <c r="FW22" s="2130"/>
      <c r="FX22" s="2130"/>
      <c r="FY22" s="2130"/>
      <c r="FZ22" s="2130"/>
      <c r="GA22" s="2130"/>
      <c r="GB22" s="2130"/>
      <c r="GC22" s="2130"/>
      <c r="GD22" s="2130"/>
      <c r="GE22" s="2130"/>
      <c r="GF22" s="2130"/>
      <c r="GG22" s="2130"/>
      <c r="GH22" s="2130"/>
      <c r="GI22" s="2130"/>
      <c r="GJ22" s="2130"/>
      <c r="GK22" s="2130"/>
      <c r="GL22" s="2130"/>
      <c r="GM22" s="2130"/>
      <c r="GN22" s="2130"/>
      <c r="GO22" s="2130"/>
      <c r="GP22" s="2130"/>
      <c r="GQ22" s="2130"/>
      <c r="GR22" s="2130"/>
      <c r="GS22" s="2130"/>
      <c r="GT22" s="2130"/>
      <c r="GU22" s="2130"/>
      <c r="GV22" s="2130"/>
      <c r="GW22" s="2130"/>
      <c r="GX22" s="2130"/>
      <c r="GY22" s="2130"/>
      <c r="GZ22" s="2130"/>
      <c r="HA22" s="2130"/>
      <c r="HB22" s="2130"/>
      <c r="HC22" s="2130"/>
      <c r="HD22" s="2130"/>
      <c r="HE22" s="2130"/>
      <c r="HF22" s="2130"/>
      <c r="HG22" s="2130"/>
      <c r="HH22" s="2130"/>
      <c r="HI22" s="2130"/>
      <c r="HJ22" s="2130"/>
      <c r="HK22" s="2130"/>
      <c r="HL22" s="2130"/>
      <c r="HM22" s="2130"/>
      <c r="HN22" s="2130"/>
      <c r="HO22" s="2130"/>
      <c r="HP22" s="2130"/>
      <c r="HQ22" s="2130"/>
      <c r="HR22" s="2130"/>
      <c r="HS22" s="2130"/>
      <c r="HT22" s="2130"/>
      <c r="HU22" s="2130"/>
      <c r="HV22" s="2130"/>
      <c r="HW22" s="2130"/>
      <c r="HX22" s="2130"/>
      <c r="HY22" s="2130"/>
      <c r="HZ22" s="2130"/>
      <c r="IA22" s="2130"/>
      <c r="IB22" s="2130"/>
      <c r="IC22" s="2130"/>
      <c r="ID22" s="2130"/>
      <c r="IE22" s="2130"/>
      <c r="IF22" s="2130"/>
      <c r="IG22" s="2130"/>
      <c r="IH22" s="2130"/>
      <c r="II22" s="2130"/>
      <c r="IJ22" s="2130"/>
      <c r="IK22" s="2130"/>
      <c r="IL22" s="2130"/>
      <c r="IM22" s="2130"/>
      <c r="IN22" s="2130"/>
      <c r="IO22" s="2130"/>
      <c r="IP22" s="2130"/>
      <c r="IQ22" s="2130"/>
      <c r="IR22" s="2130"/>
      <c r="IS22" s="2130"/>
      <c r="IT22" s="2130"/>
      <c r="IU22" s="2130"/>
      <c r="IV22" s="2130"/>
    </row>
    <row r="23" spans="1:256" ht="14.1" hidden="1">
      <c r="A23" s="2129"/>
      <c r="B23" s="2130"/>
      <c r="C23" s="2130"/>
      <c r="D23" s="2130"/>
      <c r="E23" s="2130"/>
      <c r="F23" s="2132"/>
      <c r="G23" s="2130"/>
      <c r="H23" s="2130"/>
      <c r="I23" s="2130"/>
      <c r="J23" s="2130"/>
      <c r="K23" s="2130"/>
      <c r="L23" s="2131"/>
      <c r="M23" s="2130"/>
      <c r="N23" s="2130"/>
      <c r="O23" s="2130"/>
      <c r="P23" s="2130"/>
      <c r="Q23" s="2130"/>
      <c r="R23" s="2130"/>
      <c r="S23" s="2130"/>
      <c r="T23" s="2130"/>
      <c r="U23" s="2130"/>
      <c r="V23" s="2130"/>
      <c r="W23" s="2130"/>
      <c r="X23" s="2130"/>
      <c r="Y23" s="2130"/>
      <c r="Z23" s="2130"/>
      <c r="AA23" s="2130"/>
      <c r="AB23" s="2130"/>
      <c r="AC23" s="2130"/>
      <c r="AD23" s="2130"/>
      <c r="AE23" s="2130"/>
      <c r="AF23" s="2130"/>
      <c r="AG23" s="2130"/>
      <c r="AH23" s="2130"/>
      <c r="AI23" s="2130"/>
      <c r="AJ23" s="2130"/>
      <c r="AK23" s="2130"/>
      <c r="AL23" s="2130"/>
      <c r="AM23" s="2130"/>
      <c r="AN23" s="2130"/>
      <c r="AO23" s="2130"/>
      <c r="AP23" s="2130"/>
      <c r="AQ23" s="2130"/>
      <c r="AR23" s="2130"/>
      <c r="AS23" s="2130"/>
      <c r="AT23" s="2130"/>
      <c r="AU23" s="2130"/>
      <c r="AV23" s="2130"/>
      <c r="AW23" s="2130"/>
      <c r="AX23" s="2130"/>
      <c r="AY23" s="2130"/>
      <c r="AZ23" s="2130"/>
      <c r="BA23" s="2130"/>
      <c r="BB23" s="2130"/>
      <c r="BC23" s="2130"/>
      <c r="BD23" s="2130"/>
      <c r="BE23" s="2130"/>
      <c r="BF23" s="2130"/>
      <c r="BG23" s="2130"/>
      <c r="BH23" s="2130"/>
      <c r="BI23" s="2130"/>
      <c r="BJ23" s="2130"/>
      <c r="BK23" s="2130"/>
      <c r="BL23" s="2130"/>
      <c r="BM23" s="2130"/>
      <c r="BN23" s="2130"/>
      <c r="BO23" s="2130"/>
      <c r="BP23" s="2130"/>
      <c r="BQ23" s="2130"/>
      <c r="BR23" s="2130"/>
      <c r="BS23" s="2130"/>
      <c r="BT23" s="2130"/>
      <c r="BU23" s="2130"/>
      <c r="BV23" s="2130"/>
      <c r="BW23" s="2130"/>
      <c r="BX23" s="2130"/>
      <c r="BY23" s="2130"/>
      <c r="BZ23" s="2130"/>
      <c r="CA23" s="2130"/>
      <c r="CB23" s="2130"/>
      <c r="CC23" s="2130"/>
      <c r="CD23" s="2130"/>
      <c r="CE23" s="2130"/>
      <c r="CF23" s="2130"/>
      <c r="CG23" s="2130"/>
      <c r="CH23" s="2130"/>
      <c r="CI23" s="2130"/>
      <c r="CJ23" s="2130"/>
      <c r="CK23" s="2130"/>
      <c r="CL23" s="2130"/>
      <c r="CM23" s="2130"/>
      <c r="CN23" s="2130"/>
      <c r="CO23" s="2130"/>
      <c r="CP23" s="2130"/>
      <c r="CQ23" s="2130"/>
      <c r="CR23" s="2130"/>
      <c r="CS23" s="2130"/>
      <c r="CT23" s="2130"/>
      <c r="CU23" s="2130"/>
      <c r="CV23" s="2130"/>
      <c r="CW23" s="2130"/>
      <c r="CX23" s="2130"/>
      <c r="CY23" s="2130"/>
      <c r="CZ23" s="2130"/>
      <c r="DA23" s="2130"/>
      <c r="DB23" s="2130"/>
      <c r="DC23" s="2130"/>
      <c r="DD23" s="2130"/>
      <c r="DE23" s="2130"/>
      <c r="DF23" s="2130"/>
      <c r="DG23" s="2130"/>
      <c r="DH23" s="2130"/>
      <c r="DI23" s="2130"/>
      <c r="DJ23" s="2130"/>
      <c r="DK23" s="2130"/>
      <c r="DL23" s="2130"/>
      <c r="DM23" s="2130"/>
      <c r="DN23" s="2130"/>
      <c r="DO23" s="2130"/>
      <c r="DP23" s="2130"/>
      <c r="DQ23" s="2130"/>
      <c r="DR23" s="2130"/>
      <c r="DS23" s="2130"/>
      <c r="DT23" s="2130"/>
      <c r="DU23" s="2130"/>
      <c r="DV23" s="2130"/>
      <c r="DW23" s="2130"/>
      <c r="DX23" s="2130"/>
      <c r="DY23" s="2130"/>
      <c r="DZ23" s="2130"/>
      <c r="EA23" s="2130"/>
      <c r="EB23" s="2130"/>
      <c r="EC23" s="2130"/>
      <c r="ED23" s="2130"/>
      <c r="EE23" s="2130"/>
      <c r="EF23" s="2130"/>
      <c r="EG23" s="2130"/>
      <c r="EH23" s="2130"/>
      <c r="EI23" s="2130"/>
      <c r="EJ23" s="2130"/>
      <c r="EK23" s="2130"/>
      <c r="EL23" s="2130"/>
      <c r="EM23" s="2130"/>
      <c r="EN23" s="2130"/>
      <c r="EO23" s="2130"/>
      <c r="EP23" s="2130"/>
      <c r="EQ23" s="2130"/>
      <c r="ER23" s="2130"/>
      <c r="ES23" s="2130"/>
      <c r="ET23" s="2130"/>
      <c r="EU23" s="2130"/>
      <c r="EV23" s="2130"/>
      <c r="EW23" s="2130"/>
      <c r="EX23" s="2130"/>
      <c r="EY23" s="2130"/>
      <c r="EZ23" s="2130"/>
      <c r="FA23" s="2130"/>
      <c r="FB23" s="2130"/>
      <c r="FC23" s="2130"/>
      <c r="FD23" s="2130"/>
      <c r="FE23" s="2130"/>
      <c r="FF23" s="2130"/>
      <c r="FG23" s="2130"/>
      <c r="FH23" s="2130"/>
      <c r="FI23" s="2130"/>
      <c r="FJ23" s="2130"/>
      <c r="FK23" s="2130"/>
      <c r="FL23" s="2130"/>
      <c r="FM23" s="2130"/>
      <c r="FN23" s="2130"/>
      <c r="FO23" s="2130"/>
      <c r="FP23" s="2130"/>
      <c r="FQ23" s="2130"/>
      <c r="FR23" s="2130"/>
      <c r="FS23" s="2130"/>
      <c r="FT23" s="2130"/>
      <c r="FU23" s="2130"/>
      <c r="FV23" s="2130"/>
      <c r="FW23" s="2130"/>
      <c r="FX23" s="2130"/>
      <c r="FY23" s="2130"/>
      <c r="FZ23" s="2130"/>
      <c r="GA23" s="2130"/>
      <c r="GB23" s="2130"/>
      <c r="GC23" s="2130"/>
      <c r="GD23" s="2130"/>
      <c r="GE23" s="2130"/>
      <c r="GF23" s="2130"/>
      <c r="GG23" s="2130"/>
      <c r="GH23" s="2130"/>
      <c r="GI23" s="2130"/>
      <c r="GJ23" s="2130"/>
      <c r="GK23" s="2130"/>
      <c r="GL23" s="2130"/>
      <c r="GM23" s="2130"/>
      <c r="GN23" s="2130"/>
      <c r="GO23" s="2130"/>
      <c r="GP23" s="2130"/>
      <c r="GQ23" s="2130"/>
      <c r="GR23" s="2130"/>
      <c r="GS23" s="2130"/>
      <c r="GT23" s="2130"/>
      <c r="GU23" s="2130"/>
      <c r="GV23" s="2130"/>
      <c r="GW23" s="2130"/>
      <c r="GX23" s="2130"/>
      <c r="GY23" s="2130"/>
      <c r="GZ23" s="2130"/>
      <c r="HA23" s="2130"/>
      <c r="HB23" s="2130"/>
      <c r="HC23" s="2130"/>
      <c r="HD23" s="2130"/>
      <c r="HE23" s="2130"/>
      <c r="HF23" s="2130"/>
      <c r="HG23" s="2130"/>
      <c r="HH23" s="2130"/>
      <c r="HI23" s="2130"/>
      <c r="HJ23" s="2130"/>
      <c r="HK23" s="2130"/>
      <c r="HL23" s="2130"/>
      <c r="HM23" s="2130"/>
      <c r="HN23" s="2130"/>
      <c r="HO23" s="2130"/>
      <c r="HP23" s="2130"/>
      <c r="HQ23" s="2130"/>
      <c r="HR23" s="2130"/>
      <c r="HS23" s="2130"/>
      <c r="HT23" s="2130"/>
      <c r="HU23" s="2130"/>
      <c r="HV23" s="2130"/>
      <c r="HW23" s="2130"/>
      <c r="HX23" s="2130"/>
      <c r="HY23" s="2130"/>
      <c r="HZ23" s="2130"/>
      <c r="IA23" s="2130"/>
      <c r="IB23" s="2130"/>
      <c r="IC23" s="2130"/>
      <c r="ID23" s="2130"/>
      <c r="IE23" s="2130"/>
      <c r="IF23" s="2130"/>
      <c r="IG23" s="2130"/>
      <c r="IH23" s="2130"/>
      <c r="II23" s="2130"/>
      <c r="IJ23" s="2130"/>
      <c r="IK23" s="2130"/>
      <c r="IL23" s="2130"/>
      <c r="IM23" s="2130"/>
      <c r="IN23" s="2130"/>
      <c r="IO23" s="2130"/>
      <c r="IP23" s="2130"/>
      <c r="IQ23" s="2130"/>
      <c r="IR23" s="2130"/>
      <c r="IS23" s="2130"/>
      <c r="IT23" s="2130"/>
      <c r="IU23" s="2130"/>
      <c r="IV23" s="2130"/>
    </row>
    <row r="24" spans="1:256" ht="14.1" hidden="1">
      <c r="A24" s="2129"/>
      <c r="B24" s="2130"/>
      <c r="C24" s="2130"/>
      <c r="D24" s="2130"/>
      <c r="E24" s="2130"/>
      <c r="F24" s="2132"/>
      <c r="G24" s="2130"/>
      <c r="H24" s="2130"/>
      <c r="I24" s="2130"/>
      <c r="J24" s="2130"/>
      <c r="K24" s="2130"/>
      <c r="L24" s="2131"/>
      <c r="M24" s="2130"/>
      <c r="N24" s="2130"/>
      <c r="O24" s="2130"/>
      <c r="P24" s="2130"/>
      <c r="Q24" s="2130"/>
      <c r="R24" s="2130"/>
      <c r="S24" s="2130"/>
      <c r="T24" s="2130"/>
      <c r="U24" s="2130"/>
      <c r="V24" s="2130"/>
      <c r="W24" s="2130"/>
      <c r="X24" s="2130"/>
      <c r="Y24" s="2130"/>
      <c r="Z24" s="2130"/>
      <c r="AA24" s="2130"/>
      <c r="AB24" s="2130"/>
      <c r="AC24" s="2130"/>
      <c r="AD24" s="2130"/>
      <c r="AE24" s="2130"/>
      <c r="AF24" s="2130"/>
      <c r="AG24" s="2130"/>
      <c r="AH24" s="2130"/>
      <c r="AI24" s="2130"/>
      <c r="AJ24" s="2130"/>
      <c r="AK24" s="2130"/>
      <c r="AL24" s="2130"/>
      <c r="AM24" s="2130"/>
      <c r="AN24" s="2130"/>
      <c r="AO24" s="2130"/>
      <c r="AP24" s="2130"/>
      <c r="AQ24" s="2130"/>
      <c r="AR24" s="2130"/>
      <c r="AS24" s="2130"/>
      <c r="AT24" s="2130"/>
      <c r="AU24" s="2130"/>
      <c r="AV24" s="2130"/>
      <c r="AW24" s="2130"/>
      <c r="AX24" s="2130"/>
      <c r="AY24" s="2130"/>
      <c r="AZ24" s="2130"/>
      <c r="BA24" s="2130"/>
      <c r="BB24" s="2130"/>
      <c r="BC24" s="2130"/>
      <c r="BD24" s="2130"/>
      <c r="BE24" s="2130"/>
      <c r="BF24" s="2130"/>
      <c r="BG24" s="2130"/>
      <c r="BH24" s="2130"/>
      <c r="BI24" s="2130"/>
      <c r="BJ24" s="2130"/>
      <c r="BK24" s="2130"/>
      <c r="BL24" s="2130"/>
      <c r="BM24" s="2130"/>
      <c r="BN24" s="2130"/>
      <c r="BO24" s="2130"/>
      <c r="BP24" s="2130"/>
      <c r="BQ24" s="2130"/>
      <c r="BR24" s="2130"/>
      <c r="BS24" s="2130"/>
      <c r="BT24" s="2130"/>
      <c r="BU24" s="2130"/>
      <c r="BV24" s="2130"/>
      <c r="BW24" s="2130"/>
      <c r="BX24" s="2130"/>
      <c r="BY24" s="2130"/>
      <c r="BZ24" s="2130"/>
      <c r="CA24" s="2130"/>
      <c r="CB24" s="2130"/>
      <c r="CC24" s="2130"/>
      <c r="CD24" s="2130"/>
      <c r="CE24" s="2130"/>
      <c r="CF24" s="2130"/>
      <c r="CG24" s="2130"/>
      <c r="CH24" s="2130"/>
      <c r="CI24" s="2130"/>
      <c r="CJ24" s="2130"/>
      <c r="CK24" s="2130"/>
      <c r="CL24" s="2130"/>
      <c r="CM24" s="2130"/>
      <c r="CN24" s="2130"/>
      <c r="CO24" s="2130"/>
      <c r="CP24" s="2130"/>
      <c r="CQ24" s="2130"/>
      <c r="CR24" s="2130"/>
      <c r="CS24" s="2130"/>
      <c r="CT24" s="2130"/>
      <c r="CU24" s="2130"/>
      <c r="CV24" s="2130"/>
      <c r="CW24" s="2130"/>
      <c r="CX24" s="2130"/>
      <c r="CY24" s="2130"/>
      <c r="CZ24" s="2130"/>
      <c r="DA24" s="2130"/>
      <c r="DB24" s="2130"/>
      <c r="DC24" s="2130"/>
      <c r="DD24" s="2130"/>
      <c r="DE24" s="2130"/>
      <c r="DF24" s="2130"/>
      <c r="DG24" s="2130"/>
      <c r="DH24" s="2130"/>
      <c r="DI24" s="2130"/>
      <c r="DJ24" s="2130"/>
      <c r="DK24" s="2130"/>
      <c r="DL24" s="2130"/>
      <c r="DM24" s="2130"/>
      <c r="DN24" s="2130"/>
      <c r="DO24" s="2130"/>
      <c r="DP24" s="2130"/>
      <c r="DQ24" s="2130"/>
      <c r="DR24" s="2130"/>
      <c r="DS24" s="2130"/>
      <c r="DT24" s="2130"/>
      <c r="DU24" s="2130"/>
      <c r="DV24" s="2130"/>
      <c r="DW24" s="2130"/>
      <c r="DX24" s="2130"/>
      <c r="DY24" s="2130"/>
      <c r="DZ24" s="2130"/>
      <c r="EA24" s="2130"/>
      <c r="EB24" s="2130"/>
      <c r="EC24" s="2130"/>
      <c r="ED24" s="2130"/>
      <c r="EE24" s="2130"/>
      <c r="EF24" s="2130"/>
      <c r="EG24" s="2130"/>
      <c r="EH24" s="2130"/>
      <c r="EI24" s="2130"/>
      <c r="EJ24" s="2130"/>
      <c r="EK24" s="2130"/>
      <c r="EL24" s="2130"/>
      <c r="EM24" s="2130"/>
      <c r="EN24" s="2130"/>
      <c r="EO24" s="2130"/>
      <c r="EP24" s="2130"/>
      <c r="EQ24" s="2130"/>
      <c r="ER24" s="2130"/>
      <c r="ES24" s="2130"/>
      <c r="ET24" s="2130"/>
      <c r="EU24" s="2130"/>
      <c r="EV24" s="2130"/>
      <c r="EW24" s="2130"/>
      <c r="EX24" s="2130"/>
      <c r="EY24" s="2130"/>
      <c r="EZ24" s="2130"/>
      <c r="FA24" s="2130"/>
      <c r="FB24" s="2130"/>
      <c r="FC24" s="2130"/>
      <c r="FD24" s="2130"/>
      <c r="FE24" s="2130"/>
      <c r="FF24" s="2130"/>
      <c r="FG24" s="2130"/>
      <c r="FH24" s="2130"/>
      <c r="FI24" s="2130"/>
      <c r="FJ24" s="2130"/>
      <c r="FK24" s="2130"/>
      <c r="FL24" s="2130"/>
      <c r="FM24" s="2130"/>
      <c r="FN24" s="2130"/>
      <c r="FO24" s="2130"/>
      <c r="FP24" s="2130"/>
      <c r="FQ24" s="2130"/>
      <c r="FR24" s="2130"/>
      <c r="FS24" s="2130"/>
      <c r="FT24" s="2130"/>
      <c r="FU24" s="2130"/>
      <c r="FV24" s="2130"/>
      <c r="FW24" s="2130"/>
      <c r="FX24" s="2130"/>
      <c r="FY24" s="2130"/>
      <c r="FZ24" s="2130"/>
      <c r="GA24" s="2130"/>
      <c r="GB24" s="2130"/>
      <c r="GC24" s="2130"/>
      <c r="GD24" s="2130"/>
      <c r="GE24" s="2130"/>
      <c r="GF24" s="2130"/>
      <c r="GG24" s="2130"/>
      <c r="GH24" s="2130"/>
      <c r="GI24" s="2130"/>
      <c r="GJ24" s="2130"/>
      <c r="GK24" s="2130"/>
      <c r="GL24" s="2130"/>
      <c r="GM24" s="2130"/>
      <c r="GN24" s="2130"/>
      <c r="GO24" s="2130"/>
      <c r="GP24" s="2130"/>
      <c r="GQ24" s="2130"/>
      <c r="GR24" s="2130"/>
      <c r="GS24" s="2130"/>
      <c r="GT24" s="2130"/>
      <c r="GU24" s="2130"/>
      <c r="GV24" s="2130"/>
      <c r="GW24" s="2130"/>
      <c r="GX24" s="2130"/>
      <c r="GY24" s="2130"/>
      <c r="GZ24" s="2130"/>
      <c r="HA24" s="2130"/>
      <c r="HB24" s="2130"/>
      <c r="HC24" s="2130"/>
      <c r="HD24" s="2130"/>
      <c r="HE24" s="2130"/>
      <c r="HF24" s="2130"/>
      <c r="HG24" s="2130"/>
      <c r="HH24" s="2130"/>
      <c r="HI24" s="2130"/>
      <c r="HJ24" s="2130"/>
      <c r="HK24" s="2130"/>
      <c r="HL24" s="2130"/>
      <c r="HM24" s="2130"/>
      <c r="HN24" s="2130"/>
      <c r="HO24" s="2130"/>
      <c r="HP24" s="2130"/>
      <c r="HQ24" s="2130"/>
      <c r="HR24" s="2130"/>
      <c r="HS24" s="2130"/>
      <c r="HT24" s="2130"/>
      <c r="HU24" s="2130"/>
      <c r="HV24" s="2130"/>
      <c r="HW24" s="2130"/>
      <c r="HX24" s="2130"/>
      <c r="HY24" s="2130"/>
      <c r="HZ24" s="2130"/>
      <c r="IA24" s="2130"/>
      <c r="IB24" s="2130"/>
      <c r="IC24" s="2130"/>
      <c r="ID24" s="2130"/>
      <c r="IE24" s="2130"/>
      <c r="IF24" s="2130"/>
      <c r="IG24" s="2130"/>
      <c r="IH24" s="2130"/>
      <c r="II24" s="2130"/>
      <c r="IJ24" s="2130"/>
      <c r="IK24" s="2130"/>
      <c r="IL24" s="2130"/>
      <c r="IM24" s="2130"/>
      <c r="IN24" s="2130"/>
      <c r="IO24" s="2130"/>
      <c r="IP24" s="2130"/>
      <c r="IQ24" s="2130"/>
      <c r="IR24" s="2130"/>
      <c r="IS24" s="2130"/>
      <c r="IT24" s="2130"/>
      <c r="IU24" s="2130"/>
      <c r="IV24" s="2130"/>
    </row>
    <row r="25" spans="1:256" ht="39" customHeight="1">
      <c r="A25" s="2129"/>
      <c r="B25" s="2130"/>
      <c r="C25" s="2130"/>
      <c r="D25" s="2130"/>
      <c r="E25" s="2130"/>
      <c r="F25" s="2132"/>
      <c r="G25" s="2132" t="s">
        <v>3555</v>
      </c>
      <c r="H25" s="2122" t="s">
        <v>3554</v>
      </c>
      <c r="I25" s="2133" t="s">
        <v>3509</v>
      </c>
      <c r="J25" s="2130"/>
      <c r="K25" s="2130"/>
      <c r="L25" s="2131"/>
      <c r="M25" s="2130"/>
      <c r="N25" s="2130"/>
      <c r="O25" s="2130"/>
      <c r="P25" s="2130"/>
      <c r="Q25" s="2130"/>
      <c r="R25" s="2130"/>
      <c r="S25" s="2130"/>
      <c r="T25" s="2130"/>
      <c r="U25" s="2130"/>
      <c r="V25" s="2130"/>
      <c r="W25" s="2130"/>
      <c r="X25" s="2130"/>
      <c r="Y25" s="2130"/>
      <c r="Z25" s="2130"/>
      <c r="AA25" s="2130"/>
      <c r="AB25" s="2130"/>
      <c r="AC25" s="2130"/>
      <c r="AD25" s="2130"/>
      <c r="AE25" s="2130"/>
      <c r="AF25" s="2130"/>
      <c r="AG25" s="2130"/>
      <c r="AH25" s="2130"/>
      <c r="AI25" s="2130"/>
      <c r="AJ25" s="2130"/>
      <c r="AK25" s="2130"/>
      <c r="AL25" s="2130"/>
      <c r="AM25" s="2130"/>
      <c r="AN25" s="2130"/>
      <c r="AO25" s="2130"/>
      <c r="AP25" s="2130"/>
      <c r="AQ25" s="2130"/>
      <c r="AR25" s="2130"/>
      <c r="AS25" s="2130"/>
      <c r="AT25" s="2130"/>
      <c r="AU25" s="2130"/>
      <c r="AV25" s="2130"/>
      <c r="AW25" s="2130"/>
      <c r="AX25" s="2130"/>
      <c r="AY25" s="2130"/>
      <c r="AZ25" s="2130"/>
      <c r="BA25" s="2130"/>
      <c r="BB25" s="2130"/>
      <c r="BC25" s="2130"/>
      <c r="BD25" s="2130"/>
      <c r="BE25" s="2130"/>
      <c r="BF25" s="2130"/>
      <c r="BG25" s="2130"/>
      <c r="BH25" s="2130"/>
      <c r="BI25" s="2130"/>
      <c r="BJ25" s="2130"/>
      <c r="BK25" s="2130"/>
      <c r="BL25" s="2130"/>
      <c r="BM25" s="2130"/>
      <c r="BN25" s="2130"/>
      <c r="BO25" s="2130"/>
      <c r="BP25" s="2130"/>
      <c r="BQ25" s="2130"/>
      <c r="BR25" s="2130"/>
      <c r="BS25" s="2130"/>
      <c r="BT25" s="2130"/>
      <c r="BU25" s="2130"/>
      <c r="BV25" s="2130"/>
      <c r="BW25" s="2130"/>
      <c r="BX25" s="2130"/>
      <c r="BY25" s="2130"/>
      <c r="BZ25" s="2130"/>
      <c r="CA25" s="2130"/>
      <c r="CB25" s="2130"/>
      <c r="CC25" s="2130"/>
      <c r="CD25" s="2130"/>
      <c r="CE25" s="2130"/>
      <c r="CF25" s="2130"/>
      <c r="CG25" s="2130"/>
      <c r="CH25" s="2130"/>
      <c r="CI25" s="2130"/>
      <c r="CJ25" s="2130"/>
      <c r="CK25" s="2130"/>
      <c r="CL25" s="2130"/>
      <c r="CM25" s="2130"/>
      <c r="CN25" s="2130"/>
      <c r="CO25" s="2130"/>
      <c r="CP25" s="2130"/>
      <c r="CQ25" s="2130"/>
      <c r="CR25" s="2130"/>
      <c r="CS25" s="2130"/>
      <c r="CT25" s="2130"/>
      <c r="CU25" s="2130"/>
      <c r="CV25" s="2130"/>
      <c r="CW25" s="2130"/>
      <c r="CX25" s="2130"/>
      <c r="CY25" s="2130"/>
      <c r="CZ25" s="2130"/>
      <c r="DA25" s="2130"/>
      <c r="DB25" s="2130"/>
      <c r="DC25" s="2130"/>
      <c r="DD25" s="2130"/>
      <c r="DE25" s="2130"/>
      <c r="DF25" s="2130"/>
      <c r="DG25" s="2130"/>
      <c r="DH25" s="2130"/>
      <c r="DI25" s="2130"/>
      <c r="DJ25" s="2130"/>
      <c r="DK25" s="2130"/>
      <c r="DL25" s="2130"/>
      <c r="DM25" s="2130"/>
      <c r="DN25" s="2130"/>
      <c r="DO25" s="2130"/>
      <c r="DP25" s="2130"/>
      <c r="DQ25" s="2130"/>
      <c r="DR25" s="2130"/>
      <c r="DS25" s="2130"/>
      <c r="DT25" s="2130"/>
      <c r="DU25" s="2130"/>
      <c r="DV25" s="2130"/>
      <c r="DW25" s="2130"/>
      <c r="DX25" s="2130"/>
      <c r="DY25" s="2130"/>
      <c r="DZ25" s="2130"/>
      <c r="EA25" s="2130"/>
      <c r="EB25" s="2130"/>
      <c r="EC25" s="2130"/>
      <c r="ED25" s="2130"/>
      <c r="EE25" s="2130"/>
      <c r="EF25" s="2130"/>
      <c r="EG25" s="2130"/>
      <c r="EH25" s="2130"/>
      <c r="EI25" s="2130"/>
      <c r="EJ25" s="2130"/>
      <c r="EK25" s="2130"/>
      <c r="EL25" s="2130"/>
      <c r="EM25" s="2130"/>
      <c r="EN25" s="2130"/>
      <c r="EO25" s="2130"/>
      <c r="EP25" s="2130"/>
      <c r="EQ25" s="2130"/>
      <c r="ER25" s="2130"/>
      <c r="ES25" s="2130"/>
      <c r="ET25" s="2130"/>
      <c r="EU25" s="2130"/>
      <c r="EV25" s="2130"/>
      <c r="EW25" s="2130"/>
      <c r="EX25" s="2130"/>
      <c r="EY25" s="2130"/>
      <c r="EZ25" s="2130"/>
      <c r="FA25" s="2130"/>
      <c r="FB25" s="2130"/>
      <c r="FC25" s="2130"/>
      <c r="FD25" s="2130"/>
      <c r="FE25" s="2130"/>
      <c r="FF25" s="2130"/>
      <c r="FG25" s="2130"/>
      <c r="FH25" s="2130"/>
      <c r="FI25" s="2130"/>
      <c r="FJ25" s="2130"/>
      <c r="FK25" s="2130"/>
      <c r="FL25" s="2130"/>
      <c r="FM25" s="2130"/>
      <c r="FN25" s="2130"/>
      <c r="FO25" s="2130"/>
      <c r="FP25" s="2130"/>
      <c r="FQ25" s="2130"/>
      <c r="FR25" s="2130"/>
      <c r="FS25" s="2130"/>
      <c r="FT25" s="2130"/>
      <c r="FU25" s="2130"/>
      <c r="FV25" s="2130"/>
      <c r="FW25" s="2130"/>
      <c r="FX25" s="2130"/>
      <c r="FY25" s="2130"/>
      <c r="FZ25" s="2130"/>
      <c r="GA25" s="2130"/>
      <c r="GB25" s="2130"/>
      <c r="GC25" s="2130"/>
      <c r="GD25" s="2130"/>
      <c r="GE25" s="2130"/>
      <c r="GF25" s="2130"/>
      <c r="GG25" s="2130"/>
      <c r="GH25" s="2130"/>
      <c r="GI25" s="2130"/>
      <c r="GJ25" s="2130"/>
      <c r="GK25" s="2130"/>
      <c r="GL25" s="2130"/>
      <c r="GM25" s="2130"/>
      <c r="GN25" s="2130"/>
      <c r="GO25" s="2130"/>
      <c r="GP25" s="2130"/>
      <c r="GQ25" s="2130"/>
      <c r="GR25" s="2130"/>
      <c r="GS25" s="2130"/>
      <c r="GT25" s="2130"/>
      <c r="GU25" s="2130"/>
      <c r="GV25" s="2130"/>
      <c r="GW25" s="2130"/>
      <c r="GX25" s="2130"/>
      <c r="GY25" s="2130"/>
      <c r="GZ25" s="2130"/>
      <c r="HA25" s="2130"/>
      <c r="HB25" s="2130"/>
      <c r="HC25" s="2130"/>
      <c r="HD25" s="2130"/>
      <c r="HE25" s="2130"/>
      <c r="HF25" s="2130"/>
      <c r="HG25" s="2130"/>
      <c r="HH25" s="2130"/>
      <c r="HI25" s="2130"/>
      <c r="HJ25" s="2130"/>
      <c r="HK25" s="2130"/>
      <c r="HL25" s="2130"/>
      <c r="HM25" s="2130"/>
      <c r="HN25" s="2130"/>
      <c r="HO25" s="2130"/>
      <c r="HP25" s="2130"/>
      <c r="HQ25" s="2130"/>
      <c r="HR25" s="2130"/>
      <c r="HS25" s="2130"/>
      <c r="HT25" s="2130"/>
      <c r="HU25" s="2130"/>
      <c r="HV25" s="2130"/>
      <c r="HW25" s="2130"/>
      <c r="HX25" s="2130"/>
      <c r="HY25" s="2130"/>
      <c r="HZ25" s="2130"/>
      <c r="IA25" s="2130"/>
      <c r="IB25" s="2130"/>
      <c r="IC25" s="2130"/>
      <c r="ID25" s="2130"/>
      <c r="IE25" s="2130"/>
      <c r="IF25" s="2130"/>
      <c r="IG25" s="2130"/>
      <c r="IH25" s="2130"/>
      <c r="II25" s="2130"/>
      <c r="IJ25" s="2130"/>
      <c r="IK25" s="2130"/>
      <c r="IL25" s="2130"/>
      <c r="IM25" s="2130"/>
      <c r="IN25" s="2130"/>
      <c r="IO25" s="2130"/>
      <c r="IP25" s="2130"/>
      <c r="IQ25" s="2130"/>
      <c r="IR25" s="2130"/>
      <c r="IS25" s="2130"/>
      <c r="IT25" s="2130"/>
      <c r="IU25" s="2130"/>
      <c r="IV25" s="2130"/>
    </row>
    <row r="26" spans="1:256" ht="14.1">
      <c r="A26" s="2129"/>
      <c r="B26" s="2130"/>
      <c r="C26" s="2130"/>
      <c r="D26" s="2130"/>
      <c r="E26" s="2130"/>
      <c r="F26" s="2132"/>
      <c r="G26" s="2132"/>
      <c r="H26" s="2130"/>
      <c r="I26" s="2133"/>
      <c r="J26" s="2130"/>
      <c r="K26" s="2130"/>
      <c r="L26" s="2131"/>
      <c r="M26" s="2130"/>
      <c r="N26" s="2130"/>
      <c r="O26" s="2130"/>
      <c r="P26" s="2130"/>
      <c r="Q26" s="2130"/>
      <c r="R26" s="2130"/>
      <c r="S26" s="2130"/>
      <c r="T26" s="2130"/>
      <c r="U26" s="2130"/>
      <c r="V26" s="2130"/>
      <c r="W26" s="2130"/>
      <c r="X26" s="2130"/>
      <c r="Y26" s="2130"/>
      <c r="Z26" s="2130"/>
      <c r="AA26" s="2130"/>
      <c r="AB26" s="2130"/>
      <c r="AC26" s="2130"/>
      <c r="AD26" s="2130"/>
      <c r="AE26" s="2130"/>
      <c r="AF26" s="2130"/>
      <c r="AG26" s="2130"/>
      <c r="AH26" s="2130"/>
      <c r="AI26" s="2130"/>
      <c r="AJ26" s="2130"/>
      <c r="AK26" s="2130"/>
      <c r="AL26" s="2130"/>
      <c r="AM26" s="2130"/>
      <c r="AN26" s="2130"/>
      <c r="AO26" s="2130"/>
      <c r="AP26" s="2130"/>
      <c r="AQ26" s="2130"/>
      <c r="AR26" s="2130"/>
      <c r="AS26" s="2130"/>
      <c r="AT26" s="2130"/>
      <c r="AU26" s="2130"/>
      <c r="AV26" s="2130"/>
      <c r="AW26" s="2130"/>
      <c r="AX26" s="2130"/>
      <c r="AY26" s="2130"/>
      <c r="AZ26" s="2130"/>
      <c r="BA26" s="2130"/>
      <c r="BB26" s="2130"/>
      <c r="BC26" s="2130"/>
      <c r="BD26" s="2130"/>
      <c r="BE26" s="2130"/>
      <c r="BF26" s="2130"/>
      <c r="BG26" s="2130"/>
      <c r="BH26" s="2130"/>
      <c r="BI26" s="2130"/>
      <c r="BJ26" s="2130"/>
      <c r="BK26" s="2130"/>
      <c r="BL26" s="2130"/>
      <c r="BM26" s="2130"/>
      <c r="BN26" s="2130"/>
      <c r="BO26" s="2130"/>
      <c r="BP26" s="2130"/>
      <c r="BQ26" s="2130"/>
      <c r="BR26" s="2130"/>
      <c r="BS26" s="2130"/>
      <c r="BT26" s="2130"/>
      <c r="BU26" s="2130"/>
      <c r="BV26" s="2130"/>
      <c r="BW26" s="2130"/>
      <c r="BX26" s="2130"/>
      <c r="BY26" s="2130"/>
      <c r="BZ26" s="2130"/>
      <c r="CA26" s="2130"/>
      <c r="CB26" s="2130"/>
      <c r="CC26" s="2130"/>
      <c r="CD26" s="2130"/>
      <c r="CE26" s="2130"/>
      <c r="CF26" s="2130"/>
      <c r="CG26" s="2130"/>
      <c r="CH26" s="2130"/>
      <c r="CI26" s="2130"/>
      <c r="CJ26" s="2130"/>
      <c r="CK26" s="2130"/>
      <c r="CL26" s="2130"/>
      <c r="CM26" s="2130"/>
      <c r="CN26" s="2130"/>
      <c r="CO26" s="2130"/>
      <c r="CP26" s="2130"/>
      <c r="CQ26" s="2130"/>
      <c r="CR26" s="2130"/>
      <c r="CS26" s="2130"/>
      <c r="CT26" s="2130"/>
      <c r="CU26" s="2130"/>
      <c r="CV26" s="2130"/>
      <c r="CW26" s="2130"/>
      <c r="CX26" s="2130"/>
      <c r="CY26" s="2130"/>
      <c r="CZ26" s="2130"/>
      <c r="DA26" s="2130"/>
      <c r="DB26" s="2130"/>
      <c r="DC26" s="2130"/>
      <c r="DD26" s="2130"/>
      <c r="DE26" s="2130"/>
      <c r="DF26" s="2130"/>
      <c r="DG26" s="2130"/>
      <c r="DH26" s="2130"/>
      <c r="DI26" s="2130"/>
      <c r="DJ26" s="2130"/>
      <c r="DK26" s="2130"/>
      <c r="DL26" s="2130"/>
      <c r="DM26" s="2130"/>
      <c r="DN26" s="2130"/>
      <c r="DO26" s="2130"/>
      <c r="DP26" s="2130"/>
      <c r="DQ26" s="2130"/>
      <c r="DR26" s="2130"/>
      <c r="DS26" s="2130"/>
      <c r="DT26" s="2130"/>
      <c r="DU26" s="2130"/>
      <c r="DV26" s="2130"/>
      <c r="DW26" s="2130"/>
      <c r="DX26" s="2130"/>
      <c r="DY26" s="2130"/>
      <c r="DZ26" s="2130"/>
      <c r="EA26" s="2130"/>
      <c r="EB26" s="2130"/>
      <c r="EC26" s="2130"/>
      <c r="ED26" s="2130"/>
      <c r="EE26" s="2130"/>
      <c r="EF26" s="2130"/>
      <c r="EG26" s="2130"/>
      <c r="EH26" s="2130"/>
      <c r="EI26" s="2130"/>
      <c r="EJ26" s="2130"/>
      <c r="EK26" s="2130"/>
      <c r="EL26" s="2130"/>
      <c r="EM26" s="2130"/>
      <c r="EN26" s="2130"/>
      <c r="EO26" s="2130"/>
      <c r="EP26" s="2130"/>
      <c r="EQ26" s="2130"/>
      <c r="ER26" s="2130"/>
      <c r="ES26" s="2130"/>
      <c r="ET26" s="2130"/>
      <c r="EU26" s="2130"/>
      <c r="EV26" s="2130"/>
      <c r="EW26" s="2130"/>
      <c r="EX26" s="2130"/>
      <c r="EY26" s="2130"/>
      <c r="EZ26" s="2130"/>
      <c r="FA26" s="2130"/>
      <c r="FB26" s="2130"/>
      <c r="FC26" s="2130"/>
      <c r="FD26" s="2130"/>
      <c r="FE26" s="2130"/>
      <c r="FF26" s="2130"/>
      <c r="FG26" s="2130"/>
      <c r="FH26" s="2130"/>
      <c r="FI26" s="2130"/>
      <c r="FJ26" s="2130"/>
      <c r="FK26" s="2130"/>
      <c r="FL26" s="2130"/>
      <c r="FM26" s="2130"/>
      <c r="FN26" s="2130"/>
      <c r="FO26" s="2130"/>
      <c r="FP26" s="2130"/>
      <c r="FQ26" s="2130"/>
      <c r="FR26" s="2130"/>
      <c r="FS26" s="2130"/>
      <c r="FT26" s="2130"/>
      <c r="FU26" s="2130"/>
      <c r="FV26" s="2130"/>
      <c r="FW26" s="2130"/>
      <c r="FX26" s="2130"/>
      <c r="FY26" s="2130"/>
      <c r="FZ26" s="2130"/>
      <c r="GA26" s="2130"/>
      <c r="GB26" s="2130"/>
      <c r="GC26" s="2130"/>
      <c r="GD26" s="2130"/>
      <c r="GE26" s="2130"/>
      <c r="GF26" s="2130"/>
      <c r="GG26" s="2130"/>
      <c r="GH26" s="2130"/>
      <c r="GI26" s="2130"/>
      <c r="GJ26" s="2130"/>
      <c r="GK26" s="2130"/>
      <c r="GL26" s="2130"/>
      <c r="GM26" s="2130"/>
      <c r="GN26" s="2130"/>
      <c r="GO26" s="2130"/>
      <c r="GP26" s="2130"/>
      <c r="GQ26" s="2130"/>
      <c r="GR26" s="2130"/>
      <c r="GS26" s="2130"/>
      <c r="GT26" s="2130"/>
      <c r="GU26" s="2130"/>
      <c r="GV26" s="2130"/>
      <c r="GW26" s="2130"/>
      <c r="GX26" s="2130"/>
      <c r="GY26" s="2130"/>
      <c r="GZ26" s="2130"/>
      <c r="HA26" s="2130"/>
      <c r="HB26" s="2130"/>
      <c r="HC26" s="2130"/>
      <c r="HD26" s="2130"/>
      <c r="HE26" s="2130"/>
      <c r="HF26" s="2130"/>
      <c r="HG26" s="2130"/>
      <c r="HH26" s="2130"/>
      <c r="HI26" s="2130"/>
      <c r="HJ26" s="2130"/>
      <c r="HK26" s="2130"/>
      <c r="HL26" s="2130"/>
      <c r="HM26" s="2130"/>
      <c r="HN26" s="2130"/>
      <c r="HO26" s="2130"/>
      <c r="HP26" s="2130"/>
      <c r="HQ26" s="2130"/>
      <c r="HR26" s="2130"/>
      <c r="HS26" s="2130"/>
      <c r="HT26" s="2130"/>
      <c r="HU26" s="2130"/>
      <c r="HV26" s="2130"/>
      <c r="HW26" s="2130"/>
      <c r="HX26" s="2130"/>
      <c r="HY26" s="2130"/>
      <c r="HZ26" s="2130"/>
      <c r="IA26" s="2130"/>
      <c r="IB26" s="2130"/>
      <c r="IC26" s="2130"/>
      <c r="ID26" s="2130"/>
      <c r="IE26" s="2130"/>
      <c r="IF26" s="2130"/>
      <c r="IG26" s="2130"/>
      <c r="IH26" s="2130"/>
      <c r="II26" s="2130"/>
      <c r="IJ26" s="2130"/>
      <c r="IK26" s="2130"/>
      <c r="IL26" s="2130"/>
      <c r="IM26" s="2130"/>
      <c r="IN26" s="2130"/>
      <c r="IO26" s="2130"/>
      <c r="IP26" s="2130"/>
      <c r="IQ26" s="2130"/>
      <c r="IR26" s="2130"/>
      <c r="IS26" s="2130"/>
      <c r="IT26" s="2130"/>
      <c r="IU26" s="2130"/>
      <c r="IV26" s="2130"/>
    </row>
    <row r="27" spans="1:256" ht="36" customHeight="1">
      <c r="A27" s="2129"/>
      <c r="B27" s="2130"/>
      <c r="C27" s="2130"/>
      <c r="D27" s="2130"/>
      <c r="E27" s="2130"/>
      <c r="F27" s="2132"/>
      <c r="G27" s="2132" t="s">
        <v>3556</v>
      </c>
      <c r="H27" s="2122" t="s">
        <v>3554</v>
      </c>
      <c r="I27" s="2133" t="s">
        <v>3557</v>
      </c>
      <c r="J27" s="2130"/>
      <c r="K27" s="2130"/>
      <c r="L27" s="2131"/>
      <c r="M27" s="2130"/>
      <c r="N27" s="2130"/>
      <c r="O27" s="2130"/>
      <c r="P27" s="2130"/>
      <c r="Q27" s="2130"/>
      <c r="R27" s="2130"/>
      <c r="S27" s="2130"/>
      <c r="T27" s="2130"/>
      <c r="U27" s="2130"/>
      <c r="V27" s="2130"/>
      <c r="W27" s="2130"/>
      <c r="X27" s="2130"/>
      <c r="Y27" s="2130"/>
      <c r="Z27" s="2130"/>
      <c r="AA27" s="2130"/>
      <c r="AB27" s="2130"/>
      <c r="AC27" s="2130"/>
      <c r="AD27" s="2130"/>
      <c r="AE27" s="2130"/>
      <c r="AF27" s="2130"/>
      <c r="AG27" s="2130"/>
      <c r="AH27" s="2130"/>
      <c r="AI27" s="2130"/>
      <c r="AJ27" s="2130"/>
      <c r="AK27" s="2130"/>
      <c r="AL27" s="2130"/>
      <c r="AM27" s="2130"/>
      <c r="AN27" s="2130"/>
      <c r="AO27" s="2130"/>
      <c r="AP27" s="2130"/>
      <c r="AQ27" s="2130"/>
      <c r="AR27" s="2130"/>
      <c r="AS27" s="2130"/>
      <c r="AT27" s="2130"/>
      <c r="AU27" s="2130"/>
      <c r="AV27" s="2130"/>
      <c r="AW27" s="2130"/>
      <c r="AX27" s="2130"/>
      <c r="AY27" s="2130"/>
      <c r="AZ27" s="2130"/>
      <c r="BA27" s="2130"/>
      <c r="BB27" s="2130"/>
      <c r="BC27" s="2130"/>
      <c r="BD27" s="2130"/>
      <c r="BE27" s="2130"/>
      <c r="BF27" s="2130"/>
      <c r="BG27" s="2130"/>
      <c r="BH27" s="2130"/>
      <c r="BI27" s="2130"/>
      <c r="BJ27" s="2130"/>
      <c r="BK27" s="2130"/>
      <c r="BL27" s="2130"/>
      <c r="BM27" s="2130"/>
      <c r="BN27" s="2130"/>
      <c r="BO27" s="2130"/>
      <c r="BP27" s="2130"/>
      <c r="BQ27" s="2130"/>
      <c r="BR27" s="2130"/>
      <c r="BS27" s="2130"/>
      <c r="BT27" s="2130"/>
      <c r="BU27" s="2130"/>
      <c r="BV27" s="2130"/>
      <c r="BW27" s="2130"/>
      <c r="BX27" s="2130"/>
      <c r="BY27" s="2130"/>
      <c r="BZ27" s="2130"/>
      <c r="CA27" s="2130"/>
      <c r="CB27" s="2130"/>
      <c r="CC27" s="2130"/>
      <c r="CD27" s="2130"/>
      <c r="CE27" s="2130"/>
      <c r="CF27" s="2130"/>
      <c r="CG27" s="2130"/>
      <c r="CH27" s="2130"/>
      <c r="CI27" s="2130"/>
      <c r="CJ27" s="2130"/>
      <c r="CK27" s="2130"/>
      <c r="CL27" s="2130"/>
      <c r="CM27" s="2130"/>
      <c r="CN27" s="2130"/>
      <c r="CO27" s="2130"/>
      <c r="CP27" s="2130"/>
      <c r="CQ27" s="2130"/>
      <c r="CR27" s="2130"/>
      <c r="CS27" s="2130"/>
      <c r="CT27" s="2130"/>
      <c r="CU27" s="2130"/>
      <c r="CV27" s="2130"/>
      <c r="CW27" s="2130"/>
      <c r="CX27" s="2130"/>
      <c r="CY27" s="2130"/>
      <c r="CZ27" s="2130"/>
      <c r="DA27" s="2130"/>
      <c r="DB27" s="2130"/>
      <c r="DC27" s="2130"/>
      <c r="DD27" s="2130"/>
      <c r="DE27" s="2130"/>
      <c r="DF27" s="2130"/>
      <c r="DG27" s="2130"/>
      <c r="DH27" s="2130"/>
      <c r="DI27" s="2130"/>
      <c r="DJ27" s="2130"/>
      <c r="DK27" s="2130"/>
      <c r="DL27" s="2130"/>
      <c r="DM27" s="2130"/>
      <c r="DN27" s="2130"/>
      <c r="DO27" s="2130"/>
      <c r="DP27" s="2130"/>
      <c r="DQ27" s="2130"/>
      <c r="DR27" s="2130"/>
      <c r="DS27" s="2130"/>
      <c r="DT27" s="2130"/>
      <c r="DU27" s="2130"/>
      <c r="DV27" s="2130"/>
      <c r="DW27" s="2130"/>
      <c r="DX27" s="2130"/>
      <c r="DY27" s="2130"/>
      <c r="DZ27" s="2130"/>
      <c r="EA27" s="2130"/>
      <c r="EB27" s="2130"/>
      <c r="EC27" s="2130"/>
      <c r="ED27" s="2130"/>
      <c r="EE27" s="2130"/>
      <c r="EF27" s="2130"/>
      <c r="EG27" s="2130"/>
      <c r="EH27" s="2130"/>
      <c r="EI27" s="2130"/>
      <c r="EJ27" s="2130"/>
      <c r="EK27" s="2130"/>
      <c r="EL27" s="2130"/>
      <c r="EM27" s="2130"/>
      <c r="EN27" s="2130"/>
      <c r="EO27" s="2130"/>
      <c r="EP27" s="2130"/>
      <c r="EQ27" s="2130"/>
      <c r="ER27" s="2130"/>
      <c r="ES27" s="2130"/>
      <c r="ET27" s="2130"/>
      <c r="EU27" s="2130"/>
      <c r="EV27" s="2130"/>
      <c r="EW27" s="2130"/>
      <c r="EX27" s="2130"/>
      <c r="EY27" s="2130"/>
      <c r="EZ27" s="2130"/>
      <c r="FA27" s="2130"/>
      <c r="FB27" s="2130"/>
      <c r="FC27" s="2130"/>
      <c r="FD27" s="2130"/>
      <c r="FE27" s="2130"/>
      <c r="FF27" s="2130"/>
      <c r="FG27" s="2130"/>
      <c r="FH27" s="2130"/>
      <c r="FI27" s="2130"/>
      <c r="FJ27" s="2130"/>
      <c r="FK27" s="2130"/>
      <c r="FL27" s="2130"/>
      <c r="FM27" s="2130"/>
      <c r="FN27" s="2130"/>
      <c r="FO27" s="2130"/>
      <c r="FP27" s="2130"/>
      <c r="FQ27" s="2130"/>
      <c r="FR27" s="2130"/>
      <c r="FS27" s="2130"/>
      <c r="FT27" s="2130"/>
      <c r="FU27" s="2130"/>
      <c r="FV27" s="2130"/>
      <c r="FW27" s="2130"/>
      <c r="FX27" s="2130"/>
      <c r="FY27" s="2130"/>
      <c r="FZ27" s="2130"/>
      <c r="GA27" s="2130"/>
      <c r="GB27" s="2130"/>
      <c r="GC27" s="2130"/>
      <c r="GD27" s="2130"/>
      <c r="GE27" s="2130"/>
      <c r="GF27" s="2130"/>
      <c r="GG27" s="2130"/>
      <c r="GH27" s="2130"/>
      <c r="GI27" s="2130"/>
      <c r="GJ27" s="2130"/>
      <c r="GK27" s="2130"/>
      <c r="GL27" s="2130"/>
      <c r="GM27" s="2130"/>
      <c r="GN27" s="2130"/>
      <c r="GO27" s="2130"/>
      <c r="GP27" s="2130"/>
      <c r="GQ27" s="2130"/>
      <c r="GR27" s="2130"/>
      <c r="GS27" s="2130"/>
      <c r="GT27" s="2130"/>
      <c r="GU27" s="2130"/>
      <c r="GV27" s="2130"/>
      <c r="GW27" s="2130"/>
      <c r="GX27" s="2130"/>
      <c r="GY27" s="2130"/>
      <c r="GZ27" s="2130"/>
      <c r="HA27" s="2130"/>
      <c r="HB27" s="2130"/>
      <c r="HC27" s="2130"/>
      <c r="HD27" s="2130"/>
      <c r="HE27" s="2130"/>
      <c r="HF27" s="2130"/>
      <c r="HG27" s="2130"/>
      <c r="HH27" s="2130"/>
      <c r="HI27" s="2130"/>
      <c r="HJ27" s="2130"/>
      <c r="HK27" s="2130"/>
      <c r="HL27" s="2130"/>
      <c r="HM27" s="2130"/>
      <c r="HN27" s="2130"/>
      <c r="HO27" s="2130"/>
      <c r="HP27" s="2130"/>
      <c r="HQ27" s="2130"/>
      <c r="HR27" s="2130"/>
      <c r="HS27" s="2130"/>
      <c r="HT27" s="2130"/>
      <c r="HU27" s="2130"/>
      <c r="HV27" s="2130"/>
      <c r="HW27" s="2130"/>
      <c r="HX27" s="2130"/>
      <c r="HY27" s="2130"/>
      <c r="HZ27" s="2130"/>
      <c r="IA27" s="2130"/>
      <c r="IB27" s="2130"/>
      <c r="IC27" s="2130"/>
      <c r="ID27" s="2130"/>
      <c r="IE27" s="2130"/>
      <c r="IF27" s="2130"/>
      <c r="IG27" s="2130"/>
      <c r="IH27" s="2130"/>
      <c r="II27" s="2130"/>
      <c r="IJ27" s="2130"/>
      <c r="IK27" s="2130"/>
      <c r="IL27" s="2130"/>
      <c r="IM27" s="2130"/>
      <c r="IN27" s="2130"/>
      <c r="IO27" s="2130"/>
      <c r="IP27" s="2130"/>
      <c r="IQ27" s="2130"/>
      <c r="IR27" s="2130"/>
      <c r="IS27" s="2130"/>
      <c r="IT27" s="2130"/>
      <c r="IU27" s="2130"/>
      <c r="IV27" s="2130"/>
    </row>
    <row r="28" spans="1:256" ht="14.1">
      <c r="A28" s="2129"/>
      <c r="B28" s="2130"/>
      <c r="C28" s="2130"/>
      <c r="D28" s="2130"/>
      <c r="E28" s="2130"/>
      <c r="F28" s="2132"/>
      <c r="G28" s="2130"/>
      <c r="H28" s="2130"/>
      <c r="I28" s="2130"/>
      <c r="J28" s="2130"/>
      <c r="K28" s="2130"/>
      <c r="L28" s="2131"/>
      <c r="M28" s="2130"/>
      <c r="N28" s="2130"/>
      <c r="O28" s="2130"/>
      <c r="P28" s="2130"/>
      <c r="Q28" s="2130"/>
      <c r="R28" s="2130"/>
      <c r="S28" s="2130"/>
      <c r="T28" s="2130"/>
      <c r="U28" s="2130"/>
      <c r="V28" s="2130"/>
      <c r="W28" s="2130"/>
      <c r="X28" s="2130"/>
      <c r="Y28" s="2130"/>
      <c r="Z28" s="2130"/>
      <c r="AA28" s="2130"/>
      <c r="AB28" s="2130"/>
      <c r="AC28" s="2130"/>
      <c r="AD28" s="2130"/>
      <c r="AE28" s="2130"/>
      <c r="AF28" s="2130"/>
      <c r="AG28" s="2130"/>
      <c r="AH28" s="2130"/>
      <c r="AI28" s="2130"/>
      <c r="AJ28" s="2130"/>
      <c r="AK28" s="2130"/>
      <c r="AL28" s="2130"/>
      <c r="AM28" s="2130"/>
      <c r="AN28" s="2130"/>
      <c r="AO28" s="2130"/>
      <c r="AP28" s="2130"/>
      <c r="AQ28" s="2130"/>
      <c r="AR28" s="2130"/>
      <c r="AS28" s="2130"/>
      <c r="AT28" s="2130"/>
      <c r="AU28" s="2130"/>
      <c r="AV28" s="2130"/>
      <c r="AW28" s="2130"/>
      <c r="AX28" s="2130"/>
      <c r="AY28" s="2130"/>
      <c r="AZ28" s="2130"/>
      <c r="BA28" s="2130"/>
      <c r="BB28" s="2130"/>
      <c r="BC28" s="2130"/>
      <c r="BD28" s="2130"/>
      <c r="BE28" s="2130"/>
      <c r="BF28" s="2130"/>
      <c r="BG28" s="2130"/>
      <c r="BH28" s="2130"/>
      <c r="BI28" s="2130"/>
      <c r="BJ28" s="2130"/>
      <c r="BK28" s="2130"/>
      <c r="BL28" s="2130"/>
      <c r="BM28" s="2130"/>
      <c r="BN28" s="2130"/>
      <c r="BO28" s="2130"/>
      <c r="BP28" s="2130"/>
      <c r="BQ28" s="2130"/>
      <c r="BR28" s="2130"/>
      <c r="BS28" s="2130"/>
      <c r="BT28" s="2130"/>
      <c r="BU28" s="2130"/>
      <c r="BV28" s="2130"/>
      <c r="BW28" s="2130"/>
      <c r="BX28" s="2130"/>
      <c r="BY28" s="2130"/>
      <c r="BZ28" s="2130"/>
      <c r="CA28" s="2130"/>
      <c r="CB28" s="2130"/>
      <c r="CC28" s="2130"/>
      <c r="CD28" s="2130"/>
      <c r="CE28" s="2130"/>
      <c r="CF28" s="2130"/>
      <c r="CG28" s="2130"/>
      <c r="CH28" s="2130"/>
      <c r="CI28" s="2130"/>
      <c r="CJ28" s="2130"/>
      <c r="CK28" s="2130"/>
      <c r="CL28" s="2130"/>
      <c r="CM28" s="2130"/>
      <c r="CN28" s="2130"/>
      <c r="CO28" s="2130"/>
      <c r="CP28" s="2130"/>
      <c r="CQ28" s="2130"/>
      <c r="CR28" s="2130"/>
      <c r="CS28" s="2130"/>
      <c r="CT28" s="2130"/>
      <c r="CU28" s="2130"/>
      <c r="CV28" s="2130"/>
      <c r="CW28" s="2130"/>
      <c r="CX28" s="2130"/>
      <c r="CY28" s="2130"/>
      <c r="CZ28" s="2130"/>
      <c r="DA28" s="2130"/>
      <c r="DB28" s="2130"/>
      <c r="DC28" s="2130"/>
      <c r="DD28" s="2130"/>
      <c r="DE28" s="2130"/>
      <c r="DF28" s="2130"/>
      <c r="DG28" s="2130"/>
      <c r="DH28" s="2130"/>
      <c r="DI28" s="2130"/>
      <c r="DJ28" s="2130"/>
      <c r="DK28" s="2130"/>
      <c r="DL28" s="2130"/>
      <c r="DM28" s="2130"/>
      <c r="DN28" s="2130"/>
      <c r="DO28" s="2130"/>
      <c r="DP28" s="2130"/>
      <c r="DQ28" s="2130"/>
      <c r="DR28" s="2130"/>
      <c r="DS28" s="2130"/>
      <c r="DT28" s="2130"/>
      <c r="DU28" s="2130"/>
      <c r="DV28" s="2130"/>
      <c r="DW28" s="2130"/>
      <c r="DX28" s="2130"/>
      <c r="DY28" s="2130"/>
      <c r="DZ28" s="2130"/>
      <c r="EA28" s="2130"/>
      <c r="EB28" s="2130"/>
      <c r="EC28" s="2130"/>
      <c r="ED28" s="2130"/>
      <c r="EE28" s="2130"/>
      <c r="EF28" s="2130"/>
      <c r="EG28" s="2130"/>
      <c r="EH28" s="2130"/>
      <c r="EI28" s="2130"/>
      <c r="EJ28" s="2130"/>
      <c r="EK28" s="2130"/>
      <c r="EL28" s="2130"/>
      <c r="EM28" s="2130"/>
      <c r="EN28" s="2130"/>
      <c r="EO28" s="2130"/>
      <c r="EP28" s="2130"/>
      <c r="EQ28" s="2130"/>
      <c r="ER28" s="2130"/>
      <c r="ES28" s="2130"/>
      <c r="ET28" s="2130"/>
      <c r="EU28" s="2130"/>
      <c r="EV28" s="2130"/>
      <c r="EW28" s="2130"/>
      <c r="EX28" s="2130"/>
      <c r="EY28" s="2130"/>
      <c r="EZ28" s="2130"/>
      <c r="FA28" s="2130"/>
      <c r="FB28" s="2130"/>
      <c r="FC28" s="2130"/>
      <c r="FD28" s="2130"/>
      <c r="FE28" s="2130"/>
      <c r="FF28" s="2130"/>
      <c r="FG28" s="2130"/>
      <c r="FH28" s="2130"/>
      <c r="FI28" s="2130"/>
      <c r="FJ28" s="2130"/>
      <c r="FK28" s="2130"/>
      <c r="FL28" s="2130"/>
      <c r="FM28" s="2130"/>
      <c r="FN28" s="2130"/>
      <c r="FO28" s="2130"/>
      <c r="FP28" s="2130"/>
      <c r="FQ28" s="2130"/>
      <c r="FR28" s="2130"/>
      <c r="FS28" s="2130"/>
      <c r="FT28" s="2130"/>
      <c r="FU28" s="2130"/>
      <c r="FV28" s="2130"/>
      <c r="FW28" s="2130"/>
      <c r="FX28" s="2130"/>
      <c r="FY28" s="2130"/>
      <c r="FZ28" s="2130"/>
      <c r="GA28" s="2130"/>
      <c r="GB28" s="2130"/>
      <c r="GC28" s="2130"/>
      <c r="GD28" s="2130"/>
      <c r="GE28" s="2130"/>
      <c r="GF28" s="2130"/>
      <c r="GG28" s="2130"/>
      <c r="GH28" s="2130"/>
      <c r="GI28" s="2130"/>
      <c r="GJ28" s="2130"/>
      <c r="GK28" s="2130"/>
      <c r="GL28" s="2130"/>
      <c r="GM28" s="2130"/>
      <c r="GN28" s="2130"/>
      <c r="GO28" s="2130"/>
      <c r="GP28" s="2130"/>
      <c r="GQ28" s="2130"/>
      <c r="GR28" s="2130"/>
      <c r="GS28" s="2130"/>
      <c r="GT28" s="2130"/>
      <c r="GU28" s="2130"/>
      <c r="GV28" s="2130"/>
      <c r="GW28" s="2130"/>
      <c r="GX28" s="2130"/>
      <c r="GY28" s="2130"/>
      <c r="GZ28" s="2130"/>
      <c r="HA28" s="2130"/>
      <c r="HB28" s="2130"/>
      <c r="HC28" s="2130"/>
      <c r="HD28" s="2130"/>
      <c r="HE28" s="2130"/>
      <c r="HF28" s="2130"/>
      <c r="HG28" s="2130"/>
      <c r="HH28" s="2130"/>
      <c r="HI28" s="2130"/>
      <c r="HJ28" s="2130"/>
      <c r="HK28" s="2130"/>
      <c r="HL28" s="2130"/>
      <c r="HM28" s="2130"/>
      <c r="HN28" s="2130"/>
      <c r="HO28" s="2130"/>
      <c r="HP28" s="2130"/>
      <c r="HQ28" s="2130"/>
      <c r="HR28" s="2130"/>
      <c r="HS28" s="2130"/>
      <c r="HT28" s="2130"/>
      <c r="HU28" s="2130"/>
      <c r="HV28" s="2130"/>
      <c r="HW28" s="2130"/>
      <c r="HX28" s="2130"/>
      <c r="HY28" s="2130"/>
      <c r="HZ28" s="2130"/>
      <c r="IA28" s="2130"/>
      <c r="IB28" s="2130"/>
      <c r="IC28" s="2130"/>
      <c r="ID28" s="2130"/>
      <c r="IE28" s="2130"/>
      <c r="IF28" s="2130"/>
      <c r="IG28" s="2130"/>
      <c r="IH28" s="2130"/>
      <c r="II28" s="2130"/>
      <c r="IJ28" s="2130"/>
      <c r="IK28" s="2130"/>
      <c r="IL28" s="2130"/>
      <c r="IM28" s="2130"/>
      <c r="IN28" s="2130"/>
      <c r="IO28" s="2130"/>
      <c r="IP28" s="2130"/>
      <c r="IQ28" s="2130"/>
      <c r="IR28" s="2130"/>
      <c r="IS28" s="2130"/>
      <c r="IT28" s="2130"/>
      <c r="IU28" s="2130"/>
      <c r="IV28" s="2130"/>
    </row>
    <row r="29" spans="1:256" ht="38.4" customHeight="1">
      <c r="A29" s="2129"/>
      <c r="B29" s="2130"/>
      <c r="C29" s="2130"/>
      <c r="D29" s="2130"/>
      <c r="E29" s="2130"/>
      <c r="F29" s="2132"/>
      <c r="G29" s="2132" t="s">
        <v>3558</v>
      </c>
      <c r="H29" s="2122" t="s">
        <v>3554</v>
      </c>
      <c r="I29" s="2130" t="s">
        <v>3559</v>
      </c>
      <c r="J29" s="2130"/>
      <c r="K29" s="2130"/>
      <c r="L29" s="2131"/>
      <c r="M29" s="2130"/>
      <c r="N29" s="2130"/>
      <c r="O29" s="2130"/>
      <c r="P29" s="2130"/>
      <c r="Q29" s="2130"/>
      <c r="R29" s="2130"/>
      <c r="S29" s="2130"/>
      <c r="T29" s="2130"/>
      <c r="U29" s="2130"/>
      <c r="V29" s="2130"/>
      <c r="W29" s="2130"/>
      <c r="X29" s="2130"/>
      <c r="Y29" s="2130"/>
      <c r="Z29" s="2130"/>
      <c r="AA29" s="2130"/>
      <c r="AB29" s="2130"/>
      <c r="AC29" s="2130"/>
      <c r="AD29" s="2130"/>
      <c r="AE29" s="2130"/>
      <c r="AF29" s="2130"/>
      <c r="AG29" s="2130"/>
      <c r="AH29" s="2130"/>
      <c r="AI29" s="2130"/>
      <c r="AJ29" s="2130"/>
      <c r="AK29" s="2130"/>
      <c r="AL29" s="2130"/>
      <c r="AM29" s="2130"/>
      <c r="AN29" s="2130"/>
      <c r="AO29" s="2130"/>
      <c r="AP29" s="2130"/>
      <c r="AQ29" s="2130"/>
      <c r="AR29" s="2130"/>
      <c r="AS29" s="2130"/>
      <c r="AT29" s="2130"/>
      <c r="AU29" s="2130"/>
      <c r="AV29" s="2130"/>
      <c r="AW29" s="2130"/>
      <c r="AX29" s="2130"/>
      <c r="AY29" s="2130"/>
      <c r="AZ29" s="2130"/>
      <c r="BA29" s="2130"/>
      <c r="BB29" s="2130"/>
      <c r="BC29" s="2130"/>
      <c r="BD29" s="2130"/>
      <c r="BE29" s="2130"/>
      <c r="BF29" s="2130"/>
      <c r="BG29" s="2130"/>
      <c r="BH29" s="2130"/>
      <c r="BI29" s="2130"/>
      <c r="BJ29" s="2130"/>
      <c r="BK29" s="2130"/>
      <c r="BL29" s="2130"/>
      <c r="BM29" s="2130"/>
      <c r="BN29" s="2130"/>
      <c r="BO29" s="2130"/>
      <c r="BP29" s="2130"/>
      <c r="BQ29" s="2130"/>
      <c r="BR29" s="2130"/>
      <c r="BS29" s="2130"/>
      <c r="BT29" s="2130"/>
      <c r="BU29" s="2130"/>
      <c r="BV29" s="2130"/>
      <c r="BW29" s="2130"/>
      <c r="BX29" s="2130"/>
      <c r="BY29" s="2130"/>
      <c r="BZ29" s="2130"/>
      <c r="CA29" s="2130"/>
      <c r="CB29" s="2130"/>
      <c r="CC29" s="2130"/>
      <c r="CD29" s="2130"/>
      <c r="CE29" s="2130"/>
      <c r="CF29" s="2130"/>
      <c r="CG29" s="2130"/>
      <c r="CH29" s="2130"/>
      <c r="CI29" s="2130"/>
      <c r="CJ29" s="2130"/>
      <c r="CK29" s="2130"/>
      <c r="CL29" s="2130"/>
      <c r="CM29" s="2130"/>
      <c r="CN29" s="2130"/>
      <c r="CO29" s="2130"/>
      <c r="CP29" s="2130"/>
      <c r="CQ29" s="2130"/>
      <c r="CR29" s="2130"/>
      <c r="CS29" s="2130"/>
      <c r="CT29" s="2130"/>
      <c r="CU29" s="2130"/>
      <c r="CV29" s="2130"/>
      <c r="CW29" s="2130"/>
      <c r="CX29" s="2130"/>
      <c r="CY29" s="2130"/>
      <c r="CZ29" s="2130"/>
      <c r="DA29" s="2130"/>
      <c r="DB29" s="2130"/>
      <c r="DC29" s="2130"/>
      <c r="DD29" s="2130"/>
      <c r="DE29" s="2130"/>
      <c r="DF29" s="2130"/>
      <c r="DG29" s="2130"/>
      <c r="DH29" s="2130"/>
      <c r="DI29" s="2130"/>
      <c r="DJ29" s="2130"/>
      <c r="DK29" s="2130"/>
      <c r="DL29" s="2130"/>
      <c r="DM29" s="2130"/>
      <c r="DN29" s="2130"/>
      <c r="DO29" s="2130"/>
      <c r="DP29" s="2130"/>
      <c r="DQ29" s="2130"/>
      <c r="DR29" s="2130"/>
      <c r="DS29" s="2130"/>
      <c r="DT29" s="2130"/>
      <c r="DU29" s="2130"/>
      <c r="DV29" s="2130"/>
      <c r="DW29" s="2130"/>
      <c r="DX29" s="2130"/>
      <c r="DY29" s="2130"/>
      <c r="DZ29" s="2130"/>
      <c r="EA29" s="2130"/>
      <c r="EB29" s="2130"/>
      <c r="EC29" s="2130"/>
      <c r="ED29" s="2130"/>
      <c r="EE29" s="2130"/>
      <c r="EF29" s="2130"/>
      <c r="EG29" s="2130"/>
      <c r="EH29" s="2130"/>
      <c r="EI29" s="2130"/>
      <c r="EJ29" s="2130"/>
      <c r="EK29" s="2130"/>
      <c r="EL29" s="2130"/>
      <c r="EM29" s="2130"/>
      <c r="EN29" s="2130"/>
      <c r="EO29" s="2130"/>
      <c r="EP29" s="2130"/>
      <c r="EQ29" s="2130"/>
      <c r="ER29" s="2130"/>
      <c r="ES29" s="2130"/>
      <c r="ET29" s="2130"/>
      <c r="EU29" s="2130"/>
      <c r="EV29" s="2130"/>
      <c r="EW29" s="2130"/>
      <c r="EX29" s="2130"/>
      <c r="EY29" s="2130"/>
      <c r="EZ29" s="2130"/>
      <c r="FA29" s="2130"/>
      <c r="FB29" s="2130"/>
      <c r="FC29" s="2130"/>
      <c r="FD29" s="2130"/>
      <c r="FE29" s="2130"/>
      <c r="FF29" s="2130"/>
      <c r="FG29" s="2130"/>
      <c r="FH29" s="2130"/>
      <c r="FI29" s="2130"/>
      <c r="FJ29" s="2130"/>
      <c r="FK29" s="2130"/>
      <c r="FL29" s="2130"/>
      <c r="FM29" s="2130"/>
      <c r="FN29" s="2130"/>
      <c r="FO29" s="2130"/>
      <c r="FP29" s="2130"/>
      <c r="FQ29" s="2130"/>
      <c r="FR29" s="2130"/>
      <c r="FS29" s="2130"/>
      <c r="FT29" s="2130"/>
      <c r="FU29" s="2130"/>
      <c r="FV29" s="2130"/>
      <c r="FW29" s="2130"/>
      <c r="FX29" s="2130"/>
      <c r="FY29" s="2130"/>
      <c r="FZ29" s="2130"/>
      <c r="GA29" s="2130"/>
      <c r="GB29" s="2130"/>
      <c r="GC29" s="2130"/>
      <c r="GD29" s="2130"/>
      <c r="GE29" s="2130"/>
      <c r="GF29" s="2130"/>
      <c r="GG29" s="2130"/>
      <c r="GH29" s="2130"/>
      <c r="GI29" s="2130"/>
      <c r="GJ29" s="2130"/>
      <c r="GK29" s="2130"/>
      <c r="GL29" s="2130"/>
      <c r="GM29" s="2130"/>
      <c r="GN29" s="2130"/>
      <c r="GO29" s="2130"/>
      <c r="GP29" s="2130"/>
      <c r="GQ29" s="2130"/>
      <c r="GR29" s="2130"/>
      <c r="GS29" s="2130"/>
      <c r="GT29" s="2130"/>
      <c r="GU29" s="2130"/>
      <c r="GV29" s="2130"/>
      <c r="GW29" s="2130"/>
      <c r="GX29" s="2130"/>
      <c r="GY29" s="2130"/>
      <c r="GZ29" s="2130"/>
      <c r="HA29" s="2130"/>
      <c r="HB29" s="2130"/>
      <c r="HC29" s="2130"/>
      <c r="HD29" s="2130"/>
      <c r="HE29" s="2130"/>
      <c r="HF29" s="2130"/>
      <c r="HG29" s="2130"/>
      <c r="HH29" s="2130"/>
      <c r="HI29" s="2130"/>
      <c r="HJ29" s="2130"/>
      <c r="HK29" s="2130"/>
      <c r="HL29" s="2130"/>
      <c r="HM29" s="2130"/>
      <c r="HN29" s="2130"/>
      <c r="HO29" s="2130"/>
      <c r="HP29" s="2130"/>
      <c r="HQ29" s="2130"/>
      <c r="HR29" s="2130"/>
      <c r="HS29" s="2130"/>
      <c r="HT29" s="2130"/>
      <c r="HU29" s="2130"/>
      <c r="HV29" s="2130"/>
      <c r="HW29" s="2130"/>
      <c r="HX29" s="2130"/>
      <c r="HY29" s="2130"/>
      <c r="HZ29" s="2130"/>
      <c r="IA29" s="2130"/>
      <c r="IB29" s="2130"/>
      <c r="IC29" s="2130"/>
      <c r="ID29" s="2130"/>
      <c r="IE29" s="2130"/>
      <c r="IF29" s="2130"/>
      <c r="IG29" s="2130"/>
      <c r="IH29" s="2130"/>
      <c r="II29" s="2130"/>
      <c r="IJ29" s="2130"/>
      <c r="IK29" s="2130"/>
      <c r="IL29" s="2130"/>
      <c r="IM29" s="2130"/>
      <c r="IN29" s="2130"/>
      <c r="IO29" s="2130"/>
      <c r="IP29" s="2130"/>
      <c r="IQ29" s="2130"/>
      <c r="IR29" s="2130"/>
      <c r="IS29" s="2130"/>
      <c r="IT29" s="2130"/>
      <c r="IU29" s="2130"/>
      <c r="IV29" s="2130"/>
    </row>
    <row r="30" spans="1:256" ht="62.4" customHeight="1">
      <c r="A30" s="2134"/>
      <c r="B30" s="2135"/>
      <c r="C30" s="2135"/>
      <c r="D30" s="2135"/>
      <c r="E30" s="2135"/>
      <c r="F30" s="2135"/>
      <c r="G30" s="2135"/>
      <c r="H30" s="2135"/>
      <c r="I30" s="2135"/>
      <c r="J30" s="2135"/>
      <c r="K30" s="2135"/>
      <c r="L30" s="2136"/>
      <c r="M30" s="2130"/>
      <c r="N30" s="2130"/>
      <c r="O30" s="2130"/>
      <c r="P30" s="2130"/>
      <c r="Q30" s="2130"/>
      <c r="R30" s="2130"/>
      <c r="S30" s="2130"/>
      <c r="T30" s="2130"/>
      <c r="U30" s="2130"/>
      <c r="V30" s="2130"/>
      <c r="W30" s="2130"/>
      <c r="X30" s="2130"/>
      <c r="Y30" s="2130"/>
      <c r="Z30" s="2130"/>
      <c r="AA30" s="2130"/>
      <c r="AB30" s="2130"/>
      <c r="AC30" s="2130"/>
      <c r="AD30" s="2130"/>
      <c r="AE30" s="2130"/>
      <c r="AF30" s="2130"/>
      <c r="AG30" s="2130"/>
      <c r="AH30" s="2130"/>
      <c r="AI30" s="2130"/>
      <c r="AJ30" s="2130"/>
      <c r="AK30" s="2130"/>
      <c r="AL30" s="2130"/>
      <c r="AM30" s="2130"/>
      <c r="AN30" s="2130"/>
      <c r="AO30" s="2130"/>
      <c r="AP30" s="2130"/>
      <c r="AQ30" s="2130"/>
      <c r="AR30" s="2130"/>
      <c r="AS30" s="2130"/>
      <c r="AT30" s="2130"/>
      <c r="AU30" s="2130"/>
      <c r="AV30" s="2130"/>
      <c r="AW30" s="2130"/>
      <c r="AX30" s="2130"/>
      <c r="AY30" s="2130"/>
      <c r="AZ30" s="2130"/>
      <c r="BA30" s="2130"/>
      <c r="BB30" s="2130"/>
      <c r="BC30" s="2130"/>
      <c r="BD30" s="2130"/>
      <c r="BE30" s="2130"/>
      <c r="BF30" s="2130"/>
      <c r="BG30" s="2130"/>
      <c r="BH30" s="2130"/>
      <c r="BI30" s="2130"/>
      <c r="BJ30" s="2130"/>
      <c r="BK30" s="2130"/>
      <c r="BL30" s="2130"/>
      <c r="BM30" s="2130"/>
      <c r="BN30" s="2130"/>
      <c r="BO30" s="2130"/>
      <c r="BP30" s="2130"/>
      <c r="BQ30" s="2130"/>
      <c r="BR30" s="2130"/>
      <c r="BS30" s="2130"/>
      <c r="BT30" s="2130"/>
      <c r="BU30" s="2130"/>
      <c r="BV30" s="2130"/>
      <c r="BW30" s="2130"/>
      <c r="BX30" s="2130"/>
      <c r="BY30" s="2130"/>
      <c r="BZ30" s="2130"/>
      <c r="CA30" s="2130"/>
      <c r="CB30" s="2130"/>
      <c r="CC30" s="2130"/>
      <c r="CD30" s="2130"/>
      <c r="CE30" s="2130"/>
      <c r="CF30" s="2130"/>
      <c r="CG30" s="2130"/>
      <c r="CH30" s="2130"/>
      <c r="CI30" s="2130"/>
      <c r="CJ30" s="2130"/>
      <c r="CK30" s="2130"/>
      <c r="CL30" s="2130"/>
      <c r="CM30" s="2130"/>
      <c r="CN30" s="2130"/>
      <c r="CO30" s="2130"/>
      <c r="CP30" s="2130"/>
      <c r="CQ30" s="2130"/>
      <c r="CR30" s="2130"/>
      <c r="CS30" s="2130"/>
      <c r="CT30" s="2130"/>
      <c r="CU30" s="2130"/>
      <c r="CV30" s="2130"/>
      <c r="CW30" s="2130"/>
      <c r="CX30" s="2130"/>
      <c r="CY30" s="2130"/>
      <c r="CZ30" s="2130"/>
      <c r="DA30" s="2130"/>
      <c r="DB30" s="2130"/>
      <c r="DC30" s="2130"/>
      <c r="DD30" s="2130"/>
      <c r="DE30" s="2130"/>
      <c r="DF30" s="2130"/>
      <c r="DG30" s="2130"/>
      <c r="DH30" s="2130"/>
      <c r="DI30" s="2130"/>
      <c r="DJ30" s="2130"/>
      <c r="DK30" s="2130"/>
      <c r="DL30" s="2130"/>
      <c r="DM30" s="2130"/>
      <c r="DN30" s="2130"/>
      <c r="DO30" s="2130"/>
      <c r="DP30" s="2130"/>
      <c r="DQ30" s="2130"/>
      <c r="DR30" s="2130"/>
      <c r="DS30" s="2130"/>
      <c r="DT30" s="2130"/>
      <c r="DU30" s="2130"/>
      <c r="DV30" s="2130"/>
      <c r="DW30" s="2130"/>
      <c r="DX30" s="2130"/>
      <c r="DY30" s="2130"/>
      <c r="DZ30" s="2130"/>
      <c r="EA30" s="2130"/>
      <c r="EB30" s="2130"/>
      <c r="EC30" s="2130"/>
      <c r="ED30" s="2130"/>
      <c r="EE30" s="2130"/>
      <c r="EF30" s="2130"/>
      <c r="EG30" s="2130"/>
      <c r="EH30" s="2130"/>
      <c r="EI30" s="2130"/>
      <c r="EJ30" s="2130"/>
      <c r="EK30" s="2130"/>
      <c r="EL30" s="2130"/>
      <c r="EM30" s="2130"/>
      <c r="EN30" s="2130"/>
      <c r="EO30" s="2130"/>
      <c r="EP30" s="2130"/>
      <c r="EQ30" s="2130"/>
      <c r="ER30" s="2130"/>
      <c r="ES30" s="2130"/>
      <c r="ET30" s="2130"/>
      <c r="EU30" s="2130"/>
      <c r="EV30" s="2130"/>
      <c r="EW30" s="2130"/>
      <c r="EX30" s="2130"/>
      <c r="EY30" s="2130"/>
      <c r="EZ30" s="2130"/>
      <c r="FA30" s="2130"/>
      <c r="FB30" s="2130"/>
      <c r="FC30" s="2130"/>
      <c r="FD30" s="2130"/>
      <c r="FE30" s="2130"/>
      <c r="FF30" s="2130"/>
      <c r="FG30" s="2130"/>
      <c r="FH30" s="2130"/>
      <c r="FI30" s="2130"/>
      <c r="FJ30" s="2130"/>
      <c r="FK30" s="2130"/>
      <c r="FL30" s="2130"/>
      <c r="FM30" s="2130"/>
      <c r="FN30" s="2130"/>
      <c r="FO30" s="2130"/>
      <c r="FP30" s="2130"/>
      <c r="FQ30" s="2130"/>
      <c r="FR30" s="2130"/>
      <c r="FS30" s="2130"/>
      <c r="FT30" s="2130"/>
      <c r="FU30" s="2130"/>
      <c r="FV30" s="2130"/>
      <c r="FW30" s="2130"/>
      <c r="FX30" s="2130"/>
      <c r="FY30" s="2130"/>
      <c r="FZ30" s="2130"/>
      <c r="GA30" s="2130"/>
      <c r="GB30" s="2130"/>
      <c r="GC30" s="2130"/>
      <c r="GD30" s="2130"/>
      <c r="GE30" s="2130"/>
      <c r="GF30" s="2130"/>
      <c r="GG30" s="2130"/>
      <c r="GH30" s="2130"/>
      <c r="GI30" s="2130"/>
      <c r="GJ30" s="2130"/>
      <c r="GK30" s="2130"/>
      <c r="GL30" s="2130"/>
      <c r="GM30" s="2130"/>
      <c r="GN30" s="2130"/>
      <c r="GO30" s="2130"/>
      <c r="GP30" s="2130"/>
      <c r="GQ30" s="2130"/>
      <c r="GR30" s="2130"/>
      <c r="GS30" s="2130"/>
      <c r="GT30" s="2130"/>
      <c r="GU30" s="2130"/>
      <c r="GV30" s="2130"/>
      <c r="GW30" s="2130"/>
      <c r="GX30" s="2130"/>
      <c r="GY30" s="2130"/>
      <c r="GZ30" s="2130"/>
      <c r="HA30" s="2130"/>
      <c r="HB30" s="2130"/>
      <c r="HC30" s="2130"/>
      <c r="HD30" s="2130"/>
      <c r="HE30" s="2130"/>
      <c r="HF30" s="2130"/>
      <c r="HG30" s="2130"/>
      <c r="HH30" s="2130"/>
      <c r="HI30" s="2130"/>
      <c r="HJ30" s="2130"/>
      <c r="HK30" s="2130"/>
      <c r="HL30" s="2130"/>
      <c r="HM30" s="2130"/>
      <c r="HN30" s="2130"/>
      <c r="HO30" s="2130"/>
      <c r="HP30" s="2130"/>
      <c r="HQ30" s="2130"/>
      <c r="HR30" s="2130"/>
      <c r="HS30" s="2130"/>
      <c r="HT30" s="2130"/>
      <c r="HU30" s="2130"/>
      <c r="HV30" s="2130"/>
      <c r="HW30" s="2130"/>
      <c r="HX30" s="2130"/>
      <c r="HY30" s="2130"/>
      <c r="HZ30" s="2130"/>
      <c r="IA30" s="2130"/>
      <c r="IB30" s="2130"/>
      <c r="IC30" s="2130"/>
      <c r="ID30" s="2130"/>
      <c r="IE30" s="2130"/>
      <c r="IF30" s="2130"/>
      <c r="IG30" s="2130"/>
      <c r="IH30" s="2130"/>
      <c r="II30" s="2130"/>
      <c r="IJ30" s="2130"/>
      <c r="IK30" s="2130"/>
      <c r="IL30" s="2130"/>
      <c r="IM30" s="2130"/>
      <c r="IN30" s="2130"/>
      <c r="IO30" s="2130"/>
      <c r="IP30" s="2130"/>
      <c r="IQ30" s="2130"/>
      <c r="IR30" s="2130"/>
      <c r="IS30" s="2130"/>
      <c r="IT30" s="2130"/>
      <c r="IU30" s="2130"/>
      <c r="IV30" s="2130"/>
    </row>
    <row r="31" spans="1:256" ht="14.1">
      <c r="A31" s="2137"/>
      <c r="B31" s="2130"/>
      <c r="C31" s="2130"/>
      <c r="D31" s="2130"/>
      <c r="E31" s="2130"/>
      <c r="F31" s="2130"/>
      <c r="G31" s="2130"/>
      <c r="H31" s="2130"/>
      <c r="I31" s="2130"/>
      <c r="J31" s="2130"/>
      <c r="K31" s="2130"/>
      <c r="L31" s="2130"/>
      <c r="M31" s="2130"/>
      <c r="N31" s="2130"/>
      <c r="O31" s="2130"/>
      <c r="P31" s="2130"/>
      <c r="Q31" s="2130"/>
      <c r="R31" s="2130"/>
      <c r="S31" s="2130"/>
      <c r="T31" s="2130"/>
      <c r="U31" s="2130"/>
      <c r="V31" s="2130"/>
      <c r="W31" s="2130"/>
      <c r="X31" s="2130"/>
      <c r="Y31" s="2130"/>
      <c r="Z31" s="2130"/>
      <c r="AA31" s="2130"/>
      <c r="AB31" s="2130"/>
      <c r="AC31" s="2130"/>
      <c r="AD31" s="2130"/>
      <c r="AE31" s="2130"/>
      <c r="AF31" s="2130"/>
      <c r="AG31" s="2130"/>
      <c r="AH31" s="2130"/>
      <c r="AI31" s="2130"/>
      <c r="AJ31" s="2130"/>
      <c r="AK31" s="2130"/>
      <c r="AL31" s="2130"/>
      <c r="AM31" s="2130"/>
      <c r="AN31" s="2130"/>
      <c r="AO31" s="2130"/>
      <c r="AP31" s="2130"/>
      <c r="AQ31" s="2130"/>
      <c r="AR31" s="2130"/>
      <c r="AS31" s="2130"/>
      <c r="AT31" s="2130"/>
      <c r="AU31" s="2130"/>
      <c r="AV31" s="2130"/>
      <c r="AW31" s="2130"/>
      <c r="AX31" s="2130"/>
      <c r="AY31" s="2130"/>
      <c r="AZ31" s="2130"/>
      <c r="BA31" s="2130"/>
      <c r="BB31" s="2130"/>
      <c r="BC31" s="2130"/>
      <c r="BD31" s="2130"/>
      <c r="BE31" s="2130"/>
      <c r="BF31" s="2130"/>
      <c r="BG31" s="2130"/>
      <c r="BH31" s="2130"/>
      <c r="BI31" s="2130"/>
      <c r="BJ31" s="2130"/>
      <c r="BK31" s="2130"/>
      <c r="BL31" s="2130"/>
      <c r="BM31" s="2130"/>
      <c r="BN31" s="2130"/>
      <c r="BO31" s="2130"/>
      <c r="BP31" s="2130"/>
      <c r="BQ31" s="2130"/>
      <c r="BR31" s="2130"/>
      <c r="BS31" s="2130"/>
      <c r="BT31" s="2130"/>
      <c r="BU31" s="2130"/>
      <c r="BV31" s="2130"/>
      <c r="BW31" s="2130"/>
      <c r="BX31" s="2130"/>
      <c r="BY31" s="2130"/>
      <c r="BZ31" s="2130"/>
      <c r="CA31" s="2130"/>
      <c r="CB31" s="2130"/>
      <c r="CC31" s="2130"/>
      <c r="CD31" s="2130"/>
      <c r="CE31" s="2130"/>
      <c r="CF31" s="2130"/>
      <c r="CG31" s="2130"/>
      <c r="CH31" s="2130"/>
      <c r="CI31" s="2130"/>
      <c r="CJ31" s="2130"/>
      <c r="CK31" s="2130"/>
      <c r="CL31" s="2130"/>
      <c r="CM31" s="2130"/>
      <c r="CN31" s="2130"/>
      <c r="CO31" s="2130"/>
      <c r="CP31" s="2130"/>
      <c r="CQ31" s="2130"/>
      <c r="CR31" s="2130"/>
      <c r="CS31" s="2130"/>
      <c r="CT31" s="2130"/>
      <c r="CU31" s="2130"/>
      <c r="CV31" s="2130"/>
      <c r="CW31" s="2130"/>
      <c r="CX31" s="2130"/>
      <c r="CY31" s="2130"/>
      <c r="CZ31" s="2130"/>
      <c r="DA31" s="2130"/>
      <c r="DB31" s="2130"/>
      <c r="DC31" s="2130"/>
      <c r="DD31" s="2130"/>
      <c r="DE31" s="2130"/>
      <c r="DF31" s="2130"/>
      <c r="DG31" s="2130"/>
      <c r="DH31" s="2130"/>
      <c r="DI31" s="2130"/>
      <c r="DJ31" s="2130"/>
      <c r="DK31" s="2130"/>
      <c r="DL31" s="2130"/>
      <c r="DM31" s="2130"/>
      <c r="DN31" s="2130"/>
      <c r="DO31" s="2130"/>
      <c r="DP31" s="2130"/>
      <c r="DQ31" s="2130"/>
      <c r="DR31" s="2130"/>
      <c r="DS31" s="2130"/>
      <c r="DT31" s="2130"/>
      <c r="DU31" s="2130"/>
      <c r="DV31" s="2130"/>
      <c r="DW31" s="2130"/>
      <c r="DX31" s="2130"/>
      <c r="DY31" s="2130"/>
      <c r="DZ31" s="2130"/>
      <c r="EA31" s="2130"/>
      <c r="EB31" s="2130"/>
      <c r="EC31" s="2130"/>
      <c r="ED31" s="2130"/>
      <c r="EE31" s="2130"/>
      <c r="EF31" s="2130"/>
      <c r="EG31" s="2130"/>
      <c r="EH31" s="2130"/>
      <c r="EI31" s="2130"/>
      <c r="EJ31" s="2130"/>
      <c r="EK31" s="2130"/>
      <c r="EL31" s="2130"/>
      <c r="EM31" s="2130"/>
      <c r="EN31" s="2130"/>
      <c r="EO31" s="2130"/>
      <c r="EP31" s="2130"/>
      <c r="EQ31" s="2130"/>
      <c r="ER31" s="2130"/>
      <c r="ES31" s="2130"/>
      <c r="ET31" s="2130"/>
      <c r="EU31" s="2130"/>
      <c r="EV31" s="2130"/>
      <c r="EW31" s="2130"/>
      <c r="EX31" s="2130"/>
      <c r="EY31" s="2130"/>
      <c r="EZ31" s="2130"/>
      <c r="FA31" s="2130"/>
      <c r="FB31" s="2130"/>
      <c r="FC31" s="2130"/>
      <c r="FD31" s="2130"/>
      <c r="FE31" s="2130"/>
      <c r="FF31" s="2130"/>
      <c r="FG31" s="2130"/>
      <c r="FH31" s="2130"/>
      <c r="FI31" s="2130"/>
      <c r="FJ31" s="2130"/>
      <c r="FK31" s="2130"/>
      <c r="FL31" s="2130"/>
      <c r="FM31" s="2130"/>
      <c r="FN31" s="2130"/>
      <c r="FO31" s="2130"/>
      <c r="FP31" s="2130"/>
      <c r="FQ31" s="2130"/>
      <c r="FR31" s="2130"/>
      <c r="FS31" s="2130"/>
      <c r="FT31" s="2130"/>
      <c r="FU31" s="2130"/>
      <c r="FV31" s="2130"/>
      <c r="FW31" s="2130"/>
      <c r="FX31" s="2130"/>
      <c r="FY31" s="2130"/>
      <c r="FZ31" s="2130"/>
      <c r="GA31" s="2130"/>
      <c r="GB31" s="2130"/>
      <c r="GC31" s="2130"/>
      <c r="GD31" s="2130"/>
      <c r="GE31" s="2130"/>
      <c r="GF31" s="2130"/>
      <c r="GG31" s="2130"/>
      <c r="GH31" s="2130"/>
      <c r="GI31" s="2130"/>
      <c r="GJ31" s="2130"/>
      <c r="GK31" s="2130"/>
      <c r="GL31" s="2130"/>
      <c r="GM31" s="2130"/>
      <c r="GN31" s="2130"/>
      <c r="GO31" s="2130"/>
      <c r="GP31" s="2130"/>
      <c r="GQ31" s="2130"/>
      <c r="GR31" s="2130"/>
      <c r="GS31" s="2130"/>
      <c r="GT31" s="2130"/>
      <c r="GU31" s="2130"/>
      <c r="GV31" s="2130"/>
      <c r="GW31" s="2130"/>
      <c r="GX31" s="2130"/>
      <c r="GY31" s="2130"/>
      <c r="GZ31" s="2130"/>
      <c r="HA31" s="2130"/>
      <c r="HB31" s="2130"/>
      <c r="HC31" s="2130"/>
      <c r="HD31" s="2130"/>
      <c r="HE31" s="2130"/>
      <c r="HF31" s="2130"/>
      <c r="HG31" s="2130"/>
      <c r="HH31" s="2130"/>
      <c r="HI31" s="2130"/>
      <c r="HJ31" s="2130"/>
      <c r="HK31" s="2130"/>
      <c r="HL31" s="2130"/>
      <c r="HM31" s="2130"/>
      <c r="HN31" s="2130"/>
      <c r="HO31" s="2130"/>
      <c r="HP31" s="2130"/>
      <c r="HQ31" s="2130"/>
      <c r="HR31" s="2130"/>
      <c r="HS31" s="2130"/>
      <c r="HT31" s="2130"/>
      <c r="HU31" s="2130"/>
      <c r="HV31" s="2130"/>
      <c r="HW31" s="2130"/>
      <c r="HX31" s="2130"/>
      <c r="HY31" s="2130"/>
      <c r="HZ31" s="2130"/>
      <c r="IA31" s="2130"/>
      <c r="IB31" s="2130"/>
      <c r="IC31" s="2130"/>
      <c r="ID31" s="2130"/>
      <c r="IE31" s="2130"/>
      <c r="IF31" s="2130"/>
      <c r="IG31" s="2130"/>
      <c r="IH31" s="2130"/>
      <c r="II31" s="2130"/>
      <c r="IJ31" s="2130"/>
      <c r="IK31" s="2130"/>
      <c r="IL31" s="2130"/>
      <c r="IM31" s="2130"/>
      <c r="IN31" s="2130"/>
      <c r="IO31" s="2130"/>
      <c r="IP31" s="2130"/>
      <c r="IQ31" s="2130"/>
      <c r="IR31" s="2130"/>
      <c r="IS31" s="2130"/>
      <c r="IT31" s="2130"/>
      <c r="IU31" s="2130"/>
      <c r="IV31" s="2130"/>
    </row>
    <row r="32" spans="1:256">
      <c r="A32" s="2138"/>
      <c r="L32" s="2139"/>
    </row>
    <row r="33" spans="1:13">
      <c r="A33" s="2138"/>
      <c r="L33" s="2139"/>
    </row>
    <row r="34" spans="1:13">
      <c r="A34" s="2138"/>
      <c r="L34" s="2139"/>
    </row>
    <row r="35" spans="1:13">
      <c r="A35" s="2138"/>
      <c r="L35" s="2139"/>
    </row>
    <row r="36" spans="1:13" ht="13.5" thickBot="1">
      <c r="A36" s="2140"/>
      <c r="B36" s="2141"/>
      <c r="C36" s="2141"/>
      <c r="D36" s="2141"/>
      <c r="E36" s="2141"/>
      <c r="F36" s="2141"/>
      <c r="G36" s="2141"/>
      <c r="H36" s="2141"/>
      <c r="I36" s="2141"/>
      <c r="J36" s="2141"/>
      <c r="K36" s="2141"/>
      <c r="L36" s="2142"/>
      <c r="M36" s="2111" t="s">
        <v>467</v>
      </c>
    </row>
  </sheetData>
  <mergeCells count="9">
    <mergeCell ref="E19:G19"/>
    <mergeCell ref="E20:G20"/>
    <mergeCell ref="I20:J20"/>
    <mergeCell ref="A5:L5"/>
    <mergeCell ref="A7:L7"/>
    <mergeCell ref="A10:L10"/>
    <mergeCell ref="A16:L16"/>
    <mergeCell ref="E18:G18"/>
    <mergeCell ref="I18:K18"/>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FD207-F26F-41B1-9D33-F3E933A2EAFF}">
  <dimension ref="A1:H64"/>
  <sheetViews>
    <sheetView view="pageBreakPreview" zoomScaleNormal="100" zoomScaleSheetLayoutView="100" workbookViewId="0">
      <selection activeCell="F12" sqref="F12"/>
    </sheetView>
  </sheetViews>
  <sheetFormatPr defaultColWidth="8.88671875" defaultRowHeight="14.1"/>
  <cols>
    <col min="1" max="1" width="14.5546875" style="1817" bestFit="1" customWidth="1"/>
    <col min="2" max="2" width="10.88671875" style="1817" bestFit="1" customWidth="1"/>
    <col min="3" max="3" width="8.88671875" style="1817"/>
    <col min="4" max="4" width="10.109375" style="1817" customWidth="1"/>
    <col min="5" max="6" width="9" style="2102" bestFit="1" customWidth="1"/>
    <col min="7" max="7" width="10.6640625" style="1817" customWidth="1"/>
    <col min="8" max="8" width="11.88671875" style="1817" customWidth="1"/>
    <col min="9" max="16384" width="8.88671875" style="1817"/>
  </cols>
  <sheetData>
    <row r="1" spans="1:8">
      <c r="A1" s="1816"/>
      <c r="B1" s="1816"/>
      <c r="C1" s="1816"/>
      <c r="D1" s="1816"/>
      <c r="E1" s="2099"/>
      <c r="F1" s="2099"/>
      <c r="G1" s="1816"/>
      <c r="H1" s="1816"/>
    </row>
    <row r="2" spans="1:8">
      <c r="A2" s="1816" t="s">
        <v>3209</v>
      </c>
      <c r="B2" s="1816"/>
      <c r="C2" s="1816"/>
      <c r="D2" s="1816"/>
      <c r="E2" s="2099" t="s">
        <v>3210</v>
      </c>
      <c r="F2" s="2099"/>
      <c r="G2" s="1816"/>
      <c r="H2" s="1816"/>
    </row>
    <row r="3" spans="1:8">
      <c r="A3" s="1816" t="s">
        <v>3211</v>
      </c>
      <c r="B3" s="1816" t="s">
        <v>3212</v>
      </c>
      <c r="C3" s="1816"/>
      <c r="D3" s="1816"/>
      <c r="E3" s="2099" t="s">
        <v>3262</v>
      </c>
      <c r="F3" s="2099"/>
      <c r="G3" s="1816"/>
      <c r="H3" s="1816"/>
    </row>
    <row r="4" spans="1:8">
      <c r="A4" s="1816"/>
      <c r="B4" s="1816"/>
      <c r="C4" s="1816"/>
      <c r="D4" s="1816"/>
      <c r="E4" s="2099"/>
      <c r="F4" s="2099"/>
      <c r="G4" s="1816"/>
      <c r="H4" s="1816"/>
    </row>
    <row r="5" spans="1:8">
      <c r="A5" s="1816" t="s">
        <v>3213</v>
      </c>
      <c r="B5" s="1816"/>
      <c r="C5" s="1816"/>
      <c r="D5" s="1816"/>
      <c r="E5" s="2099" t="s">
        <v>3214</v>
      </c>
      <c r="F5" s="2099"/>
      <c r="G5" s="1816"/>
      <c r="H5" s="1816"/>
    </row>
    <row r="6" spans="1:8">
      <c r="A6" s="1816" t="s">
        <v>3215</v>
      </c>
      <c r="B6" s="1816"/>
      <c r="C6" s="1816"/>
      <c r="D6" s="1816"/>
      <c r="E6" s="2099"/>
      <c r="F6" s="2099"/>
      <c r="G6" s="1816"/>
      <c r="H6" s="1816"/>
    </row>
    <row r="7" spans="1:8">
      <c r="A7" s="1816"/>
      <c r="B7" s="1816"/>
      <c r="C7" s="1816"/>
      <c r="D7" s="1816"/>
      <c r="E7" s="2099"/>
      <c r="F7" s="2099"/>
      <c r="G7" s="1816"/>
      <c r="H7" s="1816"/>
    </row>
    <row r="8" spans="1:8">
      <c r="A8" s="1816" t="s">
        <v>3216</v>
      </c>
      <c r="B8" s="1816" t="s">
        <v>3217</v>
      </c>
      <c r="C8" s="1816"/>
      <c r="D8" s="1816"/>
      <c r="E8" s="2099"/>
      <c r="F8" s="2099"/>
      <c r="G8" s="1816"/>
      <c r="H8" s="1816"/>
    </row>
    <row r="9" spans="1:8">
      <c r="A9" s="1816"/>
      <c r="B9" s="1816"/>
      <c r="C9" s="1816"/>
      <c r="D9" s="1816"/>
      <c r="E9" s="2099"/>
      <c r="F9" s="2099"/>
      <c r="G9" s="1816"/>
      <c r="H9" s="1816"/>
    </row>
    <row r="10" spans="1:8">
      <c r="A10" s="1816"/>
      <c r="B10" s="1816"/>
      <c r="C10" s="1816"/>
      <c r="D10" s="1816"/>
      <c r="E10" s="2099"/>
      <c r="F10" s="2099"/>
      <c r="G10" s="1816"/>
      <c r="H10" s="1816"/>
    </row>
    <row r="11" spans="1:8">
      <c r="A11" s="2097" t="s">
        <v>3218</v>
      </c>
      <c r="B11" s="2489" t="s">
        <v>3219</v>
      </c>
      <c r="C11" s="2489"/>
      <c r="D11" s="2489"/>
      <c r="E11" s="2489"/>
      <c r="F11" s="2100" t="s">
        <v>3220</v>
      </c>
      <c r="G11" s="2097" t="s">
        <v>3221</v>
      </c>
      <c r="H11" s="2097" t="s">
        <v>674</v>
      </c>
    </row>
    <row r="12" spans="1:8">
      <c r="A12" s="2097">
        <v>1</v>
      </c>
      <c r="B12" s="2489" t="s">
        <v>3364</v>
      </c>
      <c r="C12" s="2489"/>
      <c r="D12" s="2489"/>
      <c r="E12" s="2489"/>
      <c r="F12" s="2101">
        <f>'Building-Estimate'!J17</f>
        <v>33.46</v>
      </c>
      <c r="G12" s="2098">
        <f>'Building-Estimate'!K17</f>
        <v>385.38499999999999</v>
      </c>
      <c r="H12" s="2098">
        <f>ROUND(PRODUCT(F12:G12),0)</f>
        <v>12895</v>
      </c>
    </row>
    <row r="13" spans="1:8">
      <c r="A13" s="2097">
        <v>2</v>
      </c>
      <c r="B13" s="2489" t="s">
        <v>3543</v>
      </c>
      <c r="C13" s="2489"/>
      <c r="D13" s="2489"/>
      <c r="E13" s="2489"/>
      <c r="F13" s="2100">
        <v>1</v>
      </c>
      <c r="G13" s="2097">
        <f>H60</f>
        <v>704211</v>
      </c>
      <c r="H13" s="2098">
        <f>ROUND(PRODUCT(F13:G13),0)</f>
        <v>704211</v>
      </c>
    </row>
    <row r="14" spans="1:8">
      <c r="A14" s="2097"/>
      <c r="B14" s="2097"/>
      <c r="C14" s="2097"/>
      <c r="D14" s="2097"/>
      <c r="E14" s="2100"/>
      <c r="F14" s="2100"/>
      <c r="G14" s="2097"/>
      <c r="H14" s="2098">
        <f>SUM(H12:H13)</f>
        <v>717106</v>
      </c>
    </row>
    <row r="15" spans="1:8">
      <c r="A15" s="1816"/>
      <c r="B15" s="2484"/>
      <c r="C15" s="2484"/>
      <c r="D15" s="2484"/>
      <c r="E15" s="2484"/>
      <c r="F15" s="2099"/>
      <c r="G15" s="1816"/>
      <c r="H15" s="1816"/>
    </row>
    <row r="16" spans="1:8">
      <c r="A16" s="1816" t="s">
        <v>3222</v>
      </c>
      <c r="B16" s="2484" t="s">
        <v>551</v>
      </c>
      <c r="C16" s="2484"/>
      <c r="D16" s="2484"/>
      <c r="E16" s="2099" t="s">
        <v>3223</v>
      </c>
      <c r="F16" s="2099" t="s">
        <v>3224</v>
      </c>
      <c r="G16" s="1816" t="s">
        <v>3221</v>
      </c>
      <c r="H16" s="1816" t="s">
        <v>522</v>
      </c>
    </row>
    <row r="17" spans="1:8">
      <c r="A17" s="1816">
        <v>1</v>
      </c>
      <c r="B17" s="1816" t="s">
        <v>103</v>
      </c>
      <c r="C17" s="1816"/>
      <c r="D17" s="1816"/>
      <c r="E17" s="2103">
        <f>'Building-Estimate'!J57</f>
        <v>7.25</v>
      </c>
      <c r="F17" s="2099"/>
      <c r="G17" s="1818">
        <f>'Building-Estimate'!K57</f>
        <v>4155.8100000000004</v>
      </c>
      <c r="H17" s="1816">
        <f>ROUND(G17*E17,0)</f>
        <v>30130</v>
      </c>
    </row>
    <row r="18" spans="1:8">
      <c r="A18" s="1816">
        <v>2</v>
      </c>
      <c r="B18" s="1816" t="s">
        <v>104</v>
      </c>
      <c r="C18" s="1816"/>
      <c r="D18" s="1816"/>
      <c r="E18" s="2103">
        <f>'Building-Estimate'!J72</f>
        <v>2.46</v>
      </c>
      <c r="F18" s="2099"/>
      <c r="G18" s="1818">
        <f>'Building-Estimate'!K72</f>
        <v>4371.4635670906127</v>
      </c>
      <c r="H18" s="1816">
        <f>ROUND(G18*E18,0)</f>
        <v>10754</v>
      </c>
    </row>
    <row r="19" spans="1:8">
      <c r="A19" s="1816">
        <f>A18+1</f>
        <v>3</v>
      </c>
      <c r="B19" s="2484" t="s">
        <v>3187</v>
      </c>
      <c r="C19" s="2484"/>
      <c r="D19" s="2484"/>
      <c r="E19" s="2103">
        <f>'Building-Estimate'!J93</f>
        <v>17.05</v>
      </c>
      <c r="F19" s="2099"/>
      <c r="G19" s="1818">
        <f>'Building-Estimate'!K93</f>
        <v>3626.63</v>
      </c>
      <c r="H19" s="1816">
        <f t="shared" ref="H19:H59" si="0">ROUND(G19*E19,0)</f>
        <v>61834</v>
      </c>
    </row>
    <row r="20" spans="1:8">
      <c r="A20" s="1816">
        <f>A19+1</f>
        <v>4</v>
      </c>
      <c r="B20" s="2484" t="s">
        <v>3225</v>
      </c>
      <c r="C20" s="2484"/>
      <c r="D20" s="2484"/>
      <c r="E20" s="2103">
        <f>'Building-Estimate'!J109</f>
        <v>3.89</v>
      </c>
      <c r="F20" s="2099"/>
      <c r="G20" s="1818">
        <f>'Building-Estimate'!K109</f>
        <v>8788.51</v>
      </c>
      <c r="H20" s="1816">
        <f t="shared" si="0"/>
        <v>34187</v>
      </c>
    </row>
    <row r="21" spans="1:8">
      <c r="A21" s="1816">
        <f t="shared" ref="A21:A59" si="1">A20+1</f>
        <v>5</v>
      </c>
      <c r="B21" s="2484" t="s">
        <v>3226</v>
      </c>
      <c r="C21" s="2484"/>
      <c r="D21" s="2484"/>
      <c r="E21" s="2103">
        <f>'Building-Estimate'!J115</f>
        <v>1.0900000000000001</v>
      </c>
      <c r="F21" s="2099"/>
      <c r="G21" s="1818">
        <f>'Building-Estimate'!K115</f>
        <v>9360.51</v>
      </c>
      <c r="H21" s="1816">
        <f t="shared" si="0"/>
        <v>10203</v>
      </c>
    </row>
    <row r="22" spans="1:8">
      <c r="A22" s="1816">
        <f t="shared" si="1"/>
        <v>6</v>
      </c>
      <c r="B22" s="2484" t="s">
        <v>3227</v>
      </c>
      <c r="C22" s="2484"/>
      <c r="D22" s="2484"/>
      <c r="E22" s="2103">
        <f>'Building-Estimate'!J126</f>
        <v>2.6799999999999997</v>
      </c>
      <c r="F22" s="2099"/>
      <c r="G22" s="1818">
        <f>'Building-Estimate'!K126</f>
        <v>11842.03</v>
      </c>
      <c r="H22" s="1816">
        <f t="shared" si="0"/>
        <v>31737</v>
      </c>
    </row>
    <row r="23" spans="1:8">
      <c r="A23" s="1816">
        <f t="shared" si="1"/>
        <v>7</v>
      </c>
      <c r="B23" s="2484" t="s">
        <v>3228</v>
      </c>
      <c r="C23" s="2484"/>
      <c r="D23" s="2484"/>
      <c r="E23" s="2103">
        <f>'Building-Estimate'!J138</f>
        <v>3.4900000000000007</v>
      </c>
      <c r="F23" s="2099"/>
      <c r="G23" s="1818">
        <f>'Building-Estimate'!K138</f>
        <v>11378.51</v>
      </c>
      <c r="H23" s="1816">
        <f t="shared" si="0"/>
        <v>39711</v>
      </c>
    </row>
    <row r="24" spans="1:8">
      <c r="A24" s="1816">
        <f t="shared" si="1"/>
        <v>8</v>
      </c>
      <c r="B24" s="2484" t="s">
        <v>3229</v>
      </c>
      <c r="C24" s="2484"/>
      <c r="D24" s="2484"/>
      <c r="E24" s="2103">
        <f>'Building-Estimate'!J147</f>
        <v>2.9800000000000004</v>
      </c>
      <c r="F24" s="2099"/>
      <c r="G24" s="1818">
        <f>'Building-Estimate'!K147</f>
        <v>11257.84</v>
      </c>
      <c r="H24" s="1816">
        <f t="shared" si="0"/>
        <v>33548</v>
      </c>
    </row>
    <row r="25" spans="1:8">
      <c r="A25" s="1816">
        <f t="shared" si="1"/>
        <v>9</v>
      </c>
      <c r="B25" s="2484" t="s">
        <v>3535</v>
      </c>
      <c r="C25" s="2484"/>
      <c r="D25" s="2484"/>
      <c r="E25" s="2103">
        <f>'Building-Estimate'!J153</f>
        <v>68.41</v>
      </c>
      <c r="F25" s="2099"/>
      <c r="G25" s="1818">
        <f>'Building-Estimate'!K153</f>
        <v>1346.355</v>
      </c>
      <c r="H25" s="1816">
        <f>ROUND(G25*E25/10,0)</f>
        <v>9210</v>
      </c>
    </row>
    <row r="26" spans="1:8">
      <c r="A26" s="1816">
        <f t="shared" si="1"/>
        <v>10</v>
      </c>
      <c r="B26" s="2484" t="s">
        <v>3230</v>
      </c>
      <c r="C26" s="2484"/>
      <c r="D26" s="2484"/>
      <c r="E26" s="2103"/>
      <c r="F26" s="2099"/>
      <c r="G26" s="1818"/>
      <c r="H26" s="1816">
        <f t="shared" si="0"/>
        <v>0</v>
      </c>
    </row>
    <row r="27" spans="1:8">
      <c r="A27" s="1816">
        <f t="shared" si="1"/>
        <v>11</v>
      </c>
      <c r="B27" s="2484" t="s">
        <v>3231</v>
      </c>
      <c r="C27" s="2484"/>
      <c r="D27" s="2484"/>
      <c r="E27" s="2103">
        <f>'Building-Estimate'!J164</f>
        <v>0.45</v>
      </c>
      <c r="F27" s="2099"/>
      <c r="G27" s="1818">
        <f>'Building-Estimate'!K164</f>
        <v>11905.03</v>
      </c>
      <c r="H27" s="1816">
        <f>ROUND(G27*E27,0)</f>
        <v>5357</v>
      </c>
    </row>
    <row r="28" spans="1:8">
      <c r="A28" s="1816">
        <f t="shared" si="1"/>
        <v>12</v>
      </c>
      <c r="B28" s="2484" t="s">
        <v>3232</v>
      </c>
      <c r="C28" s="2484"/>
      <c r="D28" s="2484"/>
      <c r="E28" s="2103">
        <f>'Building-Estimate'!J174</f>
        <v>13.9</v>
      </c>
      <c r="F28" s="2099"/>
      <c r="G28" s="1818">
        <f>'Building-Estimate'!K174</f>
        <v>606.11</v>
      </c>
      <c r="H28" s="1816">
        <f t="shared" ref="H28:H40" si="2">ROUND(G28*E28,0)</f>
        <v>8425</v>
      </c>
    </row>
    <row r="29" spans="1:8">
      <c r="A29" s="1816">
        <f t="shared" si="1"/>
        <v>13</v>
      </c>
      <c r="B29" s="2484" t="s">
        <v>3233</v>
      </c>
      <c r="C29" s="2484"/>
      <c r="D29" s="2484"/>
      <c r="E29" s="2103">
        <f>'Building-Estimate'!J183</f>
        <v>0.33</v>
      </c>
      <c r="F29" s="2099"/>
      <c r="G29" s="1818">
        <f>'Building-Estimate'!K183</f>
        <v>5340.5599999999995</v>
      </c>
      <c r="H29" s="1816">
        <f t="shared" si="2"/>
        <v>1762</v>
      </c>
    </row>
    <row r="30" spans="1:8">
      <c r="A30" s="1816">
        <f t="shared" si="1"/>
        <v>14</v>
      </c>
      <c r="B30" s="2484" t="s">
        <v>3234</v>
      </c>
      <c r="C30" s="2484"/>
      <c r="D30" s="2484"/>
      <c r="E30" s="2103">
        <f>'Building-Estimate'!J253</f>
        <v>68.41</v>
      </c>
      <c r="F30" s="2099"/>
      <c r="G30" s="1818">
        <f>'Building-Estimate'!K253</f>
        <v>489.39799999999997</v>
      </c>
      <c r="H30" s="1816">
        <f t="shared" si="2"/>
        <v>33480</v>
      </c>
    </row>
    <row r="31" spans="1:8">
      <c r="A31" s="1816">
        <f t="shared" si="1"/>
        <v>15</v>
      </c>
      <c r="B31" s="2484" t="s">
        <v>3235</v>
      </c>
      <c r="C31" s="2484"/>
      <c r="D31" s="2484"/>
      <c r="E31" s="2103"/>
      <c r="F31" s="2099"/>
      <c r="G31" s="1818"/>
      <c r="H31" s="1816">
        <f t="shared" si="2"/>
        <v>0</v>
      </c>
    </row>
    <row r="32" spans="1:8">
      <c r="A32" s="1816">
        <f t="shared" si="1"/>
        <v>16</v>
      </c>
      <c r="B32" s="2484" t="s">
        <v>3536</v>
      </c>
      <c r="C32" s="2484"/>
      <c r="D32" s="2484"/>
      <c r="E32" s="2103">
        <f>'Building-Estimate'!J245</f>
        <v>27.25</v>
      </c>
      <c r="F32" s="2099"/>
      <c r="G32" s="1818">
        <f>'Building-Estimate'!K245</f>
        <v>338.61</v>
      </c>
      <c r="H32" s="1816">
        <f t="shared" si="2"/>
        <v>9227</v>
      </c>
    </row>
    <row r="33" spans="1:8">
      <c r="A33" s="1816">
        <f t="shared" si="1"/>
        <v>17</v>
      </c>
      <c r="B33" s="2484" t="s">
        <v>3236</v>
      </c>
      <c r="C33" s="2484"/>
      <c r="D33" s="2484"/>
      <c r="E33" s="2103">
        <f>'Building-Estimate'!J209</f>
        <v>25.39</v>
      </c>
      <c r="F33" s="2099"/>
      <c r="G33" s="1818">
        <f>'Building-Estimate'!K209</f>
        <v>7013.85</v>
      </c>
      <c r="H33" s="1816">
        <f t="shared" si="2"/>
        <v>178082</v>
      </c>
    </row>
    <row r="34" spans="1:8">
      <c r="A34" s="1816">
        <f t="shared" si="1"/>
        <v>18</v>
      </c>
      <c r="B34" s="2484" t="s">
        <v>3237</v>
      </c>
      <c r="C34" s="2484"/>
      <c r="D34" s="2484"/>
      <c r="E34" s="2103">
        <f>'Building-Estimate'!J226</f>
        <v>16.149999999999999</v>
      </c>
      <c r="F34" s="2099"/>
      <c r="G34" s="1818">
        <f>'Building-Estimate'!K226</f>
        <v>800.34</v>
      </c>
      <c r="H34" s="1816">
        <f t="shared" si="2"/>
        <v>12925</v>
      </c>
    </row>
    <row r="35" spans="1:8">
      <c r="A35" s="1816">
        <f t="shared" si="1"/>
        <v>19</v>
      </c>
      <c r="B35" s="2484" t="s">
        <v>3238</v>
      </c>
      <c r="C35" s="2484"/>
      <c r="D35" s="2484"/>
      <c r="E35" s="2103">
        <f>'Building-Estimate'!J259</f>
        <v>1.83</v>
      </c>
      <c r="F35" s="2099"/>
      <c r="G35" s="1818">
        <f>'Building-Estimate'!K259</f>
        <v>77799</v>
      </c>
      <c r="H35" s="1816">
        <f t="shared" si="2"/>
        <v>142372</v>
      </c>
    </row>
    <row r="36" spans="1:8">
      <c r="A36" s="1816">
        <f t="shared" si="1"/>
        <v>20</v>
      </c>
      <c r="B36" s="2484" t="s">
        <v>3537</v>
      </c>
      <c r="C36" s="2484"/>
      <c r="D36" s="2484"/>
      <c r="E36" s="2103">
        <f>'Building-Estimate'!J297</f>
        <v>2</v>
      </c>
      <c r="F36" s="2099"/>
      <c r="G36" s="1818">
        <f>'Building-Estimate'!K297</f>
        <v>3358.4500000000003</v>
      </c>
      <c r="H36" s="1816">
        <f t="shared" si="2"/>
        <v>6717</v>
      </c>
    </row>
    <row r="37" spans="1:8">
      <c r="A37" s="1816">
        <f t="shared" si="1"/>
        <v>21</v>
      </c>
      <c r="B37" s="2484" t="s">
        <v>3538</v>
      </c>
      <c r="C37" s="2484"/>
      <c r="D37" s="2484"/>
      <c r="E37" s="2103">
        <f>'Building-Estimate'!J303</f>
        <v>2</v>
      </c>
      <c r="F37" s="2099"/>
      <c r="G37" s="1818">
        <f>'Building-Estimate'!K303</f>
        <v>3343.033512</v>
      </c>
      <c r="H37" s="1816">
        <f t="shared" si="2"/>
        <v>6686</v>
      </c>
    </row>
    <row r="38" spans="1:8">
      <c r="A38" s="1816">
        <f t="shared" si="1"/>
        <v>22</v>
      </c>
      <c r="B38" s="2484" t="s">
        <v>3539</v>
      </c>
      <c r="C38" s="2484"/>
      <c r="D38" s="2484"/>
      <c r="E38" s="2103">
        <f>'Building-Estimate'!J307</f>
        <v>4</v>
      </c>
      <c r="F38" s="2099"/>
      <c r="G38" s="1818">
        <f>'Building-Estimate'!K307</f>
        <v>4457.1271999999999</v>
      </c>
      <c r="H38" s="1816">
        <f t="shared" si="2"/>
        <v>17829</v>
      </c>
    </row>
    <row r="39" spans="1:8">
      <c r="A39" s="1816">
        <f t="shared" si="1"/>
        <v>23</v>
      </c>
      <c r="B39" s="2484" t="s">
        <v>3540</v>
      </c>
      <c r="C39" s="2484"/>
      <c r="D39" s="2484"/>
      <c r="E39" s="2103">
        <f>'Building-Estimate'!J312</f>
        <v>1</v>
      </c>
      <c r="F39" s="2099"/>
      <c r="G39" s="1818">
        <f>'Building-Estimate'!K312</f>
        <v>4242.9236000000001</v>
      </c>
      <c r="H39" s="1816">
        <f t="shared" si="2"/>
        <v>4243</v>
      </c>
    </row>
    <row r="40" spans="1:8">
      <c r="A40" s="1816">
        <f t="shared" si="1"/>
        <v>24</v>
      </c>
      <c r="B40" s="2484" t="s">
        <v>3542</v>
      </c>
      <c r="C40" s="2484"/>
      <c r="D40" s="2484"/>
      <c r="E40" s="2103">
        <f>'Building-Estimate'!J316</f>
        <v>25</v>
      </c>
      <c r="F40" s="2099"/>
      <c r="G40" s="1818">
        <f>'Building-Estimate'!K316</f>
        <v>111.43</v>
      </c>
      <c r="H40" s="1816">
        <f t="shared" si="2"/>
        <v>2786</v>
      </c>
    </row>
    <row r="41" spans="1:8">
      <c r="A41" s="1816">
        <f t="shared" si="1"/>
        <v>25</v>
      </c>
      <c r="B41" s="2484" t="s">
        <v>3239</v>
      </c>
      <c r="C41" s="2484"/>
      <c r="D41" s="2484"/>
      <c r="E41" s="2103"/>
      <c r="F41" s="2099"/>
      <c r="G41" s="1818"/>
      <c r="H41" s="1816">
        <f t="shared" si="0"/>
        <v>0</v>
      </c>
    </row>
    <row r="42" spans="1:8" hidden="1">
      <c r="A42" s="1816">
        <f t="shared" si="1"/>
        <v>26</v>
      </c>
      <c r="B42" s="2484" t="s">
        <v>3240</v>
      </c>
      <c r="C42" s="2484"/>
      <c r="D42" s="2484"/>
      <c r="E42" s="2103">
        <f>'Est 02.03.23'!I288</f>
        <v>141.16999999999999</v>
      </c>
      <c r="F42" s="2099"/>
      <c r="G42" s="1818">
        <f>'Est 02.03.23'!J288</f>
        <v>439.762</v>
      </c>
      <c r="H42" s="1816">
        <f t="shared" si="0"/>
        <v>62081</v>
      </c>
    </row>
    <row r="43" spans="1:8" hidden="1">
      <c r="A43" s="1816">
        <f t="shared" si="1"/>
        <v>27</v>
      </c>
      <c r="B43" s="2484" t="s">
        <v>3241</v>
      </c>
      <c r="C43" s="2484"/>
      <c r="D43" s="2484"/>
      <c r="E43" s="2103">
        <f>'Est 02.03.23'!I296</f>
        <v>47.17</v>
      </c>
      <c r="F43" s="2099"/>
      <c r="G43" s="1818">
        <f>'Est 02.03.23'!J296</f>
        <v>1079.2259999999999</v>
      </c>
      <c r="H43" s="1816">
        <f t="shared" si="0"/>
        <v>50907</v>
      </c>
    </row>
    <row r="44" spans="1:8" hidden="1">
      <c r="A44" s="1816">
        <f t="shared" si="1"/>
        <v>28</v>
      </c>
      <c r="B44" s="2484" t="s">
        <v>3242</v>
      </c>
      <c r="C44" s="2484"/>
      <c r="D44" s="2484"/>
      <c r="E44" s="2103">
        <f>'Est 02.03.23'!I306</f>
        <v>4.2600000000000007</v>
      </c>
      <c r="F44" s="2099"/>
      <c r="G44" s="1818">
        <f>'Est 02.03.23'!J306</f>
        <v>814.08</v>
      </c>
      <c r="H44" s="1816">
        <f t="shared" si="0"/>
        <v>3468</v>
      </c>
    </row>
    <row r="45" spans="1:8" hidden="1">
      <c r="A45" s="1816">
        <f t="shared" si="1"/>
        <v>29</v>
      </c>
      <c r="B45" s="2484" t="s">
        <v>3243</v>
      </c>
      <c r="C45" s="2484"/>
      <c r="D45" s="2484"/>
      <c r="E45" s="2103">
        <f>'Est 02.03.23'!I311</f>
        <v>5.8</v>
      </c>
      <c r="F45" s="2099"/>
      <c r="G45" s="1818">
        <f>'Est 02.03.23'!J311</f>
        <v>807.69497999999999</v>
      </c>
      <c r="H45" s="1816">
        <f t="shared" si="0"/>
        <v>4685</v>
      </c>
    </row>
    <row r="46" spans="1:8" hidden="1">
      <c r="A46" s="1816">
        <f t="shared" si="1"/>
        <v>30</v>
      </c>
      <c r="B46" s="2484" t="s">
        <v>3245</v>
      </c>
      <c r="C46" s="2484"/>
      <c r="D46" s="2484"/>
      <c r="E46" s="2103">
        <f>'Est 02.03.23'!I318</f>
        <v>0</v>
      </c>
      <c r="F46" s="2099"/>
      <c r="G46" s="1818">
        <f>'Est 02.03.23'!J318</f>
        <v>638.54000000000008</v>
      </c>
      <c r="H46" s="1816">
        <f t="shared" si="0"/>
        <v>0</v>
      </c>
    </row>
    <row r="47" spans="1:8" hidden="1">
      <c r="A47" s="1816">
        <f t="shared" si="1"/>
        <v>31</v>
      </c>
      <c r="B47" s="2484" t="s">
        <v>3246</v>
      </c>
      <c r="C47" s="2484"/>
      <c r="D47" s="2484"/>
      <c r="E47" s="2103">
        <f>'Est 02.03.23'!I321</f>
        <v>0</v>
      </c>
      <c r="F47" s="2099"/>
      <c r="G47" s="1818">
        <f>'Est 02.03.23'!J321</f>
        <v>38298.298047999997</v>
      </c>
      <c r="H47" s="1816">
        <f t="shared" si="0"/>
        <v>0</v>
      </c>
    </row>
    <row r="48" spans="1:8" hidden="1">
      <c r="A48" s="1816">
        <f t="shared" si="1"/>
        <v>32</v>
      </c>
      <c r="B48" s="2484" t="s">
        <v>3247</v>
      </c>
      <c r="C48" s="2484"/>
      <c r="D48" s="2484"/>
      <c r="E48" s="2103">
        <f>'Est 02.03.23'!I325</f>
        <v>2</v>
      </c>
      <c r="F48" s="2099"/>
      <c r="G48" s="1818">
        <f>'Est 02.03.23'!J325</f>
        <v>15389.399973</v>
      </c>
      <c r="H48" s="1816">
        <f t="shared" si="0"/>
        <v>30779</v>
      </c>
    </row>
    <row r="49" spans="1:8" hidden="1">
      <c r="A49" s="1816">
        <f t="shared" si="1"/>
        <v>33</v>
      </c>
      <c r="B49" s="2484" t="s">
        <v>3248</v>
      </c>
      <c r="C49" s="2484"/>
      <c r="D49" s="2484"/>
      <c r="E49" s="2103">
        <f>'Est 02.03.23'!I328</f>
        <v>3</v>
      </c>
      <c r="F49" s="2099"/>
      <c r="G49" s="1818">
        <f>'Est 02.03.23'!J328</f>
        <v>12556.041137249998</v>
      </c>
      <c r="H49" s="1816">
        <f t="shared" si="0"/>
        <v>37668</v>
      </c>
    </row>
    <row r="50" spans="1:8" hidden="1">
      <c r="A50" s="1816">
        <f t="shared" si="1"/>
        <v>34</v>
      </c>
      <c r="B50" s="2484" t="s">
        <v>3249</v>
      </c>
      <c r="C50" s="2484"/>
      <c r="D50" s="2484"/>
      <c r="E50" s="2103">
        <f>'Est 02.03.23'!I335</f>
        <v>1</v>
      </c>
      <c r="F50" s="2099"/>
      <c r="G50" s="1818">
        <f>'Est 02.03.23'!J335</f>
        <v>3759.01</v>
      </c>
      <c r="H50" s="1816">
        <f t="shared" si="0"/>
        <v>3759</v>
      </c>
    </row>
    <row r="51" spans="1:8" hidden="1">
      <c r="A51" s="1816">
        <f t="shared" si="1"/>
        <v>35</v>
      </c>
      <c r="B51" s="2484" t="s">
        <v>3250</v>
      </c>
      <c r="C51" s="2484"/>
      <c r="D51" s="2484"/>
      <c r="E51" s="2103">
        <f>'Est 02.03.23'!I340</f>
        <v>9.0399999999999991</v>
      </c>
      <c r="F51" s="2099"/>
      <c r="G51" s="1818">
        <f>'Est 02.03.23'!J340</f>
        <v>6396</v>
      </c>
      <c r="H51" s="1816">
        <f t="shared" si="0"/>
        <v>57820</v>
      </c>
    </row>
    <row r="52" spans="1:8" hidden="1">
      <c r="A52" s="1816">
        <f t="shared" si="1"/>
        <v>36</v>
      </c>
      <c r="B52" s="2484" t="s">
        <v>3251</v>
      </c>
      <c r="C52" s="2484"/>
      <c r="D52" s="2484"/>
      <c r="E52" s="2103">
        <f>'Est 02.03.23'!I351</f>
        <v>120</v>
      </c>
      <c r="F52" s="2099"/>
      <c r="G52" s="1818">
        <f>'Est 02.03.23'!J351</f>
        <v>116.62</v>
      </c>
      <c r="H52" s="1816">
        <f t="shared" si="0"/>
        <v>13994</v>
      </c>
    </row>
    <row r="53" spans="1:8" hidden="1">
      <c r="A53" s="1816">
        <f t="shared" si="1"/>
        <v>37</v>
      </c>
      <c r="B53" s="2484" t="s">
        <v>3252</v>
      </c>
      <c r="C53" s="2484"/>
      <c r="D53" s="2484"/>
      <c r="E53" s="2103">
        <f>'Est 02.03.23'!I355</f>
        <v>0</v>
      </c>
      <c r="F53" s="2099"/>
      <c r="G53" s="1818">
        <f>'Est 02.03.23'!J355</f>
        <v>769.38</v>
      </c>
      <c r="H53" s="1816">
        <f t="shared" si="0"/>
        <v>0</v>
      </c>
    </row>
    <row r="54" spans="1:8" hidden="1">
      <c r="A54" s="1816">
        <f t="shared" si="1"/>
        <v>38</v>
      </c>
      <c r="B54" s="2484" t="s">
        <v>3253</v>
      </c>
      <c r="C54" s="2484"/>
      <c r="D54" s="2484"/>
      <c r="E54" s="2103">
        <f>'Est 02.03.23'!I380</f>
        <v>134.25999999999996</v>
      </c>
      <c r="F54" s="2099"/>
      <c r="G54" s="1818">
        <f>'Est 02.03.23'!J380</f>
        <v>177.76400000000001</v>
      </c>
      <c r="H54" s="1816">
        <f t="shared" si="0"/>
        <v>23867</v>
      </c>
    </row>
    <row r="55" spans="1:8" hidden="1">
      <c r="A55" s="1816">
        <f t="shared" si="1"/>
        <v>39</v>
      </c>
      <c r="B55" s="2484" t="s">
        <v>3254</v>
      </c>
      <c r="C55" s="2484"/>
      <c r="D55" s="2484"/>
      <c r="E55" s="2103">
        <f>'Est 02.03.23'!I398</f>
        <v>141.16999999999999</v>
      </c>
      <c r="F55" s="2099"/>
      <c r="G55" s="1818">
        <f>'Est 02.03.23'!J398</f>
        <v>234.94400000000002</v>
      </c>
      <c r="H55" s="1816">
        <f t="shared" si="0"/>
        <v>33167</v>
      </c>
    </row>
    <row r="56" spans="1:8" hidden="1">
      <c r="A56" s="1816">
        <f t="shared" si="1"/>
        <v>40</v>
      </c>
      <c r="B56" s="2484" t="s">
        <v>3256</v>
      </c>
      <c r="C56" s="2484"/>
      <c r="D56" s="2484"/>
      <c r="E56" s="2103">
        <f>'Est 02.03.23'!I405</f>
        <v>25.77</v>
      </c>
      <c r="F56" s="2099"/>
      <c r="G56" s="1818">
        <f>'Est 02.03.23'!J405</f>
        <v>113.67999999999999</v>
      </c>
      <c r="H56" s="1816">
        <f t="shared" si="0"/>
        <v>2930</v>
      </c>
    </row>
    <row r="57" spans="1:8">
      <c r="A57" s="1816">
        <v>26</v>
      </c>
      <c r="B57" s="2484" t="s">
        <v>3255</v>
      </c>
      <c r="C57" s="2484"/>
      <c r="D57" s="2484"/>
      <c r="E57" s="2099">
        <v>1</v>
      </c>
      <c r="F57" s="2099"/>
      <c r="G57" s="1818">
        <f>'Building-Estimate'!N366</f>
        <v>4000</v>
      </c>
      <c r="H57" s="1816">
        <f t="shared" si="0"/>
        <v>4000</v>
      </c>
    </row>
    <row r="58" spans="1:8">
      <c r="A58" s="1816">
        <v>27</v>
      </c>
      <c r="B58" s="2486" t="s">
        <v>3260</v>
      </c>
      <c r="C58" s="2487"/>
      <c r="D58" s="2488"/>
      <c r="E58" s="2099">
        <v>1</v>
      </c>
      <c r="F58" s="2099"/>
      <c r="G58" s="1818">
        <f>'Building-Estimate'!N365</f>
        <v>0</v>
      </c>
      <c r="H58" s="1816">
        <f t="shared" si="0"/>
        <v>0</v>
      </c>
    </row>
    <row r="59" spans="1:8">
      <c r="A59" s="1816">
        <f t="shared" si="1"/>
        <v>28</v>
      </c>
      <c r="B59" s="2484" t="s">
        <v>3259</v>
      </c>
      <c r="C59" s="2484"/>
      <c r="D59" s="2484"/>
      <c r="E59" s="2099">
        <v>1</v>
      </c>
      <c r="F59" s="2099"/>
      <c r="G59" s="1818">
        <f>'Building-Estimate'!N367</f>
        <v>9006</v>
      </c>
      <c r="H59" s="1816">
        <f t="shared" si="0"/>
        <v>9006</v>
      </c>
    </row>
    <row r="60" spans="1:8">
      <c r="A60" s="1816"/>
      <c r="B60" s="2484"/>
      <c r="C60" s="2484"/>
      <c r="D60" s="2484"/>
      <c r="E60" s="2482" t="s">
        <v>3257</v>
      </c>
      <c r="F60" s="2483"/>
      <c r="G60" s="1816"/>
      <c r="H60" s="1816">
        <f>SUM(H17:H41)+H58+H57+H59</f>
        <v>704211</v>
      </c>
    </row>
    <row r="61" spans="1:8">
      <c r="B61" s="2485"/>
      <c r="C61" s="2485"/>
      <c r="D61" s="2485"/>
    </row>
    <row r="62" spans="1:8">
      <c r="B62" s="2485"/>
      <c r="C62" s="2485"/>
      <c r="D62" s="2485"/>
    </row>
    <row r="63" spans="1:8">
      <c r="B63" s="2485"/>
      <c r="C63" s="2485"/>
      <c r="D63" s="2485"/>
    </row>
    <row r="64" spans="1:8">
      <c r="B64" s="2485"/>
      <c r="C64" s="2485"/>
      <c r="D64" s="2485"/>
    </row>
  </sheetData>
  <mergeCells count="52">
    <mergeCell ref="B25:D25"/>
    <mergeCell ref="B11:E11"/>
    <mergeCell ref="B12:E12"/>
    <mergeCell ref="B13:E13"/>
    <mergeCell ref="B15:E15"/>
    <mergeCell ref="B19:D19"/>
    <mergeCell ref="B20:D20"/>
    <mergeCell ref="B21:D21"/>
    <mergeCell ref="B22:D22"/>
    <mergeCell ref="B23:D23"/>
    <mergeCell ref="B24:D24"/>
    <mergeCell ref="B31:D31"/>
    <mergeCell ref="B32:D32"/>
    <mergeCell ref="B33:D33"/>
    <mergeCell ref="B34:D34"/>
    <mergeCell ref="B35:D35"/>
    <mergeCell ref="B26:D26"/>
    <mergeCell ref="B27:D27"/>
    <mergeCell ref="B28:D28"/>
    <mergeCell ref="B29:D29"/>
    <mergeCell ref="B30:D30"/>
    <mergeCell ref="B61:D61"/>
    <mergeCell ref="B62:D62"/>
    <mergeCell ref="B63:D63"/>
    <mergeCell ref="B64:D64"/>
    <mergeCell ref="B16:D16"/>
    <mergeCell ref="B58:D58"/>
    <mergeCell ref="B59:D59"/>
    <mergeCell ref="B55:D55"/>
    <mergeCell ref="B56:D56"/>
    <mergeCell ref="B57:D57"/>
    <mergeCell ref="B60:D60"/>
    <mergeCell ref="B49:D49"/>
    <mergeCell ref="B50:D50"/>
    <mergeCell ref="B51:D51"/>
    <mergeCell ref="B52:D52"/>
    <mergeCell ref="B53:D53"/>
    <mergeCell ref="E60:F60"/>
    <mergeCell ref="B36:D36"/>
    <mergeCell ref="B37:D37"/>
    <mergeCell ref="B38:D38"/>
    <mergeCell ref="B39:D39"/>
    <mergeCell ref="B40:D40"/>
    <mergeCell ref="B54:D54"/>
    <mergeCell ref="B43:D43"/>
    <mergeCell ref="B44:D44"/>
    <mergeCell ref="B45:D45"/>
    <mergeCell ref="B46:D46"/>
    <mergeCell ref="B47:D47"/>
    <mergeCell ref="B48:D48"/>
    <mergeCell ref="B42:D42"/>
    <mergeCell ref="B41:D41"/>
  </mergeCells>
  <printOptions horizontalCentered="1"/>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sheetPr>
  <dimension ref="A1:M26"/>
  <sheetViews>
    <sheetView view="pageBreakPreview" zoomScale="85" zoomScaleSheetLayoutView="85" workbookViewId="0">
      <selection sqref="A1:E1"/>
    </sheetView>
  </sheetViews>
  <sheetFormatPr defaultColWidth="9.109375" defaultRowHeight="12.3"/>
  <cols>
    <col min="1" max="1" width="9.109375" style="1248"/>
    <col min="2" max="2" width="31" style="1248" customWidth="1"/>
    <col min="3" max="3" width="9.109375" style="1248"/>
    <col min="4" max="4" width="16.88671875" style="1248" customWidth="1"/>
    <col min="5" max="5" width="19" style="1248" customWidth="1"/>
    <col min="6" max="16384" width="9.109375" style="1248"/>
  </cols>
  <sheetData>
    <row r="1" spans="1:5" ht="69" customHeight="1">
      <c r="A1" s="2495" t="str">
        <f>'Lead- Input sheet '!A2</f>
        <v xml:space="preserve"> Construction of  Anganwadi Building at Jeedipally Thanda (V) of Kalwakurthy (M) of Nagarkurnool District </v>
      </c>
      <c r="B1" s="2496"/>
      <c r="C1" s="2496"/>
      <c r="D1" s="2496"/>
      <c r="E1" s="2496"/>
    </row>
    <row r="2" spans="1:5" ht="17.399999999999999">
      <c r="A2" s="1260"/>
      <c r="B2" s="2492" t="s">
        <v>2954</v>
      </c>
      <c r="C2" s="2493"/>
      <c r="D2" s="2494"/>
      <c r="E2" s="1260"/>
    </row>
    <row r="3" spans="1:5" ht="17.399999999999999">
      <c r="A3" s="1261" t="s">
        <v>2670</v>
      </c>
      <c r="B3" s="1262" t="s">
        <v>2955</v>
      </c>
      <c r="C3" s="2497" t="s">
        <v>2577</v>
      </c>
      <c r="D3" s="2497"/>
      <c r="E3" s="1261" t="s">
        <v>2956</v>
      </c>
    </row>
    <row r="4" spans="1:5" ht="32.25" customHeight="1">
      <c r="A4" s="1260">
        <v>1</v>
      </c>
      <c r="B4" s="2498" t="s">
        <v>2957</v>
      </c>
      <c r="C4" s="2498"/>
      <c r="D4" s="1263"/>
      <c r="E4" s="1264">
        <f>'Est 02.03.23'!K415</f>
        <v>787826</v>
      </c>
    </row>
    <row r="5" spans="1:5" ht="32.25" hidden="1" customHeight="1">
      <c r="A5" s="1260">
        <v>2</v>
      </c>
      <c r="B5" s="1263" t="s">
        <v>2958</v>
      </c>
      <c r="C5" s="1263"/>
      <c r="D5" s="1263"/>
      <c r="E5" s="1264"/>
    </row>
    <row r="6" spans="1:5" ht="32.25" hidden="1" customHeight="1">
      <c r="A6" s="1260">
        <v>3</v>
      </c>
      <c r="B6" s="1263" t="s">
        <v>2959</v>
      </c>
      <c r="C6" s="1263"/>
      <c r="D6" s="1263"/>
      <c r="E6" s="1264"/>
    </row>
    <row r="7" spans="1:5" ht="32.25" customHeight="1">
      <c r="A7" s="1260"/>
      <c r="B7" s="1263" t="s">
        <v>3255</v>
      </c>
      <c r="C7" s="1263"/>
      <c r="D7" s="1263"/>
      <c r="E7" s="1264">
        <v>4000</v>
      </c>
    </row>
    <row r="8" spans="1:5" ht="32.25" customHeight="1">
      <c r="A8" s="1260"/>
      <c r="B8" s="1262" t="s">
        <v>2989</v>
      </c>
      <c r="C8" s="1263"/>
      <c r="D8" s="1263" t="s">
        <v>1480</v>
      </c>
      <c r="E8" s="1265">
        <f>SUM(E4:E7)</f>
        <v>791826</v>
      </c>
    </row>
    <row r="9" spans="1:5" ht="32.25" customHeight="1">
      <c r="A9" s="1260">
        <v>4</v>
      </c>
      <c r="B9" s="1263" t="s">
        <v>2960</v>
      </c>
      <c r="C9" s="1260"/>
      <c r="D9" s="1260"/>
      <c r="E9" s="1264">
        <f>ROUND(E8*0.5/100,0)</f>
        <v>3959</v>
      </c>
    </row>
    <row r="10" spans="1:5" ht="32.25" customHeight="1">
      <c r="A10" s="1260">
        <v>5</v>
      </c>
      <c r="B10" s="1263" t="s">
        <v>2961</v>
      </c>
      <c r="C10" s="1260"/>
      <c r="D10" s="1260"/>
      <c r="E10" s="1339">
        <f>+E11-E8-E9</f>
        <v>4215</v>
      </c>
    </row>
    <row r="11" spans="1:5" ht="17.399999999999999">
      <c r="A11" s="1260"/>
      <c r="B11" s="1261" t="s">
        <v>2962</v>
      </c>
      <c r="C11" s="1260"/>
      <c r="D11" s="1260"/>
      <c r="E11" s="1265">
        <v>800000</v>
      </c>
    </row>
    <row r="12" spans="1:5" ht="14.7">
      <c r="A12" s="1266"/>
      <c r="B12" s="1266"/>
      <c r="C12" s="1266"/>
      <c r="D12" s="1266"/>
      <c r="E12" s="1266"/>
    </row>
    <row r="13" spans="1:5" ht="14.7">
      <c r="A13" s="1266"/>
      <c r="B13" s="1266"/>
      <c r="C13" s="1266"/>
      <c r="D13" s="1266"/>
      <c r="E13" s="1266"/>
    </row>
    <row r="14" spans="1:5" ht="13.8">
      <c r="A14" s="2499"/>
      <c r="B14" s="2499"/>
      <c r="C14" s="2499"/>
      <c r="D14" s="2499"/>
      <c r="E14" s="2499"/>
    </row>
    <row r="15" spans="1:5" ht="58.5" customHeight="1">
      <c r="A15" s="2500" t="s">
        <v>3156</v>
      </c>
      <c r="B15" s="2500"/>
      <c r="C15" s="2500"/>
      <c r="D15" s="2500"/>
      <c r="E15" s="2500"/>
    </row>
    <row r="16" spans="1:5" ht="14.7">
      <c r="A16" s="1331"/>
      <c r="B16" s="1331"/>
      <c r="C16" s="1331"/>
      <c r="D16" s="1331"/>
      <c r="E16" s="1331"/>
    </row>
    <row r="17" spans="1:13" ht="36" customHeight="1">
      <c r="A17" s="1266"/>
      <c r="B17" s="2500" t="s">
        <v>3157</v>
      </c>
      <c r="C17" s="2500"/>
      <c r="D17" s="2500"/>
      <c r="E17" s="2500"/>
      <c r="M17" s="1248">
        <f>2000000*3%</f>
        <v>60000</v>
      </c>
    </row>
    <row r="18" spans="1:13" ht="14.7">
      <c r="A18" s="1266"/>
      <c r="B18" s="1266"/>
      <c r="C18" s="1266"/>
      <c r="D18" s="1266"/>
      <c r="E18" s="1266"/>
    </row>
    <row r="19" spans="1:13" ht="14.7">
      <c r="A19" s="1266"/>
      <c r="B19" s="1266"/>
      <c r="C19" s="1266"/>
      <c r="D19" s="1266"/>
      <c r="E19" s="1266"/>
    </row>
    <row r="20" spans="1:13" ht="14.7">
      <c r="A20" s="1266"/>
      <c r="B20" s="1267"/>
      <c r="C20" s="1267"/>
      <c r="D20" s="1267"/>
      <c r="E20" s="1267"/>
    </row>
    <row r="21" spans="1:13" ht="48" customHeight="1"/>
    <row r="22" spans="1:13" ht="40.5" customHeight="1">
      <c r="F22" s="1330"/>
    </row>
    <row r="23" spans="1:13" ht="17.399999999999999">
      <c r="A23" s="1266"/>
      <c r="B23" s="2490"/>
      <c r="C23" s="2490"/>
      <c r="D23" s="2490"/>
      <c r="E23" s="2490"/>
    </row>
    <row r="24" spans="1:13" ht="14.7">
      <c r="A24" s="1266"/>
      <c r="B24" s="1268"/>
      <c r="C24" s="1268"/>
      <c r="D24" s="1268"/>
      <c r="E24" s="1268"/>
    </row>
    <row r="25" spans="1:13" ht="14.7">
      <c r="A25" s="1266"/>
      <c r="B25" s="1268"/>
      <c r="C25" s="1268"/>
      <c r="D25" s="1268"/>
      <c r="E25" s="1268"/>
    </row>
    <row r="26" spans="1:13" ht="17.399999999999999">
      <c r="A26" s="1266"/>
      <c r="B26" s="2491" t="s">
        <v>2963</v>
      </c>
      <c r="C26" s="2491"/>
      <c r="D26" s="2491"/>
      <c r="E26" s="2491"/>
    </row>
  </sheetData>
  <mergeCells count="9">
    <mergeCell ref="B23:E23"/>
    <mergeCell ref="B26:E26"/>
    <mergeCell ref="B2:D2"/>
    <mergeCell ref="A1:E1"/>
    <mergeCell ref="C3:D3"/>
    <mergeCell ref="B4:C4"/>
    <mergeCell ref="A14:E14"/>
    <mergeCell ref="B17:E17"/>
    <mergeCell ref="A15:E15"/>
  </mergeCells>
  <pageMargins left="0.7" right="0.7" top="0.75" bottom="0.75" header="0.3" footer="0.3"/>
  <pageSetup paperSize="9" orientation="portrait" verticalDpi="4294967293"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indexed="34"/>
  </sheetPr>
  <dimension ref="A1:M50"/>
  <sheetViews>
    <sheetView view="pageBreakPreview" zoomScaleSheetLayoutView="100" workbookViewId="0">
      <selection activeCell="D52" sqref="D52"/>
    </sheetView>
  </sheetViews>
  <sheetFormatPr defaultColWidth="10.109375" defaultRowHeight="14.1"/>
  <cols>
    <col min="1" max="1" width="5.88671875" style="1822" customWidth="1"/>
    <col min="2" max="2" width="24.109375" style="1822" customWidth="1"/>
    <col min="3" max="3" width="24.44140625" style="1842" customWidth="1"/>
    <col min="4" max="4" width="27.88671875" style="1822" customWidth="1"/>
    <col min="5" max="5" width="19.5546875" style="1842" customWidth="1"/>
    <col min="6" max="6" width="15.5546875" style="1842" customWidth="1"/>
    <col min="7" max="7" width="4.88671875" style="1822" customWidth="1"/>
    <col min="8" max="16384" width="10.109375" style="1822"/>
  </cols>
  <sheetData>
    <row r="1" spans="1:13" ht="40.5" customHeight="1">
      <c r="A1" s="1819" t="s">
        <v>986</v>
      </c>
      <c r="B1" s="1820"/>
      <c r="C1" s="1820"/>
      <c r="D1" s="1820"/>
      <c r="E1" s="1820"/>
      <c r="F1" s="1820"/>
      <c r="G1" s="1821"/>
    </row>
    <row r="2" spans="1:13" ht="59.25" customHeight="1">
      <c r="B2" s="1823" t="str">
        <f>'Lead- Input sheet '!A2</f>
        <v xml:space="preserve"> Construction of  Anganwadi Building at Jeedipally Thanda (V) of Kalwakurthy (M) of Nagarkurnool District </v>
      </c>
      <c r="C2" s="1824"/>
      <c r="D2" s="1824"/>
      <c r="E2" s="1824"/>
      <c r="F2" s="1824"/>
      <c r="G2" s="1825"/>
    </row>
    <row r="3" spans="1:13" s="1828" customFormat="1" ht="19.899999999999999" customHeight="1">
      <c r="A3" s="1826"/>
      <c r="B3" s="2106" t="s">
        <v>3547</v>
      </c>
      <c r="C3" s="1827" t="str">
        <f>'input sheet'!C8</f>
        <v>Kalwakurthy</v>
      </c>
      <c r="E3" s="1829" t="s">
        <v>3544</v>
      </c>
      <c r="F3" s="1830">
        <v>8</v>
      </c>
      <c r="G3" s="1831"/>
    </row>
    <row r="4" spans="1:13" s="1828" customFormat="1" ht="21" customHeight="1">
      <c r="A4" s="1826"/>
      <c r="B4" s="2106" t="s">
        <v>3546</v>
      </c>
      <c r="C4" s="2107" t="str">
        <f>'input sheet'!C7</f>
        <v>Kalwakurthy</v>
      </c>
      <c r="D4" s="2106" t="s">
        <v>3548</v>
      </c>
      <c r="E4" s="1827" t="s">
        <v>3582</v>
      </c>
      <c r="F4" s="1830"/>
      <c r="G4" s="1831"/>
    </row>
    <row r="5" spans="1:13" s="1828" customFormat="1" ht="21" customHeight="1">
      <c r="A5" s="1826"/>
      <c r="B5" s="2106"/>
      <c r="C5" s="2107"/>
      <c r="D5" s="2106"/>
      <c r="E5" s="1827"/>
      <c r="F5" s="1830"/>
      <c r="G5" s="1831"/>
    </row>
    <row r="6" spans="1:13" s="1832" customFormat="1" ht="50.4" customHeight="1">
      <c r="B6" s="2509" t="s">
        <v>3581</v>
      </c>
      <c r="C6" s="2509"/>
      <c r="D6" s="2509"/>
      <c r="E6" s="2509"/>
      <c r="F6" s="2509"/>
    </row>
    <row r="7" spans="1:13" s="1832" customFormat="1" ht="14.4" customHeight="1">
      <c r="B7" s="2104"/>
      <c r="C7" s="2104"/>
      <c r="D7" s="2104"/>
      <c r="E7" s="2104"/>
      <c r="F7" s="2104"/>
    </row>
    <row r="8" spans="1:13" s="1832" customFormat="1" ht="87.7" customHeight="1">
      <c r="B8" s="2511" t="s">
        <v>3545</v>
      </c>
      <c r="C8" s="2511"/>
      <c r="D8" s="2511"/>
      <c r="E8" s="2511"/>
      <c r="F8" s="2511"/>
    </row>
    <row r="9" spans="1:13" s="1832" customFormat="1" ht="16.2" customHeight="1">
      <c r="B9" s="2105"/>
      <c r="C9" s="2105"/>
      <c r="D9" s="2105"/>
      <c r="E9" s="2105"/>
      <c r="F9" s="2105"/>
    </row>
    <row r="10" spans="1:13" s="1832" customFormat="1" ht="27" customHeight="1">
      <c r="A10" s="1833"/>
      <c r="B10" s="2512" t="s">
        <v>3088</v>
      </c>
      <c r="C10" s="2512"/>
      <c r="D10" s="2512"/>
      <c r="E10" s="2512"/>
      <c r="F10" s="2512"/>
      <c r="H10" s="2510"/>
      <c r="I10" s="2510"/>
      <c r="J10" s="2510"/>
      <c r="K10" s="2510"/>
      <c r="L10" s="2510"/>
      <c r="M10" s="2510"/>
    </row>
    <row r="11" spans="1:13" s="1837" customFormat="1">
      <c r="A11" s="1834"/>
      <c r="B11" s="1835"/>
      <c r="C11" s="1835"/>
      <c r="D11" s="1835"/>
      <c r="E11" s="1835"/>
      <c r="F11" s="1836"/>
      <c r="G11" s="1836"/>
    </row>
    <row r="12" spans="1:13" s="1837" customFormat="1" ht="45" customHeight="1">
      <c r="A12" s="1834">
        <v>1</v>
      </c>
      <c r="B12" s="2506" t="str">
        <f>'Est 02.03.23'!B8:I8</f>
        <v>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v>
      </c>
      <c r="C12" s="2506"/>
      <c r="D12" s="2506"/>
      <c r="E12" s="2506"/>
      <c r="F12" s="2506"/>
      <c r="G12" s="1838"/>
    </row>
    <row r="13" spans="1:13" s="1837" customFormat="1" ht="69.7" customHeight="1">
      <c r="A13" s="1834">
        <v>2</v>
      </c>
      <c r="B13" s="2508" t="str">
        <f>'Est 02.03.23'!B20:I20</f>
        <v xml:space="preserve">Plain Cement concrete (1:4:8) using 40 mm metal with concrete mixture.All work upto plinth level. nominal mix (cement: fine aggregate: Coarse aggregate) using 40mm size HBG  (SS5) metal from approved quarry including cost and conveyance of all materials like cement, sand, coarse aggregate, water etc. to site, including seigniorage charges, Countryes &amp; other taxes on all materials, all operational, incidental,  and labor charges such as mixing, laying and ramming concrete in layers in position not exceeding 15cm, finishing top surface, curing concrete,  etc., complete for finished item of work for Foundations and Flooring Bed (APSS No. 402) </v>
      </c>
      <c r="C13" s="2508"/>
      <c r="D13" s="2508"/>
      <c r="E13" s="2508"/>
      <c r="F13" s="2508"/>
      <c r="G13" s="1834"/>
    </row>
    <row r="14" spans="1:13" s="1837" customFormat="1" ht="61.2" customHeight="1">
      <c r="A14" s="1834">
        <v>3</v>
      </c>
      <c r="B14" s="2508" t="str">
        <f>'Est 02.03.23'!B41:I41</f>
        <v xml:space="preserve">RR Masonry in CM (1:6) Cement: Sand) using hard granite stones from approved quarry including cost and conveyance of all materials like Granite stones, cement, sand, water,  etc.,  to site including seigniorage charges, Countryes &amp; other taxes on all materials, all operational, incidental, and labor charges such as cutting stones to required size and shape, mixing of cement mortar, constructing masonry, curing etc., complete for finished item of work for foundation and basement (APSS No. 601 &amp; 615) </v>
      </c>
      <c r="C14" s="2508"/>
      <c r="D14" s="2508"/>
      <c r="E14" s="2508"/>
      <c r="F14" s="2508"/>
      <c r="G14" s="1834"/>
    </row>
    <row r="15" spans="1:13" s="1837" customFormat="1" ht="71.400000000000006" customHeight="1">
      <c r="A15" s="1834">
        <v>4</v>
      </c>
      <c r="B15" s="2508" t="str">
        <f>'Est 02.03.23'!B58:I58</f>
        <v>RCC M- 20 Nominal mix (Cement:fine aggregate: coarse aggregate) corresponding to Table 9 of IS 456 using 20mm size graded machine crushed hard granite metal (coarse aggregate) from approved quarry including cost and conveyance of all materials like cement, Sand of Concrete coarse aggregate, water etc., to site and including  sales &amp; other taxes on all materials including all operational, incidental and labour charges such as machine mixing, laying concrete, curing etc.,complete but excluding cost of steel and its fabrication charges for finished item of work, but excluding  centering, shuttering.</v>
      </c>
      <c r="C15" s="2508"/>
      <c r="D15" s="2508"/>
      <c r="E15" s="2508"/>
      <c r="F15" s="2508"/>
      <c r="G15" s="1838"/>
    </row>
    <row r="16" spans="1:13" s="1840" customFormat="1" ht="73.2" customHeight="1">
      <c r="A16" s="1834">
        <v>5</v>
      </c>
      <c r="B16" s="2506" t="str">
        <f>'Est 02.03.23'!B121:I121</f>
        <v>PCC M- 20 Nominal mix (Cement:fine aggregate: coarse aggregate) corresponding to Table 9 of IS 456 using 20mm size graded machine crushed hard granite metal (coarse aggregate) from approved quarry including cost and conveyance of all materials like cement, fine aggregate (sand) coarse aggregate, water etc., to site and including Seigniorage charges, sales &amp; other taxes on all materials including all operational, incidental and labour charges such as machine mixing, laying concrete, curing etc.,complete but excluding cost of steel and its fabrication charges for finished item of work, but excluding  centering, shuttering.</v>
      </c>
      <c r="C16" s="2507"/>
      <c r="D16" s="2507"/>
      <c r="E16" s="2507"/>
      <c r="F16" s="2507"/>
      <c r="G16" s="1839"/>
    </row>
    <row r="17" spans="1:7" s="1840" customFormat="1" ht="23.4" customHeight="1">
      <c r="A17" s="1834">
        <v>6</v>
      </c>
      <c r="B17" s="2506" t="str">
        <f>'Est 02.03.23'!B127:I127</f>
        <v xml:space="preserve">Plain Cement concrete - Nominal Mix (1:3:6)  for Bed Blocks </v>
      </c>
      <c r="C17" s="2507"/>
      <c r="D17" s="2507"/>
      <c r="E17" s="2507"/>
      <c r="F17" s="2507"/>
      <c r="G17" s="1838"/>
    </row>
    <row r="18" spans="1:7" s="1840" customFormat="1" ht="73.2" customHeight="1">
      <c r="A18" s="1834">
        <v>7</v>
      </c>
      <c r="B18" s="2506" t="str">
        <f>'Est 02.03.23'!B132:I132</f>
        <v>Providing impervious coat to exposed RCC roof slab surface with CM(1:3), 20mm thick  with 1kg of water proof compound per bag of cement  laid over roof when it is green including cost of all materials, seigniorage charges, excluding conveyance charges of materials and including all operational, incidental and labour charges for mixing mortar, laying, rendering smooth and thread lining, curing, rounding off junctions of wall and slab etc,, complete for finished item of work</v>
      </c>
      <c r="C18" s="2507"/>
      <c r="D18" s="2507"/>
      <c r="E18" s="2507"/>
      <c r="F18" s="2507"/>
      <c r="G18" s="1838"/>
    </row>
    <row r="19" spans="1:7" s="1840" customFormat="1" ht="65.400000000000006" customHeight="1">
      <c r="A19" s="1834">
        <v>8</v>
      </c>
      <c r="B19" s="2506" t="str">
        <f>'Est 02.03.23'!B138:I138</f>
        <v>BLD-CSTN-2-9 (17) : Filling with useful available excavated earth (excluding rock) in trenches, sides of foundations and basement with initial lead in layers not exceeding 15 cm thick, consolidating each deposited layer by watering and ramming including cost and conveyance of water to work site and all operational, incidental, labour charges, hire charges of T &amp; P etc., complete for finished item of work. (APSS NO. 309 &amp; 310) (Rate as per RSSR 2021-22 S.No. 18)</v>
      </c>
      <c r="C19" s="2507"/>
      <c r="D19" s="2507"/>
      <c r="E19" s="2507"/>
      <c r="F19" s="2507"/>
      <c r="G19" s="1838"/>
    </row>
    <row r="20" spans="1:7" s="1840" customFormat="1" ht="54.7" customHeight="1">
      <c r="A20" s="1834">
        <v>9</v>
      </c>
      <c r="B20" s="2506" t="str">
        <f>'Est 02.03.23'!B147:I147</f>
        <v xml:space="preserve">Filling with selected earth(excluding rock) in trenches, sides of foundations and basement with initial lead in layers not exceeding 15 cm thick, consolidating each deposited layer by watering and ramming including cost and conveyance of water to work site and all operational, incidental, labour charges, hire charges of T &amp; P etc., complete for finished item of work. (APSS NO. 309 &amp; 310) </v>
      </c>
      <c r="C20" s="2507"/>
      <c r="D20" s="2507"/>
      <c r="E20" s="2507"/>
      <c r="F20" s="2507"/>
      <c r="G20" s="1838"/>
    </row>
    <row r="21" spans="1:7" s="1840" customFormat="1" ht="67.2" customHeight="1">
      <c r="A21" s="1834">
        <v>10</v>
      </c>
      <c r="B21" s="2506" t="str">
        <f>'Est 02.03.23'!B157:I157</f>
        <v xml:space="preserve">Brick masonry  230 mm thick for panel walls in superstructure with CM (1:6) proportion using II nd class country bricks of size 23x11x7 cm  from approved source having crushing strength not less than 35kg/sqcm including cost and conveyance of all  materials like cement ,sand ,bricks, water etc., to site , including seignorage charges ,sales and other taxes on all materials and all operational ,incidental and  labour charges such as mixing cement mortar, curing scafolding charges, constructing masonary,lift charges,curing etc., complete for finished item of work  </v>
      </c>
      <c r="C21" s="2507"/>
      <c r="D21" s="2507"/>
      <c r="E21" s="2507"/>
      <c r="F21" s="2507"/>
      <c r="G21" s="1838"/>
    </row>
    <row r="22" spans="1:7" s="1840" customFormat="1" ht="67.95" customHeight="1">
      <c r="A22" s="1834">
        <v>11</v>
      </c>
      <c r="B22" s="2506" t="str">
        <f>'Est 02.03.23'!B196:I196</f>
        <v>Reinforced Brick Masonary walls of 11.5cm in CM(1:4) using  second class traditional size bricks and using two mild steel bars of 6m dia in every third layer of brick masory, with free joints of the main block work including cost and seignorage charges and conveyance of all materials and water from approved sources to work site and all operational, incidental, labour charges such as scaffolding mixing mortor constructing masonary lift charges, curing etc. complete but excluding the cost of steel and its fabrication charges for finished item of work as per SS 509</v>
      </c>
      <c r="C22" s="2507"/>
      <c r="D22" s="2507"/>
      <c r="E22" s="2507"/>
      <c r="F22" s="2507"/>
      <c r="G22" s="1838"/>
    </row>
    <row r="23" spans="1:7" s="1840" customFormat="1" ht="101.4" customHeight="1">
      <c r="A23" s="1834">
        <v>12</v>
      </c>
      <c r="B23" s="2506" t="str">
        <f>'Est 02.03.23'!B208:I208</f>
        <v>Providing High Yield Strength Deformed (HYSD)/ Thermo Mechanically Treated (TMT) / Mild steel (MS) steel bars (Fe 415/ Fe 500 grade as per IS 1786-1979) of different diameters for RCC works , including labour charges for straightening, cutting, bending to required sizes and shapes, placing in position with cover blocks of approved materials and size and tying and lap-splicing with binding wire of 18 SWG, forming grills for reinforcement work as per approved designs and drawings, including cost and conveyance of steel bars, including all wastages such as overlaps, couplings, chairs, spacer bars including cost and conveyance of binding wire, cover blocks and all incidental, operational, labour charges such as cutting, bending, placing in position, tying including sales and other taxes on all materials etc., complete for finished item of work in all floors.( APSS No.126)</v>
      </c>
      <c r="C23" s="2506"/>
      <c r="D23" s="2506"/>
      <c r="E23" s="2506"/>
      <c r="F23" s="2506"/>
      <c r="G23" s="1841"/>
    </row>
    <row r="24" spans="1:7" s="1840" customFormat="1" ht="77.400000000000006" customHeight="1">
      <c r="A24" s="1834">
        <v>13</v>
      </c>
      <c r="B24" s="2506" t="str">
        <f>'Est 02.03.23'!B215:I215</f>
        <v>Ornamental Plastering 12mm thick in two coats with base coat of 8mm thick in CM (1:5) and top coat of 4mm thick in CM (1:3) dubara sponge finish including cost and conveyance of all materials like cement, sand, water etc., to site, seigniorage charges, sales &amp; other taxes on all materials,all operational, incidental and labour charges such as mixing mortar, scaffolding charges, lift charges, including cutting of Grooves wherever necessary as directed by Engineer - in - charge, finishing,  curing, etc., complete for  Even Surfaces of  Wall for finished item of work. (APSS 901,903 &amp; 904)</v>
      </c>
      <c r="C24" s="2506"/>
      <c r="D24" s="2506"/>
      <c r="E24" s="2506"/>
      <c r="F24" s="2506"/>
      <c r="G24" s="1841"/>
    </row>
    <row r="25" spans="1:7" s="1840" customFormat="1" ht="63.7" customHeight="1">
      <c r="A25" s="1834">
        <v>14</v>
      </c>
      <c r="B25" s="2508" t="str">
        <f>'Est 02.03.23'!B232:I232</f>
        <v>Plastering 12mm thick double coat in CM (1:5) 8 mm thick base coat and CM (1:3) of 4mm thick top coat with dubara sponge finish including c/c of all materials like cement, sand,water etc., to site, other taxes on all materials, all operational, incidental such as scaffolding charges, lift charges, including cutting of Grooves,finishing, curing, etc., complete for for finished item of work. (APSS 1001,1003 &amp; 1004) (CSSR) Internal Walls</v>
      </c>
      <c r="C25" s="2508"/>
      <c r="D25" s="2508"/>
      <c r="E25" s="2508"/>
      <c r="F25" s="2508"/>
      <c r="G25" s="1841"/>
    </row>
    <row r="26" spans="1:7" s="1840" customFormat="1" ht="72.7" customHeight="1">
      <c r="A26" s="1834">
        <v>15</v>
      </c>
      <c r="B26" s="2506" t="str">
        <f>'Est 02.03.23'!B290:I290</f>
        <v>Flooring with vitrified tiles of 1st quality, set over base coat of cement mortar (1:8), 12 mm thick over CC bed already laid or RCC roof slab, including neat cement slurry of honey like consistency spread @ 3.3.kgs per sqm &amp; jointed neatly with white cement paste to full depth mixed with pigment of matching shade, including cost of all materials like cement, sand water and tiles etc., complete, including seigniorage charges, etc., complete for finished item of work, but excluding the cost of conveyance of all materials.Makes:Kajaria,RAK,Jhanaran,Bell</v>
      </c>
      <c r="C26" s="2506"/>
      <c r="D26" s="2506"/>
      <c r="E26" s="2506"/>
      <c r="F26" s="2506"/>
      <c r="G26" s="1841"/>
    </row>
    <row r="27" spans="1:7" s="1840" customFormat="1" ht="66.7" customHeight="1">
      <c r="A27" s="1834">
        <v>16</v>
      </c>
      <c r="B27" s="2506" t="str">
        <f>'Est 02.03.23'!B298:I298</f>
        <v>Providing skirting to internal walls to 15 cmheight/risers of steps with vitrified tiles length equal to flooring stones, set over base coat of CM (1:5)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 like Kajaria,RAK,Jhanran</v>
      </c>
      <c r="C27" s="2506"/>
      <c r="D27" s="2506"/>
      <c r="E27" s="2506"/>
      <c r="F27" s="2506"/>
      <c r="G27" s="1841"/>
    </row>
    <row r="28" spans="1:7" ht="66.7" customHeight="1">
      <c r="A28" s="1834">
        <v>17</v>
      </c>
      <c r="B28" s="2508" t="str">
        <f>'Est 02.03.23'!B308:I308</f>
        <v>Flooring with ceramic tiles, set over base coat of cement mortar (1:8), 12 mm thick over CC bed already laid or RCC roof slab, including neat cement slurry of honey like consistency spread @ 3.3.kgs per sqm &amp; jointed neatly with white cement paste to full depth mixed with pigment of matching shade, including cost of all materials like cement, sand water and tiles etc., complete, including seigniorage charges, etc., complete for finished item of work, but excluding the cost of conveyance of all materials.</v>
      </c>
      <c r="C28" s="2508"/>
      <c r="D28" s="2508"/>
      <c r="E28" s="2508"/>
      <c r="F28" s="2508"/>
    </row>
    <row r="29" spans="1:7" ht="59.4" customHeight="1">
      <c r="A29" s="1834">
        <v>18</v>
      </c>
      <c r="B29" s="2503" t="str">
        <f>'Est 02.03.23'!B313:I313</f>
        <v xml:space="preserve">Providing dadooing to walls with glazed full body ceramic tiles of any size and thickness between 5 to 7mm 1st quality conforming to IS: 13711, IS: 13712, IS: 13630(Parts 1 to 15) of any colour and finish in all shades and designs with borders as approved by Engineer-in-Charge  set over base coat of CM(1:5) 12 mm thick using screened sand with cement slurry of honey like consistency spread at the rate of 3.30 kgs per sqm and jointing with white cement paste mixed with pigment of matching shade to full depth, including cost of all materials like tiles, cement, sand and water etc., and overheads &amp; contractors profit complete for finished item of work.                  </v>
      </c>
      <c r="C29" s="2504"/>
      <c r="D29" s="2504"/>
      <c r="E29" s="2504"/>
      <c r="F29" s="2504"/>
    </row>
    <row r="30" spans="1:7" s="1840" customFormat="1" ht="88.95" customHeight="1">
      <c r="A30" s="1834">
        <v>19</v>
      </c>
      <c r="B30" s="2502" t="str">
        <f>'Est 02.03.23'!B320:I320</f>
        <v xml:space="preserve">Supply and fixing of Medium Teak Wood Door frame double shutter  fully panelled door of size 1.20 x 2.10 M with frame made of well seasoned MediumTeak  Wood scantlings of size 100 x 75 mm and shutter made of side rails 100mm X 32mm, top rail 100 mm 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including side windows of 0.45m wide with full height on both sides                                                                                                </v>
      </c>
      <c r="C30" s="2502"/>
      <c r="D30" s="2502"/>
      <c r="E30" s="2502"/>
      <c r="F30" s="2502"/>
      <c r="G30" s="1838"/>
    </row>
    <row r="31" spans="1:7" s="1840" customFormat="1" ht="95.4" customHeight="1">
      <c r="A31" s="1834">
        <v>20</v>
      </c>
      <c r="B31" s="2502" t="str">
        <f>'Est 02.03.23'!B324:I324</f>
        <v xml:space="preserve">Supply and fixing of  Sal wood Door double shutter  fully panelled door of size 1.20 x 2.1mt with frame made of well seasoned Sal Wood scantlings of size 100 x 75mm and shutter made ofmedium teak wood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v>
      </c>
      <c r="C31" s="2502"/>
      <c r="D31" s="2502"/>
      <c r="E31" s="2502"/>
      <c r="F31" s="2502"/>
      <c r="G31" s="1838"/>
    </row>
    <row r="32" spans="1:7" s="1840" customFormat="1" ht="91.2" customHeight="1">
      <c r="A32" s="1834">
        <v>21</v>
      </c>
      <c r="B32" s="2502" t="str">
        <f>'Est 02.03.23'!B327:I327</f>
        <v xml:space="preserve">Supply and fixing of Salwood Door double shutter  fully panelled door of size 0.90 x 2.1mt with frame made of well seasoned Sal Wood scantlings of size 75 x 100 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v>
      </c>
      <c r="C32" s="2502"/>
      <c r="D32" s="2502"/>
      <c r="E32" s="2502"/>
      <c r="F32" s="2502"/>
      <c r="G32" s="1838"/>
    </row>
    <row r="33" spans="1:7" s="1840" customFormat="1" ht="63" hidden="1" customHeight="1">
      <c r="A33" s="1834">
        <v>22</v>
      </c>
      <c r="B33" s="2502" t="str">
        <f>'Est 02.03.23'!B331:I331</f>
        <v>Providing and fixing factory made solid Wood Polymer Composite (WPC) single extruded Door Frame section of 100*65 MM with encapsulation of 6 MM rigid layer on all external surfaces. The door frame will have a rebate of 32MM/ 37 MM. The two Vertical members are to be joined together with the horizontal member using 8x75 MM long MS Star full thread screws to be used with reverse forward speed control hand drilling machine.</v>
      </c>
      <c r="C33" s="2502"/>
      <c r="D33" s="2502"/>
      <c r="E33" s="2502"/>
      <c r="F33" s="2502"/>
      <c r="G33" s="1838"/>
    </row>
    <row r="34" spans="1:7" s="1840" customFormat="1" ht="97.95" hidden="1" customHeight="1">
      <c r="A34" s="1834">
        <v>23</v>
      </c>
      <c r="B34" s="2502" t="str">
        <f>'Est 02.03.23'!B334:I334</f>
        <v>Supplying and fixing of 28/30 mm thick Wood Plastic Composite (WPC) Door shutter, comprising of 70% virgin polymer, 15% wood powder (fiber), and the remaining 15% additives, comprising of virgin PVC polymer of K value 58-60 (Suspension grade), Calcium carbonate and natural fibers (wood powder) and non toxic additives (maximum toxicity index of 12 for 100 gms) having minimum door density of 650 kg/cum, screw withdrawal strength 1800N (Face) &amp; 900N (Edge), Modulus of Elasticity 900N/mm2 and resistance to spread of flame of Class A category with property of being termite/borer proof, water/moisture proof and fire retardant and fixed in position with stainless steel butt hinges of required size with necessary full body threaded star headed counter sunk SS screws all as per direction of Engineer -in- Charge (SS butt hinges and SS screws shall be paid separately)</v>
      </c>
      <c r="C34" s="2502"/>
      <c r="D34" s="2502"/>
      <c r="E34" s="2502"/>
      <c r="F34" s="2502"/>
      <c r="G34" s="1838"/>
    </row>
    <row r="35" spans="1:7" s="1840" customFormat="1" ht="109.2" hidden="1" customHeight="1">
      <c r="A35" s="1834">
        <v>24</v>
      </c>
      <c r="B35" s="2503" t="str">
        <f>'Est 02.03.23'!B337:I337</f>
        <v>Supplying and fixing of Unplasticized Poly Vinyl Chloride (UPVC) 3 track sliding windows  with mesh shutter provision – (only 2-glass shutters) duly manufactured using UPVC  reinforced profiles (Composition of profile shall consists a minimum of 5.5 PHR of TiO2  and not more than 12 PHR of CaCo3 for every 100 parts of PVC resin) of (80 mm x 52 mm)/  (94 mm x 45 mm) x 2.20 mm for outer frames, (54 mm x 38 mm)/(39 mm x 58 mm) x  2.20 mm for sliding shutter frames capable of mounting single glazing system, structurally  reinforced with hot dip galvanized up to 50 microns of minimum thickness of 1.0/1.2 mm  prefabricated &amp; welded through fusion welding. The window sash shall be fitted with  5 mm thick clear float glass of reputed make duly fixed with Grey colour TPV Gasket for  sash &amp; Glazing bead shall be co-extruded with Grey colour soft PVC. System shall have single  point locking with Touch Lock and the system is to be installed at the site using anchor asteners, silicon rubber sealant, easy glazing/ deglazing at site etc., including cost  and conveyance of all materials, accessories, labour charges for transportation, erection at  site complete for finished item of work</v>
      </c>
      <c r="C35" s="2504"/>
      <c r="D35" s="2504"/>
      <c r="E35" s="2504"/>
      <c r="F35" s="2504"/>
      <c r="G35" s="1838"/>
    </row>
    <row r="36" spans="1:7" s="1840" customFormat="1" ht="40.950000000000003" hidden="1" customHeight="1">
      <c r="A36" s="1834">
        <v>25</v>
      </c>
      <c r="B36" s="2503" t="str">
        <f>'Est 02.03.23'!B343:I343</f>
        <v>Supply , manufacture,  making to  specified design andLabour charges for fabricating steel works like Window Grills, Compound Wall Grills, Iron Doors, Windows including cost of welding rods, power charges, excluding cost of fixing in position</v>
      </c>
      <c r="C36" s="2504"/>
      <c r="D36" s="2504"/>
      <c r="E36" s="2504"/>
      <c r="F36" s="2504"/>
      <c r="G36" s="1838"/>
    </row>
    <row r="37" spans="1:7" s="1840" customFormat="1" ht="81" hidden="1" customHeight="1">
      <c r="A37" s="1834">
        <v>26</v>
      </c>
      <c r="B37" s="2505" t="str">
        <f>'Est 02.03.23'!B353:I353</f>
        <v>Supplying and erection of Centurywells or equivalent Prepainted Galvalume Trepezoidal Profile Roof Sheets with 0.50 mm thickness, coating : Alu-Zinc Coating AZ150 GSM. Tensile strength 550 MPA. Paint coating : Regular Modified Polyester painting. Painting thickness (top) 15 to 20 microns (Bottom) : 5 to 7 microns. Sheet width 1.020 mt and length 12 mts with regular range colours with G.I ‘J’ bolts &amp; nuts 8 mm dia with bitumen &amp; G.I limpet washers filled with white lead &amp; including a coat of approved steel primer and two coats of approved paint on over lapping of sheets complete (up to a pitch of 60) and seigniorage charges, etc., complete, excluding the cost of purlins, rafters, trusses &amp; cost of conveyance of all materials</v>
      </c>
      <c r="C37" s="2504"/>
      <c r="D37" s="2504"/>
      <c r="E37" s="2504"/>
      <c r="F37" s="2504"/>
      <c r="G37" s="1838"/>
    </row>
    <row r="38" spans="1:7" s="1840" customFormat="1" ht="51.7" hidden="1" customHeight="1">
      <c r="A38" s="1834">
        <v>27</v>
      </c>
      <c r="B38" s="2503" t="str">
        <f>'Est 02.03.23'!B358:I358</f>
        <v>Painting to new walls with 2 coats of acrylic emulsion paint of approved brand and shade after thoroughly brushing the surface to remove all dirt and remains of loose powdered materials, including cost and conveyance of all materials to work site and all operational, incidental, labour charges etc. complete for finished item of work as per SS 911 for internal walls  including one Prime coat</v>
      </c>
      <c r="C38" s="2504"/>
      <c r="D38" s="2504"/>
      <c r="E38" s="2504"/>
      <c r="F38" s="2504"/>
      <c r="G38" s="1838"/>
    </row>
    <row r="39" spans="1:7" s="1840" customFormat="1" ht="55.2" hidden="1" customHeight="1">
      <c r="A39" s="1834">
        <v>28</v>
      </c>
      <c r="B39" s="2503" t="str">
        <f>'Est 02.03.23'!B382:I382</f>
        <v>Painting to new walls with 2 coats of acrylic emulsion paint of approved brand and shade after thoroughly brushing the surface to remove all dirt and remains of loose powdered materials, including cost and conveyance of all materials to work site and all operational, incidental, labour charges etc. complete for finished item of work as per SS 911 for external walls including one Prime coat</v>
      </c>
      <c r="C39" s="2504"/>
      <c r="D39" s="2504"/>
      <c r="E39" s="2504"/>
      <c r="F39" s="2504"/>
      <c r="G39" s="1838"/>
    </row>
    <row r="40" spans="1:7" s="1840" customFormat="1" ht="66.7" hidden="1" customHeight="1">
      <c r="A40" s="1834">
        <v>29</v>
      </c>
      <c r="B40" s="2503" t="str">
        <f>'Est 02.03.23'!B400:I400</f>
        <v>Painting to New  wood work with two coats of ready mixed synthetic enamel paint first quality all shades  to give an even shade over base coat Primer with Luppam finishing  after thoroughly brushing the surface to remove all remains  including cost and conveyance of all materials to site, sales &amp; other taxes, all  operational, incidental and labour charges etc., complete for finished item of work.(3 coats) (APSS No. 1201 &amp; 1212).in All Floors</v>
      </c>
      <c r="C40" s="2504"/>
      <c r="D40" s="2504"/>
      <c r="E40" s="2504"/>
      <c r="F40" s="2504"/>
      <c r="G40" s="1838"/>
    </row>
    <row r="41" spans="1:7" s="1840" customFormat="1" ht="26.4" hidden="1" customHeight="1">
      <c r="A41" s="1834">
        <v>30</v>
      </c>
      <c r="B41" s="2503" t="s">
        <v>3089</v>
      </c>
      <c r="C41" s="2504"/>
      <c r="D41" s="2504"/>
      <c r="E41" s="2504"/>
      <c r="F41" s="2504"/>
      <c r="G41" s="1838"/>
    </row>
    <row r="42" spans="1:7" s="1840" customFormat="1" ht="26.4" hidden="1" customHeight="1">
      <c r="A42" s="1834">
        <v>31</v>
      </c>
      <c r="B42" s="2503" t="s">
        <v>3090</v>
      </c>
      <c r="C42" s="2504"/>
      <c r="D42" s="2504"/>
      <c r="E42" s="2504"/>
      <c r="F42" s="2504"/>
      <c r="G42" s="1838"/>
    </row>
    <row r="43" spans="1:7" s="1840" customFormat="1" ht="31.2" customHeight="1">
      <c r="A43" s="1834">
        <v>22</v>
      </c>
      <c r="B43" s="2502" t="s">
        <v>3091</v>
      </c>
      <c r="C43" s="2502"/>
      <c r="D43" s="2502"/>
      <c r="E43" s="2502"/>
      <c r="F43" s="2502"/>
      <c r="G43" s="1838"/>
    </row>
    <row r="44" spans="1:7" s="1840" customFormat="1" ht="24.7" customHeight="1">
      <c r="A44" s="1834">
        <v>23</v>
      </c>
      <c r="B44" s="2502" t="s">
        <v>3092</v>
      </c>
      <c r="C44" s="2502"/>
      <c r="D44" s="2502"/>
      <c r="E44" s="2502"/>
      <c r="F44" s="2502"/>
      <c r="G44" s="1838"/>
    </row>
    <row r="45" spans="1:7" ht="21" customHeight="1"/>
    <row r="46" spans="1:7" ht="31.9" customHeight="1">
      <c r="B46" s="2501" t="s">
        <v>3619</v>
      </c>
      <c r="C46" s="2501"/>
      <c r="D46" s="2501"/>
      <c r="E46" s="2501"/>
      <c r="F46" s="2501"/>
    </row>
    <row r="47" spans="1:7" ht="31.2" customHeight="1"/>
    <row r="48" spans="1:7" s="1843" customFormat="1">
      <c r="B48" s="1843" t="s">
        <v>3154</v>
      </c>
      <c r="C48" s="1844"/>
      <c r="D48" s="1843" t="s">
        <v>3155</v>
      </c>
      <c r="E48" s="1844"/>
      <c r="F48" s="1844"/>
    </row>
    <row r="49" spans="2:6" s="1843" customFormat="1">
      <c r="B49" s="1843" t="str">
        <f>CONCATENATE("PR MPP ",'input sheet'!$C$7)</f>
        <v>PR MPP Kalwakurthy</v>
      </c>
      <c r="C49" s="1844"/>
      <c r="D49" s="1843" t="str">
        <f>CONCATENATE("PR Sub Division ",'input sheet'!$C$8)</f>
        <v>PR Sub Division Kalwakurthy</v>
      </c>
      <c r="E49" s="1844"/>
      <c r="F49" s="1844"/>
    </row>
    <row r="50" spans="2:6" s="1843" customFormat="1">
      <c r="C50" s="1844"/>
      <c r="E50" s="1844"/>
      <c r="F50" s="1844"/>
    </row>
  </sheetData>
  <mergeCells count="38">
    <mergeCell ref="B21:F21"/>
    <mergeCell ref="B6:F6"/>
    <mergeCell ref="H10:M10"/>
    <mergeCell ref="B12:F12"/>
    <mergeCell ref="B13:F13"/>
    <mergeCell ref="B14:F14"/>
    <mergeCell ref="B15:F15"/>
    <mergeCell ref="B16:F16"/>
    <mergeCell ref="B17:F17"/>
    <mergeCell ref="B18:F18"/>
    <mergeCell ref="B19:F19"/>
    <mergeCell ref="B20:F20"/>
    <mergeCell ref="B8:F8"/>
    <mergeCell ref="B10:F10"/>
    <mergeCell ref="B33:F33"/>
    <mergeCell ref="B22:F22"/>
    <mergeCell ref="B23:F23"/>
    <mergeCell ref="B24:F24"/>
    <mergeCell ref="B25:F25"/>
    <mergeCell ref="B26:F26"/>
    <mergeCell ref="B27:F27"/>
    <mergeCell ref="B28:F28"/>
    <mergeCell ref="B29:F29"/>
    <mergeCell ref="B30:F30"/>
    <mergeCell ref="B31:F31"/>
    <mergeCell ref="B32:F32"/>
    <mergeCell ref="B46:F46"/>
    <mergeCell ref="B34:F34"/>
    <mergeCell ref="B35:F35"/>
    <mergeCell ref="B36:F36"/>
    <mergeCell ref="B43:F43"/>
    <mergeCell ref="B37:F37"/>
    <mergeCell ref="B44:F44"/>
    <mergeCell ref="B38:F38"/>
    <mergeCell ref="B39:F39"/>
    <mergeCell ref="B40:F40"/>
    <mergeCell ref="B41:F41"/>
    <mergeCell ref="B42:F42"/>
  </mergeCells>
  <printOptions horizontalCentered="1"/>
  <pageMargins left="0.5" right="0.25" top="0.75" bottom="0.4" header="0.5" footer="0.5"/>
  <pageSetup paperSize="9" scale="75"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4EB57-E606-4357-A04B-369AB123B748}">
  <dimension ref="A1:S541"/>
  <sheetViews>
    <sheetView view="pageBreakPreview" topLeftCell="A367" zoomScaleNormal="100" zoomScaleSheetLayoutView="100" workbookViewId="0">
      <selection activeCell="A2" sqref="A2:N2"/>
    </sheetView>
  </sheetViews>
  <sheetFormatPr defaultColWidth="9.109375" defaultRowHeight="14.1"/>
  <cols>
    <col min="1" max="1" width="5.44140625" style="1846" customWidth="1"/>
    <col min="2" max="2" width="4.21875" style="1847" customWidth="1"/>
    <col min="3" max="3" width="19.21875" style="1847" customWidth="1"/>
    <col min="4" max="5" width="3.5546875" style="1847" customWidth="1"/>
    <col min="6" max="6" width="5.44140625" style="1847" customWidth="1"/>
    <col min="7" max="7" width="6.88671875" style="1846" customWidth="1"/>
    <col min="8" max="8" width="6.44140625" style="1846" customWidth="1"/>
    <col min="9" max="9" width="8.5546875" style="1846" customWidth="1"/>
    <col min="10" max="10" width="7.5546875" style="1968" customWidth="1"/>
    <col min="11" max="11" width="10.44140625" style="1847" customWidth="1"/>
    <col min="12" max="12" width="6.77734375" style="1847" customWidth="1"/>
    <col min="13" max="13" width="10.109375" style="1847" customWidth="1"/>
    <col min="14" max="14" width="12.44140625" style="1847" customWidth="1"/>
    <col min="15" max="15" width="9.109375" style="1847"/>
    <col min="16" max="16" width="15.5546875" style="1847" bestFit="1" customWidth="1"/>
    <col min="17" max="256" width="9.109375" style="1847"/>
    <col min="257" max="257" width="5.44140625" style="1847" customWidth="1"/>
    <col min="258" max="258" width="4.21875" style="1847" customWidth="1"/>
    <col min="259" max="259" width="23" style="1847" customWidth="1"/>
    <col min="260" max="261" width="3.5546875" style="1847" customWidth="1"/>
    <col min="262" max="262" width="5.44140625" style="1847" customWidth="1"/>
    <col min="263" max="263" width="6.88671875" style="1847" customWidth="1"/>
    <col min="264" max="264" width="6.44140625" style="1847" customWidth="1"/>
    <col min="265" max="265" width="8.5546875" style="1847" customWidth="1"/>
    <col min="266" max="266" width="7.5546875" style="1847" customWidth="1"/>
    <col min="267" max="267" width="10.44140625" style="1847" customWidth="1"/>
    <col min="268" max="268" width="8.21875" style="1847" customWidth="1"/>
    <col min="269" max="269" width="10.109375" style="1847" customWidth="1"/>
    <col min="270" max="270" width="14.109375" style="1847" customWidth="1"/>
    <col min="271" max="271" width="9.109375" style="1847"/>
    <col min="272" max="272" width="15.5546875" style="1847" bestFit="1" customWidth="1"/>
    <col min="273" max="512" width="9.109375" style="1847"/>
    <col min="513" max="513" width="5.44140625" style="1847" customWidth="1"/>
    <col min="514" max="514" width="4.21875" style="1847" customWidth="1"/>
    <col min="515" max="515" width="23" style="1847" customWidth="1"/>
    <col min="516" max="517" width="3.5546875" style="1847" customWidth="1"/>
    <col min="518" max="518" width="5.44140625" style="1847" customWidth="1"/>
    <col min="519" max="519" width="6.88671875" style="1847" customWidth="1"/>
    <col min="520" max="520" width="6.44140625" style="1847" customWidth="1"/>
    <col min="521" max="521" width="8.5546875" style="1847" customWidth="1"/>
    <col min="522" max="522" width="7.5546875" style="1847" customWidth="1"/>
    <col min="523" max="523" width="10.44140625" style="1847" customWidth="1"/>
    <col min="524" max="524" width="8.21875" style="1847" customWidth="1"/>
    <col min="525" max="525" width="10.109375" style="1847" customWidth="1"/>
    <col min="526" max="526" width="14.109375" style="1847" customWidth="1"/>
    <col min="527" max="527" width="9.109375" style="1847"/>
    <col min="528" max="528" width="15.5546875" style="1847" bestFit="1" customWidth="1"/>
    <col min="529" max="768" width="9.109375" style="1847"/>
    <col min="769" max="769" width="5.44140625" style="1847" customWidth="1"/>
    <col min="770" max="770" width="4.21875" style="1847" customWidth="1"/>
    <col min="771" max="771" width="23" style="1847" customWidth="1"/>
    <col min="772" max="773" width="3.5546875" style="1847" customWidth="1"/>
    <col min="774" max="774" width="5.44140625" style="1847" customWidth="1"/>
    <col min="775" max="775" width="6.88671875" style="1847" customWidth="1"/>
    <col min="776" max="776" width="6.44140625" style="1847" customWidth="1"/>
    <col min="777" max="777" width="8.5546875" style="1847" customWidth="1"/>
    <col min="778" max="778" width="7.5546875" style="1847" customWidth="1"/>
    <col min="779" max="779" width="10.44140625" style="1847" customWidth="1"/>
    <col min="780" max="780" width="8.21875" style="1847" customWidth="1"/>
    <col min="781" max="781" width="10.109375" style="1847" customWidth="1"/>
    <col min="782" max="782" width="14.109375" style="1847" customWidth="1"/>
    <col min="783" max="783" width="9.109375" style="1847"/>
    <col min="784" max="784" width="15.5546875" style="1847" bestFit="1" customWidth="1"/>
    <col min="785" max="1024" width="9.109375" style="1847"/>
    <col min="1025" max="1025" width="5.44140625" style="1847" customWidth="1"/>
    <col min="1026" max="1026" width="4.21875" style="1847" customWidth="1"/>
    <col min="1027" max="1027" width="23" style="1847" customWidth="1"/>
    <col min="1028" max="1029" width="3.5546875" style="1847" customWidth="1"/>
    <col min="1030" max="1030" width="5.44140625" style="1847" customWidth="1"/>
    <col min="1031" max="1031" width="6.88671875" style="1847" customWidth="1"/>
    <col min="1032" max="1032" width="6.44140625" style="1847" customWidth="1"/>
    <col min="1033" max="1033" width="8.5546875" style="1847" customWidth="1"/>
    <col min="1034" max="1034" width="7.5546875" style="1847" customWidth="1"/>
    <col min="1035" max="1035" width="10.44140625" style="1847" customWidth="1"/>
    <col min="1036" max="1036" width="8.21875" style="1847" customWidth="1"/>
    <col min="1037" max="1037" width="10.109375" style="1847" customWidth="1"/>
    <col min="1038" max="1038" width="14.109375" style="1847" customWidth="1"/>
    <col min="1039" max="1039" width="9.109375" style="1847"/>
    <col min="1040" max="1040" width="15.5546875" style="1847" bestFit="1" customWidth="1"/>
    <col min="1041" max="1280" width="9.109375" style="1847"/>
    <col min="1281" max="1281" width="5.44140625" style="1847" customWidth="1"/>
    <col min="1282" max="1282" width="4.21875" style="1847" customWidth="1"/>
    <col min="1283" max="1283" width="23" style="1847" customWidth="1"/>
    <col min="1284" max="1285" width="3.5546875" style="1847" customWidth="1"/>
    <col min="1286" max="1286" width="5.44140625" style="1847" customWidth="1"/>
    <col min="1287" max="1287" width="6.88671875" style="1847" customWidth="1"/>
    <col min="1288" max="1288" width="6.44140625" style="1847" customWidth="1"/>
    <col min="1289" max="1289" width="8.5546875" style="1847" customWidth="1"/>
    <col min="1290" max="1290" width="7.5546875" style="1847" customWidth="1"/>
    <col min="1291" max="1291" width="10.44140625" style="1847" customWidth="1"/>
    <col min="1292" max="1292" width="8.21875" style="1847" customWidth="1"/>
    <col min="1293" max="1293" width="10.109375" style="1847" customWidth="1"/>
    <col min="1294" max="1294" width="14.109375" style="1847" customWidth="1"/>
    <col min="1295" max="1295" width="9.109375" style="1847"/>
    <col min="1296" max="1296" width="15.5546875" style="1847" bestFit="1" customWidth="1"/>
    <col min="1297" max="1536" width="9.109375" style="1847"/>
    <col min="1537" max="1537" width="5.44140625" style="1847" customWidth="1"/>
    <col min="1538" max="1538" width="4.21875" style="1847" customWidth="1"/>
    <col min="1539" max="1539" width="23" style="1847" customWidth="1"/>
    <col min="1540" max="1541" width="3.5546875" style="1847" customWidth="1"/>
    <col min="1542" max="1542" width="5.44140625" style="1847" customWidth="1"/>
    <col min="1543" max="1543" width="6.88671875" style="1847" customWidth="1"/>
    <col min="1544" max="1544" width="6.44140625" style="1847" customWidth="1"/>
    <col min="1545" max="1545" width="8.5546875" style="1847" customWidth="1"/>
    <col min="1546" max="1546" width="7.5546875" style="1847" customWidth="1"/>
    <col min="1547" max="1547" width="10.44140625" style="1847" customWidth="1"/>
    <col min="1548" max="1548" width="8.21875" style="1847" customWidth="1"/>
    <col min="1549" max="1549" width="10.109375" style="1847" customWidth="1"/>
    <col min="1550" max="1550" width="14.109375" style="1847" customWidth="1"/>
    <col min="1551" max="1551" width="9.109375" style="1847"/>
    <col min="1552" max="1552" width="15.5546875" style="1847" bestFit="1" customWidth="1"/>
    <col min="1553" max="1792" width="9.109375" style="1847"/>
    <col min="1793" max="1793" width="5.44140625" style="1847" customWidth="1"/>
    <col min="1794" max="1794" width="4.21875" style="1847" customWidth="1"/>
    <col min="1795" max="1795" width="23" style="1847" customWidth="1"/>
    <col min="1796" max="1797" width="3.5546875" style="1847" customWidth="1"/>
    <col min="1798" max="1798" width="5.44140625" style="1847" customWidth="1"/>
    <col min="1799" max="1799" width="6.88671875" style="1847" customWidth="1"/>
    <col min="1800" max="1800" width="6.44140625" style="1847" customWidth="1"/>
    <col min="1801" max="1801" width="8.5546875" style="1847" customWidth="1"/>
    <col min="1802" max="1802" width="7.5546875" style="1847" customWidth="1"/>
    <col min="1803" max="1803" width="10.44140625" style="1847" customWidth="1"/>
    <col min="1804" max="1804" width="8.21875" style="1847" customWidth="1"/>
    <col min="1805" max="1805" width="10.109375" style="1847" customWidth="1"/>
    <col min="1806" max="1806" width="14.109375" style="1847" customWidth="1"/>
    <col min="1807" max="1807" width="9.109375" style="1847"/>
    <col min="1808" max="1808" width="15.5546875" style="1847" bestFit="1" customWidth="1"/>
    <col min="1809" max="2048" width="9.109375" style="1847"/>
    <col min="2049" max="2049" width="5.44140625" style="1847" customWidth="1"/>
    <col min="2050" max="2050" width="4.21875" style="1847" customWidth="1"/>
    <col min="2051" max="2051" width="23" style="1847" customWidth="1"/>
    <col min="2052" max="2053" width="3.5546875" style="1847" customWidth="1"/>
    <col min="2054" max="2054" width="5.44140625" style="1847" customWidth="1"/>
    <col min="2055" max="2055" width="6.88671875" style="1847" customWidth="1"/>
    <col min="2056" max="2056" width="6.44140625" style="1847" customWidth="1"/>
    <col min="2057" max="2057" width="8.5546875" style="1847" customWidth="1"/>
    <col min="2058" max="2058" width="7.5546875" style="1847" customWidth="1"/>
    <col min="2059" max="2059" width="10.44140625" style="1847" customWidth="1"/>
    <col min="2060" max="2060" width="8.21875" style="1847" customWidth="1"/>
    <col min="2061" max="2061" width="10.109375" style="1847" customWidth="1"/>
    <col min="2062" max="2062" width="14.109375" style="1847" customWidth="1"/>
    <col min="2063" max="2063" width="9.109375" style="1847"/>
    <col min="2064" max="2064" width="15.5546875" style="1847" bestFit="1" customWidth="1"/>
    <col min="2065" max="2304" width="9.109375" style="1847"/>
    <col min="2305" max="2305" width="5.44140625" style="1847" customWidth="1"/>
    <col min="2306" max="2306" width="4.21875" style="1847" customWidth="1"/>
    <col min="2307" max="2307" width="23" style="1847" customWidth="1"/>
    <col min="2308" max="2309" width="3.5546875" style="1847" customWidth="1"/>
    <col min="2310" max="2310" width="5.44140625" style="1847" customWidth="1"/>
    <col min="2311" max="2311" width="6.88671875" style="1847" customWidth="1"/>
    <col min="2312" max="2312" width="6.44140625" style="1847" customWidth="1"/>
    <col min="2313" max="2313" width="8.5546875" style="1847" customWidth="1"/>
    <col min="2314" max="2314" width="7.5546875" style="1847" customWidth="1"/>
    <col min="2315" max="2315" width="10.44140625" style="1847" customWidth="1"/>
    <col min="2316" max="2316" width="8.21875" style="1847" customWidth="1"/>
    <col min="2317" max="2317" width="10.109375" style="1847" customWidth="1"/>
    <col min="2318" max="2318" width="14.109375" style="1847" customWidth="1"/>
    <col min="2319" max="2319" width="9.109375" style="1847"/>
    <col min="2320" max="2320" width="15.5546875" style="1847" bestFit="1" customWidth="1"/>
    <col min="2321" max="2560" width="9.109375" style="1847"/>
    <col min="2561" max="2561" width="5.44140625" style="1847" customWidth="1"/>
    <col min="2562" max="2562" width="4.21875" style="1847" customWidth="1"/>
    <col min="2563" max="2563" width="23" style="1847" customWidth="1"/>
    <col min="2564" max="2565" width="3.5546875" style="1847" customWidth="1"/>
    <col min="2566" max="2566" width="5.44140625" style="1847" customWidth="1"/>
    <col min="2567" max="2567" width="6.88671875" style="1847" customWidth="1"/>
    <col min="2568" max="2568" width="6.44140625" style="1847" customWidth="1"/>
    <col min="2569" max="2569" width="8.5546875" style="1847" customWidth="1"/>
    <col min="2570" max="2570" width="7.5546875" style="1847" customWidth="1"/>
    <col min="2571" max="2571" width="10.44140625" style="1847" customWidth="1"/>
    <col min="2572" max="2572" width="8.21875" style="1847" customWidth="1"/>
    <col min="2573" max="2573" width="10.109375" style="1847" customWidth="1"/>
    <col min="2574" max="2574" width="14.109375" style="1847" customWidth="1"/>
    <col min="2575" max="2575" width="9.109375" style="1847"/>
    <col min="2576" max="2576" width="15.5546875" style="1847" bestFit="1" customWidth="1"/>
    <col min="2577" max="2816" width="9.109375" style="1847"/>
    <col min="2817" max="2817" width="5.44140625" style="1847" customWidth="1"/>
    <col min="2818" max="2818" width="4.21875" style="1847" customWidth="1"/>
    <col min="2819" max="2819" width="23" style="1847" customWidth="1"/>
    <col min="2820" max="2821" width="3.5546875" style="1847" customWidth="1"/>
    <col min="2822" max="2822" width="5.44140625" style="1847" customWidth="1"/>
    <col min="2823" max="2823" width="6.88671875" style="1847" customWidth="1"/>
    <col min="2824" max="2824" width="6.44140625" style="1847" customWidth="1"/>
    <col min="2825" max="2825" width="8.5546875" style="1847" customWidth="1"/>
    <col min="2826" max="2826" width="7.5546875" style="1847" customWidth="1"/>
    <col min="2827" max="2827" width="10.44140625" style="1847" customWidth="1"/>
    <col min="2828" max="2828" width="8.21875" style="1847" customWidth="1"/>
    <col min="2829" max="2829" width="10.109375" style="1847" customWidth="1"/>
    <col min="2830" max="2830" width="14.109375" style="1847" customWidth="1"/>
    <col min="2831" max="2831" width="9.109375" style="1847"/>
    <col min="2832" max="2832" width="15.5546875" style="1847" bestFit="1" customWidth="1"/>
    <col min="2833" max="3072" width="9.109375" style="1847"/>
    <col min="3073" max="3073" width="5.44140625" style="1847" customWidth="1"/>
    <col min="3074" max="3074" width="4.21875" style="1847" customWidth="1"/>
    <col min="3075" max="3075" width="23" style="1847" customWidth="1"/>
    <col min="3076" max="3077" width="3.5546875" style="1847" customWidth="1"/>
    <col min="3078" max="3078" width="5.44140625" style="1847" customWidth="1"/>
    <col min="3079" max="3079" width="6.88671875" style="1847" customWidth="1"/>
    <col min="3080" max="3080" width="6.44140625" style="1847" customWidth="1"/>
    <col min="3081" max="3081" width="8.5546875" style="1847" customWidth="1"/>
    <col min="3082" max="3082" width="7.5546875" style="1847" customWidth="1"/>
    <col min="3083" max="3083" width="10.44140625" style="1847" customWidth="1"/>
    <col min="3084" max="3084" width="8.21875" style="1847" customWidth="1"/>
    <col min="3085" max="3085" width="10.109375" style="1847" customWidth="1"/>
    <col min="3086" max="3086" width="14.109375" style="1847" customWidth="1"/>
    <col min="3087" max="3087" width="9.109375" style="1847"/>
    <col min="3088" max="3088" width="15.5546875" style="1847" bestFit="1" customWidth="1"/>
    <col min="3089" max="3328" width="9.109375" style="1847"/>
    <col min="3329" max="3329" width="5.44140625" style="1847" customWidth="1"/>
    <col min="3330" max="3330" width="4.21875" style="1847" customWidth="1"/>
    <col min="3331" max="3331" width="23" style="1847" customWidth="1"/>
    <col min="3332" max="3333" width="3.5546875" style="1847" customWidth="1"/>
    <col min="3334" max="3334" width="5.44140625" style="1847" customWidth="1"/>
    <col min="3335" max="3335" width="6.88671875" style="1847" customWidth="1"/>
    <col min="3336" max="3336" width="6.44140625" style="1847" customWidth="1"/>
    <col min="3337" max="3337" width="8.5546875" style="1847" customWidth="1"/>
    <col min="3338" max="3338" width="7.5546875" style="1847" customWidth="1"/>
    <col min="3339" max="3339" width="10.44140625" style="1847" customWidth="1"/>
    <col min="3340" max="3340" width="8.21875" style="1847" customWidth="1"/>
    <col min="3341" max="3341" width="10.109375" style="1847" customWidth="1"/>
    <col min="3342" max="3342" width="14.109375" style="1847" customWidth="1"/>
    <col min="3343" max="3343" width="9.109375" style="1847"/>
    <col min="3344" max="3344" width="15.5546875" style="1847" bestFit="1" customWidth="1"/>
    <col min="3345" max="3584" width="9.109375" style="1847"/>
    <col min="3585" max="3585" width="5.44140625" style="1847" customWidth="1"/>
    <col min="3586" max="3586" width="4.21875" style="1847" customWidth="1"/>
    <col min="3587" max="3587" width="23" style="1847" customWidth="1"/>
    <col min="3588" max="3589" width="3.5546875" style="1847" customWidth="1"/>
    <col min="3590" max="3590" width="5.44140625" style="1847" customWidth="1"/>
    <col min="3591" max="3591" width="6.88671875" style="1847" customWidth="1"/>
    <col min="3592" max="3592" width="6.44140625" style="1847" customWidth="1"/>
    <col min="3593" max="3593" width="8.5546875" style="1847" customWidth="1"/>
    <col min="3594" max="3594" width="7.5546875" style="1847" customWidth="1"/>
    <col min="3595" max="3595" width="10.44140625" style="1847" customWidth="1"/>
    <col min="3596" max="3596" width="8.21875" style="1847" customWidth="1"/>
    <col min="3597" max="3597" width="10.109375" style="1847" customWidth="1"/>
    <col min="3598" max="3598" width="14.109375" style="1847" customWidth="1"/>
    <col min="3599" max="3599" width="9.109375" style="1847"/>
    <col min="3600" max="3600" width="15.5546875" style="1847" bestFit="1" customWidth="1"/>
    <col min="3601" max="3840" width="9.109375" style="1847"/>
    <col min="3841" max="3841" width="5.44140625" style="1847" customWidth="1"/>
    <col min="3842" max="3842" width="4.21875" style="1847" customWidth="1"/>
    <col min="3843" max="3843" width="23" style="1847" customWidth="1"/>
    <col min="3844" max="3845" width="3.5546875" style="1847" customWidth="1"/>
    <col min="3846" max="3846" width="5.44140625" style="1847" customWidth="1"/>
    <col min="3847" max="3847" width="6.88671875" style="1847" customWidth="1"/>
    <col min="3848" max="3848" width="6.44140625" style="1847" customWidth="1"/>
    <col min="3849" max="3849" width="8.5546875" style="1847" customWidth="1"/>
    <col min="3850" max="3850" width="7.5546875" style="1847" customWidth="1"/>
    <col min="3851" max="3851" width="10.44140625" style="1847" customWidth="1"/>
    <col min="3852" max="3852" width="8.21875" style="1847" customWidth="1"/>
    <col min="3853" max="3853" width="10.109375" style="1847" customWidth="1"/>
    <col min="3854" max="3854" width="14.109375" style="1847" customWidth="1"/>
    <col min="3855" max="3855" width="9.109375" style="1847"/>
    <col min="3856" max="3856" width="15.5546875" style="1847" bestFit="1" customWidth="1"/>
    <col min="3857" max="4096" width="9.109375" style="1847"/>
    <col min="4097" max="4097" width="5.44140625" style="1847" customWidth="1"/>
    <col min="4098" max="4098" width="4.21875" style="1847" customWidth="1"/>
    <col min="4099" max="4099" width="23" style="1847" customWidth="1"/>
    <col min="4100" max="4101" width="3.5546875" style="1847" customWidth="1"/>
    <col min="4102" max="4102" width="5.44140625" style="1847" customWidth="1"/>
    <col min="4103" max="4103" width="6.88671875" style="1847" customWidth="1"/>
    <col min="4104" max="4104" width="6.44140625" style="1847" customWidth="1"/>
    <col min="4105" max="4105" width="8.5546875" style="1847" customWidth="1"/>
    <col min="4106" max="4106" width="7.5546875" style="1847" customWidth="1"/>
    <col min="4107" max="4107" width="10.44140625" style="1847" customWidth="1"/>
    <col min="4108" max="4108" width="8.21875" style="1847" customWidth="1"/>
    <col min="4109" max="4109" width="10.109375" style="1847" customWidth="1"/>
    <col min="4110" max="4110" width="14.109375" style="1847" customWidth="1"/>
    <col min="4111" max="4111" width="9.109375" style="1847"/>
    <col min="4112" max="4112" width="15.5546875" style="1847" bestFit="1" customWidth="1"/>
    <col min="4113" max="4352" width="9.109375" style="1847"/>
    <col min="4353" max="4353" width="5.44140625" style="1847" customWidth="1"/>
    <col min="4354" max="4354" width="4.21875" style="1847" customWidth="1"/>
    <col min="4355" max="4355" width="23" style="1847" customWidth="1"/>
    <col min="4356" max="4357" width="3.5546875" style="1847" customWidth="1"/>
    <col min="4358" max="4358" width="5.44140625" style="1847" customWidth="1"/>
    <col min="4359" max="4359" width="6.88671875" style="1847" customWidth="1"/>
    <col min="4360" max="4360" width="6.44140625" style="1847" customWidth="1"/>
    <col min="4361" max="4361" width="8.5546875" style="1847" customWidth="1"/>
    <col min="4362" max="4362" width="7.5546875" style="1847" customWidth="1"/>
    <col min="4363" max="4363" width="10.44140625" style="1847" customWidth="1"/>
    <col min="4364" max="4364" width="8.21875" style="1847" customWidth="1"/>
    <col min="4365" max="4365" width="10.109375" style="1847" customWidth="1"/>
    <col min="4366" max="4366" width="14.109375" style="1847" customWidth="1"/>
    <col min="4367" max="4367" width="9.109375" style="1847"/>
    <col min="4368" max="4368" width="15.5546875" style="1847" bestFit="1" customWidth="1"/>
    <col min="4369" max="4608" width="9.109375" style="1847"/>
    <col min="4609" max="4609" width="5.44140625" style="1847" customWidth="1"/>
    <col min="4610" max="4610" width="4.21875" style="1847" customWidth="1"/>
    <col min="4611" max="4611" width="23" style="1847" customWidth="1"/>
    <col min="4612" max="4613" width="3.5546875" style="1847" customWidth="1"/>
    <col min="4614" max="4614" width="5.44140625" style="1847" customWidth="1"/>
    <col min="4615" max="4615" width="6.88671875" style="1847" customWidth="1"/>
    <col min="4616" max="4616" width="6.44140625" style="1847" customWidth="1"/>
    <col min="4617" max="4617" width="8.5546875" style="1847" customWidth="1"/>
    <col min="4618" max="4618" width="7.5546875" style="1847" customWidth="1"/>
    <col min="4619" max="4619" width="10.44140625" style="1847" customWidth="1"/>
    <col min="4620" max="4620" width="8.21875" style="1847" customWidth="1"/>
    <col min="4621" max="4621" width="10.109375" style="1847" customWidth="1"/>
    <col min="4622" max="4622" width="14.109375" style="1847" customWidth="1"/>
    <col min="4623" max="4623" width="9.109375" style="1847"/>
    <col min="4624" max="4624" width="15.5546875" style="1847" bestFit="1" customWidth="1"/>
    <col min="4625" max="4864" width="9.109375" style="1847"/>
    <col min="4865" max="4865" width="5.44140625" style="1847" customWidth="1"/>
    <col min="4866" max="4866" width="4.21875" style="1847" customWidth="1"/>
    <col min="4867" max="4867" width="23" style="1847" customWidth="1"/>
    <col min="4868" max="4869" width="3.5546875" style="1847" customWidth="1"/>
    <col min="4870" max="4870" width="5.44140625" style="1847" customWidth="1"/>
    <col min="4871" max="4871" width="6.88671875" style="1847" customWidth="1"/>
    <col min="4872" max="4872" width="6.44140625" style="1847" customWidth="1"/>
    <col min="4873" max="4873" width="8.5546875" style="1847" customWidth="1"/>
    <col min="4874" max="4874" width="7.5546875" style="1847" customWidth="1"/>
    <col min="4875" max="4875" width="10.44140625" style="1847" customWidth="1"/>
    <col min="4876" max="4876" width="8.21875" style="1847" customWidth="1"/>
    <col min="4877" max="4877" width="10.109375" style="1847" customWidth="1"/>
    <col min="4878" max="4878" width="14.109375" style="1847" customWidth="1"/>
    <col min="4879" max="4879" width="9.109375" style="1847"/>
    <col min="4880" max="4880" width="15.5546875" style="1847" bestFit="1" customWidth="1"/>
    <col min="4881" max="5120" width="9.109375" style="1847"/>
    <col min="5121" max="5121" width="5.44140625" style="1847" customWidth="1"/>
    <col min="5122" max="5122" width="4.21875" style="1847" customWidth="1"/>
    <col min="5123" max="5123" width="23" style="1847" customWidth="1"/>
    <col min="5124" max="5125" width="3.5546875" style="1847" customWidth="1"/>
    <col min="5126" max="5126" width="5.44140625" style="1847" customWidth="1"/>
    <col min="5127" max="5127" width="6.88671875" style="1847" customWidth="1"/>
    <col min="5128" max="5128" width="6.44140625" style="1847" customWidth="1"/>
    <col min="5129" max="5129" width="8.5546875" style="1847" customWidth="1"/>
    <col min="5130" max="5130" width="7.5546875" style="1847" customWidth="1"/>
    <col min="5131" max="5131" width="10.44140625" style="1847" customWidth="1"/>
    <col min="5132" max="5132" width="8.21875" style="1847" customWidth="1"/>
    <col min="5133" max="5133" width="10.109375" style="1847" customWidth="1"/>
    <col min="5134" max="5134" width="14.109375" style="1847" customWidth="1"/>
    <col min="5135" max="5135" width="9.109375" style="1847"/>
    <col min="5136" max="5136" width="15.5546875" style="1847" bestFit="1" customWidth="1"/>
    <col min="5137" max="5376" width="9.109375" style="1847"/>
    <col min="5377" max="5377" width="5.44140625" style="1847" customWidth="1"/>
    <col min="5378" max="5378" width="4.21875" style="1847" customWidth="1"/>
    <col min="5379" max="5379" width="23" style="1847" customWidth="1"/>
    <col min="5380" max="5381" width="3.5546875" style="1847" customWidth="1"/>
    <col min="5382" max="5382" width="5.44140625" style="1847" customWidth="1"/>
    <col min="5383" max="5383" width="6.88671875" style="1847" customWidth="1"/>
    <col min="5384" max="5384" width="6.44140625" style="1847" customWidth="1"/>
    <col min="5385" max="5385" width="8.5546875" style="1847" customWidth="1"/>
    <col min="5386" max="5386" width="7.5546875" style="1847" customWidth="1"/>
    <col min="5387" max="5387" width="10.44140625" style="1847" customWidth="1"/>
    <col min="5388" max="5388" width="8.21875" style="1847" customWidth="1"/>
    <col min="5389" max="5389" width="10.109375" style="1847" customWidth="1"/>
    <col min="5390" max="5390" width="14.109375" style="1847" customWidth="1"/>
    <col min="5391" max="5391" width="9.109375" style="1847"/>
    <col min="5392" max="5392" width="15.5546875" style="1847" bestFit="1" customWidth="1"/>
    <col min="5393" max="5632" width="9.109375" style="1847"/>
    <col min="5633" max="5633" width="5.44140625" style="1847" customWidth="1"/>
    <col min="5634" max="5634" width="4.21875" style="1847" customWidth="1"/>
    <col min="5635" max="5635" width="23" style="1847" customWidth="1"/>
    <col min="5636" max="5637" width="3.5546875" style="1847" customWidth="1"/>
    <col min="5638" max="5638" width="5.44140625" style="1847" customWidth="1"/>
    <col min="5639" max="5639" width="6.88671875" style="1847" customWidth="1"/>
    <col min="5640" max="5640" width="6.44140625" style="1847" customWidth="1"/>
    <col min="5641" max="5641" width="8.5546875" style="1847" customWidth="1"/>
    <col min="5642" max="5642" width="7.5546875" style="1847" customWidth="1"/>
    <col min="5643" max="5643" width="10.44140625" style="1847" customWidth="1"/>
    <col min="5644" max="5644" width="8.21875" style="1847" customWidth="1"/>
    <col min="5645" max="5645" width="10.109375" style="1847" customWidth="1"/>
    <col min="5646" max="5646" width="14.109375" style="1847" customWidth="1"/>
    <col min="5647" max="5647" width="9.109375" style="1847"/>
    <col min="5648" max="5648" width="15.5546875" style="1847" bestFit="1" customWidth="1"/>
    <col min="5649" max="5888" width="9.109375" style="1847"/>
    <col min="5889" max="5889" width="5.44140625" style="1847" customWidth="1"/>
    <col min="5890" max="5890" width="4.21875" style="1847" customWidth="1"/>
    <col min="5891" max="5891" width="23" style="1847" customWidth="1"/>
    <col min="5892" max="5893" width="3.5546875" style="1847" customWidth="1"/>
    <col min="5894" max="5894" width="5.44140625" style="1847" customWidth="1"/>
    <col min="5895" max="5895" width="6.88671875" style="1847" customWidth="1"/>
    <col min="5896" max="5896" width="6.44140625" style="1847" customWidth="1"/>
    <col min="5897" max="5897" width="8.5546875" style="1847" customWidth="1"/>
    <col min="5898" max="5898" width="7.5546875" style="1847" customWidth="1"/>
    <col min="5899" max="5899" width="10.44140625" style="1847" customWidth="1"/>
    <col min="5900" max="5900" width="8.21875" style="1847" customWidth="1"/>
    <col min="5901" max="5901" width="10.109375" style="1847" customWidth="1"/>
    <col min="5902" max="5902" width="14.109375" style="1847" customWidth="1"/>
    <col min="5903" max="5903" width="9.109375" style="1847"/>
    <col min="5904" max="5904" width="15.5546875" style="1847" bestFit="1" customWidth="1"/>
    <col min="5905" max="6144" width="9.109375" style="1847"/>
    <col min="6145" max="6145" width="5.44140625" style="1847" customWidth="1"/>
    <col min="6146" max="6146" width="4.21875" style="1847" customWidth="1"/>
    <col min="6147" max="6147" width="23" style="1847" customWidth="1"/>
    <col min="6148" max="6149" width="3.5546875" style="1847" customWidth="1"/>
    <col min="6150" max="6150" width="5.44140625" style="1847" customWidth="1"/>
    <col min="6151" max="6151" width="6.88671875" style="1847" customWidth="1"/>
    <col min="6152" max="6152" width="6.44140625" style="1847" customWidth="1"/>
    <col min="6153" max="6153" width="8.5546875" style="1847" customWidth="1"/>
    <col min="6154" max="6154" width="7.5546875" style="1847" customWidth="1"/>
    <col min="6155" max="6155" width="10.44140625" style="1847" customWidth="1"/>
    <col min="6156" max="6156" width="8.21875" style="1847" customWidth="1"/>
    <col min="6157" max="6157" width="10.109375" style="1847" customWidth="1"/>
    <col min="6158" max="6158" width="14.109375" style="1847" customWidth="1"/>
    <col min="6159" max="6159" width="9.109375" style="1847"/>
    <col min="6160" max="6160" width="15.5546875" style="1847" bestFit="1" customWidth="1"/>
    <col min="6161" max="6400" width="9.109375" style="1847"/>
    <col min="6401" max="6401" width="5.44140625" style="1847" customWidth="1"/>
    <col min="6402" max="6402" width="4.21875" style="1847" customWidth="1"/>
    <col min="6403" max="6403" width="23" style="1847" customWidth="1"/>
    <col min="6404" max="6405" width="3.5546875" style="1847" customWidth="1"/>
    <col min="6406" max="6406" width="5.44140625" style="1847" customWidth="1"/>
    <col min="6407" max="6407" width="6.88671875" style="1847" customWidth="1"/>
    <col min="6408" max="6408" width="6.44140625" style="1847" customWidth="1"/>
    <col min="6409" max="6409" width="8.5546875" style="1847" customWidth="1"/>
    <col min="6410" max="6410" width="7.5546875" style="1847" customWidth="1"/>
    <col min="6411" max="6411" width="10.44140625" style="1847" customWidth="1"/>
    <col min="6412" max="6412" width="8.21875" style="1847" customWidth="1"/>
    <col min="6413" max="6413" width="10.109375" style="1847" customWidth="1"/>
    <col min="6414" max="6414" width="14.109375" style="1847" customWidth="1"/>
    <col min="6415" max="6415" width="9.109375" style="1847"/>
    <col min="6416" max="6416" width="15.5546875" style="1847" bestFit="1" customWidth="1"/>
    <col min="6417" max="6656" width="9.109375" style="1847"/>
    <col min="6657" max="6657" width="5.44140625" style="1847" customWidth="1"/>
    <col min="6658" max="6658" width="4.21875" style="1847" customWidth="1"/>
    <col min="6659" max="6659" width="23" style="1847" customWidth="1"/>
    <col min="6660" max="6661" width="3.5546875" style="1847" customWidth="1"/>
    <col min="6662" max="6662" width="5.44140625" style="1847" customWidth="1"/>
    <col min="6663" max="6663" width="6.88671875" style="1847" customWidth="1"/>
    <col min="6664" max="6664" width="6.44140625" style="1847" customWidth="1"/>
    <col min="6665" max="6665" width="8.5546875" style="1847" customWidth="1"/>
    <col min="6666" max="6666" width="7.5546875" style="1847" customWidth="1"/>
    <col min="6667" max="6667" width="10.44140625" style="1847" customWidth="1"/>
    <col min="6668" max="6668" width="8.21875" style="1847" customWidth="1"/>
    <col min="6669" max="6669" width="10.109375" style="1847" customWidth="1"/>
    <col min="6670" max="6670" width="14.109375" style="1847" customWidth="1"/>
    <col min="6671" max="6671" width="9.109375" style="1847"/>
    <col min="6672" max="6672" width="15.5546875" style="1847" bestFit="1" customWidth="1"/>
    <col min="6673" max="6912" width="9.109375" style="1847"/>
    <col min="6913" max="6913" width="5.44140625" style="1847" customWidth="1"/>
    <col min="6914" max="6914" width="4.21875" style="1847" customWidth="1"/>
    <col min="6915" max="6915" width="23" style="1847" customWidth="1"/>
    <col min="6916" max="6917" width="3.5546875" style="1847" customWidth="1"/>
    <col min="6918" max="6918" width="5.44140625" style="1847" customWidth="1"/>
    <col min="6919" max="6919" width="6.88671875" style="1847" customWidth="1"/>
    <col min="6920" max="6920" width="6.44140625" style="1847" customWidth="1"/>
    <col min="6921" max="6921" width="8.5546875" style="1847" customWidth="1"/>
    <col min="6922" max="6922" width="7.5546875" style="1847" customWidth="1"/>
    <col min="6923" max="6923" width="10.44140625" style="1847" customWidth="1"/>
    <col min="6924" max="6924" width="8.21875" style="1847" customWidth="1"/>
    <col min="6925" max="6925" width="10.109375" style="1847" customWidth="1"/>
    <col min="6926" max="6926" width="14.109375" style="1847" customWidth="1"/>
    <col min="6927" max="6927" width="9.109375" style="1847"/>
    <col min="6928" max="6928" width="15.5546875" style="1847" bestFit="1" customWidth="1"/>
    <col min="6929" max="7168" width="9.109375" style="1847"/>
    <col min="7169" max="7169" width="5.44140625" style="1847" customWidth="1"/>
    <col min="7170" max="7170" width="4.21875" style="1847" customWidth="1"/>
    <col min="7171" max="7171" width="23" style="1847" customWidth="1"/>
    <col min="7172" max="7173" width="3.5546875" style="1847" customWidth="1"/>
    <col min="7174" max="7174" width="5.44140625" style="1847" customWidth="1"/>
    <col min="7175" max="7175" width="6.88671875" style="1847" customWidth="1"/>
    <col min="7176" max="7176" width="6.44140625" style="1847" customWidth="1"/>
    <col min="7177" max="7177" width="8.5546875" style="1847" customWidth="1"/>
    <col min="7178" max="7178" width="7.5546875" style="1847" customWidth="1"/>
    <col min="7179" max="7179" width="10.44140625" style="1847" customWidth="1"/>
    <col min="7180" max="7180" width="8.21875" style="1847" customWidth="1"/>
    <col min="7181" max="7181" width="10.109375" style="1847" customWidth="1"/>
    <col min="7182" max="7182" width="14.109375" style="1847" customWidth="1"/>
    <col min="7183" max="7183" width="9.109375" style="1847"/>
    <col min="7184" max="7184" width="15.5546875" style="1847" bestFit="1" customWidth="1"/>
    <col min="7185" max="7424" width="9.109375" style="1847"/>
    <col min="7425" max="7425" width="5.44140625" style="1847" customWidth="1"/>
    <col min="7426" max="7426" width="4.21875" style="1847" customWidth="1"/>
    <col min="7427" max="7427" width="23" style="1847" customWidth="1"/>
    <col min="7428" max="7429" width="3.5546875" style="1847" customWidth="1"/>
    <col min="7430" max="7430" width="5.44140625" style="1847" customWidth="1"/>
    <col min="7431" max="7431" width="6.88671875" style="1847" customWidth="1"/>
    <col min="7432" max="7432" width="6.44140625" style="1847" customWidth="1"/>
    <col min="7433" max="7433" width="8.5546875" style="1847" customWidth="1"/>
    <col min="7434" max="7434" width="7.5546875" style="1847" customWidth="1"/>
    <col min="7435" max="7435" width="10.44140625" style="1847" customWidth="1"/>
    <col min="7436" max="7436" width="8.21875" style="1847" customWidth="1"/>
    <col min="7437" max="7437" width="10.109375" style="1847" customWidth="1"/>
    <col min="7438" max="7438" width="14.109375" style="1847" customWidth="1"/>
    <col min="7439" max="7439" width="9.109375" style="1847"/>
    <col min="7440" max="7440" width="15.5546875" style="1847" bestFit="1" customWidth="1"/>
    <col min="7441" max="7680" width="9.109375" style="1847"/>
    <col min="7681" max="7681" width="5.44140625" style="1847" customWidth="1"/>
    <col min="7682" max="7682" width="4.21875" style="1847" customWidth="1"/>
    <col min="7683" max="7683" width="23" style="1847" customWidth="1"/>
    <col min="7684" max="7685" width="3.5546875" style="1847" customWidth="1"/>
    <col min="7686" max="7686" width="5.44140625" style="1847" customWidth="1"/>
    <col min="7687" max="7687" width="6.88671875" style="1847" customWidth="1"/>
    <col min="7688" max="7688" width="6.44140625" style="1847" customWidth="1"/>
    <col min="7689" max="7689" width="8.5546875" style="1847" customWidth="1"/>
    <col min="7690" max="7690" width="7.5546875" style="1847" customWidth="1"/>
    <col min="7691" max="7691" width="10.44140625" style="1847" customWidth="1"/>
    <col min="7692" max="7692" width="8.21875" style="1847" customWidth="1"/>
    <col min="7693" max="7693" width="10.109375" style="1847" customWidth="1"/>
    <col min="7694" max="7694" width="14.109375" style="1847" customWidth="1"/>
    <col min="7695" max="7695" width="9.109375" style="1847"/>
    <col min="7696" max="7696" width="15.5546875" style="1847" bestFit="1" customWidth="1"/>
    <col min="7697" max="7936" width="9.109375" style="1847"/>
    <col min="7937" max="7937" width="5.44140625" style="1847" customWidth="1"/>
    <col min="7938" max="7938" width="4.21875" style="1847" customWidth="1"/>
    <col min="7939" max="7939" width="23" style="1847" customWidth="1"/>
    <col min="7940" max="7941" width="3.5546875" style="1847" customWidth="1"/>
    <col min="7942" max="7942" width="5.44140625" style="1847" customWidth="1"/>
    <col min="7943" max="7943" width="6.88671875" style="1847" customWidth="1"/>
    <col min="7944" max="7944" width="6.44140625" style="1847" customWidth="1"/>
    <col min="7945" max="7945" width="8.5546875" style="1847" customWidth="1"/>
    <col min="7946" max="7946" width="7.5546875" style="1847" customWidth="1"/>
    <col min="7947" max="7947" width="10.44140625" style="1847" customWidth="1"/>
    <col min="7948" max="7948" width="8.21875" style="1847" customWidth="1"/>
    <col min="7949" max="7949" width="10.109375" style="1847" customWidth="1"/>
    <col min="7950" max="7950" width="14.109375" style="1847" customWidth="1"/>
    <col min="7951" max="7951" width="9.109375" style="1847"/>
    <col min="7952" max="7952" width="15.5546875" style="1847" bestFit="1" customWidth="1"/>
    <col min="7953" max="8192" width="9.109375" style="1847"/>
    <col min="8193" max="8193" width="5.44140625" style="1847" customWidth="1"/>
    <col min="8194" max="8194" width="4.21875" style="1847" customWidth="1"/>
    <col min="8195" max="8195" width="23" style="1847" customWidth="1"/>
    <col min="8196" max="8197" width="3.5546875" style="1847" customWidth="1"/>
    <col min="8198" max="8198" width="5.44140625" style="1847" customWidth="1"/>
    <col min="8199" max="8199" width="6.88671875" style="1847" customWidth="1"/>
    <col min="8200" max="8200" width="6.44140625" style="1847" customWidth="1"/>
    <col min="8201" max="8201" width="8.5546875" style="1847" customWidth="1"/>
    <col min="8202" max="8202" width="7.5546875" style="1847" customWidth="1"/>
    <col min="8203" max="8203" width="10.44140625" style="1847" customWidth="1"/>
    <col min="8204" max="8204" width="8.21875" style="1847" customWidth="1"/>
    <col min="8205" max="8205" width="10.109375" style="1847" customWidth="1"/>
    <col min="8206" max="8206" width="14.109375" style="1847" customWidth="1"/>
    <col min="8207" max="8207" width="9.109375" style="1847"/>
    <col min="8208" max="8208" width="15.5546875" style="1847" bestFit="1" customWidth="1"/>
    <col min="8209" max="8448" width="9.109375" style="1847"/>
    <col min="8449" max="8449" width="5.44140625" style="1847" customWidth="1"/>
    <col min="8450" max="8450" width="4.21875" style="1847" customWidth="1"/>
    <col min="8451" max="8451" width="23" style="1847" customWidth="1"/>
    <col min="8452" max="8453" width="3.5546875" style="1847" customWidth="1"/>
    <col min="8454" max="8454" width="5.44140625" style="1847" customWidth="1"/>
    <col min="8455" max="8455" width="6.88671875" style="1847" customWidth="1"/>
    <col min="8456" max="8456" width="6.44140625" style="1847" customWidth="1"/>
    <col min="8457" max="8457" width="8.5546875" style="1847" customWidth="1"/>
    <col min="8458" max="8458" width="7.5546875" style="1847" customWidth="1"/>
    <col min="8459" max="8459" width="10.44140625" style="1847" customWidth="1"/>
    <col min="8460" max="8460" width="8.21875" style="1847" customWidth="1"/>
    <col min="8461" max="8461" width="10.109375" style="1847" customWidth="1"/>
    <col min="8462" max="8462" width="14.109375" style="1847" customWidth="1"/>
    <col min="8463" max="8463" width="9.109375" style="1847"/>
    <col min="8464" max="8464" width="15.5546875" style="1847" bestFit="1" customWidth="1"/>
    <col min="8465" max="8704" width="9.109375" style="1847"/>
    <col min="8705" max="8705" width="5.44140625" style="1847" customWidth="1"/>
    <col min="8706" max="8706" width="4.21875" style="1847" customWidth="1"/>
    <col min="8707" max="8707" width="23" style="1847" customWidth="1"/>
    <col min="8708" max="8709" width="3.5546875" style="1847" customWidth="1"/>
    <col min="8710" max="8710" width="5.44140625" style="1847" customWidth="1"/>
    <col min="8711" max="8711" width="6.88671875" style="1847" customWidth="1"/>
    <col min="8712" max="8712" width="6.44140625" style="1847" customWidth="1"/>
    <col min="8713" max="8713" width="8.5546875" style="1847" customWidth="1"/>
    <col min="8714" max="8714" width="7.5546875" style="1847" customWidth="1"/>
    <col min="8715" max="8715" width="10.44140625" style="1847" customWidth="1"/>
    <col min="8716" max="8716" width="8.21875" style="1847" customWidth="1"/>
    <col min="8717" max="8717" width="10.109375" style="1847" customWidth="1"/>
    <col min="8718" max="8718" width="14.109375" style="1847" customWidth="1"/>
    <col min="8719" max="8719" width="9.109375" style="1847"/>
    <col min="8720" max="8720" width="15.5546875" style="1847" bestFit="1" customWidth="1"/>
    <col min="8721" max="8960" width="9.109375" style="1847"/>
    <col min="8961" max="8961" width="5.44140625" style="1847" customWidth="1"/>
    <col min="8962" max="8962" width="4.21875" style="1847" customWidth="1"/>
    <col min="8963" max="8963" width="23" style="1847" customWidth="1"/>
    <col min="8964" max="8965" width="3.5546875" style="1847" customWidth="1"/>
    <col min="8966" max="8966" width="5.44140625" style="1847" customWidth="1"/>
    <col min="8967" max="8967" width="6.88671875" style="1847" customWidth="1"/>
    <col min="8968" max="8968" width="6.44140625" style="1847" customWidth="1"/>
    <col min="8969" max="8969" width="8.5546875" style="1847" customWidth="1"/>
    <col min="8970" max="8970" width="7.5546875" style="1847" customWidth="1"/>
    <col min="8971" max="8971" width="10.44140625" style="1847" customWidth="1"/>
    <col min="8972" max="8972" width="8.21875" style="1847" customWidth="1"/>
    <col min="8973" max="8973" width="10.109375" style="1847" customWidth="1"/>
    <col min="8974" max="8974" width="14.109375" style="1847" customWidth="1"/>
    <col min="8975" max="8975" width="9.109375" style="1847"/>
    <col min="8976" max="8976" width="15.5546875" style="1847" bestFit="1" customWidth="1"/>
    <col min="8977" max="9216" width="9.109375" style="1847"/>
    <col min="9217" max="9217" width="5.44140625" style="1847" customWidth="1"/>
    <col min="9218" max="9218" width="4.21875" style="1847" customWidth="1"/>
    <col min="9219" max="9219" width="23" style="1847" customWidth="1"/>
    <col min="9220" max="9221" width="3.5546875" style="1847" customWidth="1"/>
    <col min="9222" max="9222" width="5.44140625" style="1847" customWidth="1"/>
    <col min="9223" max="9223" width="6.88671875" style="1847" customWidth="1"/>
    <col min="9224" max="9224" width="6.44140625" style="1847" customWidth="1"/>
    <col min="9225" max="9225" width="8.5546875" style="1847" customWidth="1"/>
    <col min="9226" max="9226" width="7.5546875" style="1847" customWidth="1"/>
    <col min="9227" max="9227" width="10.44140625" style="1847" customWidth="1"/>
    <col min="9228" max="9228" width="8.21875" style="1847" customWidth="1"/>
    <col min="9229" max="9229" width="10.109375" style="1847" customWidth="1"/>
    <col min="9230" max="9230" width="14.109375" style="1847" customWidth="1"/>
    <col min="9231" max="9231" width="9.109375" style="1847"/>
    <col min="9232" max="9232" width="15.5546875" style="1847" bestFit="1" customWidth="1"/>
    <col min="9233" max="9472" width="9.109375" style="1847"/>
    <col min="9473" max="9473" width="5.44140625" style="1847" customWidth="1"/>
    <col min="9474" max="9474" width="4.21875" style="1847" customWidth="1"/>
    <col min="9475" max="9475" width="23" style="1847" customWidth="1"/>
    <col min="9476" max="9477" width="3.5546875" style="1847" customWidth="1"/>
    <col min="9478" max="9478" width="5.44140625" style="1847" customWidth="1"/>
    <col min="9479" max="9479" width="6.88671875" style="1847" customWidth="1"/>
    <col min="9480" max="9480" width="6.44140625" style="1847" customWidth="1"/>
    <col min="9481" max="9481" width="8.5546875" style="1847" customWidth="1"/>
    <col min="9482" max="9482" width="7.5546875" style="1847" customWidth="1"/>
    <col min="9483" max="9483" width="10.44140625" style="1847" customWidth="1"/>
    <col min="9484" max="9484" width="8.21875" style="1847" customWidth="1"/>
    <col min="9485" max="9485" width="10.109375" style="1847" customWidth="1"/>
    <col min="9486" max="9486" width="14.109375" style="1847" customWidth="1"/>
    <col min="9487" max="9487" width="9.109375" style="1847"/>
    <col min="9488" max="9488" width="15.5546875" style="1847" bestFit="1" customWidth="1"/>
    <col min="9489" max="9728" width="9.109375" style="1847"/>
    <col min="9729" max="9729" width="5.44140625" style="1847" customWidth="1"/>
    <col min="9730" max="9730" width="4.21875" style="1847" customWidth="1"/>
    <col min="9731" max="9731" width="23" style="1847" customWidth="1"/>
    <col min="9732" max="9733" width="3.5546875" style="1847" customWidth="1"/>
    <col min="9734" max="9734" width="5.44140625" style="1847" customWidth="1"/>
    <col min="9735" max="9735" width="6.88671875" style="1847" customWidth="1"/>
    <col min="9736" max="9736" width="6.44140625" style="1847" customWidth="1"/>
    <col min="9737" max="9737" width="8.5546875" style="1847" customWidth="1"/>
    <col min="9738" max="9738" width="7.5546875" style="1847" customWidth="1"/>
    <col min="9739" max="9739" width="10.44140625" style="1847" customWidth="1"/>
    <col min="9740" max="9740" width="8.21875" style="1847" customWidth="1"/>
    <col min="9741" max="9741" width="10.109375" style="1847" customWidth="1"/>
    <col min="9742" max="9742" width="14.109375" style="1847" customWidth="1"/>
    <col min="9743" max="9743" width="9.109375" style="1847"/>
    <col min="9744" max="9744" width="15.5546875" style="1847" bestFit="1" customWidth="1"/>
    <col min="9745" max="9984" width="9.109375" style="1847"/>
    <col min="9985" max="9985" width="5.44140625" style="1847" customWidth="1"/>
    <col min="9986" max="9986" width="4.21875" style="1847" customWidth="1"/>
    <col min="9987" max="9987" width="23" style="1847" customWidth="1"/>
    <col min="9988" max="9989" width="3.5546875" style="1847" customWidth="1"/>
    <col min="9990" max="9990" width="5.44140625" style="1847" customWidth="1"/>
    <col min="9991" max="9991" width="6.88671875" style="1847" customWidth="1"/>
    <col min="9992" max="9992" width="6.44140625" style="1847" customWidth="1"/>
    <col min="9993" max="9993" width="8.5546875" style="1847" customWidth="1"/>
    <col min="9994" max="9994" width="7.5546875" style="1847" customWidth="1"/>
    <col min="9995" max="9995" width="10.44140625" style="1847" customWidth="1"/>
    <col min="9996" max="9996" width="8.21875" style="1847" customWidth="1"/>
    <col min="9997" max="9997" width="10.109375" style="1847" customWidth="1"/>
    <col min="9998" max="9998" width="14.109375" style="1847" customWidth="1"/>
    <col min="9999" max="9999" width="9.109375" style="1847"/>
    <col min="10000" max="10000" width="15.5546875" style="1847" bestFit="1" customWidth="1"/>
    <col min="10001" max="10240" width="9.109375" style="1847"/>
    <col min="10241" max="10241" width="5.44140625" style="1847" customWidth="1"/>
    <col min="10242" max="10242" width="4.21875" style="1847" customWidth="1"/>
    <col min="10243" max="10243" width="23" style="1847" customWidth="1"/>
    <col min="10244" max="10245" width="3.5546875" style="1847" customWidth="1"/>
    <col min="10246" max="10246" width="5.44140625" style="1847" customWidth="1"/>
    <col min="10247" max="10247" width="6.88671875" style="1847" customWidth="1"/>
    <col min="10248" max="10248" width="6.44140625" style="1847" customWidth="1"/>
    <col min="10249" max="10249" width="8.5546875" style="1847" customWidth="1"/>
    <col min="10250" max="10250" width="7.5546875" style="1847" customWidth="1"/>
    <col min="10251" max="10251" width="10.44140625" style="1847" customWidth="1"/>
    <col min="10252" max="10252" width="8.21875" style="1847" customWidth="1"/>
    <col min="10253" max="10253" width="10.109375" style="1847" customWidth="1"/>
    <col min="10254" max="10254" width="14.109375" style="1847" customWidth="1"/>
    <col min="10255" max="10255" width="9.109375" style="1847"/>
    <col min="10256" max="10256" width="15.5546875" style="1847" bestFit="1" customWidth="1"/>
    <col min="10257" max="10496" width="9.109375" style="1847"/>
    <col min="10497" max="10497" width="5.44140625" style="1847" customWidth="1"/>
    <col min="10498" max="10498" width="4.21875" style="1847" customWidth="1"/>
    <col min="10499" max="10499" width="23" style="1847" customWidth="1"/>
    <col min="10500" max="10501" width="3.5546875" style="1847" customWidth="1"/>
    <col min="10502" max="10502" width="5.44140625" style="1847" customWidth="1"/>
    <col min="10503" max="10503" width="6.88671875" style="1847" customWidth="1"/>
    <col min="10504" max="10504" width="6.44140625" style="1847" customWidth="1"/>
    <col min="10505" max="10505" width="8.5546875" style="1847" customWidth="1"/>
    <col min="10506" max="10506" width="7.5546875" style="1847" customWidth="1"/>
    <col min="10507" max="10507" width="10.44140625" style="1847" customWidth="1"/>
    <col min="10508" max="10508" width="8.21875" style="1847" customWidth="1"/>
    <col min="10509" max="10509" width="10.109375" style="1847" customWidth="1"/>
    <col min="10510" max="10510" width="14.109375" style="1847" customWidth="1"/>
    <col min="10511" max="10511" width="9.109375" style="1847"/>
    <col min="10512" max="10512" width="15.5546875" style="1847" bestFit="1" customWidth="1"/>
    <col min="10513" max="10752" width="9.109375" style="1847"/>
    <col min="10753" max="10753" width="5.44140625" style="1847" customWidth="1"/>
    <col min="10754" max="10754" width="4.21875" style="1847" customWidth="1"/>
    <col min="10755" max="10755" width="23" style="1847" customWidth="1"/>
    <col min="10756" max="10757" width="3.5546875" style="1847" customWidth="1"/>
    <col min="10758" max="10758" width="5.44140625" style="1847" customWidth="1"/>
    <col min="10759" max="10759" width="6.88671875" style="1847" customWidth="1"/>
    <col min="10760" max="10760" width="6.44140625" style="1847" customWidth="1"/>
    <col min="10761" max="10761" width="8.5546875" style="1847" customWidth="1"/>
    <col min="10762" max="10762" width="7.5546875" style="1847" customWidth="1"/>
    <col min="10763" max="10763" width="10.44140625" style="1847" customWidth="1"/>
    <col min="10764" max="10764" width="8.21875" style="1847" customWidth="1"/>
    <col min="10765" max="10765" width="10.109375" style="1847" customWidth="1"/>
    <col min="10766" max="10766" width="14.109375" style="1847" customWidth="1"/>
    <col min="10767" max="10767" width="9.109375" style="1847"/>
    <col min="10768" max="10768" width="15.5546875" style="1847" bestFit="1" customWidth="1"/>
    <col min="10769" max="11008" width="9.109375" style="1847"/>
    <col min="11009" max="11009" width="5.44140625" style="1847" customWidth="1"/>
    <col min="11010" max="11010" width="4.21875" style="1847" customWidth="1"/>
    <col min="11011" max="11011" width="23" style="1847" customWidth="1"/>
    <col min="11012" max="11013" width="3.5546875" style="1847" customWidth="1"/>
    <col min="11014" max="11014" width="5.44140625" style="1847" customWidth="1"/>
    <col min="11015" max="11015" width="6.88671875" style="1847" customWidth="1"/>
    <col min="11016" max="11016" width="6.44140625" style="1847" customWidth="1"/>
    <col min="11017" max="11017" width="8.5546875" style="1847" customWidth="1"/>
    <col min="11018" max="11018" width="7.5546875" style="1847" customWidth="1"/>
    <col min="11019" max="11019" width="10.44140625" style="1847" customWidth="1"/>
    <col min="11020" max="11020" width="8.21875" style="1847" customWidth="1"/>
    <col min="11021" max="11021" width="10.109375" style="1847" customWidth="1"/>
    <col min="11022" max="11022" width="14.109375" style="1847" customWidth="1"/>
    <col min="11023" max="11023" width="9.109375" style="1847"/>
    <col min="11024" max="11024" width="15.5546875" style="1847" bestFit="1" customWidth="1"/>
    <col min="11025" max="11264" width="9.109375" style="1847"/>
    <col min="11265" max="11265" width="5.44140625" style="1847" customWidth="1"/>
    <col min="11266" max="11266" width="4.21875" style="1847" customWidth="1"/>
    <col min="11267" max="11267" width="23" style="1847" customWidth="1"/>
    <col min="11268" max="11269" width="3.5546875" style="1847" customWidth="1"/>
    <col min="11270" max="11270" width="5.44140625" style="1847" customWidth="1"/>
    <col min="11271" max="11271" width="6.88671875" style="1847" customWidth="1"/>
    <col min="11272" max="11272" width="6.44140625" style="1847" customWidth="1"/>
    <col min="11273" max="11273" width="8.5546875" style="1847" customWidth="1"/>
    <col min="11274" max="11274" width="7.5546875" style="1847" customWidth="1"/>
    <col min="11275" max="11275" width="10.44140625" style="1847" customWidth="1"/>
    <col min="11276" max="11276" width="8.21875" style="1847" customWidth="1"/>
    <col min="11277" max="11277" width="10.109375" style="1847" customWidth="1"/>
    <col min="11278" max="11278" width="14.109375" style="1847" customWidth="1"/>
    <col min="11279" max="11279" width="9.109375" style="1847"/>
    <col min="11280" max="11280" width="15.5546875" style="1847" bestFit="1" customWidth="1"/>
    <col min="11281" max="11520" width="9.109375" style="1847"/>
    <col min="11521" max="11521" width="5.44140625" style="1847" customWidth="1"/>
    <col min="11522" max="11522" width="4.21875" style="1847" customWidth="1"/>
    <col min="11523" max="11523" width="23" style="1847" customWidth="1"/>
    <col min="11524" max="11525" width="3.5546875" style="1847" customWidth="1"/>
    <col min="11526" max="11526" width="5.44140625" style="1847" customWidth="1"/>
    <col min="11527" max="11527" width="6.88671875" style="1847" customWidth="1"/>
    <col min="11528" max="11528" width="6.44140625" style="1847" customWidth="1"/>
    <col min="11529" max="11529" width="8.5546875" style="1847" customWidth="1"/>
    <col min="11530" max="11530" width="7.5546875" style="1847" customWidth="1"/>
    <col min="11531" max="11531" width="10.44140625" style="1847" customWidth="1"/>
    <col min="11532" max="11532" width="8.21875" style="1847" customWidth="1"/>
    <col min="11533" max="11533" width="10.109375" style="1847" customWidth="1"/>
    <col min="11534" max="11534" width="14.109375" style="1847" customWidth="1"/>
    <col min="11535" max="11535" width="9.109375" style="1847"/>
    <col min="11536" max="11536" width="15.5546875" style="1847" bestFit="1" customWidth="1"/>
    <col min="11537" max="11776" width="9.109375" style="1847"/>
    <col min="11777" max="11777" width="5.44140625" style="1847" customWidth="1"/>
    <col min="11778" max="11778" width="4.21875" style="1847" customWidth="1"/>
    <col min="11779" max="11779" width="23" style="1847" customWidth="1"/>
    <col min="11780" max="11781" width="3.5546875" style="1847" customWidth="1"/>
    <col min="11782" max="11782" width="5.44140625" style="1847" customWidth="1"/>
    <col min="11783" max="11783" width="6.88671875" style="1847" customWidth="1"/>
    <col min="11784" max="11784" width="6.44140625" style="1847" customWidth="1"/>
    <col min="11785" max="11785" width="8.5546875" style="1847" customWidth="1"/>
    <col min="11786" max="11786" width="7.5546875" style="1847" customWidth="1"/>
    <col min="11787" max="11787" width="10.44140625" style="1847" customWidth="1"/>
    <col min="11788" max="11788" width="8.21875" style="1847" customWidth="1"/>
    <col min="11789" max="11789" width="10.109375" style="1847" customWidth="1"/>
    <col min="11790" max="11790" width="14.109375" style="1847" customWidth="1"/>
    <col min="11791" max="11791" width="9.109375" style="1847"/>
    <col min="11792" max="11792" width="15.5546875" style="1847" bestFit="1" customWidth="1"/>
    <col min="11793" max="12032" width="9.109375" style="1847"/>
    <col min="12033" max="12033" width="5.44140625" style="1847" customWidth="1"/>
    <col min="12034" max="12034" width="4.21875" style="1847" customWidth="1"/>
    <col min="12035" max="12035" width="23" style="1847" customWidth="1"/>
    <col min="12036" max="12037" width="3.5546875" style="1847" customWidth="1"/>
    <col min="12038" max="12038" width="5.44140625" style="1847" customWidth="1"/>
    <col min="12039" max="12039" width="6.88671875" style="1847" customWidth="1"/>
    <col min="12040" max="12040" width="6.44140625" style="1847" customWidth="1"/>
    <col min="12041" max="12041" width="8.5546875" style="1847" customWidth="1"/>
    <col min="12042" max="12042" width="7.5546875" style="1847" customWidth="1"/>
    <col min="12043" max="12043" width="10.44140625" style="1847" customWidth="1"/>
    <col min="12044" max="12044" width="8.21875" style="1847" customWidth="1"/>
    <col min="12045" max="12045" width="10.109375" style="1847" customWidth="1"/>
    <col min="12046" max="12046" width="14.109375" style="1847" customWidth="1"/>
    <col min="12047" max="12047" width="9.109375" style="1847"/>
    <col min="12048" max="12048" width="15.5546875" style="1847" bestFit="1" customWidth="1"/>
    <col min="12049" max="12288" width="9.109375" style="1847"/>
    <col min="12289" max="12289" width="5.44140625" style="1847" customWidth="1"/>
    <col min="12290" max="12290" width="4.21875" style="1847" customWidth="1"/>
    <col min="12291" max="12291" width="23" style="1847" customWidth="1"/>
    <col min="12292" max="12293" width="3.5546875" style="1847" customWidth="1"/>
    <col min="12294" max="12294" width="5.44140625" style="1847" customWidth="1"/>
    <col min="12295" max="12295" width="6.88671875" style="1847" customWidth="1"/>
    <col min="12296" max="12296" width="6.44140625" style="1847" customWidth="1"/>
    <col min="12297" max="12297" width="8.5546875" style="1847" customWidth="1"/>
    <col min="12298" max="12298" width="7.5546875" style="1847" customWidth="1"/>
    <col min="12299" max="12299" width="10.44140625" style="1847" customWidth="1"/>
    <col min="12300" max="12300" width="8.21875" style="1847" customWidth="1"/>
    <col min="12301" max="12301" width="10.109375" style="1847" customWidth="1"/>
    <col min="12302" max="12302" width="14.109375" style="1847" customWidth="1"/>
    <col min="12303" max="12303" width="9.109375" style="1847"/>
    <col min="12304" max="12304" width="15.5546875" style="1847" bestFit="1" customWidth="1"/>
    <col min="12305" max="12544" width="9.109375" style="1847"/>
    <col min="12545" max="12545" width="5.44140625" style="1847" customWidth="1"/>
    <col min="12546" max="12546" width="4.21875" style="1847" customWidth="1"/>
    <col min="12547" max="12547" width="23" style="1847" customWidth="1"/>
    <col min="12548" max="12549" width="3.5546875" style="1847" customWidth="1"/>
    <col min="12550" max="12550" width="5.44140625" style="1847" customWidth="1"/>
    <col min="12551" max="12551" width="6.88671875" style="1847" customWidth="1"/>
    <col min="12552" max="12552" width="6.44140625" style="1847" customWidth="1"/>
    <col min="12553" max="12553" width="8.5546875" style="1847" customWidth="1"/>
    <col min="12554" max="12554" width="7.5546875" style="1847" customWidth="1"/>
    <col min="12555" max="12555" width="10.44140625" style="1847" customWidth="1"/>
    <col min="12556" max="12556" width="8.21875" style="1847" customWidth="1"/>
    <col min="12557" max="12557" width="10.109375" style="1847" customWidth="1"/>
    <col min="12558" max="12558" width="14.109375" style="1847" customWidth="1"/>
    <col min="12559" max="12559" width="9.109375" style="1847"/>
    <col min="12560" max="12560" width="15.5546875" style="1847" bestFit="1" customWidth="1"/>
    <col min="12561" max="12800" width="9.109375" style="1847"/>
    <col min="12801" max="12801" width="5.44140625" style="1847" customWidth="1"/>
    <col min="12802" max="12802" width="4.21875" style="1847" customWidth="1"/>
    <col min="12803" max="12803" width="23" style="1847" customWidth="1"/>
    <col min="12804" max="12805" width="3.5546875" style="1847" customWidth="1"/>
    <col min="12806" max="12806" width="5.44140625" style="1847" customWidth="1"/>
    <col min="12807" max="12807" width="6.88671875" style="1847" customWidth="1"/>
    <col min="12808" max="12808" width="6.44140625" style="1847" customWidth="1"/>
    <col min="12809" max="12809" width="8.5546875" style="1847" customWidth="1"/>
    <col min="12810" max="12810" width="7.5546875" style="1847" customWidth="1"/>
    <col min="12811" max="12811" width="10.44140625" style="1847" customWidth="1"/>
    <col min="12812" max="12812" width="8.21875" style="1847" customWidth="1"/>
    <col min="12813" max="12813" width="10.109375" style="1847" customWidth="1"/>
    <col min="12814" max="12814" width="14.109375" style="1847" customWidth="1"/>
    <col min="12815" max="12815" width="9.109375" style="1847"/>
    <col min="12816" max="12816" width="15.5546875" style="1847" bestFit="1" customWidth="1"/>
    <col min="12817" max="13056" width="9.109375" style="1847"/>
    <col min="13057" max="13057" width="5.44140625" style="1847" customWidth="1"/>
    <col min="13058" max="13058" width="4.21875" style="1847" customWidth="1"/>
    <col min="13059" max="13059" width="23" style="1847" customWidth="1"/>
    <col min="13060" max="13061" width="3.5546875" style="1847" customWidth="1"/>
    <col min="13062" max="13062" width="5.44140625" style="1847" customWidth="1"/>
    <col min="13063" max="13063" width="6.88671875" style="1847" customWidth="1"/>
    <col min="13064" max="13064" width="6.44140625" style="1847" customWidth="1"/>
    <col min="13065" max="13065" width="8.5546875" style="1847" customWidth="1"/>
    <col min="13066" max="13066" width="7.5546875" style="1847" customWidth="1"/>
    <col min="13067" max="13067" width="10.44140625" style="1847" customWidth="1"/>
    <col min="13068" max="13068" width="8.21875" style="1847" customWidth="1"/>
    <col min="13069" max="13069" width="10.109375" style="1847" customWidth="1"/>
    <col min="13070" max="13070" width="14.109375" style="1847" customWidth="1"/>
    <col min="13071" max="13071" width="9.109375" style="1847"/>
    <col min="13072" max="13072" width="15.5546875" style="1847" bestFit="1" customWidth="1"/>
    <col min="13073" max="13312" width="9.109375" style="1847"/>
    <col min="13313" max="13313" width="5.44140625" style="1847" customWidth="1"/>
    <col min="13314" max="13314" width="4.21875" style="1847" customWidth="1"/>
    <col min="13315" max="13315" width="23" style="1847" customWidth="1"/>
    <col min="13316" max="13317" width="3.5546875" style="1847" customWidth="1"/>
    <col min="13318" max="13318" width="5.44140625" style="1847" customWidth="1"/>
    <col min="13319" max="13319" width="6.88671875" style="1847" customWidth="1"/>
    <col min="13320" max="13320" width="6.44140625" style="1847" customWidth="1"/>
    <col min="13321" max="13321" width="8.5546875" style="1847" customWidth="1"/>
    <col min="13322" max="13322" width="7.5546875" style="1847" customWidth="1"/>
    <col min="13323" max="13323" width="10.44140625" style="1847" customWidth="1"/>
    <col min="13324" max="13324" width="8.21875" style="1847" customWidth="1"/>
    <col min="13325" max="13325" width="10.109375" style="1847" customWidth="1"/>
    <col min="13326" max="13326" width="14.109375" style="1847" customWidth="1"/>
    <col min="13327" max="13327" width="9.109375" style="1847"/>
    <col min="13328" max="13328" width="15.5546875" style="1847" bestFit="1" customWidth="1"/>
    <col min="13329" max="13568" width="9.109375" style="1847"/>
    <col min="13569" max="13569" width="5.44140625" style="1847" customWidth="1"/>
    <col min="13570" max="13570" width="4.21875" style="1847" customWidth="1"/>
    <col min="13571" max="13571" width="23" style="1847" customWidth="1"/>
    <col min="13572" max="13573" width="3.5546875" style="1847" customWidth="1"/>
    <col min="13574" max="13574" width="5.44140625" style="1847" customWidth="1"/>
    <col min="13575" max="13575" width="6.88671875" style="1847" customWidth="1"/>
    <col min="13576" max="13576" width="6.44140625" style="1847" customWidth="1"/>
    <col min="13577" max="13577" width="8.5546875" style="1847" customWidth="1"/>
    <col min="13578" max="13578" width="7.5546875" style="1847" customWidth="1"/>
    <col min="13579" max="13579" width="10.44140625" style="1847" customWidth="1"/>
    <col min="13580" max="13580" width="8.21875" style="1847" customWidth="1"/>
    <col min="13581" max="13581" width="10.109375" style="1847" customWidth="1"/>
    <col min="13582" max="13582" width="14.109375" style="1847" customWidth="1"/>
    <col min="13583" max="13583" width="9.109375" style="1847"/>
    <col min="13584" max="13584" width="15.5546875" style="1847" bestFit="1" customWidth="1"/>
    <col min="13585" max="13824" width="9.109375" style="1847"/>
    <col min="13825" max="13825" width="5.44140625" style="1847" customWidth="1"/>
    <col min="13826" max="13826" width="4.21875" style="1847" customWidth="1"/>
    <col min="13827" max="13827" width="23" style="1847" customWidth="1"/>
    <col min="13828" max="13829" width="3.5546875" style="1847" customWidth="1"/>
    <col min="13830" max="13830" width="5.44140625" style="1847" customWidth="1"/>
    <col min="13831" max="13831" width="6.88671875" style="1847" customWidth="1"/>
    <col min="13832" max="13832" width="6.44140625" style="1847" customWidth="1"/>
    <col min="13833" max="13833" width="8.5546875" style="1847" customWidth="1"/>
    <col min="13834" max="13834" width="7.5546875" style="1847" customWidth="1"/>
    <col min="13835" max="13835" width="10.44140625" style="1847" customWidth="1"/>
    <col min="13836" max="13836" width="8.21875" style="1847" customWidth="1"/>
    <col min="13837" max="13837" width="10.109375" style="1847" customWidth="1"/>
    <col min="13838" max="13838" width="14.109375" style="1847" customWidth="1"/>
    <col min="13839" max="13839" width="9.109375" style="1847"/>
    <col min="13840" max="13840" width="15.5546875" style="1847" bestFit="1" customWidth="1"/>
    <col min="13841" max="14080" width="9.109375" style="1847"/>
    <col min="14081" max="14081" width="5.44140625" style="1847" customWidth="1"/>
    <col min="14082" max="14082" width="4.21875" style="1847" customWidth="1"/>
    <col min="14083" max="14083" width="23" style="1847" customWidth="1"/>
    <col min="14084" max="14085" width="3.5546875" style="1847" customWidth="1"/>
    <col min="14086" max="14086" width="5.44140625" style="1847" customWidth="1"/>
    <col min="14087" max="14087" width="6.88671875" style="1847" customWidth="1"/>
    <col min="14088" max="14088" width="6.44140625" style="1847" customWidth="1"/>
    <col min="14089" max="14089" width="8.5546875" style="1847" customWidth="1"/>
    <col min="14090" max="14090" width="7.5546875" style="1847" customWidth="1"/>
    <col min="14091" max="14091" width="10.44140625" style="1847" customWidth="1"/>
    <col min="14092" max="14092" width="8.21875" style="1847" customWidth="1"/>
    <col min="14093" max="14093" width="10.109375" style="1847" customWidth="1"/>
    <col min="14094" max="14094" width="14.109375" style="1847" customWidth="1"/>
    <col min="14095" max="14095" width="9.109375" style="1847"/>
    <col min="14096" max="14096" width="15.5546875" style="1847" bestFit="1" customWidth="1"/>
    <col min="14097" max="14336" width="9.109375" style="1847"/>
    <col min="14337" max="14337" width="5.44140625" style="1847" customWidth="1"/>
    <col min="14338" max="14338" width="4.21875" style="1847" customWidth="1"/>
    <col min="14339" max="14339" width="23" style="1847" customWidth="1"/>
    <col min="14340" max="14341" width="3.5546875" style="1847" customWidth="1"/>
    <col min="14342" max="14342" width="5.44140625" style="1847" customWidth="1"/>
    <col min="14343" max="14343" width="6.88671875" style="1847" customWidth="1"/>
    <col min="14344" max="14344" width="6.44140625" style="1847" customWidth="1"/>
    <col min="14345" max="14345" width="8.5546875" style="1847" customWidth="1"/>
    <col min="14346" max="14346" width="7.5546875" style="1847" customWidth="1"/>
    <col min="14347" max="14347" width="10.44140625" style="1847" customWidth="1"/>
    <col min="14348" max="14348" width="8.21875" style="1847" customWidth="1"/>
    <col min="14349" max="14349" width="10.109375" style="1847" customWidth="1"/>
    <col min="14350" max="14350" width="14.109375" style="1847" customWidth="1"/>
    <col min="14351" max="14351" width="9.109375" style="1847"/>
    <col min="14352" max="14352" width="15.5546875" style="1847" bestFit="1" customWidth="1"/>
    <col min="14353" max="14592" width="9.109375" style="1847"/>
    <col min="14593" max="14593" width="5.44140625" style="1847" customWidth="1"/>
    <col min="14594" max="14594" width="4.21875" style="1847" customWidth="1"/>
    <col min="14595" max="14595" width="23" style="1847" customWidth="1"/>
    <col min="14596" max="14597" width="3.5546875" style="1847" customWidth="1"/>
    <col min="14598" max="14598" width="5.44140625" style="1847" customWidth="1"/>
    <col min="14599" max="14599" width="6.88671875" style="1847" customWidth="1"/>
    <col min="14600" max="14600" width="6.44140625" style="1847" customWidth="1"/>
    <col min="14601" max="14601" width="8.5546875" style="1847" customWidth="1"/>
    <col min="14602" max="14602" width="7.5546875" style="1847" customWidth="1"/>
    <col min="14603" max="14603" width="10.44140625" style="1847" customWidth="1"/>
    <col min="14604" max="14604" width="8.21875" style="1847" customWidth="1"/>
    <col min="14605" max="14605" width="10.109375" style="1847" customWidth="1"/>
    <col min="14606" max="14606" width="14.109375" style="1847" customWidth="1"/>
    <col min="14607" max="14607" width="9.109375" style="1847"/>
    <col min="14608" max="14608" width="15.5546875" style="1847" bestFit="1" customWidth="1"/>
    <col min="14609" max="14848" width="9.109375" style="1847"/>
    <col min="14849" max="14849" width="5.44140625" style="1847" customWidth="1"/>
    <col min="14850" max="14850" width="4.21875" style="1847" customWidth="1"/>
    <col min="14851" max="14851" width="23" style="1847" customWidth="1"/>
    <col min="14852" max="14853" width="3.5546875" style="1847" customWidth="1"/>
    <col min="14854" max="14854" width="5.44140625" style="1847" customWidth="1"/>
    <col min="14855" max="14855" width="6.88671875" style="1847" customWidth="1"/>
    <col min="14856" max="14856" width="6.44140625" style="1847" customWidth="1"/>
    <col min="14857" max="14857" width="8.5546875" style="1847" customWidth="1"/>
    <col min="14858" max="14858" width="7.5546875" style="1847" customWidth="1"/>
    <col min="14859" max="14859" width="10.44140625" style="1847" customWidth="1"/>
    <col min="14860" max="14860" width="8.21875" style="1847" customWidth="1"/>
    <col min="14861" max="14861" width="10.109375" style="1847" customWidth="1"/>
    <col min="14862" max="14862" width="14.109375" style="1847" customWidth="1"/>
    <col min="14863" max="14863" width="9.109375" style="1847"/>
    <col min="14864" max="14864" width="15.5546875" style="1847" bestFit="1" customWidth="1"/>
    <col min="14865" max="15104" width="9.109375" style="1847"/>
    <col min="15105" max="15105" width="5.44140625" style="1847" customWidth="1"/>
    <col min="15106" max="15106" width="4.21875" style="1847" customWidth="1"/>
    <col min="15107" max="15107" width="23" style="1847" customWidth="1"/>
    <col min="15108" max="15109" width="3.5546875" style="1847" customWidth="1"/>
    <col min="15110" max="15110" width="5.44140625" style="1847" customWidth="1"/>
    <col min="15111" max="15111" width="6.88671875" style="1847" customWidth="1"/>
    <col min="15112" max="15112" width="6.44140625" style="1847" customWidth="1"/>
    <col min="15113" max="15113" width="8.5546875" style="1847" customWidth="1"/>
    <col min="15114" max="15114" width="7.5546875" style="1847" customWidth="1"/>
    <col min="15115" max="15115" width="10.44140625" style="1847" customWidth="1"/>
    <col min="15116" max="15116" width="8.21875" style="1847" customWidth="1"/>
    <col min="15117" max="15117" width="10.109375" style="1847" customWidth="1"/>
    <col min="15118" max="15118" width="14.109375" style="1847" customWidth="1"/>
    <col min="15119" max="15119" width="9.109375" style="1847"/>
    <col min="15120" max="15120" width="15.5546875" style="1847" bestFit="1" customWidth="1"/>
    <col min="15121" max="15360" width="9.109375" style="1847"/>
    <col min="15361" max="15361" width="5.44140625" style="1847" customWidth="1"/>
    <col min="15362" max="15362" width="4.21875" style="1847" customWidth="1"/>
    <col min="15363" max="15363" width="23" style="1847" customWidth="1"/>
    <col min="15364" max="15365" width="3.5546875" style="1847" customWidth="1"/>
    <col min="15366" max="15366" width="5.44140625" style="1847" customWidth="1"/>
    <col min="15367" max="15367" width="6.88671875" style="1847" customWidth="1"/>
    <col min="15368" max="15368" width="6.44140625" style="1847" customWidth="1"/>
    <col min="15369" max="15369" width="8.5546875" style="1847" customWidth="1"/>
    <col min="15370" max="15370" width="7.5546875" style="1847" customWidth="1"/>
    <col min="15371" max="15371" width="10.44140625" style="1847" customWidth="1"/>
    <col min="15372" max="15372" width="8.21875" style="1847" customWidth="1"/>
    <col min="15373" max="15373" width="10.109375" style="1847" customWidth="1"/>
    <col min="15374" max="15374" width="14.109375" style="1847" customWidth="1"/>
    <col min="15375" max="15375" width="9.109375" style="1847"/>
    <col min="15376" max="15376" width="15.5546875" style="1847" bestFit="1" customWidth="1"/>
    <col min="15377" max="15616" width="9.109375" style="1847"/>
    <col min="15617" max="15617" width="5.44140625" style="1847" customWidth="1"/>
    <col min="15618" max="15618" width="4.21875" style="1847" customWidth="1"/>
    <col min="15619" max="15619" width="23" style="1847" customWidth="1"/>
    <col min="15620" max="15621" width="3.5546875" style="1847" customWidth="1"/>
    <col min="15622" max="15622" width="5.44140625" style="1847" customWidth="1"/>
    <col min="15623" max="15623" width="6.88671875" style="1847" customWidth="1"/>
    <col min="15624" max="15624" width="6.44140625" style="1847" customWidth="1"/>
    <col min="15625" max="15625" width="8.5546875" style="1847" customWidth="1"/>
    <col min="15626" max="15626" width="7.5546875" style="1847" customWidth="1"/>
    <col min="15627" max="15627" width="10.44140625" style="1847" customWidth="1"/>
    <col min="15628" max="15628" width="8.21875" style="1847" customWidth="1"/>
    <col min="15629" max="15629" width="10.109375" style="1847" customWidth="1"/>
    <col min="15630" max="15630" width="14.109375" style="1847" customWidth="1"/>
    <col min="15631" max="15631" width="9.109375" style="1847"/>
    <col min="15632" max="15632" width="15.5546875" style="1847" bestFit="1" customWidth="1"/>
    <col min="15633" max="15872" width="9.109375" style="1847"/>
    <col min="15873" max="15873" width="5.44140625" style="1847" customWidth="1"/>
    <col min="15874" max="15874" width="4.21875" style="1847" customWidth="1"/>
    <col min="15875" max="15875" width="23" style="1847" customWidth="1"/>
    <col min="15876" max="15877" width="3.5546875" style="1847" customWidth="1"/>
    <col min="15878" max="15878" width="5.44140625" style="1847" customWidth="1"/>
    <col min="15879" max="15879" width="6.88671875" style="1847" customWidth="1"/>
    <col min="15880" max="15880" width="6.44140625" style="1847" customWidth="1"/>
    <col min="15881" max="15881" width="8.5546875" style="1847" customWidth="1"/>
    <col min="15882" max="15882" width="7.5546875" style="1847" customWidth="1"/>
    <col min="15883" max="15883" width="10.44140625" style="1847" customWidth="1"/>
    <col min="15884" max="15884" width="8.21875" style="1847" customWidth="1"/>
    <col min="15885" max="15885" width="10.109375" style="1847" customWidth="1"/>
    <col min="15886" max="15886" width="14.109375" style="1847" customWidth="1"/>
    <col min="15887" max="15887" width="9.109375" style="1847"/>
    <col min="15888" max="15888" width="15.5546875" style="1847" bestFit="1" customWidth="1"/>
    <col min="15889" max="16128" width="9.109375" style="1847"/>
    <col min="16129" max="16129" width="5.44140625" style="1847" customWidth="1"/>
    <col min="16130" max="16130" width="4.21875" style="1847" customWidth="1"/>
    <col min="16131" max="16131" width="23" style="1847" customWidth="1"/>
    <col min="16132" max="16133" width="3.5546875" style="1847" customWidth="1"/>
    <col min="16134" max="16134" width="5.44140625" style="1847" customWidth="1"/>
    <col min="16135" max="16135" width="6.88671875" style="1847" customWidth="1"/>
    <col min="16136" max="16136" width="6.44140625" style="1847" customWidth="1"/>
    <col min="16137" max="16137" width="8.5546875" style="1847" customWidth="1"/>
    <col min="16138" max="16138" width="7.5546875" style="1847" customWidth="1"/>
    <col min="16139" max="16139" width="10.44140625" style="1847" customWidth="1"/>
    <col min="16140" max="16140" width="8.21875" style="1847" customWidth="1"/>
    <col min="16141" max="16141" width="10.109375" style="1847" customWidth="1"/>
    <col min="16142" max="16142" width="14.109375" style="1847" customWidth="1"/>
    <col min="16143" max="16143" width="9.109375" style="1847"/>
    <col min="16144" max="16144" width="15.5546875" style="1847" bestFit="1" customWidth="1"/>
    <col min="16145" max="16384" width="9.109375" style="1847"/>
  </cols>
  <sheetData>
    <row r="1" spans="1:17" ht="34.9" customHeight="1">
      <c r="A1" s="2515" t="s">
        <v>3365</v>
      </c>
      <c r="B1" s="2515"/>
      <c r="C1" s="2516"/>
      <c r="D1" s="2516"/>
      <c r="E1" s="2516"/>
      <c r="F1" s="2516"/>
      <c r="G1" s="2516"/>
      <c r="H1" s="2516"/>
      <c r="I1" s="2516"/>
      <c r="J1" s="2516"/>
      <c r="K1" s="2516"/>
      <c r="L1" s="2516"/>
      <c r="M1" s="2516"/>
      <c r="N1" s="2516"/>
      <c r="O1" s="1846"/>
      <c r="P1" s="1846"/>
      <c r="Q1" s="1846"/>
    </row>
    <row r="2" spans="1:17" ht="33" customHeight="1">
      <c r="A2" s="2517" t="str">
        <f>'[221]Input Sheet'!C2</f>
        <v>Construction of Anganwadi Building Centre at Marchal village of Kalwakurthy Mandal in Nagarkurnool District</v>
      </c>
      <c r="B2" s="2517"/>
      <c r="C2" s="2517"/>
      <c r="D2" s="2517"/>
      <c r="E2" s="2517"/>
      <c r="F2" s="2517"/>
      <c r="G2" s="2517"/>
      <c r="H2" s="2517"/>
      <c r="I2" s="2517"/>
      <c r="J2" s="2517"/>
      <c r="K2" s="2517"/>
      <c r="L2" s="2517"/>
      <c r="M2" s="2517"/>
      <c r="N2" s="2517"/>
      <c r="O2" s="1848"/>
      <c r="P2" s="1848"/>
      <c r="Q2" s="1848"/>
    </row>
    <row r="3" spans="1:17">
      <c r="A3" s="2518" t="s">
        <v>1200</v>
      </c>
      <c r="B3" s="2519" t="s">
        <v>711</v>
      </c>
      <c r="C3" s="2518" t="s">
        <v>1201</v>
      </c>
      <c r="D3" s="2518" t="s">
        <v>527</v>
      </c>
      <c r="E3" s="2518"/>
      <c r="F3" s="2518"/>
      <c r="G3" s="2520" t="s">
        <v>1202</v>
      </c>
      <c r="H3" s="2520"/>
      <c r="I3" s="2520"/>
      <c r="J3" s="2513" t="s">
        <v>786</v>
      </c>
      <c r="K3" s="2513" t="s">
        <v>1203</v>
      </c>
      <c r="L3" s="2513" t="s">
        <v>642</v>
      </c>
      <c r="M3" s="2513" t="s">
        <v>641</v>
      </c>
      <c r="N3" s="2513" t="s">
        <v>1115</v>
      </c>
      <c r="O3" s="2525" t="s">
        <v>1204</v>
      </c>
      <c r="P3" s="2513" t="s">
        <v>1205</v>
      </c>
      <c r="Q3" s="2513"/>
    </row>
    <row r="4" spans="1:17" ht="42" customHeight="1">
      <c r="A4" s="2518"/>
      <c r="B4" s="2519"/>
      <c r="C4" s="2518"/>
      <c r="D4" s="2518"/>
      <c r="E4" s="2518"/>
      <c r="F4" s="2518"/>
      <c r="G4" s="1851" t="s">
        <v>1417</v>
      </c>
      <c r="H4" s="1851" t="s">
        <v>859</v>
      </c>
      <c r="I4" s="1851" t="s">
        <v>785</v>
      </c>
      <c r="J4" s="2513"/>
      <c r="K4" s="2513"/>
      <c r="L4" s="2513"/>
      <c r="M4" s="2513"/>
      <c r="N4" s="2513"/>
      <c r="O4" s="2525"/>
      <c r="P4" s="2513"/>
      <c r="Q4" s="2513"/>
    </row>
    <row r="5" spans="1:17">
      <c r="A5" s="1852">
        <v>1</v>
      </c>
      <c r="B5" s="1852"/>
      <c r="C5" s="1852">
        <f>A5+1</f>
        <v>2</v>
      </c>
      <c r="D5" s="2514">
        <f>C5+1</f>
        <v>3</v>
      </c>
      <c r="E5" s="2514"/>
      <c r="F5" s="2514"/>
      <c r="G5" s="1853">
        <f>D5+1</f>
        <v>4</v>
      </c>
      <c r="H5" s="1853">
        <f>G5+1</f>
        <v>5</v>
      </c>
      <c r="I5" s="1853">
        <f t="shared" ref="I5:Q5" si="0">H5+1</f>
        <v>6</v>
      </c>
      <c r="J5" s="1853">
        <f t="shared" si="0"/>
        <v>7</v>
      </c>
      <c r="K5" s="1853">
        <f t="shared" si="0"/>
        <v>8</v>
      </c>
      <c r="L5" s="1853">
        <f>K5+1</f>
        <v>9</v>
      </c>
      <c r="M5" s="1853">
        <f t="shared" si="0"/>
        <v>10</v>
      </c>
      <c r="N5" s="1853">
        <f t="shared" si="0"/>
        <v>11</v>
      </c>
      <c r="O5" s="1854">
        <f t="shared" si="0"/>
        <v>12</v>
      </c>
      <c r="P5" s="1853">
        <f t="shared" si="0"/>
        <v>13</v>
      </c>
      <c r="Q5" s="1853">
        <f t="shared" si="0"/>
        <v>14</v>
      </c>
    </row>
    <row r="6" spans="1:17" ht="31.5" customHeight="1">
      <c r="A6" s="1855"/>
      <c r="B6" s="1856"/>
      <c r="C6" s="2521" t="s">
        <v>3366</v>
      </c>
      <c r="D6" s="2521"/>
      <c r="E6" s="2521"/>
      <c r="F6" s="2521"/>
      <c r="G6" s="2521"/>
      <c r="H6" s="2521"/>
      <c r="I6" s="2521"/>
      <c r="J6" s="2521"/>
      <c r="K6" s="1851"/>
      <c r="L6" s="1851"/>
      <c r="M6" s="1851"/>
      <c r="N6" s="1851"/>
      <c r="O6" s="1858"/>
      <c r="P6" s="1858"/>
      <c r="Q6" s="1858"/>
    </row>
    <row r="7" spans="1:17" ht="94.2" customHeight="1">
      <c r="A7" s="1855">
        <v>1</v>
      </c>
      <c r="B7" s="1856"/>
      <c r="C7" s="2522" t="s">
        <v>3367</v>
      </c>
      <c r="D7" s="2522"/>
      <c r="E7" s="2522"/>
      <c r="F7" s="2522"/>
      <c r="G7" s="2522"/>
      <c r="H7" s="2522"/>
      <c r="I7" s="2522"/>
      <c r="J7" s="2522"/>
      <c r="K7" s="1851"/>
      <c r="L7" s="1851"/>
      <c r="M7" s="1851"/>
      <c r="N7" s="1851"/>
      <c r="O7" s="1860"/>
      <c r="P7" s="1861"/>
      <c r="Q7" s="1861"/>
    </row>
    <row r="8" spans="1:17">
      <c r="A8" s="1855"/>
      <c r="B8" s="1856"/>
      <c r="C8" s="1845" t="s">
        <v>3368</v>
      </c>
      <c r="D8" s="1859"/>
      <c r="E8" s="1859"/>
      <c r="F8" s="1859"/>
      <c r="G8" s="1862"/>
      <c r="H8" s="1862"/>
      <c r="I8" s="1862"/>
      <c r="J8" s="1862"/>
      <c r="K8" s="1851"/>
      <c r="L8" s="1851"/>
      <c r="M8" s="1851"/>
      <c r="N8" s="1851"/>
      <c r="O8" s="1863"/>
      <c r="P8" s="1864"/>
      <c r="Q8" s="1864"/>
    </row>
    <row r="9" spans="1:17" ht="34.9" hidden="1" customHeight="1">
      <c r="A9" s="1855"/>
      <c r="B9" s="1856"/>
      <c r="C9" s="1865"/>
      <c r="D9" s="1853"/>
      <c r="E9" s="1853"/>
      <c r="F9" s="1853"/>
      <c r="G9" s="1851"/>
      <c r="H9" s="1851"/>
      <c r="I9" s="1851"/>
      <c r="J9" s="1851"/>
      <c r="K9" s="1851"/>
      <c r="L9" s="1851"/>
      <c r="M9" s="1851"/>
      <c r="N9" s="1851"/>
      <c r="O9" s="1866"/>
      <c r="P9" s="1867"/>
      <c r="Q9" s="1867"/>
    </row>
    <row r="10" spans="1:17" hidden="1">
      <c r="A10" s="1855"/>
      <c r="B10" s="1856"/>
      <c r="C10" s="1868"/>
      <c r="D10" s="1853"/>
      <c r="E10" s="1853"/>
      <c r="F10" s="1853"/>
      <c r="G10" s="1851"/>
      <c r="H10" s="1851"/>
      <c r="I10" s="1851"/>
      <c r="J10" s="1851"/>
      <c r="K10" s="1851"/>
      <c r="L10" s="1851"/>
      <c r="M10" s="1851"/>
      <c r="N10" s="1851"/>
      <c r="O10" s="1866"/>
      <c r="P10" s="1867"/>
      <c r="Q10" s="1867"/>
    </row>
    <row r="11" spans="1:17" hidden="1">
      <c r="A11" s="1855"/>
      <c r="B11" s="1856"/>
      <c r="C11" s="1869"/>
      <c r="D11" s="1853"/>
      <c r="E11" s="1853"/>
      <c r="F11" s="1853"/>
      <c r="G11" s="1851"/>
      <c r="H11" s="1851"/>
      <c r="I11" s="1851"/>
      <c r="J11" s="1851"/>
      <c r="K11" s="1851"/>
      <c r="L11" s="1851"/>
      <c r="M11" s="1851"/>
      <c r="N11" s="1851"/>
      <c r="O11" s="1866"/>
      <c r="P11" s="1867"/>
      <c r="Q11" s="1867"/>
    </row>
    <row r="12" spans="1:17" hidden="1">
      <c r="A12" s="1855"/>
      <c r="B12" s="1856"/>
      <c r="C12" s="1870"/>
      <c r="D12" s="1853"/>
      <c r="E12" s="1853"/>
      <c r="F12" s="1853"/>
      <c r="G12" s="1851"/>
      <c r="H12" s="1851"/>
      <c r="I12" s="1851"/>
      <c r="J12" s="1851"/>
      <c r="K12" s="1851"/>
      <c r="L12" s="1851"/>
      <c r="M12" s="1851"/>
      <c r="N12" s="1851"/>
      <c r="O12" s="1866"/>
      <c r="P12" s="1867"/>
      <c r="Q12" s="1867"/>
    </row>
    <row r="13" spans="1:17" hidden="1">
      <c r="A13" s="1855"/>
      <c r="B13" s="1856"/>
      <c r="C13" s="1870"/>
      <c r="D13" s="1853"/>
      <c r="E13" s="1853"/>
      <c r="F13" s="1853"/>
      <c r="G13" s="1851"/>
      <c r="H13" s="1851"/>
      <c r="I13" s="1851"/>
      <c r="J13" s="1851"/>
      <c r="K13" s="1851"/>
      <c r="L13" s="1851"/>
      <c r="M13" s="1851"/>
      <c r="N13" s="1851"/>
      <c r="O13" s="1866"/>
      <c r="P13" s="1867"/>
      <c r="Q13" s="1867"/>
    </row>
    <row r="14" spans="1:17" hidden="1">
      <c r="A14" s="1855"/>
      <c r="B14" s="1856"/>
      <c r="C14" s="1870"/>
      <c r="D14" s="1853"/>
      <c r="E14" s="1853"/>
      <c r="F14" s="1853"/>
      <c r="G14" s="1851"/>
      <c r="H14" s="1851"/>
      <c r="I14" s="1851"/>
      <c r="J14" s="1851"/>
      <c r="K14" s="1851"/>
      <c r="L14" s="1851"/>
      <c r="M14" s="1851"/>
      <c r="N14" s="1851"/>
      <c r="O14" s="1866"/>
      <c r="P14" s="1867"/>
      <c r="Q14" s="1867"/>
    </row>
    <row r="15" spans="1:17">
      <c r="A15" s="1855"/>
      <c r="B15" s="1856"/>
      <c r="C15" s="1870"/>
      <c r="D15" s="1853"/>
      <c r="E15" s="1853"/>
      <c r="F15" s="1853"/>
      <c r="G15" s="1851"/>
      <c r="H15" s="1851"/>
      <c r="I15" s="1851"/>
      <c r="J15" s="1851"/>
      <c r="K15" s="1851"/>
      <c r="L15" s="1851"/>
      <c r="M15" s="1851"/>
      <c r="N15" s="1851"/>
      <c r="O15" s="1866"/>
      <c r="P15" s="1867"/>
      <c r="Q15" s="1867"/>
    </row>
    <row r="16" spans="1:17">
      <c r="A16" s="1855"/>
      <c r="B16" s="1856"/>
      <c r="C16" s="1870"/>
      <c r="D16" s="1853"/>
      <c r="E16" s="1853"/>
      <c r="F16" s="1853"/>
      <c r="G16" s="1851"/>
      <c r="H16" s="1851"/>
      <c r="I16" s="1851"/>
      <c r="J16" s="1871">
        <f>SUM(J9:J15)</f>
        <v>0</v>
      </c>
      <c r="K16" s="1851"/>
      <c r="L16" s="1851"/>
      <c r="M16" s="1851"/>
      <c r="N16" s="1851"/>
      <c r="O16" s="1866"/>
      <c r="P16" s="1867"/>
      <c r="Q16" s="1867"/>
    </row>
    <row r="17" spans="1:17">
      <c r="A17" s="1855"/>
      <c r="B17" s="1872"/>
      <c r="C17" s="2523" t="s">
        <v>644</v>
      </c>
      <c r="D17" s="2523"/>
      <c r="E17" s="2523"/>
      <c r="F17" s="2523"/>
      <c r="G17" s="2523"/>
      <c r="H17" s="2523"/>
      <c r="I17" s="2523"/>
      <c r="J17" s="1871">
        <f>30.38+9.87</f>
        <v>40.25</v>
      </c>
      <c r="K17" s="1873">
        <f>Datas!G15</f>
        <v>385.38499999999999</v>
      </c>
      <c r="L17" s="1873">
        <f>ROUND(K17*J17,0)</f>
        <v>15512</v>
      </c>
      <c r="M17" s="1874"/>
      <c r="N17" s="1873">
        <f>L17</f>
        <v>15512</v>
      </c>
      <c r="O17" s="1875">
        <v>0</v>
      </c>
      <c r="P17" s="1876">
        <f>ROUND(O17*J17,0)</f>
        <v>0</v>
      </c>
      <c r="Q17" s="1867"/>
    </row>
    <row r="18" spans="1:17">
      <c r="A18" s="1855"/>
      <c r="B18" s="1872"/>
      <c r="C18" s="1877"/>
      <c r="D18" s="1853"/>
      <c r="E18" s="1853"/>
      <c r="F18" s="1853"/>
      <c r="G18" s="1851"/>
      <c r="H18" s="1851"/>
      <c r="I18" s="1851"/>
      <c r="J18" s="1851" t="s">
        <v>525</v>
      </c>
      <c r="K18" s="1873" t="s">
        <v>658</v>
      </c>
      <c r="L18" s="1873"/>
      <c r="M18" s="1873"/>
      <c r="N18" s="1873"/>
      <c r="O18" s="1866"/>
      <c r="P18" s="1867"/>
      <c r="Q18" s="1867"/>
    </row>
    <row r="19" spans="1:17" ht="72" hidden="1" customHeight="1">
      <c r="A19" s="1855">
        <f>A7+1</f>
        <v>2</v>
      </c>
      <c r="B19" s="1856"/>
      <c r="C19" s="2522" t="s">
        <v>3374</v>
      </c>
      <c r="D19" s="2522"/>
      <c r="E19" s="2522"/>
      <c r="F19" s="2522"/>
      <c r="G19" s="2522"/>
      <c r="H19" s="2522"/>
      <c r="I19" s="2522"/>
      <c r="J19" s="2522"/>
      <c r="K19" s="1851"/>
      <c r="L19" s="1851"/>
      <c r="M19" s="1851"/>
      <c r="N19" s="1851"/>
      <c r="O19" s="1860"/>
      <c r="P19" s="1861"/>
      <c r="Q19" s="1861"/>
    </row>
    <row r="20" spans="1:17" ht="17.2" hidden="1" customHeight="1">
      <c r="A20" s="1855"/>
      <c r="B20" s="1856"/>
      <c r="C20" s="1865"/>
      <c r="D20" s="1853">
        <v>1</v>
      </c>
      <c r="E20" s="1853" t="s">
        <v>1472</v>
      </c>
      <c r="F20" s="1853"/>
      <c r="G20" s="1851"/>
      <c r="H20" s="1851"/>
      <c r="I20" s="1851"/>
      <c r="J20" s="1851">
        <f t="shared" ref="J20:J25" si="1">ROUND(D20*F20*G20*H20*I20,2)</f>
        <v>0</v>
      </c>
      <c r="K20" s="1851"/>
      <c r="L20" s="1851"/>
      <c r="M20" s="1851"/>
      <c r="N20" s="1851"/>
      <c r="O20" s="1866"/>
      <c r="P20" s="1867"/>
      <c r="Q20" s="1867"/>
    </row>
    <row r="21" spans="1:17" ht="17.2" hidden="1" customHeight="1">
      <c r="A21" s="1855"/>
      <c r="B21" s="1856"/>
      <c r="C21" s="1868"/>
      <c r="D21" s="1853">
        <v>1</v>
      </c>
      <c r="E21" s="1853" t="s">
        <v>1472</v>
      </c>
      <c r="F21" s="1853"/>
      <c r="G21" s="1851"/>
      <c r="H21" s="1851"/>
      <c r="I21" s="1851"/>
      <c r="J21" s="1851">
        <f t="shared" si="1"/>
        <v>0</v>
      </c>
      <c r="K21" s="1851"/>
      <c r="L21" s="1851"/>
      <c r="M21" s="1851"/>
      <c r="N21" s="1851"/>
      <c r="O21" s="1866"/>
      <c r="P21" s="1867"/>
      <c r="Q21" s="1867"/>
    </row>
    <row r="22" spans="1:17" ht="17.2" hidden="1" customHeight="1">
      <c r="A22" s="1855"/>
      <c r="B22" s="1856"/>
      <c r="C22" s="1868"/>
      <c r="D22" s="1853">
        <v>1</v>
      </c>
      <c r="E22" s="1853" t="s">
        <v>1472</v>
      </c>
      <c r="F22" s="1853"/>
      <c r="G22" s="1851"/>
      <c r="H22" s="1851"/>
      <c r="I22" s="1851"/>
      <c r="J22" s="1851">
        <f t="shared" si="1"/>
        <v>0</v>
      </c>
      <c r="K22" s="1851"/>
      <c r="L22" s="1851"/>
      <c r="M22" s="1851"/>
      <c r="N22" s="1851"/>
      <c r="O22" s="1866"/>
      <c r="P22" s="1867"/>
      <c r="Q22" s="1867"/>
    </row>
    <row r="23" spans="1:17" ht="17.2" hidden="1" customHeight="1">
      <c r="A23" s="1855"/>
      <c r="B23" s="1856"/>
      <c r="C23" s="1868"/>
      <c r="D23" s="1853">
        <v>1</v>
      </c>
      <c r="E23" s="1853" t="s">
        <v>1472</v>
      </c>
      <c r="F23" s="1853"/>
      <c r="G23" s="1851"/>
      <c r="H23" s="1851"/>
      <c r="I23" s="1851"/>
      <c r="J23" s="1851">
        <f t="shared" si="1"/>
        <v>0</v>
      </c>
      <c r="K23" s="1851"/>
      <c r="L23" s="1851"/>
      <c r="M23" s="1851"/>
      <c r="N23" s="1851"/>
      <c r="O23" s="1866"/>
      <c r="P23" s="1867"/>
      <c r="Q23" s="1867"/>
    </row>
    <row r="24" spans="1:17" ht="17.2" hidden="1" customHeight="1">
      <c r="A24" s="1855"/>
      <c r="B24" s="1856"/>
      <c r="C24" s="1870"/>
      <c r="D24" s="1853">
        <v>1</v>
      </c>
      <c r="E24" s="1853" t="s">
        <v>1472</v>
      </c>
      <c r="F24" s="1853"/>
      <c r="G24" s="1851"/>
      <c r="H24" s="1851"/>
      <c r="I24" s="1851"/>
      <c r="J24" s="1851">
        <f t="shared" si="1"/>
        <v>0</v>
      </c>
      <c r="K24" s="1851"/>
      <c r="L24" s="1851"/>
      <c r="M24" s="1851"/>
      <c r="N24" s="1851"/>
      <c r="O24" s="1866"/>
      <c r="P24" s="1867"/>
      <c r="Q24" s="1867"/>
    </row>
    <row r="25" spans="1:17" ht="17.2" hidden="1" customHeight="1">
      <c r="A25" s="1855"/>
      <c r="B25" s="1856"/>
      <c r="C25" s="1870"/>
      <c r="D25" s="1853">
        <v>1</v>
      </c>
      <c r="E25" s="1853" t="s">
        <v>1472</v>
      </c>
      <c r="F25" s="1853"/>
      <c r="G25" s="1851"/>
      <c r="H25" s="1851"/>
      <c r="I25" s="1851"/>
      <c r="J25" s="1851">
        <f t="shared" si="1"/>
        <v>0</v>
      </c>
      <c r="K25" s="1851"/>
      <c r="L25" s="1851"/>
      <c r="M25" s="1851"/>
      <c r="N25" s="1851"/>
      <c r="O25" s="1866"/>
      <c r="P25" s="1867"/>
      <c r="Q25" s="1867"/>
    </row>
    <row r="26" spans="1:17" ht="17.2" hidden="1" customHeight="1">
      <c r="A26" s="1855"/>
      <c r="B26" s="1856"/>
      <c r="C26" s="1870"/>
      <c r="D26" s="1853">
        <v>1</v>
      </c>
      <c r="E26" s="1853" t="s">
        <v>1472</v>
      </c>
      <c r="F26" s="1853"/>
      <c r="G26" s="1851"/>
      <c r="H26" s="1851"/>
      <c r="I26" s="1851"/>
      <c r="J26" s="1851">
        <f>-ROUND(D26*F26*G26*H26*I26,2)</f>
        <v>0</v>
      </c>
      <c r="K26" s="1851"/>
      <c r="L26" s="1851"/>
      <c r="M26" s="1851"/>
      <c r="N26" s="1851"/>
      <c r="O26" s="1866"/>
      <c r="P26" s="1867"/>
      <c r="Q26" s="1867"/>
    </row>
    <row r="27" spans="1:17" ht="17.2" hidden="1" customHeight="1">
      <c r="A27" s="1855"/>
      <c r="B27" s="1856"/>
      <c r="C27" s="1870"/>
      <c r="D27" s="1853"/>
      <c r="E27" s="1853"/>
      <c r="F27" s="1853"/>
      <c r="G27" s="1851"/>
      <c r="H27" s="1851"/>
      <c r="I27" s="1851"/>
      <c r="J27" s="1871">
        <f>SUM(J20:J26)</f>
        <v>0</v>
      </c>
      <c r="K27" s="1851"/>
      <c r="L27" s="1851"/>
      <c r="M27" s="1851"/>
      <c r="N27" s="1851"/>
      <c r="O27" s="1866"/>
      <c r="P27" s="1867"/>
      <c r="Q27" s="1867"/>
    </row>
    <row r="28" spans="1:17" ht="16.5" hidden="1" customHeight="1">
      <c r="A28" s="1855"/>
      <c r="B28" s="1872"/>
      <c r="C28" s="2524" t="s">
        <v>3375</v>
      </c>
      <c r="D28" s="2524"/>
      <c r="E28" s="2524"/>
      <c r="F28" s="2524"/>
      <c r="G28" s="2524"/>
      <c r="H28" s="2524"/>
      <c r="I28" s="2524"/>
      <c r="J28" s="1851"/>
      <c r="K28" s="1873">
        <f>[222]Datas!H23</f>
        <v>639.48</v>
      </c>
      <c r="L28" s="1873"/>
      <c r="M28" s="1873">
        <f>ROUND(K28*J28,0)</f>
        <v>0</v>
      </c>
      <c r="N28" s="1873">
        <f>SUM(L28:M28)</f>
        <v>0</v>
      </c>
      <c r="O28" s="1866">
        <v>40</v>
      </c>
      <c r="P28" s="1878">
        <f>ROUND(O28*J28,2)</f>
        <v>0</v>
      </c>
      <c r="Q28" s="1867"/>
    </row>
    <row r="29" spans="1:17" ht="16.5" hidden="1" customHeight="1">
      <c r="A29" s="1855"/>
      <c r="B29" s="1872"/>
      <c r="C29" s="1872"/>
      <c r="D29" s="1872"/>
      <c r="E29" s="1872"/>
      <c r="F29" s="1872"/>
      <c r="G29" s="1872"/>
      <c r="H29" s="1872"/>
      <c r="I29" s="1872"/>
      <c r="J29" s="1851" t="s">
        <v>1473</v>
      </c>
      <c r="K29" s="1873" t="str">
        <f>CONCATENATE( "per ",J29)</f>
        <v>per cum</v>
      </c>
      <c r="L29" s="1873"/>
      <c r="M29" s="1873"/>
      <c r="N29" s="1873"/>
      <c r="O29" s="1866"/>
      <c r="P29" s="1879"/>
      <c r="Q29" s="1867"/>
    </row>
    <row r="30" spans="1:17" ht="15" hidden="1" customHeight="1">
      <c r="A30" s="1855"/>
      <c r="B30" s="1872"/>
      <c r="C30" s="2523" t="s">
        <v>3376</v>
      </c>
      <c r="D30" s="2523"/>
      <c r="E30" s="2523"/>
      <c r="F30" s="2523"/>
      <c r="G30" s="2523"/>
      <c r="H30" s="2523"/>
      <c r="I30" s="2523"/>
      <c r="J30" s="1851">
        <f>J28</f>
        <v>0</v>
      </c>
      <c r="K30" s="1873">
        <f>[222]Datas!H21</f>
        <v>23.54</v>
      </c>
      <c r="L30" s="1873">
        <f>ROUND(J30*K30,0)</f>
        <v>0</v>
      </c>
      <c r="M30" s="1873"/>
      <c r="N30" s="1873">
        <f>SUM(L30:M30)</f>
        <v>0</v>
      </c>
      <c r="O30" s="1866"/>
      <c r="P30" s="1878"/>
      <c r="Q30" s="1867"/>
    </row>
    <row r="31" spans="1:17" hidden="1">
      <c r="A31" s="1855"/>
      <c r="B31" s="1872"/>
      <c r="C31" s="1877"/>
      <c r="D31" s="1853"/>
      <c r="E31" s="1853"/>
      <c r="F31" s="1853"/>
      <c r="G31" s="1851"/>
      <c r="H31" s="1851"/>
      <c r="I31" s="1851"/>
      <c r="J31" s="1851" t="s">
        <v>1473</v>
      </c>
      <c r="K31" s="1873" t="str">
        <f>CONCATENATE( "per ",J31)</f>
        <v>per cum</v>
      </c>
      <c r="L31" s="1873"/>
      <c r="M31" s="1873"/>
      <c r="N31" s="1873"/>
      <c r="O31" s="1866"/>
      <c r="P31" s="1867"/>
      <c r="Q31" s="1867"/>
    </row>
    <row r="32" spans="1:17" hidden="1">
      <c r="A32" s="1855"/>
      <c r="B32" s="1880"/>
      <c r="C32" s="1880"/>
      <c r="D32" s="1853"/>
      <c r="E32" s="1853"/>
      <c r="F32" s="1853"/>
      <c r="G32" s="1881"/>
      <c r="H32" s="1882"/>
      <c r="I32" s="1883"/>
      <c r="J32" s="1884"/>
      <c r="K32" s="1873"/>
      <c r="L32" s="1873"/>
      <c r="M32" s="1873"/>
      <c r="N32" s="1873"/>
      <c r="O32" s="1879"/>
      <c r="P32" s="1879"/>
      <c r="Q32" s="1879"/>
    </row>
    <row r="33" spans="1:18" ht="139.9" customHeight="1">
      <c r="A33" s="1855">
        <f>A7+1</f>
        <v>2</v>
      </c>
      <c r="B33" s="1856"/>
      <c r="C33" s="2522" t="s">
        <v>3377</v>
      </c>
      <c r="D33" s="2522"/>
      <c r="E33" s="2522"/>
      <c r="F33" s="2522"/>
      <c r="G33" s="2522"/>
      <c r="H33" s="2522"/>
      <c r="I33" s="2522"/>
      <c r="J33" s="2522"/>
      <c r="K33" s="1851"/>
      <c r="L33" s="1851"/>
      <c r="M33" s="1851"/>
      <c r="N33" s="1851"/>
      <c r="O33" s="1866"/>
      <c r="P33" s="1867"/>
      <c r="Q33" s="1867"/>
    </row>
    <row r="34" spans="1:18">
      <c r="A34" s="1855"/>
      <c r="B34" s="1856"/>
      <c r="C34" s="1868"/>
      <c r="D34" s="1853"/>
      <c r="E34" s="1853"/>
      <c r="F34" s="1853"/>
      <c r="G34" s="1851"/>
      <c r="H34" s="1851"/>
      <c r="I34" s="1851"/>
      <c r="J34" s="1851"/>
      <c r="K34" s="1851"/>
      <c r="L34" s="1851"/>
      <c r="M34" s="1851"/>
      <c r="N34" s="1851"/>
      <c r="O34" s="1866"/>
      <c r="P34" s="1867"/>
      <c r="Q34" s="1867"/>
    </row>
    <row r="35" spans="1:18">
      <c r="A35" s="1855"/>
      <c r="B35" s="1856"/>
      <c r="C35" s="1868"/>
      <c r="D35" s="1853"/>
      <c r="E35" s="1853"/>
      <c r="F35" s="1853"/>
      <c r="G35" s="1851"/>
      <c r="H35" s="1851"/>
      <c r="I35" s="1851"/>
      <c r="J35" s="1851"/>
      <c r="K35" s="1851"/>
      <c r="L35" s="1851"/>
      <c r="M35" s="1851"/>
      <c r="N35" s="1851"/>
      <c r="O35" s="1866"/>
      <c r="P35" s="1867"/>
      <c r="Q35" s="1867"/>
    </row>
    <row r="36" spans="1:18" hidden="1">
      <c r="A36" s="1855"/>
      <c r="B36" s="1856"/>
      <c r="C36" s="1870"/>
      <c r="D36" s="1853"/>
      <c r="E36" s="1853"/>
      <c r="F36" s="1853"/>
      <c r="G36" s="1851"/>
      <c r="H36" s="1851"/>
      <c r="I36" s="1851"/>
      <c r="J36" s="1851"/>
      <c r="K36" s="1851"/>
      <c r="L36" s="1851"/>
      <c r="M36" s="1851"/>
      <c r="N36" s="1851"/>
      <c r="O36" s="1866"/>
      <c r="P36" s="1867"/>
      <c r="Q36" s="1867"/>
    </row>
    <row r="37" spans="1:18" hidden="1">
      <c r="A37" s="1855"/>
      <c r="B37" s="1856"/>
      <c r="C37" s="1870"/>
      <c r="D37" s="1853"/>
      <c r="E37" s="1853"/>
      <c r="F37" s="1853"/>
      <c r="G37" s="1851"/>
      <c r="H37" s="1851"/>
      <c r="I37" s="1851"/>
      <c r="J37" s="1851"/>
      <c r="K37" s="1851"/>
      <c r="L37" s="1851"/>
      <c r="M37" s="1851"/>
      <c r="N37" s="1851"/>
      <c r="O37" s="1866"/>
      <c r="P37" s="1867"/>
      <c r="Q37" s="1867"/>
    </row>
    <row r="38" spans="1:18" hidden="1">
      <c r="A38" s="1855"/>
      <c r="B38" s="1856"/>
      <c r="C38" s="1870"/>
      <c r="D38" s="1853"/>
      <c r="E38" s="1853"/>
      <c r="F38" s="1853"/>
      <c r="G38" s="1851"/>
      <c r="H38" s="1851"/>
      <c r="I38" s="1851"/>
      <c r="J38" s="1851"/>
      <c r="K38" s="1851"/>
      <c r="L38" s="1851"/>
      <c r="M38" s="1851"/>
      <c r="N38" s="1851"/>
      <c r="O38" s="1866"/>
      <c r="P38" s="1867"/>
      <c r="Q38" s="1867"/>
    </row>
    <row r="39" spans="1:18" hidden="1">
      <c r="A39" s="1855"/>
      <c r="B39" s="1856"/>
      <c r="C39" s="1870"/>
      <c r="D39" s="1853"/>
      <c r="E39" s="1853"/>
      <c r="F39" s="1853"/>
      <c r="G39" s="1851"/>
      <c r="H39" s="1851"/>
      <c r="I39" s="1851"/>
      <c r="J39" s="1851"/>
      <c r="K39" s="1851"/>
      <c r="L39" s="1851"/>
      <c r="M39" s="1851"/>
      <c r="N39" s="1851"/>
      <c r="O39" s="1866"/>
      <c r="P39" s="1867"/>
      <c r="Q39" s="1867"/>
    </row>
    <row r="40" spans="1:18" hidden="1">
      <c r="A40" s="1855"/>
      <c r="B40" s="1856"/>
      <c r="C40" s="1845"/>
      <c r="D40" s="1853"/>
      <c r="E40" s="1853"/>
      <c r="F40" s="1853"/>
      <c r="G40" s="1851"/>
      <c r="H40" s="1851"/>
      <c r="I40" s="1851"/>
      <c r="J40" s="1851"/>
      <c r="K40" s="1851"/>
      <c r="L40" s="1851"/>
      <c r="M40" s="1851"/>
      <c r="N40" s="1851"/>
      <c r="O40" s="1866"/>
      <c r="P40" s="1867"/>
      <c r="Q40" s="1867"/>
    </row>
    <row r="41" spans="1:18" hidden="1">
      <c r="A41" s="1855"/>
      <c r="B41" s="1856"/>
      <c r="C41" s="1845"/>
      <c r="D41" s="1853"/>
      <c r="E41" s="1853"/>
      <c r="F41" s="1853"/>
      <c r="G41" s="1851"/>
      <c r="H41" s="1851"/>
      <c r="I41" s="1851"/>
      <c r="J41" s="1851"/>
      <c r="K41" s="1851"/>
      <c r="L41" s="1851"/>
      <c r="M41" s="1851"/>
      <c r="N41" s="1851"/>
      <c r="O41" s="1866"/>
      <c r="P41" s="1867"/>
      <c r="Q41" s="1867"/>
    </row>
    <row r="42" spans="1:18" hidden="1">
      <c r="A42" s="1855"/>
      <c r="B42" s="1856"/>
      <c r="C42" s="1870"/>
      <c r="D42" s="1853"/>
      <c r="E42" s="1853"/>
      <c r="F42" s="1853"/>
      <c r="G42" s="1851"/>
      <c r="H42" s="1851"/>
      <c r="I42" s="1885"/>
      <c r="J42" s="1851"/>
      <c r="K42" s="1851"/>
      <c r="L42" s="1851"/>
      <c r="M42" s="1851"/>
      <c r="N42" s="1851"/>
      <c r="O42" s="1866"/>
      <c r="P42" s="1867"/>
      <c r="Q42" s="1867"/>
    </row>
    <row r="43" spans="1:18" ht="50.4" hidden="1" customHeight="1">
      <c r="A43" s="1855"/>
      <c r="B43" s="1856"/>
      <c r="C43" s="1870"/>
      <c r="D43" s="1853"/>
      <c r="E43" s="1853"/>
      <c r="F43" s="1853"/>
      <c r="G43" s="1851"/>
      <c r="H43" s="1851"/>
      <c r="I43" s="1885"/>
      <c r="J43" s="1851"/>
      <c r="K43" s="1851"/>
      <c r="L43" s="1851"/>
      <c r="M43" s="1851"/>
      <c r="N43" s="1851"/>
      <c r="O43" s="1866"/>
      <c r="P43" s="1867"/>
      <c r="Q43" s="1867"/>
    </row>
    <row r="44" spans="1:18" hidden="1">
      <c r="A44" s="1855"/>
      <c r="B44" s="1856"/>
      <c r="C44" s="1870"/>
      <c r="D44" s="1853"/>
      <c r="E44" s="1853"/>
      <c r="F44" s="1853"/>
      <c r="G44" s="1851"/>
      <c r="H44" s="1851"/>
      <c r="I44" s="1885"/>
      <c r="J44" s="1851"/>
      <c r="K44" s="1851"/>
      <c r="L44" s="1851"/>
      <c r="M44" s="1851"/>
      <c r="N44" s="1851"/>
      <c r="O44" s="1866"/>
      <c r="P44" s="1867"/>
      <c r="Q44" s="1867"/>
    </row>
    <row r="45" spans="1:18" hidden="1">
      <c r="A45" s="1855"/>
      <c r="B45" s="1856"/>
      <c r="C45" s="1870"/>
      <c r="D45" s="1853"/>
      <c r="E45" s="1853"/>
      <c r="F45" s="1853"/>
      <c r="G45" s="1851"/>
      <c r="H45" s="1851"/>
      <c r="I45" s="1885"/>
      <c r="J45" s="1851"/>
      <c r="K45" s="1851"/>
      <c r="L45" s="1851"/>
      <c r="M45" s="1851"/>
      <c r="N45" s="1851"/>
      <c r="O45" s="1866"/>
      <c r="P45" s="1867"/>
      <c r="Q45" s="1867"/>
      <c r="R45" s="1867"/>
    </row>
    <row r="46" spans="1:18" hidden="1">
      <c r="A46" s="1855"/>
      <c r="B46" s="1856"/>
      <c r="C46" s="1870"/>
      <c r="D46" s="1853"/>
      <c r="E46" s="1853"/>
      <c r="F46" s="1853"/>
      <c r="G46" s="1851"/>
      <c r="H46" s="1851"/>
      <c r="I46" s="1885"/>
      <c r="J46" s="1851"/>
      <c r="K46" s="1851"/>
      <c r="L46" s="1851"/>
      <c r="M46" s="1851"/>
      <c r="N46" s="1851"/>
      <c r="O46" s="1866"/>
      <c r="P46" s="1867"/>
      <c r="Q46" s="1867"/>
    </row>
    <row r="47" spans="1:18" hidden="1">
      <c r="A47" s="1855"/>
      <c r="B47" s="1856"/>
      <c r="C47" s="1865"/>
      <c r="D47" s="1853"/>
      <c r="E47" s="1853"/>
      <c r="F47" s="1853"/>
      <c r="G47" s="1851"/>
      <c r="H47" s="1851"/>
      <c r="I47" s="1885"/>
      <c r="J47" s="1851"/>
      <c r="K47" s="1851"/>
      <c r="L47" s="1851"/>
      <c r="M47" s="1851"/>
      <c r="N47" s="1851"/>
      <c r="O47" s="1866"/>
      <c r="P47" s="1867"/>
      <c r="Q47" s="1867"/>
    </row>
    <row r="48" spans="1:18" hidden="1">
      <c r="A48" s="1855"/>
      <c r="B48" s="1856"/>
      <c r="C48" s="1845"/>
      <c r="D48" s="1853"/>
      <c r="E48" s="1853"/>
      <c r="F48" s="1853"/>
      <c r="G48" s="1851"/>
      <c r="H48" s="1851"/>
      <c r="I48" s="1885"/>
      <c r="J48" s="1851"/>
      <c r="K48" s="1851"/>
      <c r="L48" s="1851"/>
      <c r="M48" s="1851"/>
      <c r="N48" s="1851"/>
      <c r="O48" s="1866"/>
      <c r="P48" s="1867"/>
      <c r="Q48" s="1867"/>
    </row>
    <row r="49" spans="1:17" hidden="1">
      <c r="A49" s="1855"/>
      <c r="B49" s="1856"/>
      <c r="C49" s="1870"/>
      <c r="D49" s="1853"/>
      <c r="E49" s="1853"/>
      <c r="F49" s="1853"/>
      <c r="G49" s="1851"/>
      <c r="H49" s="1885"/>
      <c r="I49" s="1885"/>
      <c r="J49" s="1851"/>
      <c r="K49" s="1851"/>
      <c r="L49" s="1851"/>
      <c r="M49" s="1851"/>
      <c r="N49" s="1851"/>
      <c r="O49" s="1866"/>
      <c r="P49" s="1867"/>
      <c r="Q49" s="1867"/>
    </row>
    <row r="50" spans="1:17" hidden="1">
      <c r="A50" s="1855"/>
      <c r="B50" s="1856"/>
      <c r="C50" s="1870"/>
      <c r="D50" s="1853"/>
      <c r="E50" s="1853"/>
      <c r="F50" s="1853"/>
      <c r="G50" s="1851"/>
      <c r="H50" s="1885"/>
      <c r="I50" s="1885"/>
      <c r="J50" s="1851"/>
      <c r="K50" s="1851"/>
      <c r="L50" s="1851"/>
      <c r="M50" s="1851"/>
      <c r="N50" s="1851"/>
      <c r="O50" s="1866"/>
      <c r="P50" s="1867"/>
      <c r="Q50" s="1867"/>
    </row>
    <row r="51" spans="1:17">
      <c r="A51" s="1855"/>
      <c r="B51" s="1856"/>
      <c r="C51" s="1870"/>
      <c r="D51" s="1853"/>
      <c r="E51" s="1853"/>
      <c r="F51" s="1853"/>
      <c r="G51" s="1851"/>
      <c r="H51" s="1885"/>
      <c r="I51" s="1885"/>
      <c r="J51" s="1851"/>
      <c r="K51" s="1851"/>
      <c r="L51" s="1851"/>
      <c r="M51" s="1851"/>
      <c r="N51" s="1851"/>
      <c r="O51" s="1866"/>
      <c r="P51" s="1867"/>
      <c r="Q51" s="1867"/>
    </row>
    <row r="52" spans="1:17">
      <c r="A52" s="1855"/>
      <c r="B52" s="1856"/>
      <c r="C52" s="1870"/>
      <c r="D52" s="1853"/>
      <c r="E52" s="1853"/>
      <c r="F52" s="1853"/>
      <c r="G52" s="1851"/>
      <c r="H52" s="1885"/>
      <c r="I52" s="1885"/>
      <c r="J52" s="1851"/>
      <c r="K52" s="1851"/>
      <c r="L52" s="1851"/>
      <c r="M52" s="1851"/>
      <c r="N52" s="1851"/>
      <c r="O52" s="1866"/>
      <c r="P52" s="1867"/>
      <c r="Q52" s="1867"/>
    </row>
    <row r="53" spans="1:17">
      <c r="A53" s="1855"/>
      <c r="B53" s="1856"/>
      <c r="C53" s="1870"/>
      <c r="D53" s="1853"/>
      <c r="E53" s="1853"/>
      <c r="F53" s="1853"/>
      <c r="G53" s="1851"/>
      <c r="H53" s="1885"/>
      <c r="I53" s="1885"/>
      <c r="J53" s="1851"/>
      <c r="K53" s="1851"/>
      <c r="L53" s="1851"/>
      <c r="M53" s="1851"/>
      <c r="N53" s="1851"/>
      <c r="O53" s="1866"/>
      <c r="P53" s="1867"/>
      <c r="Q53" s="1867"/>
    </row>
    <row r="54" spans="1:17">
      <c r="A54" s="1855"/>
      <c r="B54" s="1856"/>
      <c r="C54" s="1870"/>
      <c r="D54" s="1853"/>
      <c r="E54" s="1853"/>
      <c r="F54" s="1853"/>
      <c r="G54" s="1851"/>
      <c r="H54" s="1885"/>
      <c r="I54" s="1885"/>
      <c r="J54" s="1851"/>
      <c r="K54" s="1851"/>
      <c r="L54" s="1851"/>
      <c r="M54" s="1851"/>
      <c r="N54" s="1851"/>
      <c r="O54" s="1866"/>
      <c r="P54" s="1867"/>
      <c r="Q54" s="1867"/>
    </row>
    <row r="55" spans="1:17">
      <c r="A55" s="1855"/>
      <c r="B55" s="1856"/>
      <c r="C55" s="1877"/>
      <c r="D55" s="1853"/>
      <c r="E55" s="1853"/>
      <c r="F55" s="1853"/>
      <c r="G55" s="1851"/>
      <c r="H55" s="1851"/>
      <c r="I55" s="1851"/>
      <c r="J55" s="1871">
        <f>1.78+0.604+3.505</f>
        <v>5.8889999999999993</v>
      </c>
      <c r="K55" s="1851"/>
      <c r="L55" s="1851"/>
      <c r="M55" s="1851"/>
      <c r="N55" s="1851"/>
      <c r="O55" s="1866"/>
      <c r="P55" s="1867"/>
      <c r="Q55" s="1867"/>
    </row>
    <row r="56" spans="1:17" ht="15" customHeight="1">
      <c r="A56" s="1855"/>
      <c r="B56" s="1872"/>
      <c r="C56" s="1868"/>
      <c r="D56" s="1853"/>
      <c r="E56" s="1853"/>
      <c r="F56" s="1853"/>
      <c r="G56" s="1851"/>
      <c r="H56" s="1851"/>
      <c r="I56" s="1851"/>
      <c r="J56" s="1851" t="s">
        <v>525</v>
      </c>
      <c r="K56" s="1873"/>
      <c r="L56" s="1873"/>
      <c r="M56" s="1873"/>
      <c r="N56" s="1873"/>
      <c r="O56" s="1866"/>
      <c r="P56" s="1867"/>
      <c r="Q56" s="1867"/>
    </row>
    <row r="57" spans="1:17" ht="29.4" customHeight="1">
      <c r="A57" s="1855"/>
      <c r="B57" s="1872"/>
      <c r="C57" s="2524" t="s">
        <v>3389</v>
      </c>
      <c r="D57" s="2524"/>
      <c r="E57" s="2524"/>
      <c r="F57" s="2524"/>
      <c r="G57" s="2524"/>
      <c r="H57" s="2524"/>
      <c r="I57" s="2524"/>
      <c r="J57" s="1851">
        <f>J55</f>
        <v>5.8889999999999993</v>
      </c>
      <c r="K57" s="1873">
        <f>Datas!G177</f>
        <v>4155.8100000000004</v>
      </c>
      <c r="L57" s="1873"/>
      <c r="M57" s="1873">
        <f>ROUND(K57*J57,0)</f>
        <v>24474</v>
      </c>
      <c r="N57" s="1873">
        <f>SUM(L57:M57)</f>
        <v>24474</v>
      </c>
      <c r="O57" s="1866">
        <f>ROUND(0.9*75+0.45*40,2)</f>
        <v>85.5</v>
      </c>
      <c r="P57" s="1878">
        <f>ROUND(O57*J57,2)</f>
        <v>503.51</v>
      </c>
      <c r="Q57" s="1867"/>
    </row>
    <row r="58" spans="1:17" ht="15" customHeight="1">
      <c r="A58" s="1855"/>
      <c r="B58" s="1872"/>
      <c r="C58" s="1868"/>
      <c r="D58" s="1853"/>
      <c r="E58" s="1853"/>
      <c r="F58" s="1853"/>
      <c r="G58" s="1851"/>
      <c r="H58" s="1851"/>
      <c r="I58" s="1851"/>
      <c r="J58" s="1851" t="s">
        <v>525</v>
      </c>
      <c r="K58" s="1873" t="s">
        <v>658</v>
      </c>
      <c r="L58" s="1873"/>
      <c r="M58" s="1873"/>
      <c r="N58" s="1873"/>
      <c r="O58" s="1866"/>
      <c r="P58" s="1867"/>
      <c r="Q58" s="1867"/>
    </row>
    <row r="59" spans="1:17" ht="12.75" customHeight="1">
      <c r="A59" s="1850"/>
      <c r="B59" s="1880"/>
      <c r="C59" s="1880"/>
      <c r="D59" s="1880"/>
      <c r="E59" s="1880"/>
      <c r="F59" s="1880"/>
      <c r="G59" s="1850"/>
      <c r="H59" s="1850"/>
      <c r="I59" s="1850"/>
      <c r="J59" s="1886"/>
      <c r="K59" s="1880"/>
      <c r="L59" s="1880"/>
      <c r="M59" s="1880"/>
      <c r="N59" s="1880"/>
    </row>
    <row r="60" spans="1:17" ht="148.5" hidden="1" customHeight="1">
      <c r="A60" s="1855">
        <v>2</v>
      </c>
      <c r="B60" s="1856"/>
      <c r="C60" s="2522" t="s">
        <v>3390</v>
      </c>
      <c r="D60" s="2522"/>
      <c r="E60" s="2522"/>
      <c r="F60" s="2522"/>
      <c r="G60" s="2522"/>
      <c r="H60" s="2522"/>
      <c r="I60" s="2522"/>
      <c r="J60" s="2522"/>
      <c r="K60" s="1851"/>
      <c r="L60" s="1851"/>
      <c r="M60" s="1851"/>
      <c r="N60" s="1851"/>
      <c r="O60" s="1866"/>
      <c r="P60" s="1867"/>
      <c r="Q60" s="1867"/>
    </row>
    <row r="61" spans="1:17" ht="21.75" hidden="1" customHeight="1">
      <c r="A61" s="1855"/>
      <c r="B61" s="1856"/>
      <c r="C61" s="1877"/>
      <c r="D61" s="1853"/>
      <c r="E61" s="1853"/>
      <c r="F61" s="1853"/>
      <c r="G61" s="1851"/>
      <c r="H61" s="1851"/>
      <c r="I61" s="1851"/>
      <c r="J61" s="1851"/>
      <c r="K61" s="1851"/>
      <c r="L61" s="1851"/>
      <c r="M61" s="1851"/>
      <c r="N61" s="1851"/>
      <c r="O61" s="1866"/>
      <c r="P61" s="1867"/>
      <c r="Q61" s="1867"/>
    </row>
    <row r="62" spans="1:17" ht="21.75" hidden="1" customHeight="1">
      <c r="A62" s="1855"/>
      <c r="B62" s="1856"/>
      <c r="C62" s="1877"/>
      <c r="D62" s="1853"/>
      <c r="E62" s="1853"/>
      <c r="F62" s="1853"/>
      <c r="G62" s="1851"/>
      <c r="H62" s="1851"/>
      <c r="I62" s="1851"/>
      <c r="J62" s="1851"/>
      <c r="K62" s="1851"/>
      <c r="L62" s="1851"/>
      <c r="M62" s="1851"/>
      <c r="N62" s="1851"/>
      <c r="O62" s="1866"/>
      <c r="P62" s="1867"/>
      <c r="Q62" s="1867"/>
    </row>
    <row r="63" spans="1:17" ht="21.75" hidden="1" customHeight="1">
      <c r="A63" s="1855"/>
      <c r="B63" s="1856"/>
      <c r="C63" s="1887"/>
      <c r="D63" s="1853"/>
      <c r="E63" s="1853"/>
      <c r="F63" s="1853"/>
      <c r="G63" s="1851"/>
      <c r="H63" s="1851"/>
      <c r="I63" s="1851"/>
      <c r="J63" s="1851"/>
      <c r="K63" s="1851"/>
      <c r="L63" s="1851"/>
      <c r="M63" s="1851"/>
      <c r="N63" s="1851"/>
      <c r="O63" s="1866"/>
      <c r="P63" s="1867"/>
      <c r="Q63" s="1867"/>
    </row>
    <row r="64" spans="1:17" ht="21.75" hidden="1" customHeight="1">
      <c r="A64" s="1855"/>
      <c r="B64" s="1856"/>
      <c r="C64" s="1877"/>
      <c r="D64" s="1853"/>
      <c r="E64" s="1853"/>
      <c r="F64" s="1853"/>
      <c r="G64" s="1851"/>
      <c r="H64" s="1851"/>
      <c r="I64" s="1851"/>
      <c r="J64" s="1871">
        <f>SUM(J61:J63)</f>
        <v>0</v>
      </c>
      <c r="K64" s="1851"/>
      <c r="L64" s="1851"/>
      <c r="M64" s="1851"/>
      <c r="N64" s="1851"/>
      <c r="O64" s="1866"/>
      <c r="P64" s="1867"/>
      <c r="Q64" s="1867"/>
    </row>
    <row r="65" spans="1:17" ht="21.75" hidden="1" customHeight="1">
      <c r="A65" s="1855"/>
      <c r="B65" s="1872" t="s">
        <v>3391</v>
      </c>
      <c r="C65" s="2524" t="s">
        <v>270</v>
      </c>
      <c r="D65" s="2524"/>
      <c r="E65" s="2524"/>
      <c r="F65" s="2524"/>
      <c r="G65" s="2524"/>
      <c r="H65" s="2524"/>
      <c r="I65" s="2524"/>
      <c r="J65" s="1871">
        <f>CEILING(J64,0.05)</f>
        <v>0</v>
      </c>
      <c r="K65" s="1873">
        <f>[222]Datas!G116</f>
        <v>3704.87</v>
      </c>
      <c r="L65" s="1873"/>
      <c r="M65" s="1873">
        <f>ROUND(K65*J65,0)</f>
        <v>0</v>
      </c>
      <c r="N65" s="1873">
        <f>SUM(L65:M65)</f>
        <v>0</v>
      </c>
      <c r="O65" s="1866">
        <f>ROUND(0.9*75+0.45*40,2)</f>
        <v>85.5</v>
      </c>
      <c r="P65" s="1878">
        <f>ROUND(O65*J65,2)</f>
        <v>0</v>
      </c>
    </row>
    <row r="66" spans="1:17" ht="13.5" hidden="1" customHeight="1">
      <c r="A66" s="1855"/>
      <c r="B66" s="1872"/>
      <c r="C66" s="1859"/>
      <c r="D66" s="1853"/>
      <c r="E66" s="1853"/>
      <c r="F66" s="1853"/>
      <c r="G66" s="1888"/>
      <c r="H66" s="1851"/>
      <c r="I66" s="1851"/>
      <c r="J66" s="1885" t="s">
        <v>525</v>
      </c>
      <c r="K66" s="1873" t="s">
        <v>658</v>
      </c>
      <c r="L66" s="1873"/>
      <c r="M66" s="1873"/>
      <c r="N66" s="1873"/>
      <c r="O66" s="1866"/>
      <c r="P66" s="1879"/>
    </row>
    <row r="67" spans="1:17" ht="12.75" hidden="1" customHeight="1">
      <c r="A67" s="1850"/>
      <c r="B67" s="1880"/>
      <c r="C67" s="1880"/>
      <c r="D67" s="1880"/>
      <c r="E67" s="1880"/>
      <c r="F67" s="1880"/>
      <c r="G67" s="1850"/>
      <c r="H67" s="1850"/>
      <c r="I67" s="1850"/>
      <c r="J67" s="1886"/>
      <c r="K67" s="1880"/>
      <c r="L67" s="1880"/>
      <c r="M67" s="1880"/>
      <c r="N67" s="1880"/>
    </row>
    <row r="68" spans="1:17" ht="143.4" customHeight="1">
      <c r="A68" s="1855">
        <v>3</v>
      </c>
      <c r="B68" s="1856"/>
      <c r="C68" s="2527" t="str">
        <f>[221]Datas!C156</f>
        <v xml:space="preserve">Plain Cement concrete (1:4:8) using 40 mm metal with concrete mixture.           All work upto plinth level. nominal mix (cement: fine aggregate: Coarse aggregate) using 40mm size HBG  (SS5) metal from approved quarry including cost and conveyance of all materials like cement,  50% sand+50% Rock Sand  coarse aggregate, water etc. to site, including seigniorage charges, Countryes &amp; other taxes on all materials, all operational, incidental,  and labor charges such as mixing, laying and ramming concrete in layers in position not exceeding 15cm, finishing top surface, curing concrete,  etc., complete for finished item of work for Foundations and Flooring Bed (APSS No. 402) </v>
      </c>
      <c r="D68" s="2527"/>
      <c r="E68" s="2527"/>
      <c r="F68" s="2527"/>
      <c r="G68" s="2527"/>
      <c r="H68" s="2527"/>
      <c r="I68" s="2527"/>
      <c r="J68" s="2527"/>
      <c r="K68" s="1851"/>
      <c r="L68" s="1851"/>
      <c r="M68" s="1851"/>
      <c r="N68" s="1851"/>
      <c r="O68" s="1866"/>
      <c r="P68" s="1867"/>
      <c r="Q68" s="1867"/>
    </row>
    <row r="69" spans="1:17">
      <c r="A69" s="1855"/>
      <c r="B69" s="1856"/>
      <c r="C69" s="1868" t="s">
        <v>288</v>
      </c>
      <c r="D69" s="1853">
        <v>1</v>
      </c>
      <c r="E69" s="1853" t="s">
        <v>1472</v>
      </c>
      <c r="F69" s="1853">
        <v>9</v>
      </c>
      <c r="G69" s="1851"/>
      <c r="H69" s="1851"/>
      <c r="I69" s="1851"/>
      <c r="J69" s="1851"/>
      <c r="K69" s="1851"/>
      <c r="L69" s="1851"/>
      <c r="M69" s="1851"/>
      <c r="N69" s="1851"/>
      <c r="O69" s="1866"/>
      <c r="P69" s="1867"/>
      <c r="Q69" s="1867"/>
    </row>
    <row r="70" spans="1:17">
      <c r="A70" s="1855"/>
      <c r="B70" s="1856"/>
      <c r="C70" s="1877"/>
      <c r="D70" s="1853"/>
      <c r="E70" s="1853"/>
      <c r="F70" s="1853"/>
      <c r="G70" s="1851"/>
      <c r="H70" s="1851"/>
      <c r="I70" s="1851"/>
      <c r="J70" s="1871">
        <v>3.04</v>
      </c>
      <c r="K70" s="1851"/>
      <c r="L70" s="1851"/>
      <c r="M70" s="1851"/>
      <c r="N70" s="1851"/>
      <c r="O70" s="1866"/>
      <c r="P70" s="1867"/>
      <c r="Q70" s="1867"/>
    </row>
    <row r="71" spans="1:17">
      <c r="A71" s="1855"/>
      <c r="B71" s="1872"/>
      <c r="C71" s="1868"/>
      <c r="D71" s="1853"/>
      <c r="E71" s="1853"/>
      <c r="F71" s="1853"/>
      <c r="G71" s="1851"/>
      <c r="H71" s="1851"/>
      <c r="I71" s="1851"/>
      <c r="J71" s="1851" t="s">
        <v>525</v>
      </c>
      <c r="K71" s="1873"/>
      <c r="L71" s="1873"/>
      <c r="M71" s="1873"/>
      <c r="N71" s="1873"/>
      <c r="O71" s="1866"/>
      <c r="P71" s="1867"/>
      <c r="Q71" s="1867"/>
    </row>
    <row r="72" spans="1:17">
      <c r="A72" s="1855"/>
      <c r="B72" s="1872"/>
      <c r="C72" s="2524" t="s">
        <v>3389</v>
      </c>
      <c r="D72" s="2524"/>
      <c r="E72" s="2524"/>
      <c r="F72" s="2524"/>
      <c r="G72" s="2524"/>
      <c r="H72" s="2524"/>
      <c r="I72" s="2524"/>
      <c r="J72" s="1851">
        <f>J70</f>
        <v>3.04</v>
      </c>
      <c r="K72" s="1873">
        <f>Datas!G154</f>
        <v>4371.4635670906127</v>
      </c>
      <c r="L72" s="1873"/>
      <c r="M72" s="1873">
        <f>ROUND(K72*J72,0)</f>
        <v>13289</v>
      </c>
      <c r="N72" s="1873">
        <f>SUM(L72:M72)</f>
        <v>13289</v>
      </c>
      <c r="O72" s="1866">
        <f>ROUND(0.9*75+0.45*40,2)</f>
        <v>85.5</v>
      </c>
      <c r="P72" s="1878">
        <f>ROUND(O72*J72,2)</f>
        <v>259.92</v>
      </c>
      <c r="Q72" s="1867"/>
    </row>
    <row r="73" spans="1:17">
      <c r="A73" s="1855"/>
      <c r="B73" s="1872"/>
      <c r="C73" s="1868"/>
      <c r="D73" s="1853"/>
      <c r="E73" s="1853"/>
      <c r="F73" s="1853"/>
      <c r="G73" s="1851"/>
      <c r="H73" s="1851"/>
      <c r="I73" s="1851"/>
      <c r="J73" s="1851" t="s">
        <v>525</v>
      </c>
      <c r="K73" s="1873" t="s">
        <v>658</v>
      </c>
      <c r="L73" s="1873"/>
      <c r="M73" s="1873"/>
      <c r="N73" s="1873"/>
      <c r="O73" s="1866"/>
      <c r="P73" s="1867"/>
      <c r="Q73" s="1867"/>
    </row>
    <row r="74" spans="1:17">
      <c r="A74" s="1850"/>
      <c r="B74" s="1880"/>
      <c r="C74" s="1880"/>
      <c r="D74" s="1880"/>
      <c r="E74" s="1880"/>
      <c r="F74" s="1880"/>
      <c r="G74" s="1850"/>
      <c r="H74" s="1850"/>
      <c r="I74" s="1850"/>
      <c r="J74" s="1886"/>
      <c r="K74" s="1880"/>
      <c r="L74" s="1880"/>
      <c r="M74" s="1880"/>
      <c r="N74" s="1880"/>
    </row>
    <row r="75" spans="1:17" ht="117" customHeight="1">
      <c r="A75" s="1855">
        <v>4</v>
      </c>
      <c r="B75" s="1856"/>
      <c r="C75" s="2526" t="s">
        <v>3392</v>
      </c>
      <c r="D75" s="2526"/>
      <c r="E75" s="2526"/>
      <c r="F75" s="2526"/>
      <c r="G75" s="2526"/>
      <c r="H75" s="2526"/>
      <c r="I75" s="2526"/>
      <c r="J75" s="2526"/>
      <c r="K75" s="1851"/>
      <c r="L75" s="1851"/>
      <c r="M75" s="1851"/>
      <c r="N75" s="1851"/>
      <c r="O75" s="1866"/>
      <c r="P75" s="1867"/>
      <c r="Q75" s="1867"/>
    </row>
    <row r="76" spans="1:17" ht="28.2">
      <c r="A76" s="1855"/>
      <c r="B76" s="1856"/>
      <c r="C76" s="1859" t="s">
        <v>657</v>
      </c>
      <c r="D76" s="1877"/>
      <c r="E76" s="1877"/>
      <c r="F76" s="1877"/>
      <c r="G76" s="1889"/>
      <c r="H76" s="1889"/>
      <c r="I76" s="1889"/>
      <c r="J76" s="1889"/>
      <c r="K76" s="1851"/>
      <c r="L76" s="1851"/>
      <c r="M76" s="1851"/>
      <c r="N76" s="1851"/>
      <c r="O76" s="1866"/>
      <c r="P76" s="1867"/>
      <c r="Q76" s="1867"/>
    </row>
    <row r="77" spans="1:17" hidden="1">
      <c r="A77" s="1855"/>
      <c r="B77" s="1856"/>
      <c r="C77" s="1868"/>
      <c r="D77" s="1853"/>
      <c r="E77" s="1853"/>
      <c r="F77" s="1853"/>
      <c r="G77" s="1851"/>
      <c r="H77" s="1851"/>
      <c r="I77" s="1851"/>
      <c r="J77" s="1851"/>
      <c r="K77" s="1851"/>
      <c r="L77" s="1851"/>
      <c r="M77" s="1851"/>
      <c r="N77" s="1851"/>
      <c r="O77" s="1866"/>
      <c r="P77" s="1867"/>
      <c r="Q77" s="1867"/>
    </row>
    <row r="78" spans="1:17" hidden="1">
      <c r="A78" s="1855"/>
      <c r="B78" s="1856"/>
      <c r="C78" s="1868"/>
      <c r="D78" s="1853"/>
      <c r="E78" s="1853"/>
      <c r="F78" s="1853"/>
      <c r="G78" s="1851"/>
      <c r="H78" s="1851"/>
      <c r="I78" s="1851"/>
      <c r="J78" s="1851"/>
      <c r="K78" s="1851"/>
      <c r="L78" s="1851"/>
      <c r="M78" s="1851"/>
      <c r="N78" s="1851"/>
      <c r="O78" s="1866"/>
      <c r="P78" s="1867"/>
      <c r="Q78" s="1867"/>
    </row>
    <row r="79" spans="1:17" hidden="1">
      <c r="A79" s="1855"/>
      <c r="B79" s="1856"/>
      <c r="C79" s="1868"/>
      <c r="D79" s="1853"/>
      <c r="E79" s="1853"/>
      <c r="F79" s="1853"/>
      <c r="G79" s="1851"/>
      <c r="H79" s="1851"/>
      <c r="I79" s="1851"/>
      <c r="J79" s="1851"/>
      <c r="K79" s="1851"/>
      <c r="L79" s="1851"/>
      <c r="M79" s="1851"/>
      <c r="N79" s="1851"/>
      <c r="O79" s="1866"/>
      <c r="P79" s="1867"/>
      <c r="Q79" s="1867"/>
    </row>
    <row r="80" spans="1:17" hidden="1">
      <c r="A80" s="1855"/>
      <c r="B80" s="1856"/>
      <c r="C80" s="1868"/>
      <c r="D80" s="1853"/>
      <c r="E80" s="1853"/>
      <c r="F80" s="1853"/>
      <c r="G80" s="1851"/>
      <c r="H80" s="1851"/>
      <c r="I80" s="1851"/>
      <c r="J80" s="1851"/>
      <c r="K80" s="1851"/>
      <c r="L80" s="1851"/>
      <c r="M80" s="1851"/>
      <c r="N80" s="1851"/>
      <c r="O80" s="1866"/>
      <c r="P80" s="1867"/>
      <c r="Q80" s="1867"/>
    </row>
    <row r="81" spans="1:18" hidden="1">
      <c r="A81" s="1855"/>
      <c r="B81" s="1856"/>
      <c r="C81" s="1859"/>
      <c r="D81" s="1877"/>
      <c r="E81" s="1877"/>
      <c r="F81" s="1877"/>
      <c r="G81" s="1889"/>
      <c r="H81" s="1889"/>
      <c r="I81" s="1889"/>
      <c r="J81" s="1889"/>
      <c r="K81" s="1851"/>
      <c r="L81" s="1851"/>
      <c r="M81" s="1851"/>
      <c r="N81" s="1851"/>
      <c r="O81" s="1866"/>
      <c r="P81" s="1867"/>
      <c r="Q81" s="1867"/>
    </row>
    <row r="82" spans="1:18" hidden="1">
      <c r="A82" s="1855"/>
      <c r="B82" s="1856"/>
      <c r="C82" s="1868"/>
      <c r="D82" s="1853"/>
      <c r="E82" s="1853"/>
      <c r="F82" s="1853"/>
      <c r="G82" s="1851"/>
      <c r="H82" s="1851"/>
      <c r="I82" s="1851"/>
      <c r="J82" s="1851"/>
      <c r="K82" s="1851"/>
      <c r="L82" s="1851"/>
      <c r="M82" s="1851"/>
      <c r="N82" s="1851"/>
      <c r="O82" s="1866"/>
      <c r="P82" s="1867"/>
      <c r="Q82" s="1867"/>
    </row>
    <row r="83" spans="1:18" hidden="1">
      <c r="A83" s="1855"/>
      <c r="B83" s="1856"/>
      <c r="C83" s="1868"/>
      <c r="D83" s="1853"/>
      <c r="E83" s="1853"/>
      <c r="F83" s="1853"/>
      <c r="G83" s="1851"/>
      <c r="H83" s="1851"/>
      <c r="I83" s="1851"/>
      <c r="J83" s="1851"/>
      <c r="K83" s="1851"/>
      <c r="L83" s="1851"/>
      <c r="M83" s="1851"/>
      <c r="N83" s="1851"/>
      <c r="O83" s="1866"/>
      <c r="P83" s="1867"/>
      <c r="Q83" s="1867"/>
    </row>
    <row r="84" spans="1:18" hidden="1">
      <c r="A84" s="1855"/>
      <c r="B84" s="1856"/>
      <c r="C84" s="1868"/>
      <c r="D84" s="1853"/>
      <c r="E84" s="1853"/>
      <c r="F84" s="1853"/>
      <c r="G84" s="1851"/>
      <c r="H84" s="1851"/>
      <c r="I84" s="1851"/>
      <c r="J84" s="1851"/>
      <c r="K84" s="1851"/>
      <c r="L84" s="1851"/>
      <c r="M84" s="1851"/>
      <c r="N84" s="1851"/>
      <c r="O84" s="1866"/>
      <c r="P84" s="1867"/>
      <c r="Q84" s="1867"/>
    </row>
    <row r="85" spans="1:18" hidden="1">
      <c r="A85" s="1855"/>
      <c r="B85" s="1856"/>
      <c r="C85" s="1887"/>
      <c r="D85" s="1853"/>
      <c r="E85" s="1853"/>
      <c r="F85" s="1853"/>
      <c r="G85" s="1851"/>
      <c r="H85" s="1851"/>
      <c r="I85" s="1851"/>
      <c r="J85" s="1851"/>
      <c r="K85" s="1851"/>
      <c r="L85" s="1851"/>
      <c r="M85" s="1851"/>
      <c r="N85" s="1851"/>
      <c r="O85" s="1866"/>
      <c r="P85" s="1867"/>
      <c r="Q85" s="1867"/>
    </row>
    <row r="86" spans="1:18" hidden="1">
      <c r="A86" s="1855"/>
      <c r="B86" s="1856"/>
      <c r="C86" s="1887"/>
      <c r="D86" s="1853"/>
      <c r="E86" s="1853"/>
      <c r="F86" s="1853"/>
      <c r="G86" s="1851"/>
      <c r="H86" s="1851"/>
      <c r="I86" s="1851"/>
      <c r="J86" s="1851"/>
      <c r="K86" s="1851"/>
      <c r="L86" s="1851"/>
      <c r="M86" s="1851"/>
      <c r="N86" s="1851"/>
      <c r="O86" s="1866"/>
      <c r="P86" s="1867"/>
      <c r="Q86" s="1867"/>
    </row>
    <row r="87" spans="1:18" hidden="1">
      <c r="A87" s="1855"/>
      <c r="B87" s="1856"/>
      <c r="C87" s="1887"/>
      <c r="D87" s="1853"/>
      <c r="E87" s="1853"/>
      <c r="F87" s="1853"/>
      <c r="G87" s="1851"/>
      <c r="H87" s="1851"/>
      <c r="I87" s="1851"/>
      <c r="J87" s="1851"/>
      <c r="K87" s="1851"/>
      <c r="L87" s="1851"/>
      <c r="M87" s="1851"/>
      <c r="N87" s="1851"/>
      <c r="O87" s="1866"/>
      <c r="P87" s="1867"/>
      <c r="Q87" s="1867"/>
      <c r="R87" s="1867"/>
    </row>
    <row r="88" spans="1:18" hidden="1">
      <c r="A88" s="1855"/>
      <c r="B88" s="1856"/>
      <c r="C88" s="1887"/>
      <c r="D88" s="1853"/>
      <c r="E88" s="1853"/>
      <c r="F88" s="1853"/>
      <c r="G88" s="1851"/>
      <c r="H88" s="1851"/>
      <c r="I88" s="1851"/>
      <c r="J88" s="1851"/>
      <c r="K88" s="1851"/>
      <c r="L88" s="1851"/>
      <c r="M88" s="1851"/>
      <c r="N88" s="1851"/>
      <c r="O88" s="1866"/>
      <c r="P88" s="1867"/>
      <c r="Q88" s="1867"/>
      <c r="R88" s="1867"/>
    </row>
    <row r="89" spans="1:18" hidden="1">
      <c r="A89" s="1855"/>
      <c r="B89" s="1856"/>
      <c r="C89" s="1887"/>
      <c r="D89" s="1853"/>
      <c r="E89" s="1853"/>
      <c r="F89" s="1853"/>
      <c r="G89" s="1851"/>
      <c r="H89" s="1851"/>
      <c r="I89" s="1851"/>
      <c r="J89" s="1851"/>
      <c r="K89" s="1851"/>
      <c r="L89" s="1851"/>
      <c r="M89" s="1851"/>
      <c r="N89" s="1851"/>
      <c r="O89" s="1866"/>
      <c r="P89" s="1867"/>
      <c r="Q89" s="1867"/>
    </row>
    <row r="90" spans="1:18">
      <c r="A90" s="1855"/>
      <c r="B90" s="1856"/>
      <c r="C90" s="1887"/>
      <c r="D90" s="1853"/>
      <c r="E90" s="1853"/>
      <c r="F90" s="1853"/>
      <c r="G90" s="1851"/>
      <c r="H90" s="1851"/>
      <c r="I90" s="1851"/>
      <c r="J90" s="1851"/>
      <c r="K90" s="1851"/>
      <c r="L90" s="1851"/>
      <c r="M90" s="1851"/>
      <c r="N90" s="1851"/>
      <c r="O90" s="1866"/>
      <c r="P90" s="1867"/>
      <c r="Q90" s="1867"/>
    </row>
    <row r="91" spans="1:18">
      <c r="A91" s="1855"/>
      <c r="B91" s="1856"/>
      <c r="C91" s="1887"/>
      <c r="D91" s="1853"/>
      <c r="E91" s="1853"/>
      <c r="F91" s="1853"/>
      <c r="G91" s="1851"/>
      <c r="H91" s="1851"/>
      <c r="I91" s="1851"/>
      <c r="J91" s="1871">
        <v>22.63</v>
      </c>
      <c r="K91" s="1851"/>
      <c r="L91" s="1851"/>
      <c r="M91" s="1851"/>
      <c r="N91" s="1851"/>
      <c r="O91" s="1866"/>
      <c r="P91" s="1867"/>
      <c r="Q91" s="1890"/>
    </row>
    <row r="92" spans="1:18">
      <c r="A92" s="1855"/>
      <c r="B92" s="1856"/>
      <c r="C92" s="1870"/>
      <c r="D92" s="1853"/>
      <c r="E92" s="1853"/>
      <c r="F92" s="1853"/>
      <c r="G92" s="1851"/>
      <c r="H92" s="1851"/>
      <c r="I92" s="1851"/>
      <c r="J92" s="1871" t="s">
        <v>656</v>
      </c>
      <c r="K92" s="1851"/>
      <c r="L92" s="1851"/>
      <c r="M92" s="1851"/>
      <c r="N92" s="1851"/>
      <c r="O92" s="1866"/>
      <c r="P92" s="1867"/>
      <c r="Q92" s="1890"/>
    </row>
    <row r="93" spans="1:18">
      <c r="A93" s="1855"/>
      <c r="B93" s="1872"/>
      <c r="C93" s="2524" t="s">
        <v>3389</v>
      </c>
      <c r="D93" s="2524"/>
      <c r="E93" s="2524"/>
      <c r="F93" s="2524"/>
      <c r="G93" s="2524"/>
      <c r="H93" s="2524"/>
      <c r="I93" s="2524"/>
      <c r="J93" s="1851">
        <f>J91</f>
        <v>22.63</v>
      </c>
      <c r="K93" s="1873">
        <f>Datas!G196</f>
        <v>3626.63</v>
      </c>
      <c r="L93" s="1873"/>
      <c r="M93" s="1873">
        <f>ROUND(K93*J93,0)</f>
        <v>82071</v>
      </c>
      <c r="N93" s="1873">
        <f>SUM(L93:M93)</f>
        <v>82071</v>
      </c>
      <c r="O93" s="1866">
        <f>ROUND(1.1*75+0.33*40,2)</f>
        <v>95.7</v>
      </c>
      <c r="P93" s="1878">
        <f>ROUND(O93*J93,2)</f>
        <v>2165.69</v>
      </c>
    </row>
    <row r="94" spans="1:18">
      <c r="A94" s="1855"/>
      <c r="B94" s="1872"/>
      <c r="C94" s="1859"/>
      <c r="D94" s="1853"/>
      <c r="E94" s="1853"/>
      <c r="F94" s="1853"/>
      <c r="G94" s="1888"/>
      <c r="H94" s="1851"/>
      <c r="I94" s="1851"/>
      <c r="J94" s="1885" t="s">
        <v>525</v>
      </c>
      <c r="K94" s="1873" t="s">
        <v>658</v>
      </c>
      <c r="L94" s="1873"/>
      <c r="M94" s="1873"/>
      <c r="N94" s="1873"/>
      <c r="O94" s="1866"/>
      <c r="P94" s="1879"/>
    </row>
    <row r="95" spans="1:18">
      <c r="A95" s="1850"/>
      <c r="B95" s="1880"/>
      <c r="C95" s="1880"/>
      <c r="D95" s="1880"/>
      <c r="E95" s="1880"/>
      <c r="F95" s="1880"/>
      <c r="G95" s="1850"/>
      <c r="H95" s="1850"/>
      <c r="I95" s="1850"/>
      <c r="J95" s="1886"/>
      <c r="K95" s="1880"/>
      <c r="L95" s="1880"/>
      <c r="M95" s="1880"/>
      <c r="N95" s="1880"/>
    </row>
    <row r="96" spans="1:18" ht="126" hidden="1" customHeight="1">
      <c r="A96" s="1855">
        <v>4</v>
      </c>
      <c r="B96" s="1856"/>
      <c r="C96" s="2527" t="s">
        <v>3399</v>
      </c>
      <c r="D96" s="2527"/>
      <c r="E96" s="2527"/>
      <c r="F96" s="2527"/>
      <c r="G96" s="2527"/>
      <c r="H96" s="2527"/>
      <c r="I96" s="2527"/>
      <c r="J96" s="2527"/>
      <c r="K96" s="1851"/>
      <c r="L96" s="1851"/>
      <c r="M96" s="1851"/>
      <c r="N96" s="1851"/>
      <c r="O96" s="1866"/>
      <c r="P96" s="1867"/>
      <c r="Q96" s="1867"/>
    </row>
    <row r="97" spans="1:17" ht="28.2" hidden="1">
      <c r="A97" s="1855"/>
      <c r="B97" s="1856"/>
      <c r="C97" s="1859" t="s">
        <v>3273</v>
      </c>
      <c r="D97" s="1877"/>
      <c r="E97" s="1877"/>
      <c r="F97" s="1877"/>
      <c r="G97" s="1889"/>
      <c r="H97" s="1889"/>
      <c r="I97" s="1889"/>
      <c r="J97" s="1889"/>
      <c r="K97" s="1851"/>
      <c r="L97" s="1851"/>
      <c r="M97" s="1851"/>
      <c r="N97" s="1851"/>
      <c r="O97" s="1866"/>
      <c r="P97" s="1867"/>
      <c r="Q97" s="1867"/>
    </row>
    <row r="98" spans="1:17" ht="21.75" hidden="1" customHeight="1">
      <c r="A98" s="1855"/>
      <c r="B98" s="1856"/>
      <c r="C98" s="1868"/>
      <c r="D98" s="1853"/>
      <c r="E98" s="1853"/>
      <c r="F98" s="1853"/>
      <c r="G98" s="1851"/>
      <c r="H98" s="1851"/>
      <c r="I98" s="1851"/>
      <c r="J98" s="1851"/>
      <c r="K98" s="1851"/>
      <c r="L98" s="1851"/>
      <c r="M98" s="1851"/>
      <c r="N98" s="1851"/>
      <c r="O98" s="1866"/>
      <c r="P98" s="1867"/>
      <c r="Q98" s="1867"/>
    </row>
    <row r="99" spans="1:17" ht="21.75" hidden="1" customHeight="1">
      <c r="A99" s="1855"/>
      <c r="B99" s="1856"/>
      <c r="C99" s="1868"/>
      <c r="D99" s="1853"/>
      <c r="E99" s="1853"/>
      <c r="F99" s="1853"/>
      <c r="G99" s="1851"/>
      <c r="H99" s="1851"/>
      <c r="I99" s="1851"/>
      <c r="J99" s="1851"/>
      <c r="K99" s="1851"/>
      <c r="L99" s="1851"/>
      <c r="M99" s="1851"/>
      <c r="N99" s="1851"/>
      <c r="O99" s="1866"/>
      <c r="P99" s="1867"/>
      <c r="Q99" s="1867"/>
    </row>
    <row r="100" spans="1:17" ht="21.75" hidden="1" customHeight="1">
      <c r="A100" s="1855"/>
      <c r="B100" s="1856"/>
      <c r="C100" s="1868"/>
      <c r="D100" s="1853"/>
      <c r="E100" s="1853"/>
      <c r="F100" s="1853"/>
      <c r="G100" s="1851"/>
      <c r="H100" s="1851"/>
      <c r="I100" s="1851"/>
      <c r="J100" s="1851"/>
      <c r="K100" s="1851"/>
      <c r="L100" s="1851"/>
      <c r="M100" s="1851"/>
      <c r="N100" s="1851"/>
      <c r="O100" s="1866"/>
      <c r="P100" s="1867"/>
      <c r="Q100" s="1867"/>
    </row>
    <row r="101" spans="1:17" ht="21.75" hidden="1" customHeight="1">
      <c r="A101" s="1855"/>
      <c r="B101" s="1856"/>
      <c r="C101" s="1887"/>
      <c r="D101" s="1853"/>
      <c r="E101" s="1853"/>
      <c r="F101" s="1853"/>
      <c r="G101" s="1851"/>
      <c r="H101" s="1851"/>
      <c r="I101" s="1851"/>
      <c r="J101" s="1871">
        <f>SUM(J98:J100)</f>
        <v>0</v>
      </c>
      <c r="K101" s="1851"/>
      <c r="L101" s="1851"/>
      <c r="M101" s="1851"/>
      <c r="N101" s="1851"/>
      <c r="O101" s="1866"/>
      <c r="P101" s="1867"/>
      <c r="Q101" s="1867"/>
    </row>
    <row r="102" spans="1:17" ht="21.75" hidden="1" customHeight="1">
      <c r="A102" s="1855"/>
      <c r="B102" s="1872" t="s">
        <v>3400</v>
      </c>
      <c r="C102" s="2524" t="s">
        <v>270</v>
      </c>
      <c r="D102" s="2524"/>
      <c r="E102" s="2524"/>
      <c r="F102" s="2524"/>
      <c r="G102" s="2524"/>
      <c r="H102" s="2524"/>
      <c r="I102" s="2524"/>
      <c r="J102" s="1871">
        <f>CEILING(J101,0.05)</f>
        <v>0</v>
      </c>
      <c r="K102" s="1873">
        <f>[222]Datas!G179</f>
        <v>2949.48</v>
      </c>
      <c r="L102" s="1873"/>
      <c r="M102" s="1873">
        <f>ROUND(K102*J102,0)</f>
        <v>0</v>
      </c>
      <c r="N102" s="1873">
        <f>SUM(L102:M102)</f>
        <v>0</v>
      </c>
      <c r="O102" s="1891">
        <f>ROUND(1.1*75+0.32*40,2)</f>
        <v>95.3</v>
      </c>
      <c r="P102" s="1878">
        <f>ROUND(O102*J102,2)</f>
        <v>0</v>
      </c>
      <c r="Q102" s="1890"/>
    </row>
    <row r="103" spans="1:17" ht="21.75" hidden="1" customHeight="1">
      <c r="A103" s="1855"/>
      <c r="B103" s="1892"/>
      <c r="C103" s="1880"/>
      <c r="D103" s="1892"/>
      <c r="E103" s="1880"/>
      <c r="F103" s="1883"/>
      <c r="G103" s="1893"/>
      <c r="H103" s="1893"/>
      <c r="I103" s="1874"/>
      <c r="J103" s="1871" t="s">
        <v>656</v>
      </c>
      <c r="K103" s="1894" t="s">
        <v>658</v>
      </c>
      <c r="L103" s="1894"/>
      <c r="M103" s="1894"/>
      <c r="N103" s="1894"/>
      <c r="O103" s="1891"/>
      <c r="P103" s="1890"/>
      <c r="Q103" s="1867"/>
    </row>
    <row r="104" spans="1:17" ht="12.75" hidden="1" customHeight="1">
      <c r="A104" s="1850"/>
      <c r="B104" s="1880"/>
      <c r="C104" s="1880"/>
      <c r="D104" s="1880"/>
      <c r="E104" s="1880"/>
      <c r="F104" s="1880"/>
      <c r="G104" s="1850"/>
      <c r="H104" s="1850"/>
      <c r="I104" s="1850"/>
      <c r="J104" s="1886"/>
      <c r="K104" s="1880"/>
      <c r="L104" s="1880"/>
      <c r="M104" s="1880"/>
      <c r="N104" s="1880"/>
    </row>
    <row r="105" spans="1:17" ht="81" customHeight="1">
      <c r="A105" s="1855">
        <f>A75+1</f>
        <v>5</v>
      </c>
      <c r="B105" s="1856"/>
      <c r="C105" s="2527" t="s">
        <v>3401</v>
      </c>
      <c r="D105" s="2527"/>
      <c r="E105" s="2527"/>
      <c r="F105" s="2527"/>
      <c r="G105" s="2527"/>
      <c r="H105" s="2527"/>
      <c r="I105" s="2527"/>
      <c r="J105" s="2527"/>
      <c r="K105" s="1851"/>
      <c r="L105" s="1851"/>
      <c r="M105" s="1851"/>
      <c r="N105" s="1851"/>
      <c r="O105" s="1866"/>
      <c r="P105" s="1867"/>
      <c r="Q105" s="1867"/>
    </row>
    <row r="106" spans="1:17">
      <c r="A106" s="1855" t="s">
        <v>659</v>
      </c>
      <c r="B106" s="1856"/>
      <c r="C106" s="1845" t="s">
        <v>660</v>
      </c>
      <c r="D106" s="1853"/>
      <c r="E106" s="1853"/>
      <c r="F106" s="1853"/>
      <c r="G106" s="1851"/>
      <c r="H106" s="1851"/>
      <c r="I106" s="1851"/>
      <c r="J106" s="1851"/>
      <c r="K106" s="1851"/>
      <c r="L106" s="1851"/>
      <c r="M106" s="1851"/>
      <c r="N106" s="1851"/>
      <c r="O106" s="1866"/>
      <c r="P106" s="1867"/>
      <c r="Q106" s="1867"/>
    </row>
    <row r="107" spans="1:17">
      <c r="A107" s="1855"/>
      <c r="B107" s="1856"/>
      <c r="C107" s="1877"/>
      <c r="D107" s="1853"/>
      <c r="E107" s="1853"/>
      <c r="F107" s="1853"/>
      <c r="G107" s="1851"/>
      <c r="H107" s="1851"/>
      <c r="I107" s="1885"/>
      <c r="J107" s="1851">
        <v>4.92</v>
      </c>
      <c r="K107" s="1851"/>
      <c r="L107" s="1851"/>
      <c r="M107" s="1851"/>
      <c r="N107" s="1851"/>
      <c r="O107" s="1866"/>
      <c r="P107" s="1867"/>
      <c r="Q107" s="1867"/>
    </row>
    <row r="108" spans="1:17">
      <c r="A108" s="1855"/>
      <c r="B108" s="1856"/>
      <c r="C108" s="1887"/>
      <c r="D108" s="1853"/>
      <c r="E108" s="1853"/>
      <c r="F108" s="1853"/>
      <c r="G108" s="1851"/>
      <c r="H108" s="1851"/>
      <c r="I108" s="1851"/>
      <c r="J108" s="1871" t="s">
        <v>656</v>
      </c>
      <c r="K108" s="1851"/>
      <c r="L108" s="1871"/>
      <c r="M108" s="1871"/>
      <c r="N108" s="1871"/>
      <c r="O108" s="1891"/>
      <c r="P108" s="1890"/>
      <c r="Q108" s="1867"/>
    </row>
    <row r="109" spans="1:17">
      <c r="A109" s="1855"/>
      <c r="B109" s="1872"/>
      <c r="C109" s="2524" t="s">
        <v>3389</v>
      </c>
      <c r="D109" s="2524"/>
      <c r="E109" s="2524"/>
      <c r="F109" s="2524"/>
      <c r="G109" s="2524"/>
      <c r="H109" s="2524"/>
      <c r="I109" s="2524"/>
      <c r="J109" s="1871">
        <f>J107</f>
        <v>4.92</v>
      </c>
      <c r="K109" s="1873">
        <f>Datas!G321</f>
        <v>8788.51</v>
      </c>
      <c r="L109" s="1873"/>
      <c r="M109" s="1873">
        <f>ROUND(K109*J109,0)</f>
        <v>43239</v>
      </c>
      <c r="N109" s="1873">
        <f>SUM(L109:M109)</f>
        <v>43239</v>
      </c>
      <c r="O109" s="1866">
        <f>ROUND(0.9*75+0.45*40,2)</f>
        <v>85.5</v>
      </c>
      <c r="P109" s="1878">
        <f>ROUND(O109*J109,2)</f>
        <v>420.66</v>
      </c>
      <c r="Q109" s="1867"/>
    </row>
    <row r="110" spans="1:17" ht="15" customHeight="1">
      <c r="A110" s="1855"/>
      <c r="B110" s="1892"/>
      <c r="C110" s="1880"/>
      <c r="D110" s="1892"/>
      <c r="E110" s="1880"/>
      <c r="F110" s="1883"/>
      <c r="G110" s="1881"/>
      <c r="H110" s="1881"/>
      <c r="I110" s="1881"/>
      <c r="J110" s="1851" t="s">
        <v>656</v>
      </c>
      <c r="K110" s="1873" t="s">
        <v>658</v>
      </c>
      <c r="L110" s="1873"/>
      <c r="M110" s="1873"/>
      <c r="N110" s="1873"/>
      <c r="O110" s="1866"/>
      <c r="P110" s="1867"/>
      <c r="Q110" s="1867"/>
    </row>
    <row r="111" spans="1:17" ht="15" customHeight="1">
      <c r="A111" s="1855"/>
      <c r="B111" s="1892"/>
      <c r="C111" s="1880"/>
      <c r="D111" s="1892"/>
      <c r="E111" s="1880"/>
      <c r="F111" s="1883"/>
      <c r="G111" s="1881"/>
      <c r="H111" s="1881"/>
      <c r="I111" s="1881"/>
      <c r="J111" s="1884"/>
      <c r="K111" s="1873"/>
      <c r="L111" s="1873"/>
      <c r="M111" s="1873"/>
      <c r="N111" s="1873"/>
      <c r="O111" s="1866"/>
      <c r="P111" s="1867"/>
      <c r="Q111" s="1867"/>
    </row>
    <row r="112" spans="1:17" ht="17.2" customHeight="1">
      <c r="A112" s="1855" t="s">
        <v>950</v>
      </c>
      <c r="B112" s="1856"/>
      <c r="C112" s="1895" t="s">
        <v>272</v>
      </c>
      <c r="D112" s="1853"/>
      <c r="E112" s="1853"/>
      <c r="F112" s="1853"/>
      <c r="G112" s="1851"/>
      <c r="H112" s="1851"/>
      <c r="I112" s="1851"/>
      <c r="J112" s="1871"/>
      <c r="K112" s="1851"/>
      <c r="L112" s="1851"/>
      <c r="M112" s="1851"/>
      <c r="N112" s="1851"/>
      <c r="O112" s="1866"/>
      <c r="P112" s="1867"/>
      <c r="Q112" s="1890"/>
    </row>
    <row r="113" spans="1:17">
      <c r="A113" s="1855"/>
      <c r="B113" s="1856"/>
      <c r="C113" s="1895"/>
      <c r="D113" s="1853"/>
      <c r="E113" s="1853"/>
      <c r="F113" s="1853"/>
      <c r="G113" s="1851"/>
      <c r="H113" s="1851"/>
      <c r="I113" s="1851"/>
      <c r="J113" s="1871">
        <v>1.0900000000000001</v>
      </c>
      <c r="K113" s="1851"/>
      <c r="L113" s="1851"/>
      <c r="M113" s="1851"/>
      <c r="N113" s="1851"/>
      <c r="O113" s="1866"/>
      <c r="P113" s="1867"/>
      <c r="Q113" s="1890"/>
    </row>
    <row r="114" spans="1:17" ht="17.2" customHeight="1">
      <c r="A114" s="1855"/>
      <c r="B114" s="1856"/>
      <c r="C114" s="1859"/>
      <c r="D114" s="1853"/>
      <c r="E114" s="1853"/>
      <c r="F114" s="1853"/>
      <c r="G114" s="1851"/>
      <c r="H114" s="1851"/>
      <c r="I114" s="1851"/>
      <c r="J114" s="1871" t="s">
        <v>656</v>
      </c>
      <c r="K114" s="1851"/>
      <c r="L114" s="1871"/>
      <c r="M114" s="1871"/>
      <c r="N114" s="1871"/>
      <c r="O114" s="1891"/>
      <c r="P114" s="1890"/>
      <c r="Q114" s="1867"/>
    </row>
    <row r="115" spans="1:17" ht="32.4" customHeight="1">
      <c r="A115" s="1855"/>
      <c r="B115" s="1872"/>
      <c r="C115" s="2524" t="s">
        <v>3389</v>
      </c>
      <c r="D115" s="2524"/>
      <c r="E115" s="2524"/>
      <c r="F115" s="2524"/>
      <c r="G115" s="2524"/>
      <c r="H115" s="2524"/>
      <c r="I115" s="2524"/>
      <c r="J115" s="1851">
        <f>J113</f>
        <v>1.0900000000000001</v>
      </c>
      <c r="K115" s="1873">
        <f>Datas!G332</f>
        <v>9360.51</v>
      </c>
      <c r="L115" s="1873"/>
      <c r="M115" s="1873">
        <f>ROUND(K115*J115,0)</f>
        <v>10203</v>
      </c>
      <c r="N115" s="1873">
        <f>SUM(L115:M115)</f>
        <v>10203</v>
      </c>
      <c r="O115" s="1866">
        <f>ROUND(0.9*75+0.45*40,2)</f>
        <v>85.5</v>
      </c>
      <c r="P115" s="1878">
        <f>ROUND(O115*J115,2)</f>
        <v>93.2</v>
      </c>
    </row>
    <row r="116" spans="1:17" ht="13.5" customHeight="1">
      <c r="A116" s="1855"/>
      <c r="B116" s="1872"/>
      <c r="C116" s="1859"/>
      <c r="D116" s="1853"/>
      <c r="E116" s="1853"/>
      <c r="F116" s="1853"/>
      <c r="G116" s="1888"/>
      <c r="H116" s="1851"/>
      <c r="I116" s="1851"/>
      <c r="J116" s="1885" t="s">
        <v>525</v>
      </c>
      <c r="K116" s="1873" t="s">
        <v>658</v>
      </c>
      <c r="L116" s="1873"/>
      <c r="M116" s="1873"/>
      <c r="N116" s="1873"/>
      <c r="O116" s="1866"/>
      <c r="P116" s="1879"/>
    </row>
    <row r="117" spans="1:17" ht="12.75" customHeight="1">
      <c r="A117" s="1850"/>
      <c r="B117" s="1880"/>
      <c r="C117" s="1880"/>
      <c r="D117" s="1880"/>
      <c r="E117" s="1880"/>
      <c r="F117" s="1880"/>
      <c r="G117" s="1850"/>
      <c r="H117" s="1850"/>
      <c r="I117" s="1850"/>
      <c r="J117" s="1886"/>
      <c r="K117" s="1880"/>
      <c r="L117" s="1880"/>
      <c r="M117" s="1880"/>
      <c r="N117" s="1880"/>
    </row>
    <row r="118" spans="1:17">
      <c r="A118" s="1855" t="s">
        <v>661</v>
      </c>
      <c r="B118" s="1856"/>
      <c r="C118" s="1845" t="s">
        <v>3564</v>
      </c>
      <c r="D118" s="1853"/>
      <c r="E118" s="1853"/>
      <c r="F118" s="1853"/>
      <c r="G118" s="1851"/>
      <c r="H118" s="1851"/>
      <c r="I118" s="1851"/>
      <c r="J118" s="1851"/>
      <c r="K118" s="1851"/>
      <c r="L118" s="1851"/>
      <c r="M118" s="1851"/>
      <c r="N118" s="1851"/>
      <c r="O118" s="1866"/>
      <c r="P118" s="1867"/>
      <c r="Q118" s="1867"/>
    </row>
    <row r="119" spans="1:17" hidden="1">
      <c r="A119" s="1855"/>
      <c r="B119" s="1856"/>
      <c r="C119" s="1887"/>
      <c r="D119" s="1853"/>
      <c r="E119" s="1853"/>
      <c r="F119" s="1853"/>
      <c r="G119" s="1851"/>
      <c r="H119" s="1851"/>
      <c r="I119" s="1851"/>
      <c r="J119" s="1851"/>
      <c r="K119" s="1851"/>
      <c r="L119" s="1851"/>
      <c r="M119" s="1851"/>
      <c r="N119" s="1851"/>
      <c r="O119" s="1866"/>
      <c r="P119" s="1867"/>
      <c r="Q119" s="1867"/>
    </row>
    <row r="120" spans="1:17" hidden="1">
      <c r="A120" s="1855"/>
      <c r="B120" s="1856"/>
      <c r="C120" s="1845"/>
      <c r="D120" s="1853"/>
      <c r="E120" s="1853"/>
      <c r="F120" s="1853"/>
      <c r="G120" s="1851"/>
      <c r="H120" s="1851"/>
      <c r="I120" s="1851"/>
      <c r="J120" s="1871"/>
      <c r="K120" s="1851"/>
      <c r="L120" s="1851"/>
      <c r="M120" s="1851"/>
      <c r="N120" s="1851"/>
      <c r="O120" s="1866"/>
      <c r="P120" s="1867"/>
      <c r="Q120" s="1867"/>
    </row>
    <row r="121" spans="1:17" hidden="1">
      <c r="A121" s="1855"/>
      <c r="B121" s="1856"/>
      <c r="C121" s="1887"/>
      <c r="D121" s="1853"/>
      <c r="E121" s="1853"/>
      <c r="F121" s="1853"/>
      <c r="G121" s="1851"/>
      <c r="H121" s="1851"/>
      <c r="I121" s="1851"/>
      <c r="J121" s="1851"/>
      <c r="K121" s="1851"/>
      <c r="L121" s="1851"/>
      <c r="M121" s="1851"/>
      <c r="N121" s="1851"/>
      <c r="O121" s="1866"/>
      <c r="P121" s="1867"/>
      <c r="Q121" s="1867"/>
    </row>
    <row r="122" spans="1:17" hidden="1">
      <c r="A122" s="1855"/>
      <c r="B122" s="1856"/>
      <c r="C122" s="1845"/>
      <c r="D122" s="1853"/>
      <c r="E122" s="1853"/>
      <c r="F122" s="1853"/>
      <c r="G122" s="1851"/>
      <c r="H122" s="1851"/>
      <c r="I122" s="1851"/>
      <c r="J122" s="1871"/>
      <c r="K122" s="1851"/>
      <c r="L122" s="1851"/>
      <c r="M122" s="1851"/>
      <c r="N122" s="1851"/>
      <c r="O122" s="1866"/>
      <c r="P122" s="1867"/>
      <c r="Q122" s="1867"/>
    </row>
    <row r="123" spans="1:17" hidden="1">
      <c r="A123" s="1855"/>
      <c r="B123" s="1856"/>
      <c r="C123" s="1868"/>
      <c r="D123" s="1853"/>
      <c r="E123" s="1853"/>
      <c r="F123" s="1853"/>
      <c r="G123" s="1851"/>
      <c r="H123" s="1851"/>
      <c r="I123" s="1851"/>
      <c r="J123" s="1851"/>
      <c r="K123" s="1851"/>
      <c r="L123" s="1851"/>
      <c r="M123" s="1851"/>
      <c r="N123" s="1851"/>
      <c r="O123" s="1866"/>
      <c r="P123" s="1867"/>
      <c r="Q123" s="1867"/>
    </row>
    <row r="124" spans="1:17">
      <c r="A124" s="1855"/>
      <c r="B124" s="1856"/>
      <c r="C124" s="1887"/>
      <c r="D124" s="1853"/>
      <c r="E124" s="1853"/>
      <c r="F124" s="1853"/>
      <c r="G124" s="1851"/>
      <c r="H124" s="1851"/>
      <c r="I124" s="1851"/>
      <c r="J124" s="1871">
        <f>0.74+1.69+0.13</f>
        <v>2.5599999999999996</v>
      </c>
      <c r="K124" s="1851"/>
      <c r="L124" s="1851"/>
      <c r="M124" s="1851"/>
      <c r="N124" s="1851"/>
      <c r="O124" s="1866"/>
      <c r="P124" s="1867"/>
      <c r="Q124" s="1867"/>
    </row>
    <row r="125" spans="1:17">
      <c r="A125" s="1855"/>
      <c r="B125" s="1872"/>
      <c r="C125" s="1895"/>
      <c r="D125" s="1853"/>
      <c r="E125" s="1853"/>
      <c r="F125" s="1853"/>
      <c r="G125" s="1888"/>
      <c r="H125" s="1851"/>
      <c r="I125" s="1851"/>
      <c r="J125" s="1896" t="s">
        <v>656</v>
      </c>
      <c r="K125" s="1873"/>
      <c r="L125" s="1873"/>
      <c r="M125" s="1873"/>
      <c r="N125" s="1873"/>
      <c r="O125" s="1866"/>
      <c r="P125" s="1879"/>
      <c r="Q125" s="1867"/>
    </row>
    <row r="126" spans="1:17" ht="32.4" customHeight="1">
      <c r="A126" s="1855"/>
      <c r="B126" s="1872"/>
      <c r="C126" s="2524" t="s">
        <v>3389</v>
      </c>
      <c r="D126" s="2524"/>
      <c r="E126" s="2524"/>
      <c r="F126" s="2524"/>
      <c r="G126" s="2524"/>
      <c r="H126" s="2524"/>
      <c r="I126" s="2524"/>
      <c r="J126" s="1871">
        <f>J124</f>
        <v>2.5599999999999996</v>
      </c>
      <c r="K126" s="1873">
        <f>Datas!E391</f>
        <v>11842.03</v>
      </c>
      <c r="L126" s="1873"/>
      <c r="M126" s="1873">
        <f>ROUND(K126*J126,0)</f>
        <v>30316</v>
      </c>
      <c r="N126" s="1873">
        <f>SUM(L126:M126)</f>
        <v>30316</v>
      </c>
      <c r="O126" s="1866">
        <f>ROUND(0.9*75+0.45*40,2)</f>
        <v>85.5</v>
      </c>
      <c r="P126" s="1878">
        <f>ROUND(O126*J126,2)</f>
        <v>218.88</v>
      </c>
      <c r="Q126" s="1867"/>
    </row>
    <row r="127" spans="1:17" ht="15" customHeight="1">
      <c r="A127" s="1855"/>
      <c r="B127" s="1892"/>
      <c r="C127" s="1880"/>
      <c r="D127" s="1892"/>
      <c r="E127" s="1880"/>
      <c r="F127" s="1883"/>
      <c r="G127" s="1881"/>
      <c r="H127" s="1881"/>
      <c r="I127" s="1881"/>
      <c r="J127" s="1851" t="s">
        <v>656</v>
      </c>
      <c r="K127" s="1873" t="s">
        <v>668</v>
      </c>
      <c r="L127" s="1873"/>
      <c r="M127" s="1873"/>
      <c r="N127" s="1873"/>
      <c r="O127" s="1866"/>
      <c r="P127" s="1867"/>
      <c r="Q127" s="1867"/>
    </row>
    <row r="128" spans="1:17" ht="15" customHeight="1">
      <c r="A128" s="1855"/>
      <c r="B128" s="1892"/>
      <c r="C128" s="1880"/>
      <c r="D128" s="1892"/>
      <c r="E128" s="1880"/>
      <c r="F128" s="1883"/>
      <c r="G128" s="1881"/>
      <c r="H128" s="1881"/>
      <c r="I128" s="1881"/>
      <c r="J128" s="1884"/>
      <c r="K128" s="1873"/>
      <c r="L128" s="1873"/>
      <c r="M128" s="1873"/>
      <c r="N128" s="1873"/>
      <c r="O128" s="1866"/>
      <c r="P128" s="1867"/>
      <c r="Q128" s="1867"/>
    </row>
    <row r="129" spans="1:17" ht="17.2" customHeight="1">
      <c r="A129" s="1855" t="s">
        <v>669</v>
      </c>
      <c r="B129" s="1856"/>
      <c r="C129" s="1895" t="s">
        <v>154</v>
      </c>
      <c r="D129" s="1857"/>
      <c r="E129" s="1857"/>
      <c r="F129" s="1853"/>
      <c r="G129" s="1851"/>
      <c r="H129" s="1851"/>
      <c r="I129" s="1851"/>
      <c r="J129" s="1851"/>
      <c r="K129" s="1851"/>
      <c r="L129" s="1851"/>
      <c r="M129" s="1851"/>
      <c r="N129" s="1871"/>
      <c r="O129" s="1866"/>
      <c r="P129" s="1867"/>
      <c r="Q129" s="1867"/>
    </row>
    <row r="130" spans="1:17" hidden="1">
      <c r="A130" s="1855"/>
      <c r="B130" s="1856"/>
      <c r="C130" s="1870"/>
      <c r="D130" s="1853"/>
      <c r="E130" s="1853"/>
      <c r="F130" s="1853"/>
      <c r="G130" s="1851"/>
      <c r="H130" s="1851"/>
      <c r="I130" s="1851"/>
      <c r="J130" s="1851"/>
      <c r="K130" s="1851"/>
      <c r="L130" s="1851"/>
      <c r="M130" s="1851"/>
      <c r="N130" s="1851"/>
      <c r="O130" s="1866"/>
      <c r="P130" s="1867"/>
      <c r="Q130" s="1867"/>
    </row>
    <row r="131" spans="1:17" hidden="1">
      <c r="A131" s="1855"/>
      <c r="B131" s="1856"/>
      <c r="C131" s="1870"/>
      <c r="D131" s="1853"/>
      <c r="E131" s="1853"/>
      <c r="F131" s="1853"/>
      <c r="G131" s="1851"/>
      <c r="H131" s="1851"/>
      <c r="I131" s="1851"/>
      <c r="J131" s="1851"/>
      <c r="K131" s="1851"/>
      <c r="L131" s="1851"/>
      <c r="M131" s="1851"/>
      <c r="N131" s="1851"/>
      <c r="O131" s="1866"/>
      <c r="P131" s="1867"/>
      <c r="Q131" s="1867"/>
    </row>
    <row r="132" spans="1:17" hidden="1">
      <c r="A132" s="1855"/>
      <c r="B132" s="1856"/>
      <c r="C132" s="1870"/>
      <c r="D132" s="1853"/>
      <c r="E132" s="1853"/>
      <c r="F132" s="1853"/>
      <c r="G132" s="1851"/>
      <c r="H132" s="1851"/>
      <c r="I132" s="1851"/>
      <c r="J132" s="1851"/>
      <c r="K132" s="1851"/>
      <c r="L132" s="1851"/>
      <c r="M132" s="1851"/>
      <c r="N132" s="1851"/>
      <c r="O132" s="1866"/>
      <c r="P132" s="1867"/>
      <c r="Q132" s="1867"/>
    </row>
    <row r="133" spans="1:17" hidden="1">
      <c r="A133" s="1855"/>
      <c r="B133" s="1856"/>
      <c r="C133" s="1870"/>
      <c r="D133" s="1853"/>
      <c r="E133" s="1853"/>
      <c r="F133" s="1853"/>
      <c r="G133" s="1851"/>
      <c r="H133" s="1851"/>
      <c r="I133" s="1851"/>
      <c r="J133" s="1851"/>
      <c r="K133" s="1851"/>
      <c r="L133" s="1851"/>
      <c r="M133" s="1851"/>
      <c r="N133" s="1851"/>
      <c r="O133" s="1866"/>
      <c r="P133" s="1867"/>
      <c r="Q133" s="1867"/>
    </row>
    <row r="134" spans="1:17" hidden="1">
      <c r="A134" s="1855"/>
      <c r="B134" s="1856"/>
      <c r="C134" s="1870"/>
      <c r="D134" s="1853"/>
      <c r="E134" s="1853"/>
      <c r="F134" s="1853"/>
      <c r="G134" s="1851"/>
      <c r="H134" s="1851"/>
      <c r="I134" s="1851"/>
      <c r="J134" s="1851"/>
      <c r="K134" s="1851"/>
      <c r="L134" s="1851"/>
      <c r="M134" s="1851"/>
      <c r="N134" s="1851"/>
      <c r="O134" s="1866"/>
      <c r="P134" s="1867"/>
      <c r="Q134" s="1867"/>
    </row>
    <row r="135" spans="1:17" hidden="1">
      <c r="A135" s="1855"/>
      <c r="B135" s="1856"/>
      <c r="C135" s="1870"/>
      <c r="D135" s="1853"/>
      <c r="E135" s="1853"/>
      <c r="F135" s="1853"/>
      <c r="G135" s="1851"/>
      <c r="H135" s="1851"/>
      <c r="I135" s="1851"/>
      <c r="J135" s="1851"/>
      <c r="K135" s="1851"/>
      <c r="L135" s="1851"/>
      <c r="M135" s="1851"/>
      <c r="N135" s="1851"/>
      <c r="O135" s="1866"/>
      <c r="P135" s="1867"/>
      <c r="Q135" s="1867"/>
    </row>
    <row r="136" spans="1:17">
      <c r="A136" s="1855"/>
      <c r="B136" s="1856"/>
      <c r="C136" s="1887" t="s">
        <v>522</v>
      </c>
      <c r="D136" s="1853"/>
      <c r="E136" s="1853"/>
      <c r="F136" s="1853"/>
      <c r="G136" s="1851"/>
      <c r="H136" s="1851"/>
      <c r="I136" s="1851"/>
      <c r="J136" s="1871">
        <v>3.46</v>
      </c>
      <c r="K136" s="1851"/>
      <c r="L136" s="1851"/>
      <c r="M136" s="1851"/>
      <c r="N136" s="1851"/>
      <c r="O136" s="1866"/>
      <c r="P136" s="1867"/>
      <c r="Q136" s="1867"/>
    </row>
    <row r="137" spans="1:17">
      <c r="A137" s="1855"/>
      <c r="B137" s="1856"/>
      <c r="C137" s="1887"/>
      <c r="D137" s="1853"/>
      <c r="E137" s="1853"/>
      <c r="F137" s="1853"/>
      <c r="G137" s="1851"/>
      <c r="H137" s="1851"/>
      <c r="I137" s="1851"/>
      <c r="J137" s="1871" t="s">
        <v>656</v>
      </c>
      <c r="K137" s="1871"/>
      <c r="L137" s="1871"/>
      <c r="M137" s="1871"/>
      <c r="N137" s="1871"/>
      <c r="O137" s="1891"/>
      <c r="P137" s="1890"/>
      <c r="Q137" s="1867"/>
    </row>
    <row r="138" spans="1:17" ht="25.9" customHeight="1">
      <c r="A138" s="1855"/>
      <c r="B138" s="1872"/>
      <c r="C138" s="2524" t="s">
        <v>3389</v>
      </c>
      <c r="D138" s="2524"/>
      <c r="E138" s="2524"/>
      <c r="F138" s="2524"/>
      <c r="G138" s="2524"/>
      <c r="H138" s="2524"/>
      <c r="I138" s="2524"/>
      <c r="J138" s="1871">
        <f>J136</f>
        <v>3.46</v>
      </c>
      <c r="K138" s="1873">
        <f>Datas!G343</f>
        <v>11378.51</v>
      </c>
      <c r="L138" s="1873"/>
      <c r="M138" s="1873">
        <f>ROUND(K138*J138,0)</f>
        <v>39370</v>
      </c>
      <c r="N138" s="1873">
        <f>SUM(L138:M138)</f>
        <v>39370</v>
      </c>
      <c r="O138" s="1866">
        <f>ROUND(0.9*75+0.45*40,2)</f>
        <v>85.5</v>
      </c>
      <c r="P138" s="1878">
        <f>ROUND(O138*J138,2)</f>
        <v>295.83</v>
      </c>
      <c r="Q138" s="1867"/>
    </row>
    <row r="139" spans="1:17" ht="18" customHeight="1">
      <c r="A139" s="1855"/>
      <c r="B139" s="1892"/>
      <c r="C139" s="1880"/>
      <c r="D139" s="1892"/>
      <c r="E139" s="1880"/>
      <c r="F139" s="1883"/>
      <c r="G139" s="1881"/>
      <c r="H139" s="1881"/>
      <c r="I139" s="1881"/>
      <c r="J139" s="1851" t="s">
        <v>656</v>
      </c>
      <c r="K139" s="1873" t="s">
        <v>670</v>
      </c>
      <c r="L139" s="1873"/>
      <c r="M139" s="1873"/>
      <c r="N139" s="1873"/>
      <c r="O139" s="1866"/>
      <c r="P139" s="1867"/>
      <c r="Q139" s="1867"/>
    </row>
    <row r="140" spans="1:17" ht="15" customHeight="1">
      <c r="A140" s="1855"/>
      <c r="B140" s="1892"/>
      <c r="C140" s="1880"/>
      <c r="D140" s="1892"/>
      <c r="E140" s="1880"/>
      <c r="F140" s="1883"/>
      <c r="G140" s="1881"/>
      <c r="H140" s="1881"/>
      <c r="I140" s="1881"/>
      <c r="J140" s="1884"/>
      <c r="K140" s="1873"/>
      <c r="L140" s="1873"/>
      <c r="M140" s="1873"/>
      <c r="N140" s="1873"/>
      <c r="O140" s="1866"/>
      <c r="P140" s="1867"/>
      <c r="Q140" s="1867"/>
    </row>
    <row r="141" spans="1:17">
      <c r="A141" s="1855" t="s">
        <v>671</v>
      </c>
      <c r="B141" s="1856"/>
      <c r="C141" s="1895" t="s">
        <v>3409</v>
      </c>
      <c r="D141" s="1857"/>
      <c r="E141" s="1857"/>
      <c r="F141" s="1853"/>
      <c r="G141" s="1851"/>
      <c r="H141" s="1851"/>
      <c r="I141" s="1851"/>
      <c r="J141" s="1851"/>
      <c r="K141" s="1851"/>
      <c r="L141" s="1851"/>
      <c r="M141" s="1851"/>
      <c r="N141" s="1851"/>
      <c r="O141" s="1866"/>
      <c r="P141" s="1867"/>
      <c r="Q141" s="1867"/>
    </row>
    <row r="142" spans="1:17">
      <c r="A142" s="1855"/>
      <c r="B142" s="1856"/>
      <c r="C142" s="1870"/>
      <c r="D142" s="1853"/>
      <c r="E142" s="1853"/>
      <c r="F142" s="1853"/>
      <c r="G142" s="1851"/>
      <c r="H142" s="1851"/>
      <c r="I142" s="1851"/>
      <c r="J142" s="1851"/>
      <c r="K142" s="1851"/>
      <c r="L142" s="1851"/>
      <c r="M142" s="1851"/>
      <c r="N142" s="1851"/>
      <c r="O142" s="1866"/>
      <c r="P142" s="1867"/>
      <c r="Q142" s="1867"/>
    </row>
    <row r="143" spans="1:17">
      <c r="A143" s="1855"/>
      <c r="B143" s="1856"/>
      <c r="C143" s="1870"/>
      <c r="D143" s="1853"/>
      <c r="E143" s="1853"/>
      <c r="F143" s="1853"/>
      <c r="G143" s="1851"/>
      <c r="H143" s="1851"/>
      <c r="I143" s="1851"/>
      <c r="J143" s="1851"/>
      <c r="K143" s="1851"/>
      <c r="L143" s="1851"/>
      <c r="M143" s="1851"/>
      <c r="N143" s="1851"/>
      <c r="O143" s="1866"/>
      <c r="P143" s="1867"/>
      <c r="Q143" s="1867"/>
    </row>
    <row r="144" spans="1:17">
      <c r="A144" s="1855"/>
      <c r="B144" s="1856"/>
      <c r="C144" s="1870"/>
      <c r="D144" s="1853"/>
      <c r="E144" s="1853"/>
      <c r="F144" s="1853"/>
      <c r="G144" s="1851"/>
      <c r="H144" s="1851"/>
      <c r="I144" s="1851"/>
      <c r="J144" s="1851"/>
      <c r="K144" s="1851"/>
      <c r="L144" s="1851"/>
      <c r="M144" s="1851"/>
      <c r="N144" s="1851"/>
      <c r="O144" s="1866"/>
      <c r="P144" s="1867"/>
      <c r="Q144" s="1867"/>
    </row>
    <row r="145" spans="1:18">
      <c r="A145" s="1855"/>
      <c r="B145" s="1856"/>
      <c r="C145" s="1887"/>
      <c r="D145" s="1853"/>
      <c r="E145" s="1853"/>
      <c r="F145" s="1853"/>
      <c r="G145" s="1851"/>
      <c r="H145" s="1851"/>
      <c r="I145" s="1851"/>
      <c r="J145" s="1871"/>
      <c r="K145" s="1851"/>
      <c r="L145" s="1851"/>
      <c r="M145" s="1851"/>
      <c r="N145" s="1851"/>
      <c r="O145" s="1866"/>
      <c r="P145" s="1867"/>
      <c r="Q145" s="1867"/>
    </row>
    <row r="146" spans="1:18">
      <c r="A146" s="1855"/>
      <c r="B146" s="1856"/>
      <c r="C146" s="1887"/>
      <c r="D146" s="1853"/>
      <c r="E146" s="1853"/>
      <c r="F146" s="1853"/>
      <c r="G146" s="1851"/>
      <c r="H146" s="1851"/>
      <c r="I146" s="1851"/>
      <c r="J146" s="1871" t="s">
        <v>656</v>
      </c>
      <c r="K146" s="1871"/>
      <c r="L146" s="1871"/>
      <c r="M146" s="1871"/>
      <c r="N146" s="1871"/>
      <c r="O146" s="1891"/>
      <c r="P146" s="1890"/>
      <c r="Q146" s="1867"/>
    </row>
    <row r="147" spans="1:18">
      <c r="A147" s="1855"/>
      <c r="B147" s="1872"/>
      <c r="C147" s="2524" t="s">
        <v>3389</v>
      </c>
      <c r="D147" s="2524"/>
      <c r="E147" s="2524"/>
      <c r="F147" s="2524"/>
      <c r="G147" s="2524"/>
      <c r="H147" s="2524"/>
      <c r="I147" s="2524"/>
      <c r="J147" s="1871">
        <v>3.16</v>
      </c>
      <c r="K147" s="1873">
        <f>Datas!E422</f>
        <v>11257.84</v>
      </c>
      <c r="L147" s="1873"/>
      <c r="M147" s="1873">
        <f>ROUND(K147*J147,0)</f>
        <v>35575</v>
      </c>
      <c r="N147" s="1873">
        <f>SUM(L147:M147)</f>
        <v>35575</v>
      </c>
      <c r="O147" s="1866">
        <f>ROUND(0.9*75+0.45*40,2)</f>
        <v>85.5</v>
      </c>
      <c r="P147" s="1878">
        <f>ROUND(O147*J147,2)</f>
        <v>270.18</v>
      </c>
      <c r="Q147" s="1867"/>
    </row>
    <row r="148" spans="1:18" ht="15" customHeight="1">
      <c r="A148" s="1855"/>
      <c r="B148" s="1892"/>
      <c r="C148" s="1880"/>
      <c r="D148" s="1892"/>
      <c r="E148" s="1880"/>
      <c r="F148" s="1883"/>
      <c r="G148" s="1881"/>
      <c r="H148" s="1881"/>
      <c r="I148" s="1881"/>
      <c r="J148" s="1851" t="s">
        <v>656</v>
      </c>
      <c r="K148" s="1873" t="s">
        <v>668</v>
      </c>
      <c r="L148" s="1873"/>
      <c r="M148" s="1873"/>
      <c r="N148" s="1873"/>
      <c r="O148" s="1866"/>
      <c r="P148" s="1867"/>
      <c r="Q148" s="1867"/>
    </row>
    <row r="149" spans="1:18" ht="15" customHeight="1">
      <c r="A149" s="1855"/>
      <c r="B149" s="1892"/>
      <c r="C149" s="1880"/>
      <c r="D149" s="1892"/>
      <c r="E149" s="1880"/>
      <c r="F149" s="1883"/>
      <c r="G149" s="1881"/>
      <c r="H149" s="1881"/>
      <c r="I149" s="1881"/>
      <c r="J149" s="1884"/>
      <c r="K149" s="1873"/>
      <c r="L149" s="1873"/>
      <c r="M149" s="1873"/>
      <c r="N149" s="1873"/>
      <c r="O149" s="1866"/>
      <c r="P149" s="1867"/>
      <c r="Q149" s="1867"/>
    </row>
    <row r="150" spans="1:18" ht="24.9" customHeight="1">
      <c r="A150" s="1855" t="s">
        <v>976</v>
      </c>
      <c r="B150" s="1856"/>
      <c r="C150" s="1845" t="s">
        <v>3412</v>
      </c>
      <c r="D150" s="1857"/>
      <c r="E150" s="1857"/>
      <c r="F150" s="1853"/>
      <c r="G150" s="1851"/>
      <c r="H150" s="1851"/>
      <c r="I150" s="1851"/>
      <c r="J150" s="1851"/>
      <c r="K150" s="1851"/>
      <c r="L150" s="1851"/>
      <c r="M150" s="1851"/>
      <c r="N150" s="1851"/>
      <c r="O150" s="1866"/>
      <c r="P150" s="1867"/>
      <c r="Q150" s="1867"/>
    </row>
    <row r="151" spans="1:18">
      <c r="A151" s="1855"/>
      <c r="B151" s="1856"/>
      <c r="C151" s="1887"/>
      <c r="D151" s="1853">
        <v>1</v>
      </c>
      <c r="E151" s="1853" t="s">
        <v>1472</v>
      </c>
      <c r="F151" s="1853">
        <v>1</v>
      </c>
      <c r="G151" s="1851"/>
      <c r="H151" s="1851"/>
      <c r="I151" s="1885"/>
      <c r="J151" s="1851">
        <v>73.099999999999994</v>
      </c>
      <c r="K151" s="1874"/>
      <c r="L151" s="1874"/>
      <c r="M151" s="1874"/>
      <c r="N151" s="1874"/>
      <c r="O151" s="1897"/>
      <c r="P151" s="1898"/>
      <c r="Q151" s="1898"/>
      <c r="R151" s="1847">
        <f>H151*G151</f>
        <v>0</v>
      </c>
    </row>
    <row r="152" spans="1:18" ht="17.2" customHeight="1">
      <c r="A152" s="1855"/>
      <c r="B152" s="1856"/>
      <c r="C152" s="1887"/>
      <c r="D152" s="1853"/>
      <c r="E152" s="1853"/>
      <c r="F152" s="1853"/>
      <c r="G152" s="1851"/>
      <c r="H152" s="1851"/>
      <c r="I152" s="1851"/>
      <c r="J152" s="1851" t="s">
        <v>987</v>
      </c>
      <c r="K152" s="1851"/>
      <c r="L152" s="1851"/>
      <c r="M152" s="1851"/>
      <c r="N152" s="1851"/>
      <c r="O152" s="1866"/>
      <c r="P152" s="1867"/>
      <c r="Q152" s="1867"/>
    </row>
    <row r="153" spans="1:18" ht="31.9" customHeight="1">
      <c r="A153" s="1855"/>
      <c r="B153" s="1872"/>
      <c r="C153" s="2524" t="s">
        <v>3389</v>
      </c>
      <c r="D153" s="2524"/>
      <c r="E153" s="2524"/>
      <c r="F153" s="2524"/>
      <c r="G153" s="2524"/>
      <c r="H153" s="2524"/>
      <c r="I153" s="2524"/>
      <c r="J153" s="1871">
        <f>J151</f>
        <v>73.099999999999994</v>
      </c>
      <c r="K153" s="1873">
        <f>Datas!G461</f>
        <v>13463.55</v>
      </c>
      <c r="L153" s="1873"/>
      <c r="M153" s="1873">
        <f>ROUND(K153*J153/10,0)</f>
        <v>98419</v>
      </c>
      <c r="N153" s="1873">
        <f>SUM(L153:M153)</f>
        <v>98419</v>
      </c>
      <c r="O153" s="1866">
        <f>85.5*0.125</f>
        <v>10.6875</v>
      </c>
      <c r="P153" s="1878">
        <f>ROUND(O153*J153,2)</f>
        <v>781.26</v>
      </c>
      <c r="Q153" s="1867"/>
    </row>
    <row r="154" spans="1:18" ht="15" customHeight="1">
      <c r="A154" s="1855"/>
      <c r="B154" s="1873"/>
      <c r="C154" s="1873"/>
      <c r="D154" s="1873"/>
      <c r="E154" s="1873"/>
      <c r="F154" s="1873"/>
      <c r="G154" s="1873"/>
      <c r="H154" s="1873"/>
      <c r="I154" s="1873"/>
      <c r="J154" s="1851" t="s">
        <v>987</v>
      </c>
      <c r="K154" s="1873" t="s">
        <v>476</v>
      </c>
      <c r="L154" s="1873"/>
      <c r="M154" s="1873"/>
      <c r="N154" s="1873"/>
      <c r="O154" s="1866"/>
      <c r="P154" s="1878"/>
      <c r="Q154" s="1867"/>
    </row>
    <row r="155" spans="1:18" ht="15" customHeight="1">
      <c r="A155" s="1855"/>
      <c r="B155" s="1872"/>
      <c r="C155" s="1873"/>
      <c r="D155" s="1873"/>
      <c r="E155" s="1873"/>
      <c r="F155" s="1873"/>
      <c r="G155" s="1873"/>
      <c r="H155" s="1873"/>
      <c r="I155" s="1873"/>
      <c r="J155" s="1851"/>
      <c r="K155" s="1873"/>
      <c r="L155" s="1873"/>
      <c r="M155" s="1873"/>
      <c r="N155" s="1873"/>
      <c r="O155" s="1866"/>
      <c r="P155" s="1878"/>
      <c r="Q155" s="1867"/>
    </row>
    <row r="156" spans="1:18" ht="70.2" hidden="1" customHeight="1">
      <c r="A156" s="1855">
        <f>A105+1</f>
        <v>6</v>
      </c>
      <c r="B156" s="1856"/>
      <c r="C156" s="2527" t="s">
        <v>3413</v>
      </c>
      <c r="D156" s="2527"/>
      <c r="E156" s="2527"/>
      <c r="F156" s="2527"/>
      <c r="G156" s="2527"/>
      <c r="H156" s="2527"/>
      <c r="I156" s="2527"/>
      <c r="J156" s="2527"/>
      <c r="K156" s="1851"/>
      <c r="L156" s="1851"/>
      <c r="M156" s="1851"/>
      <c r="N156" s="1851"/>
      <c r="O156" s="1866"/>
      <c r="P156" s="1867"/>
      <c r="Q156" s="1867"/>
    </row>
    <row r="157" spans="1:18" hidden="1">
      <c r="A157" s="1855"/>
      <c r="B157" s="1856"/>
      <c r="C157" s="1899"/>
      <c r="D157" s="1853"/>
      <c r="E157" s="1853"/>
      <c r="F157" s="1853"/>
      <c r="G157" s="1851"/>
      <c r="H157" s="1851"/>
      <c r="I157" s="1851"/>
      <c r="J157" s="1851"/>
      <c r="K157" s="1851"/>
      <c r="L157" s="1851"/>
      <c r="M157" s="1851"/>
      <c r="N157" s="1851"/>
      <c r="O157" s="1866"/>
      <c r="P157" s="1867"/>
      <c r="Q157" s="1867"/>
    </row>
    <row r="158" spans="1:18" hidden="1">
      <c r="A158" s="1855"/>
      <c r="B158" s="1856"/>
      <c r="C158" s="1899"/>
      <c r="D158" s="1853"/>
      <c r="E158" s="1853"/>
      <c r="F158" s="1853"/>
      <c r="G158" s="1851"/>
      <c r="H158" s="1851"/>
      <c r="I158" s="1851"/>
      <c r="J158" s="1851"/>
      <c r="K158" s="1851"/>
      <c r="L158" s="1851"/>
      <c r="M158" s="1851"/>
      <c r="N158" s="1851"/>
      <c r="O158" s="1866"/>
      <c r="P158" s="1867"/>
      <c r="Q158" s="1867"/>
    </row>
    <row r="159" spans="1:18" hidden="1">
      <c r="A159" s="1855"/>
      <c r="B159" s="1856"/>
      <c r="C159" s="1899"/>
      <c r="D159" s="1853"/>
      <c r="E159" s="1853"/>
      <c r="F159" s="1853"/>
      <c r="G159" s="1851"/>
      <c r="H159" s="1851"/>
      <c r="I159" s="1851"/>
      <c r="J159" s="1851"/>
      <c r="K159" s="1851"/>
      <c r="L159" s="1851"/>
      <c r="M159" s="1851"/>
      <c r="N159" s="1851"/>
      <c r="O159" s="1866"/>
      <c r="P159" s="1867"/>
      <c r="Q159" s="1867"/>
    </row>
    <row r="160" spans="1:18" hidden="1">
      <c r="A160" s="1855"/>
      <c r="B160" s="1856"/>
      <c r="C160" s="1899"/>
      <c r="D160" s="1853"/>
      <c r="E160" s="1853"/>
      <c r="F160" s="1853"/>
      <c r="G160" s="1851"/>
      <c r="H160" s="1851"/>
      <c r="I160" s="1851"/>
      <c r="J160" s="1851"/>
      <c r="K160" s="1851"/>
      <c r="L160" s="1851"/>
      <c r="M160" s="1851"/>
      <c r="N160" s="1851"/>
      <c r="O160" s="1866"/>
      <c r="P160" s="1867"/>
      <c r="Q160" s="1867"/>
    </row>
    <row r="161" spans="1:17" hidden="1">
      <c r="A161" s="1855"/>
      <c r="B161" s="1856"/>
      <c r="C161" s="1899"/>
      <c r="D161" s="1853"/>
      <c r="E161" s="1853"/>
      <c r="F161" s="1853"/>
      <c r="G161" s="1851"/>
      <c r="H161" s="1851"/>
      <c r="I161" s="1851"/>
      <c r="J161" s="1851"/>
      <c r="K161" s="1851"/>
      <c r="L161" s="1851"/>
      <c r="M161" s="1851"/>
      <c r="N161" s="1851"/>
      <c r="O161" s="1866"/>
      <c r="P161" s="1867"/>
      <c r="Q161" s="1867"/>
    </row>
    <row r="162" spans="1:17" hidden="1">
      <c r="A162" s="1855"/>
      <c r="B162" s="1856"/>
      <c r="C162" s="1877"/>
      <c r="D162" s="1853"/>
      <c r="E162" s="1853"/>
      <c r="F162" s="1853"/>
      <c r="G162" s="1851"/>
      <c r="H162" s="1851"/>
      <c r="I162" s="1851"/>
      <c r="J162" s="1871">
        <v>0</v>
      </c>
      <c r="K162" s="1851"/>
      <c r="L162" s="1851"/>
      <c r="M162" s="1851"/>
      <c r="N162" s="1851"/>
      <c r="O162" s="1866"/>
      <c r="P162" s="1867"/>
      <c r="Q162" s="1867"/>
    </row>
    <row r="163" spans="1:17" hidden="1">
      <c r="A163" s="1855"/>
      <c r="B163" s="1856"/>
      <c r="C163" s="1877"/>
      <c r="D163" s="1853"/>
      <c r="E163" s="1853"/>
      <c r="F163" s="1853"/>
      <c r="G163" s="1851"/>
      <c r="H163" s="1851"/>
      <c r="I163" s="1851"/>
      <c r="J163" s="1871" t="s">
        <v>656</v>
      </c>
      <c r="K163" s="1851"/>
      <c r="L163" s="1851"/>
      <c r="M163" s="1851"/>
      <c r="N163" s="1851"/>
      <c r="O163" s="1866"/>
      <c r="P163" s="1867"/>
      <c r="Q163" s="1867"/>
    </row>
    <row r="164" spans="1:17" ht="31.2" hidden="1" customHeight="1">
      <c r="A164" s="1855"/>
      <c r="B164" s="1872"/>
      <c r="C164" s="2524" t="s">
        <v>3389</v>
      </c>
      <c r="D164" s="2524"/>
      <c r="E164" s="2524"/>
      <c r="F164" s="2524"/>
      <c r="G164" s="2524"/>
      <c r="H164" s="2524"/>
      <c r="I164" s="2524"/>
      <c r="J164" s="1871">
        <f>J162</f>
        <v>0</v>
      </c>
      <c r="K164" s="1873">
        <f>Datas!E375</f>
        <v>11905.03</v>
      </c>
      <c r="L164" s="1873"/>
      <c r="M164" s="1873">
        <f>ROUND(K164*J164,0)</f>
        <v>0</v>
      </c>
      <c r="N164" s="1873">
        <f>SUM(L164:M164)</f>
        <v>0</v>
      </c>
      <c r="O164" s="1866">
        <f>ROUND(0.9*75+0.45*40,2)</f>
        <v>85.5</v>
      </c>
      <c r="P164" s="1878">
        <f>ROUND(O164*J164,2)</f>
        <v>0</v>
      </c>
      <c r="Q164" s="1867"/>
    </row>
    <row r="165" spans="1:17" ht="15" hidden="1" customHeight="1">
      <c r="A165" s="1855"/>
      <c r="B165" s="1880"/>
      <c r="C165" s="1880"/>
      <c r="D165" s="1880"/>
      <c r="E165" s="1880"/>
      <c r="F165" s="1883"/>
      <c r="G165" s="1880"/>
      <c r="H165" s="1880"/>
      <c r="I165" s="1880"/>
      <c r="J165" s="1851" t="s">
        <v>656</v>
      </c>
      <c r="K165" s="1873" t="str">
        <f>CONCATENATE("per ",J165)</f>
        <v>per Cum.</v>
      </c>
      <c r="L165" s="1873"/>
      <c r="M165" s="1873"/>
      <c r="N165" s="1873"/>
      <c r="O165" s="1866"/>
      <c r="P165" s="1867"/>
      <c r="Q165" s="1867"/>
    </row>
    <row r="166" spans="1:17" ht="15" hidden="1" customHeight="1">
      <c r="A166" s="1855"/>
      <c r="B166" s="1880"/>
      <c r="C166" s="1880"/>
      <c r="D166" s="1880"/>
      <c r="E166" s="1880"/>
      <c r="F166" s="1880"/>
      <c r="G166" s="1881"/>
      <c r="H166" s="1881"/>
      <c r="I166" s="1883"/>
      <c r="J166" s="1884"/>
      <c r="K166" s="1873"/>
      <c r="L166" s="1873"/>
      <c r="M166" s="1873"/>
      <c r="N166" s="1873"/>
      <c r="O166" s="1866"/>
      <c r="P166" s="1867"/>
      <c r="Q166" s="1867"/>
    </row>
    <row r="167" spans="1:17" ht="93.7" customHeight="1">
      <c r="A167" s="1855">
        <f>A156+1</f>
        <v>7</v>
      </c>
      <c r="B167" s="1856"/>
      <c r="C167" s="2526" t="s">
        <v>3417</v>
      </c>
      <c r="D167" s="2526"/>
      <c r="E167" s="2526"/>
      <c r="F167" s="2526"/>
      <c r="G167" s="2526"/>
      <c r="H167" s="2526"/>
      <c r="I167" s="2526"/>
      <c r="J167" s="2526"/>
      <c r="K167" s="1851"/>
      <c r="L167" s="1851"/>
      <c r="M167" s="1851"/>
      <c r="N167" s="1851"/>
      <c r="O167" s="1866"/>
      <c r="P167" s="1867"/>
      <c r="Q167" s="1867"/>
    </row>
    <row r="168" spans="1:17">
      <c r="A168" s="1855"/>
      <c r="B168" s="1856"/>
      <c r="C168" s="1877"/>
      <c r="D168" s="1853"/>
      <c r="E168" s="1853"/>
      <c r="F168" s="1853"/>
      <c r="G168" s="1851"/>
      <c r="H168" s="1851"/>
      <c r="I168" s="1851"/>
      <c r="J168" s="1851"/>
      <c r="K168" s="1851"/>
      <c r="L168" s="1851"/>
      <c r="M168" s="1851"/>
      <c r="N168" s="1851"/>
      <c r="O168" s="1866"/>
      <c r="P168" s="1867"/>
      <c r="Q168" s="1867"/>
    </row>
    <row r="169" spans="1:17">
      <c r="A169" s="1855"/>
      <c r="B169" s="1856"/>
      <c r="C169" s="1877"/>
      <c r="D169" s="1853"/>
      <c r="E169" s="1853"/>
      <c r="F169" s="1853"/>
      <c r="G169" s="1851"/>
      <c r="H169" s="1851"/>
      <c r="I169" s="1851"/>
      <c r="J169" s="1851"/>
      <c r="K169" s="1851"/>
      <c r="L169" s="1851"/>
      <c r="M169" s="1851"/>
      <c r="N169" s="1851"/>
      <c r="O169" s="1866"/>
      <c r="P169" s="1867"/>
      <c r="Q169" s="1867"/>
    </row>
    <row r="170" spans="1:17">
      <c r="A170" s="1855"/>
      <c r="B170" s="1856"/>
      <c r="C170" s="1877"/>
      <c r="D170" s="1853"/>
      <c r="E170" s="1853"/>
      <c r="F170" s="1853"/>
      <c r="G170" s="1851"/>
      <c r="H170" s="1851"/>
      <c r="I170" s="1851"/>
      <c r="J170" s="1851"/>
      <c r="K170" s="1851"/>
      <c r="L170" s="1851"/>
      <c r="M170" s="1851"/>
      <c r="N170" s="1851"/>
      <c r="O170" s="1866"/>
      <c r="P170" s="1867"/>
      <c r="Q170" s="1867"/>
    </row>
    <row r="171" spans="1:17">
      <c r="A171" s="1855"/>
      <c r="B171" s="1856"/>
      <c r="C171" s="1877"/>
      <c r="D171" s="1853"/>
      <c r="E171" s="1853"/>
      <c r="F171" s="1853"/>
      <c r="G171" s="1851"/>
      <c r="H171" s="1851"/>
      <c r="I171" s="1851"/>
      <c r="J171" s="1851"/>
      <c r="K171" s="1851"/>
      <c r="L171" s="1851"/>
      <c r="M171" s="1851"/>
      <c r="N171" s="1851"/>
      <c r="O171" s="1866"/>
      <c r="P171" s="1867"/>
      <c r="Q171" s="1867"/>
    </row>
    <row r="172" spans="1:17">
      <c r="A172" s="1855"/>
      <c r="B172" s="1856"/>
      <c r="C172" s="1877" t="s">
        <v>674</v>
      </c>
      <c r="D172" s="1853"/>
      <c r="E172" s="1853"/>
      <c r="F172" s="1853"/>
      <c r="G172" s="1851"/>
      <c r="H172" s="1851"/>
      <c r="I172" s="1851"/>
      <c r="J172" s="1871">
        <v>7.7</v>
      </c>
      <c r="K172" s="1851"/>
      <c r="L172" s="1851"/>
      <c r="M172" s="1851"/>
      <c r="N172" s="1851"/>
      <c r="O172" s="1866"/>
      <c r="P172" s="1867"/>
      <c r="Q172" s="1890"/>
    </row>
    <row r="173" spans="1:17">
      <c r="A173" s="1855"/>
      <c r="B173" s="1856"/>
      <c r="C173" s="1877"/>
      <c r="D173" s="1853"/>
      <c r="E173" s="1853"/>
      <c r="F173" s="1853"/>
      <c r="G173" s="1851"/>
      <c r="H173" s="1851"/>
      <c r="I173" s="1851"/>
      <c r="J173" s="1871" t="s">
        <v>495</v>
      </c>
      <c r="K173" s="1851"/>
      <c r="L173" s="1851"/>
      <c r="M173" s="1851"/>
      <c r="N173" s="1851"/>
      <c r="O173" s="1866"/>
      <c r="P173" s="1867"/>
      <c r="Q173" s="1867"/>
    </row>
    <row r="174" spans="1:17">
      <c r="A174" s="1855"/>
      <c r="B174" s="1872"/>
      <c r="C174" s="2524" t="s">
        <v>3389</v>
      </c>
      <c r="D174" s="2524"/>
      <c r="E174" s="2524"/>
      <c r="F174" s="2524"/>
      <c r="G174" s="2524"/>
      <c r="H174" s="2524"/>
      <c r="I174" s="2524"/>
      <c r="J174" s="1871">
        <f>J172</f>
        <v>7.7</v>
      </c>
      <c r="K174" s="1873">
        <f>Datas!E503</f>
        <v>606.11</v>
      </c>
      <c r="L174" s="1873"/>
      <c r="M174" s="1873">
        <f>ROUND(K174*J174,0)</f>
        <v>4667</v>
      </c>
      <c r="N174" s="1873">
        <f>SUM(L174:M174)</f>
        <v>4667</v>
      </c>
      <c r="O174" s="1866">
        <f>0.0625*(0.9*75+0.45*40)</f>
        <v>5.34375</v>
      </c>
      <c r="P174" s="1878">
        <f>ROUND(O174*J174,2)</f>
        <v>41.15</v>
      </c>
      <c r="Q174" s="1867"/>
    </row>
    <row r="175" spans="1:17" ht="15" customHeight="1">
      <c r="A175" s="1855"/>
      <c r="B175" s="1880"/>
      <c r="C175" s="1880"/>
      <c r="D175" s="1880"/>
      <c r="E175" s="1880"/>
      <c r="F175" s="1883"/>
      <c r="G175" s="1880"/>
      <c r="H175" s="1880"/>
      <c r="I175" s="1880"/>
      <c r="J175" s="1851" t="s">
        <v>495</v>
      </c>
      <c r="K175" s="1873" t="str">
        <f>CONCATENATE("per ",J175)</f>
        <v>per Rmt</v>
      </c>
      <c r="L175" s="1873"/>
      <c r="M175" s="1873"/>
      <c r="N175" s="1873"/>
      <c r="O175" s="1866"/>
      <c r="P175" s="1867"/>
      <c r="Q175" s="1867"/>
    </row>
    <row r="176" spans="1:17" ht="15" customHeight="1">
      <c r="A176" s="1855"/>
      <c r="B176" s="1872"/>
      <c r="C176" s="1872"/>
      <c r="D176" s="1872"/>
      <c r="E176" s="1872"/>
      <c r="F176" s="1872"/>
      <c r="G176" s="1872"/>
      <c r="H176" s="1872"/>
      <c r="I176" s="1872"/>
      <c r="J176" s="1884"/>
      <c r="K176" s="1873"/>
      <c r="L176" s="1873"/>
      <c r="M176" s="1873"/>
      <c r="N176" s="1873"/>
      <c r="O176" s="1866"/>
      <c r="P176" s="1878"/>
      <c r="Q176" s="1867"/>
    </row>
    <row r="177" spans="1:17" ht="126.7" hidden="1" customHeight="1">
      <c r="A177" s="1855">
        <f>A167+1</f>
        <v>8</v>
      </c>
      <c r="B177" s="1856"/>
      <c r="C177" s="2526" t="s">
        <v>3419</v>
      </c>
      <c r="D177" s="2526"/>
      <c r="E177" s="2526"/>
      <c r="F177" s="2526"/>
      <c r="G177" s="2526"/>
      <c r="H177" s="2526"/>
      <c r="I177" s="2526"/>
      <c r="J177" s="2526"/>
      <c r="K177" s="1851"/>
      <c r="L177" s="1851"/>
      <c r="M177" s="1851"/>
      <c r="N177" s="1851"/>
      <c r="O177" s="1866"/>
      <c r="P177" s="1867"/>
      <c r="Q177" s="1867"/>
    </row>
    <row r="178" spans="1:17" hidden="1">
      <c r="A178" s="1855"/>
      <c r="B178" s="1856"/>
      <c r="C178" s="1877"/>
      <c r="D178" s="1853"/>
      <c r="E178" s="1853"/>
      <c r="F178" s="1853"/>
      <c r="G178" s="1851"/>
      <c r="H178" s="1851"/>
      <c r="I178" s="1851"/>
      <c r="J178" s="1851"/>
      <c r="K178" s="1851"/>
      <c r="L178" s="1851"/>
      <c r="M178" s="1851"/>
      <c r="N178" s="1851"/>
      <c r="O178" s="1866"/>
      <c r="P178" s="1867"/>
      <c r="Q178" s="1867"/>
    </row>
    <row r="179" spans="1:17" hidden="1">
      <c r="A179" s="1855"/>
      <c r="B179" s="1856"/>
      <c r="C179" s="1877"/>
      <c r="D179" s="1853"/>
      <c r="E179" s="1853"/>
      <c r="F179" s="1853"/>
      <c r="G179" s="1851"/>
      <c r="H179" s="1851"/>
      <c r="I179" s="1851"/>
      <c r="J179" s="1851"/>
      <c r="K179" s="1851"/>
      <c r="L179" s="1851"/>
      <c r="M179" s="1851"/>
      <c r="N179" s="1851"/>
      <c r="O179" s="1866"/>
      <c r="P179" s="1867"/>
      <c r="Q179" s="1867"/>
    </row>
    <row r="180" spans="1:17" hidden="1">
      <c r="A180" s="1855"/>
      <c r="B180" s="1856"/>
      <c r="C180" s="1877"/>
      <c r="D180" s="1853"/>
      <c r="E180" s="1853"/>
      <c r="F180" s="1853"/>
      <c r="G180" s="1851"/>
      <c r="H180" s="1851"/>
      <c r="I180" s="1885"/>
      <c r="J180" s="1851"/>
      <c r="K180" s="1851"/>
      <c r="L180" s="1851"/>
      <c r="M180" s="1851"/>
      <c r="N180" s="1851"/>
      <c r="O180" s="1866"/>
      <c r="P180" s="1867"/>
      <c r="Q180" s="1867"/>
    </row>
    <row r="181" spans="1:17" hidden="1">
      <c r="A181" s="1855"/>
      <c r="B181" s="1856"/>
      <c r="C181" s="1877"/>
      <c r="D181" s="1853"/>
      <c r="E181" s="1853"/>
      <c r="F181" s="1853"/>
      <c r="G181" s="1851"/>
      <c r="H181" s="1851"/>
      <c r="I181" s="1851"/>
      <c r="J181" s="1871"/>
      <c r="K181" s="1851"/>
      <c r="L181" s="1851"/>
      <c r="M181" s="1851"/>
      <c r="N181" s="1851"/>
      <c r="O181" s="1866"/>
      <c r="P181" s="1867"/>
      <c r="Q181" s="1867"/>
    </row>
    <row r="182" spans="1:17" hidden="1">
      <c r="A182" s="1855"/>
      <c r="B182" s="1856"/>
      <c r="C182" s="1877"/>
      <c r="D182" s="1853"/>
      <c r="E182" s="1853"/>
      <c r="F182" s="1853"/>
      <c r="G182" s="1851"/>
      <c r="H182" s="1851"/>
      <c r="I182" s="1851"/>
      <c r="J182" s="1871" t="s">
        <v>656</v>
      </c>
      <c r="K182" s="1851"/>
      <c r="L182" s="1851"/>
      <c r="M182" s="1851"/>
      <c r="N182" s="1851"/>
      <c r="O182" s="1866"/>
      <c r="P182" s="1867"/>
      <c r="Q182" s="1867"/>
    </row>
    <row r="183" spans="1:17" ht="21.75" hidden="1" customHeight="1">
      <c r="A183" s="1855"/>
      <c r="B183" s="1872"/>
      <c r="C183" s="2524" t="s">
        <v>3389</v>
      </c>
      <c r="D183" s="2524"/>
      <c r="E183" s="2524"/>
      <c r="F183" s="2524"/>
      <c r="G183" s="2524"/>
      <c r="H183" s="2524"/>
      <c r="I183" s="2524"/>
      <c r="J183" s="1851">
        <v>0</v>
      </c>
      <c r="K183" s="1873">
        <f>Datas!G539</f>
        <v>5340.5599999999995</v>
      </c>
      <c r="L183" s="1873"/>
      <c r="M183" s="1873">
        <f>ROUND(K183*J183,0)</f>
        <v>0</v>
      </c>
      <c r="N183" s="1873">
        <f>SUM(L183:M183)</f>
        <v>0</v>
      </c>
      <c r="O183" s="1866">
        <f>ROUND(0.9*75+0.45*40,2)</f>
        <v>85.5</v>
      </c>
      <c r="P183" s="1878">
        <f>ROUND(O183*J183,2)</f>
        <v>0</v>
      </c>
      <c r="Q183" s="1867"/>
    </row>
    <row r="184" spans="1:17" ht="15" hidden="1" customHeight="1">
      <c r="A184" s="1855"/>
      <c r="B184" s="1880"/>
      <c r="C184" s="1883"/>
      <c r="D184" s="1880"/>
      <c r="E184" s="1880"/>
      <c r="F184" s="1883"/>
      <c r="G184" s="1880"/>
      <c r="H184" s="1880"/>
      <c r="I184" s="1880"/>
      <c r="J184" s="1851" t="s">
        <v>656</v>
      </c>
      <c r="K184" s="1873" t="str">
        <f>CONCATENATE("per ",J184)</f>
        <v>per Cum.</v>
      </c>
      <c r="L184" s="1873"/>
      <c r="M184" s="1873"/>
      <c r="N184" s="1873"/>
      <c r="O184" s="1866"/>
      <c r="P184" s="1867"/>
      <c r="Q184" s="1867"/>
    </row>
    <row r="185" spans="1:17" ht="15" hidden="1" customHeight="1">
      <c r="A185" s="1855"/>
      <c r="B185" s="1880"/>
      <c r="C185" s="1880"/>
      <c r="D185" s="1880"/>
      <c r="E185" s="1880"/>
      <c r="F185" s="1883"/>
      <c r="G185" s="1880"/>
      <c r="H185" s="1880"/>
      <c r="I185" s="1880"/>
      <c r="J185" s="1884"/>
      <c r="K185" s="1873"/>
      <c r="L185" s="1873"/>
      <c r="M185" s="1873"/>
      <c r="N185" s="1873"/>
      <c r="O185" s="1866"/>
      <c r="P185" s="1867"/>
      <c r="Q185" s="1867"/>
    </row>
    <row r="186" spans="1:17" ht="37.9" hidden="1" customHeight="1">
      <c r="A186" s="1855">
        <f>A177+1</f>
        <v>9</v>
      </c>
      <c r="B186" s="1856"/>
      <c r="C186" s="2526" t="str">
        <f>[221]Datas!C556</f>
        <v>Brick Masonry in CM (1:6) with 2nd class Bricks traditional size 23 x 11 x 7 cms</v>
      </c>
      <c r="D186" s="2526"/>
      <c r="E186" s="2526"/>
      <c r="F186" s="2526"/>
      <c r="G186" s="2526"/>
      <c r="H186" s="2526"/>
      <c r="I186" s="2526"/>
      <c r="J186" s="2526"/>
      <c r="K186" s="1851"/>
      <c r="L186" s="1851"/>
      <c r="M186" s="1851"/>
      <c r="N186" s="1851"/>
      <c r="O186" s="1866"/>
      <c r="P186" s="1867"/>
      <c r="Q186" s="1867"/>
    </row>
    <row r="187" spans="1:17" hidden="1">
      <c r="A187" s="1855"/>
      <c r="B187" s="1856"/>
      <c r="C187" s="1870"/>
      <c r="D187" s="1853"/>
      <c r="E187" s="1853"/>
      <c r="F187" s="1853"/>
      <c r="G187" s="1851"/>
      <c r="H187" s="1851"/>
      <c r="I187" s="1851"/>
      <c r="J187" s="1851"/>
      <c r="K187" s="1851"/>
      <c r="L187" s="1851"/>
      <c r="M187" s="1851"/>
      <c r="N187" s="1851"/>
      <c r="O187" s="1866"/>
      <c r="P187" s="1867"/>
      <c r="Q187" s="1867"/>
    </row>
    <row r="188" spans="1:17" hidden="1">
      <c r="A188" s="1855"/>
      <c r="B188" s="1856"/>
      <c r="C188" s="1870"/>
      <c r="D188" s="1853"/>
      <c r="E188" s="1853"/>
      <c r="F188" s="1853"/>
      <c r="G188" s="1851"/>
      <c r="H188" s="1851"/>
      <c r="I188" s="1851"/>
      <c r="J188" s="1851"/>
      <c r="K188" s="1851"/>
      <c r="L188" s="1851"/>
      <c r="M188" s="1851"/>
      <c r="N188" s="1851"/>
      <c r="O188" s="1866"/>
      <c r="P188" s="1867"/>
      <c r="Q188" s="1867"/>
    </row>
    <row r="189" spans="1:17" hidden="1">
      <c r="A189" s="1855"/>
      <c r="B189" s="1856"/>
      <c r="C189" s="1868"/>
      <c r="D189" s="1853"/>
      <c r="E189" s="1853"/>
      <c r="F189" s="1853"/>
      <c r="G189" s="1851"/>
      <c r="H189" s="1851"/>
      <c r="I189" s="1851"/>
      <c r="J189" s="1851"/>
      <c r="K189" s="1851"/>
      <c r="L189" s="1851"/>
      <c r="M189" s="1851"/>
      <c r="N189" s="1851"/>
      <c r="O189" s="1866"/>
      <c r="P189" s="1867"/>
      <c r="Q189" s="1867"/>
    </row>
    <row r="190" spans="1:17" hidden="1">
      <c r="A190" s="1855"/>
      <c r="B190" s="1856"/>
      <c r="C190" s="1870"/>
      <c r="D190" s="1853"/>
      <c r="E190" s="1853"/>
      <c r="F190" s="1853"/>
      <c r="G190" s="1851"/>
      <c r="H190" s="1851"/>
      <c r="I190" s="1851"/>
      <c r="J190" s="1851"/>
      <c r="K190" s="1851"/>
      <c r="L190" s="1851"/>
      <c r="M190" s="1851"/>
      <c r="N190" s="1851"/>
      <c r="O190" s="1866"/>
      <c r="P190" s="1867"/>
      <c r="Q190" s="1867"/>
    </row>
    <row r="191" spans="1:17" hidden="1">
      <c r="A191" s="1855"/>
      <c r="B191" s="1856"/>
      <c r="C191" s="1877"/>
      <c r="D191" s="1853"/>
      <c r="E191" s="1853"/>
      <c r="F191" s="1853"/>
      <c r="G191" s="1851"/>
      <c r="H191" s="1851"/>
      <c r="I191" s="1851"/>
      <c r="J191" s="1851"/>
      <c r="K191" s="1851"/>
      <c r="L191" s="1851"/>
      <c r="M191" s="1851"/>
      <c r="N191" s="1851"/>
      <c r="O191" s="1866"/>
      <c r="P191" s="1867"/>
      <c r="Q191" s="1867"/>
    </row>
    <row r="192" spans="1:17" hidden="1">
      <c r="A192" s="1855"/>
      <c r="B192" s="1856"/>
      <c r="C192" s="1859"/>
      <c r="D192" s="1853"/>
      <c r="E192" s="1853"/>
      <c r="F192" s="1853"/>
      <c r="G192" s="1851"/>
      <c r="H192" s="1851"/>
      <c r="I192" s="1851"/>
      <c r="J192" s="1851"/>
      <c r="K192" s="1851"/>
      <c r="L192" s="1851"/>
      <c r="M192" s="1851"/>
      <c r="N192" s="1851"/>
      <c r="O192" s="1866"/>
      <c r="P192" s="1867"/>
      <c r="Q192" s="1867"/>
    </row>
    <row r="193" spans="1:17" hidden="1">
      <c r="A193" s="1855"/>
      <c r="B193" s="1856"/>
      <c r="C193" s="1877"/>
      <c r="D193" s="1853"/>
      <c r="E193" s="1853"/>
      <c r="F193" s="1853"/>
      <c r="G193" s="1851"/>
      <c r="H193" s="1851"/>
      <c r="I193" s="1851"/>
      <c r="J193" s="1851"/>
      <c r="K193" s="1851"/>
      <c r="L193" s="1851"/>
      <c r="M193" s="1851"/>
      <c r="N193" s="1851"/>
      <c r="O193" s="1866"/>
      <c r="P193" s="1867"/>
      <c r="Q193" s="1867"/>
    </row>
    <row r="194" spans="1:17" hidden="1">
      <c r="A194" s="1855"/>
      <c r="B194" s="1856"/>
      <c r="C194" s="1877"/>
      <c r="D194" s="1853"/>
      <c r="E194" s="1853"/>
      <c r="F194" s="1853"/>
      <c r="G194" s="1851"/>
      <c r="H194" s="1851"/>
      <c r="I194" s="1851"/>
      <c r="J194" s="1851"/>
      <c r="K194" s="1851"/>
      <c r="L194" s="1851"/>
      <c r="M194" s="1851"/>
      <c r="N194" s="1851"/>
      <c r="O194" s="1866"/>
      <c r="P194" s="1867"/>
      <c r="Q194" s="1867"/>
    </row>
    <row r="195" spans="1:17" hidden="1">
      <c r="A195" s="1855"/>
      <c r="B195" s="1856"/>
      <c r="C195" s="1877"/>
      <c r="D195" s="1853"/>
      <c r="E195" s="1853"/>
      <c r="F195" s="1853"/>
      <c r="G195" s="1851"/>
      <c r="H195" s="1851"/>
      <c r="I195" s="1851"/>
      <c r="J195" s="1851"/>
      <c r="K195" s="1851"/>
      <c r="L195" s="1851"/>
      <c r="M195" s="1851"/>
      <c r="N195" s="1851"/>
      <c r="O195" s="1866"/>
      <c r="P195" s="1867"/>
      <c r="Q195" s="1867"/>
    </row>
    <row r="196" spans="1:17" hidden="1">
      <c r="A196" s="1855"/>
      <c r="B196" s="1856"/>
      <c r="C196" s="1877"/>
      <c r="D196" s="1853"/>
      <c r="E196" s="1853"/>
      <c r="F196" s="1853"/>
      <c r="G196" s="1851"/>
      <c r="H196" s="1851"/>
      <c r="I196" s="1851"/>
      <c r="J196" s="1851"/>
      <c r="K196" s="1851"/>
      <c r="L196" s="1851"/>
      <c r="M196" s="1851"/>
      <c r="N196" s="1851"/>
      <c r="O196" s="1866"/>
      <c r="P196" s="1867"/>
      <c r="Q196" s="1867"/>
    </row>
    <row r="197" spans="1:17" hidden="1">
      <c r="A197" s="1855"/>
      <c r="B197" s="1856"/>
      <c r="C197" s="1877"/>
      <c r="D197" s="1853"/>
      <c r="E197" s="1853"/>
      <c r="F197" s="1853"/>
      <c r="G197" s="1851"/>
      <c r="H197" s="1851"/>
      <c r="I197" s="1851"/>
      <c r="J197" s="1851"/>
      <c r="K197" s="1851"/>
      <c r="L197" s="1851"/>
      <c r="M197" s="1851"/>
      <c r="N197" s="1851"/>
      <c r="O197" s="1866"/>
      <c r="P197" s="1867"/>
      <c r="Q197" s="1867"/>
    </row>
    <row r="198" spans="1:17" hidden="1">
      <c r="A198" s="1855"/>
      <c r="B198" s="1856"/>
      <c r="C198" s="1859"/>
      <c r="D198" s="1853"/>
      <c r="E198" s="1853"/>
      <c r="F198" s="1853"/>
      <c r="G198" s="1851"/>
      <c r="H198" s="1851"/>
      <c r="I198" s="1851"/>
      <c r="J198" s="1851"/>
      <c r="K198" s="1851"/>
      <c r="L198" s="1851"/>
      <c r="M198" s="1851"/>
      <c r="N198" s="1851"/>
      <c r="O198" s="1866"/>
      <c r="P198" s="1867"/>
      <c r="Q198" s="1867"/>
    </row>
    <row r="199" spans="1:17" hidden="1">
      <c r="A199" s="1855"/>
      <c r="B199" s="1856"/>
      <c r="C199" s="1899"/>
      <c r="D199" s="1853"/>
      <c r="E199" s="1853"/>
      <c r="F199" s="1853"/>
      <c r="G199" s="1851"/>
      <c r="H199" s="1851"/>
      <c r="I199" s="1851"/>
      <c r="J199" s="1851"/>
      <c r="K199" s="1851"/>
      <c r="L199" s="1851"/>
      <c r="M199" s="1851"/>
      <c r="N199" s="1851"/>
      <c r="O199" s="1866"/>
      <c r="P199" s="1867"/>
      <c r="Q199" s="1867"/>
    </row>
    <row r="200" spans="1:17" hidden="1">
      <c r="A200" s="1855"/>
      <c r="B200" s="1856"/>
      <c r="C200" s="1899"/>
      <c r="D200" s="1853"/>
      <c r="E200" s="1853"/>
      <c r="F200" s="1853"/>
      <c r="G200" s="1851"/>
      <c r="H200" s="1851"/>
      <c r="I200" s="1851"/>
      <c r="J200" s="1851"/>
      <c r="K200" s="1851"/>
      <c r="L200" s="1851"/>
      <c r="M200" s="1851"/>
      <c r="N200" s="1851"/>
      <c r="O200" s="1866"/>
      <c r="P200" s="1867"/>
      <c r="Q200" s="1867"/>
    </row>
    <row r="201" spans="1:17" hidden="1">
      <c r="A201" s="1855"/>
      <c r="B201" s="1856"/>
      <c r="C201" s="1899"/>
      <c r="D201" s="1853"/>
      <c r="E201" s="1853"/>
      <c r="F201" s="1853"/>
      <c r="G201" s="1851"/>
      <c r="H201" s="1851"/>
      <c r="I201" s="1851"/>
      <c r="J201" s="1851"/>
      <c r="K201" s="1851"/>
      <c r="L201" s="1851"/>
      <c r="M201" s="1851"/>
      <c r="N201" s="1851"/>
      <c r="O201" s="1866"/>
      <c r="P201" s="1867"/>
      <c r="Q201" s="1867"/>
    </row>
    <row r="202" spans="1:17" hidden="1">
      <c r="A202" s="1855"/>
      <c r="B202" s="1856"/>
      <c r="C202" s="1899"/>
      <c r="D202" s="1853"/>
      <c r="E202" s="1853"/>
      <c r="F202" s="1853"/>
      <c r="G202" s="1851"/>
      <c r="H202" s="1851"/>
      <c r="I202" s="1851"/>
      <c r="J202" s="1851"/>
      <c r="K202" s="1851"/>
      <c r="L202" s="1851"/>
      <c r="M202" s="1851"/>
      <c r="N202" s="1851"/>
      <c r="O202" s="1866"/>
      <c r="P202" s="1867"/>
      <c r="Q202" s="1867"/>
    </row>
    <row r="203" spans="1:17" hidden="1">
      <c r="A203" s="1855"/>
      <c r="B203" s="1856"/>
      <c r="C203" s="1859"/>
      <c r="D203" s="1853"/>
      <c r="E203" s="1853"/>
      <c r="F203" s="1853"/>
      <c r="G203" s="1851"/>
      <c r="H203" s="1851"/>
      <c r="I203" s="1851"/>
      <c r="J203" s="1851"/>
      <c r="K203" s="1851"/>
      <c r="L203" s="1851"/>
      <c r="M203" s="1851"/>
      <c r="N203" s="1851"/>
      <c r="O203" s="1866"/>
      <c r="P203" s="1867"/>
      <c r="Q203" s="1867"/>
    </row>
    <row r="204" spans="1:17" hidden="1">
      <c r="A204" s="1855"/>
      <c r="B204" s="1856"/>
      <c r="C204" s="1877"/>
      <c r="D204" s="1853"/>
      <c r="E204" s="1853"/>
      <c r="F204" s="1853"/>
      <c r="G204" s="1851"/>
      <c r="H204" s="1851"/>
      <c r="I204" s="1851"/>
      <c r="J204" s="1851"/>
      <c r="K204" s="1851"/>
      <c r="L204" s="1851"/>
      <c r="M204" s="1851"/>
      <c r="N204" s="1851"/>
      <c r="O204" s="1866"/>
      <c r="P204" s="1867"/>
      <c r="Q204" s="1867"/>
    </row>
    <row r="205" spans="1:17" hidden="1">
      <c r="A205" s="1855"/>
      <c r="B205" s="1856"/>
      <c r="C205" s="1877"/>
      <c r="D205" s="1853"/>
      <c r="E205" s="1853"/>
      <c r="F205" s="1853"/>
      <c r="G205" s="1851"/>
      <c r="H205" s="1851"/>
      <c r="I205" s="1851"/>
      <c r="J205" s="1851"/>
      <c r="K205" s="1851"/>
      <c r="L205" s="1851"/>
      <c r="M205" s="1851"/>
      <c r="N205" s="1851"/>
      <c r="O205" s="1866"/>
      <c r="P205" s="1867"/>
      <c r="Q205" s="1867"/>
    </row>
    <row r="206" spans="1:17" hidden="1">
      <c r="A206" s="1855"/>
      <c r="B206" s="1856"/>
      <c r="C206" s="1877"/>
      <c r="D206" s="1853"/>
      <c r="E206" s="1853"/>
      <c r="F206" s="1853"/>
      <c r="G206" s="1851"/>
      <c r="H206" s="1851"/>
      <c r="I206" s="1851"/>
      <c r="J206" s="1851"/>
      <c r="K206" s="1851"/>
      <c r="L206" s="1851"/>
      <c r="M206" s="1851"/>
      <c r="N206" s="1851"/>
      <c r="O206" s="1866"/>
      <c r="P206" s="1867"/>
      <c r="Q206" s="1867"/>
    </row>
    <row r="207" spans="1:17" hidden="1">
      <c r="A207" s="1855"/>
      <c r="B207" s="1856"/>
      <c r="C207" s="1877"/>
      <c r="D207" s="1853"/>
      <c r="E207" s="1853"/>
      <c r="F207" s="1853"/>
      <c r="G207" s="1851"/>
      <c r="H207" s="1851"/>
      <c r="I207" s="1851"/>
      <c r="J207" s="1871">
        <f>J191+J206</f>
        <v>0</v>
      </c>
      <c r="K207" s="1851"/>
      <c r="L207" s="1851"/>
      <c r="M207" s="1851"/>
      <c r="N207" s="1851"/>
      <c r="O207" s="1866"/>
      <c r="P207" s="1867"/>
      <c r="Q207" s="1867"/>
    </row>
    <row r="208" spans="1:17" hidden="1">
      <c r="A208" s="1855"/>
      <c r="B208" s="1856"/>
      <c r="C208" s="1877"/>
      <c r="D208" s="1853"/>
      <c r="E208" s="1853"/>
      <c r="F208" s="1853"/>
      <c r="G208" s="1851"/>
      <c r="H208" s="1851"/>
      <c r="I208" s="1851"/>
      <c r="J208" s="1871" t="s">
        <v>656</v>
      </c>
      <c r="K208" s="1851"/>
      <c r="L208" s="1851"/>
      <c r="M208" s="1851"/>
      <c r="N208" s="1851"/>
      <c r="O208" s="1866"/>
      <c r="P208" s="1867"/>
      <c r="Q208" s="1867"/>
    </row>
    <row r="209" spans="1:17" ht="21" hidden="1" customHeight="1">
      <c r="A209" s="1855"/>
      <c r="B209" s="1872"/>
      <c r="C209" s="2524" t="s">
        <v>3389</v>
      </c>
      <c r="D209" s="2524"/>
      <c r="E209" s="2524"/>
      <c r="F209" s="2524"/>
      <c r="G209" s="2524"/>
      <c r="H209" s="2524"/>
      <c r="I209" s="2524"/>
      <c r="J209" s="1851">
        <v>0</v>
      </c>
      <c r="K209" s="1873">
        <f>Datas!E612</f>
        <v>7013.85</v>
      </c>
      <c r="L209" s="1873"/>
      <c r="M209" s="1873">
        <f>ROUND(K209*J209,0)</f>
        <v>0</v>
      </c>
      <c r="N209" s="1873">
        <f>SUM(L209:M209)</f>
        <v>0</v>
      </c>
      <c r="O209" s="1866">
        <f>(38.5*512/1000+0.2*40)</f>
        <v>27.712</v>
      </c>
      <c r="P209" s="1878">
        <f>ROUND(O209*J209,2)</f>
        <v>0</v>
      </c>
      <c r="Q209" s="1867"/>
    </row>
    <row r="210" spans="1:17" ht="15" hidden="1" customHeight="1">
      <c r="A210" s="1855"/>
      <c r="B210" s="1892"/>
      <c r="C210" s="1880"/>
      <c r="D210" s="1892"/>
      <c r="E210" s="1880"/>
      <c r="F210" s="1883"/>
      <c r="G210" s="1893"/>
      <c r="H210" s="1893"/>
      <c r="I210" s="1874"/>
      <c r="J210" s="1851" t="s">
        <v>656</v>
      </c>
      <c r="K210" s="1873" t="str">
        <f>CONCATENATE("per ",J210)</f>
        <v>per Cum.</v>
      </c>
      <c r="L210" s="1873"/>
      <c r="M210" s="1873"/>
      <c r="N210" s="1873"/>
      <c r="O210" s="1866"/>
      <c r="P210" s="1867"/>
      <c r="Q210" s="1867"/>
    </row>
    <row r="211" spans="1:17" ht="15" hidden="1" customHeight="1">
      <c r="A211" s="1855"/>
      <c r="B211" s="1892"/>
      <c r="C211" s="1880"/>
      <c r="D211" s="1892"/>
      <c r="E211" s="1880"/>
      <c r="F211" s="1883"/>
      <c r="G211" s="1893"/>
      <c r="H211" s="1893"/>
      <c r="I211" s="1874"/>
      <c r="J211" s="1884"/>
      <c r="K211" s="1873"/>
      <c r="L211" s="1873"/>
      <c r="M211" s="1873"/>
      <c r="N211" s="1873"/>
      <c r="O211" s="1866"/>
      <c r="P211" s="1867"/>
      <c r="Q211" s="1867"/>
    </row>
    <row r="212" spans="1:17" ht="115.5" hidden="1" customHeight="1">
      <c r="A212" s="1855">
        <f>A186+1</f>
        <v>10</v>
      </c>
      <c r="B212" s="1856"/>
      <c r="C212" s="2527" t="s">
        <v>3429</v>
      </c>
      <c r="D212" s="2527"/>
      <c r="E212" s="2527"/>
      <c r="F212" s="2527"/>
      <c r="G212" s="2527"/>
      <c r="H212" s="2527"/>
      <c r="I212" s="2527"/>
      <c r="J212" s="2527"/>
      <c r="K212" s="1851"/>
      <c r="L212" s="1851"/>
      <c r="M212" s="1851"/>
      <c r="N212" s="1851"/>
      <c r="O212" s="1866"/>
      <c r="P212" s="1867"/>
      <c r="Q212" s="1867"/>
    </row>
    <row r="213" spans="1:17" hidden="1">
      <c r="A213" s="1855"/>
      <c r="B213" s="1856"/>
      <c r="C213" s="1870"/>
      <c r="D213" s="1853"/>
      <c r="E213" s="1853"/>
      <c r="F213" s="1853"/>
      <c r="G213" s="1851"/>
      <c r="H213" s="1969"/>
      <c r="I213" s="1851"/>
      <c r="J213" s="1851"/>
      <c r="K213" s="1851"/>
      <c r="L213" s="1851"/>
      <c r="M213" s="1851"/>
      <c r="N213" s="1851"/>
      <c r="O213" s="1866"/>
      <c r="P213" s="1867"/>
      <c r="Q213" s="1867"/>
    </row>
    <row r="214" spans="1:17" hidden="1">
      <c r="A214" s="1855"/>
      <c r="B214" s="1856"/>
      <c r="C214" s="1870"/>
      <c r="D214" s="1853"/>
      <c r="E214" s="1853"/>
      <c r="F214" s="1853"/>
      <c r="G214" s="1851"/>
      <c r="H214" s="1969"/>
      <c r="I214" s="1851"/>
      <c r="J214" s="1851"/>
      <c r="K214" s="1851"/>
      <c r="L214" s="1851"/>
      <c r="M214" s="1851"/>
      <c r="N214" s="1851"/>
      <c r="O214" s="1866"/>
      <c r="P214" s="1867"/>
      <c r="Q214" s="1867"/>
    </row>
    <row r="215" spans="1:17" hidden="1">
      <c r="A215" s="1855"/>
      <c r="B215" s="1856"/>
      <c r="C215" s="1870"/>
      <c r="D215" s="1853"/>
      <c r="E215" s="1853"/>
      <c r="F215" s="1853"/>
      <c r="G215" s="1851"/>
      <c r="H215" s="1969"/>
      <c r="I215" s="1851"/>
      <c r="J215" s="1851"/>
      <c r="K215" s="1851"/>
      <c r="L215" s="1851"/>
      <c r="M215" s="1851"/>
      <c r="N215" s="1851"/>
      <c r="O215" s="1866"/>
      <c r="P215" s="1867"/>
      <c r="Q215" s="1867"/>
    </row>
    <row r="216" spans="1:17" hidden="1">
      <c r="A216" s="1855"/>
      <c r="B216" s="1856"/>
      <c r="C216" s="1877"/>
      <c r="D216" s="1853"/>
      <c r="E216" s="1853"/>
      <c r="F216" s="1853"/>
      <c r="G216" s="1851"/>
      <c r="H216" s="1969"/>
      <c r="I216" s="1851"/>
      <c r="J216" s="1871"/>
      <c r="K216" s="1851"/>
      <c r="L216" s="1851"/>
      <c r="M216" s="1851"/>
      <c r="N216" s="1851"/>
      <c r="O216" s="1866"/>
      <c r="P216" s="1867"/>
      <c r="Q216" s="1867"/>
    </row>
    <row r="217" spans="1:17" hidden="1">
      <c r="A217" s="1855"/>
      <c r="B217" s="1856"/>
      <c r="C217" s="1859"/>
      <c r="D217" s="1853"/>
      <c r="E217" s="1853"/>
      <c r="F217" s="1853"/>
      <c r="G217" s="1851"/>
      <c r="H217" s="1969"/>
      <c r="I217" s="1851"/>
      <c r="J217" s="1851"/>
      <c r="K217" s="1851"/>
      <c r="L217" s="1851"/>
      <c r="M217" s="1851"/>
      <c r="N217" s="1851"/>
      <c r="O217" s="1866"/>
      <c r="P217" s="1867"/>
      <c r="Q217" s="1867"/>
    </row>
    <row r="218" spans="1:17" hidden="1">
      <c r="A218" s="1855"/>
      <c r="B218" s="1856"/>
      <c r="C218" s="1877"/>
      <c r="D218" s="1853"/>
      <c r="E218" s="1853"/>
      <c r="F218" s="1853"/>
      <c r="G218" s="1851"/>
      <c r="H218" s="1969"/>
      <c r="I218" s="1851"/>
      <c r="J218" s="1851"/>
      <c r="K218" s="1851"/>
      <c r="L218" s="1851"/>
      <c r="M218" s="1851"/>
      <c r="N218" s="1851"/>
      <c r="O218" s="1866"/>
      <c r="P218" s="1867"/>
      <c r="Q218" s="1867"/>
    </row>
    <row r="219" spans="1:17" hidden="1">
      <c r="A219" s="1855"/>
      <c r="B219" s="1856"/>
      <c r="C219" s="1877"/>
      <c r="D219" s="1853"/>
      <c r="E219" s="1853"/>
      <c r="F219" s="1853"/>
      <c r="G219" s="1851"/>
      <c r="H219" s="1969"/>
      <c r="I219" s="1851"/>
      <c r="J219" s="1851"/>
      <c r="K219" s="1851"/>
      <c r="L219" s="1851"/>
      <c r="M219" s="1851"/>
      <c r="N219" s="1851"/>
      <c r="O219" s="1866"/>
      <c r="P219" s="1867"/>
      <c r="Q219" s="1867"/>
    </row>
    <row r="220" spans="1:17" hidden="1">
      <c r="A220" s="1855"/>
      <c r="B220" s="1856"/>
      <c r="C220" s="1899"/>
      <c r="D220" s="1853"/>
      <c r="E220" s="1853"/>
      <c r="F220" s="1853"/>
      <c r="G220" s="1851"/>
      <c r="H220" s="1969"/>
      <c r="I220" s="1851"/>
      <c r="J220" s="1851"/>
      <c r="K220" s="1851"/>
      <c r="L220" s="1851"/>
      <c r="M220" s="1851"/>
      <c r="N220" s="1851"/>
      <c r="O220" s="1866"/>
      <c r="P220" s="1867"/>
      <c r="Q220" s="1867"/>
    </row>
    <row r="221" spans="1:17" hidden="1">
      <c r="A221" s="1855"/>
      <c r="B221" s="1856"/>
      <c r="C221" s="1859"/>
      <c r="D221" s="1853"/>
      <c r="E221" s="1853"/>
      <c r="F221" s="1853"/>
      <c r="G221" s="1851"/>
      <c r="H221" s="1969"/>
      <c r="I221" s="1851"/>
      <c r="J221" s="1851"/>
      <c r="K221" s="1851"/>
      <c r="L221" s="1851"/>
      <c r="M221" s="1851"/>
      <c r="N221" s="1851"/>
      <c r="O221" s="1866"/>
      <c r="P221" s="1867"/>
      <c r="Q221" s="1867"/>
    </row>
    <row r="222" spans="1:17" hidden="1">
      <c r="A222" s="1855"/>
      <c r="B222" s="1856"/>
      <c r="C222" s="1877"/>
      <c r="D222" s="1853"/>
      <c r="E222" s="1853"/>
      <c r="F222" s="1853"/>
      <c r="G222" s="1885"/>
      <c r="H222" s="1969"/>
      <c r="I222" s="1851"/>
      <c r="J222" s="1851"/>
      <c r="K222" s="1851"/>
      <c r="L222" s="1851"/>
      <c r="M222" s="1851"/>
      <c r="N222" s="1851"/>
      <c r="O222" s="1866"/>
      <c r="P222" s="1867"/>
      <c r="Q222" s="1867"/>
    </row>
    <row r="223" spans="1:17" hidden="1">
      <c r="A223" s="1855"/>
      <c r="B223" s="1856"/>
      <c r="C223" s="1877"/>
      <c r="D223" s="1853"/>
      <c r="E223" s="1853"/>
      <c r="F223" s="1853"/>
      <c r="G223" s="1851"/>
      <c r="H223" s="1851"/>
      <c r="I223" s="1851"/>
      <c r="J223" s="1871"/>
      <c r="K223" s="1851"/>
      <c r="L223" s="1851"/>
      <c r="M223" s="1851"/>
      <c r="N223" s="1851"/>
      <c r="O223" s="1866"/>
      <c r="P223" s="1867"/>
      <c r="Q223" s="1867"/>
    </row>
    <row r="224" spans="1:17" hidden="1">
      <c r="A224" s="1855"/>
      <c r="B224" s="1856"/>
      <c r="C224" s="1877"/>
      <c r="D224" s="1853"/>
      <c r="E224" s="1853"/>
      <c r="F224" s="1853"/>
      <c r="G224" s="1851"/>
      <c r="H224" s="1851"/>
      <c r="I224" s="1851"/>
      <c r="J224" s="1871"/>
      <c r="K224" s="1851"/>
      <c r="L224" s="1851"/>
      <c r="M224" s="1851"/>
      <c r="N224" s="1851"/>
      <c r="O224" s="1866"/>
      <c r="P224" s="1867"/>
      <c r="Q224" s="1867"/>
    </row>
    <row r="225" spans="1:17" hidden="1">
      <c r="A225" s="1855"/>
      <c r="B225" s="1856"/>
      <c r="C225" s="1877"/>
      <c r="D225" s="1853"/>
      <c r="E225" s="1853"/>
      <c r="F225" s="1853"/>
      <c r="G225" s="1851"/>
      <c r="H225" s="1851"/>
      <c r="I225" s="1851"/>
      <c r="J225" s="1871" t="s">
        <v>656</v>
      </c>
      <c r="K225" s="1851"/>
      <c r="L225" s="1851"/>
      <c r="M225" s="1851"/>
      <c r="N225" s="1851"/>
      <c r="O225" s="1866"/>
      <c r="P225" s="1867"/>
      <c r="Q225" s="1867"/>
    </row>
    <row r="226" spans="1:17" hidden="1">
      <c r="A226" s="1855"/>
      <c r="B226" s="1872"/>
      <c r="C226" s="2524" t="s">
        <v>3389</v>
      </c>
      <c r="D226" s="2524"/>
      <c r="E226" s="2524"/>
      <c r="F226" s="2524"/>
      <c r="G226" s="2524"/>
      <c r="H226" s="2524"/>
      <c r="I226" s="2524"/>
      <c r="J226" s="1871">
        <v>0</v>
      </c>
      <c r="K226" s="1873">
        <f>Datas!E961</f>
        <v>800.34</v>
      </c>
      <c r="L226" s="1873"/>
      <c r="M226" s="1873">
        <f>ROUND(K226*J226,0)</f>
        <v>0</v>
      </c>
      <c r="N226" s="1873">
        <f>SUM(L226:M226)</f>
        <v>0</v>
      </c>
      <c r="O226" s="1866">
        <f>(38.5*512/1000+0.2*40)</f>
        <v>27.712</v>
      </c>
      <c r="P226" s="1878">
        <f>ROUND(O226*J226,2)</f>
        <v>0</v>
      </c>
      <c r="Q226" s="1867"/>
    </row>
    <row r="227" spans="1:17" hidden="1">
      <c r="A227" s="1855"/>
      <c r="B227" s="1892"/>
      <c r="C227" s="1880"/>
      <c r="D227" s="1892"/>
      <c r="E227" s="1880"/>
      <c r="F227" s="1883"/>
      <c r="G227" s="1893"/>
      <c r="H227" s="1893"/>
      <c r="I227" s="1874"/>
      <c r="J227" s="1851" t="s">
        <v>1478</v>
      </c>
      <c r="K227" s="1873" t="str">
        <f>CONCATENATE("per ",J227)</f>
        <v>per Sqm</v>
      </c>
      <c r="L227" s="1873"/>
      <c r="M227" s="1873"/>
      <c r="N227" s="1873"/>
      <c r="O227" s="1866"/>
      <c r="P227" s="1867"/>
      <c r="Q227" s="1867"/>
    </row>
    <row r="228" spans="1:17" hidden="1">
      <c r="A228" s="1855"/>
      <c r="B228" s="1892"/>
      <c r="C228" s="1880"/>
      <c r="D228" s="1892"/>
      <c r="E228" s="1880"/>
      <c r="F228" s="1883"/>
      <c r="G228" s="1893"/>
      <c r="H228" s="1893"/>
      <c r="I228" s="1874"/>
      <c r="J228" s="1884"/>
      <c r="K228" s="1873"/>
      <c r="L228" s="1873"/>
      <c r="M228" s="1873"/>
      <c r="N228" s="1873"/>
      <c r="O228" s="1866"/>
      <c r="P228" s="1867"/>
      <c r="Q228" s="1867"/>
    </row>
    <row r="229" spans="1:17" ht="85.9" hidden="1" customHeight="1">
      <c r="A229" s="1855">
        <f>A212+1</f>
        <v>11</v>
      </c>
      <c r="B229" s="1856"/>
      <c r="C229" s="2526" t="s">
        <v>3434</v>
      </c>
      <c r="D229" s="2529"/>
      <c r="E229" s="2529"/>
      <c r="F229" s="2529"/>
      <c r="G229" s="2529"/>
      <c r="H229" s="2529"/>
      <c r="I229" s="2529"/>
      <c r="J229" s="2529"/>
      <c r="K229" s="1851"/>
      <c r="L229" s="1851"/>
      <c r="M229" s="1851"/>
      <c r="N229" s="1851"/>
      <c r="O229" s="1866"/>
      <c r="P229" s="1867"/>
      <c r="Q229" s="1867"/>
    </row>
    <row r="230" spans="1:17" ht="15.7" hidden="1" customHeight="1">
      <c r="A230" s="1855"/>
      <c r="B230" s="1856"/>
      <c r="C230" s="1859" t="s">
        <v>39</v>
      </c>
      <c r="D230" s="1859"/>
      <c r="E230" s="1859"/>
      <c r="F230" s="1859"/>
      <c r="G230" s="1862"/>
      <c r="H230" s="1862"/>
      <c r="I230" s="1862"/>
      <c r="J230" s="1862"/>
      <c r="K230" s="1851"/>
      <c r="L230" s="1851"/>
      <c r="M230" s="1851"/>
      <c r="N230" s="1851"/>
      <c r="O230" s="1863"/>
      <c r="P230" s="1864"/>
      <c r="Q230" s="1864"/>
    </row>
    <row r="231" spans="1:17" ht="21.75" hidden="1" customHeight="1">
      <c r="A231" s="1855"/>
      <c r="B231" s="1856"/>
      <c r="C231" s="1865" t="s">
        <v>288</v>
      </c>
      <c r="D231" s="1853">
        <v>1</v>
      </c>
      <c r="E231" s="1853" t="s">
        <v>1472</v>
      </c>
      <c r="F231" s="1853">
        <v>9</v>
      </c>
      <c r="G231" s="1851">
        <v>1.5</v>
      </c>
      <c r="H231" s="1851">
        <v>1.5</v>
      </c>
      <c r="I231" s="1851">
        <v>1.5</v>
      </c>
      <c r="J231" s="1851">
        <f>ROUND(D231*F231*G231*H231*I231,2)</f>
        <v>30.38</v>
      </c>
      <c r="K231" s="1851"/>
      <c r="L231" s="1851"/>
      <c r="M231" s="1851"/>
      <c r="N231" s="1851"/>
      <c r="O231" s="1866"/>
      <c r="P231" s="1867"/>
      <c r="Q231" s="1867"/>
    </row>
    <row r="232" spans="1:17" ht="24.75" hidden="1" customHeight="1">
      <c r="A232" s="1855"/>
      <c r="B232" s="1856"/>
      <c r="C232" s="1868" t="s">
        <v>3435</v>
      </c>
      <c r="D232" s="1853">
        <v>1</v>
      </c>
      <c r="E232" s="1853" t="s">
        <v>1472</v>
      </c>
      <c r="F232" s="1853">
        <v>2</v>
      </c>
      <c r="G232" s="1851">
        <f xml:space="preserve"> (28.25*0.3048-3*1.35-0.23)</f>
        <v>4.3305999999999987</v>
      </c>
      <c r="H232" s="1851">
        <v>0.6</v>
      </c>
      <c r="I232" s="1851">
        <f>I10</f>
        <v>0</v>
      </c>
      <c r="J232" s="1851">
        <f>ROUND(D232*F232*G232*H232*I232,2)</f>
        <v>0</v>
      </c>
      <c r="K232" s="1851"/>
      <c r="L232" s="1851"/>
      <c r="M232" s="1851"/>
      <c r="N232" s="1851"/>
      <c r="O232" s="1866"/>
      <c r="P232" s="1867"/>
      <c r="Q232" s="1867"/>
    </row>
    <row r="233" spans="1:17" ht="24.75" hidden="1" customHeight="1">
      <c r="A233" s="1855"/>
      <c r="B233" s="1856"/>
      <c r="C233" s="1868" t="s">
        <v>3436</v>
      </c>
      <c r="D233" s="1853">
        <v>1</v>
      </c>
      <c r="E233" s="1853" t="s">
        <v>1472</v>
      </c>
      <c r="F233" s="1853">
        <v>2</v>
      </c>
      <c r="G233" s="1851">
        <f>(21.38*0.3048-3*1.35-0.23)</f>
        <v>2.2366239999999995</v>
      </c>
      <c r="H233" s="1851">
        <v>0.6</v>
      </c>
      <c r="I233" s="1851">
        <f>I11</f>
        <v>0</v>
      </c>
      <c r="J233" s="1851">
        <f>ROUND(D233*F233*G233*H233*I233,2)</f>
        <v>0</v>
      </c>
      <c r="K233" s="1851"/>
      <c r="L233" s="1851"/>
      <c r="M233" s="1851"/>
      <c r="N233" s="1851"/>
      <c r="O233" s="1866"/>
      <c r="P233" s="1867"/>
      <c r="Q233" s="1867"/>
    </row>
    <row r="234" spans="1:17" ht="21.75" hidden="1" customHeight="1">
      <c r="A234" s="1855"/>
      <c r="B234" s="1856"/>
      <c r="C234" s="1870" t="s">
        <v>509</v>
      </c>
      <c r="D234" s="1853">
        <v>1</v>
      </c>
      <c r="E234" s="1853" t="s">
        <v>1472</v>
      </c>
      <c r="F234" s="1853">
        <v>1</v>
      </c>
      <c r="G234" s="1851">
        <f>12*0.3048</f>
        <v>3.6576000000000004</v>
      </c>
      <c r="H234" s="1851">
        <v>1.5</v>
      </c>
      <c r="I234" s="1851">
        <v>0.15</v>
      </c>
      <c r="J234" s="1851">
        <f>ROUND(D234*F234*G234*H234*I234,2)</f>
        <v>0.82</v>
      </c>
      <c r="K234" s="1851"/>
      <c r="L234" s="1851"/>
      <c r="M234" s="1851"/>
      <c r="N234" s="1851"/>
      <c r="O234" s="1866"/>
      <c r="P234" s="1867"/>
      <c r="Q234" s="1867"/>
    </row>
    <row r="235" spans="1:17" ht="21.75" hidden="1" customHeight="1">
      <c r="A235" s="1855"/>
      <c r="B235" s="1856"/>
      <c r="C235" s="1870"/>
      <c r="D235" s="1853"/>
      <c r="E235" s="1853"/>
      <c r="F235" s="1853"/>
      <c r="G235" s="1851"/>
      <c r="H235" s="1851"/>
      <c r="I235" s="1851"/>
      <c r="J235" s="1851">
        <f>SUM(J231:J234)</f>
        <v>31.2</v>
      </c>
      <c r="K235" s="1851"/>
      <c r="L235" s="1851"/>
      <c r="M235" s="1851"/>
      <c r="N235" s="1851"/>
      <c r="O235" s="1866"/>
      <c r="P235" s="1867"/>
      <c r="Q235" s="1867"/>
    </row>
    <row r="236" spans="1:17" hidden="1">
      <c r="A236" s="1855"/>
      <c r="B236" s="1856"/>
      <c r="C236" s="2530" t="s">
        <v>3437</v>
      </c>
      <c r="D236" s="2531"/>
      <c r="E236" s="2531"/>
      <c r="F236" s="2531"/>
      <c r="G236" s="2531"/>
      <c r="H236" s="2531"/>
      <c r="I236" s="2531"/>
      <c r="J236" s="1871">
        <f>J235*0.7</f>
        <v>21.84</v>
      </c>
      <c r="K236" s="1851"/>
      <c r="L236" s="1851"/>
      <c r="M236" s="1851"/>
      <c r="N236" s="1851"/>
      <c r="O236" s="1866"/>
      <c r="P236" s="1867"/>
      <c r="Q236" s="1867"/>
    </row>
    <row r="237" spans="1:17" hidden="1">
      <c r="A237" s="1855"/>
      <c r="B237" s="1856"/>
      <c r="C237" s="1901"/>
      <c r="D237" s="1902"/>
      <c r="E237" s="1902"/>
      <c r="F237" s="1902"/>
      <c r="G237" s="1902"/>
      <c r="H237" s="1902"/>
      <c r="I237" s="1902"/>
      <c r="J237" s="1871" t="s">
        <v>656</v>
      </c>
      <c r="K237" s="1851"/>
      <c r="L237" s="1851"/>
      <c r="M237" s="1851"/>
      <c r="N237" s="1851"/>
      <c r="O237" s="1866"/>
      <c r="P237" s="1867"/>
      <c r="Q237" s="1867"/>
    </row>
    <row r="238" spans="1:17" ht="21.75" hidden="1" customHeight="1">
      <c r="A238" s="1855"/>
      <c r="B238" s="1872"/>
      <c r="C238" s="2532" t="s">
        <v>3376</v>
      </c>
      <c r="D238" s="2532"/>
      <c r="E238" s="2532"/>
      <c r="F238" s="2532"/>
      <c r="G238" s="2532"/>
      <c r="H238" s="2532"/>
      <c r="I238" s="2532"/>
      <c r="J238" s="1871">
        <v>0</v>
      </c>
      <c r="K238" s="1873">
        <f>[221]Datas!G84</f>
        <v>170.03</v>
      </c>
      <c r="L238" s="1873">
        <f>ROUND(J238*K238,0)</f>
        <v>0</v>
      </c>
      <c r="M238" s="1873"/>
      <c r="N238" s="1873">
        <f>SUM(L238:M238)</f>
        <v>0</v>
      </c>
      <c r="O238" s="1866"/>
      <c r="P238" s="1867"/>
      <c r="Q238" s="1867"/>
    </row>
    <row r="239" spans="1:17" ht="15" hidden="1" customHeight="1">
      <c r="A239" s="1855"/>
      <c r="B239" s="1872"/>
      <c r="C239" s="1877"/>
      <c r="D239" s="1853"/>
      <c r="E239" s="1853"/>
      <c r="F239" s="1853"/>
      <c r="G239" s="1851"/>
      <c r="H239" s="1851"/>
      <c r="I239" s="1851"/>
      <c r="J239" s="1851" t="s">
        <v>656</v>
      </c>
      <c r="K239" s="1873" t="str">
        <f>CONCATENATE( "per ",J239)</f>
        <v>per Cum.</v>
      </c>
      <c r="L239" s="1873"/>
      <c r="M239" s="1873"/>
      <c r="N239" s="1873"/>
      <c r="O239" s="1866"/>
      <c r="P239" s="1867"/>
      <c r="Q239" s="1867"/>
    </row>
    <row r="240" spans="1:17" ht="15" hidden="1" customHeight="1">
      <c r="A240" s="1855"/>
      <c r="B240" s="1872"/>
      <c r="C240" s="1877"/>
      <c r="D240" s="1853"/>
      <c r="E240" s="1853"/>
      <c r="F240" s="1853"/>
      <c r="G240" s="1851"/>
      <c r="H240" s="1851"/>
      <c r="I240" s="1851"/>
      <c r="J240" s="1884"/>
      <c r="K240" s="1873"/>
      <c r="L240" s="1873"/>
      <c r="M240" s="1873"/>
      <c r="N240" s="1873"/>
      <c r="O240" s="1866"/>
      <c r="P240" s="1867"/>
      <c r="Q240" s="1867"/>
    </row>
    <row r="241" spans="1:17" ht="69.75" customHeight="1">
      <c r="A241" s="1855">
        <v>11</v>
      </c>
      <c r="B241" s="1856"/>
      <c r="C241" s="2527" t="s">
        <v>3438</v>
      </c>
      <c r="D241" s="2527"/>
      <c r="E241" s="2527"/>
      <c r="F241" s="2527"/>
      <c r="G241" s="2527"/>
      <c r="H241" s="2527"/>
      <c r="I241" s="2527"/>
      <c r="J241" s="2527"/>
      <c r="K241" s="1851"/>
      <c r="L241" s="1851"/>
      <c r="M241" s="1851"/>
      <c r="N241" s="1851"/>
      <c r="O241" s="1866"/>
      <c r="P241" s="1867"/>
      <c r="Q241" s="1867"/>
    </row>
    <row r="242" spans="1:17" ht="28.2">
      <c r="A242" s="1855"/>
      <c r="B242" s="1856"/>
      <c r="C242" s="1859" t="s">
        <v>85</v>
      </c>
      <c r="D242" s="1877"/>
      <c r="E242" s="1877"/>
      <c r="F242" s="1877"/>
      <c r="G242" s="1889"/>
      <c r="H242" s="1889"/>
      <c r="I242" s="1889"/>
      <c r="J242" s="1889"/>
      <c r="K242" s="1851"/>
      <c r="L242" s="1851"/>
      <c r="M242" s="1851"/>
      <c r="N242" s="1851"/>
      <c r="O242" s="1866"/>
      <c r="P242" s="1867"/>
      <c r="Q242" s="1890"/>
    </row>
    <row r="243" spans="1:17">
      <c r="A243" s="1855"/>
      <c r="B243" s="1856"/>
      <c r="C243" s="1877" t="s">
        <v>3439</v>
      </c>
      <c r="D243" s="1853">
        <v>1</v>
      </c>
      <c r="E243" s="1853" t="s">
        <v>1472</v>
      </c>
      <c r="F243" s="1853">
        <v>1</v>
      </c>
      <c r="G243" s="1851"/>
      <c r="H243" s="1851"/>
      <c r="I243" s="1851"/>
      <c r="J243" s="1851">
        <f>9.08+38.033</f>
        <v>47.113</v>
      </c>
      <c r="K243" s="1851"/>
      <c r="L243" s="1851"/>
      <c r="M243" s="1851"/>
      <c r="N243" s="1851"/>
      <c r="O243" s="1866"/>
      <c r="P243" s="1867"/>
      <c r="Q243" s="1890"/>
    </row>
    <row r="244" spans="1:17">
      <c r="A244" s="1855"/>
      <c r="B244" s="1856"/>
      <c r="C244" s="1859"/>
      <c r="D244" s="1853"/>
      <c r="E244" s="1853"/>
      <c r="F244" s="1853"/>
      <c r="G244" s="1851"/>
      <c r="H244" s="1851"/>
      <c r="I244" s="1851"/>
      <c r="J244" s="1871" t="s">
        <v>1473</v>
      </c>
      <c r="K244" s="1851"/>
      <c r="L244" s="1851"/>
      <c r="M244" s="1851"/>
      <c r="N244" s="1851"/>
      <c r="O244" s="1866"/>
      <c r="P244" s="1867"/>
      <c r="Q244" s="1867"/>
    </row>
    <row r="245" spans="1:17" ht="16.5" customHeight="1">
      <c r="A245" s="1855"/>
      <c r="B245" s="1872"/>
      <c r="C245" s="2524" t="s">
        <v>3375</v>
      </c>
      <c r="D245" s="2524"/>
      <c r="E245" s="2524"/>
      <c r="F245" s="2524"/>
      <c r="G245" s="2524"/>
      <c r="H245" s="2524"/>
      <c r="I245" s="2524"/>
      <c r="J245" s="1851">
        <f>J243</f>
        <v>47.113</v>
      </c>
      <c r="K245" s="1873">
        <f>Datas!G1278</f>
        <v>338.61</v>
      </c>
      <c r="L245" s="1873"/>
      <c r="M245" s="1873">
        <f>ROUND(K245*J245,0)</f>
        <v>15953</v>
      </c>
      <c r="N245" s="1873">
        <f>SUM(L245:M245)</f>
        <v>15953</v>
      </c>
      <c r="O245" s="1866">
        <v>30</v>
      </c>
      <c r="P245" s="1878">
        <f>ROUND(O245*J245,2)</f>
        <v>1413.39</v>
      </c>
      <c r="Q245" s="1867"/>
    </row>
    <row r="246" spans="1:17" ht="16.5" hidden="1" customHeight="1">
      <c r="A246" s="1855"/>
      <c r="B246" s="1872"/>
      <c r="C246" s="1872"/>
      <c r="D246" s="1872"/>
      <c r="E246" s="1872"/>
      <c r="F246" s="1872"/>
      <c r="G246" s="1872"/>
      <c r="H246" s="1872"/>
      <c r="I246" s="1872"/>
      <c r="J246" s="1851" t="s">
        <v>1473</v>
      </c>
      <c r="K246" s="1873" t="str">
        <f>CONCATENATE( "per ",J246)</f>
        <v>per cum</v>
      </c>
      <c r="L246" s="1873"/>
      <c r="M246" s="1873"/>
      <c r="N246" s="1873"/>
      <c r="O246" s="1866"/>
      <c r="P246" s="1879"/>
      <c r="Q246" s="1867"/>
    </row>
    <row r="247" spans="1:17" ht="15" hidden="1" customHeight="1">
      <c r="A247" s="1855"/>
      <c r="B247" s="1872"/>
      <c r="C247" s="2523" t="s">
        <v>3376</v>
      </c>
      <c r="D247" s="2523"/>
      <c r="E247" s="2523"/>
      <c r="F247" s="2523"/>
      <c r="G247" s="2523"/>
      <c r="H247" s="2523"/>
      <c r="I247" s="2523"/>
      <c r="J247" s="1851">
        <v>0</v>
      </c>
      <c r="K247" s="1873">
        <f>K238</f>
        <v>170.03</v>
      </c>
      <c r="L247" s="1873">
        <f>ROUND(J247*K247,0)</f>
        <v>0</v>
      </c>
      <c r="M247" s="1873"/>
      <c r="N247" s="1873">
        <f>SUM(L247:M247)</f>
        <v>0</v>
      </c>
      <c r="O247" s="1866"/>
      <c r="P247" s="1878"/>
      <c r="Q247" s="1867"/>
    </row>
    <row r="248" spans="1:17" hidden="1">
      <c r="A248" s="1855"/>
      <c r="B248" s="1872"/>
      <c r="C248" s="1877"/>
      <c r="D248" s="1853"/>
      <c r="E248" s="1853"/>
      <c r="F248" s="1853"/>
      <c r="G248" s="1851"/>
      <c r="H248" s="1851"/>
      <c r="I248" s="1851"/>
      <c r="J248" s="1851" t="s">
        <v>1473</v>
      </c>
      <c r="K248" s="1873" t="str">
        <f>CONCATENATE( "per ",J248)</f>
        <v>per cum</v>
      </c>
      <c r="L248" s="1873"/>
      <c r="M248" s="1873"/>
      <c r="N248" s="1873"/>
      <c r="O248" s="1866"/>
      <c r="P248" s="1867"/>
      <c r="Q248" s="1867"/>
    </row>
    <row r="249" spans="1:17">
      <c r="A249" s="1855"/>
      <c r="B249" s="1880"/>
      <c r="C249" s="1880"/>
      <c r="D249" s="1853"/>
      <c r="E249" s="1853"/>
      <c r="F249" s="1853"/>
      <c r="G249" s="1881"/>
      <c r="H249" s="1882"/>
      <c r="I249" s="1883"/>
      <c r="J249" s="1851" t="s">
        <v>525</v>
      </c>
      <c r="K249" s="1873" t="s">
        <v>658</v>
      </c>
      <c r="L249" s="1873"/>
      <c r="M249" s="1873"/>
      <c r="N249" s="1873"/>
      <c r="O249" s="1879"/>
      <c r="P249" s="1879"/>
      <c r="Q249" s="1879"/>
    </row>
    <row r="250" spans="1:17" ht="103.2" customHeight="1">
      <c r="A250" s="1855">
        <f>A241+1</f>
        <v>12</v>
      </c>
      <c r="B250" s="1856"/>
      <c r="C250" s="2527" t="s">
        <v>209</v>
      </c>
      <c r="D250" s="2528"/>
      <c r="E250" s="2528"/>
      <c r="F250" s="2528"/>
      <c r="G250" s="2528"/>
      <c r="H250" s="2528"/>
      <c r="I250" s="2528"/>
      <c r="J250" s="2528"/>
      <c r="K250" s="1851"/>
      <c r="L250" s="1851"/>
      <c r="M250" s="1851"/>
      <c r="N250" s="1851"/>
      <c r="O250" s="1879"/>
      <c r="P250" s="1879"/>
      <c r="Q250" s="1879"/>
    </row>
    <row r="251" spans="1:17">
      <c r="A251" s="1855"/>
      <c r="B251" s="1856"/>
      <c r="C251" s="1870" t="s">
        <v>3440</v>
      </c>
      <c r="D251" s="1853">
        <v>1</v>
      </c>
      <c r="E251" s="1853" t="s">
        <v>1472</v>
      </c>
      <c r="F251" s="1853">
        <v>1</v>
      </c>
      <c r="G251" s="1851"/>
      <c r="H251" s="1851"/>
      <c r="I251" s="1851"/>
      <c r="J251" s="1851">
        <v>73.31</v>
      </c>
      <c r="K251" s="1851"/>
      <c r="L251" s="1851"/>
      <c r="M251" s="1851"/>
      <c r="N251" s="1851"/>
      <c r="O251" s="1879"/>
      <c r="P251" s="1879"/>
      <c r="Q251" s="1879"/>
    </row>
    <row r="252" spans="1:17">
      <c r="A252" s="1855"/>
      <c r="B252" s="1856"/>
      <c r="C252" s="1877"/>
      <c r="D252" s="1853"/>
      <c r="E252" s="1853"/>
      <c r="F252" s="1853"/>
      <c r="G252" s="1851"/>
      <c r="H252" s="1851"/>
      <c r="I252" s="1851"/>
      <c r="J252" s="1871" t="s">
        <v>464</v>
      </c>
      <c r="K252" s="1851"/>
      <c r="L252" s="1851"/>
      <c r="M252" s="1851"/>
      <c r="N252" s="1851"/>
      <c r="O252" s="1879"/>
      <c r="P252" s="1879"/>
      <c r="Q252" s="1903"/>
    </row>
    <row r="253" spans="1:17">
      <c r="A253" s="1855"/>
      <c r="B253" s="1872"/>
      <c r="C253" s="2524" t="s">
        <v>3389</v>
      </c>
      <c r="D253" s="2524"/>
      <c r="E253" s="2524"/>
      <c r="F253" s="2524"/>
      <c r="G253" s="2524"/>
      <c r="H253" s="2524"/>
      <c r="I253" s="2524"/>
      <c r="J253" s="1851">
        <f>J251</f>
        <v>73.31</v>
      </c>
      <c r="K253" s="1873">
        <f>Datas!E867</f>
        <v>489.39799999999997</v>
      </c>
      <c r="L253" s="1873"/>
      <c r="M253" s="1873">
        <f>ROUND(K253*J253,0)</f>
        <v>35878</v>
      </c>
      <c r="N253" s="1873">
        <f>SUM(L253:M253)</f>
        <v>35878</v>
      </c>
      <c r="O253" s="1866">
        <f>0.21/10*40</f>
        <v>0.83999999999999986</v>
      </c>
      <c r="P253" s="1878">
        <f>ROUND(O253*J253,2)</f>
        <v>61.58</v>
      </c>
      <c r="Q253" s="1867"/>
    </row>
    <row r="254" spans="1:17">
      <c r="A254" s="1855"/>
      <c r="B254" s="1872"/>
      <c r="C254" s="2524"/>
      <c r="D254" s="2524"/>
      <c r="E254" s="2524"/>
      <c r="F254" s="2524"/>
      <c r="G254" s="2524"/>
      <c r="H254" s="2524"/>
      <c r="I254" s="2524"/>
      <c r="J254" s="1851" t="s">
        <v>464</v>
      </c>
      <c r="K254" s="1873" t="s">
        <v>3516</v>
      </c>
      <c r="L254" s="1873"/>
      <c r="M254" s="1873"/>
      <c r="N254" s="1873"/>
      <c r="O254" s="1879"/>
      <c r="P254" s="1879"/>
      <c r="Q254" s="1879"/>
    </row>
    <row r="255" spans="1:17">
      <c r="A255" s="1850"/>
      <c r="B255" s="1880"/>
      <c r="C255" s="1880"/>
      <c r="D255" s="1880"/>
      <c r="E255" s="1880"/>
      <c r="F255" s="1880"/>
      <c r="G255" s="1850"/>
      <c r="H255" s="1850"/>
      <c r="I255" s="1850"/>
      <c r="J255" s="1886"/>
      <c r="K255" s="1880"/>
      <c r="L255" s="1880"/>
      <c r="M255" s="1880"/>
      <c r="N255" s="1880"/>
    </row>
    <row r="256" spans="1:17" ht="100.9" customHeight="1">
      <c r="A256" s="1855">
        <v>13</v>
      </c>
      <c r="B256" s="1856"/>
      <c r="C256" s="2527" t="str">
        <f>[221]Datas!C544</f>
        <v>Providing High Yield Strength Deformed (HYSD)/ Thermo Mechanically Treated (TMT) / Mild steel (MS) steel bars (Fe 415/ Fe 500 grade as per IS 1786-1979) of different diameters for RCC works , including labour charges for straightening, cutting, bending to required sizes and shapes, placing in position with cover blocks of approved materials and size and tying and lap-splicing with binding wire of 18 SWG, forming grills for reinforcement work as per approved designs and drawings, including cost and conveyance of steel bars, including all wastages such as overlaps, couplings, chairs, spacer bars including cost and conveyance of binding wire, cover blocks and all incidental, operational, labour charges such as cutting, bending, placing in position, tying including sales and other taxes on all materials etc., complete for finished item of work in all floors.( APSS No.126)</v>
      </c>
      <c r="D256" s="2528"/>
      <c r="E256" s="2528"/>
      <c r="F256" s="2528"/>
      <c r="G256" s="2528"/>
      <c r="H256" s="2528"/>
      <c r="I256" s="2528"/>
      <c r="J256" s="2528"/>
      <c r="K256" s="1851"/>
      <c r="L256" s="1851"/>
      <c r="M256" s="1851"/>
      <c r="N256" s="1851"/>
      <c r="O256" s="1879"/>
      <c r="P256" s="1879"/>
      <c r="Q256" s="1879"/>
    </row>
    <row r="257" spans="1:17" ht="24" customHeight="1">
      <c r="A257" s="1855"/>
      <c r="B257" s="1856"/>
      <c r="C257" s="1870"/>
      <c r="D257" s="1853">
        <v>1</v>
      </c>
      <c r="E257" s="1853" t="s">
        <v>1472</v>
      </c>
      <c r="F257" s="1853">
        <v>1</v>
      </c>
      <c r="G257" s="1851"/>
      <c r="H257" s="1851"/>
      <c r="I257" s="1851"/>
      <c r="J257" s="2145">
        <v>2.948</v>
      </c>
      <c r="K257" s="1851"/>
      <c r="L257" s="1851"/>
      <c r="M257" s="1851"/>
      <c r="N257" s="1851"/>
      <c r="O257" s="1879"/>
      <c r="P257" s="1879"/>
      <c r="Q257" s="1879"/>
    </row>
    <row r="258" spans="1:17" ht="17.2" customHeight="1">
      <c r="A258" s="1855"/>
      <c r="B258" s="1856"/>
      <c r="C258" s="1877"/>
      <c r="D258" s="1853"/>
      <c r="E258" s="1853"/>
      <c r="F258" s="1853"/>
      <c r="G258" s="1851"/>
      <c r="H258" s="1851"/>
      <c r="I258" s="1851"/>
      <c r="J258" s="1871" t="s">
        <v>1037</v>
      </c>
      <c r="K258" s="1851"/>
      <c r="L258" s="1851"/>
      <c r="M258" s="1851"/>
      <c r="N258" s="1851"/>
      <c r="O258" s="1879"/>
      <c r="P258" s="1879"/>
      <c r="Q258" s="1903"/>
    </row>
    <row r="259" spans="1:17" ht="21.75" customHeight="1">
      <c r="A259" s="1855"/>
      <c r="B259" s="1872"/>
      <c r="C259" s="2524" t="s">
        <v>3389</v>
      </c>
      <c r="D259" s="2524"/>
      <c r="E259" s="2524"/>
      <c r="F259" s="2524"/>
      <c r="G259" s="2524"/>
      <c r="H259" s="2524"/>
      <c r="I259" s="2524"/>
      <c r="J259" s="1851">
        <f>J257</f>
        <v>2.948</v>
      </c>
      <c r="K259" s="1873">
        <f>Datas!G584</f>
        <v>77799</v>
      </c>
      <c r="L259" s="1873"/>
      <c r="M259" s="1873">
        <f>ROUND(K259*J259,0)</f>
        <v>229351</v>
      </c>
      <c r="N259" s="1873">
        <f>SUM(L259:M259)</f>
        <v>229351</v>
      </c>
      <c r="O259" s="1866">
        <f>0.21/10*40</f>
        <v>0.83999999999999986</v>
      </c>
      <c r="P259" s="1878">
        <f>ROUND(O259*J259,2)</f>
        <v>2.48</v>
      </c>
      <c r="Q259" s="1867"/>
    </row>
    <row r="260" spans="1:17">
      <c r="A260" s="1855"/>
      <c r="B260" s="1872"/>
      <c r="C260" s="2524"/>
      <c r="D260" s="2524"/>
      <c r="E260" s="2524"/>
      <c r="F260" s="2524"/>
      <c r="G260" s="2524"/>
      <c r="H260" s="2524"/>
      <c r="I260" s="2524"/>
      <c r="J260" s="1851" t="str">
        <f>J258</f>
        <v>MT</v>
      </c>
      <c r="K260" s="1873" t="s">
        <v>3441</v>
      </c>
      <c r="L260" s="1873"/>
      <c r="M260" s="1873"/>
      <c r="N260" s="1873"/>
      <c r="O260" s="1879"/>
      <c r="P260" s="1879"/>
      <c r="Q260" s="1879"/>
    </row>
    <row r="261" spans="1:17">
      <c r="A261" s="1850"/>
      <c r="B261" s="1880"/>
      <c r="C261" s="1880"/>
      <c r="D261" s="1880"/>
      <c r="E261" s="1880"/>
      <c r="F261" s="1880"/>
      <c r="G261" s="1850"/>
      <c r="H261" s="1850"/>
      <c r="I261" s="1850"/>
      <c r="J261" s="1886"/>
      <c r="K261" s="1880"/>
      <c r="L261" s="1880"/>
      <c r="M261" s="1880"/>
      <c r="N261" s="1880"/>
    </row>
    <row r="262" spans="1:17" ht="100.5" hidden="1" customHeight="1">
      <c r="A262" s="1855">
        <f>A250+1</f>
        <v>13</v>
      </c>
      <c r="B262" s="1856"/>
      <c r="C262" s="2527" t="s">
        <v>3442</v>
      </c>
      <c r="D262" s="2528"/>
      <c r="E262" s="2528"/>
      <c r="F262" s="2528"/>
      <c r="G262" s="2528"/>
      <c r="H262" s="2528"/>
      <c r="I262" s="2528"/>
      <c r="J262" s="2528"/>
      <c r="K262" s="1851"/>
      <c r="L262" s="1851"/>
      <c r="M262" s="1851"/>
      <c r="N262" s="1851"/>
      <c r="O262" s="1866"/>
      <c r="P262" s="1867"/>
      <c r="Q262" s="1867"/>
    </row>
    <row r="263" spans="1:17" ht="18.75" hidden="1" customHeight="1">
      <c r="A263" s="1855"/>
      <c r="B263" s="1856"/>
      <c r="C263" s="1899" t="s">
        <v>3443</v>
      </c>
      <c r="D263" s="1853">
        <v>1</v>
      </c>
      <c r="E263" s="1853" t="s">
        <v>1472</v>
      </c>
      <c r="F263" s="1853">
        <v>1</v>
      </c>
      <c r="G263" s="1851">
        <f>ROUND(14*0.3048,2)</f>
        <v>4.2699999999999996</v>
      </c>
      <c r="H263" s="1851">
        <f>ROUND((19.88)*0.3048,2)</f>
        <v>6.06</v>
      </c>
      <c r="I263" s="1880"/>
      <c r="J263" s="1851">
        <f t="shared" ref="J263:J268" si="2">ROUND(D263*F263*G263*H263,2)</f>
        <v>25.88</v>
      </c>
      <c r="K263" s="1851"/>
      <c r="L263" s="1851"/>
      <c r="M263" s="1851"/>
      <c r="N263" s="1851"/>
      <c r="O263" s="1866"/>
      <c r="P263" s="1867"/>
      <c r="Q263" s="1867"/>
    </row>
    <row r="264" spans="1:17" hidden="1">
      <c r="A264" s="1855"/>
      <c r="B264" s="1856"/>
      <c r="C264" s="1899" t="s">
        <v>3444</v>
      </c>
      <c r="D264" s="1853">
        <v>1</v>
      </c>
      <c r="E264" s="1853" t="s">
        <v>1472</v>
      </c>
      <c r="F264" s="1853">
        <v>1</v>
      </c>
      <c r="G264" s="1851">
        <f>ROUND((12)*0.3048,2)</f>
        <v>3.66</v>
      </c>
      <c r="H264" s="1851">
        <f>ROUND((7)*0.3048,2)</f>
        <v>2.13</v>
      </c>
      <c r="I264" s="1880"/>
      <c r="J264" s="1851">
        <f t="shared" si="2"/>
        <v>7.8</v>
      </c>
      <c r="K264" s="1851"/>
      <c r="L264" s="1851"/>
      <c r="M264" s="1851"/>
      <c r="N264" s="1851"/>
      <c r="O264" s="1866"/>
      <c r="P264" s="1867"/>
      <c r="Q264" s="1867"/>
    </row>
    <row r="265" spans="1:17" hidden="1">
      <c r="A265" s="1855"/>
      <c r="B265" s="1856"/>
      <c r="C265" s="1899" t="s">
        <v>3445</v>
      </c>
      <c r="D265" s="1853">
        <v>1</v>
      </c>
      <c r="E265" s="1853" t="s">
        <v>1472</v>
      </c>
      <c r="F265" s="1853">
        <v>1</v>
      </c>
      <c r="G265" s="1851">
        <f>ROUND((7.63)*0.3048,2)</f>
        <v>2.33</v>
      </c>
      <c r="H265" s="1851">
        <f>ROUND((7)*0.3048,2)</f>
        <v>2.13</v>
      </c>
      <c r="I265" s="1880"/>
      <c r="J265" s="1851">
        <f t="shared" si="2"/>
        <v>4.96</v>
      </c>
      <c r="K265" s="1851"/>
      <c r="L265" s="1851"/>
      <c r="M265" s="1851"/>
      <c r="N265" s="1851"/>
      <c r="O265" s="1866"/>
      <c r="P265" s="1867"/>
      <c r="Q265" s="1867"/>
    </row>
    <row r="266" spans="1:17" hidden="1">
      <c r="A266" s="1855"/>
      <c r="B266" s="1856"/>
      <c r="C266" s="1899" t="s">
        <v>3446</v>
      </c>
      <c r="D266" s="1853">
        <v>1</v>
      </c>
      <c r="E266" s="1853" t="s">
        <v>1472</v>
      </c>
      <c r="F266" s="1853">
        <v>1</v>
      </c>
      <c r="G266" s="1851">
        <f>ROUND((4)*0.3048,2)</f>
        <v>1.22</v>
      </c>
      <c r="H266" s="1851">
        <f>ROUND((7)*0.3048,2)</f>
        <v>2.13</v>
      </c>
      <c r="I266" s="1880"/>
      <c r="J266" s="1851">
        <f t="shared" si="2"/>
        <v>2.6</v>
      </c>
      <c r="K266" s="1851"/>
      <c r="L266" s="1851"/>
      <c r="M266" s="1851"/>
      <c r="N266" s="1851"/>
      <c r="O266" s="1866"/>
      <c r="P266" s="1867"/>
      <c r="Q266" s="1867"/>
    </row>
    <row r="267" spans="1:17" ht="28.2" hidden="1">
      <c r="A267" s="1855"/>
      <c r="B267" s="1856"/>
      <c r="C267" s="1877" t="s">
        <v>3447</v>
      </c>
      <c r="D267" s="1853">
        <v>1</v>
      </c>
      <c r="E267" s="1853" t="s">
        <v>1472</v>
      </c>
      <c r="F267" s="1853">
        <v>2</v>
      </c>
      <c r="G267" s="1851">
        <f>ROUND(30.25*0.3048,2)</f>
        <v>9.2200000000000006</v>
      </c>
      <c r="H267" s="1851">
        <v>0.3</v>
      </c>
      <c r="I267" s="1880"/>
      <c r="J267" s="1851">
        <f t="shared" si="2"/>
        <v>5.53</v>
      </c>
      <c r="K267" s="1851"/>
      <c r="L267" s="1851"/>
      <c r="M267" s="1851"/>
      <c r="N267" s="1851"/>
      <c r="O267" s="1866"/>
      <c r="P267" s="1867"/>
      <c r="Q267" s="1867"/>
    </row>
    <row r="268" spans="1:17" ht="17.25" hidden="1" customHeight="1">
      <c r="A268" s="1855"/>
      <c r="B268" s="1856"/>
      <c r="C268" s="1877" t="s">
        <v>3448</v>
      </c>
      <c r="D268" s="1853">
        <v>1</v>
      </c>
      <c r="E268" s="1853" t="s">
        <v>1472</v>
      </c>
      <c r="F268" s="1853">
        <v>2</v>
      </c>
      <c r="G268" s="1851">
        <f>ROUND(21.38*0.3048,2)</f>
        <v>6.52</v>
      </c>
      <c r="H268" s="1851">
        <v>0.3</v>
      </c>
      <c r="I268" s="1880"/>
      <c r="J268" s="1851">
        <f t="shared" si="2"/>
        <v>3.91</v>
      </c>
      <c r="K268" s="1851"/>
      <c r="L268" s="1851"/>
      <c r="M268" s="1851"/>
      <c r="N268" s="1851"/>
      <c r="O268" s="1866"/>
      <c r="P268" s="1867"/>
      <c r="Q268" s="1867"/>
    </row>
    <row r="269" spans="1:17" ht="24" hidden="1" customHeight="1">
      <c r="A269" s="1855"/>
      <c r="B269" s="1856"/>
      <c r="C269" s="1877"/>
      <c r="D269" s="1853"/>
      <c r="E269" s="1853"/>
      <c r="F269" s="1853"/>
      <c r="G269" s="1851"/>
      <c r="H269" s="1851"/>
      <c r="I269" s="1851"/>
      <c r="J269" s="1871">
        <f>SUM(J263:J268)</f>
        <v>50.680000000000007</v>
      </c>
      <c r="K269" s="1851"/>
      <c r="L269" s="1851"/>
      <c r="M269" s="1851"/>
      <c r="N269" s="1851"/>
      <c r="O269" s="1866"/>
      <c r="P269" s="1867"/>
      <c r="Q269" s="1867"/>
    </row>
    <row r="270" spans="1:17" ht="17.2" hidden="1" customHeight="1">
      <c r="A270" s="1855"/>
      <c r="B270" s="1856"/>
      <c r="C270" s="1877"/>
      <c r="D270" s="1904"/>
      <c r="E270" s="1904"/>
      <c r="F270" s="1853"/>
      <c r="G270" s="1851"/>
      <c r="H270" s="1851"/>
      <c r="I270" s="1851"/>
      <c r="J270" s="1871" t="s">
        <v>1478</v>
      </c>
      <c r="K270" s="1851"/>
      <c r="L270" s="1851"/>
      <c r="M270" s="1851"/>
      <c r="N270" s="1851"/>
      <c r="O270" s="1866"/>
      <c r="P270" s="1867"/>
      <c r="Q270" s="1867"/>
    </row>
    <row r="271" spans="1:17" ht="21.75" hidden="1" customHeight="1">
      <c r="A271" s="1855"/>
      <c r="B271" s="1872"/>
      <c r="C271" s="2524" t="s">
        <v>3389</v>
      </c>
      <c r="D271" s="2524"/>
      <c r="E271" s="2524"/>
      <c r="F271" s="2524"/>
      <c r="G271" s="2524"/>
      <c r="H271" s="2524"/>
      <c r="I271" s="2524"/>
      <c r="J271" s="1851">
        <v>0</v>
      </c>
      <c r="K271" s="1873">
        <f>[221]Datas!E625</f>
        <v>1396.87</v>
      </c>
      <c r="L271" s="1873"/>
      <c r="M271" s="1873">
        <f>ROUND(K271*J271/10,0)</f>
        <v>0</v>
      </c>
      <c r="N271" s="1873">
        <f>SUM(L271:M271)</f>
        <v>0</v>
      </c>
      <c r="O271" s="1866">
        <f>0.15*40/10</f>
        <v>0.6</v>
      </c>
      <c r="P271" s="1878">
        <f>ROUND(O271*J271,2)</f>
        <v>0</v>
      </c>
      <c r="Q271" s="1867"/>
    </row>
    <row r="272" spans="1:17" hidden="1">
      <c r="A272" s="1855"/>
      <c r="B272" s="1880"/>
      <c r="C272" s="1880"/>
      <c r="D272" s="1880"/>
      <c r="E272" s="1880"/>
      <c r="F272" s="1883"/>
      <c r="G272" s="1880"/>
      <c r="H272" s="1880"/>
      <c r="I272" s="1880"/>
      <c r="J272" s="1851" t="s">
        <v>1478</v>
      </c>
      <c r="K272" s="1873" t="s">
        <v>672</v>
      </c>
      <c r="L272" s="1873"/>
      <c r="M272" s="1873"/>
      <c r="N272" s="1873"/>
      <c r="O272" s="1866"/>
      <c r="P272" s="1867"/>
      <c r="Q272" s="1867"/>
    </row>
    <row r="273" spans="1:17" hidden="1">
      <c r="A273" s="1855"/>
      <c r="B273" s="1880"/>
      <c r="C273" s="1880"/>
      <c r="D273" s="1880"/>
      <c r="E273" s="1880"/>
      <c r="F273" s="1883"/>
      <c r="G273" s="1880"/>
      <c r="H273" s="1880"/>
      <c r="I273" s="1880"/>
      <c r="J273" s="1884"/>
      <c r="K273" s="1873"/>
      <c r="L273" s="1873"/>
      <c r="M273" s="1873"/>
      <c r="N273" s="1873"/>
      <c r="O273" s="1866"/>
      <c r="P273" s="1867"/>
      <c r="Q273" s="1867"/>
    </row>
    <row r="274" spans="1:17" ht="130.9" hidden="1" customHeight="1">
      <c r="A274" s="1855">
        <f>A262+1</f>
        <v>14</v>
      </c>
      <c r="B274" s="1856"/>
      <c r="C274" s="2527" t="s">
        <v>3449</v>
      </c>
      <c r="D274" s="2528"/>
      <c r="E274" s="2528"/>
      <c r="F274" s="2528"/>
      <c r="G274" s="2528"/>
      <c r="H274" s="2528"/>
      <c r="I274" s="2528"/>
      <c r="J274" s="2528"/>
      <c r="K274" s="1851"/>
      <c r="L274" s="1851"/>
      <c r="M274" s="1851"/>
      <c r="N274" s="1851"/>
      <c r="O274" s="1866"/>
      <c r="P274" s="1867"/>
      <c r="Q274" s="1867"/>
    </row>
    <row r="275" spans="1:17" hidden="1">
      <c r="A275" s="1855"/>
      <c r="B275" s="1856"/>
      <c r="C275" s="1859" t="s">
        <v>3450</v>
      </c>
      <c r="D275" s="1880"/>
      <c r="E275" s="1880"/>
      <c r="F275" s="1880"/>
      <c r="G275" s="1874"/>
      <c r="H275" s="1874"/>
      <c r="I275" s="1874"/>
      <c r="J275" s="1874"/>
      <c r="K275" s="1851"/>
      <c r="L275" s="1851"/>
      <c r="M275" s="1851"/>
      <c r="N275" s="1851"/>
      <c r="O275" s="1866"/>
      <c r="P275" s="1867"/>
      <c r="Q275" s="1867"/>
    </row>
    <row r="276" spans="1:17" ht="18" hidden="1" customHeight="1">
      <c r="A276" s="1855"/>
      <c r="B276" s="1856"/>
      <c r="C276" s="1899" t="s">
        <v>3451</v>
      </c>
      <c r="D276" s="1853">
        <v>1</v>
      </c>
      <c r="E276" s="1853" t="s">
        <v>1472</v>
      </c>
      <c r="F276" s="1853">
        <v>1</v>
      </c>
      <c r="G276" s="1851">
        <f>ROUND((14+19.88)*0.3048*2,2)</f>
        <v>20.65</v>
      </c>
      <c r="H276" s="1851">
        <v>3.05</v>
      </c>
      <c r="I276" s="1851"/>
      <c r="J276" s="1851">
        <f t="shared" ref="J276:J281" si="3">ROUND(D276*F276*G276*H276,2)</f>
        <v>62.98</v>
      </c>
      <c r="K276" s="1851"/>
      <c r="L276" s="1851"/>
      <c r="M276" s="1851"/>
      <c r="N276" s="1851"/>
      <c r="O276" s="1866"/>
      <c r="P276" s="1867"/>
      <c r="Q276" s="1867"/>
    </row>
    <row r="277" spans="1:17" hidden="1">
      <c r="A277" s="1855"/>
      <c r="B277" s="1856"/>
      <c r="C277" s="1899" t="s">
        <v>3452</v>
      </c>
      <c r="D277" s="1853">
        <v>1</v>
      </c>
      <c r="E277" s="1853" t="s">
        <v>1472</v>
      </c>
      <c r="F277" s="1853">
        <v>1</v>
      </c>
      <c r="G277" s="1851">
        <f>ROUND((12+7)*0.3048*2,2)</f>
        <v>11.58</v>
      </c>
      <c r="H277" s="1851">
        <v>3.05</v>
      </c>
      <c r="I277" s="1851"/>
      <c r="J277" s="1851">
        <f t="shared" si="3"/>
        <v>35.32</v>
      </c>
      <c r="K277" s="1851"/>
      <c r="L277" s="1851"/>
      <c r="M277" s="1851"/>
      <c r="N277" s="1851"/>
      <c r="O277" s="1866"/>
      <c r="P277" s="1867"/>
      <c r="Q277" s="1867"/>
    </row>
    <row r="278" spans="1:17" hidden="1">
      <c r="A278" s="1855"/>
      <c r="B278" s="1856"/>
      <c r="C278" s="1899" t="s">
        <v>3453</v>
      </c>
      <c r="D278" s="1853">
        <v>1</v>
      </c>
      <c r="E278" s="1853" t="s">
        <v>1472</v>
      </c>
      <c r="F278" s="1853">
        <v>1</v>
      </c>
      <c r="G278" s="1851">
        <f>ROUND((7.63+7)*0.3048*2,2)</f>
        <v>8.92</v>
      </c>
      <c r="H278" s="1851">
        <v>3.05</v>
      </c>
      <c r="I278" s="1851"/>
      <c r="J278" s="1851">
        <f t="shared" si="3"/>
        <v>27.21</v>
      </c>
      <c r="K278" s="1851"/>
      <c r="L278" s="1851"/>
      <c r="M278" s="1851"/>
      <c r="N278" s="1851"/>
      <c r="O278" s="1866"/>
      <c r="P278" s="1867"/>
      <c r="Q278" s="1867"/>
    </row>
    <row r="279" spans="1:17" hidden="1">
      <c r="A279" s="1855"/>
      <c r="B279" s="1856"/>
      <c r="C279" s="1899" t="s">
        <v>3446</v>
      </c>
      <c r="D279" s="1853">
        <v>1</v>
      </c>
      <c r="E279" s="1853" t="s">
        <v>1472</v>
      </c>
      <c r="F279" s="1853">
        <v>1</v>
      </c>
      <c r="G279" s="1851">
        <f>ROUND((4+7)*0.3048*2,2)</f>
        <v>6.71</v>
      </c>
      <c r="H279" s="1851">
        <v>3.05</v>
      </c>
      <c r="I279" s="1851"/>
      <c r="J279" s="1851">
        <f t="shared" si="3"/>
        <v>20.47</v>
      </c>
      <c r="K279" s="1851"/>
      <c r="L279" s="1851"/>
      <c r="M279" s="1851"/>
      <c r="N279" s="1851"/>
      <c r="O279" s="1866"/>
      <c r="P279" s="1867"/>
      <c r="Q279" s="1867"/>
    </row>
    <row r="280" spans="1:17" hidden="1">
      <c r="A280" s="1855"/>
      <c r="B280" s="1856"/>
      <c r="C280" s="1899" t="s">
        <v>3454</v>
      </c>
      <c r="D280" s="1853">
        <v>1</v>
      </c>
      <c r="E280" s="1853" t="s">
        <v>1472</v>
      </c>
      <c r="F280" s="1853">
        <v>1</v>
      </c>
      <c r="G280" s="1851">
        <f>ROUND((12+5)*0.3048,2)</f>
        <v>5.18</v>
      </c>
      <c r="H280" s="1851">
        <v>3.05</v>
      </c>
      <c r="I280" s="1851"/>
      <c r="J280" s="1851">
        <f t="shared" si="3"/>
        <v>15.8</v>
      </c>
      <c r="K280" s="1851"/>
      <c r="L280" s="1851"/>
      <c r="M280" s="1851"/>
      <c r="N280" s="1851"/>
      <c r="O280" s="1866"/>
      <c r="P280" s="1867"/>
      <c r="Q280" s="1867"/>
    </row>
    <row r="281" spans="1:17" ht="28.2" hidden="1">
      <c r="A281" s="1855"/>
      <c r="B281" s="1856"/>
      <c r="C281" s="1899" t="s">
        <v>3432</v>
      </c>
      <c r="D281" s="1853">
        <v>2</v>
      </c>
      <c r="E281" s="1853" t="s">
        <v>1472</v>
      </c>
      <c r="F281" s="1853">
        <v>2</v>
      </c>
      <c r="G281" s="1851">
        <v>0.6</v>
      </c>
      <c r="H281" s="1851">
        <v>0.75</v>
      </c>
      <c r="I281" s="1851"/>
      <c r="J281" s="1851">
        <f t="shared" si="3"/>
        <v>1.8</v>
      </c>
      <c r="K281" s="1851"/>
      <c r="L281" s="1851"/>
      <c r="M281" s="1851"/>
      <c r="N281" s="1851"/>
      <c r="O281" s="1866"/>
      <c r="P281" s="1867"/>
      <c r="Q281" s="1867"/>
    </row>
    <row r="282" spans="1:17" ht="24" hidden="1" customHeight="1">
      <c r="A282" s="1855"/>
      <c r="B282" s="1856"/>
      <c r="C282" s="1905"/>
      <c r="D282" s="1853"/>
      <c r="E282" s="1853"/>
      <c r="F282" s="1853"/>
      <c r="G282" s="1851"/>
      <c r="H282" s="1851"/>
      <c r="I282" s="1851"/>
      <c r="J282" s="1851">
        <f>SUM(J276:J281)</f>
        <v>163.58000000000001</v>
      </c>
      <c r="K282" s="1851"/>
      <c r="L282" s="1851"/>
      <c r="M282" s="1851"/>
      <c r="N282" s="1851"/>
      <c r="O282" s="1866"/>
      <c r="P282" s="1867"/>
      <c r="Q282" s="1867"/>
    </row>
    <row r="283" spans="1:17" ht="21.75" hidden="1" customHeight="1">
      <c r="A283" s="1855"/>
      <c r="B283" s="1856"/>
      <c r="C283" s="1859" t="s">
        <v>675</v>
      </c>
      <c r="D283" s="1853"/>
      <c r="E283" s="1853"/>
      <c r="F283" s="1853"/>
      <c r="G283" s="1851"/>
      <c r="H283" s="1851"/>
      <c r="I283" s="1851"/>
      <c r="J283" s="1851"/>
      <c r="K283" s="1851"/>
      <c r="L283" s="1851"/>
      <c r="M283" s="1851"/>
      <c r="N283" s="1851"/>
      <c r="O283" s="1866"/>
      <c r="P283" s="1867"/>
      <c r="Q283" s="1867"/>
    </row>
    <row r="284" spans="1:17" hidden="1">
      <c r="A284" s="1855"/>
      <c r="B284" s="1856"/>
      <c r="C284" s="1899" t="s">
        <v>116</v>
      </c>
      <c r="D284" s="1853">
        <v>1</v>
      </c>
      <c r="E284" s="1853" t="s">
        <v>1472</v>
      </c>
      <c r="F284" s="1853">
        <v>2</v>
      </c>
      <c r="G284" s="1851">
        <v>1.05</v>
      </c>
      <c r="H284" s="1851"/>
      <c r="I284" s="1851">
        <v>2.1</v>
      </c>
      <c r="J284" s="1851">
        <f>ROUND(D284*F284*G284*I284,2)</f>
        <v>4.41</v>
      </c>
      <c r="K284" s="1851"/>
      <c r="L284" s="1851"/>
      <c r="M284" s="1851"/>
      <c r="N284" s="1851"/>
      <c r="O284" s="1866"/>
      <c r="P284" s="1867"/>
      <c r="Q284" s="1867"/>
    </row>
    <row r="285" spans="1:17" ht="18" hidden="1" customHeight="1">
      <c r="A285" s="1855"/>
      <c r="B285" s="1856"/>
      <c r="C285" s="1899" t="s">
        <v>2801</v>
      </c>
      <c r="D285" s="1853">
        <v>1</v>
      </c>
      <c r="E285" s="1853" t="s">
        <v>1472</v>
      </c>
      <c r="F285" s="1853">
        <v>2</v>
      </c>
      <c r="G285" s="1851">
        <v>0.9</v>
      </c>
      <c r="H285" s="1851"/>
      <c r="I285" s="1851">
        <v>2.1</v>
      </c>
      <c r="J285" s="1851">
        <f>ROUND(D285*F285*G285*I285,2)</f>
        <v>3.78</v>
      </c>
      <c r="K285" s="1851"/>
      <c r="L285" s="1851"/>
      <c r="M285" s="1851"/>
      <c r="N285" s="1851"/>
      <c r="O285" s="1866"/>
      <c r="P285" s="1867"/>
      <c r="Q285" s="1867"/>
    </row>
    <row r="286" spans="1:17" ht="18" hidden="1" customHeight="1">
      <c r="A286" s="1855"/>
      <c r="B286" s="1856"/>
      <c r="C286" s="1899" t="s">
        <v>3455</v>
      </c>
      <c r="D286" s="1853">
        <v>1</v>
      </c>
      <c r="E286" s="1853" t="s">
        <v>1472</v>
      </c>
      <c r="F286" s="1853">
        <v>4</v>
      </c>
      <c r="G286" s="1851">
        <v>1.2</v>
      </c>
      <c r="H286" s="1851"/>
      <c r="I286" s="1851">
        <v>1.2</v>
      </c>
      <c r="J286" s="1851">
        <f>ROUND(D286*F286*G286*I286,2)</f>
        <v>5.76</v>
      </c>
      <c r="K286" s="1851"/>
      <c r="L286" s="1851"/>
      <c r="M286" s="1851"/>
      <c r="N286" s="1851"/>
      <c r="O286" s="1866"/>
      <c r="P286" s="1867"/>
      <c r="Q286" s="1867"/>
    </row>
    <row r="287" spans="1:17" ht="18" hidden="1" customHeight="1">
      <c r="A287" s="1855"/>
      <c r="B287" s="1856"/>
      <c r="C287" s="1899" t="s">
        <v>3455</v>
      </c>
      <c r="D287" s="1853">
        <v>1</v>
      </c>
      <c r="E287" s="1853" t="s">
        <v>1472</v>
      </c>
      <c r="F287" s="1853">
        <v>1</v>
      </c>
      <c r="G287" s="1851">
        <v>1.2</v>
      </c>
      <c r="H287" s="1851"/>
      <c r="I287" s="1851">
        <v>0.75</v>
      </c>
      <c r="J287" s="1851">
        <f>ROUND(D287*F287*G287*I287,2)</f>
        <v>0.9</v>
      </c>
      <c r="K287" s="1851"/>
      <c r="L287" s="1851"/>
      <c r="M287" s="1851"/>
      <c r="N287" s="1851"/>
      <c r="O287" s="1866"/>
      <c r="P287" s="1867"/>
      <c r="Q287" s="1867"/>
    </row>
    <row r="288" spans="1:17" ht="18" hidden="1" customHeight="1">
      <c r="A288" s="1855"/>
      <c r="B288" s="1856"/>
      <c r="C288" s="1899" t="s">
        <v>83</v>
      </c>
      <c r="D288" s="1853">
        <v>1</v>
      </c>
      <c r="E288" s="1853" t="s">
        <v>1472</v>
      </c>
      <c r="F288" s="1853">
        <v>7</v>
      </c>
      <c r="G288" s="1851">
        <v>0.6</v>
      </c>
      <c r="H288" s="1851"/>
      <c r="I288" s="1851">
        <v>0.3</v>
      </c>
      <c r="J288" s="1851">
        <f>ROUND(D288*F288*G288*I288,2)</f>
        <v>1.26</v>
      </c>
      <c r="K288" s="1851"/>
      <c r="L288" s="1851"/>
      <c r="M288" s="1851"/>
      <c r="N288" s="1851"/>
      <c r="O288" s="1866"/>
      <c r="P288" s="1867"/>
      <c r="Q288" s="1867"/>
    </row>
    <row r="289" spans="1:17" hidden="1">
      <c r="A289" s="1855"/>
      <c r="B289" s="1856"/>
      <c r="C289" s="1887"/>
      <c r="D289" s="1853"/>
      <c r="E289" s="1853"/>
      <c r="F289" s="1853"/>
      <c r="G289" s="1851"/>
      <c r="H289" s="1851"/>
      <c r="I289" s="1851"/>
      <c r="J289" s="1851">
        <f>SUM(J284:J288)</f>
        <v>16.11</v>
      </c>
      <c r="K289" s="1851"/>
      <c r="L289" s="1851"/>
      <c r="M289" s="1851"/>
      <c r="N289" s="1851"/>
      <c r="O289" s="1866"/>
      <c r="P289" s="1867"/>
      <c r="Q289" s="1867"/>
    </row>
    <row r="290" spans="1:17" ht="24" hidden="1" customHeight="1">
      <c r="A290" s="1855"/>
      <c r="B290" s="1856"/>
      <c r="C290" s="1887"/>
      <c r="D290" s="1853"/>
      <c r="E290" s="1853"/>
      <c r="F290" s="1853"/>
      <c r="G290" s="1851"/>
      <c r="H290" s="1851"/>
      <c r="I290" s="1851"/>
      <c r="J290" s="1871">
        <f>J282-J289</f>
        <v>147.47000000000003</v>
      </c>
      <c r="K290" s="1851"/>
      <c r="L290" s="1851"/>
      <c r="M290" s="1851"/>
      <c r="N290" s="1851"/>
      <c r="O290" s="1866"/>
      <c r="P290" s="1867"/>
      <c r="Q290" s="1867"/>
    </row>
    <row r="291" spans="1:17" ht="17.2" hidden="1" customHeight="1">
      <c r="A291" s="1855"/>
      <c r="B291" s="1856"/>
      <c r="C291" s="1877"/>
      <c r="D291" s="1904"/>
      <c r="E291" s="1904"/>
      <c r="F291" s="1853"/>
      <c r="G291" s="1851"/>
      <c r="H291" s="1851"/>
      <c r="I291" s="1851"/>
      <c r="J291" s="1871" t="s">
        <v>1478</v>
      </c>
      <c r="K291" s="1851"/>
      <c r="L291" s="1851"/>
      <c r="M291" s="1851"/>
      <c r="N291" s="1851"/>
      <c r="O291" s="1866"/>
      <c r="P291" s="1867"/>
      <c r="Q291" s="1867"/>
    </row>
    <row r="292" spans="1:17" ht="21.75" hidden="1" customHeight="1">
      <c r="A292" s="1855"/>
      <c r="B292" s="1872"/>
      <c r="C292" s="2524" t="s">
        <v>3389</v>
      </c>
      <c r="D292" s="2524"/>
      <c r="E292" s="2524"/>
      <c r="F292" s="2524"/>
      <c r="G292" s="2524"/>
      <c r="H292" s="2524"/>
      <c r="I292" s="2524"/>
      <c r="J292" s="1851">
        <v>0</v>
      </c>
      <c r="K292" s="1873">
        <f>[221]Datas!E652</f>
        <v>4029.98</v>
      </c>
      <c r="L292" s="1873"/>
      <c r="M292" s="1873">
        <f>ROUND(K292*J292/10,0)</f>
        <v>0</v>
      </c>
      <c r="N292" s="1873">
        <f>SUM(L292:M292)</f>
        <v>0</v>
      </c>
      <c r="O292" s="1866">
        <v>0.6</v>
      </c>
      <c r="P292" s="1878">
        <f>ROUND(O292*J292,2)</f>
        <v>0</v>
      </c>
      <c r="Q292" s="1867"/>
    </row>
    <row r="293" spans="1:17" hidden="1">
      <c r="A293" s="1855"/>
      <c r="B293" s="1880"/>
      <c r="C293" s="1880"/>
      <c r="D293" s="1880"/>
      <c r="E293" s="1880"/>
      <c r="F293" s="1883"/>
      <c r="G293" s="1880"/>
      <c r="H293" s="1880"/>
      <c r="I293" s="1880"/>
      <c r="J293" s="1851" t="s">
        <v>1478</v>
      </c>
      <c r="K293" s="1873" t="s">
        <v>672</v>
      </c>
      <c r="L293" s="1873"/>
      <c r="M293" s="1873"/>
      <c r="N293" s="1873"/>
      <c r="O293" s="1866"/>
      <c r="P293" s="1867"/>
      <c r="Q293" s="1867"/>
    </row>
    <row r="294" spans="1:17" hidden="1">
      <c r="A294" s="1855"/>
      <c r="B294" s="1880"/>
      <c r="C294" s="1880"/>
      <c r="D294" s="1880"/>
      <c r="E294" s="1880"/>
      <c r="F294" s="1883"/>
      <c r="G294" s="1880"/>
      <c r="H294" s="1880"/>
      <c r="I294" s="1880"/>
      <c r="J294" s="1884"/>
      <c r="K294" s="1873"/>
      <c r="L294" s="1873"/>
      <c r="M294" s="1873"/>
      <c r="N294" s="1873"/>
      <c r="O294" s="1866"/>
      <c r="P294" s="1867"/>
      <c r="Q294" s="1867"/>
    </row>
    <row r="295" spans="1:17" ht="185.4" hidden="1" customHeight="1">
      <c r="A295" s="1855">
        <v>14</v>
      </c>
      <c r="B295" s="1856"/>
      <c r="C295" s="2527" t="s">
        <v>3456</v>
      </c>
      <c r="D295" s="2528"/>
      <c r="E295" s="2528"/>
      <c r="F295" s="2528"/>
      <c r="G295" s="2528"/>
      <c r="H295" s="2528"/>
      <c r="I295" s="2528"/>
      <c r="J295" s="2528"/>
      <c r="K295" s="1851"/>
      <c r="L295" s="1851"/>
      <c r="M295" s="1851"/>
      <c r="N295" s="1851"/>
      <c r="O295" s="1866"/>
      <c r="P295" s="1867"/>
      <c r="Q295" s="1867"/>
    </row>
    <row r="296" spans="1:17" hidden="1">
      <c r="A296" s="1855"/>
      <c r="B296" s="1872"/>
      <c r="C296" s="1859" t="s">
        <v>3457</v>
      </c>
      <c r="D296" s="1853">
        <v>1</v>
      </c>
      <c r="E296" s="1853" t="s">
        <v>1472</v>
      </c>
      <c r="F296" s="1853">
        <v>2</v>
      </c>
      <c r="G296" s="1851"/>
      <c r="H296" s="1851"/>
      <c r="I296" s="1851"/>
      <c r="J296" s="1851">
        <v>0</v>
      </c>
      <c r="K296" s="1851"/>
      <c r="L296" s="1851"/>
      <c r="M296" s="1873"/>
      <c r="N296" s="1894"/>
      <c r="O296" s="1866"/>
      <c r="P296" s="1867"/>
      <c r="Q296" s="1890"/>
    </row>
    <row r="297" spans="1:17" ht="27" hidden="1" customHeight="1">
      <c r="A297" s="1855"/>
      <c r="B297" s="1872"/>
      <c r="C297" s="2524" t="s">
        <v>3389</v>
      </c>
      <c r="D297" s="2524"/>
      <c r="E297" s="2524"/>
      <c r="F297" s="2524"/>
      <c r="G297" s="2524"/>
      <c r="H297" s="2524"/>
      <c r="I297" s="2524"/>
      <c r="J297" s="1871">
        <f>J296</f>
        <v>0</v>
      </c>
      <c r="K297" s="1851">
        <f>' Doors window-Country Wood '!J133</f>
        <v>3358.4500000000003</v>
      </c>
      <c r="L297" s="1873"/>
      <c r="M297" s="1873">
        <f>ROUND(K297*J297,0)</f>
        <v>0</v>
      </c>
      <c r="N297" s="1873">
        <f>SUM(L297:M297)</f>
        <v>0</v>
      </c>
      <c r="O297" s="1866"/>
      <c r="P297" s="1878"/>
      <c r="Q297" s="1867"/>
    </row>
    <row r="298" spans="1:17" hidden="1">
      <c r="A298" s="1855"/>
      <c r="B298" s="1872"/>
      <c r="C298" s="1877"/>
      <c r="D298" s="1853"/>
      <c r="E298" s="1853"/>
      <c r="F298" s="1853"/>
      <c r="G298" s="1851"/>
      <c r="H298" s="1851"/>
      <c r="I298" s="1851"/>
      <c r="J298" s="1851" t="s">
        <v>472</v>
      </c>
      <c r="K298" s="1873" t="s">
        <v>473</v>
      </c>
      <c r="L298" s="1873"/>
      <c r="M298" s="1873"/>
      <c r="N298" s="1873"/>
      <c r="O298" s="1866"/>
      <c r="P298" s="1867"/>
      <c r="Q298" s="1867"/>
    </row>
    <row r="299" spans="1:17" hidden="1">
      <c r="A299" s="1855"/>
      <c r="B299" s="1872"/>
      <c r="C299" s="1877"/>
      <c r="D299" s="1853"/>
      <c r="E299" s="1853"/>
      <c r="F299" s="1853"/>
      <c r="G299" s="1851"/>
      <c r="H299" s="1851"/>
      <c r="I299" s="1851"/>
      <c r="J299" s="1884"/>
      <c r="K299" s="1873"/>
      <c r="L299" s="1873"/>
      <c r="M299" s="1873"/>
      <c r="N299" s="1873"/>
      <c r="O299" s="1866"/>
      <c r="P299" s="1867"/>
      <c r="Q299" s="1867"/>
    </row>
    <row r="300" spans="1:17" hidden="1">
      <c r="A300" s="1855"/>
      <c r="B300" s="1872"/>
      <c r="C300" s="1877"/>
      <c r="D300" s="1853"/>
      <c r="E300" s="1853"/>
      <c r="F300" s="1853"/>
      <c r="G300" s="1851"/>
      <c r="H300" s="1851"/>
      <c r="I300" s="1851"/>
      <c r="J300" s="1884"/>
      <c r="K300" s="1873"/>
      <c r="L300" s="1873"/>
      <c r="M300" s="1873"/>
      <c r="N300" s="1873"/>
      <c r="O300" s="1866"/>
      <c r="P300" s="1867"/>
      <c r="Q300" s="1867"/>
    </row>
    <row r="301" spans="1:17" ht="165.7" hidden="1" customHeight="1">
      <c r="A301" s="1855">
        <v>15</v>
      </c>
      <c r="B301" s="1856"/>
      <c r="C301" s="2526" t="s">
        <v>3458</v>
      </c>
      <c r="D301" s="2529"/>
      <c r="E301" s="2529"/>
      <c r="F301" s="2529"/>
      <c r="G301" s="2529"/>
      <c r="H301" s="2529"/>
      <c r="I301" s="2529"/>
      <c r="J301" s="2529"/>
      <c r="K301" s="1851"/>
      <c r="L301" s="1851"/>
      <c r="M301" s="1851"/>
      <c r="N301" s="1851"/>
      <c r="O301" s="1906"/>
      <c r="P301" s="1906"/>
      <c r="Q301" s="1906"/>
    </row>
    <row r="302" spans="1:17" ht="22.8" hidden="1">
      <c r="A302" s="1855"/>
      <c r="B302" s="1872"/>
      <c r="C302" s="1907" t="s">
        <v>3459</v>
      </c>
      <c r="D302" s="1853">
        <v>1</v>
      </c>
      <c r="E302" s="1853" t="s">
        <v>1472</v>
      </c>
      <c r="F302" s="1853">
        <v>2</v>
      </c>
      <c r="G302" s="1851"/>
      <c r="H302" s="1851"/>
      <c r="I302" s="1851"/>
      <c r="J302" s="1851">
        <f>F302</f>
        <v>2</v>
      </c>
      <c r="K302" s="1851"/>
      <c r="L302" s="1851"/>
      <c r="M302" s="1873"/>
      <c r="N302" s="1894"/>
      <c r="O302" s="1906"/>
      <c r="P302" s="1906"/>
      <c r="Q302" s="1906"/>
    </row>
    <row r="303" spans="1:17" ht="31.5" hidden="1" customHeight="1">
      <c r="A303" s="1855"/>
      <c r="B303" s="1872"/>
      <c r="C303" s="2524" t="s">
        <v>3389</v>
      </c>
      <c r="D303" s="2524"/>
      <c r="E303" s="2524"/>
      <c r="F303" s="2524"/>
      <c r="G303" s="2524"/>
      <c r="H303" s="2524"/>
      <c r="I303" s="2524"/>
      <c r="J303" s="1871">
        <v>0</v>
      </c>
      <c r="K303" s="1851">
        <f>' Doors window-Country Wood '!J97</f>
        <v>3343.033512</v>
      </c>
      <c r="L303" s="1873"/>
      <c r="M303" s="1873">
        <f>ROUND(K303*J303,0)</f>
        <v>0</v>
      </c>
      <c r="N303" s="1873">
        <f>SUM(L303:M303)</f>
        <v>0</v>
      </c>
      <c r="O303" s="1906"/>
      <c r="P303" s="1906"/>
      <c r="Q303" s="1906"/>
    </row>
    <row r="304" spans="1:17" hidden="1">
      <c r="A304" s="1855"/>
      <c r="B304" s="1872"/>
      <c r="C304" s="1877"/>
      <c r="D304" s="1853"/>
      <c r="E304" s="1853"/>
      <c r="F304" s="1853"/>
      <c r="G304" s="1851"/>
      <c r="H304" s="1851"/>
      <c r="I304" s="1851"/>
      <c r="J304" s="1851" t="s">
        <v>472</v>
      </c>
      <c r="K304" s="1873" t="s">
        <v>473</v>
      </c>
      <c r="L304" s="1873"/>
      <c r="M304" s="1873"/>
      <c r="N304" s="1873"/>
      <c r="O304" s="1906"/>
      <c r="P304" s="1906"/>
      <c r="Q304" s="1906"/>
    </row>
    <row r="305" spans="1:17" ht="118.9" hidden="1" customHeight="1">
      <c r="A305" s="1855">
        <v>16</v>
      </c>
      <c r="B305" s="1856"/>
      <c r="C305" s="2526" t="s">
        <v>3460</v>
      </c>
      <c r="D305" s="2529"/>
      <c r="E305" s="2529"/>
      <c r="F305" s="2529"/>
      <c r="G305" s="2529"/>
      <c r="H305" s="2529"/>
      <c r="I305" s="2529"/>
      <c r="J305" s="2529"/>
      <c r="K305" s="1851"/>
      <c r="L305" s="1851"/>
      <c r="M305" s="1851"/>
      <c r="N305" s="1851"/>
      <c r="O305" s="1866"/>
      <c r="P305" s="1867"/>
      <c r="Q305" s="1867"/>
    </row>
    <row r="306" spans="1:17" ht="27.75" hidden="1" customHeight="1">
      <c r="A306" s="1855"/>
      <c r="B306" s="1872"/>
      <c r="C306" s="1899" t="s">
        <v>3541</v>
      </c>
      <c r="D306" s="1853">
        <v>1</v>
      </c>
      <c r="E306" s="1853" t="s">
        <v>1472</v>
      </c>
      <c r="F306" s="1853">
        <v>4</v>
      </c>
      <c r="G306" s="1851">
        <v>1.2</v>
      </c>
      <c r="H306" s="1851"/>
      <c r="I306" s="1851">
        <v>1.2</v>
      </c>
      <c r="J306" s="1851">
        <v>0</v>
      </c>
      <c r="K306" s="1851"/>
      <c r="L306" s="1851"/>
      <c r="M306" s="1873"/>
      <c r="N306" s="1871"/>
      <c r="O306" s="1866"/>
      <c r="P306" s="1867"/>
      <c r="Q306" s="1890"/>
    </row>
    <row r="307" spans="1:17" ht="21" hidden="1" customHeight="1">
      <c r="A307" s="1855"/>
      <c r="B307" s="1872"/>
      <c r="C307" s="2524" t="s">
        <v>3389</v>
      </c>
      <c r="D307" s="2524"/>
      <c r="E307" s="2524"/>
      <c r="F307" s="2524"/>
      <c r="G307" s="2524"/>
      <c r="H307" s="2524"/>
      <c r="I307" s="2524"/>
      <c r="J307" s="1871">
        <f>J306</f>
        <v>0</v>
      </c>
      <c r="K307" s="1851">
        <f>' Doors window-Country Wood '!J313</f>
        <v>4457.1271999999999</v>
      </c>
      <c r="L307" s="1873"/>
      <c r="M307" s="1873">
        <f>ROUND(K307*J307,0)</f>
        <v>0</v>
      </c>
      <c r="N307" s="1873">
        <f>SUM(L307:M307)</f>
        <v>0</v>
      </c>
      <c r="O307" s="1866"/>
      <c r="P307" s="1878"/>
      <c r="Q307" s="1867"/>
    </row>
    <row r="308" spans="1:17" hidden="1">
      <c r="A308" s="1855"/>
      <c r="B308" s="1872"/>
      <c r="C308" s="1877"/>
      <c r="D308" s="1853"/>
      <c r="E308" s="1853"/>
      <c r="F308" s="1853"/>
      <c r="G308" s="1851"/>
      <c r="H308" s="1851"/>
      <c r="I308" s="1851"/>
      <c r="J308" s="1851" t="s">
        <v>472</v>
      </c>
      <c r="K308" s="1873" t="s">
        <v>473</v>
      </c>
      <c r="L308" s="1873"/>
      <c r="M308" s="1873"/>
      <c r="N308" s="1873"/>
      <c r="O308" s="1866"/>
      <c r="P308" s="1867"/>
      <c r="Q308" s="1867"/>
    </row>
    <row r="309" spans="1:17" hidden="1">
      <c r="A309" s="1855"/>
      <c r="B309" s="1872"/>
      <c r="C309" s="1877"/>
      <c r="D309" s="1853"/>
      <c r="E309" s="1853"/>
      <c r="F309" s="1853"/>
      <c r="G309" s="1851"/>
      <c r="H309" s="1851"/>
      <c r="I309" s="1851"/>
      <c r="J309" s="1884"/>
      <c r="K309" s="1873"/>
      <c r="L309" s="1873"/>
      <c r="M309" s="1873"/>
      <c r="N309" s="1873"/>
      <c r="O309" s="1866"/>
      <c r="P309" s="1867"/>
      <c r="Q309" s="1867"/>
    </row>
    <row r="310" spans="1:17" ht="114" hidden="1" customHeight="1">
      <c r="A310" s="1855">
        <f>A305+1</f>
        <v>17</v>
      </c>
      <c r="B310" s="1856"/>
      <c r="C310" s="2527" t="s">
        <v>3461</v>
      </c>
      <c r="D310" s="2528"/>
      <c r="E310" s="2528"/>
      <c r="F310" s="2528"/>
      <c r="G310" s="2528"/>
      <c r="H310" s="2528"/>
      <c r="I310" s="2528"/>
      <c r="J310" s="2528"/>
      <c r="K310" s="1851"/>
      <c r="L310" s="1851"/>
      <c r="M310" s="1851"/>
      <c r="N310" s="1851"/>
      <c r="O310" s="1866"/>
      <c r="P310" s="1867"/>
      <c r="Q310" s="1867"/>
    </row>
    <row r="311" spans="1:17" ht="36" hidden="1" customHeight="1">
      <c r="A311" s="1855"/>
      <c r="B311" s="1872"/>
      <c r="C311" s="1908" t="s">
        <v>3532</v>
      </c>
      <c r="D311" s="1853">
        <v>1</v>
      </c>
      <c r="E311" s="1853" t="s">
        <v>1472</v>
      </c>
      <c r="F311" s="1853">
        <v>1</v>
      </c>
      <c r="G311" s="1851">
        <v>1.2</v>
      </c>
      <c r="H311" s="1851"/>
      <c r="I311" s="1851">
        <v>0.75</v>
      </c>
      <c r="J311" s="1851">
        <v>0</v>
      </c>
      <c r="K311" s="1851"/>
      <c r="L311" s="1851"/>
      <c r="M311" s="1873"/>
      <c r="N311" s="1871"/>
      <c r="O311" s="1866"/>
      <c r="P311" s="1867"/>
      <c r="Q311" s="1890"/>
    </row>
    <row r="312" spans="1:17" ht="27" hidden="1" customHeight="1">
      <c r="A312" s="1855"/>
      <c r="B312" s="1872"/>
      <c r="C312" s="2524" t="s">
        <v>3389</v>
      </c>
      <c r="D312" s="2524"/>
      <c r="E312" s="2524"/>
      <c r="F312" s="2524"/>
      <c r="G312" s="2524"/>
      <c r="H312" s="2524"/>
      <c r="I312" s="2524"/>
      <c r="J312" s="1871">
        <f>J311</f>
        <v>0</v>
      </c>
      <c r="K312" s="1851">
        <f>' Doors window-Country Wood '!J492</f>
        <v>4242.9236000000001</v>
      </c>
      <c r="L312" s="1873"/>
      <c r="M312" s="1873">
        <f>ROUND(K312*J312,0)</f>
        <v>0</v>
      </c>
      <c r="N312" s="1873">
        <f>SUM(L312:M312)</f>
        <v>0</v>
      </c>
      <c r="O312" s="1866"/>
      <c r="P312" s="1878"/>
      <c r="Q312" s="1867"/>
    </row>
    <row r="313" spans="1:17" hidden="1">
      <c r="A313" s="1855"/>
      <c r="B313" s="1872"/>
      <c r="C313" s="1877"/>
      <c r="D313" s="1853"/>
      <c r="E313" s="1853"/>
      <c r="F313" s="1853"/>
      <c r="G313" s="1851"/>
      <c r="H313" s="1851"/>
      <c r="I313" s="1851"/>
      <c r="J313" s="1851" t="s">
        <v>472</v>
      </c>
      <c r="K313" s="1873" t="s">
        <v>473</v>
      </c>
      <c r="L313" s="1873"/>
      <c r="M313" s="1873"/>
      <c r="N313" s="1873"/>
      <c r="O313" s="1866"/>
      <c r="P313" s="1867"/>
      <c r="Q313" s="1867"/>
    </row>
    <row r="314" spans="1:17" hidden="1">
      <c r="A314" s="1855"/>
      <c r="B314" s="1872"/>
      <c r="C314" s="1877"/>
      <c r="D314" s="1853"/>
      <c r="E314" s="1853"/>
      <c r="F314" s="1853"/>
      <c r="G314" s="1851"/>
      <c r="H314" s="1851"/>
      <c r="I314" s="1851"/>
      <c r="J314" s="1884"/>
      <c r="K314" s="1873"/>
      <c r="L314" s="1873"/>
      <c r="M314" s="1873"/>
      <c r="N314" s="1873"/>
      <c r="O314" s="1866"/>
      <c r="P314" s="1867"/>
      <c r="Q314" s="1867"/>
    </row>
    <row r="315" spans="1:17" s="1876" customFormat="1" ht="54" customHeight="1">
      <c r="A315" s="1855">
        <v>18</v>
      </c>
      <c r="B315" s="1872"/>
      <c r="C315" s="2526" t="s">
        <v>1244</v>
      </c>
      <c r="D315" s="2526"/>
      <c r="E315" s="2526"/>
      <c r="F315" s="2526"/>
      <c r="G315" s="2526"/>
      <c r="H315" s="2526"/>
      <c r="I315" s="2526"/>
      <c r="J315" s="2526"/>
      <c r="K315" s="1900"/>
      <c r="L315" s="1909"/>
      <c r="M315" s="1909"/>
      <c r="N315" s="1910"/>
      <c r="O315" s="1911"/>
    </row>
    <row r="316" spans="1:17" s="1876" customFormat="1">
      <c r="A316" s="1855"/>
      <c r="B316" s="1880"/>
      <c r="C316" s="1855"/>
      <c r="D316" s="1855"/>
      <c r="E316" s="1855"/>
      <c r="F316" s="1900"/>
      <c r="G316" s="1912">
        <v>30</v>
      </c>
      <c r="H316" s="1912"/>
      <c r="I316" s="1913"/>
      <c r="J316" s="1912">
        <f>G316</f>
        <v>30</v>
      </c>
      <c r="K316" s="1914">
        <f>'data-Elec '!H60</f>
        <v>111.43</v>
      </c>
      <c r="L316" s="1915"/>
      <c r="M316" s="1873">
        <f>ROUND(K316*J316,0)</f>
        <v>3343</v>
      </c>
      <c r="N316" s="1916">
        <f>M316</f>
        <v>3343</v>
      </c>
      <c r="O316" s="1911"/>
    </row>
    <row r="317" spans="1:17" s="1876" customFormat="1" ht="15" customHeight="1">
      <c r="A317" s="1855"/>
      <c r="B317" s="1872"/>
      <c r="C317" s="1855"/>
      <c r="D317" s="1855"/>
      <c r="E317" s="1855"/>
      <c r="F317" s="1900"/>
      <c r="G317" s="1912"/>
      <c r="H317" s="1912"/>
      <c r="I317" s="1913"/>
      <c r="J317" s="1912" t="s">
        <v>495</v>
      </c>
      <c r="K317" s="1855" t="s">
        <v>2858</v>
      </c>
      <c r="L317" s="1909"/>
      <c r="M317" s="1909"/>
      <c r="N317" s="1910"/>
      <c r="O317" s="1911"/>
    </row>
    <row r="318" spans="1:17" ht="130.9" hidden="1" customHeight="1">
      <c r="A318" s="1855">
        <v>25</v>
      </c>
      <c r="B318" s="1856"/>
      <c r="C318" s="2527" t="s">
        <v>3449</v>
      </c>
      <c r="D318" s="2528"/>
      <c r="E318" s="2528"/>
      <c r="F318" s="2528"/>
      <c r="G318" s="2528"/>
      <c r="H318" s="2528"/>
      <c r="I318" s="2528"/>
      <c r="J318" s="2528"/>
      <c r="K318" s="1851"/>
      <c r="L318" s="1851"/>
      <c r="M318" s="1851"/>
      <c r="N318" s="1851"/>
      <c r="O318" s="1866"/>
      <c r="P318" s="1867"/>
      <c r="Q318" s="1867"/>
    </row>
    <row r="319" spans="1:17" hidden="1">
      <c r="A319" s="1855"/>
      <c r="B319" s="1856"/>
      <c r="C319" s="1859" t="s">
        <v>3450</v>
      </c>
      <c r="D319" s="1880"/>
      <c r="E319" s="1880"/>
      <c r="F319" s="1880"/>
      <c r="G319" s="1874"/>
      <c r="H319" s="1874"/>
      <c r="I319" s="1874"/>
      <c r="J319" s="1874"/>
      <c r="K319" s="1851"/>
      <c r="L319" s="1851"/>
      <c r="M319" s="1851"/>
      <c r="N319" s="1851"/>
      <c r="O319" s="1866"/>
      <c r="P319" s="1867"/>
      <c r="Q319" s="1867"/>
    </row>
    <row r="320" spans="1:17" ht="18" hidden="1" customHeight="1">
      <c r="A320" s="1855"/>
      <c r="B320" s="1856"/>
      <c r="C320" s="1899" t="s">
        <v>3451</v>
      </c>
      <c r="D320" s="1853">
        <v>1</v>
      </c>
      <c r="E320" s="1853" t="s">
        <v>1472</v>
      </c>
      <c r="F320" s="1853">
        <v>1</v>
      </c>
      <c r="G320" s="1851">
        <f>ROUND((14+19.88)*0.3048*2,2)</f>
        <v>20.65</v>
      </c>
      <c r="H320" s="1851">
        <v>3.05</v>
      </c>
      <c r="I320" s="1851"/>
      <c r="J320" s="1851">
        <f t="shared" ref="J320:J325" si="4">ROUND(D320*F320*G320*H320,2)</f>
        <v>62.98</v>
      </c>
      <c r="K320" s="1851"/>
      <c r="L320" s="1851"/>
      <c r="M320" s="1851"/>
      <c r="N320" s="1851"/>
      <c r="O320" s="1866"/>
      <c r="P320" s="1867"/>
      <c r="Q320" s="1867"/>
    </row>
    <row r="321" spans="1:17" hidden="1">
      <c r="A321" s="1855"/>
      <c r="B321" s="1856"/>
      <c r="C321" s="1899" t="s">
        <v>3452</v>
      </c>
      <c r="D321" s="1853">
        <v>1</v>
      </c>
      <c r="E321" s="1853" t="s">
        <v>1472</v>
      </c>
      <c r="F321" s="1853">
        <v>1</v>
      </c>
      <c r="G321" s="1851">
        <f>ROUND((12+7)*0.3048*2,2)</f>
        <v>11.58</v>
      </c>
      <c r="H321" s="1851">
        <v>3.05</v>
      </c>
      <c r="I321" s="1851"/>
      <c r="J321" s="1851">
        <f t="shared" si="4"/>
        <v>35.32</v>
      </c>
      <c r="K321" s="1851"/>
      <c r="L321" s="1851"/>
      <c r="M321" s="1851"/>
      <c r="N321" s="1851"/>
      <c r="O321" s="1866"/>
      <c r="P321" s="1867"/>
      <c r="Q321" s="1867"/>
    </row>
    <row r="322" spans="1:17" hidden="1">
      <c r="A322" s="1855"/>
      <c r="B322" s="1856"/>
      <c r="C322" s="1899" t="s">
        <v>3453</v>
      </c>
      <c r="D322" s="1853">
        <v>1</v>
      </c>
      <c r="E322" s="1853" t="s">
        <v>1472</v>
      </c>
      <c r="F322" s="1853">
        <v>1</v>
      </c>
      <c r="G322" s="1851">
        <f>ROUND((7.63+7)*0.3048*2,2)</f>
        <v>8.92</v>
      </c>
      <c r="H322" s="1851">
        <v>3.05</v>
      </c>
      <c r="I322" s="1851"/>
      <c r="J322" s="1851">
        <f t="shared" si="4"/>
        <v>27.21</v>
      </c>
      <c r="K322" s="1851"/>
      <c r="L322" s="1851"/>
      <c r="M322" s="1851"/>
      <c r="N322" s="1851"/>
      <c r="O322" s="1866"/>
      <c r="P322" s="1867"/>
      <c r="Q322" s="1867"/>
    </row>
    <row r="323" spans="1:17" hidden="1">
      <c r="A323" s="1855"/>
      <c r="B323" s="1856"/>
      <c r="C323" s="1899" t="s">
        <v>3446</v>
      </c>
      <c r="D323" s="1853">
        <v>1</v>
      </c>
      <c r="E323" s="1853" t="s">
        <v>1472</v>
      </c>
      <c r="F323" s="1853">
        <v>1</v>
      </c>
      <c r="G323" s="1851">
        <f>ROUND((4+7)*0.3048*2,2)</f>
        <v>6.71</v>
      </c>
      <c r="H323" s="1851">
        <v>3.05</v>
      </c>
      <c r="I323" s="1851"/>
      <c r="J323" s="1851">
        <f t="shared" si="4"/>
        <v>20.47</v>
      </c>
      <c r="K323" s="1851"/>
      <c r="L323" s="1851"/>
      <c r="M323" s="1851"/>
      <c r="N323" s="1851"/>
      <c r="O323" s="1866"/>
      <c r="P323" s="1867"/>
      <c r="Q323" s="1867"/>
    </row>
    <row r="324" spans="1:17" hidden="1">
      <c r="A324" s="1855"/>
      <c r="B324" s="1856"/>
      <c r="C324" s="1899" t="s">
        <v>3454</v>
      </c>
      <c r="D324" s="1853">
        <v>1</v>
      </c>
      <c r="E324" s="1853" t="s">
        <v>1472</v>
      </c>
      <c r="F324" s="1853">
        <v>1</v>
      </c>
      <c r="G324" s="1851">
        <f>ROUND((12+5)*0.3048,2)</f>
        <v>5.18</v>
      </c>
      <c r="H324" s="1851">
        <v>3.05</v>
      </c>
      <c r="I324" s="1851"/>
      <c r="J324" s="1851">
        <f t="shared" si="4"/>
        <v>15.8</v>
      </c>
      <c r="K324" s="1851"/>
      <c r="L324" s="1851"/>
      <c r="M324" s="1851"/>
      <c r="N324" s="1851"/>
      <c r="O324" s="1866"/>
      <c r="P324" s="1867"/>
      <c r="Q324" s="1867"/>
    </row>
    <row r="325" spans="1:17" ht="28.2" hidden="1">
      <c r="A325" s="1855"/>
      <c r="B325" s="1856"/>
      <c r="C325" s="1899" t="s">
        <v>3432</v>
      </c>
      <c r="D325" s="1853">
        <v>2</v>
      </c>
      <c r="E325" s="1853" t="s">
        <v>1472</v>
      </c>
      <c r="F325" s="1853">
        <v>2</v>
      </c>
      <c r="G325" s="1851">
        <v>0.6</v>
      </c>
      <c r="H325" s="1851">
        <v>0.75</v>
      </c>
      <c r="I325" s="1851"/>
      <c r="J325" s="1851">
        <f t="shared" si="4"/>
        <v>1.8</v>
      </c>
      <c r="K325" s="1851"/>
      <c r="L325" s="1851"/>
      <c r="M325" s="1851"/>
      <c r="N325" s="1851"/>
      <c r="O325" s="1866"/>
      <c r="P325" s="1867"/>
      <c r="Q325" s="1867"/>
    </row>
    <row r="326" spans="1:17" ht="24" hidden="1" customHeight="1">
      <c r="A326" s="1855"/>
      <c r="B326" s="1856"/>
      <c r="C326" s="1905"/>
      <c r="D326" s="1853"/>
      <c r="E326" s="1853"/>
      <c r="F326" s="1853"/>
      <c r="G326" s="1851"/>
      <c r="H326" s="1851"/>
      <c r="I326" s="1851"/>
      <c r="J326" s="1851">
        <f>SUM(J320:J325)</f>
        <v>163.58000000000001</v>
      </c>
      <c r="K326" s="1851"/>
      <c r="L326" s="1851"/>
      <c r="M326" s="1851"/>
      <c r="N326" s="1851"/>
      <c r="O326" s="1866"/>
      <c r="P326" s="1867"/>
      <c r="Q326" s="1867"/>
    </row>
    <row r="327" spans="1:17" ht="21.75" hidden="1" customHeight="1">
      <c r="A327" s="1855"/>
      <c r="B327" s="1856"/>
      <c r="C327" s="1859" t="s">
        <v>675</v>
      </c>
      <c r="D327" s="1853"/>
      <c r="E327" s="1853"/>
      <c r="F327" s="1853"/>
      <c r="G327" s="1851"/>
      <c r="H327" s="1851"/>
      <c r="I327" s="1851"/>
      <c r="J327" s="1851"/>
      <c r="K327" s="1851"/>
      <c r="L327" s="1851"/>
      <c r="M327" s="1851"/>
      <c r="N327" s="1851"/>
      <c r="O327" s="1866"/>
      <c r="P327" s="1867"/>
      <c r="Q327" s="1867"/>
    </row>
    <row r="328" spans="1:17" hidden="1">
      <c r="A328" s="1855"/>
      <c r="B328" s="1856"/>
      <c r="C328" s="1899" t="s">
        <v>116</v>
      </c>
      <c r="D328" s="1853">
        <v>1</v>
      </c>
      <c r="E328" s="1853" t="s">
        <v>1472</v>
      </c>
      <c r="F328" s="1853">
        <v>2</v>
      </c>
      <c r="G328" s="1851">
        <v>1.05</v>
      </c>
      <c r="H328" s="1851"/>
      <c r="I328" s="1851">
        <v>2.1</v>
      </c>
      <c r="J328" s="1851">
        <f>ROUND(D328*F328*G328*I328,2)</f>
        <v>4.41</v>
      </c>
      <c r="K328" s="1851"/>
      <c r="L328" s="1851"/>
      <c r="M328" s="1851"/>
      <c r="N328" s="1851"/>
      <c r="O328" s="1866"/>
      <c r="P328" s="1867"/>
      <c r="Q328" s="1867"/>
    </row>
    <row r="329" spans="1:17" ht="18" hidden="1" customHeight="1">
      <c r="A329" s="1855"/>
      <c r="B329" s="1856"/>
      <c r="C329" s="1899" t="s">
        <v>2801</v>
      </c>
      <c r="D329" s="1853">
        <v>1</v>
      </c>
      <c r="E329" s="1853" t="s">
        <v>1472</v>
      </c>
      <c r="F329" s="1853">
        <v>2</v>
      </c>
      <c r="G329" s="1851">
        <v>0.9</v>
      </c>
      <c r="H329" s="1851"/>
      <c r="I329" s="1851">
        <v>2.1</v>
      </c>
      <c r="J329" s="1851">
        <f>ROUND(D329*F329*G329*I329,2)</f>
        <v>3.78</v>
      </c>
      <c r="K329" s="1851"/>
      <c r="L329" s="1851"/>
      <c r="M329" s="1851"/>
      <c r="N329" s="1851"/>
      <c r="O329" s="1866"/>
      <c r="P329" s="1867"/>
      <c r="Q329" s="1867"/>
    </row>
    <row r="330" spans="1:17" ht="18" hidden="1" customHeight="1">
      <c r="A330" s="1855"/>
      <c r="B330" s="1856"/>
      <c r="C330" s="1899" t="s">
        <v>3455</v>
      </c>
      <c r="D330" s="1853">
        <v>1</v>
      </c>
      <c r="E330" s="1853" t="s">
        <v>1472</v>
      </c>
      <c r="F330" s="1853">
        <v>4</v>
      </c>
      <c r="G330" s="1851">
        <v>1.2</v>
      </c>
      <c r="H330" s="1851"/>
      <c r="I330" s="1851">
        <v>1.2</v>
      </c>
      <c r="J330" s="1851">
        <f>ROUND(D330*F330*G330*I330,2)</f>
        <v>5.76</v>
      </c>
      <c r="K330" s="1851"/>
      <c r="L330" s="1851"/>
      <c r="M330" s="1851"/>
      <c r="N330" s="1851"/>
      <c r="O330" s="1866"/>
      <c r="P330" s="1867"/>
      <c r="Q330" s="1867"/>
    </row>
    <row r="331" spans="1:17" ht="18" hidden="1" customHeight="1">
      <c r="A331" s="1855"/>
      <c r="B331" s="1856"/>
      <c r="C331" s="1899" t="s">
        <v>3455</v>
      </c>
      <c r="D331" s="1853">
        <v>1</v>
      </c>
      <c r="E331" s="1853" t="s">
        <v>1472</v>
      </c>
      <c r="F331" s="1853">
        <v>1</v>
      </c>
      <c r="G331" s="1851">
        <v>1.2</v>
      </c>
      <c r="H331" s="1851"/>
      <c r="I331" s="1851">
        <v>0.75</v>
      </c>
      <c r="J331" s="1851">
        <f>ROUND(D331*F331*G331*I331,2)</f>
        <v>0.9</v>
      </c>
      <c r="K331" s="1851"/>
      <c r="L331" s="1851"/>
      <c r="M331" s="1851"/>
      <c r="N331" s="1851"/>
      <c r="O331" s="1866"/>
      <c r="P331" s="1867"/>
      <c r="Q331" s="1867"/>
    </row>
    <row r="332" spans="1:17" ht="18" hidden="1" customHeight="1">
      <c r="A332" s="1855"/>
      <c r="B332" s="1856"/>
      <c r="C332" s="1899" t="s">
        <v>83</v>
      </c>
      <c r="D332" s="1853">
        <v>1</v>
      </c>
      <c r="E332" s="1853" t="s">
        <v>1472</v>
      </c>
      <c r="F332" s="1853">
        <v>7</v>
      </c>
      <c r="G332" s="1851">
        <v>0.6</v>
      </c>
      <c r="H332" s="1851"/>
      <c r="I332" s="1851">
        <v>0.3</v>
      </c>
      <c r="J332" s="1851">
        <f>ROUND(D332*F332*G332*I332,2)</f>
        <v>1.26</v>
      </c>
      <c r="K332" s="1851"/>
      <c r="L332" s="1851"/>
      <c r="M332" s="1851"/>
      <c r="N332" s="1851"/>
      <c r="O332" s="1866"/>
      <c r="P332" s="1867"/>
      <c r="Q332" s="1867"/>
    </row>
    <row r="333" spans="1:17" hidden="1">
      <c r="A333" s="1855"/>
      <c r="B333" s="1856"/>
      <c r="C333" s="1887"/>
      <c r="D333" s="1853"/>
      <c r="E333" s="1853"/>
      <c r="F333" s="1853"/>
      <c r="G333" s="1851"/>
      <c r="H333" s="1851"/>
      <c r="I333" s="1851"/>
      <c r="J333" s="1851">
        <f>SUM(J328:J332)</f>
        <v>16.11</v>
      </c>
      <c r="K333" s="1851"/>
      <c r="L333" s="1851"/>
      <c r="M333" s="1851"/>
      <c r="N333" s="1851"/>
      <c r="O333" s="1866"/>
      <c r="P333" s="1867"/>
      <c r="Q333" s="1867"/>
    </row>
    <row r="334" spans="1:17" ht="24" hidden="1" customHeight="1">
      <c r="A334" s="1855"/>
      <c r="B334" s="1856"/>
      <c r="C334" s="1887"/>
      <c r="D334" s="1853"/>
      <c r="E334" s="1853"/>
      <c r="F334" s="1853"/>
      <c r="G334" s="1851"/>
      <c r="H334" s="1851"/>
      <c r="I334" s="1851"/>
      <c r="J334" s="1871">
        <f>J326-J333</f>
        <v>147.47000000000003</v>
      </c>
      <c r="K334" s="1851"/>
      <c r="L334" s="1851"/>
      <c r="M334" s="1851"/>
      <c r="N334" s="1851"/>
      <c r="O334" s="1866"/>
      <c r="P334" s="1867"/>
      <c r="Q334" s="1867"/>
    </row>
    <row r="335" spans="1:17" ht="17.2" hidden="1" customHeight="1">
      <c r="A335" s="1855"/>
      <c r="B335" s="1856"/>
      <c r="C335" s="1877"/>
      <c r="D335" s="1904"/>
      <c r="E335" s="1904"/>
      <c r="F335" s="1853"/>
      <c r="G335" s="1851"/>
      <c r="H335" s="1851"/>
      <c r="I335" s="1851"/>
      <c r="J335" s="1871" t="s">
        <v>1478</v>
      </c>
      <c r="K335" s="1851"/>
      <c r="L335" s="1851"/>
      <c r="M335" s="1851"/>
      <c r="N335" s="1851"/>
      <c r="O335" s="1866"/>
      <c r="P335" s="1867"/>
      <c r="Q335" s="1867"/>
    </row>
    <row r="336" spans="1:17" ht="21.75" hidden="1" customHeight="1">
      <c r="A336" s="1855"/>
      <c r="B336" s="1872"/>
      <c r="C336" s="2524" t="s">
        <v>3389</v>
      </c>
      <c r="D336" s="2524"/>
      <c r="E336" s="2524"/>
      <c r="F336" s="2524"/>
      <c r="G336" s="2524"/>
      <c r="H336" s="2524"/>
      <c r="I336" s="2524"/>
      <c r="J336" s="1851">
        <v>0</v>
      </c>
      <c r="K336" s="1873">
        <f>'Mbook 1st'!K392</f>
        <v>4152.1900000000005</v>
      </c>
      <c r="L336" s="1873"/>
      <c r="M336" s="1873">
        <f>ROUND(K336*J336/10,0)</f>
        <v>0</v>
      </c>
      <c r="N336" s="1873">
        <f>SUM(L336:M336)</f>
        <v>0</v>
      </c>
      <c r="O336" s="1866">
        <v>0.6</v>
      </c>
      <c r="P336" s="1878">
        <f>ROUND(O336*J336,2)</f>
        <v>0</v>
      </c>
      <c r="Q336" s="1867"/>
    </row>
    <row r="337" spans="1:17" hidden="1">
      <c r="A337" s="1855"/>
      <c r="B337" s="1880"/>
      <c r="C337" s="1880"/>
      <c r="D337" s="1880"/>
      <c r="E337" s="1880"/>
      <c r="F337" s="1883"/>
      <c r="G337" s="1880"/>
      <c r="H337" s="1880"/>
      <c r="I337" s="1880"/>
      <c r="J337" s="1851" t="s">
        <v>1478</v>
      </c>
      <c r="K337" s="1873" t="s">
        <v>672</v>
      </c>
      <c r="L337" s="1873"/>
      <c r="M337" s="1873"/>
      <c r="N337" s="1873"/>
      <c r="O337" s="1866"/>
      <c r="P337" s="1867"/>
      <c r="Q337" s="1867"/>
    </row>
    <row r="338" spans="1:17" hidden="1">
      <c r="A338" s="1855"/>
      <c r="B338" s="1880"/>
      <c r="C338" s="1880"/>
      <c r="D338" s="1880"/>
      <c r="E338" s="1880"/>
      <c r="F338" s="1883"/>
      <c r="G338" s="1880"/>
      <c r="H338" s="1880"/>
      <c r="I338" s="1880"/>
      <c r="J338" s="1884"/>
      <c r="K338" s="1873"/>
      <c r="L338" s="1873"/>
      <c r="M338" s="1873"/>
      <c r="N338" s="1873"/>
      <c r="O338" s="1866"/>
      <c r="P338" s="1867"/>
      <c r="Q338" s="1867"/>
    </row>
    <row r="339" spans="1:17" ht="162" hidden="1" customHeight="1">
      <c r="A339" s="1855">
        <v>26</v>
      </c>
      <c r="B339" s="1856"/>
      <c r="C339" s="2527" t="s">
        <v>3462</v>
      </c>
      <c r="D339" s="2528"/>
      <c r="E339" s="2528"/>
      <c r="F339" s="2528"/>
      <c r="G339" s="2528"/>
      <c r="H339" s="2528"/>
      <c r="I339" s="2528"/>
      <c r="J339" s="2528"/>
      <c r="K339" s="1851"/>
      <c r="L339" s="1851"/>
      <c r="M339" s="1851"/>
      <c r="N339" s="1851"/>
      <c r="O339" s="1866"/>
      <c r="P339" s="1867"/>
      <c r="Q339" s="1867"/>
    </row>
    <row r="340" spans="1:17" ht="24" hidden="1" customHeight="1">
      <c r="A340" s="1855"/>
      <c r="B340" s="1856"/>
      <c r="C340" s="1899" t="s">
        <v>3463</v>
      </c>
      <c r="D340" s="1853">
        <v>1</v>
      </c>
      <c r="E340" s="1853" t="s">
        <v>1472</v>
      </c>
      <c r="F340" s="1853">
        <v>1</v>
      </c>
      <c r="G340" s="1851">
        <f>ROUND((14)*0.3048,2)</f>
        <v>4.2699999999999996</v>
      </c>
      <c r="H340" s="1851">
        <f>ROUND((19.88)*0.3048,2)</f>
        <v>6.06</v>
      </c>
      <c r="I340" s="1880"/>
      <c r="J340" s="1851">
        <f t="shared" ref="J340:J347" si="5">ROUND(D340*F340*G340*H340,2)</f>
        <v>25.88</v>
      </c>
      <c r="K340" s="1851"/>
      <c r="L340" s="1851"/>
      <c r="M340" s="1851"/>
      <c r="N340" s="1851"/>
      <c r="O340" s="1866"/>
      <c r="P340" s="1867"/>
      <c r="Q340" s="1867"/>
    </row>
    <row r="341" spans="1:17" hidden="1">
      <c r="A341" s="1855"/>
      <c r="B341" s="1856"/>
      <c r="C341" s="1899" t="s">
        <v>3464</v>
      </c>
      <c r="D341" s="1853">
        <v>1</v>
      </c>
      <c r="E341" s="1853" t="s">
        <v>1472</v>
      </c>
      <c r="F341" s="1853">
        <v>1</v>
      </c>
      <c r="G341" s="1851">
        <f>ROUND((12)*0.3048,2)</f>
        <v>3.66</v>
      </c>
      <c r="H341" s="1851">
        <f>ROUND((7*0.3048),2)</f>
        <v>2.13</v>
      </c>
      <c r="I341" s="1880"/>
      <c r="J341" s="1851">
        <f t="shared" si="5"/>
        <v>7.8</v>
      </c>
      <c r="K341" s="1851"/>
      <c r="L341" s="1851"/>
      <c r="M341" s="1851"/>
      <c r="N341" s="1851"/>
      <c r="O341" s="1866"/>
      <c r="P341" s="1867"/>
      <c r="Q341" s="1867"/>
    </row>
    <row r="342" spans="1:17" hidden="1">
      <c r="A342" s="1855"/>
      <c r="B342" s="1856"/>
      <c r="C342" s="1899" t="s">
        <v>3453</v>
      </c>
      <c r="D342" s="1853">
        <v>1</v>
      </c>
      <c r="E342" s="1853" t="s">
        <v>1472</v>
      </c>
      <c r="F342" s="1853">
        <v>1</v>
      </c>
      <c r="G342" s="1851">
        <f>ROUND((7.63)*0.3048,2)</f>
        <v>2.33</v>
      </c>
      <c r="H342" s="1851">
        <f>ROUND((7)*0.3048,2)</f>
        <v>2.13</v>
      </c>
      <c r="I342" s="1880"/>
      <c r="J342" s="1851">
        <f t="shared" si="5"/>
        <v>4.96</v>
      </c>
      <c r="K342" s="1851"/>
      <c r="L342" s="1851"/>
      <c r="M342" s="1851"/>
      <c r="N342" s="1851"/>
      <c r="O342" s="1866"/>
      <c r="P342" s="1867"/>
      <c r="Q342" s="1867"/>
    </row>
    <row r="343" spans="1:17" hidden="1">
      <c r="A343" s="1855"/>
      <c r="B343" s="1856"/>
      <c r="C343" s="1899" t="s">
        <v>3465</v>
      </c>
      <c r="D343" s="1853">
        <v>1</v>
      </c>
      <c r="E343" s="1853" t="s">
        <v>1472</v>
      </c>
      <c r="F343" s="1853">
        <v>1</v>
      </c>
      <c r="G343" s="1851">
        <f>ROUND((4)*0.3048,2)</f>
        <v>1.22</v>
      </c>
      <c r="H343" s="1851">
        <f>ROUND((7)*0.3048,2)</f>
        <v>2.13</v>
      </c>
      <c r="I343" s="1880"/>
      <c r="J343" s="1851">
        <f t="shared" si="5"/>
        <v>2.6</v>
      </c>
      <c r="K343" s="1851"/>
      <c r="L343" s="1851"/>
      <c r="M343" s="1851"/>
      <c r="N343" s="1851"/>
      <c r="O343" s="1866"/>
      <c r="P343" s="1867"/>
      <c r="Q343" s="1867"/>
    </row>
    <row r="344" spans="1:17" hidden="1">
      <c r="A344" s="1855"/>
      <c r="B344" s="1856"/>
      <c r="C344" s="1899" t="s">
        <v>3454</v>
      </c>
      <c r="D344" s="1853">
        <v>1</v>
      </c>
      <c r="E344" s="1853" t="s">
        <v>1472</v>
      </c>
      <c r="F344" s="1853">
        <v>1</v>
      </c>
      <c r="G344" s="1851">
        <f>ROUND((12)*0.3048,2)</f>
        <v>3.66</v>
      </c>
      <c r="H344" s="1851">
        <f>ROUND((5)*0.3048,2)</f>
        <v>1.52</v>
      </c>
      <c r="I344" s="1880"/>
      <c r="J344" s="1851">
        <f t="shared" si="5"/>
        <v>5.56</v>
      </c>
      <c r="K344" s="1851"/>
      <c r="L344" s="1851"/>
      <c r="M344" s="1851"/>
      <c r="N344" s="1851"/>
      <c r="O344" s="1866"/>
      <c r="P344" s="1867"/>
      <c r="Q344" s="1867"/>
    </row>
    <row r="345" spans="1:17" ht="18" hidden="1" customHeight="1">
      <c r="A345" s="1855"/>
      <c r="B345" s="1856"/>
      <c r="C345" s="1899" t="s">
        <v>3466</v>
      </c>
      <c r="D345" s="1853">
        <v>2</v>
      </c>
      <c r="E345" s="1853" t="s">
        <v>1472</v>
      </c>
      <c r="F345" s="1853">
        <v>1</v>
      </c>
      <c r="G345" s="1851">
        <v>1.05</v>
      </c>
      <c r="H345" s="1851">
        <v>0.23</v>
      </c>
      <c r="I345" s="1851"/>
      <c r="J345" s="1851">
        <f t="shared" si="5"/>
        <v>0.48</v>
      </c>
      <c r="K345" s="1851"/>
      <c r="L345" s="1851"/>
      <c r="M345" s="1851"/>
      <c r="N345" s="1851"/>
      <c r="O345" s="1866"/>
      <c r="P345" s="1867"/>
      <c r="Q345" s="1867"/>
    </row>
    <row r="346" spans="1:17" ht="18" hidden="1" customHeight="1">
      <c r="A346" s="1855"/>
      <c r="B346" s="1856"/>
      <c r="C346" s="1899" t="s">
        <v>3467</v>
      </c>
      <c r="D346" s="1853">
        <v>1</v>
      </c>
      <c r="E346" s="1853" t="s">
        <v>1472</v>
      </c>
      <c r="F346" s="1853">
        <v>1</v>
      </c>
      <c r="G346" s="1851">
        <v>0.9</v>
      </c>
      <c r="H346" s="1851">
        <v>0.23</v>
      </c>
      <c r="I346" s="1851"/>
      <c r="J346" s="1851">
        <f t="shared" si="5"/>
        <v>0.21</v>
      </c>
      <c r="K346" s="1851"/>
      <c r="L346" s="1851"/>
      <c r="M346" s="1851"/>
      <c r="N346" s="1851"/>
      <c r="O346" s="1866"/>
      <c r="P346" s="1867"/>
      <c r="Q346" s="1867"/>
    </row>
    <row r="347" spans="1:17" ht="18" hidden="1" customHeight="1">
      <c r="A347" s="1855"/>
      <c r="B347" s="1856"/>
      <c r="C347" s="1899" t="s">
        <v>3467</v>
      </c>
      <c r="D347" s="1853">
        <v>1</v>
      </c>
      <c r="E347" s="1853" t="s">
        <v>1472</v>
      </c>
      <c r="F347" s="1853">
        <v>1</v>
      </c>
      <c r="G347" s="1851">
        <v>0.9</v>
      </c>
      <c r="H347" s="1885">
        <v>0.115</v>
      </c>
      <c r="I347" s="1851"/>
      <c r="J347" s="1851">
        <f t="shared" si="5"/>
        <v>0.1</v>
      </c>
      <c r="K347" s="1851"/>
      <c r="L347" s="1851"/>
      <c r="M347" s="1851"/>
      <c r="N347" s="1851"/>
      <c r="O347" s="1866"/>
      <c r="P347" s="1867"/>
      <c r="Q347" s="1867"/>
    </row>
    <row r="348" spans="1:17" ht="18" hidden="1" customHeight="1">
      <c r="A348" s="1855"/>
      <c r="B348" s="1856"/>
      <c r="C348" s="1877"/>
      <c r="D348" s="1853"/>
      <c r="E348" s="1853"/>
      <c r="F348" s="1853"/>
      <c r="G348" s="1851"/>
      <c r="H348" s="1851"/>
      <c r="I348" s="1851"/>
      <c r="J348" s="1851">
        <f>SUM(J340:J347)</f>
        <v>47.59</v>
      </c>
      <c r="K348" s="1851"/>
      <c r="L348" s="1851"/>
      <c r="M348" s="1851"/>
      <c r="N348" s="1851"/>
      <c r="O348" s="1866"/>
      <c r="P348" s="1867"/>
      <c r="Q348" s="1867"/>
    </row>
    <row r="349" spans="1:17" ht="18" hidden="1" customHeight="1">
      <c r="A349" s="1855"/>
      <c r="B349" s="1856"/>
      <c r="C349" s="1877"/>
      <c r="D349" s="1853"/>
      <c r="E349" s="1853"/>
      <c r="F349" s="1853"/>
      <c r="G349" s="1851"/>
      <c r="H349" s="1851"/>
      <c r="I349" s="1851" t="s">
        <v>982</v>
      </c>
      <c r="J349" s="1871">
        <f>CEILING(J348,0.05)</f>
        <v>47.6</v>
      </c>
      <c r="K349" s="1851"/>
      <c r="L349" s="1851"/>
      <c r="M349" s="1851"/>
      <c r="N349" s="1851"/>
      <c r="O349" s="1866"/>
      <c r="P349" s="1867"/>
      <c r="Q349" s="1890"/>
    </row>
    <row r="350" spans="1:17" ht="17.2" hidden="1" customHeight="1">
      <c r="A350" s="1855"/>
      <c r="B350" s="1856"/>
      <c r="C350" s="1877"/>
      <c r="D350" s="1853"/>
      <c r="E350" s="1853"/>
      <c r="F350" s="1853"/>
      <c r="G350" s="1851"/>
      <c r="H350" s="1851"/>
      <c r="I350" s="1851"/>
      <c r="J350" s="1871" t="s">
        <v>1478</v>
      </c>
      <c r="K350" s="1851"/>
      <c r="L350" s="1851"/>
      <c r="M350" s="1851"/>
      <c r="N350" s="1851"/>
      <c r="O350" s="1866"/>
      <c r="P350" s="1867"/>
      <c r="Q350" s="1867"/>
    </row>
    <row r="351" spans="1:17" ht="21.75" hidden="1" customHeight="1">
      <c r="A351" s="1855"/>
      <c r="B351" s="1872"/>
      <c r="C351" s="2524" t="s">
        <v>3389</v>
      </c>
      <c r="D351" s="2524"/>
      <c r="E351" s="2524"/>
      <c r="F351" s="2524"/>
      <c r="G351" s="2524"/>
      <c r="H351" s="2524"/>
      <c r="I351" s="2524"/>
      <c r="J351" s="1851">
        <v>0</v>
      </c>
      <c r="K351" s="1873">
        <f>'Mbook 1st'!K428</f>
        <v>7373.25</v>
      </c>
      <c r="L351" s="1873"/>
      <c r="M351" s="1873">
        <f>ROUND(K351*J351/10,0)</f>
        <v>0</v>
      </c>
      <c r="N351" s="1873">
        <f>SUM(L351:M351)</f>
        <v>0</v>
      </c>
      <c r="O351" s="1866">
        <f>(11*7+0.12*40)/10</f>
        <v>8.18</v>
      </c>
      <c r="P351" s="1878">
        <f>ROUND(O351*J351,2)</f>
        <v>0</v>
      </c>
      <c r="Q351" s="1867"/>
    </row>
    <row r="352" spans="1:17" hidden="1">
      <c r="A352" s="1855"/>
      <c r="B352" s="1872"/>
      <c r="C352" s="1877"/>
      <c r="D352" s="1853"/>
      <c r="E352" s="1853"/>
      <c r="F352" s="1853"/>
      <c r="G352" s="1851"/>
      <c r="H352" s="1851"/>
      <c r="I352" s="1851"/>
      <c r="J352" s="1851" t="s">
        <v>1478</v>
      </c>
      <c r="K352" s="1873" t="s">
        <v>672</v>
      </c>
      <c r="L352" s="1873"/>
      <c r="M352" s="1873"/>
      <c r="N352" s="1873"/>
      <c r="O352" s="1866"/>
      <c r="P352" s="1867"/>
      <c r="Q352" s="1867"/>
    </row>
    <row r="353" spans="1:17" hidden="1">
      <c r="A353" s="1855"/>
      <c r="B353" s="1872"/>
      <c r="C353" s="1877"/>
      <c r="D353" s="1853"/>
      <c r="E353" s="1853"/>
      <c r="F353" s="1853"/>
      <c r="G353" s="1851"/>
      <c r="H353" s="1851"/>
      <c r="I353" s="1851"/>
      <c r="J353" s="1884"/>
      <c r="K353" s="1873"/>
      <c r="L353" s="1873"/>
      <c r="M353" s="1873"/>
      <c r="N353" s="1873"/>
      <c r="O353" s="1866"/>
      <c r="P353" s="1867"/>
      <c r="Q353" s="1867"/>
    </row>
    <row r="354" spans="1:17" ht="85.5" hidden="1" customHeight="1">
      <c r="A354" s="1855">
        <f>A315+1</f>
        <v>19</v>
      </c>
      <c r="B354" s="1856"/>
      <c r="C354" s="2522" t="s">
        <v>3367</v>
      </c>
      <c r="D354" s="2522"/>
      <c r="E354" s="2522"/>
      <c r="F354" s="2522"/>
      <c r="G354" s="2522"/>
      <c r="H354" s="2522"/>
      <c r="I354" s="2522"/>
      <c r="J354" s="2522"/>
      <c r="K354" s="1851"/>
      <c r="L354" s="1851"/>
      <c r="M354" s="1851"/>
      <c r="N354" s="1851"/>
      <c r="O354" s="1866"/>
      <c r="P354" s="1867"/>
      <c r="Q354" s="1867"/>
    </row>
    <row r="355" spans="1:17" ht="17.2" hidden="1" customHeight="1">
      <c r="A355" s="1855"/>
      <c r="B355" s="1856"/>
      <c r="C355" s="1845" t="s">
        <v>3468</v>
      </c>
      <c r="D355" s="1853"/>
      <c r="E355" s="1853"/>
      <c r="F355" s="1853"/>
      <c r="G355" s="1851"/>
      <c r="H355" s="1851"/>
      <c r="I355" s="1851"/>
      <c r="J355" s="1851"/>
      <c r="K355" s="1851"/>
      <c r="L355" s="1851"/>
      <c r="M355" s="1851"/>
      <c r="N355" s="1851"/>
      <c r="O355" s="1866"/>
      <c r="P355" s="1867"/>
      <c r="Q355" s="1867"/>
    </row>
    <row r="356" spans="1:17" ht="17.2" hidden="1" customHeight="1">
      <c r="A356" s="1855"/>
      <c r="B356" s="1856"/>
      <c r="C356" s="1917" t="s">
        <v>3469</v>
      </c>
      <c r="D356" s="1853">
        <v>1</v>
      </c>
      <c r="E356" s="1853" t="s">
        <v>1472</v>
      </c>
      <c r="F356" s="1853">
        <v>2</v>
      </c>
      <c r="G356" s="1851">
        <v>3.2</v>
      </c>
      <c r="H356" s="1851">
        <v>0.45</v>
      </c>
      <c r="I356" s="1851">
        <v>0.45</v>
      </c>
      <c r="J356" s="1851">
        <f>ROUND(D356*F356*G356*H356*I356,2)</f>
        <v>1.3</v>
      </c>
      <c r="K356" s="1851"/>
      <c r="L356" s="1851"/>
      <c r="M356" s="1851"/>
      <c r="N356" s="1851"/>
      <c r="O356" s="1866"/>
      <c r="P356" s="1867"/>
      <c r="Q356" s="1867"/>
    </row>
    <row r="357" spans="1:17" ht="17.2" hidden="1" customHeight="1">
      <c r="A357" s="1855"/>
      <c r="B357" s="1856"/>
      <c r="C357" s="1899" t="s">
        <v>3470</v>
      </c>
      <c r="D357" s="1853">
        <v>1</v>
      </c>
      <c r="E357" s="1853" t="s">
        <v>1472</v>
      </c>
      <c r="F357" s="1853">
        <v>2</v>
      </c>
      <c r="G357" s="1851">
        <v>1.6</v>
      </c>
      <c r="H357" s="1851">
        <v>0.45</v>
      </c>
      <c r="I357" s="1851">
        <v>0.45</v>
      </c>
      <c r="J357" s="1851">
        <f>ROUND(D357*F357*G357*H357*I357,2)</f>
        <v>0.65</v>
      </c>
      <c r="K357" s="1851"/>
      <c r="L357" s="1851"/>
      <c r="M357" s="1851"/>
      <c r="N357" s="1851"/>
      <c r="O357" s="1866"/>
      <c r="P357" s="1867"/>
      <c r="Q357" s="1867"/>
    </row>
    <row r="358" spans="1:17" ht="17.2" hidden="1" customHeight="1">
      <c r="A358" s="1855"/>
      <c r="B358" s="1856"/>
      <c r="C358" s="1917" t="s">
        <v>509</v>
      </c>
      <c r="D358" s="1853">
        <v>1</v>
      </c>
      <c r="E358" s="1853" t="s">
        <v>1472</v>
      </c>
      <c r="F358" s="1853">
        <v>2</v>
      </c>
      <c r="G358" s="1851">
        <v>0.9</v>
      </c>
      <c r="H358" s="1851">
        <v>0.45</v>
      </c>
      <c r="I358" s="1851">
        <v>0.15</v>
      </c>
      <c r="J358" s="1851">
        <f>ROUND(D358*F358*G358*H358*I358,2)</f>
        <v>0.12</v>
      </c>
      <c r="K358" s="1851"/>
      <c r="L358" s="1851"/>
      <c r="M358" s="1851"/>
      <c r="N358" s="1851"/>
      <c r="O358" s="1866"/>
      <c r="P358" s="1867"/>
      <c r="Q358" s="1867"/>
    </row>
    <row r="359" spans="1:17" ht="17.2" hidden="1" customHeight="1">
      <c r="A359" s="1855"/>
      <c r="B359" s="1856"/>
      <c r="C359" s="1917" t="s">
        <v>3471</v>
      </c>
      <c r="D359" s="1853">
        <v>2</v>
      </c>
      <c r="E359" s="1853" t="s">
        <v>1472</v>
      </c>
      <c r="F359" s="1853" t="s">
        <v>3472</v>
      </c>
      <c r="G359" s="1851">
        <v>1.2</v>
      </c>
      <c r="H359" s="1851">
        <v>1.2</v>
      </c>
      <c r="I359" s="1851">
        <v>1.5</v>
      </c>
      <c r="J359" s="1851">
        <f>ROUND(I359*H359*G359*D359*PI()/4,2)</f>
        <v>3.39</v>
      </c>
      <c r="K359" s="1851"/>
      <c r="L359" s="1851"/>
      <c r="M359" s="1851"/>
      <c r="N359" s="1851"/>
      <c r="O359" s="1866"/>
      <c r="P359" s="1867"/>
      <c r="Q359" s="1867"/>
    </row>
    <row r="360" spans="1:17" ht="17.2" hidden="1" customHeight="1">
      <c r="A360" s="1855"/>
      <c r="B360" s="1856"/>
      <c r="C360" s="1917"/>
      <c r="D360" s="1853"/>
      <c r="E360" s="1853"/>
      <c r="F360" s="1853"/>
      <c r="G360" s="1851"/>
      <c r="H360" s="1851"/>
      <c r="I360" s="1851"/>
      <c r="J360" s="1871">
        <f>SUM(J356:J359)</f>
        <v>5.4600000000000009</v>
      </c>
      <c r="K360" s="1851"/>
      <c r="L360" s="1851"/>
      <c r="M360" s="1851"/>
      <c r="N360" s="1851"/>
      <c r="O360" s="1866"/>
      <c r="P360" s="1867"/>
      <c r="Q360" s="1867"/>
    </row>
    <row r="361" spans="1:17" ht="21.75" hidden="1" customHeight="1">
      <c r="A361" s="1855"/>
      <c r="B361" s="1872"/>
      <c r="C361" s="2523" t="s">
        <v>644</v>
      </c>
      <c r="D361" s="2523"/>
      <c r="E361" s="2523"/>
      <c r="F361" s="2523"/>
      <c r="G361" s="2523"/>
      <c r="H361" s="2523"/>
      <c r="I361" s="2523"/>
      <c r="J361" s="1871">
        <v>0</v>
      </c>
      <c r="K361" s="1873">
        <f>K17</f>
        <v>385.38499999999999</v>
      </c>
      <c r="L361" s="1873">
        <f>ROUND(K361*J361,0)</f>
        <v>0</v>
      </c>
      <c r="M361" s="1874"/>
      <c r="N361" s="1873">
        <f>L361</f>
        <v>0</v>
      </c>
      <c r="O361" s="1875">
        <v>0</v>
      </c>
      <c r="P361" s="1876">
        <f>ROUND(O361*J361,0)</f>
        <v>0</v>
      </c>
      <c r="Q361" s="1867"/>
    </row>
    <row r="362" spans="1:17" ht="15" hidden="1" customHeight="1">
      <c r="A362" s="1855"/>
      <c r="B362" s="1872"/>
      <c r="C362" s="1877"/>
      <c r="D362" s="1853"/>
      <c r="E362" s="1853"/>
      <c r="F362" s="1853"/>
      <c r="G362" s="1851"/>
      <c r="H362" s="1851"/>
      <c r="I362" s="1851"/>
      <c r="J362" s="1851" t="s">
        <v>525</v>
      </c>
      <c r="K362" s="1873" t="s">
        <v>658</v>
      </c>
      <c r="L362" s="1873"/>
      <c r="M362" s="1873"/>
      <c r="N362" s="1873"/>
      <c r="O362" s="1866"/>
      <c r="P362" s="1867"/>
      <c r="Q362" s="1867"/>
    </row>
    <row r="363" spans="1:17" hidden="1">
      <c r="A363" s="1855"/>
      <c r="B363" s="1872"/>
      <c r="C363" s="1877"/>
      <c r="D363" s="1853"/>
      <c r="E363" s="1853"/>
      <c r="F363" s="1853"/>
      <c r="G363" s="1851"/>
      <c r="H363" s="1851"/>
      <c r="I363" s="1851"/>
      <c r="J363" s="1884"/>
      <c r="K363" s="1873"/>
      <c r="L363" s="1873"/>
      <c r="M363" s="1873"/>
      <c r="N363" s="1873"/>
      <c r="O363" s="1866"/>
      <c r="P363" s="1867"/>
      <c r="Q363" s="1867"/>
    </row>
    <row r="364" spans="1:17" ht="29.4" customHeight="1">
      <c r="A364" s="1855"/>
      <c r="B364" s="1900"/>
      <c r="C364" s="1877"/>
      <c r="D364" s="1877"/>
      <c r="E364" s="1877"/>
      <c r="F364" s="1918"/>
      <c r="G364" s="1877"/>
      <c r="H364" s="1877"/>
      <c r="I364" s="1877"/>
      <c r="J364" s="1919"/>
      <c r="K364" s="1920"/>
      <c r="L364" s="1921">
        <f>SUM(L17:L363)</f>
        <v>15512</v>
      </c>
      <c r="M364" s="1921">
        <f>SUM(M17:M363)</f>
        <v>666148</v>
      </c>
      <c r="N364" s="1921">
        <f>SUM(N17:N363)</f>
        <v>681660</v>
      </c>
      <c r="O364" s="1875"/>
      <c r="P364" s="1922">
        <f>ROUND(SUM(P17:P314),0)</f>
        <v>6528</v>
      </c>
      <c r="Q364" s="1922">
        <f>SUM(Q17:Q314)</f>
        <v>0</v>
      </c>
    </row>
    <row r="365" spans="1:17" ht="24" customHeight="1">
      <c r="A365" s="1855">
        <v>19</v>
      </c>
      <c r="B365" s="1872"/>
      <c r="C365" s="2533" t="s">
        <v>3473</v>
      </c>
      <c r="D365" s="2533"/>
      <c r="E365" s="2533"/>
      <c r="F365" s="2533"/>
      <c r="G365" s="2533"/>
      <c r="H365" s="2533"/>
      <c r="I365" s="2533"/>
      <c r="J365" s="1852"/>
      <c r="K365" s="1873"/>
      <c r="L365" s="1923"/>
      <c r="M365" s="1923"/>
      <c r="N365" s="1924">
        <f>ROUND(N364*0.5%,0)</f>
        <v>3408</v>
      </c>
      <c r="O365" s="1925"/>
      <c r="P365" s="1926"/>
      <c r="Q365" s="1926"/>
    </row>
    <row r="366" spans="1:17" ht="24" customHeight="1">
      <c r="A366" s="1855">
        <v>20</v>
      </c>
      <c r="B366" s="1872"/>
      <c r="C366" s="2534" t="s">
        <v>3534</v>
      </c>
      <c r="D366" s="2535"/>
      <c r="E366" s="2535"/>
      <c r="F366" s="2535"/>
      <c r="G366" s="2535"/>
      <c r="H366" s="2535"/>
      <c r="I366" s="2536"/>
      <c r="J366" s="1852"/>
      <c r="K366" s="1873"/>
      <c r="L366" s="1923"/>
      <c r="M366" s="1923"/>
      <c r="N366" s="1924">
        <v>4000</v>
      </c>
      <c r="O366" s="1925"/>
      <c r="P366" s="1926"/>
      <c r="Q366" s="1926"/>
    </row>
    <row r="367" spans="1:17" ht="21" customHeight="1">
      <c r="A367" s="1849">
        <v>21</v>
      </c>
      <c r="B367" s="1872"/>
      <c r="C367" s="2533" t="s">
        <v>3474</v>
      </c>
      <c r="D367" s="2533"/>
      <c r="E367" s="2533"/>
      <c r="F367" s="2533"/>
      <c r="G367" s="2533"/>
      <c r="H367" s="2533"/>
      <c r="I367" s="2533"/>
      <c r="J367" s="1928"/>
      <c r="K367" s="1929"/>
      <c r="L367" s="1930"/>
      <c r="M367" s="1930"/>
      <c r="N367" s="1931">
        <v>7840</v>
      </c>
      <c r="O367" s="1925"/>
      <c r="P367" s="1926"/>
      <c r="Q367" s="1926"/>
    </row>
    <row r="368" spans="1:17" ht="28.9" customHeight="1">
      <c r="A368" s="1855"/>
      <c r="B368" s="1856"/>
      <c r="C368" s="1859"/>
      <c r="D368" s="1904"/>
      <c r="E368" s="1904"/>
      <c r="F368" s="1904"/>
      <c r="G368" s="1871"/>
      <c r="H368" s="1871"/>
      <c r="I368" s="1871"/>
      <c r="J368" s="1932"/>
      <c r="K368" s="1894"/>
      <c r="L368" s="1894"/>
      <c r="M368" s="1933" t="s">
        <v>3475</v>
      </c>
      <c r="N368" s="1934">
        <f>SUM(N364:N367)</f>
        <v>696908</v>
      </c>
      <c r="O368" s="1935"/>
      <c r="P368" s="1927">
        <f>N368-800000</f>
        <v>-103092</v>
      </c>
      <c r="Q368" s="1926"/>
    </row>
    <row r="369" spans="1:18" ht="31.5" hidden="1" customHeight="1">
      <c r="A369" s="1855"/>
      <c r="B369" s="1856"/>
      <c r="C369" s="2521" t="s">
        <v>3476</v>
      </c>
      <c r="D369" s="2521"/>
      <c r="E369" s="2521"/>
      <c r="F369" s="2521"/>
      <c r="G369" s="2521"/>
      <c r="H369" s="2521"/>
      <c r="I369" s="2521"/>
      <c r="J369" s="2521"/>
      <c r="K369" s="1851"/>
      <c r="L369" s="1851"/>
      <c r="M369" s="1851"/>
      <c r="N369" s="1851"/>
      <c r="O369" s="1858"/>
      <c r="P369" s="1858"/>
      <c r="Q369" s="1858"/>
    </row>
    <row r="370" spans="1:18" ht="117.75" hidden="1" customHeight="1">
      <c r="A370" s="1855">
        <v>24</v>
      </c>
      <c r="B370" s="1856"/>
      <c r="C370" s="2527" t="s">
        <v>3477</v>
      </c>
      <c r="D370" s="2528"/>
      <c r="E370" s="2528"/>
      <c r="F370" s="2528"/>
      <c r="G370" s="2528"/>
      <c r="H370" s="2528"/>
      <c r="I370" s="2528"/>
      <c r="J370" s="2528"/>
      <c r="K370" s="1851"/>
      <c r="L370" s="1851"/>
      <c r="M370" s="1851"/>
      <c r="N370" s="1851"/>
      <c r="O370" s="1866"/>
      <c r="P370" s="1867"/>
      <c r="Q370" s="1867"/>
    </row>
    <row r="371" spans="1:18" hidden="1">
      <c r="A371" s="1855"/>
      <c r="B371" s="1856"/>
      <c r="C371" s="1859" t="s">
        <v>3478</v>
      </c>
      <c r="D371" s="1880"/>
      <c r="E371" s="1880"/>
      <c r="F371" s="1880"/>
      <c r="G371" s="1874"/>
      <c r="H371" s="1874"/>
      <c r="I371" s="1874"/>
      <c r="J371" s="1874"/>
      <c r="K371" s="1851"/>
      <c r="L371" s="1851"/>
      <c r="M371" s="1851"/>
      <c r="N371" s="1851"/>
      <c r="O371" s="1866"/>
      <c r="P371" s="1867"/>
      <c r="Q371" s="1867"/>
    </row>
    <row r="372" spans="1:18" ht="18" hidden="1" customHeight="1">
      <c r="A372" s="1855"/>
      <c r="B372" s="1856"/>
      <c r="C372" s="1877" t="s">
        <v>1438</v>
      </c>
      <c r="D372" s="1853">
        <v>1</v>
      </c>
      <c r="E372" s="1853" t="s">
        <v>1472</v>
      </c>
      <c r="F372" s="1853">
        <v>1</v>
      </c>
      <c r="G372" s="1851">
        <f>ROUND(28.25*0.3048,2)</f>
        <v>8.61</v>
      </c>
      <c r="H372" s="1880"/>
      <c r="I372" s="1851">
        <v>3.05</v>
      </c>
      <c r="J372" s="1851">
        <f>ROUND(D372*F372*G372*I372,2)</f>
        <v>26.26</v>
      </c>
      <c r="K372" s="1851"/>
      <c r="L372" s="1851"/>
      <c r="M372" s="1851"/>
      <c r="N372" s="1851"/>
      <c r="O372" s="1866"/>
      <c r="P372" s="1867"/>
      <c r="Q372" s="1867"/>
    </row>
    <row r="373" spans="1:18" ht="18" hidden="1" customHeight="1">
      <c r="A373" s="1855"/>
      <c r="B373" s="1856"/>
      <c r="C373" s="1877" t="s">
        <v>3479</v>
      </c>
      <c r="D373" s="1853">
        <v>1</v>
      </c>
      <c r="E373" s="1853" t="s">
        <v>1472</v>
      </c>
      <c r="F373" s="1853">
        <v>1</v>
      </c>
      <c r="G373" s="1851">
        <f>ROUND(15.5*0.3048,2)</f>
        <v>4.72</v>
      </c>
      <c r="H373" s="1880"/>
      <c r="I373" s="1851">
        <v>3.05</v>
      </c>
      <c r="J373" s="1851">
        <f>ROUND(D373*F373*G373*I373,2)</f>
        <v>14.4</v>
      </c>
      <c r="K373" s="1851"/>
      <c r="L373" s="1851"/>
      <c r="M373" s="1851"/>
      <c r="N373" s="1851"/>
      <c r="O373" s="1866"/>
      <c r="P373" s="1867"/>
      <c r="Q373" s="1867"/>
    </row>
    <row r="374" spans="1:18" ht="18" hidden="1" customHeight="1">
      <c r="A374" s="1855"/>
      <c r="B374" s="1856"/>
      <c r="C374" s="1877" t="s">
        <v>3480</v>
      </c>
      <c r="D374" s="1853">
        <v>1</v>
      </c>
      <c r="E374" s="1853" t="s">
        <v>1472</v>
      </c>
      <c r="F374" s="1853">
        <v>1</v>
      </c>
      <c r="G374" s="1851">
        <f>ROUND(21.38*0.3048,2)</f>
        <v>6.52</v>
      </c>
      <c r="H374" s="1880"/>
      <c r="I374" s="1851">
        <v>3.05</v>
      </c>
      <c r="J374" s="1851">
        <f>ROUND(D374*F374*G374*I374,2)</f>
        <v>19.89</v>
      </c>
      <c r="K374" s="1851"/>
      <c r="L374" s="1851"/>
      <c r="M374" s="1851"/>
      <c r="N374" s="1851"/>
      <c r="O374" s="1866"/>
      <c r="P374" s="1867"/>
      <c r="Q374" s="1867"/>
    </row>
    <row r="375" spans="1:18" ht="18" hidden="1" customHeight="1">
      <c r="A375" s="1855"/>
      <c r="B375" s="1856"/>
      <c r="C375" s="1877" t="s">
        <v>3481</v>
      </c>
      <c r="D375" s="1853">
        <v>1</v>
      </c>
      <c r="E375" s="1853" t="s">
        <v>1472</v>
      </c>
      <c r="F375" s="1853">
        <v>1</v>
      </c>
      <c r="G375" s="1851">
        <f>ROUND((21.38-5)*0.3048,2)</f>
        <v>4.99</v>
      </c>
      <c r="H375" s="1880"/>
      <c r="I375" s="1851">
        <v>3.05</v>
      </c>
      <c r="J375" s="1851">
        <f>ROUND(D375*F375*G375*I375,2)</f>
        <v>15.22</v>
      </c>
      <c r="K375" s="1851"/>
      <c r="L375" s="1851"/>
      <c r="M375" s="1851"/>
      <c r="N375" s="1851"/>
      <c r="O375" s="1866"/>
      <c r="P375" s="1867"/>
      <c r="Q375" s="1867"/>
    </row>
    <row r="376" spans="1:18" ht="18" hidden="1" customHeight="1">
      <c r="A376" s="1855"/>
      <c r="B376" s="1856"/>
      <c r="C376" s="1877" t="s">
        <v>3371</v>
      </c>
      <c r="D376" s="1853">
        <v>1</v>
      </c>
      <c r="E376" s="1853" t="s">
        <v>1472</v>
      </c>
      <c r="F376" s="1853">
        <v>1</v>
      </c>
      <c r="G376" s="1851">
        <v>2.4</v>
      </c>
      <c r="H376" s="1851">
        <v>1.2</v>
      </c>
      <c r="I376" s="1880"/>
      <c r="J376" s="1851">
        <f>ROUND(D376*F376*G376*H376,2)</f>
        <v>2.88</v>
      </c>
      <c r="K376" s="1851"/>
      <c r="L376" s="1851"/>
      <c r="M376" s="1851"/>
      <c r="N376" s="1851"/>
      <c r="O376" s="1866"/>
      <c r="P376" s="1867"/>
      <c r="Q376" s="1867"/>
    </row>
    <row r="377" spans="1:18" ht="18" hidden="1" customHeight="1">
      <c r="A377" s="1855"/>
      <c r="B377" s="1856"/>
      <c r="C377" s="1877" t="s">
        <v>3422</v>
      </c>
      <c r="D377" s="1853">
        <v>2</v>
      </c>
      <c r="E377" s="1853" t="s">
        <v>1472</v>
      </c>
      <c r="F377" s="1853">
        <v>2</v>
      </c>
      <c r="G377" s="1851">
        <v>1.2</v>
      </c>
      <c r="H377" s="1880"/>
      <c r="I377" s="1851">
        <v>0.1</v>
      </c>
      <c r="J377" s="1851">
        <f>ROUND(D377*F377*G377*I377,2)</f>
        <v>0.48</v>
      </c>
      <c r="K377" s="1851"/>
      <c r="L377" s="1851"/>
      <c r="M377" s="1851"/>
      <c r="N377" s="1851"/>
      <c r="O377" s="1866"/>
      <c r="P377" s="1867"/>
      <c r="Q377" s="1867"/>
    </row>
    <row r="378" spans="1:18" ht="18" hidden="1" customHeight="1">
      <c r="A378" s="1855"/>
      <c r="B378" s="1856"/>
      <c r="C378" s="1877" t="s">
        <v>3422</v>
      </c>
      <c r="D378" s="1853">
        <v>1</v>
      </c>
      <c r="E378" s="1853" t="s">
        <v>1472</v>
      </c>
      <c r="F378" s="1853">
        <v>2</v>
      </c>
      <c r="G378" s="1851">
        <v>2.4</v>
      </c>
      <c r="H378" s="1880"/>
      <c r="I378" s="1851">
        <v>0.1</v>
      </c>
      <c r="J378" s="1851">
        <f>ROUND(D378*F378*G378*I378,2)</f>
        <v>0.48</v>
      </c>
      <c r="K378" s="1851"/>
      <c r="L378" s="1851"/>
      <c r="M378" s="1851"/>
      <c r="N378" s="1851"/>
      <c r="O378" s="1866"/>
      <c r="P378" s="1867"/>
      <c r="Q378" s="1867"/>
    </row>
    <row r="379" spans="1:18" ht="18" hidden="1" customHeight="1">
      <c r="A379" s="1855"/>
      <c r="B379" s="1856"/>
      <c r="C379" s="1895" t="s">
        <v>421</v>
      </c>
      <c r="D379" s="1853"/>
      <c r="E379" s="1853"/>
      <c r="F379" s="1853"/>
      <c r="G379" s="1851"/>
      <c r="H379" s="1851"/>
      <c r="I379" s="1851"/>
      <c r="J379" s="1851"/>
      <c r="K379" s="1851"/>
      <c r="L379" s="1851"/>
      <c r="M379" s="1851"/>
      <c r="N379" s="1851"/>
      <c r="O379" s="1866"/>
      <c r="P379" s="1867"/>
      <c r="Q379" s="1867"/>
    </row>
    <row r="380" spans="1:18" ht="18" hidden="1" customHeight="1">
      <c r="A380" s="1855"/>
      <c r="B380" s="1856"/>
      <c r="C380" s="1887" t="s">
        <v>3393</v>
      </c>
      <c r="D380" s="1853">
        <v>2</v>
      </c>
      <c r="E380" s="1853" t="s">
        <v>1472</v>
      </c>
      <c r="F380" s="1853">
        <v>1</v>
      </c>
      <c r="G380" s="1851">
        <v>1.5</v>
      </c>
      <c r="H380" s="1874"/>
      <c r="I380" s="1851">
        <v>0.15</v>
      </c>
      <c r="J380" s="1851">
        <f>ROUND(D380*F380*G380*I380,2)</f>
        <v>0.45</v>
      </c>
      <c r="K380" s="1851"/>
      <c r="L380" s="1851"/>
      <c r="M380" s="1851"/>
      <c r="N380" s="1851"/>
      <c r="O380" s="1866"/>
      <c r="P380" s="1867"/>
      <c r="Q380" s="1867"/>
    </row>
    <row r="381" spans="1:18" ht="18" hidden="1" customHeight="1">
      <c r="A381" s="1855"/>
      <c r="B381" s="1856"/>
      <c r="C381" s="1887" t="s">
        <v>3482</v>
      </c>
      <c r="D381" s="1853">
        <v>2</v>
      </c>
      <c r="E381" s="1853" t="s">
        <v>1472</v>
      </c>
      <c r="F381" s="1853">
        <v>1</v>
      </c>
      <c r="G381" s="1851">
        <v>1.2</v>
      </c>
      <c r="H381" s="1874"/>
      <c r="I381" s="1851">
        <v>0.15</v>
      </c>
      <c r="J381" s="1851">
        <f>ROUND(D381*F381*G381*I381,2)</f>
        <v>0.36</v>
      </c>
      <c r="K381" s="1851"/>
      <c r="L381" s="1851"/>
      <c r="M381" s="1851"/>
      <c r="N381" s="1851"/>
      <c r="O381" s="1866"/>
      <c r="P381" s="1867"/>
      <c r="Q381" s="1867"/>
    </row>
    <row r="382" spans="1:18" ht="18" hidden="1" customHeight="1">
      <c r="A382" s="1855"/>
      <c r="B382" s="1856"/>
      <c r="C382" s="1887" t="s">
        <v>3395</v>
      </c>
      <c r="D382" s="1853">
        <v>2</v>
      </c>
      <c r="E382" s="1853" t="s">
        <v>1472</v>
      </c>
      <c r="F382" s="1853">
        <v>1</v>
      </c>
      <c r="G382" s="1851">
        <v>0.9</v>
      </c>
      <c r="H382" s="1874"/>
      <c r="I382" s="1851">
        <v>0.15</v>
      </c>
      <c r="J382" s="1851">
        <f>ROUND(D382*F382*G382*I382,2)</f>
        <v>0.27</v>
      </c>
      <c r="K382" s="1851"/>
      <c r="L382" s="1851"/>
      <c r="M382" s="1851"/>
      <c r="N382" s="1851"/>
      <c r="O382" s="1866"/>
      <c r="P382" s="1867"/>
      <c r="Q382" s="1867"/>
    </row>
    <row r="383" spans="1:18" ht="18" hidden="1" customHeight="1">
      <c r="A383" s="1855"/>
      <c r="B383" s="1856"/>
      <c r="C383" s="1887" t="s">
        <v>3396</v>
      </c>
      <c r="D383" s="1853">
        <v>2</v>
      </c>
      <c r="E383" s="1853" t="s">
        <v>1472</v>
      </c>
      <c r="F383" s="1853">
        <v>1</v>
      </c>
      <c r="G383" s="1851">
        <v>0.6</v>
      </c>
      <c r="H383" s="1874"/>
      <c r="I383" s="1851">
        <v>0.15</v>
      </c>
      <c r="J383" s="1851">
        <f>ROUND(D383*F383*G383*I383,2)</f>
        <v>0.18</v>
      </c>
      <c r="K383" s="1851"/>
      <c r="L383" s="1851"/>
      <c r="M383" s="1851"/>
      <c r="N383" s="1851"/>
      <c r="O383" s="1866"/>
      <c r="P383" s="1867"/>
      <c r="Q383" s="1867"/>
    </row>
    <row r="384" spans="1:18" ht="18" hidden="1" customHeight="1">
      <c r="A384" s="1855"/>
      <c r="B384" s="1856"/>
      <c r="C384" s="1887" t="s">
        <v>3397</v>
      </c>
      <c r="D384" s="1853">
        <v>2</v>
      </c>
      <c r="E384" s="1853" t="s">
        <v>1472</v>
      </c>
      <c r="F384" s="1853">
        <v>1</v>
      </c>
      <c r="G384" s="1851">
        <v>0.3</v>
      </c>
      <c r="H384" s="1874"/>
      <c r="I384" s="1851">
        <v>0.15</v>
      </c>
      <c r="J384" s="1851">
        <f>ROUND(D384*F384*G384*I384,2)</f>
        <v>0.09</v>
      </c>
      <c r="K384" s="1851"/>
      <c r="L384" s="1851"/>
      <c r="M384" s="1851"/>
      <c r="N384" s="1851"/>
      <c r="O384" s="1866"/>
      <c r="P384" s="1867"/>
      <c r="Q384" s="1867"/>
      <c r="R384" s="1867"/>
    </row>
    <row r="385" spans="1:18" ht="18" hidden="1" customHeight="1">
      <c r="A385" s="1855"/>
      <c r="B385" s="1856"/>
      <c r="C385" s="1887" t="s">
        <v>3483</v>
      </c>
      <c r="D385" s="1853">
        <v>1</v>
      </c>
      <c r="E385" s="1853" t="s">
        <v>1472</v>
      </c>
      <c r="F385" s="1853">
        <v>5</v>
      </c>
      <c r="G385" s="1851">
        <v>3.6</v>
      </c>
      <c r="H385" s="1851">
        <v>0.3</v>
      </c>
      <c r="I385" s="1851"/>
      <c r="J385" s="1851">
        <f>ROUND(D385*F385*G385*H385,2)</f>
        <v>5.4</v>
      </c>
      <c r="K385" s="1851"/>
      <c r="L385" s="1851"/>
      <c r="M385" s="1851"/>
      <c r="N385" s="1851"/>
      <c r="O385" s="1866"/>
      <c r="P385" s="1867"/>
      <c r="Q385" s="1867"/>
      <c r="R385" s="1867"/>
    </row>
    <row r="386" spans="1:18" ht="18" hidden="1" customHeight="1">
      <c r="A386" s="1855"/>
      <c r="B386" s="1856"/>
      <c r="C386" s="1887" t="s">
        <v>3484</v>
      </c>
      <c r="D386" s="1853">
        <v>1</v>
      </c>
      <c r="E386" s="1853" t="s">
        <v>1472</v>
      </c>
      <c r="F386" s="1853">
        <v>5</v>
      </c>
      <c r="G386" s="1851">
        <v>3.6</v>
      </c>
      <c r="H386" s="1880"/>
      <c r="I386" s="1851">
        <v>0.15</v>
      </c>
      <c r="J386" s="1851">
        <f>ROUND(D386*F386*G386*I386,2)</f>
        <v>2.7</v>
      </c>
      <c r="K386" s="1851"/>
      <c r="L386" s="1851"/>
      <c r="M386" s="1851"/>
      <c r="N386" s="1851"/>
      <c r="O386" s="1866"/>
      <c r="P386" s="1867"/>
      <c r="Q386" s="1867"/>
    </row>
    <row r="387" spans="1:18" ht="18" hidden="1" customHeight="1">
      <c r="A387" s="1855"/>
      <c r="B387" s="1856"/>
      <c r="C387" s="1865" t="s">
        <v>3485</v>
      </c>
      <c r="D387" s="1853">
        <f>D190</f>
        <v>0</v>
      </c>
      <c r="E387" s="1853" t="s">
        <v>1472</v>
      </c>
      <c r="F387" s="1853">
        <v>1</v>
      </c>
      <c r="G387" s="1851">
        <v>3.65</v>
      </c>
      <c r="H387" s="1851">
        <v>0.45</v>
      </c>
      <c r="I387" s="1851"/>
      <c r="J387" s="1851">
        <f>ROUND(D387*F387*G387*H387,2)</f>
        <v>0</v>
      </c>
      <c r="K387" s="1851"/>
      <c r="L387" s="1851"/>
      <c r="M387" s="1851"/>
      <c r="N387" s="1851"/>
      <c r="O387" s="1866"/>
      <c r="P387" s="1867"/>
      <c r="Q387" s="1867"/>
    </row>
    <row r="388" spans="1:18" ht="18" hidden="1" customHeight="1">
      <c r="A388" s="1855"/>
      <c r="B388" s="1856"/>
      <c r="C388" s="1865" t="s">
        <v>3486</v>
      </c>
      <c r="D388" s="1853">
        <f>D387</f>
        <v>0</v>
      </c>
      <c r="E388" s="1853" t="s">
        <v>1472</v>
      </c>
      <c r="F388" s="1853">
        <v>1</v>
      </c>
      <c r="G388" s="1851">
        <v>1.5</v>
      </c>
      <c r="H388" s="1851">
        <v>0.9</v>
      </c>
      <c r="I388" s="1851"/>
      <c r="J388" s="1851">
        <f>ROUND(D388*F388*G388*H388,2)</f>
        <v>0</v>
      </c>
      <c r="K388" s="1851"/>
      <c r="L388" s="1851"/>
      <c r="M388" s="1851"/>
      <c r="N388" s="1851"/>
      <c r="O388" s="1866"/>
      <c r="P388" s="1867"/>
      <c r="Q388" s="1867"/>
    </row>
    <row r="389" spans="1:18" ht="18" hidden="1" customHeight="1">
      <c r="A389" s="1855"/>
      <c r="B389" s="1856"/>
      <c r="C389" s="1865" t="s">
        <v>3487</v>
      </c>
      <c r="D389" s="1853">
        <f>D388</f>
        <v>0</v>
      </c>
      <c r="E389" s="1853" t="s">
        <v>1472</v>
      </c>
      <c r="F389" s="1853">
        <v>1</v>
      </c>
      <c r="G389" s="1851">
        <v>3.65</v>
      </c>
      <c r="H389" s="1885">
        <v>1.5</v>
      </c>
      <c r="I389" s="1880"/>
      <c r="J389" s="1851">
        <f>ROUND(D389*F389*G389*H389,2)</f>
        <v>0</v>
      </c>
      <c r="K389" s="1851"/>
      <c r="L389" s="1851"/>
      <c r="M389" s="1851"/>
      <c r="N389" s="1851"/>
      <c r="O389" s="1866"/>
      <c r="P389" s="1867"/>
      <c r="Q389" s="1867"/>
    </row>
    <row r="390" spans="1:18" ht="21.75" hidden="1" customHeight="1">
      <c r="A390" s="1855"/>
      <c r="B390" s="1856"/>
      <c r="C390" s="1877" t="s">
        <v>467</v>
      </c>
      <c r="D390" s="1853"/>
      <c r="E390" s="1853"/>
      <c r="F390" s="1853"/>
      <c r="G390" s="1851"/>
      <c r="H390" s="1851"/>
      <c r="I390" s="1851"/>
      <c r="J390" s="1871">
        <f>SUM(J372:J389)</f>
        <v>89.060000000000031</v>
      </c>
      <c r="K390" s="1851"/>
      <c r="L390" s="1851"/>
      <c r="M390" s="1851"/>
      <c r="N390" s="1851"/>
      <c r="O390" s="1866"/>
      <c r="P390" s="1867"/>
      <c r="Q390" s="1867"/>
    </row>
    <row r="391" spans="1:18" ht="17.2" hidden="1" customHeight="1">
      <c r="A391" s="1855"/>
      <c r="B391" s="1856"/>
      <c r="C391" s="1877"/>
      <c r="D391" s="1853"/>
      <c r="E391" s="1853"/>
      <c r="F391" s="1853"/>
      <c r="G391" s="1851"/>
      <c r="H391" s="1851"/>
      <c r="I391" s="1851"/>
      <c r="J391" s="1871" t="s">
        <v>1478</v>
      </c>
      <c r="K391" s="1851"/>
      <c r="L391" s="1871"/>
      <c r="M391" s="1871"/>
      <c r="N391" s="1871"/>
      <c r="O391" s="1891"/>
      <c r="P391" s="1890"/>
      <c r="Q391" s="1867"/>
    </row>
    <row r="392" spans="1:18" ht="21.75" hidden="1" customHeight="1">
      <c r="A392" s="1855"/>
      <c r="B392" s="1872"/>
      <c r="C392" s="2524" t="s">
        <v>3389</v>
      </c>
      <c r="D392" s="2524"/>
      <c r="E392" s="2524"/>
      <c r="F392" s="2524"/>
      <c r="G392" s="2524"/>
      <c r="H392" s="2524"/>
      <c r="I392" s="2524"/>
      <c r="J392" s="1851">
        <f>J390</f>
        <v>89.060000000000031</v>
      </c>
      <c r="K392" s="1873">
        <f>[221]Datas!E677</f>
        <v>4152.1900000000005</v>
      </c>
      <c r="L392" s="1873"/>
      <c r="M392" s="1873">
        <f>ROUND(K392*J392/10,0)</f>
        <v>36979</v>
      </c>
      <c r="N392" s="1873">
        <f>SUM(L392:M392)</f>
        <v>36979</v>
      </c>
      <c r="O392" s="1866">
        <f>0.21*40/10</f>
        <v>0.84000000000000008</v>
      </c>
      <c r="P392" s="1878">
        <f>ROUND(O392*J392,2)</f>
        <v>74.81</v>
      </c>
      <c r="Q392" s="1867"/>
    </row>
    <row r="393" spans="1:18" hidden="1">
      <c r="A393" s="1855"/>
      <c r="B393" s="1880"/>
      <c r="C393" s="1880"/>
      <c r="D393" s="1880"/>
      <c r="E393" s="1880"/>
      <c r="F393" s="1883"/>
      <c r="G393" s="1880"/>
      <c r="H393" s="1880"/>
      <c r="I393" s="1880"/>
      <c r="J393" s="1851" t="s">
        <v>1478</v>
      </c>
      <c r="K393" s="1873" t="s">
        <v>468</v>
      </c>
      <c r="L393" s="1873"/>
      <c r="M393" s="1873"/>
      <c r="N393" s="1873"/>
      <c r="O393" s="1866"/>
      <c r="P393" s="1867"/>
      <c r="Q393" s="1867"/>
    </row>
    <row r="394" spans="1:18" hidden="1">
      <c r="A394" s="1855"/>
      <c r="B394" s="1880"/>
      <c r="C394" s="1880"/>
      <c r="D394" s="1880"/>
      <c r="E394" s="1880"/>
      <c r="F394" s="1883"/>
      <c r="G394" s="1880"/>
      <c r="H394" s="1880"/>
      <c r="I394" s="1880"/>
      <c r="J394" s="1884"/>
      <c r="K394" s="1873"/>
      <c r="L394" s="1873"/>
      <c r="M394" s="1873"/>
      <c r="N394" s="1873"/>
      <c r="O394" s="1866"/>
      <c r="P394" s="1867"/>
      <c r="Q394" s="1867"/>
    </row>
    <row r="395" spans="1:18" ht="130.9" hidden="1" customHeight="1">
      <c r="A395" s="1855">
        <v>25</v>
      </c>
      <c r="B395" s="1856"/>
      <c r="C395" s="2527" t="s">
        <v>3449</v>
      </c>
      <c r="D395" s="2528"/>
      <c r="E395" s="2528"/>
      <c r="F395" s="2528"/>
      <c r="G395" s="2528"/>
      <c r="H395" s="2528"/>
      <c r="I395" s="2528"/>
      <c r="J395" s="2528"/>
      <c r="K395" s="1851"/>
      <c r="L395" s="1851"/>
      <c r="M395" s="1851"/>
      <c r="N395" s="1851"/>
      <c r="O395" s="1866"/>
      <c r="P395" s="1867"/>
      <c r="Q395" s="1867"/>
    </row>
    <row r="396" spans="1:18" hidden="1">
      <c r="A396" s="1855"/>
      <c r="B396" s="1856"/>
      <c r="C396" s="1859" t="s">
        <v>3450</v>
      </c>
      <c r="D396" s="1880"/>
      <c r="E396" s="1880"/>
      <c r="F396" s="1880"/>
      <c r="G396" s="1874"/>
      <c r="H396" s="1874"/>
      <c r="I396" s="1874"/>
      <c r="J396" s="1874"/>
      <c r="K396" s="1851"/>
      <c r="L396" s="1851"/>
      <c r="M396" s="1851"/>
      <c r="N396" s="1851"/>
      <c r="O396" s="1866"/>
      <c r="P396" s="1867"/>
      <c r="Q396" s="1867"/>
    </row>
    <row r="397" spans="1:18" ht="18" hidden="1" customHeight="1">
      <c r="A397" s="1855"/>
      <c r="B397" s="1856"/>
      <c r="C397" s="1899" t="s">
        <v>3451</v>
      </c>
      <c r="D397" s="1853">
        <v>1</v>
      </c>
      <c r="E397" s="1853" t="s">
        <v>1472</v>
      </c>
      <c r="F397" s="1853">
        <v>1</v>
      </c>
      <c r="G397" s="1851">
        <f>ROUND((14+19.88)*0.3048*2,2)</f>
        <v>20.65</v>
      </c>
      <c r="H397" s="1851">
        <v>3.05</v>
      </c>
      <c r="I397" s="1851"/>
      <c r="J397" s="1851">
        <f t="shared" ref="J397:J402" si="6">ROUND(D397*F397*G397*H397,2)</f>
        <v>62.98</v>
      </c>
      <c r="K397" s="1851"/>
      <c r="L397" s="1851"/>
      <c r="M397" s="1851"/>
      <c r="N397" s="1851"/>
      <c r="O397" s="1866"/>
      <c r="P397" s="1867"/>
      <c r="Q397" s="1867"/>
    </row>
    <row r="398" spans="1:18" hidden="1">
      <c r="A398" s="1855"/>
      <c r="B398" s="1856"/>
      <c r="C398" s="1899" t="s">
        <v>3452</v>
      </c>
      <c r="D398" s="1853">
        <v>1</v>
      </c>
      <c r="E398" s="1853" t="s">
        <v>1472</v>
      </c>
      <c r="F398" s="1853">
        <v>1</v>
      </c>
      <c r="G398" s="1851">
        <f>ROUND((12+7)*0.3048*2,2)</f>
        <v>11.58</v>
      </c>
      <c r="H398" s="1851">
        <v>3.05</v>
      </c>
      <c r="I398" s="1851"/>
      <c r="J398" s="1851">
        <f t="shared" si="6"/>
        <v>35.32</v>
      </c>
      <c r="K398" s="1851"/>
      <c r="L398" s="1851"/>
      <c r="M398" s="1851"/>
      <c r="N398" s="1851"/>
      <c r="O398" s="1866"/>
      <c r="P398" s="1867"/>
      <c r="Q398" s="1867"/>
    </row>
    <row r="399" spans="1:18" hidden="1">
      <c r="A399" s="1855"/>
      <c r="B399" s="1856"/>
      <c r="C399" s="1899" t="s">
        <v>3453</v>
      </c>
      <c r="D399" s="1853">
        <v>1</v>
      </c>
      <c r="E399" s="1853" t="s">
        <v>1472</v>
      </c>
      <c r="F399" s="1853">
        <v>1</v>
      </c>
      <c r="G399" s="1851">
        <f>ROUND((7.63+7)*0.3048*2,2)</f>
        <v>8.92</v>
      </c>
      <c r="H399" s="1851">
        <v>3.05</v>
      </c>
      <c r="I399" s="1851"/>
      <c r="J399" s="1851">
        <f t="shared" si="6"/>
        <v>27.21</v>
      </c>
      <c r="K399" s="1851"/>
      <c r="L399" s="1851"/>
      <c r="M399" s="1851"/>
      <c r="N399" s="1851"/>
      <c r="O399" s="1866"/>
      <c r="P399" s="1867"/>
      <c r="Q399" s="1867"/>
    </row>
    <row r="400" spans="1:18" hidden="1">
      <c r="A400" s="1855"/>
      <c r="B400" s="1856"/>
      <c r="C400" s="1899" t="s">
        <v>3446</v>
      </c>
      <c r="D400" s="1853">
        <v>1</v>
      </c>
      <c r="E400" s="1853" t="s">
        <v>1472</v>
      </c>
      <c r="F400" s="1853">
        <v>1</v>
      </c>
      <c r="G400" s="1851">
        <f>ROUND((4+7)*0.3048*2,2)</f>
        <v>6.71</v>
      </c>
      <c r="H400" s="1851">
        <v>3.05</v>
      </c>
      <c r="I400" s="1851"/>
      <c r="J400" s="1851">
        <f t="shared" si="6"/>
        <v>20.47</v>
      </c>
      <c r="K400" s="1851"/>
      <c r="L400" s="1851"/>
      <c r="M400" s="1851"/>
      <c r="N400" s="1851"/>
      <c r="O400" s="1866"/>
      <c r="P400" s="1867"/>
      <c r="Q400" s="1867"/>
    </row>
    <row r="401" spans="1:17" hidden="1">
      <c r="A401" s="1855"/>
      <c r="B401" s="1856"/>
      <c r="C401" s="1899" t="s">
        <v>3454</v>
      </c>
      <c r="D401" s="1853">
        <v>1</v>
      </c>
      <c r="E401" s="1853" t="s">
        <v>1472</v>
      </c>
      <c r="F401" s="1853">
        <v>1</v>
      </c>
      <c r="G401" s="1851">
        <f>ROUND((12+5)*0.3048,2)</f>
        <v>5.18</v>
      </c>
      <c r="H401" s="1851">
        <v>3.05</v>
      </c>
      <c r="I401" s="1851"/>
      <c r="J401" s="1851">
        <f t="shared" si="6"/>
        <v>15.8</v>
      </c>
      <c r="K401" s="1851"/>
      <c r="L401" s="1851"/>
      <c r="M401" s="1851"/>
      <c r="N401" s="1851"/>
      <c r="O401" s="1866"/>
      <c r="P401" s="1867"/>
      <c r="Q401" s="1867"/>
    </row>
    <row r="402" spans="1:17" ht="28.2" hidden="1">
      <c r="A402" s="1855"/>
      <c r="B402" s="1856"/>
      <c r="C402" s="1899" t="s">
        <v>3432</v>
      </c>
      <c r="D402" s="1853">
        <v>2</v>
      </c>
      <c r="E402" s="1853" t="s">
        <v>1472</v>
      </c>
      <c r="F402" s="1853">
        <v>2</v>
      </c>
      <c r="G402" s="1851">
        <v>0.6</v>
      </c>
      <c r="H402" s="1851">
        <v>0.75</v>
      </c>
      <c r="I402" s="1851"/>
      <c r="J402" s="1851">
        <f t="shared" si="6"/>
        <v>1.8</v>
      </c>
      <c r="K402" s="1851"/>
      <c r="L402" s="1851"/>
      <c r="M402" s="1851"/>
      <c r="N402" s="1851"/>
      <c r="O402" s="1866"/>
      <c r="P402" s="1867"/>
      <c r="Q402" s="1867"/>
    </row>
    <row r="403" spans="1:17" ht="24" hidden="1" customHeight="1">
      <c r="A403" s="1855"/>
      <c r="B403" s="1856"/>
      <c r="C403" s="1905"/>
      <c r="D403" s="1853"/>
      <c r="E403" s="1853"/>
      <c r="F403" s="1853"/>
      <c r="G403" s="1851"/>
      <c r="H403" s="1851"/>
      <c r="I403" s="1851"/>
      <c r="J403" s="1851">
        <f>SUM(J397:J402)</f>
        <v>163.58000000000001</v>
      </c>
      <c r="K403" s="1851"/>
      <c r="L403" s="1851"/>
      <c r="M403" s="1851"/>
      <c r="N403" s="1851"/>
      <c r="O403" s="1866"/>
      <c r="P403" s="1867"/>
      <c r="Q403" s="1867"/>
    </row>
    <row r="404" spans="1:17" ht="21.75" hidden="1" customHeight="1">
      <c r="A404" s="1855"/>
      <c r="B404" s="1856"/>
      <c r="C404" s="1859" t="s">
        <v>675</v>
      </c>
      <c r="D404" s="1853"/>
      <c r="E404" s="1853"/>
      <c r="F404" s="1853"/>
      <c r="G404" s="1851"/>
      <c r="H404" s="1851"/>
      <c r="I404" s="1851"/>
      <c r="J404" s="1851"/>
      <c r="K404" s="1851"/>
      <c r="L404" s="1851"/>
      <c r="M404" s="1851"/>
      <c r="N404" s="1851"/>
      <c r="O404" s="1866"/>
      <c r="P404" s="1867"/>
      <c r="Q404" s="1867"/>
    </row>
    <row r="405" spans="1:17" hidden="1">
      <c r="A405" s="1855"/>
      <c r="B405" s="1856"/>
      <c r="C405" s="1899" t="s">
        <v>116</v>
      </c>
      <c r="D405" s="1853">
        <v>1</v>
      </c>
      <c r="E405" s="1853" t="s">
        <v>1472</v>
      </c>
      <c r="F405" s="1853">
        <v>2</v>
      </c>
      <c r="G405" s="1851">
        <v>1.05</v>
      </c>
      <c r="H405" s="1851"/>
      <c r="I405" s="1851">
        <v>2.1</v>
      </c>
      <c r="J405" s="1851">
        <f>ROUND(D405*F405*G405*I405,2)</f>
        <v>4.41</v>
      </c>
      <c r="K405" s="1851"/>
      <c r="L405" s="1851"/>
      <c r="M405" s="1851"/>
      <c r="N405" s="1851"/>
      <c r="O405" s="1866"/>
      <c r="P405" s="1867"/>
      <c r="Q405" s="1867"/>
    </row>
    <row r="406" spans="1:17" ht="18" hidden="1" customHeight="1">
      <c r="A406" s="1855"/>
      <c r="B406" s="1856"/>
      <c r="C406" s="1899" t="s">
        <v>2801</v>
      </c>
      <c r="D406" s="1853">
        <v>1</v>
      </c>
      <c r="E406" s="1853" t="s">
        <v>1472</v>
      </c>
      <c r="F406" s="1853">
        <v>2</v>
      </c>
      <c r="G406" s="1851">
        <v>0.9</v>
      </c>
      <c r="H406" s="1851"/>
      <c r="I406" s="1851">
        <v>2.1</v>
      </c>
      <c r="J406" s="1851">
        <f>ROUND(D406*F406*G406*I406,2)</f>
        <v>3.78</v>
      </c>
      <c r="K406" s="1851"/>
      <c r="L406" s="1851"/>
      <c r="M406" s="1851"/>
      <c r="N406" s="1851"/>
      <c r="O406" s="1866"/>
      <c r="P406" s="1867"/>
      <c r="Q406" s="1867"/>
    </row>
    <row r="407" spans="1:17" ht="18" hidden="1" customHeight="1">
      <c r="A407" s="1855"/>
      <c r="B407" s="1856"/>
      <c r="C407" s="1899" t="s">
        <v>3455</v>
      </c>
      <c r="D407" s="1853">
        <v>1</v>
      </c>
      <c r="E407" s="1853" t="s">
        <v>1472</v>
      </c>
      <c r="F407" s="1853">
        <v>4</v>
      </c>
      <c r="G407" s="1851">
        <v>1.2</v>
      </c>
      <c r="H407" s="1851"/>
      <c r="I407" s="1851">
        <v>1.2</v>
      </c>
      <c r="J407" s="1851">
        <f>ROUND(D407*F407*G407*I407,2)</f>
        <v>5.76</v>
      </c>
      <c r="K407" s="1851"/>
      <c r="L407" s="1851"/>
      <c r="M407" s="1851"/>
      <c r="N407" s="1851"/>
      <c r="O407" s="1866"/>
      <c r="P407" s="1867"/>
      <c r="Q407" s="1867"/>
    </row>
    <row r="408" spans="1:17" ht="18" hidden="1" customHeight="1">
      <c r="A408" s="1855"/>
      <c r="B408" s="1856"/>
      <c r="C408" s="1899" t="s">
        <v>3455</v>
      </c>
      <c r="D408" s="1853">
        <v>1</v>
      </c>
      <c r="E408" s="1853" t="s">
        <v>1472</v>
      </c>
      <c r="F408" s="1853">
        <v>1</v>
      </c>
      <c r="G408" s="1851">
        <v>1.2</v>
      </c>
      <c r="H408" s="1851"/>
      <c r="I408" s="1851">
        <v>0.75</v>
      </c>
      <c r="J408" s="1851">
        <f>ROUND(D408*F408*G408*I408,2)</f>
        <v>0.9</v>
      </c>
      <c r="K408" s="1851"/>
      <c r="L408" s="1851"/>
      <c r="M408" s="1851"/>
      <c r="N408" s="1851"/>
      <c r="O408" s="1866"/>
      <c r="P408" s="1867"/>
      <c r="Q408" s="1867"/>
    </row>
    <row r="409" spans="1:17" ht="18" hidden="1" customHeight="1">
      <c r="A409" s="1855"/>
      <c r="B409" s="1856"/>
      <c r="C409" s="1899" t="s">
        <v>83</v>
      </c>
      <c r="D409" s="1853">
        <v>1</v>
      </c>
      <c r="E409" s="1853" t="s">
        <v>1472</v>
      </c>
      <c r="F409" s="1853">
        <v>7</v>
      </c>
      <c r="G409" s="1851">
        <v>0.6</v>
      </c>
      <c r="H409" s="1851"/>
      <c r="I409" s="1851">
        <v>0.3</v>
      </c>
      <c r="J409" s="1851">
        <f>ROUND(D409*F409*G409*I409,2)</f>
        <v>1.26</v>
      </c>
      <c r="K409" s="1851"/>
      <c r="L409" s="1851"/>
      <c r="M409" s="1851"/>
      <c r="N409" s="1851"/>
      <c r="O409" s="1866"/>
      <c r="P409" s="1867"/>
      <c r="Q409" s="1867"/>
    </row>
    <row r="410" spans="1:17" hidden="1">
      <c r="A410" s="1855"/>
      <c r="B410" s="1856"/>
      <c r="C410" s="1887"/>
      <c r="D410" s="1853"/>
      <c r="E410" s="1853"/>
      <c r="F410" s="1853"/>
      <c r="G410" s="1851"/>
      <c r="H410" s="1851"/>
      <c r="I410" s="1851"/>
      <c r="J410" s="1851">
        <f>SUM(J405:J409)</f>
        <v>16.11</v>
      </c>
      <c r="K410" s="1851"/>
      <c r="L410" s="1851"/>
      <c r="M410" s="1851"/>
      <c r="N410" s="1851"/>
      <c r="O410" s="1866"/>
      <c r="P410" s="1867"/>
      <c r="Q410" s="1867"/>
    </row>
    <row r="411" spans="1:17" ht="24" hidden="1" customHeight="1">
      <c r="A411" s="1855"/>
      <c r="B411" s="1856"/>
      <c r="C411" s="1887"/>
      <c r="D411" s="1853"/>
      <c r="E411" s="1853"/>
      <c r="F411" s="1853"/>
      <c r="G411" s="1851"/>
      <c r="H411" s="1851"/>
      <c r="I411" s="1851"/>
      <c r="J411" s="1871">
        <f>J403-J410</f>
        <v>147.47000000000003</v>
      </c>
      <c r="K411" s="1851"/>
      <c r="L411" s="1851"/>
      <c r="M411" s="1851"/>
      <c r="N411" s="1851"/>
      <c r="O411" s="1866"/>
      <c r="P411" s="1867"/>
      <c r="Q411" s="1867"/>
    </row>
    <row r="412" spans="1:17" ht="17.2" hidden="1" customHeight="1">
      <c r="A412" s="1855"/>
      <c r="B412" s="1856"/>
      <c r="C412" s="1877"/>
      <c r="D412" s="1904"/>
      <c r="E412" s="1904"/>
      <c r="F412" s="1853"/>
      <c r="G412" s="1851"/>
      <c r="H412" s="1851"/>
      <c r="I412" s="1851"/>
      <c r="J412" s="1871" t="s">
        <v>1478</v>
      </c>
      <c r="K412" s="1851"/>
      <c r="L412" s="1851"/>
      <c r="M412" s="1851"/>
      <c r="N412" s="1851"/>
      <c r="O412" s="1866"/>
      <c r="P412" s="1867"/>
      <c r="Q412" s="1867"/>
    </row>
    <row r="413" spans="1:17" ht="21.75" hidden="1" customHeight="1">
      <c r="A413" s="1855"/>
      <c r="B413" s="1872"/>
      <c r="C413" s="2524" t="s">
        <v>3389</v>
      </c>
      <c r="D413" s="2524"/>
      <c r="E413" s="2524"/>
      <c r="F413" s="2524"/>
      <c r="G413" s="2524"/>
      <c r="H413" s="2524"/>
      <c r="I413" s="2524"/>
      <c r="J413" s="1851">
        <v>0</v>
      </c>
      <c r="K413" s="1873">
        <f>[221]Datas!E652</f>
        <v>4029.98</v>
      </c>
      <c r="L413" s="1873"/>
      <c r="M413" s="1873">
        <f>ROUND(K413*J413/10,0)</f>
        <v>0</v>
      </c>
      <c r="N413" s="1873">
        <f>SUM(L413:M413)</f>
        <v>0</v>
      </c>
      <c r="O413" s="1866">
        <v>0.6</v>
      </c>
      <c r="P413" s="1878">
        <f>ROUND(O413*J413,2)</f>
        <v>0</v>
      </c>
      <c r="Q413" s="1867"/>
    </row>
    <row r="414" spans="1:17" hidden="1">
      <c r="A414" s="1855"/>
      <c r="B414" s="1880"/>
      <c r="C414" s="1880"/>
      <c r="D414" s="1880"/>
      <c r="E414" s="1880"/>
      <c r="F414" s="1883"/>
      <c r="G414" s="1880"/>
      <c r="H414" s="1880"/>
      <c r="I414" s="1880"/>
      <c r="J414" s="1851" t="s">
        <v>1478</v>
      </c>
      <c r="K414" s="1873" t="s">
        <v>672</v>
      </c>
      <c r="L414" s="1873"/>
      <c r="M414" s="1873"/>
      <c r="N414" s="1873"/>
      <c r="O414" s="1866"/>
      <c r="P414" s="1867"/>
      <c r="Q414" s="1867"/>
    </row>
    <row r="415" spans="1:17" hidden="1">
      <c r="A415" s="1855"/>
      <c r="B415" s="1880"/>
      <c r="C415" s="1880"/>
      <c r="D415" s="1880"/>
      <c r="E415" s="1880"/>
      <c r="F415" s="1883"/>
      <c r="G415" s="1880"/>
      <c r="H415" s="1880"/>
      <c r="I415" s="1880"/>
      <c r="J415" s="1884"/>
      <c r="K415" s="1873"/>
      <c r="L415" s="1873"/>
      <c r="M415" s="1873"/>
      <c r="N415" s="1873"/>
      <c r="O415" s="1866"/>
      <c r="P415" s="1867"/>
      <c r="Q415" s="1867"/>
    </row>
    <row r="416" spans="1:17" ht="162" hidden="1" customHeight="1">
      <c r="A416" s="1855">
        <v>26</v>
      </c>
      <c r="B416" s="1856"/>
      <c r="C416" s="2527" t="s">
        <v>3462</v>
      </c>
      <c r="D416" s="2528"/>
      <c r="E416" s="2528"/>
      <c r="F416" s="2528"/>
      <c r="G416" s="2528"/>
      <c r="H416" s="2528"/>
      <c r="I416" s="2528"/>
      <c r="J416" s="2528"/>
      <c r="K416" s="1851"/>
      <c r="L416" s="1851"/>
      <c r="M416" s="1851"/>
      <c r="N416" s="1851"/>
      <c r="O416" s="1866"/>
      <c r="P416" s="1867"/>
      <c r="Q416" s="1867"/>
    </row>
    <row r="417" spans="1:17" ht="24" hidden="1" customHeight="1">
      <c r="A417" s="1855"/>
      <c r="B417" s="1856"/>
      <c r="C417" s="1899" t="s">
        <v>3463</v>
      </c>
      <c r="D417" s="1853">
        <v>1</v>
      </c>
      <c r="E417" s="1853" t="s">
        <v>1472</v>
      </c>
      <c r="F417" s="1853">
        <v>1</v>
      </c>
      <c r="G417" s="1851">
        <f>ROUND((14)*0.3048,2)</f>
        <v>4.2699999999999996</v>
      </c>
      <c r="H417" s="1851">
        <f>ROUND((19.88)*0.3048,2)</f>
        <v>6.06</v>
      </c>
      <c r="I417" s="1880"/>
      <c r="J417" s="1851">
        <f t="shared" ref="J417:J424" si="7">ROUND(D417*F417*G417*H417,2)</f>
        <v>25.88</v>
      </c>
      <c r="K417" s="1851"/>
      <c r="L417" s="1851"/>
      <c r="M417" s="1851"/>
      <c r="N417" s="1851"/>
      <c r="O417" s="1866"/>
      <c r="P417" s="1867"/>
      <c r="Q417" s="1867"/>
    </row>
    <row r="418" spans="1:17" hidden="1">
      <c r="A418" s="1855"/>
      <c r="B418" s="1856"/>
      <c r="C418" s="1899" t="s">
        <v>3464</v>
      </c>
      <c r="D418" s="1853">
        <v>1</v>
      </c>
      <c r="E418" s="1853" t="s">
        <v>1472</v>
      </c>
      <c r="F418" s="1853">
        <v>1</v>
      </c>
      <c r="G418" s="1851">
        <f>ROUND((12)*0.3048,2)</f>
        <v>3.66</v>
      </c>
      <c r="H418" s="1851">
        <f>ROUND((7*0.3048),2)</f>
        <v>2.13</v>
      </c>
      <c r="I418" s="1880"/>
      <c r="J418" s="1851">
        <f t="shared" si="7"/>
        <v>7.8</v>
      </c>
      <c r="K418" s="1851"/>
      <c r="L418" s="1851"/>
      <c r="M418" s="1851"/>
      <c r="N418" s="1851"/>
      <c r="O418" s="1866"/>
      <c r="P418" s="1867"/>
      <c r="Q418" s="1867"/>
    </row>
    <row r="419" spans="1:17" hidden="1">
      <c r="A419" s="1855"/>
      <c r="B419" s="1856"/>
      <c r="C419" s="1899" t="s">
        <v>3453</v>
      </c>
      <c r="D419" s="1853">
        <v>1</v>
      </c>
      <c r="E419" s="1853" t="s">
        <v>1472</v>
      </c>
      <c r="F419" s="1853">
        <v>1</v>
      </c>
      <c r="G419" s="1851">
        <f>ROUND((7.63)*0.3048,2)</f>
        <v>2.33</v>
      </c>
      <c r="H419" s="1851">
        <f>ROUND((7)*0.3048,2)</f>
        <v>2.13</v>
      </c>
      <c r="I419" s="1880"/>
      <c r="J419" s="1851">
        <f t="shared" si="7"/>
        <v>4.96</v>
      </c>
      <c r="K419" s="1851"/>
      <c r="L419" s="1851"/>
      <c r="M419" s="1851"/>
      <c r="N419" s="1851"/>
      <c r="O419" s="1866"/>
      <c r="P419" s="1867"/>
      <c r="Q419" s="1867"/>
    </row>
    <row r="420" spans="1:17" hidden="1">
      <c r="A420" s="1855"/>
      <c r="B420" s="1856"/>
      <c r="C420" s="1899" t="s">
        <v>3465</v>
      </c>
      <c r="D420" s="1853">
        <v>1</v>
      </c>
      <c r="E420" s="1853" t="s">
        <v>1472</v>
      </c>
      <c r="F420" s="1853">
        <v>1</v>
      </c>
      <c r="G420" s="1851">
        <f>ROUND((4)*0.3048,2)</f>
        <v>1.22</v>
      </c>
      <c r="H420" s="1851">
        <f>ROUND((7)*0.3048,2)</f>
        <v>2.13</v>
      </c>
      <c r="I420" s="1880"/>
      <c r="J420" s="1851">
        <f t="shared" si="7"/>
        <v>2.6</v>
      </c>
      <c r="K420" s="1851"/>
      <c r="L420" s="1851"/>
      <c r="M420" s="1851"/>
      <c r="N420" s="1851"/>
      <c r="O420" s="1866"/>
      <c r="P420" s="1867"/>
      <c r="Q420" s="1867"/>
    </row>
    <row r="421" spans="1:17" hidden="1">
      <c r="A421" s="1855"/>
      <c r="B421" s="1856"/>
      <c r="C421" s="1899" t="s">
        <v>3454</v>
      </c>
      <c r="D421" s="1853">
        <v>1</v>
      </c>
      <c r="E421" s="1853" t="s">
        <v>1472</v>
      </c>
      <c r="F421" s="1853">
        <v>1</v>
      </c>
      <c r="G421" s="1851">
        <f>ROUND((12)*0.3048,2)</f>
        <v>3.66</v>
      </c>
      <c r="H421" s="1851">
        <f>ROUND((5)*0.3048,2)</f>
        <v>1.52</v>
      </c>
      <c r="I421" s="1880"/>
      <c r="J421" s="1851">
        <f t="shared" si="7"/>
        <v>5.56</v>
      </c>
      <c r="K421" s="1851"/>
      <c r="L421" s="1851"/>
      <c r="M421" s="1851"/>
      <c r="N421" s="1851"/>
      <c r="O421" s="1866"/>
      <c r="P421" s="1867"/>
      <c r="Q421" s="1867"/>
    </row>
    <row r="422" spans="1:17" ht="18" hidden="1" customHeight="1">
      <c r="A422" s="1855"/>
      <c r="B422" s="1856"/>
      <c r="C422" s="1899" t="s">
        <v>3466</v>
      </c>
      <c r="D422" s="1853">
        <v>2</v>
      </c>
      <c r="E422" s="1853" t="s">
        <v>1472</v>
      </c>
      <c r="F422" s="1853">
        <v>1</v>
      </c>
      <c r="G422" s="1851">
        <v>1.05</v>
      </c>
      <c r="H422" s="1851">
        <v>0.23</v>
      </c>
      <c r="I422" s="1851"/>
      <c r="J422" s="1851">
        <f t="shared" si="7"/>
        <v>0.48</v>
      </c>
      <c r="K422" s="1851"/>
      <c r="L422" s="1851"/>
      <c r="M422" s="1851"/>
      <c r="N422" s="1851"/>
      <c r="O422" s="1866"/>
      <c r="P422" s="1867"/>
      <c r="Q422" s="1867"/>
    </row>
    <row r="423" spans="1:17" ht="18" hidden="1" customHeight="1">
      <c r="A423" s="1855"/>
      <c r="B423" s="1856"/>
      <c r="C423" s="1899" t="s">
        <v>3467</v>
      </c>
      <c r="D423" s="1853">
        <v>1</v>
      </c>
      <c r="E423" s="1853" t="s">
        <v>1472</v>
      </c>
      <c r="F423" s="1853">
        <v>1</v>
      </c>
      <c r="G423" s="1851">
        <v>0.9</v>
      </c>
      <c r="H423" s="1851">
        <v>0.23</v>
      </c>
      <c r="I423" s="1851"/>
      <c r="J423" s="1851">
        <f t="shared" si="7"/>
        <v>0.21</v>
      </c>
      <c r="K423" s="1851"/>
      <c r="L423" s="1851"/>
      <c r="M423" s="1851"/>
      <c r="N423" s="1851"/>
      <c r="O423" s="1866"/>
      <c r="P423" s="1867"/>
      <c r="Q423" s="1867"/>
    </row>
    <row r="424" spans="1:17" ht="18" hidden="1" customHeight="1">
      <c r="A424" s="1855"/>
      <c r="B424" s="1856"/>
      <c r="C424" s="1899" t="s">
        <v>3467</v>
      </c>
      <c r="D424" s="1853">
        <v>1</v>
      </c>
      <c r="E424" s="1853" t="s">
        <v>1472</v>
      </c>
      <c r="F424" s="1853">
        <v>1</v>
      </c>
      <c r="G424" s="1851">
        <v>0.9</v>
      </c>
      <c r="H424" s="1885">
        <v>0.115</v>
      </c>
      <c r="I424" s="1851"/>
      <c r="J424" s="1851">
        <f t="shared" si="7"/>
        <v>0.1</v>
      </c>
      <c r="K424" s="1851"/>
      <c r="L424" s="1851"/>
      <c r="M424" s="1851"/>
      <c r="N424" s="1851"/>
      <c r="O424" s="1866"/>
      <c r="P424" s="1867"/>
      <c r="Q424" s="1867"/>
    </row>
    <row r="425" spans="1:17" ht="18" hidden="1" customHeight="1">
      <c r="A425" s="1855"/>
      <c r="B425" s="1856"/>
      <c r="C425" s="1877"/>
      <c r="D425" s="1853"/>
      <c r="E425" s="1853"/>
      <c r="F425" s="1853"/>
      <c r="G425" s="1851"/>
      <c r="H425" s="1851"/>
      <c r="I425" s="1851"/>
      <c r="J425" s="1851">
        <f>SUM(J417:J424)</f>
        <v>47.59</v>
      </c>
      <c r="K425" s="1851"/>
      <c r="L425" s="1851"/>
      <c r="M425" s="1851"/>
      <c r="N425" s="1851"/>
      <c r="O425" s="1866"/>
      <c r="P425" s="1867"/>
      <c r="Q425" s="1867"/>
    </row>
    <row r="426" spans="1:17" ht="18" hidden="1" customHeight="1">
      <c r="A426" s="1855"/>
      <c r="B426" s="1856"/>
      <c r="C426" s="1877"/>
      <c r="D426" s="1853"/>
      <c r="E426" s="1853"/>
      <c r="F426" s="1853"/>
      <c r="G426" s="1851"/>
      <c r="H426" s="1851"/>
      <c r="I426" s="1851" t="s">
        <v>982</v>
      </c>
      <c r="J426" s="1871">
        <v>0</v>
      </c>
      <c r="K426" s="1851"/>
      <c r="L426" s="1851"/>
      <c r="M426" s="1851"/>
      <c r="N426" s="1851"/>
      <c r="O426" s="1866"/>
      <c r="P426" s="1867"/>
      <c r="Q426" s="1890"/>
    </row>
    <row r="427" spans="1:17" ht="17.2" hidden="1" customHeight="1">
      <c r="A427" s="1855"/>
      <c r="B427" s="1856"/>
      <c r="C427" s="1877"/>
      <c r="D427" s="1853"/>
      <c r="E427" s="1853"/>
      <c r="F427" s="1853"/>
      <c r="G427" s="1851"/>
      <c r="H427" s="1851"/>
      <c r="I427" s="1851"/>
      <c r="J427" s="1871" t="s">
        <v>1478</v>
      </c>
      <c r="K427" s="1851"/>
      <c r="L427" s="1851"/>
      <c r="M427" s="1851"/>
      <c r="N427" s="1851"/>
      <c r="O427" s="1866"/>
      <c r="P427" s="1867"/>
      <c r="Q427" s="1867"/>
    </row>
    <row r="428" spans="1:17" ht="21.75" hidden="1" customHeight="1">
      <c r="A428" s="1855"/>
      <c r="B428" s="1872"/>
      <c r="C428" s="2524" t="s">
        <v>3389</v>
      </c>
      <c r="D428" s="2524"/>
      <c r="E428" s="2524"/>
      <c r="F428" s="2524"/>
      <c r="G428" s="2524"/>
      <c r="H428" s="2524"/>
      <c r="I428" s="2524"/>
      <c r="J428" s="1851">
        <f>J426</f>
        <v>0</v>
      </c>
      <c r="K428" s="1873">
        <f>[221]Datas!E722</f>
        <v>7373.25</v>
      </c>
      <c r="L428" s="1873"/>
      <c r="M428" s="1873">
        <f>ROUND(K428*J428/10,0)</f>
        <v>0</v>
      </c>
      <c r="N428" s="1873">
        <f>SUM(L428:M428)</f>
        <v>0</v>
      </c>
      <c r="O428" s="1866">
        <f>(11*7+0.12*40)/10</f>
        <v>8.18</v>
      </c>
      <c r="P428" s="1878">
        <f>ROUND(O428*J428,2)</f>
        <v>0</v>
      </c>
      <c r="Q428" s="1867"/>
    </row>
    <row r="429" spans="1:17" hidden="1">
      <c r="A429" s="1855"/>
      <c r="B429" s="1872"/>
      <c r="C429" s="1877"/>
      <c r="D429" s="1853"/>
      <c r="E429" s="1853"/>
      <c r="F429" s="1853"/>
      <c r="G429" s="1851"/>
      <c r="H429" s="1851"/>
      <c r="I429" s="1851"/>
      <c r="J429" s="1851" t="s">
        <v>1478</v>
      </c>
      <c r="K429" s="1873" t="s">
        <v>672</v>
      </c>
      <c r="L429" s="1873"/>
      <c r="M429" s="1873"/>
      <c r="N429" s="1873"/>
      <c r="O429" s="1866"/>
      <c r="P429" s="1867"/>
      <c r="Q429" s="1867"/>
    </row>
    <row r="430" spans="1:17" hidden="1">
      <c r="A430" s="1855"/>
      <c r="B430" s="1872"/>
      <c r="C430" s="1877"/>
      <c r="D430" s="1853"/>
      <c r="E430" s="1853"/>
      <c r="F430" s="1853"/>
      <c r="G430" s="1851"/>
      <c r="H430" s="1851"/>
      <c r="I430" s="1851"/>
      <c r="J430" s="1884"/>
      <c r="K430" s="1873"/>
      <c r="L430" s="1873"/>
      <c r="M430" s="1873"/>
      <c r="N430" s="1873"/>
      <c r="O430" s="1866"/>
      <c r="P430" s="1867"/>
      <c r="Q430" s="1867"/>
    </row>
    <row r="431" spans="1:17" ht="134.25" hidden="1" customHeight="1">
      <c r="A431" s="1855">
        <f>A416+1</f>
        <v>27</v>
      </c>
      <c r="B431" s="1856"/>
      <c r="C431" s="2527" t="str">
        <f>[221]Datas!C780</f>
        <v>Providing skirting to internal walls to 15 cm height/risers of steps with 25 mm thick polished shabad  stone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Cuddapah stone, cement, sand and water etc., complete including seigniorage charges, etc., complete for finished item of work, but excluding the cost of conveyance of all materials</v>
      </c>
      <c r="D431" s="2528"/>
      <c r="E431" s="2528"/>
      <c r="F431" s="2528"/>
      <c r="G431" s="2528"/>
      <c r="H431" s="2528"/>
      <c r="I431" s="2528"/>
      <c r="J431" s="2528"/>
      <c r="K431" s="1851"/>
      <c r="L431" s="1851"/>
      <c r="M431" s="1851"/>
      <c r="N431" s="1851"/>
      <c r="O431" s="1866"/>
      <c r="P431" s="1867"/>
      <c r="Q431" s="1867"/>
    </row>
    <row r="432" spans="1:17" ht="24" hidden="1" customHeight="1">
      <c r="A432" s="1855"/>
      <c r="B432" s="1856"/>
      <c r="C432" s="1899" t="s">
        <v>3463</v>
      </c>
      <c r="D432" s="1853">
        <v>1</v>
      </c>
      <c r="E432" s="1853" t="s">
        <v>1472</v>
      </c>
      <c r="F432" s="1853">
        <v>1</v>
      </c>
      <c r="G432" s="1851">
        <f>ROUND((14+19.88)*2*0.3048,2)</f>
        <v>20.65</v>
      </c>
      <c r="H432" s="1851"/>
      <c r="I432" s="1851">
        <v>0.1</v>
      </c>
      <c r="J432" s="1851">
        <f>ROUND(D432*F432*G432*I432,2)</f>
        <v>2.0699999999999998</v>
      </c>
      <c r="K432" s="1851"/>
      <c r="L432" s="1851"/>
      <c r="M432" s="1851"/>
      <c r="N432" s="1851"/>
      <c r="O432" s="1866"/>
      <c r="P432" s="1867"/>
      <c r="Q432" s="1867"/>
    </row>
    <row r="433" spans="1:17" hidden="1">
      <c r="A433" s="1855"/>
      <c r="B433" s="1856"/>
      <c r="C433" s="1899" t="s">
        <v>3464</v>
      </c>
      <c r="D433" s="1853">
        <v>1</v>
      </c>
      <c r="E433" s="1853" t="s">
        <v>1472</v>
      </c>
      <c r="F433" s="1853">
        <v>1</v>
      </c>
      <c r="G433" s="1851">
        <f>ROUND((12+7)*2*0.3048,2)</f>
        <v>11.58</v>
      </c>
      <c r="H433" s="1851"/>
      <c r="I433" s="1851">
        <v>0.1</v>
      </c>
      <c r="J433" s="1851">
        <f t="shared" ref="J433:J438" si="8">ROUND(D433*F433*G433*I433,2)</f>
        <v>1.1599999999999999</v>
      </c>
      <c r="K433" s="1851"/>
      <c r="L433" s="1851"/>
      <c r="M433" s="1851"/>
      <c r="N433" s="1851"/>
      <c r="O433" s="1866"/>
      <c r="P433" s="1867"/>
      <c r="Q433" s="1867"/>
    </row>
    <row r="434" spans="1:17" hidden="1">
      <c r="A434" s="1855"/>
      <c r="B434" s="1856"/>
      <c r="C434" s="1899" t="s">
        <v>3453</v>
      </c>
      <c r="D434" s="1853">
        <v>1</v>
      </c>
      <c r="E434" s="1853" t="s">
        <v>1472</v>
      </c>
      <c r="F434" s="1853">
        <v>1</v>
      </c>
      <c r="G434" s="1851">
        <f>ROUND((7.63+7)*2*0.3048,2)</f>
        <v>8.92</v>
      </c>
      <c r="H434" s="1851"/>
      <c r="I434" s="1851">
        <v>0.1</v>
      </c>
      <c r="J434" s="1851">
        <f t="shared" si="8"/>
        <v>0.89</v>
      </c>
      <c r="K434" s="1851"/>
      <c r="L434" s="1851"/>
      <c r="M434" s="1851"/>
      <c r="N434" s="1851"/>
      <c r="O434" s="1866"/>
      <c r="P434" s="1867"/>
      <c r="Q434" s="1867"/>
    </row>
    <row r="435" spans="1:17" hidden="1">
      <c r="A435" s="1855"/>
      <c r="B435" s="1856"/>
      <c r="C435" s="1899" t="s">
        <v>3465</v>
      </c>
      <c r="D435" s="1853">
        <v>1</v>
      </c>
      <c r="E435" s="1853" t="s">
        <v>1472</v>
      </c>
      <c r="F435" s="1853">
        <v>1</v>
      </c>
      <c r="G435" s="1851">
        <f>ROUND((4+7)*2*0.3048,2)</f>
        <v>6.71</v>
      </c>
      <c r="H435" s="1851"/>
      <c r="I435" s="1851">
        <v>0.1</v>
      </c>
      <c r="J435" s="1851">
        <f t="shared" si="8"/>
        <v>0.67</v>
      </c>
      <c r="K435" s="1851"/>
      <c r="L435" s="1851"/>
      <c r="M435" s="1851"/>
      <c r="N435" s="1851"/>
      <c r="O435" s="1866"/>
      <c r="P435" s="1867"/>
      <c r="Q435" s="1867"/>
    </row>
    <row r="436" spans="1:17" hidden="1">
      <c r="A436" s="1855"/>
      <c r="B436" s="1856"/>
      <c r="C436" s="1899" t="s">
        <v>3488</v>
      </c>
      <c r="D436" s="1853">
        <v>1</v>
      </c>
      <c r="E436" s="1853" t="s">
        <v>1472</v>
      </c>
      <c r="F436" s="1853">
        <v>1</v>
      </c>
      <c r="G436" s="1851">
        <f>ROUND((12+5)*0.3048,2)</f>
        <v>5.18</v>
      </c>
      <c r="H436" s="1851"/>
      <c r="I436" s="1851">
        <v>0.1</v>
      </c>
      <c r="J436" s="1851">
        <f t="shared" si="8"/>
        <v>0.52</v>
      </c>
      <c r="K436" s="1851"/>
      <c r="L436" s="1851"/>
      <c r="M436" s="1851"/>
      <c r="N436" s="1851"/>
      <c r="O436" s="1866"/>
      <c r="P436" s="1867"/>
      <c r="Q436" s="1867"/>
    </row>
    <row r="437" spans="1:17" ht="18" hidden="1" customHeight="1">
      <c r="A437" s="1855"/>
      <c r="B437" s="1856"/>
      <c r="C437" s="1899" t="s">
        <v>3489</v>
      </c>
      <c r="D437" s="1853">
        <v>2</v>
      </c>
      <c r="E437" s="1853" t="s">
        <v>1472</v>
      </c>
      <c r="F437" s="1853">
        <v>2</v>
      </c>
      <c r="G437" s="1851">
        <v>1.05</v>
      </c>
      <c r="H437" s="1851"/>
      <c r="I437" s="1851">
        <v>0.1</v>
      </c>
      <c r="J437" s="1851">
        <f t="shared" si="8"/>
        <v>0.42</v>
      </c>
      <c r="K437" s="1851"/>
      <c r="L437" s="1851"/>
      <c r="M437" s="1851"/>
      <c r="N437" s="1851"/>
      <c r="O437" s="1866"/>
      <c r="P437" s="1867"/>
      <c r="Q437" s="1867"/>
    </row>
    <row r="438" spans="1:17" ht="18" hidden="1" customHeight="1">
      <c r="A438" s="1855"/>
      <c r="B438" s="1856"/>
      <c r="C438" s="1899" t="s">
        <v>2801</v>
      </c>
      <c r="D438" s="1853">
        <v>2</v>
      </c>
      <c r="E438" s="1853" t="s">
        <v>1472</v>
      </c>
      <c r="F438" s="1853">
        <v>2</v>
      </c>
      <c r="G438" s="1851">
        <v>0.9</v>
      </c>
      <c r="H438" s="1851"/>
      <c r="I438" s="1851">
        <v>0.1</v>
      </c>
      <c r="J438" s="1851">
        <f t="shared" si="8"/>
        <v>0.36</v>
      </c>
      <c r="K438" s="1851"/>
      <c r="L438" s="1851"/>
      <c r="M438" s="1851"/>
      <c r="N438" s="1851"/>
      <c r="O438" s="1866"/>
      <c r="P438" s="1867"/>
      <c r="Q438" s="1867"/>
    </row>
    <row r="439" spans="1:17" ht="18" hidden="1" customHeight="1">
      <c r="A439" s="1855"/>
      <c r="B439" s="1856"/>
      <c r="C439" s="1877"/>
      <c r="D439" s="1853"/>
      <c r="E439" s="1853"/>
      <c r="F439" s="1853"/>
      <c r="G439" s="1851"/>
      <c r="H439" s="1851"/>
      <c r="I439" s="1851"/>
      <c r="J439" s="1851">
        <f>SUM(J432:J438)</f>
        <v>6.089999999999999</v>
      </c>
      <c r="K439" s="1851"/>
      <c r="L439" s="1851"/>
      <c r="M439" s="1851"/>
      <c r="N439" s="1851"/>
      <c r="O439" s="1866"/>
      <c r="P439" s="1867"/>
      <c r="Q439" s="1867"/>
    </row>
    <row r="440" spans="1:17" ht="17.2" hidden="1" customHeight="1">
      <c r="A440" s="1855"/>
      <c r="B440" s="1856"/>
      <c r="C440" s="1877"/>
      <c r="D440" s="1853"/>
      <c r="E440" s="1853"/>
      <c r="F440" s="1853"/>
      <c r="G440" s="1851"/>
      <c r="H440" s="1851"/>
      <c r="I440" s="1851"/>
      <c r="J440" s="1871" t="s">
        <v>1478</v>
      </c>
      <c r="K440" s="1851"/>
      <c r="L440" s="1851"/>
      <c r="M440" s="1851"/>
      <c r="N440" s="1851"/>
      <c r="O440" s="1866"/>
      <c r="P440" s="1867"/>
      <c r="Q440" s="1867"/>
    </row>
    <row r="441" spans="1:17" ht="21.75" hidden="1" customHeight="1">
      <c r="A441" s="1855"/>
      <c r="B441" s="1872"/>
      <c r="C441" s="2524" t="s">
        <v>3389</v>
      </c>
      <c r="D441" s="2524"/>
      <c r="E441" s="2524"/>
      <c r="F441" s="2524"/>
      <c r="G441" s="2524"/>
      <c r="H441" s="2524"/>
      <c r="I441" s="2524"/>
      <c r="J441" s="1851">
        <f>J439</f>
        <v>6.089999999999999</v>
      </c>
      <c r="K441" s="1873">
        <f>[221]Datas!G798</f>
        <v>8076.4499999999989</v>
      </c>
      <c r="L441" s="1873"/>
      <c r="M441" s="1873">
        <f>ROUND(K441*J441/10,0)</f>
        <v>4919</v>
      </c>
      <c r="N441" s="1873">
        <f>SUM(L441:M441)</f>
        <v>4919</v>
      </c>
      <c r="O441" s="1866">
        <f>(11*7+0.12*40)/10</f>
        <v>8.18</v>
      </c>
      <c r="P441" s="1878">
        <f>ROUND(O441*J441,2)</f>
        <v>49.82</v>
      </c>
      <c r="Q441" s="1867"/>
    </row>
    <row r="442" spans="1:17" hidden="1">
      <c r="A442" s="1855"/>
      <c r="B442" s="1872"/>
      <c r="C442" s="1877"/>
      <c r="D442" s="1853"/>
      <c r="E442" s="1853"/>
      <c r="F442" s="1853"/>
      <c r="G442" s="1851"/>
      <c r="H442" s="1851"/>
      <c r="I442" s="1851"/>
      <c r="J442" s="1851" t="s">
        <v>1478</v>
      </c>
      <c r="K442" s="1873" t="s">
        <v>672</v>
      </c>
      <c r="L442" s="1873"/>
      <c r="M442" s="1873"/>
      <c r="N442" s="1873"/>
      <c r="O442" s="1866"/>
      <c r="P442" s="1867"/>
      <c r="Q442" s="1867"/>
    </row>
    <row r="443" spans="1:17" hidden="1">
      <c r="A443" s="1855"/>
      <c r="B443" s="1872"/>
      <c r="C443" s="1877"/>
      <c r="D443" s="1853"/>
      <c r="E443" s="1853"/>
      <c r="F443" s="1853"/>
      <c r="G443" s="1851"/>
      <c r="H443" s="1851"/>
      <c r="I443" s="1851"/>
      <c r="J443" s="1884"/>
      <c r="K443" s="1873"/>
      <c r="L443" s="1873"/>
      <c r="M443" s="1873"/>
      <c r="N443" s="1873"/>
      <c r="O443" s="1866"/>
      <c r="P443" s="1867"/>
      <c r="Q443" s="1867"/>
    </row>
    <row r="444" spans="1:17" s="1941" customFormat="1" ht="93.7" hidden="1" customHeight="1">
      <c r="A444" s="1936">
        <v>28</v>
      </c>
      <c r="B444" s="1937"/>
      <c r="C444" s="2527" t="s">
        <v>3490</v>
      </c>
      <c r="D444" s="2528"/>
      <c r="E444" s="2528"/>
      <c r="F444" s="2528"/>
      <c r="G444" s="2528"/>
      <c r="H444" s="2528"/>
      <c r="I444" s="2528"/>
      <c r="J444" s="2528"/>
      <c r="K444" s="1938"/>
      <c r="L444" s="1938"/>
      <c r="M444" s="1938"/>
      <c r="N444" s="1938"/>
      <c r="O444" s="1939"/>
      <c r="P444" s="1940"/>
      <c r="Q444" s="1940"/>
    </row>
    <row r="445" spans="1:17" s="1941" customFormat="1" ht="24" hidden="1" customHeight="1">
      <c r="A445" s="1936"/>
      <c r="B445" s="1937"/>
      <c r="C445" s="1899" t="s">
        <v>3491</v>
      </c>
      <c r="D445" s="1853">
        <v>1</v>
      </c>
      <c r="E445" s="1853" t="s">
        <v>1472</v>
      </c>
      <c r="F445" s="1853">
        <v>2</v>
      </c>
      <c r="G445" s="1851">
        <f>ROUND((28.25)*0.3048,2)</f>
        <v>8.61</v>
      </c>
      <c r="H445" s="1851"/>
      <c r="I445" s="1851">
        <v>0.75</v>
      </c>
      <c r="J445" s="1851">
        <f>ROUND(D445*F445*G445*I445,2)</f>
        <v>12.92</v>
      </c>
      <c r="K445" s="1938"/>
      <c r="L445" s="1938"/>
      <c r="M445" s="1938"/>
      <c r="N445" s="1938"/>
      <c r="O445" s="1939"/>
      <c r="P445" s="1940"/>
      <c r="Q445" s="1940"/>
    </row>
    <row r="446" spans="1:17" s="1941" customFormat="1" ht="24" hidden="1" customHeight="1">
      <c r="A446" s="1936"/>
      <c r="B446" s="1937"/>
      <c r="C446" s="1899" t="s">
        <v>469</v>
      </c>
      <c r="D446" s="1853">
        <v>1</v>
      </c>
      <c r="E446" s="1853" t="s">
        <v>1472</v>
      </c>
      <c r="F446" s="1853">
        <v>2</v>
      </c>
      <c r="G446" s="1851">
        <f>ROUND((21.38)*0.3048,2)</f>
        <v>6.52</v>
      </c>
      <c r="H446" s="1851"/>
      <c r="I446" s="1851">
        <v>0.75</v>
      </c>
      <c r="J446" s="1851">
        <f>ROUND(D446*F446*G446*I446,2)</f>
        <v>9.7799999999999994</v>
      </c>
      <c r="K446" s="1938"/>
      <c r="L446" s="1938"/>
      <c r="M446" s="1938"/>
      <c r="N446" s="1938"/>
      <c r="O446" s="1939"/>
      <c r="P446" s="1940"/>
      <c r="Q446" s="1940"/>
    </row>
    <row r="447" spans="1:17" s="1941" customFormat="1" ht="24" hidden="1" customHeight="1">
      <c r="A447" s="1936"/>
      <c r="B447" s="1937"/>
      <c r="C447" s="1899" t="s">
        <v>470</v>
      </c>
      <c r="D447" s="1853">
        <v>1</v>
      </c>
      <c r="E447" s="1853" t="s">
        <v>1472</v>
      </c>
      <c r="F447" s="1853">
        <v>1</v>
      </c>
      <c r="G447" s="1851">
        <v>3.6</v>
      </c>
      <c r="H447" s="1851"/>
      <c r="I447" s="1851">
        <v>0.75</v>
      </c>
      <c r="J447" s="1851">
        <f>-ROUND(D447*F447*G447*I447,2)</f>
        <v>-2.7</v>
      </c>
      <c r="K447" s="1938"/>
      <c r="L447" s="1938"/>
      <c r="M447" s="1938"/>
      <c r="N447" s="1938"/>
      <c r="O447" s="1939"/>
      <c r="P447" s="1940"/>
      <c r="Q447" s="1940"/>
    </row>
    <row r="448" spans="1:17" s="1941" customFormat="1" ht="24" hidden="1" customHeight="1">
      <c r="A448" s="1936"/>
      <c r="B448" s="1937"/>
      <c r="C448" s="1899"/>
      <c r="D448" s="1853"/>
      <c r="E448" s="1853"/>
      <c r="F448" s="1853"/>
      <c r="G448" s="1851"/>
      <c r="H448" s="1851"/>
      <c r="I448" s="1851"/>
      <c r="J448" s="1871">
        <f>SUM(J445:J447)</f>
        <v>20</v>
      </c>
      <c r="K448" s="1938"/>
      <c r="L448" s="1938"/>
      <c r="M448" s="1938"/>
      <c r="N448" s="1938"/>
      <c r="O448" s="1939"/>
      <c r="P448" s="1940"/>
      <c r="Q448" s="1940"/>
    </row>
    <row r="449" spans="1:17" s="1941" customFormat="1" ht="17.2" hidden="1" customHeight="1">
      <c r="A449" s="1936"/>
      <c r="B449" s="1937"/>
      <c r="C449" s="1859"/>
      <c r="D449" s="1853"/>
      <c r="E449" s="1853"/>
      <c r="F449" s="1853"/>
      <c r="G449" s="1851"/>
      <c r="H449" s="1851"/>
      <c r="I449" s="1851"/>
      <c r="J449" s="1871" t="s">
        <v>1478</v>
      </c>
      <c r="K449" s="1851"/>
      <c r="L449" s="1942"/>
      <c r="M449" s="1942"/>
      <c r="N449" s="1942"/>
      <c r="O449" s="1943"/>
      <c r="P449" s="1944"/>
      <c r="Q449" s="1940"/>
    </row>
    <row r="450" spans="1:17" ht="21.75" hidden="1" customHeight="1">
      <c r="A450" s="1855"/>
      <c r="B450" s="1872"/>
      <c r="C450" s="2524" t="s">
        <v>270</v>
      </c>
      <c r="D450" s="2524"/>
      <c r="E450" s="2524"/>
      <c r="F450" s="2524"/>
      <c r="G450" s="2524"/>
      <c r="H450" s="2524"/>
      <c r="I450" s="2524"/>
      <c r="J450" s="1851">
        <f>J448</f>
        <v>20</v>
      </c>
      <c r="K450" s="1873">
        <f>[221]Datas!G283</f>
        <v>853.34</v>
      </c>
      <c r="L450" s="1873"/>
      <c r="M450" s="1873">
        <f>ROUND(K450*J450/10,0)</f>
        <v>1707</v>
      </c>
      <c r="N450" s="1873">
        <f>SUM(L450:M450)</f>
        <v>1707</v>
      </c>
      <c r="O450" s="1866">
        <f>0.03*40/10</f>
        <v>0.12</v>
      </c>
      <c r="P450" s="1878">
        <f>ROUND(O450*J450,2)</f>
        <v>2.4</v>
      </c>
      <c r="Q450" s="1867"/>
    </row>
    <row r="451" spans="1:17" hidden="1">
      <c r="A451" s="1855"/>
      <c r="B451" s="1892"/>
      <c r="C451" s="1880"/>
      <c r="D451" s="1892"/>
      <c r="E451" s="1880"/>
      <c r="F451" s="1883"/>
      <c r="G451" s="1893"/>
      <c r="H451" s="1893"/>
      <c r="I451" s="1874"/>
      <c r="J451" s="1851" t="s">
        <v>1478</v>
      </c>
      <c r="K451" s="1873" t="s">
        <v>672</v>
      </c>
      <c r="L451" s="1873"/>
      <c r="M451" s="1873"/>
      <c r="N451" s="1873"/>
      <c r="O451" s="1866"/>
      <c r="P451" s="1867"/>
      <c r="Q451" s="1867"/>
    </row>
    <row r="452" spans="1:17" hidden="1">
      <c r="A452" s="1855"/>
      <c r="B452" s="1892"/>
      <c r="C452" s="1880"/>
      <c r="D452" s="1892"/>
      <c r="E452" s="1880"/>
      <c r="F452" s="1883"/>
      <c r="G452" s="1893"/>
      <c r="H452" s="1893"/>
      <c r="I452" s="1874"/>
      <c r="J452" s="1884"/>
      <c r="K452" s="1873"/>
      <c r="L452" s="1873"/>
      <c r="M452" s="1873"/>
      <c r="N452" s="1873"/>
      <c r="O452" s="1866"/>
      <c r="P452" s="1867"/>
      <c r="Q452" s="1867"/>
    </row>
    <row r="453" spans="1:17" ht="88.5" hidden="1" customHeight="1">
      <c r="A453" s="1855">
        <v>29</v>
      </c>
      <c r="B453" s="1856"/>
      <c r="C453" s="2527" t="s">
        <v>548</v>
      </c>
      <c r="D453" s="2528"/>
      <c r="E453" s="2528"/>
      <c r="F453" s="2528"/>
      <c r="G453" s="2528"/>
      <c r="H453" s="2528"/>
      <c r="I453" s="2528"/>
      <c r="J453" s="2528"/>
      <c r="K453" s="1851"/>
      <c r="L453" s="1851"/>
      <c r="M453" s="1851"/>
      <c r="N453" s="1851"/>
      <c r="O453" s="1866"/>
      <c r="P453" s="1867"/>
      <c r="Q453" s="1867"/>
    </row>
    <row r="454" spans="1:17" hidden="1">
      <c r="A454" s="1855"/>
      <c r="B454" s="1856"/>
      <c r="C454" s="1859" t="s">
        <v>474</v>
      </c>
      <c r="D454" s="1880"/>
      <c r="E454" s="1880"/>
      <c r="F454" s="1880"/>
      <c r="G454" s="1880"/>
      <c r="H454" s="1880"/>
      <c r="I454" s="1880"/>
      <c r="J454" s="1880"/>
      <c r="K454" s="1851"/>
      <c r="L454" s="1851"/>
      <c r="M454" s="1851"/>
      <c r="N454" s="1851"/>
      <c r="O454" s="1866"/>
      <c r="P454" s="1867"/>
      <c r="Q454" s="1867"/>
    </row>
    <row r="455" spans="1:17" hidden="1">
      <c r="A455" s="1855"/>
      <c r="B455" s="1856"/>
      <c r="C455" s="1899" t="s">
        <v>3443</v>
      </c>
      <c r="D455" s="1853">
        <v>1</v>
      </c>
      <c r="E455" s="1853" t="s">
        <v>1472</v>
      </c>
      <c r="F455" s="1853">
        <v>1</v>
      </c>
      <c r="G455" s="1851">
        <f>ROUND(14*0.3048,2)</f>
        <v>4.2699999999999996</v>
      </c>
      <c r="H455" s="1851">
        <f>ROUND((19.88)*0.3048,2)</f>
        <v>6.06</v>
      </c>
      <c r="I455" s="1880"/>
      <c r="J455" s="1851">
        <f t="shared" ref="J455:J460" si="9">ROUND(D455*F455*G455*H455,2)</f>
        <v>25.88</v>
      </c>
      <c r="K455" s="1851"/>
      <c r="L455" s="1851"/>
      <c r="M455" s="1851"/>
      <c r="N455" s="1851"/>
      <c r="O455" s="1866"/>
      <c r="P455" s="1867"/>
      <c r="Q455" s="1867"/>
    </row>
    <row r="456" spans="1:17" hidden="1">
      <c r="A456" s="1855"/>
      <c r="B456" s="1856"/>
      <c r="C456" s="1899" t="s">
        <v>3444</v>
      </c>
      <c r="D456" s="1853">
        <v>1</v>
      </c>
      <c r="E456" s="1853" t="s">
        <v>1472</v>
      </c>
      <c r="F456" s="1853">
        <v>1</v>
      </c>
      <c r="G456" s="1851">
        <f>ROUND((12)*0.3048,2)</f>
        <v>3.66</v>
      </c>
      <c r="H456" s="1851">
        <f>ROUND((7)*0.3048,2)</f>
        <v>2.13</v>
      </c>
      <c r="I456" s="1880"/>
      <c r="J456" s="1851">
        <f t="shared" si="9"/>
        <v>7.8</v>
      </c>
      <c r="K456" s="1851"/>
      <c r="L456" s="1851"/>
      <c r="M456" s="1851"/>
      <c r="N456" s="1851"/>
      <c r="O456" s="1866"/>
      <c r="P456" s="1867"/>
      <c r="Q456" s="1867"/>
    </row>
    <row r="457" spans="1:17" hidden="1">
      <c r="A457" s="1855"/>
      <c r="B457" s="1856"/>
      <c r="C457" s="1899" t="s">
        <v>3445</v>
      </c>
      <c r="D457" s="1853">
        <v>1</v>
      </c>
      <c r="E457" s="1853" t="s">
        <v>1472</v>
      </c>
      <c r="F457" s="1853">
        <v>1</v>
      </c>
      <c r="G457" s="1851">
        <f>ROUND((7.63)*0.3048,2)</f>
        <v>2.33</v>
      </c>
      <c r="H457" s="1851">
        <f>ROUND((7)*0.3048,2)</f>
        <v>2.13</v>
      </c>
      <c r="I457" s="1880"/>
      <c r="J457" s="1851">
        <f t="shared" si="9"/>
        <v>4.96</v>
      </c>
      <c r="K457" s="1851"/>
      <c r="L457" s="1851"/>
      <c r="M457" s="1851"/>
      <c r="N457" s="1851"/>
      <c r="O457" s="1866"/>
      <c r="P457" s="1867"/>
      <c r="Q457" s="1867"/>
    </row>
    <row r="458" spans="1:17" hidden="1">
      <c r="A458" s="1855"/>
      <c r="B458" s="1856"/>
      <c r="C458" s="1899" t="s">
        <v>3446</v>
      </c>
      <c r="D458" s="1853">
        <v>1</v>
      </c>
      <c r="E458" s="1853" t="s">
        <v>1472</v>
      </c>
      <c r="F458" s="1853">
        <v>1</v>
      </c>
      <c r="G458" s="1851">
        <f>ROUND((4)*0.3048,2)</f>
        <v>1.22</v>
      </c>
      <c r="H458" s="1851">
        <f>ROUND((7)*0.3048,2)</f>
        <v>2.13</v>
      </c>
      <c r="I458" s="1880"/>
      <c r="J458" s="1851">
        <f t="shared" si="9"/>
        <v>2.6</v>
      </c>
      <c r="K458" s="1851"/>
      <c r="L458" s="1851"/>
      <c r="M458" s="1851"/>
      <c r="N458" s="1851"/>
      <c r="O458" s="1866"/>
      <c r="P458" s="1867"/>
      <c r="Q458" s="1867"/>
    </row>
    <row r="459" spans="1:17" ht="28.2" hidden="1">
      <c r="A459" s="1855"/>
      <c r="B459" s="1856"/>
      <c r="C459" s="1877" t="s">
        <v>3447</v>
      </c>
      <c r="D459" s="1853">
        <v>1</v>
      </c>
      <c r="E459" s="1853" t="s">
        <v>1472</v>
      </c>
      <c r="F459" s="1853">
        <v>2</v>
      </c>
      <c r="G459" s="1851">
        <f>ROUND(30.25*0.3048,2)</f>
        <v>9.2200000000000006</v>
      </c>
      <c r="H459" s="1851">
        <v>0.3</v>
      </c>
      <c r="I459" s="1880"/>
      <c r="J459" s="1851">
        <f t="shared" si="9"/>
        <v>5.53</v>
      </c>
      <c r="K459" s="1851"/>
      <c r="L459" s="1851"/>
      <c r="M459" s="1851"/>
      <c r="N459" s="1851"/>
      <c r="O459" s="1866"/>
      <c r="P459" s="1867"/>
      <c r="Q459" s="1867"/>
    </row>
    <row r="460" spans="1:17" ht="28.2" hidden="1">
      <c r="A460" s="1855"/>
      <c r="B460" s="1856"/>
      <c r="C460" s="1877" t="s">
        <v>3448</v>
      </c>
      <c r="D460" s="1853">
        <v>1</v>
      </c>
      <c r="E460" s="1853" t="s">
        <v>1472</v>
      </c>
      <c r="F460" s="1853">
        <v>2</v>
      </c>
      <c r="G460" s="1851">
        <f>ROUND(21.38*0.3048,2)</f>
        <v>6.52</v>
      </c>
      <c r="H460" s="1851">
        <v>0.3</v>
      </c>
      <c r="I460" s="1880"/>
      <c r="J460" s="1851">
        <f t="shared" si="9"/>
        <v>3.91</v>
      </c>
      <c r="K460" s="1851"/>
      <c r="L460" s="1851"/>
      <c r="M460" s="1851"/>
      <c r="N460" s="1851"/>
      <c r="O460" s="1866"/>
      <c r="P460" s="1867"/>
      <c r="Q460" s="1867"/>
    </row>
    <row r="461" spans="1:17" hidden="1">
      <c r="A461" s="1855"/>
      <c r="B461" s="1856"/>
      <c r="C461" s="1859" t="s">
        <v>3492</v>
      </c>
      <c r="D461" s="1880"/>
      <c r="E461" s="1880"/>
      <c r="F461" s="1880"/>
      <c r="G461" s="1874"/>
      <c r="H461" s="1874"/>
      <c r="I461" s="1874"/>
      <c r="J461" s="1874"/>
      <c r="K461" s="1851"/>
      <c r="L461" s="1851"/>
      <c r="M461" s="1851"/>
      <c r="N461" s="1851"/>
      <c r="O461" s="1866"/>
      <c r="P461" s="1867"/>
      <c r="Q461" s="1867"/>
    </row>
    <row r="462" spans="1:17" hidden="1">
      <c r="A462" s="1855"/>
      <c r="B462" s="1856"/>
      <c r="C462" s="1899" t="s">
        <v>3451</v>
      </c>
      <c r="D462" s="1853">
        <v>1</v>
      </c>
      <c r="E462" s="1853" t="s">
        <v>1472</v>
      </c>
      <c r="F462" s="1853">
        <v>1</v>
      </c>
      <c r="G462" s="1851">
        <f>ROUND((14+19.88)*0.3048*2,2)</f>
        <v>20.65</v>
      </c>
      <c r="H462" s="1851"/>
      <c r="I462" s="1851">
        <v>3.05</v>
      </c>
      <c r="J462" s="1851">
        <f>ROUND(D462*F462*G462*I462,2)</f>
        <v>62.98</v>
      </c>
      <c r="K462" s="1851"/>
      <c r="L462" s="1851"/>
      <c r="M462" s="1851"/>
      <c r="N462" s="1851"/>
      <c r="O462" s="1866"/>
      <c r="P462" s="1867"/>
      <c r="Q462" s="1867"/>
    </row>
    <row r="463" spans="1:17" hidden="1">
      <c r="A463" s="1855"/>
      <c r="B463" s="1856"/>
      <c r="C463" s="1899" t="s">
        <v>3452</v>
      </c>
      <c r="D463" s="1853">
        <v>1</v>
      </c>
      <c r="E463" s="1853" t="s">
        <v>1472</v>
      </c>
      <c r="F463" s="1853">
        <v>1</v>
      </c>
      <c r="G463" s="1851">
        <f>ROUND((12+7)*0.3048*2,2)</f>
        <v>11.58</v>
      </c>
      <c r="H463" s="1851"/>
      <c r="I463" s="1851">
        <v>3.05</v>
      </c>
      <c r="J463" s="1851">
        <f>ROUND(D463*F463*G463*I463,2)</f>
        <v>35.32</v>
      </c>
      <c r="K463" s="1851"/>
      <c r="L463" s="1851"/>
      <c r="M463" s="1851"/>
      <c r="N463" s="1851"/>
      <c r="O463" s="1866"/>
      <c r="P463" s="1867"/>
      <c r="Q463" s="1867"/>
    </row>
    <row r="464" spans="1:17" hidden="1">
      <c r="A464" s="1855"/>
      <c r="B464" s="1856"/>
      <c r="C464" s="1899" t="s">
        <v>3453</v>
      </c>
      <c r="D464" s="1853">
        <v>1</v>
      </c>
      <c r="E464" s="1853" t="s">
        <v>1472</v>
      </c>
      <c r="F464" s="1853">
        <v>1</v>
      </c>
      <c r="G464" s="1851">
        <f>ROUND((7.63+7)*0.3048*2,2)</f>
        <v>8.92</v>
      </c>
      <c r="H464" s="1851"/>
      <c r="I464" s="1851">
        <v>3.05</v>
      </c>
      <c r="J464" s="1851">
        <f>ROUND(D464*F464*G464*I464,2)</f>
        <v>27.21</v>
      </c>
      <c r="K464" s="1851"/>
      <c r="L464" s="1851"/>
      <c r="M464" s="1851"/>
      <c r="N464" s="1851"/>
      <c r="O464" s="1866"/>
      <c r="P464" s="1867"/>
      <c r="Q464" s="1867"/>
    </row>
    <row r="465" spans="1:17" hidden="1">
      <c r="A465" s="1855"/>
      <c r="B465" s="1856"/>
      <c r="C465" s="1899" t="s">
        <v>3446</v>
      </c>
      <c r="D465" s="1853">
        <v>1</v>
      </c>
      <c r="E465" s="1853" t="s">
        <v>1472</v>
      </c>
      <c r="F465" s="1853">
        <v>1</v>
      </c>
      <c r="G465" s="1851">
        <f>ROUND((4+7)*0.3048*2,2)</f>
        <v>6.71</v>
      </c>
      <c r="H465" s="1851"/>
      <c r="I465" s="1851">
        <v>3.05</v>
      </c>
      <c r="J465" s="1851">
        <f>ROUND(D465*F465*G465*I465,2)</f>
        <v>20.47</v>
      </c>
      <c r="K465" s="1851"/>
      <c r="L465" s="1851"/>
      <c r="M465" s="1851"/>
      <c r="N465" s="1851"/>
      <c r="O465" s="1866"/>
      <c r="P465" s="1867"/>
      <c r="Q465" s="1867"/>
    </row>
    <row r="466" spans="1:17" hidden="1">
      <c r="A466" s="1855"/>
      <c r="B466" s="1856"/>
      <c r="C466" s="1899" t="s">
        <v>3454</v>
      </c>
      <c r="D466" s="1853">
        <v>1</v>
      </c>
      <c r="E466" s="1853" t="s">
        <v>1472</v>
      </c>
      <c r="F466" s="1853">
        <v>1</v>
      </c>
      <c r="G466" s="1851">
        <f>ROUND((12+5)*0.3048,2)</f>
        <v>5.18</v>
      </c>
      <c r="H466" s="1851"/>
      <c r="I466" s="1851">
        <v>3.05</v>
      </c>
      <c r="J466" s="1851">
        <f>ROUND(D466*F466*G466*I466,2)</f>
        <v>15.8</v>
      </c>
      <c r="K466" s="1851"/>
      <c r="L466" s="1851"/>
      <c r="M466" s="1851"/>
      <c r="N466" s="1851"/>
      <c r="O466" s="1866"/>
      <c r="P466" s="1867"/>
      <c r="Q466" s="1867"/>
    </row>
    <row r="467" spans="1:17" hidden="1">
      <c r="A467" s="1855"/>
      <c r="B467" s="1856"/>
      <c r="C467" s="1905"/>
      <c r="D467" s="1853"/>
      <c r="E467" s="1853"/>
      <c r="F467" s="1853"/>
      <c r="G467" s="1851"/>
      <c r="H467" s="1851"/>
      <c r="I467" s="1851"/>
      <c r="J467" s="1851"/>
      <c r="K467" s="1851"/>
      <c r="L467" s="1851"/>
      <c r="M467" s="1851"/>
      <c r="N467" s="1851"/>
      <c r="O467" s="1866"/>
      <c r="P467" s="1867"/>
      <c r="Q467" s="1867"/>
    </row>
    <row r="468" spans="1:17" hidden="1">
      <c r="A468" s="1855"/>
      <c r="B468" s="1856"/>
      <c r="C468" s="1859" t="s">
        <v>675</v>
      </c>
      <c r="D468" s="1853"/>
      <c r="E468" s="1853"/>
      <c r="F468" s="1853"/>
      <c r="G468" s="1851"/>
      <c r="H468" s="1851"/>
      <c r="I468" s="1851"/>
      <c r="J468" s="1851"/>
      <c r="K468" s="1851"/>
      <c r="L468" s="1851"/>
      <c r="M468" s="1851"/>
      <c r="N468" s="1851"/>
      <c r="O468" s="1866"/>
      <c r="P468" s="1867"/>
      <c r="Q468" s="1867"/>
    </row>
    <row r="469" spans="1:17" hidden="1">
      <c r="A469" s="1855"/>
      <c r="B469" s="1856"/>
      <c r="C469" s="1899" t="s">
        <v>116</v>
      </c>
      <c r="D469" s="1853">
        <v>1</v>
      </c>
      <c r="E469" s="1853" t="s">
        <v>1472</v>
      </c>
      <c r="F469" s="1853">
        <v>2</v>
      </c>
      <c r="G469" s="1851">
        <v>1.05</v>
      </c>
      <c r="H469" s="1851"/>
      <c r="I469" s="1851">
        <v>2.1</v>
      </c>
      <c r="J469" s="1851">
        <f>-ROUND(D469*F469*G469*I469,2)</f>
        <v>-4.41</v>
      </c>
      <c r="K469" s="1851"/>
      <c r="L469" s="1851"/>
      <c r="M469" s="1851"/>
      <c r="N469" s="1851"/>
      <c r="O469" s="1866"/>
      <c r="P469" s="1867"/>
      <c r="Q469" s="1867"/>
    </row>
    <row r="470" spans="1:17" hidden="1">
      <c r="A470" s="1855"/>
      <c r="B470" s="1856"/>
      <c r="C470" s="1899" t="s">
        <v>2801</v>
      </c>
      <c r="D470" s="1853">
        <v>1</v>
      </c>
      <c r="E470" s="1853" t="s">
        <v>1472</v>
      </c>
      <c r="F470" s="1853">
        <v>2</v>
      </c>
      <c r="G470" s="1851">
        <v>0.9</v>
      </c>
      <c r="H470" s="1851"/>
      <c r="I470" s="1851">
        <v>2.1</v>
      </c>
      <c r="J470" s="1851">
        <f>-ROUND(D470*F470*G470*I470,2)</f>
        <v>-3.78</v>
      </c>
      <c r="K470" s="1851"/>
      <c r="L470" s="1851"/>
      <c r="M470" s="1851"/>
      <c r="N470" s="1851"/>
      <c r="O470" s="1866"/>
      <c r="P470" s="1867"/>
      <c r="Q470" s="1867"/>
    </row>
    <row r="471" spans="1:17" hidden="1">
      <c r="A471" s="1855"/>
      <c r="B471" s="1856"/>
      <c r="C471" s="1899" t="s">
        <v>3493</v>
      </c>
      <c r="D471" s="1853">
        <v>1</v>
      </c>
      <c r="E471" s="1853" t="s">
        <v>1472</v>
      </c>
      <c r="F471" s="1853">
        <v>4</v>
      </c>
      <c r="G471" s="1851">
        <v>1.2</v>
      </c>
      <c r="H471" s="1851"/>
      <c r="I471" s="1851">
        <v>1.2</v>
      </c>
      <c r="J471" s="1851">
        <f>-ROUND(D471*F471*G471*I471,2)</f>
        <v>-5.76</v>
      </c>
      <c r="K471" s="1851"/>
      <c r="L471" s="1851"/>
      <c r="M471" s="1851"/>
      <c r="N471" s="1851"/>
      <c r="O471" s="1866"/>
      <c r="P471" s="1867"/>
      <c r="Q471" s="1867"/>
    </row>
    <row r="472" spans="1:17" hidden="1">
      <c r="A472" s="1855"/>
      <c r="B472" s="1856"/>
      <c r="C472" s="1899" t="s">
        <v>3494</v>
      </c>
      <c r="D472" s="1853">
        <v>1</v>
      </c>
      <c r="E472" s="1853" t="s">
        <v>1472</v>
      </c>
      <c r="F472" s="1853">
        <v>1</v>
      </c>
      <c r="G472" s="1851">
        <v>1.2</v>
      </c>
      <c r="H472" s="1851"/>
      <c r="I472" s="1851">
        <v>0.75</v>
      </c>
      <c r="J472" s="1851">
        <f>-ROUND(D472*F472*G472*I472,2)</f>
        <v>-0.9</v>
      </c>
      <c r="K472" s="1851"/>
      <c r="L472" s="1851"/>
      <c r="M472" s="1851"/>
      <c r="N472" s="1851"/>
      <c r="O472" s="1866"/>
      <c r="P472" s="1867"/>
      <c r="Q472" s="1867"/>
    </row>
    <row r="473" spans="1:17" hidden="1">
      <c r="A473" s="1855"/>
      <c r="B473" s="1856"/>
      <c r="C473" s="1899" t="s">
        <v>83</v>
      </c>
      <c r="D473" s="1853">
        <v>1</v>
      </c>
      <c r="E473" s="1853" t="s">
        <v>1472</v>
      </c>
      <c r="F473" s="1853">
        <v>7</v>
      </c>
      <c r="G473" s="1851">
        <v>0.6</v>
      </c>
      <c r="H473" s="1851"/>
      <c r="I473" s="1851">
        <v>0.3</v>
      </c>
      <c r="J473" s="1851">
        <f>-ROUND(D473*F473*G473*I473,2)</f>
        <v>-1.26</v>
      </c>
      <c r="K473" s="1851"/>
      <c r="L473" s="1851"/>
      <c r="M473" s="1851"/>
      <c r="N473" s="1851"/>
      <c r="O473" s="1866"/>
      <c r="P473" s="1867"/>
      <c r="Q473" s="1867"/>
    </row>
    <row r="474" spans="1:17" hidden="1">
      <c r="A474" s="1855"/>
      <c r="B474" s="1856"/>
      <c r="C474" s="1877" t="s">
        <v>467</v>
      </c>
      <c r="D474" s="1853"/>
      <c r="E474" s="1853"/>
      <c r="F474" s="1853"/>
      <c r="G474" s="1851"/>
      <c r="H474" s="1851"/>
      <c r="I474" s="1851"/>
      <c r="J474" s="1871">
        <f>SUM(J455:J473)</f>
        <v>196.35000000000002</v>
      </c>
      <c r="K474" s="1851"/>
      <c r="L474" s="1851"/>
      <c r="M474" s="1851"/>
      <c r="N474" s="1851"/>
      <c r="O474" s="1866"/>
      <c r="P474" s="1867"/>
      <c r="Q474" s="1867"/>
    </row>
    <row r="475" spans="1:17" ht="17.2" hidden="1" customHeight="1">
      <c r="A475" s="1855"/>
      <c r="B475" s="1856"/>
      <c r="C475" s="1859"/>
      <c r="D475" s="1853"/>
      <c r="E475" s="1853"/>
      <c r="F475" s="1853"/>
      <c r="G475" s="1851"/>
      <c r="H475" s="1851"/>
      <c r="I475" s="1851"/>
      <c r="J475" s="1871" t="s">
        <v>1478</v>
      </c>
      <c r="K475" s="1851"/>
      <c r="L475" s="1851"/>
      <c r="M475" s="1851"/>
      <c r="N475" s="1851"/>
      <c r="O475" s="1866"/>
      <c r="P475" s="1867"/>
      <c r="Q475" s="1867"/>
    </row>
    <row r="476" spans="1:17" ht="21.75" hidden="1" customHeight="1">
      <c r="A476" s="1855"/>
      <c r="B476" s="1872"/>
      <c r="C476" s="2524" t="s">
        <v>3389</v>
      </c>
      <c r="D476" s="2524"/>
      <c r="E476" s="2524"/>
      <c r="F476" s="2524"/>
      <c r="G476" s="2524"/>
      <c r="H476" s="2524"/>
      <c r="I476" s="2524"/>
      <c r="J476" s="1851">
        <f>J474</f>
        <v>196.35000000000002</v>
      </c>
      <c r="K476" s="1873">
        <f>[221]Datas!G842</f>
        <v>606.52</v>
      </c>
      <c r="L476" s="1873"/>
      <c r="M476" s="1873">
        <f>ROUND(J476*K476/10,0)</f>
        <v>11909</v>
      </c>
      <c r="N476" s="1851">
        <f>SUM(L476:M476)</f>
        <v>11909</v>
      </c>
      <c r="O476" s="1866"/>
      <c r="P476" s="1867"/>
      <c r="Q476" s="1867"/>
    </row>
    <row r="477" spans="1:17" hidden="1">
      <c r="A477" s="1855"/>
      <c r="B477" s="1880"/>
      <c r="C477" s="1880"/>
      <c r="D477" s="1880"/>
      <c r="E477" s="1880"/>
      <c r="F477" s="1883"/>
      <c r="G477" s="1880"/>
      <c r="H477" s="1880"/>
      <c r="I477" s="1880"/>
      <c r="J477" s="1851" t="s">
        <v>1478</v>
      </c>
      <c r="K477" s="1873" t="s">
        <v>672</v>
      </c>
      <c r="L477" s="1873"/>
      <c r="M477" s="1873"/>
      <c r="N477" s="1873"/>
      <c r="O477" s="1866"/>
      <c r="P477" s="1867"/>
      <c r="Q477" s="1867"/>
    </row>
    <row r="478" spans="1:17" hidden="1">
      <c r="A478" s="1855"/>
      <c r="B478" s="1880"/>
      <c r="C478" s="1880"/>
      <c r="D478" s="1880"/>
      <c r="E478" s="1880"/>
      <c r="F478" s="1883"/>
      <c r="G478" s="1880"/>
      <c r="H478" s="1880"/>
      <c r="I478" s="1880"/>
      <c r="J478" s="1884"/>
      <c r="K478" s="1873"/>
      <c r="L478" s="1873"/>
      <c r="M478" s="1873"/>
      <c r="N478" s="1873"/>
      <c r="O478" s="1866"/>
      <c r="P478" s="1867"/>
      <c r="Q478" s="1867"/>
    </row>
    <row r="479" spans="1:17" ht="102.75" hidden="1" customHeight="1">
      <c r="A479" s="1855">
        <f>A453+1</f>
        <v>30</v>
      </c>
      <c r="B479" s="1856"/>
      <c r="C479" s="2527" t="s">
        <v>3495</v>
      </c>
      <c r="D479" s="2528"/>
      <c r="E479" s="2528"/>
      <c r="F479" s="2528"/>
      <c r="G479" s="2528"/>
      <c r="H479" s="2528"/>
      <c r="I479" s="2528"/>
      <c r="J479" s="2528"/>
      <c r="K479" s="1851"/>
      <c r="L479" s="1851"/>
      <c r="M479" s="1851"/>
      <c r="N479" s="1851"/>
      <c r="O479" s="1866"/>
      <c r="P479" s="1867"/>
      <c r="Q479" s="1867"/>
    </row>
    <row r="480" spans="1:17" hidden="1">
      <c r="A480" s="1855"/>
      <c r="B480" s="1856"/>
      <c r="C480" s="1859" t="s">
        <v>3496</v>
      </c>
      <c r="D480" s="1880"/>
      <c r="E480" s="1880"/>
      <c r="F480" s="1880"/>
      <c r="G480" s="1874"/>
      <c r="H480" s="1874"/>
      <c r="I480" s="1874"/>
      <c r="J480" s="1874"/>
      <c r="K480" s="1851"/>
      <c r="L480" s="1851"/>
      <c r="M480" s="1851"/>
      <c r="N480" s="1851"/>
      <c r="O480" s="1866"/>
      <c r="P480" s="1867"/>
      <c r="Q480" s="1867"/>
    </row>
    <row r="481" spans="1:17" hidden="1">
      <c r="A481" s="1855"/>
      <c r="B481" s="1856"/>
      <c r="C481" s="1877" t="s">
        <v>1438</v>
      </c>
      <c r="D481" s="1853">
        <v>1</v>
      </c>
      <c r="E481" s="1853" t="s">
        <v>1472</v>
      </c>
      <c r="F481" s="1853">
        <v>1</v>
      </c>
      <c r="G481" s="1851">
        <f>ROUND(28.25*0.3048,2)</f>
        <v>8.61</v>
      </c>
      <c r="H481" s="1880"/>
      <c r="I481" s="1851">
        <v>3.05</v>
      </c>
      <c r="J481" s="1851">
        <f>ROUND(D481*F481*G481*I481,2)</f>
        <v>26.26</v>
      </c>
      <c r="K481" s="1851"/>
      <c r="L481" s="1851"/>
      <c r="M481" s="1851"/>
      <c r="N481" s="1851"/>
      <c r="O481" s="1866"/>
      <c r="P481" s="1867"/>
      <c r="Q481" s="1867"/>
    </row>
    <row r="482" spans="1:17" hidden="1">
      <c r="A482" s="1855"/>
      <c r="B482" s="1856"/>
      <c r="C482" s="1877" t="s">
        <v>3479</v>
      </c>
      <c r="D482" s="1853">
        <v>1</v>
      </c>
      <c r="E482" s="1853" t="s">
        <v>1472</v>
      </c>
      <c r="F482" s="1853">
        <v>1</v>
      </c>
      <c r="G482" s="1851">
        <f>ROUND(15.5*0.3048,2)</f>
        <v>4.72</v>
      </c>
      <c r="H482" s="1880"/>
      <c r="I482" s="1851">
        <v>3.05</v>
      </c>
      <c r="J482" s="1851">
        <f>ROUND(D482*F482*G482*I482,2)</f>
        <v>14.4</v>
      </c>
      <c r="K482" s="1851"/>
      <c r="L482" s="1851"/>
      <c r="M482" s="1851"/>
      <c r="N482" s="1851"/>
      <c r="O482" s="1866"/>
      <c r="P482" s="1867"/>
      <c r="Q482" s="1867"/>
    </row>
    <row r="483" spans="1:17" hidden="1">
      <c r="A483" s="1855"/>
      <c r="B483" s="1856"/>
      <c r="C483" s="1877" t="s">
        <v>3480</v>
      </c>
      <c r="D483" s="1853">
        <v>1</v>
      </c>
      <c r="E483" s="1853" t="s">
        <v>1472</v>
      </c>
      <c r="F483" s="1853">
        <v>1</v>
      </c>
      <c r="G483" s="1851">
        <f>ROUND(21.38*0.3048,2)</f>
        <v>6.52</v>
      </c>
      <c r="H483" s="1880"/>
      <c r="I483" s="1851">
        <v>3.05</v>
      </c>
      <c r="J483" s="1851">
        <f>ROUND(D483*F483*G483*I483,2)</f>
        <v>19.89</v>
      </c>
      <c r="K483" s="1851"/>
      <c r="L483" s="1851"/>
      <c r="M483" s="1851"/>
      <c r="N483" s="1851"/>
      <c r="O483" s="1866"/>
      <c r="P483" s="1867"/>
      <c r="Q483" s="1867"/>
    </row>
    <row r="484" spans="1:17" hidden="1">
      <c r="A484" s="1855"/>
      <c r="B484" s="1856"/>
      <c r="C484" s="1877" t="s">
        <v>3481</v>
      </c>
      <c r="D484" s="1853">
        <v>1</v>
      </c>
      <c r="E484" s="1853" t="s">
        <v>1472</v>
      </c>
      <c r="F484" s="1853">
        <v>1</v>
      </c>
      <c r="G484" s="1851">
        <f>ROUND((21.38-5)*0.3048,2)</f>
        <v>4.99</v>
      </c>
      <c r="H484" s="1880"/>
      <c r="I484" s="1851">
        <v>3.05</v>
      </c>
      <c r="J484" s="1851">
        <f>ROUND(D484*F484*G484*I484,2)</f>
        <v>15.22</v>
      </c>
      <c r="K484" s="1851"/>
      <c r="L484" s="1851"/>
      <c r="M484" s="1851"/>
      <c r="N484" s="1851"/>
      <c r="O484" s="1866"/>
      <c r="P484" s="1867"/>
      <c r="Q484" s="1867"/>
    </row>
    <row r="485" spans="1:17" hidden="1">
      <c r="A485" s="1855"/>
      <c r="B485" s="1856"/>
      <c r="C485" s="1895" t="s">
        <v>421</v>
      </c>
      <c r="D485" s="1853"/>
      <c r="E485" s="1853"/>
      <c r="F485" s="1853"/>
      <c r="G485" s="1851"/>
      <c r="H485" s="1851"/>
      <c r="I485" s="1851"/>
      <c r="J485" s="1851"/>
      <c r="K485" s="1851"/>
      <c r="L485" s="1851"/>
      <c r="M485" s="1851"/>
      <c r="N485" s="1851"/>
      <c r="O485" s="1866"/>
      <c r="P485" s="1867"/>
      <c r="Q485" s="1867"/>
    </row>
    <row r="486" spans="1:17" hidden="1">
      <c r="A486" s="1855"/>
      <c r="B486" s="1856"/>
      <c r="C486" s="1887" t="s">
        <v>3393</v>
      </c>
      <c r="D486" s="1853">
        <v>2</v>
      </c>
      <c r="E486" s="1853" t="s">
        <v>1472</v>
      </c>
      <c r="F486" s="1853">
        <v>1</v>
      </c>
      <c r="G486" s="1851">
        <v>1.5</v>
      </c>
      <c r="H486" s="1874"/>
      <c r="I486" s="1851">
        <v>0.15</v>
      </c>
      <c r="J486" s="1851">
        <f>ROUND(D486*F486*G486*I486,2)</f>
        <v>0.45</v>
      </c>
      <c r="K486" s="1851"/>
      <c r="L486" s="1851"/>
      <c r="M486" s="1851"/>
      <c r="N486" s="1851"/>
      <c r="O486" s="1866"/>
      <c r="P486" s="1867"/>
      <c r="Q486" s="1867"/>
    </row>
    <row r="487" spans="1:17" hidden="1">
      <c r="A487" s="1855"/>
      <c r="B487" s="1856"/>
      <c r="C487" s="1887" t="s">
        <v>3482</v>
      </c>
      <c r="D487" s="1853">
        <v>2</v>
      </c>
      <c r="E487" s="1853" t="s">
        <v>1472</v>
      </c>
      <c r="F487" s="1853">
        <v>1</v>
      </c>
      <c r="G487" s="1851">
        <v>1.2</v>
      </c>
      <c r="H487" s="1874"/>
      <c r="I487" s="1851">
        <v>0.15</v>
      </c>
      <c r="J487" s="1851">
        <f>ROUND(D487*F487*G487*I487,2)</f>
        <v>0.36</v>
      </c>
      <c r="K487" s="1851"/>
      <c r="L487" s="1851"/>
      <c r="M487" s="1851"/>
      <c r="N487" s="1851"/>
      <c r="O487" s="1866"/>
      <c r="P487" s="1867"/>
      <c r="Q487" s="1867"/>
    </row>
    <row r="488" spans="1:17" hidden="1">
      <c r="A488" s="1855"/>
      <c r="B488" s="1856"/>
      <c r="C488" s="1887" t="s">
        <v>3395</v>
      </c>
      <c r="D488" s="1853">
        <v>2</v>
      </c>
      <c r="E488" s="1853" t="s">
        <v>1472</v>
      </c>
      <c r="F488" s="1853">
        <v>1</v>
      </c>
      <c r="G488" s="1851">
        <v>0.9</v>
      </c>
      <c r="H488" s="1874"/>
      <c r="I488" s="1851">
        <v>0.15</v>
      </c>
      <c r="J488" s="1851">
        <f>ROUND(D488*F488*G488*I488,2)</f>
        <v>0.27</v>
      </c>
      <c r="K488" s="1851"/>
      <c r="L488" s="1851"/>
      <c r="M488" s="1851"/>
      <c r="N488" s="1851"/>
      <c r="O488" s="1866"/>
      <c r="P488" s="1867"/>
      <c r="Q488" s="1867"/>
    </row>
    <row r="489" spans="1:17" hidden="1">
      <c r="A489" s="1855"/>
      <c r="B489" s="1856"/>
      <c r="C489" s="1887" t="s">
        <v>3396</v>
      </c>
      <c r="D489" s="1853">
        <v>2</v>
      </c>
      <c r="E489" s="1853" t="s">
        <v>1472</v>
      </c>
      <c r="F489" s="1853">
        <v>1</v>
      </c>
      <c r="G489" s="1851">
        <v>0.6</v>
      </c>
      <c r="H489" s="1874"/>
      <c r="I489" s="1851">
        <v>0.15</v>
      </c>
      <c r="J489" s="1851">
        <f>ROUND(D489*F489*G489*I489,2)</f>
        <v>0.18</v>
      </c>
      <c r="K489" s="1851"/>
      <c r="L489" s="1851"/>
      <c r="M489" s="1851"/>
      <c r="N489" s="1851"/>
      <c r="O489" s="1866"/>
      <c r="P489" s="1867"/>
      <c r="Q489" s="1867"/>
    </row>
    <row r="490" spans="1:17" hidden="1">
      <c r="A490" s="1855"/>
      <c r="B490" s="1856"/>
      <c r="C490" s="1887" t="s">
        <v>3397</v>
      </c>
      <c r="D490" s="1853">
        <v>2</v>
      </c>
      <c r="E490" s="1853" t="s">
        <v>1472</v>
      </c>
      <c r="F490" s="1853">
        <v>1</v>
      </c>
      <c r="G490" s="1851">
        <v>0.3</v>
      </c>
      <c r="H490" s="1874"/>
      <c r="I490" s="1851">
        <v>0.15</v>
      </c>
      <c r="J490" s="1851">
        <f>ROUND(D490*F490*G490*I490,2)</f>
        <v>0.09</v>
      </c>
      <c r="K490" s="1851"/>
      <c r="L490" s="1851"/>
      <c r="M490" s="1851"/>
      <c r="N490" s="1851"/>
      <c r="O490" s="1866"/>
      <c r="P490" s="1867"/>
      <c r="Q490" s="1867"/>
    </row>
    <row r="491" spans="1:17" hidden="1">
      <c r="A491" s="1855"/>
      <c r="B491" s="1856"/>
      <c r="C491" s="1887" t="s">
        <v>3483</v>
      </c>
      <c r="D491" s="1853">
        <v>1</v>
      </c>
      <c r="E491" s="1853" t="s">
        <v>1472</v>
      </c>
      <c r="F491" s="1853">
        <v>5</v>
      </c>
      <c r="G491" s="1851">
        <v>3.6</v>
      </c>
      <c r="H491" s="1851">
        <v>0.3</v>
      </c>
      <c r="I491" s="1851"/>
      <c r="J491" s="1851">
        <f>ROUND(D491*F491*G491*H491,2)</f>
        <v>5.4</v>
      </c>
      <c r="K491" s="1851"/>
      <c r="L491" s="1851"/>
      <c r="M491" s="1851"/>
      <c r="N491" s="1851"/>
      <c r="O491" s="1866"/>
      <c r="P491" s="1867"/>
      <c r="Q491" s="1867"/>
    </row>
    <row r="492" spans="1:17" hidden="1">
      <c r="A492" s="1855"/>
      <c r="B492" s="1856"/>
      <c r="C492" s="1887" t="s">
        <v>3484</v>
      </c>
      <c r="D492" s="1853">
        <v>1</v>
      </c>
      <c r="E492" s="1853" t="s">
        <v>1472</v>
      </c>
      <c r="F492" s="1853">
        <v>5</v>
      </c>
      <c r="G492" s="1851">
        <v>3.6</v>
      </c>
      <c r="H492" s="1880"/>
      <c r="I492" s="1851">
        <v>0.15</v>
      </c>
      <c r="J492" s="1851">
        <f>ROUND(D492*F492*G492*I492,2)</f>
        <v>2.7</v>
      </c>
      <c r="K492" s="1851"/>
      <c r="L492" s="1851"/>
      <c r="M492" s="1851"/>
      <c r="N492" s="1851"/>
      <c r="O492" s="1866"/>
      <c r="P492" s="1867"/>
      <c r="Q492" s="1867"/>
    </row>
    <row r="493" spans="1:17" hidden="1">
      <c r="A493" s="1855"/>
      <c r="B493" s="1856"/>
      <c r="C493" s="1887" t="s">
        <v>475</v>
      </c>
      <c r="D493" s="1853"/>
      <c r="E493" s="1853"/>
      <c r="F493" s="1853"/>
      <c r="G493" s="1851"/>
      <c r="H493" s="1880"/>
      <c r="I493" s="1851"/>
      <c r="J493" s="1851"/>
      <c r="K493" s="1851"/>
      <c r="L493" s="1851"/>
      <c r="M493" s="1851"/>
      <c r="N493" s="1851"/>
      <c r="O493" s="1866"/>
      <c r="P493" s="1867"/>
      <c r="Q493" s="1867"/>
    </row>
    <row r="494" spans="1:17" hidden="1">
      <c r="A494" s="1855"/>
      <c r="B494" s="1856"/>
      <c r="C494" s="1899" t="s">
        <v>3491</v>
      </c>
      <c r="D494" s="1853">
        <v>1</v>
      </c>
      <c r="E494" s="1853" t="s">
        <v>1472</v>
      </c>
      <c r="F494" s="1853">
        <v>2</v>
      </c>
      <c r="G494" s="1851">
        <f>ROUND((28.25)*0.3048,2)</f>
        <v>8.61</v>
      </c>
      <c r="H494" s="1851"/>
      <c r="I494" s="1851">
        <v>0.75</v>
      </c>
      <c r="J494" s="1851">
        <f>ROUND(D494*F494*G494*I494,2)</f>
        <v>12.92</v>
      </c>
      <c r="K494" s="1851"/>
      <c r="L494" s="1851"/>
      <c r="M494" s="1851"/>
      <c r="N494" s="1851"/>
      <c r="O494" s="1866"/>
      <c r="P494" s="1867"/>
      <c r="Q494" s="1867"/>
    </row>
    <row r="495" spans="1:17" hidden="1">
      <c r="A495" s="1855"/>
      <c r="B495" s="1856"/>
      <c r="C495" s="1899" t="s">
        <v>469</v>
      </c>
      <c r="D495" s="1853">
        <v>1</v>
      </c>
      <c r="E495" s="1853" t="s">
        <v>1472</v>
      </c>
      <c r="F495" s="1853">
        <v>2</v>
      </c>
      <c r="G495" s="1851">
        <f>ROUND((21.38)*0.3048,2)</f>
        <v>6.52</v>
      </c>
      <c r="H495" s="1851"/>
      <c r="I495" s="1851">
        <v>0.75</v>
      </c>
      <c r="J495" s="1851">
        <f>ROUND(D495*F495*G495*I495,2)</f>
        <v>9.7799999999999994</v>
      </c>
      <c r="K495" s="1851"/>
      <c r="L495" s="1851"/>
      <c r="M495" s="1851"/>
      <c r="N495" s="1851"/>
      <c r="O495" s="1866"/>
      <c r="P495" s="1867"/>
      <c r="Q495" s="1867"/>
    </row>
    <row r="496" spans="1:17" hidden="1">
      <c r="A496" s="1855"/>
      <c r="B496" s="1856"/>
      <c r="C496" s="1899" t="s">
        <v>470</v>
      </c>
      <c r="D496" s="1853">
        <v>1</v>
      </c>
      <c r="E496" s="1853" t="s">
        <v>1472</v>
      </c>
      <c r="F496" s="1853">
        <v>1</v>
      </c>
      <c r="G496" s="1851">
        <v>3.6</v>
      </c>
      <c r="H496" s="1851"/>
      <c r="I496" s="1851">
        <v>0.75</v>
      </c>
      <c r="J496" s="1851">
        <f>-ROUND(D496*F496*G496*I496,2)</f>
        <v>-2.7</v>
      </c>
      <c r="K496" s="1851"/>
      <c r="L496" s="1851"/>
      <c r="M496" s="1851"/>
      <c r="N496" s="1851"/>
      <c r="O496" s="1866"/>
      <c r="P496" s="1867"/>
      <c r="Q496" s="1867"/>
    </row>
    <row r="497" spans="1:17" hidden="1">
      <c r="A497" s="1855"/>
      <c r="B497" s="1856"/>
      <c r="C497" s="1859"/>
      <c r="D497" s="1853"/>
      <c r="E497" s="1853"/>
      <c r="F497" s="1853"/>
      <c r="G497" s="1851"/>
      <c r="H497" s="1851"/>
      <c r="I497" s="1851" t="s">
        <v>471</v>
      </c>
      <c r="J497" s="1871">
        <f>SUM(J481:J496)</f>
        <v>105.22000000000003</v>
      </c>
      <c r="K497" s="1851"/>
      <c r="L497" s="1851"/>
      <c r="M497" s="1851"/>
      <c r="N497" s="1851"/>
      <c r="O497" s="1866"/>
      <c r="P497" s="1867"/>
      <c r="Q497" s="1867"/>
    </row>
    <row r="498" spans="1:17" ht="17.2" hidden="1" customHeight="1">
      <c r="A498" s="1855"/>
      <c r="B498" s="1856"/>
      <c r="C498" s="1859"/>
      <c r="D498" s="1853"/>
      <c r="E498" s="1853"/>
      <c r="F498" s="1853"/>
      <c r="G498" s="1851"/>
      <c r="H498" s="1851"/>
      <c r="I498" s="1851"/>
      <c r="J498" s="1871" t="s">
        <v>1478</v>
      </c>
      <c r="K498" s="1851"/>
      <c r="L498" s="1851"/>
      <c r="M498" s="1851"/>
      <c r="N498" s="1851"/>
      <c r="O498" s="1866"/>
      <c r="P498" s="1867"/>
      <c r="Q498" s="1867"/>
    </row>
    <row r="499" spans="1:17" ht="21.75" hidden="1" customHeight="1">
      <c r="A499" s="1855"/>
      <c r="B499" s="1872"/>
      <c r="C499" s="2524" t="s">
        <v>3389</v>
      </c>
      <c r="D499" s="2524"/>
      <c r="E499" s="2524"/>
      <c r="F499" s="2524"/>
      <c r="G499" s="2524"/>
      <c r="H499" s="2524"/>
      <c r="I499" s="2524"/>
      <c r="J499" s="1851">
        <f>J497</f>
        <v>105.22000000000003</v>
      </c>
      <c r="K499" s="1873">
        <f>[221]Datas!G943</f>
        <v>1947.2</v>
      </c>
      <c r="L499" s="1873"/>
      <c r="M499" s="1873">
        <f>ROUND(K499*J499/10,0)</f>
        <v>20488</v>
      </c>
      <c r="N499" s="1851">
        <f>SUM(L499:M499)</f>
        <v>20488</v>
      </c>
      <c r="O499" s="1866"/>
      <c r="P499" s="1867"/>
      <c r="Q499" s="1867"/>
    </row>
    <row r="500" spans="1:17" hidden="1">
      <c r="A500" s="1855"/>
      <c r="B500" s="1892"/>
      <c r="C500" s="1880"/>
      <c r="D500" s="1892"/>
      <c r="E500" s="1880"/>
      <c r="F500" s="1883"/>
      <c r="G500" s="1893"/>
      <c r="H500" s="1893"/>
      <c r="I500" s="1874"/>
      <c r="J500" s="1851" t="s">
        <v>1478</v>
      </c>
      <c r="K500" s="1873" t="s">
        <v>672</v>
      </c>
      <c r="L500" s="1873"/>
      <c r="M500" s="1873"/>
      <c r="N500" s="1873"/>
      <c r="O500" s="1866"/>
      <c r="P500" s="1867"/>
      <c r="Q500" s="1867"/>
    </row>
    <row r="501" spans="1:17" hidden="1">
      <c r="A501" s="1855"/>
      <c r="B501" s="1892"/>
      <c r="C501" s="1880"/>
      <c r="D501" s="1892"/>
      <c r="E501" s="1880"/>
      <c r="F501" s="1883"/>
      <c r="G501" s="1893"/>
      <c r="H501" s="1893"/>
      <c r="I501" s="1874"/>
      <c r="J501" s="1884"/>
      <c r="K501" s="1873"/>
      <c r="L501" s="1873"/>
      <c r="M501" s="1873"/>
      <c r="N501" s="1873"/>
      <c r="O501" s="1866"/>
      <c r="P501" s="1867"/>
      <c r="Q501" s="1867"/>
    </row>
    <row r="502" spans="1:17" ht="87.75" hidden="1" customHeight="1">
      <c r="A502" s="1855">
        <f>A479+1</f>
        <v>31</v>
      </c>
      <c r="B502" s="1856"/>
      <c r="C502" s="2527" t="s">
        <v>1027</v>
      </c>
      <c r="D502" s="2528"/>
      <c r="E502" s="2528"/>
      <c r="F502" s="2528"/>
      <c r="G502" s="2528"/>
      <c r="H502" s="2528"/>
      <c r="I502" s="2528"/>
      <c r="J502" s="2528"/>
      <c r="K502" s="1851"/>
      <c r="L502" s="1851"/>
      <c r="M502" s="1851"/>
      <c r="N502" s="1851"/>
      <c r="O502" s="1866"/>
      <c r="P502" s="1867"/>
      <c r="Q502" s="1867"/>
    </row>
    <row r="503" spans="1:17" ht="17.2" hidden="1" customHeight="1">
      <c r="A503" s="1855"/>
      <c r="B503" s="1856"/>
      <c r="C503" s="1899" t="s">
        <v>3497</v>
      </c>
      <c r="D503" s="1853">
        <v>2</v>
      </c>
      <c r="E503" s="1853" t="s">
        <v>1472</v>
      </c>
      <c r="F503" s="1851">
        <v>2.25</v>
      </c>
      <c r="G503" s="1851">
        <v>1.05</v>
      </c>
      <c r="H503" s="1851"/>
      <c r="I503" s="1851">
        <v>2.1</v>
      </c>
      <c r="J503" s="1851">
        <f>ROUND(D503*F503*G503*I503,2)</f>
        <v>9.92</v>
      </c>
      <c r="K503" s="1851"/>
      <c r="L503" s="1851"/>
      <c r="M503" s="1851"/>
      <c r="N503" s="1851"/>
      <c r="O503" s="1866"/>
      <c r="P503" s="1867"/>
      <c r="Q503" s="1890"/>
    </row>
    <row r="504" spans="1:17" ht="17.2" hidden="1" customHeight="1">
      <c r="A504" s="1855"/>
      <c r="B504" s="1856"/>
      <c r="C504" s="1899"/>
      <c r="D504" s="1853">
        <v>2</v>
      </c>
      <c r="E504" s="1853" t="s">
        <v>1472</v>
      </c>
      <c r="F504" s="1851">
        <v>2.25</v>
      </c>
      <c r="G504" s="1851">
        <v>0.9</v>
      </c>
      <c r="H504" s="1851"/>
      <c r="I504" s="1851">
        <v>2.1</v>
      </c>
      <c r="J504" s="1851">
        <f>ROUND(D504*F504*G504*I504,2)</f>
        <v>8.51</v>
      </c>
      <c r="K504" s="1851"/>
      <c r="L504" s="1851"/>
      <c r="M504" s="1851"/>
      <c r="N504" s="1851"/>
      <c r="O504" s="1866"/>
      <c r="P504" s="1867"/>
      <c r="Q504" s="1890"/>
    </row>
    <row r="505" spans="1:17" ht="17.2" hidden="1" customHeight="1">
      <c r="A505" s="1855"/>
      <c r="B505" s="1856"/>
      <c r="C505" s="1899"/>
      <c r="D505" s="1853">
        <v>4</v>
      </c>
      <c r="E505" s="1853" t="s">
        <v>1472</v>
      </c>
      <c r="F505" s="1851">
        <v>2.75</v>
      </c>
      <c r="G505" s="1851">
        <v>1.2</v>
      </c>
      <c r="H505" s="1851"/>
      <c r="I505" s="1851">
        <v>1.2</v>
      </c>
      <c r="J505" s="1851">
        <f>ROUND(D505*F505*G505*I505,2)</f>
        <v>15.84</v>
      </c>
      <c r="K505" s="1851"/>
      <c r="L505" s="1851"/>
      <c r="M505" s="1851"/>
      <c r="N505" s="1851"/>
      <c r="O505" s="1866"/>
      <c r="P505" s="1867"/>
      <c r="Q505" s="1890"/>
    </row>
    <row r="506" spans="1:17" ht="17.2" hidden="1" customHeight="1">
      <c r="A506" s="1855"/>
      <c r="B506" s="1856"/>
      <c r="C506" s="1899"/>
      <c r="D506" s="1853">
        <v>1</v>
      </c>
      <c r="E506" s="1853" t="s">
        <v>1472</v>
      </c>
      <c r="F506" s="1851">
        <v>2.75</v>
      </c>
      <c r="G506" s="1851">
        <v>1.2</v>
      </c>
      <c r="H506" s="1851"/>
      <c r="I506" s="1851">
        <v>0.75</v>
      </c>
      <c r="J506" s="1851">
        <f>ROUND(D506*F506*G506*I506,2)</f>
        <v>2.48</v>
      </c>
      <c r="K506" s="1851"/>
      <c r="L506" s="1851"/>
      <c r="M506" s="1851"/>
      <c r="N506" s="1851"/>
      <c r="O506" s="1866"/>
      <c r="P506" s="1867"/>
      <c r="Q506" s="1890"/>
    </row>
    <row r="507" spans="1:17" ht="17.2" hidden="1" customHeight="1">
      <c r="A507" s="1855"/>
      <c r="B507" s="1856"/>
      <c r="C507" s="1899"/>
      <c r="D507" s="1853"/>
      <c r="E507" s="1853"/>
      <c r="F507" s="1853"/>
      <c r="G507" s="1851"/>
      <c r="H507" s="1851"/>
      <c r="I507" s="1851"/>
      <c r="J507" s="1871">
        <f>SUM(J503:J506)</f>
        <v>36.749999999999993</v>
      </c>
      <c r="K507" s="1851"/>
      <c r="L507" s="1851"/>
      <c r="M507" s="1851"/>
      <c r="N507" s="1851"/>
      <c r="O507" s="1866"/>
      <c r="P507" s="1867"/>
      <c r="Q507" s="1867"/>
    </row>
    <row r="508" spans="1:17" ht="17.2" hidden="1" customHeight="1">
      <c r="A508" s="1855"/>
      <c r="B508" s="1856"/>
      <c r="C508" s="1859"/>
      <c r="D508" s="1853"/>
      <c r="E508" s="1853"/>
      <c r="F508" s="1853"/>
      <c r="G508" s="1851"/>
      <c r="H508" s="1851"/>
      <c r="I508" s="1851"/>
      <c r="J508" s="1871" t="s">
        <v>1478</v>
      </c>
      <c r="K508" s="1851"/>
      <c r="L508" s="1851"/>
      <c r="M508" s="1851"/>
      <c r="N508" s="1851"/>
      <c r="O508" s="1866"/>
      <c r="P508" s="1867"/>
      <c r="Q508" s="1867"/>
    </row>
    <row r="509" spans="1:17" ht="21.75" hidden="1" customHeight="1">
      <c r="A509" s="1855"/>
      <c r="B509" s="1872"/>
      <c r="C509" s="2524" t="s">
        <v>3389</v>
      </c>
      <c r="D509" s="2524"/>
      <c r="E509" s="2524"/>
      <c r="F509" s="2524"/>
      <c r="G509" s="2524"/>
      <c r="H509" s="2524"/>
      <c r="I509" s="2524"/>
      <c r="J509" s="1851">
        <f>J507</f>
        <v>36.749999999999993</v>
      </c>
      <c r="K509" s="1873">
        <f>[221]Datas!G887</f>
        <v>1244.8</v>
      </c>
      <c r="L509" s="1874"/>
      <c r="M509" s="1873">
        <f>ROUND(K509*J509/10,0)</f>
        <v>4575</v>
      </c>
      <c r="N509" s="1851">
        <f>SUM(L509:M509)</f>
        <v>4575</v>
      </c>
      <c r="O509" s="1866"/>
      <c r="P509" s="1876"/>
      <c r="Q509" s="1867"/>
    </row>
    <row r="510" spans="1:17" hidden="1">
      <c r="A510" s="1855"/>
      <c r="B510" s="1872"/>
      <c r="C510" s="1872"/>
      <c r="D510" s="1872"/>
      <c r="E510" s="1872"/>
      <c r="F510" s="1872"/>
      <c r="G510" s="1872"/>
      <c r="H510" s="1872"/>
      <c r="I510" s="1872"/>
      <c r="J510" s="1851" t="s">
        <v>1478</v>
      </c>
      <c r="K510" s="1873" t="s">
        <v>476</v>
      </c>
      <c r="L510" s="1873"/>
      <c r="M510" s="1873"/>
      <c r="N510" s="1873"/>
      <c r="O510" s="1866"/>
      <c r="P510" s="1867"/>
      <c r="Q510" s="1867"/>
    </row>
    <row r="511" spans="1:17" hidden="1">
      <c r="A511" s="1855"/>
      <c r="B511" s="1872"/>
      <c r="C511" s="1877"/>
      <c r="D511" s="1853"/>
      <c r="E511" s="1853"/>
      <c r="F511" s="1853"/>
      <c r="G511" s="1851"/>
      <c r="H511" s="1851"/>
      <c r="I511" s="1851"/>
      <c r="J511" s="1884"/>
      <c r="K511" s="1873"/>
      <c r="L511" s="1873"/>
      <c r="M511" s="1873"/>
      <c r="N511" s="1873"/>
      <c r="O511" s="1866"/>
      <c r="P511" s="1867"/>
      <c r="Q511" s="1867"/>
    </row>
    <row r="512" spans="1:17" ht="145.9" hidden="1" customHeight="1">
      <c r="A512" s="1855">
        <f>A502+1</f>
        <v>32</v>
      </c>
      <c r="B512" s="1856"/>
      <c r="C512" s="2527" t="s">
        <v>0</v>
      </c>
      <c r="D512" s="2528"/>
      <c r="E512" s="2528"/>
      <c r="F512" s="2528"/>
      <c r="G512" s="2528"/>
      <c r="H512" s="2528"/>
      <c r="I512" s="2528"/>
      <c r="J512" s="2528"/>
      <c r="K512" s="1851"/>
      <c r="L512" s="1851"/>
      <c r="M512" s="1851"/>
      <c r="N512" s="1851"/>
      <c r="O512" s="1866"/>
      <c r="P512" s="1867"/>
      <c r="Q512" s="1867"/>
    </row>
    <row r="513" spans="1:19" ht="20.25" hidden="1" customHeight="1">
      <c r="A513" s="1855"/>
      <c r="B513" s="1856"/>
      <c r="C513" s="1877" t="s">
        <v>3498</v>
      </c>
      <c r="D513" s="1853"/>
      <c r="E513" s="1853"/>
      <c r="F513" s="1853"/>
      <c r="G513" s="1851"/>
      <c r="H513" s="1851"/>
      <c r="I513" s="1851"/>
      <c r="J513" s="1871">
        <v>0.1</v>
      </c>
      <c r="K513" s="1851"/>
      <c r="L513" s="1851"/>
      <c r="M513" s="1851"/>
      <c r="N513" s="1851"/>
      <c r="O513" s="1866"/>
      <c r="P513" s="1867"/>
      <c r="Q513" s="1890"/>
      <c r="R513" s="1847">
        <v>1.4</v>
      </c>
    </row>
    <row r="514" spans="1:19" ht="17.2" hidden="1" customHeight="1">
      <c r="A514" s="1855"/>
      <c r="B514" s="1856"/>
      <c r="C514" s="1859"/>
      <c r="D514" s="1853"/>
      <c r="E514" s="1853"/>
      <c r="F514" s="1853"/>
      <c r="G514" s="1851"/>
      <c r="H514" s="1851"/>
      <c r="I514" s="1851"/>
      <c r="J514" s="1871"/>
      <c r="K514" s="1851"/>
      <c r="L514" s="1851"/>
      <c r="M514" s="1851"/>
      <c r="N514" s="1851"/>
      <c r="O514" s="1866"/>
      <c r="P514" s="1867"/>
      <c r="Q514" s="1890"/>
    </row>
    <row r="515" spans="1:19" ht="33" hidden="1" customHeight="1">
      <c r="A515" s="1855"/>
      <c r="B515" s="1872"/>
      <c r="C515" s="2524" t="s">
        <v>3389</v>
      </c>
      <c r="D515" s="2524"/>
      <c r="E515" s="2524"/>
      <c r="F515" s="2524"/>
      <c r="G515" s="2524"/>
      <c r="H515" s="2524"/>
      <c r="I515" s="2524"/>
      <c r="J515" s="1851">
        <f>J513</f>
        <v>0.1</v>
      </c>
      <c r="K515" s="1873">
        <f>[221]Datas!G555</f>
        <v>89162</v>
      </c>
      <c r="L515" s="1874"/>
      <c r="M515" s="1873">
        <f>ROUND(K515*J515,0)</f>
        <v>8916</v>
      </c>
      <c r="N515" s="1873">
        <f>SUM(M515)</f>
        <v>8916</v>
      </c>
      <c r="O515" s="1945"/>
      <c r="P515" s="1945"/>
      <c r="Q515" s="1890"/>
      <c r="S515" s="1847">
        <v>2.0099999999999998</v>
      </c>
    </row>
    <row r="516" spans="1:19" hidden="1">
      <c r="A516" s="1855"/>
      <c r="B516" s="1872"/>
      <c r="C516" s="1872"/>
      <c r="D516" s="1872"/>
      <c r="E516" s="1872"/>
      <c r="F516" s="1872"/>
      <c r="G516" s="1872"/>
      <c r="H516" s="1872"/>
      <c r="I516" s="1872"/>
      <c r="J516" s="1885" t="s">
        <v>1037</v>
      </c>
      <c r="K516" s="1873" t="s">
        <v>3499</v>
      </c>
      <c r="L516" s="1874"/>
      <c r="M516" s="1873"/>
      <c r="N516" s="1873"/>
      <c r="O516" s="1945"/>
      <c r="P516" s="1945"/>
      <c r="Q516" s="1867"/>
    </row>
    <row r="517" spans="1:19" hidden="1">
      <c r="A517" s="1855"/>
      <c r="B517" s="1872"/>
      <c r="C517" s="1872"/>
      <c r="D517" s="1872"/>
      <c r="E517" s="1872"/>
      <c r="F517" s="1872"/>
      <c r="G517" s="1872"/>
      <c r="H517" s="1872"/>
      <c r="I517" s="1872"/>
      <c r="J517" s="1884"/>
      <c r="K517" s="1873"/>
      <c r="L517" s="1874"/>
      <c r="M517" s="1873"/>
      <c r="N517" s="1873"/>
      <c r="O517" s="1945"/>
      <c r="P517" s="1945"/>
      <c r="Q517" s="1879"/>
    </row>
    <row r="518" spans="1:19" hidden="1">
      <c r="A518" s="1855"/>
      <c r="B518" s="1872"/>
      <c r="C518" s="1872"/>
      <c r="D518" s="1872"/>
      <c r="E518" s="1872"/>
      <c r="F518" s="1872"/>
      <c r="G518" s="1872"/>
      <c r="H518" s="1872"/>
      <c r="I518" s="1872"/>
      <c r="J518" s="1946"/>
      <c r="K518" s="1914"/>
      <c r="L518" s="1900"/>
      <c r="M518" s="1914"/>
      <c r="N518" s="1916"/>
      <c r="O518" s="1925"/>
      <c r="P518" s="1876"/>
      <c r="Q518" s="1879"/>
    </row>
    <row r="519" spans="1:19" s="1876" customFormat="1" ht="14.4" hidden="1" customHeight="1">
      <c r="A519" s="1855"/>
      <c r="B519" s="1900"/>
      <c r="C519" s="1855"/>
      <c r="D519" s="1855"/>
      <c r="E519" s="1855"/>
      <c r="F519" s="1900"/>
      <c r="G519" s="1912"/>
      <c r="H519" s="1912"/>
      <c r="I519" s="1913"/>
      <c r="J519" s="1912"/>
      <c r="K519" s="1855"/>
      <c r="L519" s="1909"/>
      <c r="M519" s="1909"/>
      <c r="N519" s="1910"/>
      <c r="O519" s="1911"/>
    </row>
    <row r="520" spans="1:19" s="1876" customFormat="1" ht="14.4" hidden="1" customHeight="1">
      <c r="A520" s="1855">
        <v>33</v>
      </c>
      <c r="B520" s="1900"/>
      <c r="C520" s="2537" t="s">
        <v>3500</v>
      </c>
      <c r="D520" s="2537"/>
      <c r="E520" s="2537"/>
      <c r="F520" s="2537"/>
      <c r="G520" s="2537"/>
      <c r="H520" s="2537"/>
      <c r="I520" s="2537"/>
      <c r="J520" s="1912"/>
      <c r="K520" s="1914">
        <v>1</v>
      </c>
      <c r="L520" s="1947">
        <f>[222]Electrical!L55</f>
        <v>0</v>
      </c>
      <c r="M520" s="1947">
        <f>'[221]Sub Est_Elec'!N55</f>
        <v>28216</v>
      </c>
      <c r="N520" s="1947">
        <f>[222]Electrical!N55</f>
        <v>3701</v>
      </c>
      <c r="O520" s="1911"/>
    </row>
    <row r="521" spans="1:19" hidden="1">
      <c r="A521" s="1855"/>
      <c r="B521" s="1872"/>
      <c r="C521" s="1855"/>
      <c r="D521" s="1855"/>
      <c r="E521" s="1855"/>
      <c r="F521" s="1948"/>
      <c r="G521" s="1912"/>
      <c r="H521" s="1912"/>
      <c r="I521" s="1913"/>
      <c r="J521" s="1949"/>
      <c r="K521" s="1950"/>
      <c r="L521" s="1900"/>
      <c r="M521" s="1914"/>
      <c r="N521" s="1916"/>
      <c r="O521" s="1925"/>
      <c r="P521" s="1876"/>
      <c r="Q521" s="1876"/>
    </row>
    <row r="522" spans="1:19" ht="20.25" hidden="1" customHeight="1">
      <c r="A522" s="1855">
        <f>A520+1</f>
        <v>34</v>
      </c>
      <c r="B522" s="1872"/>
      <c r="C522" s="2537" t="s">
        <v>3501</v>
      </c>
      <c r="D522" s="2537"/>
      <c r="E522" s="2537"/>
      <c r="F522" s="2537"/>
      <c r="G522" s="2537"/>
      <c r="H522" s="2537"/>
      <c r="I522" s="2537"/>
      <c r="J522" s="1949"/>
      <c r="K522" s="1914">
        <v>1</v>
      </c>
      <c r="L522" s="1947">
        <f>'[222]Toilet Block'!L274</f>
        <v>0</v>
      </c>
      <c r="M522" s="1947">
        <f>'[221]Sub Est-Toilet'!N299</f>
        <v>152657</v>
      </c>
      <c r="N522" s="1947">
        <f>'[221]Sub Est-Toilet'!N299</f>
        <v>152657</v>
      </c>
      <c r="O522" s="1925"/>
      <c r="P522" s="1876"/>
      <c r="Q522" s="1879"/>
    </row>
    <row r="523" spans="1:19" hidden="1">
      <c r="A523" s="1855"/>
      <c r="B523" s="1880"/>
      <c r="C523" s="1880"/>
      <c r="D523" s="1880"/>
      <c r="E523" s="1880"/>
      <c r="F523" s="1880"/>
      <c r="G523" s="1881"/>
      <c r="H523" s="1882"/>
      <c r="I523" s="1883"/>
      <c r="J523" s="1946"/>
      <c r="K523" s="1914"/>
      <c r="L523" s="1900"/>
      <c r="M523" s="1914"/>
      <c r="N523" s="1916"/>
      <c r="O523" s="1925"/>
      <c r="P523" s="1876"/>
      <c r="Q523" s="1879"/>
    </row>
    <row r="524" spans="1:19" hidden="1">
      <c r="A524" s="1855"/>
      <c r="B524" s="1900"/>
      <c r="C524" s="1877"/>
      <c r="D524" s="1877"/>
      <c r="E524" s="1877"/>
      <c r="F524" s="1918"/>
      <c r="G524" s="1877"/>
      <c r="H524" s="1877"/>
      <c r="I524" s="1877"/>
      <c r="J524" s="1919"/>
      <c r="K524" s="1920"/>
      <c r="L524" s="1921">
        <f>SUM(L370:L522)</f>
        <v>0</v>
      </c>
      <c r="M524" s="1921">
        <f>SUM(M303:M522)</f>
        <v>939857</v>
      </c>
      <c r="N524" s="1921">
        <f>SUM(N370:N523)</f>
        <v>245851</v>
      </c>
      <c r="O524" s="1875"/>
      <c r="P524" s="1922">
        <f>ROUND(SUM(P370:P522),0)</f>
        <v>127</v>
      </c>
      <c r="Q524" s="1922">
        <f>SUM(Q370:Q522)</f>
        <v>0</v>
      </c>
    </row>
    <row r="525" spans="1:19" ht="21" hidden="1" customHeight="1">
      <c r="A525" s="1855">
        <v>35</v>
      </c>
      <c r="B525" s="1872"/>
      <c r="C525" s="2533" t="s">
        <v>3502</v>
      </c>
      <c r="D525" s="2533"/>
      <c r="E525" s="2533"/>
      <c r="F525" s="2533"/>
      <c r="G525" s="2533"/>
      <c r="H525" s="2533"/>
      <c r="I525" s="2533"/>
      <c r="J525" s="1852"/>
      <c r="K525" s="1873"/>
      <c r="L525" s="1923"/>
      <c r="M525" s="1923"/>
      <c r="N525" s="1924">
        <f>ROUND(M524*5%,0)</f>
        <v>46993</v>
      </c>
      <c r="O525" s="1925"/>
      <c r="P525" s="1926"/>
      <c r="Q525" s="1927">
        <f>SUM(Q262:Q524)</f>
        <v>0</v>
      </c>
    </row>
    <row r="526" spans="1:19" ht="21" hidden="1" customHeight="1">
      <c r="A526" s="1855">
        <f>A525+1</f>
        <v>36</v>
      </c>
      <c r="B526" s="1872"/>
      <c r="C526" s="2533" t="s">
        <v>3473</v>
      </c>
      <c r="D526" s="2533"/>
      <c r="E526" s="2533"/>
      <c r="F526" s="2533"/>
      <c r="G526" s="2533"/>
      <c r="H526" s="2533"/>
      <c r="I526" s="2533"/>
      <c r="J526" s="1852"/>
      <c r="K526" s="1873"/>
      <c r="L526" s="1923"/>
      <c r="M526" s="1923"/>
      <c r="N526" s="1924">
        <f>ROUND(N524*0.5%,0)</f>
        <v>1229</v>
      </c>
      <c r="O526" s="1925"/>
      <c r="P526" s="1926"/>
      <c r="Q526" s="1926"/>
    </row>
    <row r="527" spans="1:19" ht="21" hidden="1" customHeight="1">
      <c r="A527" s="1855">
        <f>A526+1</f>
        <v>37</v>
      </c>
      <c r="B527" s="1872"/>
      <c r="C527" s="2533" t="s">
        <v>3503</v>
      </c>
      <c r="D527" s="2533"/>
      <c r="E527" s="2533"/>
      <c r="F527" s="2533"/>
      <c r="G527" s="2533"/>
      <c r="H527" s="2533"/>
      <c r="I527" s="2533"/>
      <c r="J527" s="1928"/>
      <c r="K527" s="1929"/>
      <c r="L527" s="1930"/>
      <c r="M527" s="1930"/>
      <c r="N527" s="1931">
        <f>ROUND((N364+N524)*0.1%,0)</f>
        <v>928</v>
      </c>
      <c r="O527" s="1951"/>
      <c r="P527" s="1926"/>
      <c r="Q527" s="1926"/>
    </row>
    <row r="528" spans="1:19" ht="21" hidden="1" customHeight="1">
      <c r="A528" s="1855">
        <f>A526+1</f>
        <v>37</v>
      </c>
      <c r="B528" s="1872"/>
      <c r="C528" s="2533" t="s">
        <v>3474</v>
      </c>
      <c r="D528" s="2533"/>
      <c r="E528" s="2533"/>
      <c r="F528" s="2533"/>
      <c r="G528" s="2533"/>
      <c r="H528" s="2533"/>
      <c r="I528" s="2533"/>
      <c r="J528" s="1928"/>
      <c r="K528" s="1929"/>
      <c r="L528" s="1930"/>
      <c r="M528" s="1930"/>
      <c r="N528" s="1931">
        <v>3287</v>
      </c>
      <c r="O528" s="1925"/>
      <c r="P528" s="1926"/>
      <c r="Q528" s="1926"/>
    </row>
    <row r="529" spans="1:17" hidden="1">
      <c r="A529" s="1855"/>
      <c r="B529" s="1872"/>
      <c r="C529" s="1952"/>
      <c r="D529" s="1952"/>
      <c r="E529" s="1952"/>
      <c r="F529" s="1953"/>
      <c r="G529" s="1912"/>
      <c r="H529" s="1912"/>
      <c r="I529" s="1912"/>
      <c r="J529" s="1928"/>
      <c r="K529" s="1929"/>
      <c r="L529" s="1851"/>
      <c r="M529" s="1933" t="s">
        <v>3504</v>
      </c>
      <c r="N529" s="1933">
        <f>SUM(N524:N528)</f>
        <v>298288</v>
      </c>
      <c r="O529" s="1935"/>
      <c r="P529" s="1927">
        <f>N529-400000</f>
        <v>-101712</v>
      </c>
      <c r="Q529" s="1926"/>
    </row>
    <row r="530" spans="1:17" ht="18" hidden="1" customHeight="1">
      <c r="A530" s="1855"/>
      <c r="B530" s="1872"/>
      <c r="C530" s="1952"/>
      <c r="D530" s="1952"/>
      <c r="E530" s="1952"/>
      <c r="F530" s="1953"/>
      <c r="G530" s="1912"/>
      <c r="H530" s="1912"/>
      <c r="I530" s="1912"/>
      <c r="J530" s="1928"/>
      <c r="K530" s="1929"/>
      <c r="L530" s="1851"/>
      <c r="M530" s="1933"/>
      <c r="N530" s="1933"/>
      <c r="O530" s="1935"/>
      <c r="P530" s="1927"/>
      <c r="Q530" s="1926"/>
    </row>
    <row r="531" spans="1:17" hidden="1">
      <c r="A531" s="1855"/>
      <c r="B531" s="1872"/>
      <c r="C531" s="1952"/>
      <c r="D531" s="1952"/>
      <c r="E531" s="1952"/>
      <c r="F531" s="1953"/>
      <c r="G531" s="1912"/>
      <c r="H531" s="1912"/>
      <c r="I531" s="1912"/>
      <c r="J531" s="1928"/>
      <c r="K531" s="1929"/>
      <c r="L531" s="1851"/>
      <c r="M531" s="1933"/>
      <c r="N531" s="1933"/>
      <c r="O531" s="1935"/>
      <c r="P531" s="1927"/>
      <c r="Q531" s="1926"/>
    </row>
    <row r="532" spans="1:17" ht="19.899999999999999" hidden="1" customHeight="1">
      <c r="A532" s="1855"/>
      <c r="B532" s="1872"/>
      <c r="C532" s="1952"/>
      <c r="D532" s="1952"/>
      <c r="E532" s="1952"/>
      <c r="F532" s="1953"/>
      <c r="G532" s="1912"/>
      <c r="H532" s="1954" t="s">
        <v>3505</v>
      </c>
      <c r="I532" s="1954"/>
      <c r="J532" s="1928"/>
      <c r="K532" s="1929"/>
      <c r="L532" s="1851"/>
      <c r="M532" s="1933"/>
      <c r="N532" s="1933">
        <f>N368</f>
        <v>696908</v>
      </c>
      <c r="O532" s="1935"/>
      <c r="P532" s="1927"/>
      <c r="Q532" s="1926"/>
    </row>
    <row r="533" spans="1:17" ht="19.899999999999999" hidden="1" customHeight="1">
      <c r="A533" s="1855"/>
      <c r="B533" s="1872"/>
      <c r="C533" s="1952"/>
      <c r="D533" s="1952"/>
      <c r="E533" s="1952"/>
      <c r="F533" s="1953"/>
      <c r="G533" s="1912"/>
      <c r="H533" s="1954" t="s">
        <v>3506</v>
      </c>
      <c r="I533" s="1954"/>
      <c r="J533" s="1928"/>
      <c r="K533" s="1929"/>
      <c r="L533" s="1851"/>
      <c r="M533" s="1933"/>
      <c r="N533" s="1933">
        <f>N529</f>
        <v>298288</v>
      </c>
      <c r="O533" s="1935"/>
      <c r="P533" s="1927"/>
      <c r="Q533" s="1926"/>
    </row>
    <row r="534" spans="1:17" ht="25.9" hidden="1" customHeight="1">
      <c r="A534" s="1855"/>
      <c r="B534" s="1872"/>
      <c r="C534" s="1952"/>
      <c r="D534" s="1952"/>
      <c r="E534" s="1952"/>
      <c r="F534" s="1953"/>
      <c r="G534" s="1912"/>
      <c r="H534" s="1954" t="s">
        <v>3507</v>
      </c>
      <c r="I534" s="1954"/>
      <c r="J534" s="1928"/>
      <c r="K534" s="1929"/>
      <c r="L534" s="1851"/>
      <c r="M534" s="1933"/>
      <c r="N534" s="1933">
        <f>SUM(N532:N533)</f>
        <v>995196</v>
      </c>
      <c r="O534" s="1935"/>
      <c r="P534" s="1927">
        <f>N534-427895</f>
        <v>567301</v>
      </c>
      <c r="Q534" s="1926"/>
    </row>
    <row r="535" spans="1:17">
      <c r="A535" s="1955"/>
      <c r="B535" s="1956"/>
      <c r="D535" s="1957"/>
      <c r="F535" s="1958"/>
      <c r="G535" s="1959"/>
      <c r="H535" s="1959"/>
      <c r="I535" s="1945"/>
      <c r="J535" s="1960"/>
      <c r="K535" s="1945"/>
      <c r="L535" s="1945"/>
      <c r="M535" s="1961"/>
      <c r="N535" s="1945"/>
      <c r="O535" s="1945"/>
      <c r="P535" s="1945"/>
      <c r="Q535" s="1867"/>
    </row>
    <row r="536" spans="1:17">
      <c r="A536" s="1955"/>
      <c r="B536" s="1956"/>
      <c r="D536" s="1957"/>
      <c r="F536" s="1958"/>
      <c r="G536" s="1959"/>
      <c r="H536" s="1959"/>
      <c r="I536" s="1945"/>
      <c r="J536" s="1960"/>
      <c r="K536" s="1945"/>
      <c r="L536" s="1945"/>
      <c r="M536" s="1961"/>
      <c r="N536" s="1945"/>
      <c r="O536" s="1945"/>
      <c r="P536" s="1945"/>
      <c r="Q536" s="1867"/>
    </row>
    <row r="537" spans="1:17">
      <c r="A537" s="1955"/>
      <c r="B537" s="1956"/>
      <c r="D537" s="1957"/>
      <c r="F537" s="1958"/>
      <c r="G537" s="1959"/>
      <c r="H537" s="1959"/>
      <c r="I537" s="1945"/>
      <c r="J537" s="1960"/>
      <c r="K537" s="1945"/>
      <c r="L537" s="1945"/>
      <c r="M537" s="1961"/>
      <c r="N537" s="1945"/>
      <c r="O537" s="1945"/>
      <c r="P537" s="1945"/>
      <c r="Q537" s="1867"/>
    </row>
    <row r="538" spans="1:17">
      <c r="A538" s="1955"/>
      <c r="B538" s="1956"/>
      <c r="D538" s="1957"/>
      <c r="F538" s="1958"/>
      <c r="G538" s="1959"/>
      <c r="H538" s="1959"/>
      <c r="I538" s="1945"/>
      <c r="J538" s="1960"/>
      <c r="K538" s="1945"/>
      <c r="L538" s="1945"/>
      <c r="M538" s="1961"/>
      <c r="N538" s="1945"/>
      <c r="O538" s="1945"/>
      <c r="P538" s="1945"/>
      <c r="Q538" s="1867"/>
    </row>
    <row r="539" spans="1:17">
      <c r="A539" s="1955"/>
      <c r="B539" s="1956"/>
      <c r="D539" s="1957"/>
      <c r="F539" s="1958"/>
      <c r="G539" s="1959"/>
      <c r="H539" s="1959"/>
      <c r="I539" s="1945"/>
      <c r="J539" s="1960"/>
      <c r="K539" s="1945"/>
      <c r="L539" s="1945"/>
      <c r="M539" s="1945" t="s">
        <v>1480</v>
      </c>
      <c r="N539" s="1945"/>
      <c r="O539" s="1945"/>
      <c r="P539" s="1945"/>
      <c r="Q539" s="1867"/>
    </row>
    <row r="540" spans="1:17" ht="19.2" customHeight="1">
      <c r="A540" s="1956"/>
      <c r="B540" s="1962"/>
      <c r="C540" s="1963" t="str">
        <f>[221]Lead!B42</f>
        <v>Asst.Executive  Engineer</v>
      </c>
      <c r="D540" s="1964"/>
      <c r="E540" s="1964"/>
      <c r="F540" s="1965"/>
      <c r="G540" s="1963" t="str">
        <f>[221]Lead!H42</f>
        <v>Dy.Executive.Engineer</v>
      </c>
      <c r="H540" s="1963"/>
      <c r="I540" s="1964"/>
      <c r="J540" s="1966"/>
      <c r="K540" s="1963"/>
      <c r="L540" s="1963"/>
      <c r="M540" s="1964"/>
      <c r="N540" s="1964"/>
      <c r="O540" s="1964"/>
      <c r="P540" s="1964"/>
      <c r="Q540" s="1867"/>
    </row>
    <row r="541" spans="1:17">
      <c r="A541" s="1956"/>
      <c r="B541" s="1962"/>
      <c r="C541" s="1963" t="str">
        <f>'[221]Input Sheet'!C7</f>
        <v>MPP Kalwakurthy</v>
      </c>
      <c r="D541" s="1964"/>
      <c r="E541" s="1964"/>
      <c r="F541" s="1965"/>
      <c r="G541" s="1967" t="str">
        <f>'[221]Input Sheet'!C8</f>
        <v>PR SD : Kalwakurthy</v>
      </c>
      <c r="H541" s="1963"/>
      <c r="I541" s="1964"/>
      <c r="J541" s="1966"/>
      <c r="K541" s="1963"/>
      <c r="L541" s="1963"/>
      <c r="M541" s="1964"/>
      <c r="N541" s="1964"/>
      <c r="O541" s="1964"/>
      <c r="P541" s="1964"/>
      <c r="Q541" s="1867"/>
    </row>
  </sheetData>
  <mergeCells count="108">
    <mergeCell ref="C527:I527"/>
    <mergeCell ref="C528:I528"/>
    <mergeCell ref="C512:J512"/>
    <mergeCell ref="C515:I515"/>
    <mergeCell ref="C520:I520"/>
    <mergeCell ref="C522:I522"/>
    <mergeCell ref="C525:I525"/>
    <mergeCell ref="C526:I526"/>
    <mergeCell ref="C453:J453"/>
    <mergeCell ref="C476:I476"/>
    <mergeCell ref="C479:J479"/>
    <mergeCell ref="C499:I499"/>
    <mergeCell ref="C502:J502"/>
    <mergeCell ref="C509:I509"/>
    <mergeCell ref="C416:J416"/>
    <mergeCell ref="C428:I428"/>
    <mergeCell ref="C431:J431"/>
    <mergeCell ref="C441:I441"/>
    <mergeCell ref="C444:J444"/>
    <mergeCell ref="C450:I450"/>
    <mergeCell ref="C367:I367"/>
    <mergeCell ref="C369:J369"/>
    <mergeCell ref="C370:J370"/>
    <mergeCell ref="C392:I392"/>
    <mergeCell ref="C395:J395"/>
    <mergeCell ref="C413:I413"/>
    <mergeCell ref="C339:J339"/>
    <mergeCell ref="C351:I351"/>
    <mergeCell ref="C354:J354"/>
    <mergeCell ref="C361:I361"/>
    <mergeCell ref="C365:I365"/>
    <mergeCell ref="C366:I366"/>
    <mergeCell ref="C307:I307"/>
    <mergeCell ref="C310:J310"/>
    <mergeCell ref="C312:I312"/>
    <mergeCell ref="C315:J315"/>
    <mergeCell ref="C318:J318"/>
    <mergeCell ref="C336:I336"/>
    <mergeCell ref="C292:I292"/>
    <mergeCell ref="C295:J295"/>
    <mergeCell ref="C297:I297"/>
    <mergeCell ref="C301:J301"/>
    <mergeCell ref="C303:I303"/>
    <mergeCell ref="C305:J305"/>
    <mergeCell ref="C256:J256"/>
    <mergeCell ref="C259:I259"/>
    <mergeCell ref="C260:I260"/>
    <mergeCell ref="C262:J262"/>
    <mergeCell ref="C271:I271"/>
    <mergeCell ref="C274:J274"/>
    <mergeCell ref="C241:J241"/>
    <mergeCell ref="C245:I245"/>
    <mergeCell ref="C247:I247"/>
    <mergeCell ref="C250:J250"/>
    <mergeCell ref="C253:I253"/>
    <mergeCell ref="C254:I254"/>
    <mergeCell ref="C209:I209"/>
    <mergeCell ref="C212:J212"/>
    <mergeCell ref="C226:I226"/>
    <mergeCell ref="C229:J229"/>
    <mergeCell ref="C236:I236"/>
    <mergeCell ref="C238:I238"/>
    <mergeCell ref="C164:I164"/>
    <mergeCell ref="C167:J167"/>
    <mergeCell ref="C174:I174"/>
    <mergeCell ref="C177:J177"/>
    <mergeCell ref="C183:I183"/>
    <mergeCell ref="C186:J186"/>
    <mergeCell ref="C115:I115"/>
    <mergeCell ref="C126:I126"/>
    <mergeCell ref="C138:I138"/>
    <mergeCell ref="C147:I147"/>
    <mergeCell ref="C153:I153"/>
    <mergeCell ref="C156:J156"/>
    <mergeCell ref="C75:J75"/>
    <mergeCell ref="C93:I93"/>
    <mergeCell ref="C96:J96"/>
    <mergeCell ref="C102:I102"/>
    <mergeCell ref="C105:J105"/>
    <mergeCell ref="C109:I109"/>
    <mergeCell ref="C33:J33"/>
    <mergeCell ref="C57:I57"/>
    <mergeCell ref="C60:J60"/>
    <mergeCell ref="C65:I65"/>
    <mergeCell ref="C68:J68"/>
    <mergeCell ref="C72:I72"/>
    <mergeCell ref="C6:J6"/>
    <mergeCell ref="C7:J7"/>
    <mergeCell ref="C17:I17"/>
    <mergeCell ref="C19:J19"/>
    <mergeCell ref="C28:I28"/>
    <mergeCell ref="C30:I30"/>
    <mergeCell ref="M3:M4"/>
    <mergeCell ref="N3:N4"/>
    <mergeCell ref="O3:O4"/>
    <mergeCell ref="P3:P4"/>
    <mergeCell ref="Q3:Q4"/>
    <mergeCell ref="D5:F5"/>
    <mergeCell ref="A1:N1"/>
    <mergeCell ref="A2:N2"/>
    <mergeCell ref="A3:A4"/>
    <mergeCell ref="B3:B4"/>
    <mergeCell ref="C3:C4"/>
    <mergeCell ref="D3:F4"/>
    <mergeCell ref="G3:I3"/>
    <mergeCell ref="J3:J4"/>
    <mergeCell ref="K3:K4"/>
    <mergeCell ref="L3:L4"/>
  </mergeCells>
  <pageMargins left="0.7" right="0.7" top="0.75" bottom="0.75" header="0.3" footer="0.3"/>
  <pageSetup paperSize="9" scale="8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B7262-38AD-4F1B-A8D3-AAB4EFC75BAE}">
  <dimension ref="A1:S541"/>
  <sheetViews>
    <sheetView tabSelected="1" view="pageBreakPreview" zoomScale="70" zoomScaleNormal="100" zoomScaleSheetLayoutView="70" workbookViewId="0">
      <selection activeCell="K312" sqref="K312"/>
    </sheetView>
  </sheetViews>
  <sheetFormatPr defaultColWidth="9.109375" defaultRowHeight="14.1"/>
  <cols>
    <col min="1" max="1" width="5.44140625" style="1846" customWidth="1"/>
    <col min="2" max="2" width="4.21875" style="1847" customWidth="1"/>
    <col min="3" max="3" width="19.21875" style="1847" customWidth="1"/>
    <col min="4" max="5" width="3.5546875" style="1847" customWidth="1"/>
    <col min="6" max="6" width="5.44140625" style="1847" customWidth="1"/>
    <col min="7" max="7" width="6.88671875" style="1846" customWidth="1"/>
    <col min="8" max="8" width="6.44140625" style="1846" customWidth="1"/>
    <col min="9" max="9" width="8.5546875" style="1846" customWidth="1"/>
    <col min="10" max="10" width="9" style="1968" bestFit="1" customWidth="1"/>
    <col min="11" max="11" width="10.44140625" style="1847" customWidth="1"/>
    <col min="12" max="12" width="6.77734375" style="1847" customWidth="1"/>
    <col min="13" max="13" width="10.109375" style="1847" customWidth="1"/>
    <col min="14" max="14" width="12.44140625" style="1847" customWidth="1"/>
    <col min="15" max="15" width="9.109375" style="1847"/>
    <col min="16" max="16" width="15.5546875" style="1847" bestFit="1" customWidth="1"/>
    <col min="17" max="256" width="9.109375" style="1847"/>
    <col min="257" max="257" width="5.44140625" style="1847" customWidth="1"/>
    <col min="258" max="258" width="4.21875" style="1847" customWidth="1"/>
    <col min="259" max="259" width="23" style="1847" customWidth="1"/>
    <col min="260" max="261" width="3.5546875" style="1847" customWidth="1"/>
    <col min="262" max="262" width="5.44140625" style="1847" customWidth="1"/>
    <col min="263" max="263" width="6.88671875" style="1847" customWidth="1"/>
    <col min="264" max="264" width="6.44140625" style="1847" customWidth="1"/>
    <col min="265" max="265" width="8.5546875" style="1847" customWidth="1"/>
    <col min="266" max="266" width="7.5546875" style="1847" customWidth="1"/>
    <col min="267" max="267" width="10.44140625" style="1847" customWidth="1"/>
    <col min="268" max="268" width="8.21875" style="1847" customWidth="1"/>
    <col min="269" max="269" width="10.109375" style="1847" customWidth="1"/>
    <col min="270" max="270" width="14.109375" style="1847" customWidth="1"/>
    <col min="271" max="271" width="9.109375" style="1847"/>
    <col min="272" max="272" width="15.5546875" style="1847" bestFit="1" customWidth="1"/>
    <col min="273" max="512" width="9.109375" style="1847"/>
    <col min="513" max="513" width="5.44140625" style="1847" customWidth="1"/>
    <col min="514" max="514" width="4.21875" style="1847" customWidth="1"/>
    <col min="515" max="515" width="23" style="1847" customWidth="1"/>
    <col min="516" max="517" width="3.5546875" style="1847" customWidth="1"/>
    <col min="518" max="518" width="5.44140625" style="1847" customWidth="1"/>
    <col min="519" max="519" width="6.88671875" style="1847" customWidth="1"/>
    <col min="520" max="520" width="6.44140625" style="1847" customWidth="1"/>
    <col min="521" max="521" width="8.5546875" style="1847" customWidth="1"/>
    <col min="522" max="522" width="7.5546875" style="1847" customWidth="1"/>
    <col min="523" max="523" width="10.44140625" style="1847" customWidth="1"/>
    <col min="524" max="524" width="8.21875" style="1847" customWidth="1"/>
    <col min="525" max="525" width="10.109375" style="1847" customWidth="1"/>
    <col min="526" max="526" width="14.109375" style="1847" customWidth="1"/>
    <col min="527" max="527" width="9.109375" style="1847"/>
    <col min="528" max="528" width="15.5546875" style="1847" bestFit="1" customWidth="1"/>
    <col min="529" max="768" width="9.109375" style="1847"/>
    <col min="769" max="769" width="5.44140625" style="1847" customWidth="1"/>
    <col min="770" max="770" width="4.21875" style="1847" customWidth="1"/>
    <col min="771" max="771" width="23" style="1847" customWidth="1"/>
    <col min="772" max="773" width="3.5546875" style="1847" customWidth="1"/>
    <col min="774" max="774" width="5.44140625" style="1847" customWidth="1"/>
    <col min="775" max="775" width="6.88671875" style="1847" customWidth="1"/>
    <col min="776" max="776" width="6.44140625" style="1847" customWidth="1"/>
    <col min="777" max="777" width="8.5546875" style="1847" customWidth="1"/>
    <col min="778" max="778" width="7.5546875" style="1847" customWidth="1"/>
    <col min="779" max="779" width="10.44140625" style="1847" customWidth="1"/>
    <col min="780" max="780" width="8.21875" style="1847" customWidth="1"/>
    <col min="781" max="781" width="10.109375" style="1847" customWidth="1"/>
    <col min="782" max="782" width="14.109375" style="1847" customWidth="1"/>
    <col min="783" max="783" width="9.109375" style="1847"/>
    <col min="784" max="784" width="15.5546875" style="1847" bestFit="1" customWidth="1"/>
    <col min="785" max="1024" width="9.109375" style="1847"/>
    <col min="1025" max="1025" width="5.44140625" style="1847" customWidth="1"/>
    <col min="1026" max="1026" width="4.21875" style="1847" customWidth="1"/>
    <col min="1027" max="1027" width="23" style="1847" customWidth="1"/>
    <col min="1028" max="1029" width="3.5546875" style="1847" customWidth="1"/>
    <col min="1030" max="1030" width="5.44140625" style="1847" customWidth="1"/>
    <col min="1031" max="1031" width="6.88671875" style="1847" customWidth="1"/>
    <col min="1032" max="1032" width="6.44140625" style="1847" customWidth="1"/>
    <col min="1033" max="1033" width="8.5546875" style="1847" customWidth="1"/>
    <col min="1034" max="1034" width="7.5546875" style="1847" customWidth="1"/>
    <col min="1035" max="1035" width="10.44140625" style="1847" customWidth="1"/>
    <col min="1036" max="1036" width="8.21875" style="1847" customWidth="1"/>
    <col min="1037" max="1037" width="10.109375" style="1847" customWidth="1"/>
    <col min="1038" max="1038" width="14.109375" style="1847" customWidth="1"/>
    <col min="1039" max="1039" width="9.109375" style="1847"/>
    <col min="1040" max="1040" width="15.5546875" style="1847" bestFit="1" customWidth="1"/>
    <col min="1041" max="1280" width="9.109375" style="1847"/>
    <col min="1281" max="1281" width="5.44140625" style="1847" customWidth="1"/>
    <col min="1282" max="1282" width="4.21875" style="1847" customWidth="1"/>
    <col min="1283" max="1283" width="23" style="1847" customWidth="1"/>
    <col min="1284" max="1285" width="3.5546875" style="1847" customWidth="1"/>
    <col min="1286" max="1286" width="5.44140625" style="1847" customWidth="1"/>
    <col min="1287" max="1287" width="6.88671875" style="1847" customWidth="1"/>
    <col min="1288" max="1288" width="6.44140625" style="1847" customWidth="1"/>
    <col min="1289" max="1289" width="8.5546875" style="1847" customWidth="1"/>
    <col min="1290" max="1290" width="7.5546875" style="1847" customWidth="1"/>
    <col min="1291" max="1291" width="10.44140625" style="1847" customWidth="1"/>
    <col min="1292" max="1292" width="8.21875" style="1847" customWidth="1"/>
    <col min="1293" max="1293" width="10.109375" style="1847" customWidth="1"/>
    <col min="1294" max="1294" width="14.109375" style="1847" customWidth="1"/>
    <col min="1295" max="1295" width="9.109375" style="1847"/>
    <col min="1296" max="1296" width="15.5546875" style="1847" bestFit="1" customWidth="1"/>
    <col min="1297" max="1536" width="9.109375" style="1847"/>
    <col min="1537" max="1537" width="5.44140625" style="1847" customWidth="1"/>
    <col min="1538" max="1538" width="4.21875" style="1847" customWidth="1"/>
    <col min="1539" max="1539" width="23" style="1847" customWidth="1"/>
    <col min="1540" max="1541" width="3.5546875" style="1847" customWidth="1"/>
    <col min="1542" max="1542" width="5.44140625" style="1847" customWidth="1"/>
    <col min="1543" max="1543" width="6.88671875" style="1847" customWidth="1"/>
    <col min="1544" max="1544" width="6.44140625" style="1847" customWidth="1"/>
    <col min="1545" max="1545" width="8.5546875" style="1847" customWidth="1"/>
    <col min="1546" max="1546" width="7.5546875" style="1847" customWidth="1"/>
    <col min="1547" max="1547" width="10.44140625" style="1847" customWidth="1"/>
    <col min="1548" max="1548" width="8.21875" style="1847" customWidth="1"/>
    <col min="1549" max="1549" width="10.109375" style="1847" customWidth="1"/>
    <col min="1550" max="1550" width="14.109375" style="1847" customWidth="1"/>
    <col min="1551" max="1551" width="9.109375" style="1847"/>
    <col min="1552" max="1552" width="15.5546875" style="1847" bestFit="1" customWidth="1"/>
    <col min="1553" max="1792" width="9.109375" style="1847"/>
    <col min="1793" max="1793" width="5.44140625" style="1847" customWidth="1"/>
    <col min="1794" max="1794" width="4.21875" style="1847" customWidth="1"/>
    <col min="1795" max="1795" width="23" style="1847" customWidth="1"/>
    <col min="1796" max="1797" width="3.5546875" style="1847" customWidth="1"/>
    <col min="1798" max="1798" width="5.44140625" style="1847" customWidth="1"/>
    <col min="1799" max="1799" width="6.88671875" style="1847" customWidth="1"/>
    <col min="1800" max="1800" width="6.44140625" style="1847" customWidth="1"/>
    <col min="1801" max="1801" width="8.5546875" style="1847" customWidth="1"/>
    <col min="1802" max="1802" width="7.5546875" style="1847" customWidth="1"/>
    <col min="1803" max="1803" width="10.44140625" style="1847" customWidth="1"/>
    <col min="1804" max="1804" width="8.21875" style="1847" customWidth="1"/>
    <col min="1805" max="1805" width="10.109375" style="1847" customWidth="1"/>
    <col min="1806" max="1806" width="14.109375" style="1847" customWidth="1"/>
    <col min="1807" max="1807" width="9.109375" style="1847"/>
    <col min="1808" max="1808" width="15.5546875" style="1847" bestFit="1" customWidth="1"/>
    <col min="1809" max="2048" width="9.109375" style="1847"/>
    <col min="2049" max="2049" width="5.44140625" style="1847" customWidth="1"/>
    <col min="2050" max="2050" width="4.21875" style="1847" customWidth="1"/>
    <col min="2051" max="2051" width="23" style="1847" customWidth="1"/>
    <col min="2052" max="2053" width="3.5546875" style="1847" customWidth="1"/>
    <col min="2054" max="2054" width="5.44140625" style="1847" customWidth="1"/>
    <col min="2055" max="2055" width="6.88671875" style="1847" customWidth="1"/>
    <col min="2056" max="2056" width="6.44140625" style="1847" customWidth="1"/>
    <col min="2057" max="2057" width="8.5546875" style="1847" customWidth="1"/>
    <col min="2058" max="2058" width="7.5546875" style="1847" customWidth="1"/>
    <col min="2059" max="2059" width="10.44140625" style="1847" customWidth="1"/>
    <col min="2060" max="2060" width="8.21875" style="1847" customWidth="1"/>
    <col min="2061" max="2061" width="10.109375" style="1847" customWidth="1"/>
    <col min="2062" max="2062" width="14.109375" style="1847" customWidth="1"/>
    <col min="2063" max="2063" width="9.109375" style="1847"/>
    <col min="2064" max="2064" width="15.5546875" style="1847" bestFit="1" customWidth="1"/>
    <col min="2065" max="2304" width="9.109375" style="1847"/>
    <col min="2305" max="2305" width="5.44140625" style="1847" customWidth="1"/>
    <col min="2306" max="2306" width="4.21875" style="1847" customWidth="1"/>
    <col min="2307" max="2307" width="23" style="1847" customWidth="1"/>
    <col min="2308" max="2309" width="3.5546875" style="1847" customWidth="1"/>
    <col min="2310" max="2310" width="5.44140625" style="1847" customWidth="1"/>
    <col min="2311" max="2311" width="6.88671875" style="1847" customWidth="1"/>
    <col min="2312" max="2312" width="6.44140625" style="1847" customWidth="1"/>
    <col min="2313" max="2313" width="8.5546875" style="1847" customWidth="1"/>
    <col min="2314" max="2314" width="7.5546875" style="1847" customWidth="1"/>
    <col min="2315" max="2315" width="10.44140625" style="1847" customWidth="1"/>
    <col min="2316" max="2316" width="8.21875" style="1847" customWidth="1"/>
    <col min="2317" max="2317" width="10.109375" style="1847" customWidth="1"/>
    <col min="2318" max="2318" width="14.109375" style="1847" customWidth="1"/>
    <col min="2319" max="2319" width="9.109375" style="1847"/>
    <col min="2320" max="2320" width="15.5546875" style="1847" bestFit="1" customWidth="1"/>
    <col min="2321" max="2560" width="9.109375" style="1847"/>
    <col min="2561" max="2561" width="5.44140625" style="1847" customWidth="1"/>
    <col min="2562" max="2562" width="4.21875" style="1847" customWidth="1"/>
    <col min="2563" max="2563" width="23" style="1847" customWidth="1"/>
    <col min="2564" max="2565" width="3.5546875" style="1847" customWidth="1"/>
    <col min="2566" max="2566" width="5.44140625" style="1847" customWidth="1"/>
    <col min="2567" max="2567" width="6.88671875" style="1847" customWidth="1"/>
    <col min="2568" max="2568" width="6.44140625" style="1847" customWidth="1"/>
    <col min="2569" max="2569" width="8.5546875" style="1847" customWidth="1"/>
    <col min="2570" max="2570" width="7.5546875" style="1847" customWidth="1"/>
    <col min="2571" max="2571" width="10.44140625" style="1847" customWidth="1"/>
    <col min="2572" max="2572" width="8.21875" style="1847" customWidth="1"/>
    <col min="2573" max="2573" width="10.109375" style="1847" customWidth="1"/>
    <col min="2574" max="2574" width="14.109375" style="1847" customWidth="1"/>
    <col min="2575" max="2575" width="9.109375" style="1847"/>
    <col min="2576" max="2576" width="15.5546875" style="1847" bestFit="1" customWidth="1"/>
    <col min="2577" max="2816" width="9.109375" style="1847"/>
    <col min="2817" max="2817" width="5.44140625" style="1847" customWidth="1"/>
    <col min="2818" max="2818" width="4.21875" style="1847" customWidth="1"/>
    <col min="2819" max="2819" width="23" style="1847" customWidth="1"/>
    <col min="2820" max="2821" width="3.5546875" style="1847" customWidth="1"/>
    <col min="2822" max="2822" width="5.44140625" style="1847" customWidth="1"/>
    <col min="2823" max="2823" width="6.88671875" style="1847" customWidth="1"/>
    <col min="2824" max="2824" width="6.44140625" style="1847" customWidth="1"/>
    <col min="2825" max="2825" width="8.5546875" style="1847" customWidth="1"/>
    <col min="2826" max="2826" width="7.5546875" style="1847" customWidth="1"/>
    <col min="2827" max="2827" width="10.44140625" style="1847" customWidth="1"/>
    <col min="2828" max="2828" width="8.21875" style="1847" customWidth="1"/>
    <col min="2829" max="2829" width="10.109375" style="1847" customWidth="1"/>
    <col min="2830" max="2830" width="14.109375" style="1847" customWidth="1"/>
    <col min="2831" max="2831" width="9.109375" style="1847"/>
    <col min="2832" max="2832" width="15.5546875" style="1847" bestFit="1" customWidth="1"/>
    <col min="2833" max="3072" width="9.109375" style="1847"/>
    <col min="3073" max="3073" width="5.44140625" style="1847" customWidth="1"/>
    <col min="3074" max="3074" width="4.21875" style="1847" customWidth="1"/>
    <col min="3075" max="3075" width="23" style="1847" customWidth="1"/>
    <col min="3076" max="3077" width="3.5546875" style="1847" customWidth="1"/>
    <col min="3078" max="3078" width="5.44140625" style="1847" customWidth="1"/>
    <col min="3079" max="3079" width="6.88671875" style="1847" customWidth="1"/>
    <col min="3080" max="3080" width="6.44140625" style="1847" customWidth="1"/>
    <col min="3081" max="3081" width="8.5546875" style="1847" customWidth="1"/>
    <col min="3082" max="3082" width="7.5546875" style="1847" customWidth="1"/>
    <col min="3083" max="3083" width="10.44140625" style="1847" customWidth="1"/>
    <col min="3084" max="3084" width="8.21875" style="1847" customWidth="1"/>
    <col min="3085" max="3085" width="10.109375" style="1847" customWidth="1"/>
    <col min="3086" max="3086" width="14.109375" style="1847" customWidth="1"/>
    <col min="3087" max="3087" width="9.109375" style="1847"/>
    <col min="3088" max="3088" width="15.5546875" style="1847" bestFit="1" customWidth="1"/>
    <col min="3089" max="3328" width="9.109375" style="1847"/>
    <col min="3329" max="3329" width="5.44140625" style="1847" customWidth="1"/>
    <col min="3330" max="3330" width="4.21875" style="1847" customWidth="1"/>
    <col min="3331" max="3331" width="23" style="1847" customWidth="1"/>
    <col min="3332" max="3333" width="3.5546875" style="1847" customWidth="1"/>
    <col min="3334" max="3334" width="5.44140625" style="1847" customWidth="1"/>
    <col min="3335" max="3335" width="6.88671875" style="1847" customWidth="1"/>
    <col min="3336" max="3336" width="6.44140625" style="1847" customWidth="1"/>
    <col min="3337" max="3337" width="8.5546875" style="1847" customWidth="1"/>
    <col min="3338" max="3338" width="7.5546875" style="1847" customWidth="1"/>
    <col min="3339" max="3339" width="10.44140625" style="1847" customWidth="1"/>
    <col min="3340" max="3340" width="8.21875" style="1847" customWidth="1"/>
    <col min="3341" max="3341" width="10.109375" style="1847" customWidth="1"/>
    <col min="3342" max="3342" width="14.109375" style="1847" customWidth="1"/>
    <col min="3343" max="3343" width="9.109375" style="1847"/>
    <col min="3344" max="3344" width="15.5546875" style="1847" bestFit="1" customWidth="1"/>
    <col min="3345" max="3584" width="9.109375" style="1847"/>
    <col min="3585" max="3585" width="5.44140625" style="1847" customWidth="1"/>
    <col min="3586" max="3586" width="4.21875" style="1847" customWidth="1"/>
    <col min="3587" max="3587" width="23" style="1847" customWidth="1"/>
    <col min="3588" max="3589" width="3.5546875" style="1847" customWidth="1"/>
    <col min="3590" max="3590" width="5.44140625" style="1847" customWidth="1"/>
    <col min="3591" max="3591" width="6.88671875" style="1847" customWidth="1"/>
    <col min="3592" max="3592" width="6.44140625" style="1847" customWidth="1"/>
    <col min="3593" max="3593" width="8.5546875" style="1847" customWidth="1"/>
    <col min="3594" max="3594" width="7.5546875" style="1847" customWidth="1"/>
    <col min="3595" max="3595" width="10.44140625" style="1847" customWidth="1"/>
    <col min="3596" max="3596" width="8.21875" style="1847" customWidth="1"/>
    <col min="3597" max="3597" width="10.109375" style="1847" customWidth="1"/>
    <col min="3598" max="3598" width="14.109375" style="1847" customWidth="1"/>
    <col min="3599" max="3599" width="9.109375" style="1847"/>
    <col min="3600" max="3600" width="15.5546875" style="1847" bestFit="1" customWidth="1"/>
    <col min="3601" max="3840" width="9.109375" style="1847"/>
    <col min="3841" max="3841" width="5.44140625" style="1847" customWidth="1"/>
    <col min="3842" max="3842" width="4.21875" style="1847" customWidth="1"/>
    <col min="3843" max="3843" width="23" style="1847" customWidth="1"/>
    <col min="3844" max="3845" width="3.5546875" style="1847" customWidth="1"/>
    <col min="3846" max="3846" width="5.44140625" style="1847" customWidth="1"/>
    <col min="3847" max="3847" width="6.88671875" style="1847" customWidth="1"/>
    <col min="3848" max="3848" width="6.44140625" style="1847" customWidth="1"/>
    <col min="3849" max="3849" width="8.5546875" style="1847" customWidth="1"/>
    <col min="3850" max="3850" width="7.5546875" style="1847" customWidth="1"/>
    <col min="3851" max="3851" width="10.44140625" style="1847" customWidth="1"/>
    <col min="3852" max="3852" width="8.21875" style="1847" customWidth="1"/>
    <col min="3853" max="3853" width="10.109375" style="1847" customWidth="1"/>
    <col min="3854" max="3854" width="14.109375" style="1847" customWidth="1"/>
    <col min="3855" max="3855" width="9.109375" style="1847"/>
    <col min="3856" max="3856" width="15.5546875" style="1847" bestFit="1" customWidth="1"/>
    <col min="3857" max="4096" width="9.109375" style="1847"/>
    <col min="4097" max="4097" width="5.44140625" style="1847" customWidth="1"/>
    <col min="4098" max="4098" width="4.21875" style="1847" customWidth="1"/>
    <col min="4099" max="4099" width="23" style="1847" customWidth="1"/>
    <col min="4100" max="4101" width="3.5546875" style="1847" customWidth="1"/>
    <col min="4102" max="4102" width="5.44140625" style="1847" customWidth="1"/>
    <col min="4103" max="4103" width="6.88671875" style="1847" customWidth="1"/>
    <col min="4104" max="4104" width="6.44140625" style="1847" customWidth="1"/>
    <col min="4105" max="4105" width="8.5546875" style="1847" customWidth="1"/>
    <col min="4106" max="4106" width="7.5546875" style="1847" customWidth="1"/>
    <col min="4107" max="4107" width="10.44140625" style="1847" customWidth="1"/>
    <col min="4108" max="4108" width="8.21875" style="1847" customWidth="1"/>
    <col min="4109" max="4109" width="10.109375" style="1847" customWidth="1"/>
    <col min="4110" max="4110" width="14.109375" style="1847" customWidth="1"/>
    <col min="4111" max="4111" width="9.109375" style="1847"/>
    <col min="4112" max="4112" width="15.5546875" style="1847" bestFit="1" customWidth="1"/>
    <col min="4113" max="4352" width="9.109375" style="1847"/>
    <col min="4353" max="4353" width="5.44140625" style="1847" customWidth="1"/>
    <col min="4354" max="4354" width="4.21875" style="1847" customWidth="1"/>
    <col min="4355" max="4355" width="23" style="1847" customWidth="1"/>
    <col min="4356" max="4357" width="3.5546875" style="1847" customWidth="1"/>
    <col min="4358" max="4358" width="5.44140625" style="1847" customWidth="1"/>
    <col min="4359" max="4359" width="6.88671875" style="1847" customWidth="1"/>
    <col min="4360" max="4360" width="6.44140625" style="1847" customWidth="1"/>
    <col min="4361" max="4361" width="8.5546875" style="1847" customWidth="1"/>
    <col min="4362" max="4362" width="7.5546875" style="1847" customWidth="1"/>
    <col min="4363" max="4363" width="10.44140625" style="1847" customWidth="1"/>
    <col min="4364" max="4364" width="8.21875" style="1847" customWidth="1"/>
    <col min="4365" max="4365" width="10.109375" style="1847" customWidth="1"/>
    <col min="4366" max="4366" width="14.109375" style="1847" customWidth="1"/>
    <col min="4367" max="4367" width="9.109375" style="1847"/>
    <col min="4368" max="4368" width="15.5546875" style="1847" bestFit="1" customWidth="1"/>
    <col min="4369" max="4608" width="9.109375" style="1847"/>
    <col min="4609" max="4609" width="5.44140625" style="1847" customWidth="1"/>
    <col min="4610" max="4610" width="4.21875" style="1847" customWidth="1"/>
    <col min="4611" max="4611" width="23" style="1847" customWidth="1"/>
    <col min="4612" max="4613" width="3.5546875" style="1847" customWidth="1"/>
    <col min="4614" max="4614" width="5.44140625" style="1847" customWidth="1"/>
    <col min="4615" max="4615" width="6.88671875" style="1847" customWidth="1"/>
    <col min="4616" max="4616" width="6.44140625" style="1847" customWidth="1"/>
    <col min="4617" max="4617" width="8.5546875" style="1847" customWidth="1"/>
    <col min="4618" max="4618" width="7.5546875" style="1847" customWidth="1"/>
    <col min="4619" max="4619" width="10.44140625" style="1847" customWidth="1"/>
    <col min="4620" max="4620" width="8.21875" style="1847" customWidth="1"/>
    <col min="4621" max="4621" width="10.109375" style="1847" customWidth="1"/>
    <col min="4622" max="4622" width="14.109375" style="1847" customWidth="1"/>
    <col min="4623" max="4623" width="9.109375" style="1847"/>
    <col min="4624" max="4624" width="15.5546875" style="1847" bestFit="1" customWidth="1"/>
    <col min="4625" max="4864" width="9.109375" style="1847"/>
    <col min="4865" max="4865" width="5.44140625" style="1847" customWidth="1"/>
    <col min="4866" max="4866" width="4.21875" style="1847" customWidth="1"/>
    <col min="4867" max="4867" width="23" style="1847" customWidth="1"/>
    <col min="4868" max="4869" width="3.5546875" style="1847" customWidth="1"/>
    <col min="4870" max="4870" width="5.44140625" style="1847" customWidth="1"/>
    <col min="4871" max="4871" width="6.88671875" style="1847" customWidth="1"/>
    <col min="4872" max="4872" width="6.44140625" style="1847" customWidth="1"/>
    <col min="4873" max="4873" width="8.5546875" style="1847" customWidth="1"/>
    <col min="4874" max="4874" width="7.5546875" style="1847" customWidth="1"/>
    <col min="4875" max="4875" width="10.44140625" style="1847" customWidth="1"/>
    <col min="4876" max="4876" width="8.21875" style="1847" customWidth="1"/>
    <col min="4877" max="4877" width="10.109375" style="1847" customWidth="1"/>
    <col min="4878" max="4878" width="14.109375" style="1847" customWidth="1"/>
    <col min="4879" max="4879" width="9.109375" style="1847"/>
    <col min="4880" max="4880" width="15.5546875" style="1847" bestFit="1" customWidth="1"/>
    <col min="4881" max="5120" width="9.109375" style="1847"/>
    <col min="5121" max="5121" width="5.44140625" style="1847" customWidth="1"/>
    <col min="5122" max="5122" width="4.21875" style="1847" customWidth="1"/>
    <col min="5123" max="5123" width="23" style="1847" customWidth="1"/>
    <col min="5124" max="5125" width="3.5546875" style="1847" customWidth="1"/>
    <col min="5126" max="5126" width="5.44140625" style="1847" customWidth="1"/>
    <col min="5127" max="5127" width="6.88671875" style="1847" customWidth="1"/>
    <col min="5128" max="5128" width="6.44140625" style="1847" customWidth="1"/>
    <col min="5129" max="5129" width="8.5546875" style="1847" customWidth="1"/>
    <col min="5130" max="5130" width="7.5546875" style="1847" customWidth="1"/>
    <col min="5131" max="5131" width="10.44140625" style="1847" customWidth="1"/>
    <col min="5132" max="5132" width="8.21875" style="1847" customWidth="1"/>
    <col min="5133" max="5133" width="10.109375" style="1847" customWidth="1"/>
    <col min="5134" max="5134" width="14.109375" style="1847" customWidth="1"/>
    <col min="5135" max="5135" width="9.109375" style="1847"/>
    <col min="5136" max="5136" width="15.5546875" style="1847" bestFit="1" customWidth="1"/>
    <col min="5137" max="5376" width="9.109375" style="1847"/>
    <col min="5377" max="5377" width="5.44140625" style="1847" customWidth="1"/>
    <col min="5378" max="5378" width="4.21875" style="1847" customWidth="1"/>
    <col min="5379" max="5379" width="23" style="1847" customWidth="1"/>
    <col min="5380" max="5381" width="3.5546875" style="1847" customWidth="1"/>
    <col min="5382" max="5382" width="5.44140625" style="1847" customWidth="1"/>
    <col min="5383" max="5383" width="6.88671875" style="1847" customWidth="1"/>
    <col min="5384" max="5384" width="6.44140625" style="1847" customWidth="1"/>
    <col min="5385" max="5385" width="8.5546875" style="1847" customWidth="1"/>
    <col min="5386" max="5386" width="7.5546875" style="1847" customWidth="1"/>
    <col min="5387" max="5387" width="10.44140625" style="1847" customWidth="1"/>
    <col min="5388" max="5388" width="8.21875" style="1847" customWidth="1"/>
    <col min="5389" max="5389" width="10.109375" style="1847" customWidth="1"/>
    <col min="5390" max="5390" width="14.109375" style="1847" customWidth="1"/>
    <col min="5391" max="5391" width="9.109375" style="1847"/>
    <col min="5392" max="5392" width="15.5546875" style="1847" bestFit="1" customWidth="1"/>
    <col min="5393" max="5632" width="9.109375" style="1847"/>
    <col min="5633" max="5633" width="5.44140625" style="1847" customWidth="1"/>
    <col min="5634" max="5634" width="4.21875" style="1847" customWidth="1"/>
    <col min="5635" max="5635" width="23" style="1847" customWidth="1"/>
    <col min="5636" max="5637" width="3.5546875" style="1847" customWidth="1"/>
    <col min="5638" max="5638" width="5.44140625" style="1847" customWidth="1"/>
    <col min="5639" max="5639" width="6.88671875" style="1847" customWidth="1"/>
    <col min="5640" max="5640" width="6.44140625" style="1847" customWidth="1"/>
    <col min="5641" max="5641" width="8.5546875" style="1847" customWidth="1"/>
    <col min="5642" max="5642" width="7.5546875" style="1847" customWidth="1"/>
    <col min="5643" max="5643" width="10.44140625" style="1847" customWidth="1"/>
    <col min="5644" max="5644" width="8.21875" style="1847" customWidth="1"/>
    <col min="5645" max="5645" width="10.109375" style="1847" customWidth="1"/>
    <col min="5646" max="5646" width="14.109375" style="1847" customWidth="1"/>
    <col min="5647" max="5647" width="9.109375" style="1847"/>
    <col min="5648" max="5648" width="15.5546875" style="1847" bestFit="1" customWidth="1"/>
    <col min="5649" max="5888" width="9.109375" style="1847"/>
    <col min="5889" max="5889" width="5.44140625" style="1847" customWidth="1"/>
    <col min="5890" max="5890" width="4.21875" style="1847" customWidth="1"/>
    <col min="5891" max="5891" width="23" style="1847" customWidth="1"/>
    <col min="5892" max="5893" width="3.5546875" style="1847" customWidth="1"/>
    <col min="5894" max="5894" width="5.44140625" style="1847" customWidth="1"/>
    <col min="5895" max="5895" width="6.88671875" style="1847" customWidth="1"/>
    <col min="5896" max="5896" width="6.44140625" style="1847" customWidth="1"/>
    <col min="5897" max="5897" width="8.5546875" style="1847" customWidth="1"/>
    <col min="5898" max="5898" width="7.5546875" style="1847" customWidth="1"/>
    <col min="5899" max="5899" width="10.44140625" style="1847" customWidth="1"/>
    <col min="5900" max="5900" width="8.21875" style="1847" customWidth="1"/>
    <col min="5901" max="5901" width="10.109375" style="1847" customWidth="1"/>
    <col min="5902" max="5902" width="14.109375" style="1847" customWidth="1"/>
    <col min="5903" max="5903" width="9.109375" style="1847"/>
    <col min="5904" max="5904" width="15.5546875" style="1847" bestFit="1" customWidth="1"/>
    <col min="5905" max="6144" width="9.109375" style="1847"/>
    <col min="6145" max="6145" width="5.44140625" style="1847" customWidth="1"/>
    <col min="6146" max="6146" width="4.21875" style="1847" customWidth="1"/>
    <col min="6147" max="6147" width="23" style="1847" customWidth="1"/>
    <col min="6148" max="6149" width="3.5546875" style="1847" customWidth="1"/>
    <col min="6150" max="6150" width="5.44140625" style="1847" customWidth="1"/>
    <col min="6151" max="6151" width="6.88671875" style="1847" customWidth="1"/>
    <col min="6152" max="6152" width="6.44140625" style="1847" customWidth="1"/>
    <col min="6153" max="6153" width="8.5546875" style="1847" customWidth="1"/>
    <col min="6154" max="6154" width="7.5546875" style="1847" customWidth="1"/>
    <col min="6155" max="6155" width="10.44140625" style="1847" customWidth="1"/>
    <col min="6156" max="6156" width="8.21875" style="1847" customWidth="1"/>
    <col min="6157" max="6157" width="10.109375" style="1847" customWidth="1"/>
    <col min="6158" max="6158" width="14.109375" style="1847" customWidth="1"/>
    <col min="6159" max="6159" width="9.109375" style="1847"/>
    <col min="6160" max="6160" width="15.5546875" style="1847" bestFit="1" customWidth="1"/>
    <col min="6161" max="6400" width="9.109375" style="1847"/>
    <col min="6401" max="6401" width="5.44140625" style="1847" customWidth="1"/>
    <col min="6402" max="6402" width="4.21875" style="1847" customWidth="1"/>
    <col min="6403" max="6403" width="23" style="1847" customWidth="1"/>
    <col min="6404" max="6405" width="3.5546875" style="1847" customWidth="1"/>
    <col min="6406" max="6406" width="5.44140625" style="1847" customWidth="1"/>
    <col min="6407" max="6407" width="6.88671875" style="1847" customWidth="1"/>
    <col min="6408" max="6408" width="6.44140625" style="1847" customWidth="1"/>
    <col min="6409" max="6409" width="8.5546875" style="1847" customWidth="1"/>
    <col min="6410" max="6410" width="7.5546875" style="1847" customWidth="1"/>
    <col min="6411" max="6411" width="10.44140625" style="1847" customWidth="1"/>
    <col min="6412" max="6412" width="8.21875" style="1847" customWidth="1"/>
    <col min="6413" max="6413" width="10.109375" style="1847" customWidth="1"/>
    <col min="6414" max="6414" width="14.109375" style="1847" customWidth="1"/>
    <col min="6415" max="6415" width="9.109375" style="1847"/>
    <col min="6416" max="6416" width="15.5546875" style="1847" bestFit="1" customWidth="1"/>
    <col min="6417" max="6656" width="9.109375" style="1847"/>
    <col min="6657" max="6657" width="5.44140625" style="1847" customWidth="1"/>
    <col min="6658" max="6658" width="4.21875" style="1847" customWidth="1"/>
    <col min="6659" max="6659" width="23" style="1847" customWidth="1"/>
    <col min="6660" max="6661" width="3.5546875" style="1847" customWidth="1"/>
    <col min="6662" max="6662" width="5.44140625" style="1847" customWidth="1"/>
    <col min="6663" max="6663" width="6.88671875" style="1847" customWidth="1"/>
    <col min="6664" max="6664" width="6.44140625" style="1847" customWidth="1"/>
    <col min="6665" max="6665" width="8.5546875" style="1847" customWidth="1"/>
    <col min="6666" max="6666" width="7.5546875" style="1847" customWidth="1"/>
    <col min="6667" max="6667" width="10.44140625" style="1847" customWidth="1"/>
    <col min="6668" max="6668" width="8.21875" style="1847" customWidth="1"/>
    <col min="6669" max="6669" width="10.109375" style="1847" customWidth="1"/>
    <col min="6670" max="6670" width="14.109375" style="1847" customWidth="1"/>
    <col min="6671" max="6671" width="9.109375" style="1847"/>
    <col min="6672" max="6672" width="15.5546875" style="1847" bestFit="1" customWidth="1"/>
    <col min="6673" max="6912" width="9.109375" style="1847"/>
    <col min="6913" max="6913" width="5.44140625" style="1847" customWidth="1"/>
    <col min="6914" max="6914" width="4.21875" style="1847" customWidth="1"/>
    <col min="6915" max="6915" width="23" style="1847" customWidth="1"/>
    <col min="6916" max="6917" width="3.5546875" style="1847" customWidth="1"/>
    <col min="6918" max="6918" width="5.44140625" style="1847" customWidth="1"/>
    <col min="6919" max="6919" width="6.88671875" style="1847" customWidth="1"/>
    <col min="6920" max="6920" width="6.44140625" style="1847" customWidth="1"/>
    <col min="6921" max="6921" width="8.5546875" style="1847" customWidth="1"/>
    <col min="6922" max="6922" width="7.5546875" style="1847" customWidth="1"/>
    <col min="6923" max="6923" width="10.44140625" style="1847" customWidth="1"/>
    <col min="6924" max="6924" width="8.21875" style="1847" customWidth="1"/>
    <col min="6925" max="6925" width="10.109375" style="1847" customWidth="1"/>
    <col min="6926" max="6926" width="14.109375" style="1847" customWidth="1"/>
    <col min="6927" max="6927" width="9.109375" style="1847"/>
    <col min="6928" max="6928" width="15.5546875" style="1847" bestFit="1" customWidth="1"/>
    <col min="6929" max="7168" width="9.109375" style="1847"/>
    <col min="7169" max="7169" width="5.44140625" style="1847" customWidth="1"/>
    <col min="7170" max="7170" width="4.21875" style="1847" customWidth="1"/>
    <col min="7171" max="7171" width="23" style="1847" customWidth="1"/>
    <col min="7172" max="7173" width="3.5546875" style="1847" customWidth="1"/>
    <col min="7174" max="7174" width="5.44140625" style="1847" customWidth="1"/>
    <col min="7175" max="7175" width="6.88671875" style="1847" customWidth="1"/>
    <col min="7176" max="7176" width="6.44140625" style="1847" customWidth="1"/>
    <col min="7177" max="7177" width="8.5546875" style="1847" customWidth="1"/>
    <col min="7178" max="7178" width="7.5546875" style="1847" customWidth="1"/>
    <col min="7179" max="7179" width="10.44140625" style="1847" customWidth="1"/>
    <col min="7180" max="7180" width="8.21875" style="1847" customWidth="1"/>
    <col min="7181" max="7181" width="10.109375" style="1847" customWidth="1"/>
    <col min="7182" max="7182" width="14.109375" style="1847" customWidth="1"/>
    <col min="7183" max="7183" width="9.109375" style="1847"/>
    <col min="7184" max="7184" width="15.5546875" style="1847" bestFit="1" customWidth="1"/>
    <col min="7185" max="7424" width="9.109375" style="1847"/>
    <col min="7425" max="7425" width="5.44140625" style="1847" customWidth="1"/>
    <col min="7426" max="7426" width="4.21875" style="1847" customWidth="1"/>
    <col min="7427" max="7427" width="23" style="1847" customWidth="1"/>
    <col min="7428" max="7429" width="3.5546875" style="1847" customWidth="1"/>
    <col min="7430" max="7430" width="5.44140625" style="1847" customWidth="1"/>
    <col min="7431" max="7431" width="6.88671875" style="1847" customWidth="1"/>
    <col min="7432" max="7432" width="6.44140625" style="1847" customWidth="1"/>
    <col min="7433" max="7433" width="8.5546875" style="1847" customWidth="1"/>
    <col min="7434" max="7434" width="7.5546875" style="1847" customWidth="1"/>
    <col min="7435" max="7435" width="10.44140625" style="1847" customWidth="1"/>
    <col min="7436" max="7436" width="8.21875" style="1847" customWidth="1"/>
    <col min="7437" max="7437" width="10.109375" style="1847" customWidth="1"/>
    <col min="7438" max="7438" width="14.109375" style="1847" customWidth="1"/>
    <col min="7439" max="7439" width="9.109375" style="1847"/>
    <col min="7440" max="7440" width="15.5546875" style="1847" bestFit="1" customWidth="1"/>
    <col min="7441" max="7680" width="9.109375" style="1847"/>
    <col min="7681" max="7681" width="5.44140625" style="1847" customWidth="1"/>
    <col min="7682" max="7682" width="4.21875" style="1847" customWidth="1"/>
    <col min="7683" max="7683" width="23" style="1847" customWidth="1"/>
    <col min="7684" max="7685" width="3.5546875" style="1847" customWidth="1"/>
    <col min="7686" max="7686" width="5.44140625" style="1847" customWidth="1"/>
    <col min="7687" max="7687" width="6.88671875" style="1847" customWidth="1"/>
    <col min="7688" max="7688" width="6.44140625" style="1847" customWidth="1"/>
    <col min="7689" max="7689" width="8.5546875" style="1847" customWidth="1"/>
    <col min="7690" max="7690" width="7.5546875" style="1847" customWidth="1"/>
    <col min="7691" max="7691" width="10.44140625" style="1847" customWidth="1"/>
    <col min="7692" max="7692" width="8.21875" style="1847" customWidth="1"/>
    <col min="7693" max="7693" width="10.109375" style="1847" customWidth="1"/>
    <col min="7694" max="7694" width="14.109375" style="1847" customWidth="1"/>
    <col min="7695" max="7695" width="9.109375" style="1847"/>
    <col min="7696" max="7696" width="15.5546875" style="1847" bestFit="1" customWidth="1"/>
    <col min="7697" max="7936" width="9.109375" style="1847"/>
    <col min="7937" max="7937" width="5.44140625" style="1847" customWidth="1"/>
    <col min="7938" max="7938" width="4.21875" style="1847" customWidth="1"/>
    <col min="7939" max="7939" width="23" style="1847" customWidth="1"/>
    <col min="7940" max="7941" width="3.5546875" style="1847" customWidth="1"/>
    <col min="7942" max="7942" width="5.44140625" style="1847" customWidth="1"/>
    <col min="7943" max="7943" width="6.88671875" style="1847" customWidth="1"/>
    <col min="7944" max="7944" width="6.44140625" style="1847" customWidth="1"/>
    <col min="7945" max="7945" width="8.5546875" style="1847" customWidth="1"/>
    <col min="7946" max="7946" width="7.5546875" style="1847" customWidth="1"/>
    <col min="7947" max="7947" width="10.44140625" style="1847" customWidth="1"/>
    <col min="7948" max="7948" width="8.21875" style="1847" customWidth="1"/>
    <col min="7949" max="7949" width="10.109375" style="1847" customWidth="1"/>
    <col min="7950" max="7950" width="14.109375" style="1847" customWidth="1"/>
    <col min="7951" max="7951" width="9.109375" style="1847"/>
    <col min="7952" max="7952" width="15.5546875" style="1847" bestFit="1" customWidth="1"/>
    <col min="7953" max="8192" width="9.109375" style="1847"/>
    <col min="8193" max="8193" width="5.44140625" style="1847" customWidth="1"/>
    <col min="8194" max="8194" width="4.21875" style="1847" customWidth="1"/>
    <col min="8195" max="8195" width="23" style="1847" customWidth="1"/>
    <col min="8196" max="8197" width="3.5546875" style="1847" customWidth="1"/>
    <col min="8198" max="8198" width="5.44140625" style="1847" customWidth="1"/>
    <col min="8199" max="8199" width="6.88671875" style="1847" customWidth="1"/>
    <col min="8200" max="8200" width="6.44140625" style="1847" customWidth="1"/>
    <col min="8201" max="8201" width="8.5546875" style="1847" customWidth="1"/>
    <col min="8202" max="8202" width="7.5546875" style="1847" customWidth="1"/>
    <col min="8203" max="8203" width="10.44140625" style="1847" customWidth="1"/>
    <col min="8204" max="8204" width="8.21875" style="1847" customWidth="1"/>
    <col min="8205" max="8205" width="10.109375" style="1847" customWidth="1"/>
    <col min="8206" max="8206" width="14.109375" style="1847" customWidth="1"/>
    <col min="8207" max="8207" width="9.109375" style="1847"/>
    <col min="8208" max="8208" width="15.5546875" style="1847" bestFit="1" customWidth="1"/>
    <col min="8209" max="8448" width="9.109375" style="1847"/>
    <col min="8449" max="8449" width="5.44140625" style="1847" customWidth="1"/>
    <col min="8450" max="8450" width="4.21875" style="1847" customWidth="1"/>
    <col min="8451" max="8451" width="23" style="1847" customWidth="1"/>
    <col min="8452" max="8453" width="3.5546875" style="1847" customWidth="1"/>
    <col min="8454" max="8454" width="5.44140625" style="1847" customWidth="1"/>
    <col min="8455" max="8455" width="6.88671875" style="1847" customWidth="1"/>
    <col min="8456" max="8456" width="6.44140625" style="1847" customWidth="1"/>
    <col min="8457" max="8457" width="8.5546875" style="1847" customWidth="1"/>
    <col min="8458" max="8458" width="7.5546875" style="1847" customWidth="1"/>
    <col min="8459" max="8459" width="10.44140625" style="1847" customWidth="1"/>
    <col min="8460" max="8460" width="8.21875" style="1847" customWidth="1"/>
    <col min="8461" max="8461" width="10.109375" style="1847" customWidth="1"/>
    <col min="8462" max="8462" width="14.109375" style="1847" customWidth="1"/>
    <col min="8463" max="8463" width="9.109375" style="1847"/>
    <col min="8464" max="8464" width="15.5546875" style="1847" bestFit="1" customWidth="1"/>
    <col min="8465" max="8704" width="9.109375" style="1847"/>
    <col min="8705" max="8705" width="5.44140625" style="1847" customWidth="1"/>
    <col min="8706" max="8706" width="4.21875" style="1847" customWidth="1"/>
    <col min="8707" max="8707" width="23" style="1847" customWidth="1"/>
    <col min="8708" max="8709" width="3.5546875" style="1847" customWidth="1"/>
    <col min="8710" max="8710" width="5.44140625" style="1847" customWidth="1"/>
    <col min="8711" max="8711" width="6.88671875" style="1847" customWidth="1"/>
    <col min="8712" max="8712" width="6.44140625" style="1847" customWidth="1"/>
    <col min="8713" max="8713" width="8.5546875" style="1847" customWidth="1"/>
    <col min="8714" max="8714" width="7.5546875" style="1847" customWidth="1"/>
    <col min="8715" max="8715" width="10.44140625" style="1847" customWidth="1"/>
    <col min="8716" max="8716" width="8.21875" style="1847" customWidth="1"/>
    <col min="8717" max="8717" width="10.109375" style="1847" customWidth="1"/>
    <col min="8718" max="8718" width="14.109375" style="1847" customWidth="1"/>
    <col min="8719" max="8719" width="9.109375" style="1847"/>
    <col min="8720" max="8720" width="15.5546875" style="1847" bestFit="1" customWidth="1"/>
    <col min="8721" max="8960" width="9.109375" style="1847"/>
    <col min="8961" max="8961" width="5.44140625" style="1847" customWidth="1"/>
    <col min="8962" max="8962" width="4.21875" style="1847" customWidth="1"/>
    <col min="8963" max="8963" width="23" style="1847" customWidth="1"/>
    <col min="8964" max="8965" width="3.5546875" style="1847" customWidth="1"/>
    <col min="8966" max="8966" width="5.44140625" style="1847" customWidth="1"/>
    <col min="8967" max="8967" width="6.88671875" style="1847" customWidth="1"/>
    <col min="8968" max="8968" width="6.44140625" style="1847" customWidth="1"/>
    <col min="8969" max="8969" width="8.5546875" style="1847" customWidth="1"/>
    <col min="8970" max="8970" width="7.5546875" style="1847" customWidth="1"/>
    <col min="8971" max="8971" width="10.44140625" style="1847" customWidth="1"/>
    <col min="8972" max="8972" width="8.21875" style="1847" customWidth="1"/>
    <col min="8973" max="8973" width="10.109375" style="1847" customWidth="1"/>
    <col min="8974" max="8974" width="14.109375" style="1847" customWidth="1"/>
    <col min="8975" max="8975" width="9.109375" style="1847"/>
    <col min="8976" max="8976" width="15.5546875" style="1847" bestFit="1" customWidth="1"/>
    <col min="8977" max="9216" width="9.109375" style="1847"/>
    <col min="9217" max="9217" width="5.44140625" style="1847" customWidth="1"/>
    <col min="9218" max="9218" width="4.21875" style="1847" customWidth="1"/>
    <col min="9219" max="9219" width="23" style="1847" customWidth="1"/>
    <col min="9220" max="9221" width="3.5546875" style="1847" customWidth="1"/>
    <col min="9222" max="9222" width="5.44140625" style="1847" customWidth="1"/>
    <col min="9223" max="9223" width="6.88671875" style="1847" customWidth="1"/>
    <col min="9224" max="9224" width="6.44140625" style="1847" customWidth="1"/>
    <col min="9225" max="9225" width="8.5546875" style="1847" customWidth="1"/>
    <col min="9226" max="9226" width="7.5546875" style="1847" customWidth="1"/>
    <col min="9227" max="9227" width="10.44140625" style="1847" customWidth="1"/>
    <col min="9228" max="9228" width="8.21875" style="1847" customWidth="1"/>
    <col min="9229" max="9229" width="10.109375" style="1847" customWidth="1"/>
    <col min="9230" max="9230" width="14.109375" style="1847" customWidth="1"/>
    <col min="9231" max="9231" width="9.109375" style="1847"/>
    <col min="9232" max="9232" width="15.5546875" style="1847" bestFit="1" customWidth="1"/>
    <col min="9233" max="9472" width="9.109375" style="1847"/>
    <col min="9473" max="9473" width="5.44140625" style="1847" customWidth="1"/>
    <col min="9474" max="9474" width="4.21875" style="1847" customWidth="1"/>
    <col min="9475" max="9475" width="23" style="1847" customWidth="1"/>
    <col min="9476" max="9477" width="3.5546875" style="1847" customWidth="1"/>
    <col min="9478" max="9478" width="5.44140625" style="1847" customWidth="1"/>
    <col min="9479" max="9479" width="6.88671875" style="1847" customWidth="1"/>
    <col min="9480" max="9480" width="6.44140625" style="1847" customWidth="1"/>
    <col min="9481" max="9481" width="8.5546875" style="1847" customWidth="1"/>
    <col min="9482" max="9482" width="7.5546875" style="1847" customWidth="1"/>
    <col min="9483" max="9483" width="10.44140625" style="1847" customWidth="1"/>
    <col min="9484" max="9484" width="8.21875" style="1847" customWidth="1"/>
    <col min="9485" max="9485" width="10.109375" style="1847" customWidth="1"/>
    <col min="9486" max="9486" width="14.109375" style="1847" customWidth="1"/>
    <col min="9487" max="9487" width="9.109375" style="1847"/>
    <col min="9488" max="9488" width="15.5546875" style="1847" bestFit="1" customWidth="1"/>
    <col min="9489" max="9728" width="9.109375" style="1847"/>
    <col min="9729" max="9729" width="5.44140625" style="1847" customWidth="1"/>
    <col min="9730" max="9730" width="4.21875" style="1847" customWidth="1"/>
    <col min="9731" max="9731" width="23" style="1847" customWidth="1"/>
    <col min="9732" max="9733" width="3.5546875" style="1847" customWidth="1"/>
    <col min="9734" max="9734" width="5.44140625" style="1847" customWidth="1"/>
    <col min="9735" max="9735" width="6.88671875" style="1847" customWidth="1"/>
    <col min="9736" max="9736" width="6.44140625" style="1847" customWidth="1"/>
    <col min="9737" max="9737" width="8.5546875" style="1847" customWidth="1"/>
    <col min="9738" max="9738" width="7.5546875" style="1847" customWidth="1"/>
    <col min="9739" max="9739" width="10.44140625" style="1847" customWidth="1"/>
    <col min="9740" max="9740" width="8.21875" style="1847" customWidth="1"/>
    <col min="9741" max="9741" width="10.109375" style="1847" customWidth="1"/>
    <col min="9742" max="9742" width="14.109375" style="1847" customWidth="1"/>
    <col min="9743" max="9743" width="9.109375" style="1847"/>
    <col min="9744" max="9744" width="15.5546875" style="1847" bestFit="1" customWidth="1"/>
    <col min="9745" max="9984" width="9.109375" style="1847"/>
    <col min="9985" max="9985" width="5.44140625" style="1847" customWidth="1"/>
    <col min="9986" max="9986" width="4.21875" style="1847" customWidth="1"/>
    <col min="9987" max="9987" width="23" style="1847" customWidth="1"/>
    <col min="9988" max="9989" width="3.5546875" style="1847" customWidth="1"/>
    <col min="9990" max="9990" width="5.44140625" style="1847" customWidth="1"/>
    <col min="9991" max="9991" width="6.88671875" style="1847" customWidth="1"/>
    <col min="9992" max="9992" width="6.44140625" style="1847" customWidth="1"/>
    <col min="9993" max="9993" width="8.5546875" style="1847" customWidth="1"/>
    <col min="9994" max="9994" width="7.5546875" style="1847" customWidth="1"/>
    <col min="9995" max="9995" width="10.44140625" style="1847" customWidth="1"/>
    <col min="9996" max="9996" width="8.21875" style="1847" customWidth="1"/>
    <col min="9997" max="9997" width="10.109375" style="1847" customWidth="1"/>
    <col min="9998" max="9998" width="14.109375" style="1847" customWidth="1"/>
    <col min="9999" max="9999" width="9.109375" style="1847"/>
    <col min="10000" max="10000" width="15.5546875" style="1847" bestFit="1" customWidth="1"/>
    <col min="10001" max="10240" width="9.109375" style="1847"/>
    <col min="10241" max="10241" width="5.44140625" style="1847" customWidth="1"/>
    <col min="10242" max="10242" width="4.21875" style="1847" customWidth="1"/>
    <col min="10243" max="10243" width="23" style="1847" customWidth="1"/>
    <col min="10244" max="10245" width="3.5546875" style="1847" customWidth="1"/>
    <col min="10246" max="10246" width="5.44140625" style="1847" customWidth="1"/>
    <col min="10247" max="10247" width="6.88671875" style="1847" customWidth="1"/>
    <col min="10248" max="10248" width="6.44140625" style="1847" customWidth="1"/>
    <col min="10249" max="10249" width="8.5546875" style="1847" customWidth="1"/>
    <col min="10250" max="10250" width="7.5546875" style="1847" customWidth="1"/>
    <col min="10251" max="10251" width="10.44140625" style="1847" customWidth="1"/>
    <col min="10252" max="10252" width="8.21875" style="1847" customWidth="1"/>
    <col min="10253" max="10253" width="10.109375" style="1847" customWidth="1"/>
    <col min="10254" max="10254" width="14.109375" style="1847" customWidth="1"/>
    <col min="10255" max="10255" width="9.109375" style="1847"/>
    <col min="10256" max="10256" width="15.5546875" style="1847" bestFit="1" customWidth="1"/>
    <col min="10257" max="10496" width="9.109375" style="1847"/>
    <col min="10497" max="10497" width="5.44140625" style="1847" customWidth="1"/>
    <col min="10498" max="10498" width="4.21875" style="1847" customWidth="1"/>
    <col min="10499" max="10499" width="23" style="1847" customWidth="1"/>
    <col min="10500" max="10501" width="3.5546875" style="1847" customWidth="1"/>
    <col min="10502" max="10502" width="5.44140625" style="1847" customWidth="1"/>
    <col min="10503" max="10503" width="6.88671875" style="1847" customWidth="1"/>
    <col min="10504" max="10504" width="6.44140625" style="1847" customWidth="1"/>
    <col min="10505" max="10505" width="8.5546875" style="1847" customWidth="1"/>
    <col min="10506" max="10506" width="7.5546875" style="1847" customWidth="1"/>
    <col min="10507" max="10507" width="10.44140625" style="1847" customWidth="1"/>
    <col min="10508" max="10508" width="8.21875" style="1847" customWidth="1"/>
    <col min="10509" max="10509" width="10.109375" style="1847" customWidth="1"/>
    <col min="10510" max="10510" width="14.109375" style="1847" customWidth="1"/>
    <col min="10511" max="10511" width="9.109375" style="1847"/>
    <col min="10512" max="10512" width="15.5546875" style="1847" bestFit="1" customWidth="1"/>
    <col min="10513" max="10752" width="9.109375" style="1847"/>
    <col min="10753" max="10753" width="5.44140625" style="1847" customWidth="1"/>
    <col min="10754" max="10754" width="4.21875" style="1847" customWidth="1"/>
    <col min="10755" max="10755" width="23" style="1847" customWidth="1"/>
    <col min="10756" max="10757" width="3.5546875" style="1847" customWidth="1"/>
    <col min="10758" max="10758" width="5.44140625" style="1847" customWidth="1"/>
    <col min="10759" max="10759" width="6.88671875" style="1847" customWidth="1"/>
    <col min="10760" max="10760" width="6.44140625" style="1847" customWidth="1"/>
    <col min="10761" max="10761" width="8.5546875" style="1847" customWidth="1"/>
    <col min="10762" max="10762" width="7.5546875" style="1847" customWidth="1"/>
    <col min="10763" max="10763" width="10.44140625" style="1847" customWidth="1"/>
    <col min="10764" max="10764" width="8.21875" style="1847" customWidth="1"/>
    <col min="10765" max="10765" width="10.109375" style="1847" customWidth="1"/>
    <col min="10766" max="10766" width="14.109375" style="1847" customWidth="1"/>
    <col min="10767" max="10767" width="9.109375" style="1847"/>
    <col min="10768" max="10768" width="15.5546875" style="1847" bestFit="1" customWidth="1"/>
    <col min="10769" max="11008" width="9.109375" style="1847"/>
    <col min="11009" max="11009" width="5.44140625" style="1847" customWidth="1"/>
    <col min="11010" max="11010" width="4.21875" style="1847" customWidth="1"/>
    <col min="11011" max="11011" width="23" style="1847" customWidth="1"/>
    <col min="11012" max="11013" width="3.5546875" style="1847" customWidth="1"/>
    <col min="11014" max="11014" width="5.44140625" style="1847" customWidth="1"/>
    <col min="11015" max="11015" width="6.88671875" style="1847" customWidth="1"/>
    <col min="11016" max="11016" width="6.44140625" style="1847" customWidth="1"/>
    <col min="11017" max="11017" width="8.5546875" style="1847" customWidth="1"/>
    <col min="11018" max="11018" width="7.5546875" style="1847" customWidth="1"/>
    <col min="11019" max="11019" width="10.44140625" style="1847" customWidth="1"/>
    <col min="11020" max="11020" width="8.21875" style="1847" customWidth="1"/>
    <col min="11021" max="11021" width="10.109375" style="1847" customWidth="1"/>
    <col min="11022" max="11022" width="14.109375" style="1847" customWidth="1"/>
    <col min="11023" max="11023" width="9.109375" style="1847"/>
    <col min="11024" max="11024" width="15.5546875" style="1847" bestFit="1" customWidth="1"/>
    <col min="11025" max="11264" width="9.109375" style="1847"/>
    <col min="11265" max="11265" width="5.44140625" style="1847" customWidth="1"/>
    <col min="11266" max="11266" width="4.21875" style="1847" customWidth="1"/>
    <col min="11267" max="11267" width="23" style="1847" customWidth="1"/>
    <col min="11268" max="11269" width="3.5546875" style="1847" customWidth="1"/>
    <col min="11270" max="11270" width="5.44140625" style="1847" customWidth="1"/>
    <col min="11271" max="11271" width="6.88671875" style="1847" customWidth="1"/>
    <col min="11272" max="11272" width="6.44140625" style="1847" customWidth="1"/>
    <col min="11273" max="11273" width="8.5546875" style="1847" customWidth="1"/>
    <col min="11274" max="11274" width="7.5546875" style="1847" customWidth="1"/>
    <col min="11275" max="11275" width="10.44140625" style="1847" customWidth="1"/>
    <col min="11276" max="11276" width="8.21875" style="1847" customWidth="1"/>
    <col min="11277" max="11277" width="10.109375" style="1847" customWidth="1"/>
    <col min="11278" max="11278" width="14.109375" style="1847" customWidth="1"/>
    <col min="11279" max="11279" width="9.109375" style="1847"/>
    <col min="11280" max="11280" width="15.5546875" style="1847" bestFit="1" customWidth="1"/>
    <col min="11281" max="11520" width="9.109375" style="1847"/>
    <col min="11521" max="11521" width="5.44140625" style="1847" customWidth="1"/>
    <col min="11522" max="11522" width="4.21875" style="1847" customWidth="1"/>
    <col min="11523" max="11523" width="23" style="1847" customWidth="1"/>
    <col min="11524" max="11525" width="3.5546875" style="1847" customWidth="1"/>
    <col min="11526" max="11526" width="5.44140625" style="1847" customWidth="1"/>
    <col min="11527" max="11527" width="6.88671875" style="1847" customWidth="1"/>
    <col min="11528" max="11528" width="6.44140625" style="1847" customWidth="1"/>
    <col min="11529" max="11529" width="8.5546875" style="1847" customWidth="1"/>
    <col min="11530" max="11530" width="7.5546875" style="1847" customWidth="1"/>
    <col min="11531" max="11531" width="10.44140625" style="1847" customWidth="1"/>
    <col min="11532" max="11532" width="8.21875" style="1847" customWidth="1"/>
    <col min="11533" max="11533" width="10.109375" style="1847" customWidth="1"/>
    <col min="11534" max="11534" width="14.109375" style="1847" customWidth="1"/>
    <col min="11535" max="11535" width="9.109375" style="1847"/>
    <col min="11536" max="11536" width="15.5546875" style="1847" bestFit="1" customWidth="1"/>
    <col min="11537" max="11776" width="9.109375" style="1847"/>
    <col min="11777" max="11777" width="5.44140625" style="1847" customWidth="1"/>
    <col min="11778" max="11778" width="4.21875" style="1847" customWidth="1"/>
    <col min="11779" max="11779" width="23" style="1847" customWidth="1"/>
    <col min="11780" max="11781" width="3.5546875" style="1847" customWidth="1"/>
    <col min="11782" max="11782" width="5.44140625" style="1847" customWidth="1"/>
    <col min="11783" max="11783" width="6.88671875" style="1847" customWidth="1"/>
    <col min="11784" max="11784" width="6.44140625" style="1847" customWidth="1"/>
    <col min="11785" max="11785" width="8.5546875" style="1847" customWidth="1"/>
    <col min="11786" max="11786" width="7.5546875" style="1847" customWidth="1"/>
    <col min="11787" max="11787" width="10.44140625" style="1847" customWidth="1"/>
    <col min="11788" max="11788" width="8.21875" style="1847" customWidth="1"/>
    <col min="11789" max="11789" width="10.109375" style="1847" customWidth="1"/>
    <col min="11790" max="11790" width="14.109375" style="1847" customWidth="1"/>
    <col min="11791" max="11791" width="9.109375" style="1847"/>
    <col min="11792" max="11792" width="15.5546875" style="1847" bestFit="1" customWidth="1"/>
    <col min="11793" max="12032" width="9.109375" style="1847"/>
    <col min="12033" max="12033" width="5.44140625" style="1847" customWidth="1"/>
    <col min="12034" max="12034" width="4.21875" style="1847" customWidth="1"/>
    <col min="12035" max="12035" width="23" style="1847" customWidth="1"/>
    <col min="12036" max="12037" width="3.5546875" style="1847" customWidth="1"/>
    <col min="12038" max="12038" width="5.44140625" style="1847" customWidth="1"/>
    <col min="12039" max="12039" width="6.88671875" style="1847" customWidth="1"/>
    <col min="12040" max="12040" width="6.44140625" style="1847" customWidth="1"/>
    <col min="12041" max="12041" width="8.5546875" style="1847" customWidth="1"/>
    <col min="12042" max="12042" width="7.5546875" style="1847" customWidth="1"/>
    <col min="12043" max="12043" width="10.44140625" style="1847" customWidth="1"/>
    <col min="12044" max="12044" width="8.21875" style="1847" customWidth="1"/>
    <col min="12045" max="12045" width="10.109375" style="1847" customWidth="1"/>
    <col min="12046" max="12046" width="14.109375" style="1847" customWidth="1"/>
    <col min="12047" max="12047" width="9.109375" style="1847"/>
    <col min="12048" max="12048" width="15.5546875" style="1847" bestFit="1" customWidth="1"/>
    <col min="12049" max="12288" width="9.109375" style="1847"/>
    <col min="12289" max="12289" width="5.44140625" style="1847" customWidth="1"/>
    <col min="12290" max="12290" width="4.21875" style="1847" customWidth="1"/>
    <col min="12291" max="12291" width="23" style="1847" customWidth="1"/>
    <col min="12292" max="12293" width="3.5546875" style="1847" customWidth="1"/>
    <col min="12294" max="12294" width="5.44140625" style="1847" customWidth="1"/>
    <col min="12295" max="12295" width="6.88671875" style="1847" customWidth="1"/>
    <col min="12296" max="12296" width="6.44140625" style="1847" customWidth="1"/>
    <col min="12297" max="12297" width="8.5546875" style="1847" customWidth="1"/>
    <col min="12298" max="12298" width="7.5546875" style="1847" customWidth="1"/>
    <col min="12299" max="12299" width="10.44140625" style="1847" customWidth="1"/>
    <col min="12300" max="12300" width="8.21875" style="1847" customWidth="1"/>
    <col min="12301" max="12301" width="10.109375" style="1847" customWidth="1"/>
    <col min="12302" max="12302" width="14.109375" style="1847" customWidth="1"/>
    <col min="12303" max="12303" width="9.109375" style="1847"/>
    <col min="12304" max="12304" width="15.5546875" style="1847" bestFit="1" customWidth="1"/>
    <col min="12305" max="12544" width="9.109375" style="1847"/>
    <col min="12545" max="12545" width="5.44140625" style="1847" customWidth="1"/>
    <col min="12546" max="12546" width="4.21875" style="1847" customWidth="1"/>
    <col min="12547" max="12547" width="23" style="1847" customWidth="1"/>
    <col min="12548" max="12549" width="3.5546875" style="1847" customWidth="1"/>
    <col min="12550" max="12550" width="5.44140625" style="1847" customWidth="1"/>
    <col min="12551" max="12551" width="6.88671875" style="1847" customWidth="1"/>
    <col min="12552" max="12552" width="6.44140625" style="1847" customWidth="1"/>
    <col min="12553" max="12553" width="8.5546875" style="1847" customWidth="1"/>
    <col min="12554" max="12554" width="7.5546875" style="1847" customWidth="1"/>
    <col min="12555" max="12555" width="10.44140625" style="1847" customWidth="1"/>
    <col min="12556" max="12556" width="8.21875" style="1847" customWidth="1"/>
    <col min="12557" max="12557" width="10.109375" style="1847" customWidth="1"/>
    <col min="12558" max="12558" width="14.109375" style="1847" customWidth="1"/>
    <col min="12559" max="12559" width="9.109375" style="1847"/>
    <col min="12560" max="12560" width="15.5546875" style="1847" bestFit="1" customWidth="1"/>
    <col min="12561" max="12800" width="9.109375" style="1847"/>
    <col min="12801" max="12801" width="5.44140625" style="1847" customWidth="1"/>
    <col min="12802" max="12802" width="4.21875" style="1847" customWidth="1"/>
    <col min="12803" max="12803" width="23" style="1847" customWidth="1"/>
    <col min="12804" max="12805" width="3.5546875" style="1847" customWidth="1"/>
    <col min="12806" max="12806" width="5.44140625" style="1847" customWidth="1"/>
    <col min="12807" max="12807" width="6.88671875" style="1847" customWidth="1"/>
    <col min="12808" max="12808" width="6.44140625" style="1847" customWidth="1"/>
    <col min="12809" max="12809" width="8.5546875" style="1847" customWidth="1"/>
    <col min="12810" max="12810" width="7.5546875" style="1847" customWidth="1"/>
    <col min="12811" max="12811" width="10.44140625" style="1847" customWidth="1"/>
    <col min="12812" max="12812" width="8.21875" style="1847" customWidth="1"/>
    <col min="12813" max="12813" width="10.109375" style="1847" customWidth="1"/>
    <col min="12814" max="12814" width="14.109375" style="1847" customWidth="1"/>
    <col min="12815" max="12815" width="9.109375" style="1847"/>
    <col min="12816" max="12816" width="15.5546875" style="1847" bestFit="1" customWidth="1"/>
    <col min="12817" max="13056" width="9.109375" style="1847"/>
    <col min="13057" max="13057" width="5.44140625" style="1847" customWidth="1"/>
    <col min="13058" max="13058" width="4.21875" style="1847" customWidth="1"/>
    <col min="13059" max="13059" width="23" style="1847" customWidth="1"/>
    <col min="13060" max="13061" width="3.5546875" style="1847" customWidth="1"/>
    <col min="13062" max="13062" width="5.44140625" style="1847" customWidth="1"/>
    <col min="13063" max="13063" width="6.88671875" style="1847" customWidth="1"/>
    <col min="13064" max="13064" width="6.44140625" style="1847" customWidth="1"/>
    <col min="13065" max="13065" width="8.5546875" style="1847" customWidth="1"/>
    <col min="13066" max="13066" width="7.5546875" style="1847" customWidth="1"/>
    <col min="13067" max="13067" width="10.44140625" style="1847" customWidth="1"/>
    <col min="13068" max="13068" width="8.21875" style="1847" customWidth="1"/>
    <col min="13069" max="13069" width="10.109375" style="1847" customWidth="1"/>
    <col min="13070" max="13070" width="14.109375" style="1847" customWidth="1"/>
    <col min="13071" max="13071" width="9.109375" style="1847"/>
    <col min="13072" max="13072" width="15.5546875" style="1847" bestFit="1" customWidth="1"/>
    <col min="13073" max="13312" width="9.109375" style="1847"/>
    <col min="13313" max="13313" width="5.44140625" style="1847" customWidth="1"/>
    <col min="13314" max="13314" width="4.21875" style="1847" customWidth="1"/>
    <col min="13315" max="13315" width="23" style="1847" customWidth="1"/>
    <col min="13316" max="13317" width="3.5546875" style="1847" customWidth="1"/>
    <col min="13318" max="13318" width="5.44140625" style="1847" customWidth="1"/>
    <col min="13319" max="13319" width="6.88671875" style="1847" customWidth="1"/>
    <col min="13320" max="13320" width="6.44140625" style="1847" customWidth="1"/>
    <col min="13321" max="13321" width="8.5546875" style="1847" customWidth="1"/>
    <col min="13322" max="13322" width="7.5546875" style="1847" customWidth="1"/>
    <col min="13323" max="13323" width="10.44140625" style="1847" customWidth="1"/>
    <col min="13324" max="13324" width="8.21875" style="1847" customWidth="1"/>
    <col min="13325" max="13325" width="10.109375" style="1847" customWidth="1"/>
    <col min="13326" max="13326" width="14.109375" style="1847" customWidth="1"/>
    <col min="13327" max="13327" width="9.109375" style="1847"/>
    <col min="13328" max="13328" width="15.5546875" style="1847" bestFit="1" customWidth="1"/>
    <col min="13329" max="13568" width="9.109375" style="1847"/>
    <col min="13569" max="13569" width="5.44140625" style="1847" customWidth="1"/>
    <col min="13570" max="13570" width="4.21875" style="1847" customWidth="1"/>
    <col min="13571" max="13571" width="23" style="1847" customWidth="1"/>
    <col min="13572" max="13573" width="3.5546875" style="1847" customWidth="1"/>
    <col min="13574" max="13574" width="5.44140625" style="1847" customWidth="1"/>
    <col min="13575" max="13575" width="6.88671875" style="1847" customWidth="1"/>
    <col min="13576" max="13576" width="6.44140625" style="1847" customWidth="1"/>
    <col min="13577" max="13577" width="8.5546875" style="1847" customWidth="1"/>
    <col min="13578" max="13578" width="7.5546875" style="1847" customWidth="1"/>
    <col min="13579" max="13579" width="10.44140625" style="1847" customWidth="1"/>
    <col min="13580" max="13580" width="8.21875" style="1847" customWidth="1"/>
    <col min="13581" max="13581" width="10.109375" style="1847" customWidth="1"/>
    <col min="13582" max="13582" width="14.109375" style="1847" customWidth="1"/>
    <col min="13583" max="13583" width="9.109375" style="1847"/>
    <col min="13584" max="13584" width="15.5546875" style="1847" bestFit="1" customWidth="1"/>
    <col min="13585" max="13824" width="9.109375" style="1847"/>
    <col min="13825" max="13825" width="5.44140625" style="1847" customWidth="1"/>
    <col min="13826" max="13826" width="4.21875" style="1847" customWidth="1"/>
    <col min="13827" max="13827" width="23" style="1847" customWidth="1"/>
    <col min="13828" max="13829" width="3.5546875" style="1847" customWidth="1"/>
    <col min="13830" max="13830" width="5.44140625" style="1847" customWidth="1"/>
    <col min="13831" max="13831" width="6.88671875" style="1847" customWidth="1"/>
    <col min="13832" max="13832" width="6.44140625" style="1847" customWidth="1"/>
    <col min="13833" max="13833" width="8.5546875" style="1847" customWidth="1"/>
    <col min="13834" max="13834" width="7.5546875" style="1847" customWidth="1"/>
    <col min="13835" max="13835" width="10.44140625" style="1847" customWidth="1"/>
    <col min="13836" max="13836" width="8.21875" style="1847" customWidth="1"/>
    <col min="13837" max="13837" width="10.109375" style="1847" customWidth="1"/>
    <col min="13838" max="13838" width="14.109375" style="1847" customWidth="1"/>
    <col min="13839" max="13839" width="9.109375" style="1847"/>
    <col min="13840" max="13840" width="15.5546875" style="1847" bestFit="1" customWidth="1"/>
    <col min="13841" max="14080" width="9.109375" style="1847"/>
    <col min="14081" max="14081" width="5.44140625" style="1847" customWidth="1"/>
    <col min="14082" max="14082" width="4.21875" style="1847" customWidth="1"/>
    <col min="14083" max="14083" width="23" style="1847" customWidth="1"/>
    <col min="14084" max="14085" width="3.5546875" style="1847" customWidth="1"/>
    <col min="14086" max="14086" width="5.44140625" style="1847" customWidth="1"/>
    <col min="14087" max="14087" width="6.88671875" style="1847" customWidth="1"/>
    <col min="14088" max="14088" width="6.44140625" style="1847" customWidth="1"/>
    <col min="14089" max="14089" width="8.5546875" style="1847" customWidth="1"/>
    <col min="14090" max="14090" width="7.5546875" style="1847" customWidth="1"/>
    <col min="14091" max="14091" width="10.44140625" style="1847" customWidth="1"/>
    <col min="14092" max="14092" width="8.21875" style="1847" customWidth="1"/>
    <col min="14093" max="14093" width="10.109375" style="1847" customWidth="1"/>
    <col min="14094" max="14094" width="14.109375" style="1847" customWidth="1"/>
    <col min="14095" max="14095" width="9.109375" style="1847"/>
    <col min="14096" max="14096" width="15.5546875" style="1847" bestFit="1" customWidth="1"/>
    <col min="14097" max="14336" width="9.109375" style="1847"/>
    <col min="14337" max="14337" width="5.44140625" style="1847" customWidth="1"/>
    <col min="14338" max="14338" width="4.21875" style="1847" customWidth="1"/>
    <col min="14339" max="14339" width="23" style="1847" customWidth="1"/>
    <col min="14340" max="14341" width="3.5546875" style="1847" customWidth="1"/>
    <col min="14342" max="14342" width="5.44140625" style="1847" customWidth="1"/>
    <col min="14343" max="14343" width="6.88671875" style="1847" customWidth="1"/>
    <col min="14344" max="14344" width="6.44140625" style="1847" customWidth="1"/>
    <col min="14345" max="14345" width="8.5546875" style="1847" customWidth="1"/>
    <col min="14346" max="14346" width="7.5546875" style="1847" customWidth="1"/>
    <col min="14347" max="14347" width="10.44140625" style="1847" customWidth="1"/>
    <col min="14348" max="14348" width="8.21875" style="1847" customWidth="1"/>
    <col min="14349" max="14349" width="10.109375" style="1847" customWidth="1"/>
    <col min="14350" max="14350" width="14.109375" style="1847" customWidth="1"/>
    <col min="14351" max="14351" width="9.109375" style="1847"/>
    <col min="14352" max="14352" width="15.5546875" style="1847" bestFit="1" customWidth="1"/>
    <col min="14353" max="14592" width="9.109375" style="1847"/>
    <col min="14593" max="14593" width="5.44140625" style="1847" customWidth="1"/>
    <col min="14594" max="14594" width="4.21875" style="1847" customWidth="1"/>
    <col min="14595" max="14595" width="23" style="1847" customWidth="1"/>
    <col min="14596" max="14597" width="3.5546875" style="1847" customWidth="1"/>
    <col min="14598" max="14598" width="5.44140625" style="1847" customWidth="1"/>
    <col min="14599" max="14599" width="6.88671875" style="1847" customWidth="1"/>
    <col min="14600" max="14600" width="6.44140625" style="1847" customWidth="1"/>
    <col min="14601" max="14601" width="8.5546875" style="1847" customWidth="1"/>
    <col min="14602" max="14602" width="7.5546875" style="1847" customWidth="1"/>
    <col min="14603" max="14603" width="10.44140625" style="1847" customWidth="1"/>
    <col min="14604" max="14604" width="8.21875" style="1847" customWidth="1"/>
    <col min="14605" max="14605" width="10.109375" style="1847" customWidth="1"/>
    <col min="14606" max="14606" width="14.109375" style="1847" customWidth="1"/>
    <col min="14607" max="14607" width="9.109375" style="1847"/>
    <col min="14608" max="14608" width="15.5546875" style="1847" bestFit="1" customWidth="1"/>
    <col min="14609" max="14848" width="9.109375" style="1847"/>
    <col min="14849" max="14849" width="5.44140625" style="1847" customWidth="1"/>
    <col min="14850" max="14850" width="4.21875" style="1847" customWidth="1"/>
    <col min="14851" max="14851" width="23" style="1847" customWidth="1"/>
    <col min="14852" max="14853" width="3.5546875" style="1847" customWidth="1"/>
    <col min="14854" max="14854" width="5.44140625" style="1847" customWidth="1"/>
    <col min="14855" max="14855" width="6.88671875" style="1847" customWidth="1"/>
    <col min="14856" max="14856" width="6.44140625" style="1847" customWidth="1"/>
    <col min="14857" max="14857" width="8.5546875" style="1847" customWidth="1"/>
    <col min="14858" max="14858" width="7.5546875" style="1847" customWidth="1"/>
    <col min="14859" max="14859" width="10.44140625" style="1847" customWidth="1"/>
    <col min="14860" max="14860" width="8.21875" style="1847" customWidth="1"/>
    <col min="14861" max="14861" width="10.109375" style="1847" customWidth="1"/>
    <col min="14862" max="14862" width="14.109375" style="1847" customWidth="1"/>
    <col min="14863" max="14863" width="9.109375" style="1847"/>
    <col min="14864" max="14864" width="15.5546875" style="1847" bestFit="1" customWidth="1"/>
    <col min="14865" max="15104" width="9.109375" style="1847"/>
    <col min="15105" max="15105" width="5.44140625" style="1847" customWidth="1"/>
    <col min="15106" max="15106" width="4.21875" style="1847" customWidth="1"/>
    <col min="15107" max="15107" width="23" style="1847" customWidth="1"/>
    <col min="15108" max="15109" width="3.5546875" style="1847" customWidth="1"/>
    <col min="15110" max="15110" width="5.44140625" style="1847" customWidth="1"/>
    <col min="15111" max="15111" width="6.88671875" style="1847" customWidth="1"/>
    <col min="15112" max="15112" width="6.44140625" style="1847" customWidth="1"/>
    <col min="15113" max="15113" width="8.5546875" style="1847" customWidth="1"/>
    <col min="15114" max="15114" width="7.5546875" style="1847" customWidth="1"/>
    <col min="15115" max="15115" width="10.44140625" style="1847" customWidth="1"/>
    <col min="15116" max="15116" width="8.21875" style="1847" customWidth="1"/>
    <col min="15117" max="15117" width="10.109375" style="1847" customWidth="1"/>
    <col min="15118" max="15118" width="14.109375" style="1847" customWidth="1"/>
    <col min="15119" max="15119" width="9.109375" style="1847"/>
    <col min="15120" max="15120" width="15.5546875" style="1847" bestFit="1" customWidth="1"/>
    <col min="15121" max="15360" width="9.109375" style="1847"/>
    <col min="15361" max="15361" width="5.44140625" style="1847" customWidth="1"/>
    <col min="15362" max="15362" width="4.21875" style="1847" customWidth="1"/>
    <col min="15363" max="15363" width="23" style="1847" customWidth="1"/>
    <col min="15364" max="15365" width="3.5546875" style="1847" customWidth="1"/>
    <col min="15366" max="15366" width="5.44140625" style="1847" customWidth="1"/>
    <col min="15367" max="15367" width="6.88671875" style="1847" customWidth="1"/>
    <col min="15368" max="15368" width="6.44140625" style="1847" customWidth="1"/>
    <col min="15369" max="15369" width="8.5546875" style="1847" customWidth="1"/>
    <col min="15370" max="15370" width="7.5546875" style="1847" customWidth="1"/>
    <col min="15371" max="15371" width="10.44140625" style="1847" customWidth="1"/>
    <col min="15372" max="15372" width="8.21875" style="1847" customWidth="1"/>
    <col min="15373" max="15373" width="10.109375" style="1847" customWidth="1"/>
    <col min="15374" max="15374" width="14.109375" style="1847" customWidth="1"/>
    <col min="15375" max="15375" width="9.109375" style="1847"/>
    <col min="15376" max="15376" width="15.5546875" style="1847" bestFit="1" customWidth="1"/>
    <col min="15377" max="15616" width="9.109375" style="1847"/>
    <col min="15617" max="15617" width="5.44140625" style="1847" customWidth="1"/>
    <col min="15618" max="15618" width="4.21875" style="1847" customWidth="1"/>
    <col min="15619" max="15619" width="23" style="1847" customWidth="1"/>
    <col min="15620" max="15621" width="3.5546875" style="1847" customWidth="1"/>
    <col min="15622" max="15622" width="5.44140625" style="1847" customWidth="1"/>
    <col min="15623" max="15623" width="6.88671875" style="1847" customWidth="1"/>
    <col min="15624" max="15624" width="6.44140625" style="1847" customWidth="1"/>
    <col min="15625" max="15625" width="8.5546875" style="1847" customWidth="1"/>
    <col min="15626" max="15626" width="7.5546875" style="1847" customWidth="1"/>
    <col min="15627" max="15627" width="10.44140625" style="1847" customWidth="1"/>
    <col min="15628" max="15628" width="8.21875" style="1847" customWidth="1"/>
    <col min="15629" max="15629" width="10.109375" style="1847" customWidth="1"/>
    <col min="15630" max="15630" width="14.109375" style="1847" customWidth="1"/>
    <col min="15631" max="15631" width="9.109375" style="1847"/>
    <col min="15632" max="15632" width="15.5546875" style="1847" bestFit="1" customWidth="1"/>
    <col min="15633" max="15872" width="9.109375" style="1847"/>
    <col min="15873" max="15873" width="5.44140625" style="1847" customWidth="1"/>
    <col min="15874" max="15874" width="4.21875" style="1847" customWidth="1"/>
    <col min="15875" max="15875" width="23" style="1847" customWidth="1"/>
    <col min="15876" max="15877" width="3.5546875" style="1847" customWidth="1"/>
    <col min="15878" max="15878" width="5.44140625" style="1847" customWidth="1"/>
    <col min="15879" max="15879" width="6.88671875" style="1847" customWidth="1"/>
    <col min="15880" max="15880" width="6.44140625" style="1847" customWidth="1"/>
    <col min="15881" max="15881" width="8.5546875" style="1847" customWidth="1"/>
    <col min="15882" max="15882" width="7.5546875" style="1847" customWidth="1"/>
    <col min="15883" max="15883" width="10.44140625" style="1847" customWidth="1"/>
    <col min="15884" max="15884" width="8.21875" style="1847" customWidth="1"/>
    <col min="15885" max="15885" width="10.109375" style="1847" customWidth="1"/>
    <col min="15886" max="15886" width="14.109375" style="1847" customWidth="1"/>
    <col min="15887" max="15887" width="9.109375" style="1847"/>
    <col min="15888" max="15888" width="15.5546875" style="1847" bestFit="1" customWidth="1"/>
    <col min="15889" max="16128" width="9.109375" style="1847"/>
    <col min="16129" max="16129" width="5.44140625" style="1847" customWidth="1"/>
    <col min="16130" max="16130" width="4.21875" style="1847" customWidth="1"/>
    <col min="16131" max="16131" width="23" style="1847" customWidth="1"/>
    <col min="16132" max="16133" width="3.5546875" style="1847" customWidth="1"/>
    <col min="16134" max="16134" width="5.44140625" style="1847" customWidth="1"/>
    <col min="16135" max="16135" width="6.88671875" style="1847" customWidth="1"/>
    <col min="16136" max="16136" width="6.44140625" style="1847" customWidth="1"/>
    <col min="16137" max="16137" width="8.5546875" style="1847" customWidth="1"/>
    <col min="16138" max="16138" width="7.5546875" style="1847" customWidth="1"/>
    <col min="16139" max="16139" width="10.44140625" style="1847" customWidth="1"/>
    <col min="16140" max="16140" width="8.21875" style="1847" customWidth="1"/>
    <col min="16141" max="16141" width="10.109375" style="1847" customWidth="1"/>
    <col min="16142" max="16142" width="14.109375" style="1847" customWidth="1"/>
    <col min="16143" max="16143" width="9.109375" style="1847"/>
    <col min="16144" max="16144" width="15.5546875" style="1847" bestFit="1" customWidth="1"/>
    <col min="16145" max="16384" width="9.109375" style="1847"/>
  </cols>
  <sheetData>
    <row r="1" spans="1:17" ht="34.9" customHeight="1">
      <c r="A1" s="2515" t="s">
        <v>3365</v>
      </c>
      <c r="B1" s="2515"/>
      <c r="C1" s="2516"/>
      <c r="D1" s="2516"/>
      <c r="E1" s="2516"/>
      <c r="F1" s="2516"/>
      <c r="G1" s="2516"/>
      <c r="H1" s="2516"/>
      <c r="I1" s="2516"/>
      <c r="J1" s="2516"/>
      <c r="K1" s="2516"/>
      <c r="L1" s="2516"/>
      <c r="M1" s="2516"/>
      <c r="N1" s="2516"/>
      <c r="O1" s="1846"/>
      <c r="P1" s="1846"/>
      <c r="Q1" s="1846"/>
    </row>
    <row r="2" spans="1:17" ht="33" customHeight="1">
      <c r="A2" s="2538" t="s">
        <v>3580</v>
      </c>
      <c r="B2" s="2539"/>
      <c r="C2" s="2539"/>
      <c r="D2" s="2539"/>
      <c r="E2" s="2539"/>
      <c r="F2" s="2539"/>
      <c r="G2" s="2539"/>
      <c r="H2" s="2539"/>
      <c r="I2" s="2539"/>
      <c r="J2" s="2539"/>
      <c r="K2" s="2539"/>
      <c r="L2" s="2539"/>
      <c r="M2" s="2539"/>
      <c r="N2" s="2540"/>
      <c r="O2" s="1848"/>
      <c r="P2" s="1848"/>
      <c r="Q2" s="1848"/>
    </row>
    <row r="3" spans="1:17">
      <c r="A3" s="2518" t="s">
        <v>1200</v>
      </c>
      <c r="B3" s="2519" t="s">
        <v>711</v>
      </c>
      <c r="C3" s="2518" t="s">
        <v>1201</v>
      </c>
      <c r="D3" s="2518" t="s">
        <v>527</v>
      </c>
      <c r="E3" s="2518"/>
      <c r="F3" s="2518"/>
      <c r="G3" s="2520" t="s">
        <v>1202</v>
      </c>
      <c r="H3" s="2520"/>
      <c r="I3" s="2520"/>
      <c r="J3" s="2513" t="s">
        <v>786</v>
      </c>
      <c r="K3" s="2513" t="s">
        <v>1203</v>
      </c>
      <c r="L3" s="2513" t="s">
        <v>642</v>
      </c>
      <c r="M3" s="2513" t="s">
        <v>641</v>
      </c>
      <c r="N3" s="2513" t="s">
        <v>1115</v>
      </c>
      <c r="O3" s="2525" t="s">
        <v>1204</v>
      </c>
      <c r="P3" s="2513" t="s">
        <v>1205</v>
      </c>
      <c r="Q3" s="2513"/>
    </row>
    <row r="4" spans="1:17" ht="42" customHeight="1">
      <c r="A4" s="2518"/>
      <c r="B4" s="2519"/>
      <c r="C4" s="2518"/>
      <c r="D4" s="2518"/>
      <c r="E4" s="2518"/>
      <c r="F4" s="2518"/>
      <c r="G4" s="1851" t="s">
        <v>1417</v>
      </c>
      <c r="H4" s="1851" t="s">
        <v>859</v>
      </c>
      <c r="I4" s="1851" t="s">
        <v>785</v>
      </c>
      <c r="J4" s="2513"/>
      <c r="K4" s="2513"/>
      <c r="L4" s="2513"/>
      <c r="M4" s="2513"/>
      <c r="N4" s="2513"/>
      <c r="O4" s="2525"/>
      <c r="P4" s="2513"/>
      <c r="Q4" s="2513"/>
    </row>
    <row r="5" spans="1:17">
      <c r="A5" s="1852">
        <v>1</v>
      </c>
      <c r="B5" s="1852"/>
      <c r="C5" s="1852">
        <f>A5+1</f>
        <v>2</v>
      </c>
      <c r="D5" s="2514">
        <f>C5+1</f>
        <v>3</v>
      </c>
      <c r="E5" s="2514"/>
      <c r="F5" s="2514"/>
      <c r="G5" s="1853">
        <f>D5+1</f>
        <v>4</v>
      </c>
      <c r="H5" s="1853">
        <f>G5+1</f>
        <v>5</v>
      </c>
      <c r="I5" s="1853">
        <f t="shared" ref="I5:Q5" si="0">H5+1</f>
        <v>6</v>
      </c>
      <c r="J5" s="1853">
        <f t="shared" si="0"/>
        <v>7</v>
      </c>
      <c r="K5" s="1853">
        <f t="shared" si="0"/>
        <v>8</v>
      </c>
      <c r="L5" s="1853">
        <f>K5+1</f>
        <v>9</v>
      </c>
      <c r="M5" s="1853">
        <f t="shared" si="0"/>
        <v>10</v>
      </c>
      <c r="N5" s="1853">
        <f t="shared" si="0"/>
        <v>11</v>
      </c>
      <c r="O5" s="1854">
        <f t="shared" si="0"/>
        <v>12</v>
      </c>
      <c r="P5" s="1853">
        <f t="shared" si="0"/>
        <v>13</v>
      </c>
      <c r="Q5" s="1853">
        <f t="shared" si="0"/>
        <v>14</v>
      </c>
    </row>
    <row r="6" spans="1:17" ht="31.5" customHeight="1">
      <c r="A6" s="1855"/>
      <c r="B6" s="1856"/>
      <c r="C6" s="2521" t="s">
        <v>3366</v>
      </c>
      <c r="D6" s="2521"/>
      <c r="E6" s="2521"/>
      <c r="F6" s="2521"/>
      <c r="G6" s="2521"/>
      <c r="H6" s="2521"/>
      <c r="I6" s="2521"/>
      <c r="J6" s="2521"/>
      <c r="K6" s="1851"/>
      <c r="L6" s="1851"/>
      <c r="M6" s="1851"/>
      <c r="N6" s="1851"/>
      <c r="O6" s="1858"/>
      <c r="P6" s="1858"/>
      <c r="Q6" s="1858"/>
    </row>
    <row r="7" spans="1:17" ht="94.2" customHeight="1">
      <c r="A7" s="1855">
        <v>1</v>
      </c>
      <c r="B7" s="1856"/>
      <c r="C7" s="2522" t="s">
        <v>3367</v>
      </c>
      <c r="D7" s="2522"/>
      <c r="E7" s="2522"/>
      <c r="F7" s="2522"/>
      <c r="G7" s="2522"/>
      <c r="H7" s="2522"/>
      <c r="I7" s="2522"/>
      <c r="J7" s="2522"/>
      <c r="K7" s="1851"/>
      <c r="L7" s="1851"/>
      <c r="M7" s="1851"/>
      <c r="N7" s="1851"/>
      <c r="O7" s="1860"/>
      <c r="P7" s="1861"/>
      <c r="Q7" s="1861"/>
    </row>
    <row r="8" spans="1:17">
      <c r="A8" s="1855"/>
      <c r="B8" s="1856"/>
      <c r="C8" s="1845" t="s">
        <v>3368</v>
      </c>
      <c r="D8" s="1859"/>
      <c r="E8" s="1859"/>
      <c r="F8" s="1859"/>
      <c r="G8" s="1862"/>
      <c r="H8" s="1862"/>
      <c r="I8" s="1862"/>
      <c r="J8" s="1862"/>
      <c r="K8" s="1851"/>
      <c r="L8" s="1851"/>
      <c r="M8" s="1851"/>
      <c r="N8" s="1851"/>
      <c r="O8" s="1863"/>
      <c r="P8" s="1864"/>
      <c r="Q8" s="1864"/>
    </row>
    <row r="9" spans="1:17">
      <c r="A9" s="1855"/>
      <c r="B9" s="1856"/>
      <c r="C9" s="1865" t="s">
        <v>3369</v>
      </c>
      <c r="D9" s="1853">
        <v>1</v>
      </c>
      <c r="E9" s="1853" t="s">
        <v>1472</v>
      </c>
      <c r="F9" s="1853">
        <v>9</v>
      </c>
      <c r="G9" s="1851">
        <v>1.35</v>
      </c>
      <c r="H9" s="1851">
        <v>1.35</v>
      </c>
      <c r="I9" s="1851">
        <v>1.5</v>
      </c>
      <c r="J9" s="1851">
        <f>ROUND(D9*F9*G9*H9*I9,2)</f>
        <v>24.6</v>
      </c>
      <c r="K9" s="1851"/>
      <c r="L9" s="1851"/>
      <c r="M9" s="1851"/>
      <c r="N9" s="1851"/>
      <c r="O9" s="1866"/>
      <c r="P9" s="1867"/>
      <c r="Q9" s="1867"/>
    </row>
    <row r="10" spans="1:17">
      <c r="A10" s="1855"/>
      <c r="B10" s="1856"/>
      <c r="C10" s="1868" t="s">
        <v>3297</v>
      </c>
      <c r="D10" s="1853">
        <v>1</v>
      </c>
      <c r="E10" s="1853" t="s">
        <v>1472</v>
      </c>
      <c r="F10" s="1853">
        <v>2</v>
      </c>
      <c r="G10" s="1851">
        <v>8.77</v>
      </c>
      <c r="H10" s="1851">
        <v>0.6</v>
      </c>
      <c r="I10" s="1851">
        <v>0.6</v>
      </c>
      <c r="J10" s="1851">
        <f t="shared" ref="J10:J15" si="1">ROUND(D10*F10*G10*H10*I10,2)</f>
        <v>6.31</v>
      </c>
      <c r="K10" s="1851"/>
      <c r="L10" s="1851"/>
      <c r="M10" s="1851"/>
      <c r="N10" s="1851"/>
      <c r="O10" s="1866"/>
      <c r="P10" s="1867"/>
      <c r="Q10" s="1867"/>
    </row>
    <row r="11" spans="1:17">
      <c r="A11" s="1855"/>
      <c r="B11" s="1856"/>
      <c r="C11" s="1869" t="s">
        <v>3370</v>
      </c>
      <c r="D11" s="1853">
        <v>1</v>
      </c>
      <c r="E11" s="1853" t="s">
        <v>1472</v>
      </c>
      <c r="F11" s="1853">
        <v>2</v>
      </c>
      <c r="G11" s="1851">
        <v>5.47</v>
      </c>
      <c r="H11" s="1851">
        <v>0.6</v>
      </c>
      <c r="I11" s="1851">
        <f>I10</f>
        <v>0.6</v>
      </c>
      <c r="J11" s="1851">
        <f t="shared" si="1"/>
        <v>3.94</v>
      </c>
      <c r="K11" s="1851"/>
      <c r="L11" s="1851"/>
      <c r="M11" s="1851"/>
      <c r="N11" s="1851"/>
      <c r="O11" s="1866"/>
      <c r="P11" s="1867"/>
      <c r="Q11" s="1867"/>
    </row>
    <row r="12" spans="1:17">
      <c r="A12" s="1855"/>
      <c r="B12" s="1856"/>
      <c r="C12" s="1870" t="s">
        <v>3371</v>
      </c>
      <c r="D12" s="1853">
        <v>1</v>
      </c>
      <c r="E12" s="1853" t="s">
        <v>1472</v>
      </c>
      <c r="F12" s="1853">
        <v>1</v>
      </c>
      <c r="G12" s="1851">
        <v>2.4</v>
      </c>
      <c r="H12" s="1851">
        <v>0.6</v>
      </c>
      <c r="I12" s="1851">
        <v>0.6</v>
      </c>
      <c r="J12" s="1851">
        <f t="shared" si="1"/>
        <v>0.86</v>
      </c>
      <c r="K12" s="1851"/>
      <c r="L12" s="1851"/>
      <c r="M12" s="1851"/>
      <c r="N12" s="1851"/>
      <c r="O12" s="1866"/>
      <c r="P12" s="1867"/>
      <c r="Q12" s="1867"/>
    </row>
    <row r="13" spans="1:17">
      <c r="A13" s="1855"/>
      <c r="B13" s="1856"/>
      <c r="C13" s="1870" t="s">
        <v>509</v>
      </c>
      <c r="D13" s="1853">
        <v>1</v>
      </c>
      <c r="E13" s="1853" t="s">
        <v>1472</v>
      </c>
      <c r="F13" s="1853">
        <v>1</v>
      </c>
      <c r="G13" s="1851">
        <f>12*0.3048</f>
        <v>3.6576000000000004</v>
      </c>
      <c r="H13" s="1851">
        <v>1.5</v>
      </c>
      <c r="I13" s="1851">
        <v>0.15</v>
      </c>
      <c r="J13" s="1851">
        <f t="shared" si="1"/>
        <v>0.82</v>
      </c>
      <c r="K13" s="1851"/>
      <c r="L13" s="1851"/>
      <c r="M13" s="1851"/>
      <c r="N13" s="1851"/>
      <c r="O13" s="1866"/>
      <c r="P13" s="1867"/>
      <c r="Q13" s="1867"/>
    </row>
    <row r="14" spans="1:17">
      <c r="A14" s="1855"/>
      <c r="B14" s="1856"/>
      <c r="C14" s="1870" t="s">
        <v>3372</v>
      </c>
      <c r="D14" s="1853">
        <v>1</v>
      </c>
      <c r="E14" s="1853" t="s">
        <v>1472</v>
      </c>
      <c r="F14" s="1853">
        <v>1</v>
      </c>
      <c r="G14" s="1851">
        <v>3.65</v>
      </c>
      <c r="H14" s="1851">
        <v>1.5</v>
      </c>
      <c r="I14" s="1851">
        <v>0.15</v>
      </c>
      <c r="J14" s="1851">
        <f t="shared" si="1"/>
        <v>0.82</v>
      </c>
      <c r="K14" s="1851"/>
      <c r="L14" s="1851"/>
      <c r="M14" s="1851"/>
      <c r="N14" s="1851"/>
      <c r="O14" s="1866"/>
      <c r="P14" s="1867"/>
      <c r="Q14" s="1867"/>
    </row>
    <row r="15" spans="1:17">
      <c r="A15" s="1855"/>
      <c r="B15" s="1856"/>
      <c r="C15" s="1870" t="s">
        <v>3373</v>
      </c>
      <c r="D15" s="1853">
        <v>1</v>
      </c>
      <c r="E15" s="1853" t="s">
        <v>1472</v>
      </c>
      <c r="F15" s="1853">
        <v>-8</v>
      </c>
      <c r="G15" s="1851">
        <v>1.35</v>
      </c>
      <c r="H15" s="1851">
        <v>0.6</v>
      </c>
      <c r="I15" s="1851">
        <v>0.6</v>
      </c>
      <c r="J15" s="1851">
        <f t="shared" si="1"/>
        <v>-3.89</v>
      </c>
      <c r="K15" s="1851"/>
      <c r="L15" s="1851"/>
      <c r="M15" s="1851"/>
      <c r="N15" s="1851"/>
      <c r="O15" s="1866"/>
      <c r="P15" s="1867"/>
      <c r="Q15" s="1867"/>
    </row>
    <row r="16" spans="1:17">
      <c r="A16" s="1855"/>
      <c r="B16" s="1856"/>
      <c r="C16" s="1870"/>
      <c r="D16" s="1853"/>
      <c r="E16" s="1853"/>
      <c r="F16" s="1853"/>
      <c r="G16" s="1851"/>
      <c r="H16" s="1851"/>
      <c r="I16" s="1851"/>
      <c r="J16" s="1871">
        <f>ROUND(SUM(J9:J15),2)</f>
        <v>33.46</v>
      </c>
      <c r="K16" s="1851"/>
      <c r="L16" s="1851"/>
      <c r="M16" s="1851"/>
      <c r="N16" s="1851"/>
      <c r="O16" s="1866"/>
      <c r="P16" s="1867"/>
      <c r="Q16" s="1867"/>
    </row>
    <row r="17" spans="1:17">
      <c r="A17" s="1855"/>
      <c r="B17" s="1872"/>
      <c r="C17" s="2523" t="s">
        <v>644</v>
      </c>
      <c r="D17" s="2523"/>
      <c r="E17" s="2523"/>
      <c r="F17" s="2523"/>
      <c r="G17" s="2523"/>
      <c r="H17" s="2523"/>
      <c r="I17" s="2523"/>
      <c r="J17" s="1871">
        <f>J16</f>
        <v>33.46</v>
      </c>
      <c r="K17" s="1873">
        <f>Datas!G15</f>
        <v>385.38499999999999</v>
      </c>
      <c r="L17" s="1873"/>
      <c r="M17" s="1874"/>
      <c r="N17" s="1873">
        <f>ROUND(J17*K17,0)</f>
        <v>12895</v>
      </c>
      <c r="O17" s="1875">
        <v>0</v>
      </c>
      <c r="P17" s="1876">
        <f>ROUND(O17*J17,0)</f>
        <v>0</v>
      </c>
      <c r="Q17" s="1867"/>
    </row>
    <row r="18" spans="1:17">
      <c r="A18" s="1855"/>
      <c r="B18" s="1872"/>
      <c r="C18" s="1877"/>
      <c r="D18" s="1853"/>
      <c r="E18" s="1853"/>
      <c r="F18" s="1853"/>
      <c r="G18" s="1851"/>
      <c r="H18" s="1851"/>
      <c r="I18" s="1851"/>
      <c r="J18" s="1851" t="s">
        <v>525</v>
      </c>
      <c r="K18" s="1873" t="s">
        <v>658</v>
      </c>
      <c r="L18" s="1873"/>
      <c r="M18" s="1873"/>
      <c r="N18" s="1873"/>
      <c r="O18" s="1866"/>
      <c r="P18" s="1867"/>
      <c r="Q18" s="1867"/>
    </row>
    <row r="19" spans="1:17" ht="72" hidden="1" customHeight="1">
      <c r="A19" s="1855">
        <f>A7+1</f>
        <v>2</v>
      </c>
      <c r="B19" s="1856"/>
      <c r="C19" s="2522" t="s">
        <v>3374</v>
      </c>
      <c r="D19" s="2522"/>
      <c r="E19" s="2522"/>
      <c r="F19" s="2522"/>
      <c r="G19" s="2522"/>
      <c r="H19" s="2522"/>
      <c r="I19" s="2522"/>
      <c r="J19" s="2522"/>
      <c r="K19" s="1851"/>
      <c r="L19" s="1851"/>
      <c r="M19" s="1851"/>
      <c r="N19" s="1851"/>
      <c r="O19" s="1860"/>
      <c r="P19" s="1861"/>
      <c r="Q19" s="1861"/>
    </row>
    <row r="20" spans="1:17" ht="17.2" hidden="1" customHeight="1">
      <c r="A20" s="1855"/>
      <c r="B20" s="1856"/>
      <c r="C20" s="1865"/>
      <c r="D20" s="1853">
        <v>1</v>
      </c>
      <c r="E20" s="1853" t="s">
        <v>1472</v>
      </c>
      <c r="F20" s="1853"/>
      <c r="G20" s="1851"/>
      <c r="H20" s="1851"/>
      <c r="I20" s="1851"/>
      <c r="J20" s="1851">
        <f t="shared" ref="J20:J25" si="2">ROUND(D20*F20*G20*H20*I20,2)</f>
        <v>0</v>
      </c>
      <c r="K20" s="1851"/>
      <c r="L20" s="1851"/>
      <c r="M20" s="1851"/>
      <c r="N20" s="1851"/>
      <c r="O20" s="1866"/>
      <c r="P20" s="1867"/>
      <c r="Q20" s="1867"/>
    </row>
    <row r="21" spans="1:17" ht="17.2" hidden="1" customHeight="1">
      <c r="A21" s="1855"/>
      <c r="B21" s="1856"/>
      <c r="C21" s="1868"/>
      <c r="D21" s="1853">
        <v>1</v>
      </c>
      <c r="E21" s="1853" t="s">
        <v>1472</v>
      </c>
      <c r="F21" s="1853"/>
      <c r="G21" s="1851"/>
      <c r="H21" s="1851"/>
      <c r="I21" s="1851"/>
      <c r="J21" s="1851">
        <f t="shared" si="2"/>
        <v>0</v>
      </c>
      <c r="K21" s="1851"/>
      <c r="L21" s="1851"/>
      <c r="M21" s="1851"/>
      <c r="N21" s="1851"/>
      <c r="O21" s="1866"/>
      <c r="P21" s="1867"/>
      <c r="Q21" s="1867"/>
    </row>
    <row r="22" spans="1:17" ht="17.2" hidden="1" customHeight="1">
      <c r="A22" s="1855"/>
      <c r="B22" s="1856"/>
      <c r="C22" s="1868"/>
      <c r="D22" s="1853">
        <v>1</v>
      </c>
      <c r="E22" s="1853" t="s">
        <v>1472</v>
      </c>
      <c r="F22" s="1853"/>
      <c r="G22" s="1851"/>
      <c r="H22" s="1851"/>
      <c r="I22" s="1851"/>
      <c r="J22" s="1851">
        <f t="shared" si="2"/>
        <v>0</v>
      </c>
      <c r="K22" s="1851"/>
      <c r="L22" s="1851"/>
      <c r="M22" s="1851"/>
      <c r="N22" s="1851"/>
      <c r="O22" s="1866"/>
      <c r="P22" s="1867"/>
      <c r="Q22" s="1867"/>
    </row>
    <row r="23" spans="1:17" ht="17.2" hidden="1" customHeight="1">
      <c r="A23" s="1855"/>
      <c r="B23" s="1856"/>
      <c r="C23" s="1868"/>
      <c r="D23" s="1853">
        <v>1</v>
      </c>
      <c r="E23" s="1853" t="s">
        <v>1472</v>
      </c>
      <c r="F23" s="1853"/>
      <c r="G23" s="1851"/>
      <c r="H23" s="1851"/>
      <c r="I23" s="1851"/>
      <c r="J23" s="1851">
        <f t="shared" si="2"/>
        <v>0</v>
      </c>
      <c r="K23" s="1851"/>
      <c r="L23" s="1851"/>
      <c r="M23" s="1851"/>
      <c r="N23" s="1851"/>
      <c r="O23" s="1866"/>
      <c r="P23" s="1867"/>
      <c r="Q23" s="1867"/>
    </row>
    <row r="24" spans="1:17" ht="17.2" hidden="1" customHeight="1">
      <c r="A24" s="1855"/>
      <c r="B24" s="1856"/>
      <c r="C24" s="1870"/>
      <c r="D24" s="1853">
        <v>1</v>
      </c>
      <c r="E24" s="1853" t="s">
        <v>1472</v>
      </c>
      <c r="F24" s="1853"/>
      <c r="G24" s="1851"/>
      <c r="H24" s="1851"/>
      <c r="I24" s="1851"/>
      <c r="J24" s="1851">
        <f t="shared" si="2"/>
        <v>0</v>
      </c>
      <c r="K24" s="1851"/>
      <c r="L24" s="1851"/>
      <c r="M24" s="1851"/>
      <c r="N24" s="1851"/>
      <c r="O24" s="1866"/>
      <c r="P24" s="1867"/>
      <c r="Q24" s="1867"/>
    </row>
    <row r="25" spans="1:17" ht="17.2" hidden="1" customHeight="1">
      <c r="A25" s="1855"/>
      <c r="B25" s="1856"/>
      <c r="C25" s="1870"/>
      <c r="D25" s="1853">
        <v>1</v>
      </c>
      <c r="E25" s="1853" t="s">
        <v>1472</v>
      </c>
      <c r="F25" s="1853"/>
      <c r="G25" s="1851"/>
      <c r="H25" s="1851"/>
      <c r="I25" s="1851"/>
      <c r="J25" s="1851">
        <f t="shared" si="2"/>
        <v>0</v>
      </c>
      <c r="K25" s="1851"/>
      <c r="L25" s="1851"/>
      <c r="M25" s="1851"/>
      <c r="N25" s="1851"/>
      <c r="O25" s="1866"/>
      <c r="P25" s="1867"/>
      <c r="Q25" s="1867"/>
    </row>
    <row r="26" spans="1:17" ht="17.2" hidden="1" customHeight="1">
      <c r="A26" s="1855"/>
      <c r="B26" s="1856"/>
      <c r="C26" s="1870"/>
      <c r="D26" s="1853">
        <v>1</v>
      </c>
      <c r="E26" s="1853" t="s">
        <v>1472</v>
      </c>
      <c r="F26" s="1853"/>
      <c r="G26" s="1851"/>
      <c r="H26" s="1851"/>
      <c r="I26" s="1851"/>
      <c r="J26" s="1851">
        <f>-ROUND(D26*F26*G26*H26*I26,2)</f>
        <v>0</v>
      </c>
      <c r="K26" s="1851"/>
      <c r="L26" s="1851"/>
      <c r="M26" s="1851"/>
      <c r="N26" s="1851"/>
      <c r="O26" s="1866"/>
      <c r="P26" s="1867"/>
      <c r="Q26" s="1867"/>
    </row>
    <row r="27" spans="1:17" ht="17.2" hidden="1" customHeight="1">
      <c r="A27" s="1855"/>
      <c r="B27" s="1856"/>
      <c r="C27" s="1870"/>
      <c r="D27" s="1853"/>
      <c r="E27" s="1853"/>
      <c r="F27" s="1853"/>
      <c r="G27" s="1851"/>
      <c r="H27" s="1851"/>
      <c r="I27" s="1851"/>
      <c r="J27" s="1871">
        <f>SUM(J20:J26)</f>
        <v>0</v>
      </c>
      <c r="K27" s="1851"/>
      <c r="L27" s="1851"/>
      <c r="M27" s="1851"/>
      <c r="N27" s="1851"/>
      <c r="O27" s="1866"/>
      <c r="P27" s="1867"/>
      <c r="Q27" s="1867"/>
    </row>
    <row r="28" spans="1:17" ht="16.5" hidden="1" customHeight="1">
      <c r="A28" s="1855"/>
      <c r="B28" s="1872"/>
      <c r="C28" s="2524" t="s">
        <v>3375</v>
      </c>
      <c r="D28" s="2524"/>
      <c r="E28" s="2524"/>
      <c r="F28" s="2524"/>
      <c r="G28" s="2524"/>
      <c r="H28" s="2524"/>
      <c r="I28" s="2524"/>
      <c r="J28" s="1851"/>
      <c r="K28" s="1873">
        <f>[222]Datas!H23</f>
        <v>639.48</v>
      </c>
      <c r="L28" s="1873"/>
      <c r="M28" s="1873">
        <f>ROUND(K28*J28,0)</f>
        <v>0</v>
      </c>
      <c r="N28" s="1873">
        <f>SUM(L28:M28)</f>
        <v>0</v>
      </c>
      <c r="O28" s="1866">
        <v>40</v>
      </c>
      <c r="P28" s="1878">
        <f>ROUND(O28*J28,2)</f>
        <v>0</v>
      </c>
      <c r="Q28" s="1867"/>
    </row>
    <row r="29" spans="1:17" ht="16.5" hidden="1" customHeight="1">
      <c r="A29" s="1855"/>
      <c r="B29" s="1872"/>
      <c r="C29" s="1872"/>
      <c r="D29" s="1872"/>
      <c r="E29" s="1872"/>
      <c r="F29" s="1872"/>
      <c r="G29" s="1872"/>
      <c r="H29" s="1872"/>
      <c r="I29" s="1872"/>
      <c r="J29" s="1851" t="s">
        <v>1473</v>
      </c>
      <c r="K29" s="1873" t="str">
        <f>CONCATENATE( "per ",J29)</f>
        <v>per cum</v>
      </c>
      <c r="L29" s="1873"/>
      <c r="M29" s="1873"/>
      <c r="N29" s="1873"/>
      <c r="O29" s="1866"/>
      <c r="P29" s="1879"/>
      <c r="Q29" s="1867"/>
    </row>
    <row r="30" spans="1:17" ht="15" hidden="1" customHeight="1">
      <c r="A30" s="1855"/>
      <c r="B30" s="1872"/>
      <c r="C30" s="2523" t="s">
        <v>3376</v>
      </c>
      <c r="D30" s="2523"/>
      <c r="E30" s="2523"/>
      <c r="F30" s="2523"/>
      <c r="G30" s="2523"/>
      <c r="H30" s="2523"/>
      <c r="I30" s="2523"/>
      <c r="J30" s="1851">
        <f>J28</f>
        <v>0</v>
      </c>
      <c r="K30" s="1873">
        <f>[222]Datas!H21</f>
        <v>23.54</v>
      </c>
      <c r="L30" s="1873">
        <f>ROUND(J30*K30,0)</f>
        <v>0</v>
      </c>
      <c r="M30" s="1873"/>
      <c r="N30" s="1873">
        <f>SUM(L30:M30)</f>
        <v>0</v>
      </c>
      <c r="O30" s="1866"/>
      <c r="P30" s="1878"/>
      <c r="Q30" s="1867"/>
    </row>
    <row r="31" spans="1:17" hidden="1">
      <c r="A31" s="1855"/>
      <c r="B31" s="1872"/>
      <c r="C31" s="1877"/>
      <c r="D31" s="1853"/>
      <c r="E31" s="1853"/>
      <c r="F31" s="1853"/>
      <c r="G31" s="1851"/>
      <c r="H31" s="1851"/>
      <c r="I31" s="1851"/>
      <c r="J31" s="1851" t="s">
        <v>1473</v>
      </c>
      <c r="K31" s="1873" t="str">
        <f>CONCATENATE( "per ",J31)</f>
        <v>per cum</v>
      </c>
      <c r="L31" s="1873"/>
      <c r="M31" s="1873"/>
      <c r="N31" s="1873"/>
      <c r="O31" s="1866"/>
      <c r="P31" s="1867"/>
      <c r="Q31" s="1867"/>
    </row>
    <row r="32" spans="1:17" hidden="1">
      <c r="A32" s="1855"/>
      <c r="B32" s="1880"/>
      <c r="C32" s="1880"/>
      <c r="D32" s="1853"/>
      <c r="E32" s="1853"/>
      <c r="F32" s="1853"/>
      <c r="G32" s="1881"/>
      <c r="H32" s="1882"/>
      <c r="I32" s="1883"/>
      <c r="J32" s="1884"/>
      <c r="K32" s="1873"/>
      <c r="L32" s="1873"/>
      <c r="M32" s="1873"/>
      <c r="N32" s="1873"/>
      <c r="O32" s="1879"/>
      <c r="P32" s="1879"/>
      <c r="Q32" s="1879"/>
    </row>
    <row r="33" spans="1:18" ht="139.9" customHeight="1">
      <c r="A33" s="1855">
        <f>A7+1</f>
        <v>2</v>
      </c>
      <c r="B33" s="1856"/>
      <c r="C33" s="2522" t="s">
        <v>3377</v>
      </c>
      <c r="D33" s="2522"/>
      <c r="E33" s="2522"/>
      <c r="F33" s="2522"/>
      <c r="G33" s="2522"/>
      <c r="H33" s="2522"/>
      <c r="I33" s="2522"/>
      <c r="J33" s="2522"/>
      <c r="K33" s="1851"/>
      <c r="L33" s="1851"/>
      <c r="M33" s="1851"/>
      <c r="N33" s="1851"/>
      <c r="O33" s="1866"/>
      <c r="P33" s="1867"/>
      <c r="Q33" s="1867"/>
    </row>
    <row r="34" spans="1:18">
      <c r="A34" s="1855"/>
      <c r="B34" s="1856"/>
      <c r="C34" s="1868" t="str">
        <f>C10</f>
        <v>Long walls</v>
      </c>
      <c r="D34" s="1853">
        <v>1</v>
      </c>
      <c r="E34" s="1853" t="s">
        <v>1472</v>
      </c>
      <c r="F34" s="1853">
        <v>2</v>
      </c>
      <c r="G34" s="1851">
        <f>G10</f>
        <v>8.77</v>
      </c>
      <c r="H34" s="1851">
        <v>0.6</v>
      </c>
      <c r="I34" s="1851">
        <v>0.1</v>
      </c>
      <c r="J34" s="1851">
        <f t="shared" ref="J34:J39" si="3">ROUND(D34*F34*G34*H34*I34,2)</f>
        <v>1.05</v>
      </c>
      <c r="K34" s="1851"/>
      <c r="L34" s="1851"/>
      <c r="M34" s="1851"/>
      <c r="N34" s="1851"/>
      <c r="O34" s="1866"/>
      <c r="P34" s="1867"/>
      <c r="Q34" s="1867"/>
    </row>
    <row r="35" spans="1:18" ht="28.2">
      <c r="A35" s="1855"/>
      <c r="B35" s="1856"/>
      <c r="C35" s="1868" t="str">
        <f>C11</f>
        <v xml:space="preserve">Cross walls
</v>
      </c>
      <c r="D35" s="1853">
        <v>1</v>
      </c>
      <c r="E35" s="1853" t="s">
        <v>1472</v>
      </c>
      <c r="F35" s="1853">
        <v>2</v>
      </c>
      <c r="G35" s="1851">
        <f>G11</f>
        <v>5.47</v>
      </c>
      <c r="H35" s="1851">
        <v>0.6</v>
      </c>
      <c r="I35" s="1851">
        <v>0.1</v>
      </c>
      <c r="J35" s="1851">
        <f t="shared" si="3"/>
        <v>0.66</v>
      </c>
      <c r="K35" s="1851"/>
      <c r="L35" s="1851"/>
      <c r="M35" s="1851"/>
      <c r="N35" s="1851"/>
      <c r="O35" s="1866"/>
      <c r="P35" s="1867"/>
      <c r="Q35" s="1867"/>
    </row>
    <row r="36" spans="1:18">
      <c r="A36" s="1855"/>
      <c r="B36" s="1856"/>
      <c r="C36" s="1870" t="s">
        <v>3371</v>
      </c>
      <c r="D36" s="1853">
        <v>1</v>
      </c>
      <c r="E36" s="1853" t="s">
        <v>1472</v>
      </c>
      <c r="F36" s="1853">
        <v>1</v>
      </c>
      <c r="G36" s="1851">
        <v>2.4</v>
      </c>
      <c r="H36" s="1851">
        <v>0.6</v>
      </c>
      <c r="I36" s="1851">
        <v>0.1</v>
      </c>
      <c r="J36" s="1851">
        <f t="shared" si="3"/>
        <v>0.14000000000000001</v>
      </c>
      <c r="K36" s="1851"/>
      <c r="L36" s="1851"/>
      <c r="M36" s="1851"/>
      <c r="N36" s="1851"/>
      <c r="O36" s="1866"/>
      <c r="P36" s="1867"/>
      <c r="Q36" s="1867"/>
    </row>
    <row r="37" spans="1:18">
      <c r="A37" s="1855"/>
      <c r="B37" s="1856"/>
      <c r="C37" s="1870" t="s">
        <v>509</v>
      </c>
      <c r="D37" s="1853">
        <v>1</v>
      </c>
      <c r="E37" s="1853" t="s">
        <v>1472</v>
      </c>
      <c r="F37" s="1853">
        <v>1</v>
      </c>
      <c r="G37" s="1851">
        <f>12*0.3048</f>
        <v>3.6576000000000004</v>
      </c>
      <c r="H37" s="1851">
        <v>1.5</v>
      </c>
      <c r="I37" s="1851">
        <v>0.1</v>
      </c>
      <c r="J37" s="1851">
        <f t="shared" si="3"/>
        <v>0.55000000000000004</v>
      </c>
      <c r="K37" s="1851"/>
      <c r="L37" s="1851"/>
      <c r="M37" s="1851"/>
      <c r="N37" s="1851"/>
      <c r="O37" s="1866"/>
      <c r="P37" s="1867"/>
      <c r="Q37" s="1867"/>
    </row>
    <row r="38" spans="1:18">
      <c r="A38" s="1855"/>
      <c r="B38" s="1856"/>
      <c r="C38" s="1870" t="s">
        <v>3372</v>
      </c>
      <c r="D38" s="1853">
        <f>D24</f>
        <v>1</v>
      </c>
      <c r="E38" s="1853" t="s">
        <v>1472</v>
      </c>
      <c r="F38" s="1853">
        <v>1</v>
      </c>
      <c r="G38" s="1851">
        <f>G14</f>
        <v>3.65</v>
      </c>
      <c r="H38" s="1851">
        <f>H14</f>
        <v>1.5</v>
      </c>
      <c r="I38" s="1851">
        <f>I14</f>
        <v>0.15</v>
      </c>
      <c r="J38" s="1851">
        <f t="shared" si="3"/>
        <v>0.82</v>
      </c>
      <c r="K38" s="1851"/>
      <c r="L38" s="1851"/>
      <c r="M38" s="1851"/>
      <c r="N38" s="1851"/>
      <c r="O38" s="1866"/>
      <c r="P38" s="1867"/>
      <c r="Q38" s="1867"/>
    </row>
    <row r="39" spans="1:18">
      <c r="A39" s="1855"/>
      <c r="B39" s="1856"/>
      <c r="C39" s="1870" t="s">
        <v>3373</v>
      </c>
      <c r="D39" s="1853">
        <f>D25</f>
        <v>1</v>
      </c>
      <c r="E39" s="1853" t="s">
        <v>1472</v>
      </c>
      <c r="F39" s="1853">
        <v>-8</v>
      </c>
      <c r="G39" s="1851">
        <v>0.23</v>
      </c>
      <c r="H39" s="1851">
        <v>0.3</v>
      </c>
      <c r="I39" s="1851">
        <v>0.1</v>
      </c>
      <c r="J39" s="1851">
        <f t="shared" si="3"/>
        <v>-0.06</v>
      </c>
      <c r="K39" s="1851"/>
      <c r="L39" s="1851"/>
      <c r="M39" s="1851"/>
      <c r="N39" s="1851"/>
      <c r="O39" s="1866"/>
      <c r="P39" s="1867"/>
      <c r="Q39" s="1867"/>
    </row>
    <row r="40" spans="1:18">
      <c r="A40" s="1855"/>
      <c r="B40" s="1856"/>
      <c r="C40" s="1845"/>
      <c r="D40" s="1853"/>
      <c r="E40" s="1853"/>
      <c r="F40" s="1853"/>
      <c r="G40" s="1851"/>
      <c r="H40" s="1851"/>
      <c r="I40" s="1851"/>
      <c r="J40" s="1851">
        <f>SUM(J34:J39)</f>
        <v>3.16</v>
      </c>
      <c r="K40" s="1851"/>
      <c r="L40" s="1851"/>
      <c r="M40" s="1851"/>
      <c r="N40" s="1851"/>
      <c r="O40" s="1866"/>
      <c r="P40" s="1867"/>
      <c r="Q40" s="1867"/>
    </row>
    <row r="41" spans="1:18">
      <c r="A41" s="1855"/>
      <c r="B41" s="1856"/>
      <c r="C41" s="1845" t="s">
        <v>3378</v>
      </c>
      <c r="D41" s="1853"/>
      <c r="E41" s="1853"/>
      <c r="F41" s="1853"/>
      <c r="G41" s="1851"/>
      <c r="H41" s="1851"/>
      <c r="I41" s="1851"/>
      <c r="J41" s="1851"/>
      <c r="K41" s="1851"/>
      <c r="L41" s="1851"/>
      <c r="M41" s="1851"/>
      <c r="N41" s="1851"/>
      <c r="O41" s="1866"/>
      <c r="P41" s="1867"/>
      <c r="Q41" s="1867"/>
    </row>
    <row r="42" spans="1:18">
      <c r="A42" s="1855"/>
      <c r="B42" s="1856"/>
      <c r="C42" s="1870" t="s">
        <v>3379</v>
      </c>
      <c r="D42" s="1853">
        <v>1</v>
      </c>
      <c r="E42" s="1853" t="s">
        <v>1472</v>
      </c>
      <c r="F42" s="1853">
        <v>1</v>
      </c>
      <c r="G42" s="1851">
        <f>14*0.3048</f>
        <v>4.2671999999999999</v>
      </c>
      <c r="H42" s="1851">
        <f>0.3048*19.88</f>
        <v>6.0594239999999999</v>
      </c>
      <c r="I42" s="1885">
        <v>7.4999999999999997E-2</v>
      </c>
      <c r="J42" s="1851">
        <f>ROUND(D42*F42*G42*H42*I42,2)</f>
        <v>1.94</v>
      </c>
      <c r="K42" s="1851"/>
      <c r="L42" s="1851"/>
      <c r="M42" s="1851"/>
      <c r="N42" s="1851"/>
      <c r="O42" s="1866"/>
      <c r="P42" s="1867"/>
      <c r="Q42" s="1867"/>
    </row>
    <row r="43" spans="1:18">
      <c r="A43" s="1855"/>
      <c r="B43" s="1856"/>
      <c r="C43" s="1870" t="s">
        <v>3380</v>
      </c>
      <c r="D43" s="1853">
        <v>1</v>
      </c>
      <c r="E43" s="1853" t="s">
        <v>1472</v>
      </c>
      <c r="F43" s="1853">
        <v>1</v>
      </c>
      <c r="G43" s="1851">
        <f>0.3048*12</f>
        <v>3.6576000000000004</v>
      </c>
      <c r="H43" s="1851">
        <f>0.3048*7</f>
        <v>2.1335999999999999</v>
      </c>
      <c r="I43" s="1885">
        <v>7.4999999999999997E-2</v>
      </c>
      <c r="J43" s="1851">
        <f>ROUND(D43*F43*G43*H43*I43,2)</f>
        <v>0.59</v>
      </c>
      <c r="K43" s="1851"/>
      <c r="L43" s="1851"/>
      <c r="M43" s="1851"/>
      <c r="N43" s="1851"/>
      <c r="O43" s="1866"/>
      <c r="P43" s="1867"/>
      <c r="Q43" s="1867"/>
    </row>
    <row r="44" spans="1:18">
      <c r="A44" s="1855"/>
      <c r="B44" s="1856"/>
      <c r="C44" s="1870" t="s">
        <v>3381</v>
      </c>
      <c r="D44" s="1853">
        <v>1</v>
      </c>
      <c r="E44" s="1853" t="s">
        <v>1472</v>
      </c>
      <c r="F44" s="1853">
        <v>1</v>
      </c>
      <c r="G44" s="1851">
        <f>0.3048*7.63</f>
        <v>2.3256239999999999</v>
      </c>
      <c r="H44" s="1851">
        <f>0.3048*7</f>
        <v>2.1335999999999999</v>
      </c>
      <c r="I44" s="1885">
        <v>7.4999999999999997E-2</v>
      </c>
      <c r="J44" s="1851">
        <f>ROUND(D44*F44*G44*H44*I44,2)</f>
        <v>0.37</v>
      </c>
      <c r="K44" s="1851"/>
      <c r="L44" s="1851"/>
      <c r="M44" s="1851"/>
      <c r="N44" s="1851"/>
      <c r="O44" s="1866"/>
      <c r="P44" s="1867"/>
      <c r="Q44" s="1867"/>
    </row>
    <row r="45" spans="1:18">
      <c r="A45" s="1855"/>
      <c r="B45" s="1856"/>
      <c r="C45" s="1870" t="s">
        <v>3382</v>
      </c>
      <c r="D45" s="1853">
        <v>1</v>
      </c>
      <c r="E45" s="1853" t="s">
        <v>1472</v>
      </c>
      <c r="F45" s="1853">
        <v>1</v>
      </c>
      <c r="G45" s="1851">
        <f>0.3048*4</f>
        <v>1.2192000000000001</v>
      </c>
      <c r="H45" s="1851">
        <f>0.3048*7</f>
        <v>2.1335999999999999</v>
      </c>
      <c r="I45" s="1885">
        <v>7.4999999999999997E-2</v>
      </c>
      <c r="J45" s="1851">
        <f>ROUND(D45*F45*G45*H45*I45,2)</f>
        <v>0.2</v>
      </c>
      <c r="K45" s="1851"/>
      <c r="L45" s="1851"/>
      <c r="M45" s="1851"/>
      <c r="N45" s="1851"/>
      <c r="O45" s="1866"/>
      <c r="P45" s="1867"/>
      <c r="Q45" s="1867"/>
      <c r="R45" s="1867"/>
    </row>
    <row r="46" spans="1:18">
      <c r="A46" s="1855"/>
      <c r="B46" s="1856"/>
      <c r="C46" s="1870" t="s">
        <v>3383</v>
      </c>
      <c r="D46" s="1853">
        <v>1</v>
      </c>
      <c r="E46" s="1853" t="s">
        <v>1472</v>
      </c>
      <c r="F46" s="1853">
        <v>1</v>
      </c>
      <c r="G46" s="1851">
        <v>3.65</v>
      </c>
      <c r="H46" s="1851">
        <v>1.5</v>
      </c>
      <c r="I46" s="1885">
        <v>7.4999999999999997E-2</v>
      </c>
      <c r="J46" s="1851">
        <f>ROUND(D46*F46*G46*H46*I46,2)</f>
        <v>0.41</v>
      </c>
      <c r="K46" s="1851"/>
      <c r="L46" s="1851"/>
      <c r="M46" s="1851"/>
      <c r="N46" s="1851"/>
      <c r="O46" s="1866"/>
      <c r="P46" s="1867"/>
      <c r="Q46" s="1867"/>
    </row>
    <row r="47" spans="1:18">
      <c r="A47" s="1855"/>
      <c r="B47" s="1856"/>
      <c r="C47" s="1865"/>
      <c r="D47" s="1853"/>
      <c r="E47" s="1853"/>
      <c r="F47" s="1853"/>
      <c r="G47" s="1851"/>
      <c r="H47" s="1851"/>
      <c r="I47" s="1885"/>
      <c r="J47" s="1851">
        <f>SUM(J42:J46)</f>
        <v>3.5100000000000002</v>
      </c>
      <c r="K47" s="1851"/>
      <c r="L47" s="1851"/>
      <c r="M47" s="1851"/>
      <c r="N47" s="1851"/>
      <c r="O47" s="1866"/>
      <c r="P47" s="1867"/>
      <c r="Q47" s="1867"/>
    </row>
    <row r="48" spans="1:18">
      <c r="A48" s="1855"/>
      <c r="B48" s="1856"/>
      <c r="C48" s="1845" t="s">
        <v>3384</v>
      </c>
      <c r="D48" s="1853"/>
      <c r="E48" s="1853"/>
      <c r="F48" s="1853"/>
      <c r="G48" s="1851"/>
      <c r="H48" s="1851"/>
      <c r="I48" s="1885"/>
      <c r="J48" s="1851"/>
      <c r="K48" s="1851"/>
      <c r="L48" s="1851"/>
      <c r="M48" s="1851"/>
      <c r="N48" s="1851"/>
      <c r="O48" s="1866"/>
      <c r="P48" s="1867"/>
      <c r="Q48" s="1867"/>
    </row>
    <row r="49" spans="1:17">
      <c r="A49" s="1855"/>
      <c r="B49" s="1856"/>
      <c r="C49" s="1870" t="s">
        <v>3385</v>
      </c>
      <c r="D49" s="1853">
        <v>1</v>
      </c>
      <c r="E49" s="1853" t="s">
        <v>1472</v>
      </c>
      <c r="F49" s="1853">
        <v>1</v>
      </c>
      <c r="G49" s="1851">
        <v>6.52</v>
      </c>
      <c r="H49" s="1885">
        <f>0.23+0.15</f>
        <v>0.38</v>
      </c>
      <c r="I49" s="1885">
        <v>7.4999999999999997E-2</v>
      </c>
      <c r="J49" s="1851">
        <f>ROUND(D49*F49*G49*H49*I49,2)</f>
        <v>0.19</v>
      </c>
      <c r="K49" s="1851"/>
      <c r="L49" s="1851"/>
      <c r="M49" s="1851"/>
      <c r="N49" s="1851"/>
      <c r="O49" s="1866"/>
      <c r="P49" s="1867"/>
      <c r="Q49" s="1867"/>
    </row>
    <row r="50" spans="1:17">
      <c r="A50" s="1855"/>
      <c r="B50" s="1856"/>
      <c r="C50" s="1870" t="s">
        <v>3386</v>
      </c>
      <c r="D50" s="1853">
        <v>1</v>
      </c>
      <c r="E50" s="1853" t="s">
        <v>1472</v>
      </c>
      <c r="F50" s="1853">
        <v>1</v>
      </c>
      <c r="G50" s="1851">
        <v>8.6199999999999992</v>
      </c>
      <c r="H50" s="1885">
        <f>0.23+0.15</f>
        <v>0.38</v>
      </c>
      <c r="I50" s="1885">
        <v>7.4999999999999997E-2</v>
      </c>
      <c r="J50" s="1851">
        <f>ROUND(D50*F50*G50*H50*I50,2)</f>
        <v>0.25</v>
      </c>
      <c r="K50" s="1851"/>
      <c r="L50" s="1851"/>
      <c r="M50" s="1851"/>
      <c r="N50" s="1851"/>
      <c r="O50" s="1866"/>
      <c r="P50" s="1867"/>
      <c r="Q50" s="1867"/>
    </row>
    <row r="51" spans="1:17">
      <c r="A51" s="1855"/>
      <c r="B51" s="1856"/>
      <c r="C51" s="1870" t="s">
        <v>3387</v>
      </c>
      <c r="D51" s="1853">
        <v>1</v>
      </c>
      <c r="E51" s="1853" t="s">
        <v>1472</v>
      </c>
      <c r="F51" s="1853">
        <v>1</v>
      </c>
      <c r="G51" s="1851">
        <f>0.3048*7</f>
        <v>2.1335999999999999</v>
      </c>
      <c r="H51" s="1885">
        <f>0.23+0.15</f>
        <v>0.38</v>
      </c>
      <c r="I51" s="1885">
        <v>7.4999999999999997E-2</v>
      </c>
      <c r="J51" s="1851">
        <f>ROUND(D51*F51*G51*H51*I51,2)</f>
        <v>0.06</v>
      </c>
      <c r="K51" s="1851"/>
      <c r="L51" s="1851"/>
      <c r="M51" s="1851"/>
      <c r="N51" s="1851"/>
      <c r="O51" s="1866"/>
      <c r="P51" s="1867"/>
      <c r="Q51" s="1867"/>
    </row>
    <row r="52" spans="1:17">
      <c r="A52" s="1855"/>
      <c r="B52" s="1856"/>
      <c r="C52" s="1870" t="s">
        <v>3388</v>
      </c>
      <c r="D52" s="1853">
        <v>1</v>
      </c>
      <c r="E52" s="1853" t="s">
        <v>1472</v>
      </c>
      <c r="F52" s="1853">
        <v>1</v>
      </c>
      <c r="G52" s="1851">
        <v>3.66</v>
      </c>
      <c r="H52" s="1885">
        <v>0.3</v>
      </c>
      <c r="I52" s="1885">
        <v>7.4999999999999997E-2</v>
      </c>
      <c r="J52" s="1851">
        <f>ROUND(D52*F52*G52*H52*I52,2)</f>
        <v>0.08</v>
      </c>
      <c r="K52" s="1851"/>
      <c r="L52" s="1851"/>
      <c r="M52" s="1851"/>
      <c r="N52" s="1851"/>
      <c r="O52" s="1866"/>
      <c r="P52" s="1867"/>
      <c r="Q52" s="1867"/>
    </row>
    <row r="53" spans="1:17">
      <c r="A53" s="1855"/>
      <c r="B53" s="1856"/>
      <c r="C53" s="1870" t="s">
        <v>2786</v>
      </c>
      <c r="D53" s="1853">
        <v>1</v>
      </c>
      <c r="E53" s="1853" t="s">
        <v>1472</v>
      </c>
      <c r="F53" s="1853">
        <v>1</v>
      </c>
      <c r="G53" s="1851">
        <v>2.1</v>
      </c>
      <c r="H53" s="1885">
        <v>0.3</v>
      </c>
      <c r="I53" s="1885">
        <v>7.4999999999999997E-2</v>
      </c>
      <c r="J53" s="1851">
        <f>ROUND(D53*F53*G53*H53*I53,2)</f>
        <v>0.05</v>
      </c>
      <c r="K53" s="1851"/>
      <c r="L53" s="1851"/>
      <c r="M53" s="1851"/>
      <c r="N53" s="1851"/>
      <c r="O53" s="1866"/>
      <c r="P53" s="1867"/>
      <c r="Q53" s="1867"/>
    </row>
    <row r="54" spans="1:17">
      <c r="A54" s="1855"/>
      <c r="B54" s="1856"/>
      <c r="C54" s="1870"/>
      <c r="D54" s="1853"/>
      <c r="E54" s="1853"/>
      <c r="F54" s="1853"/>
      <c r="G54" s="1851"/>
      <c r="H54" s="1885"/>
      <c r="I54" s="1885"/>
      <c r="J54" s="1851">
        <f>SUM(J49:J52)</f>
        <v>0.57999999999999996</v>
      </c>
      <c r="K54" s="1851"/>
      <c r="L54" s="1851"/>
      <c r="M54" s="1851"/>
      <c r="N54" s="1851"/>
      <c r="O54" s="1866"/>
      <c r="P54" s="1867"/>
      <c r="Q54" s="1867"/>
    </row>
    <row r="55" spans="1:17">
      <c r="A55" s="1855"/>
      <c r="B55" s="1856"/>
      <c r="C55" s="1877"/>
      <c r="D55" s="1853"/>
      <c r="E55" s="1853"/>
      <c r="F55" s="1853"/>
      <c r="G55" s="1851"/>
      <c r="H55" s="1851"/>
      <c r="I55" s="1851"/>
      <c r="J55" s="1871">
        <f>J54+J47+J40</f>
        <v>7.25</v>
      </c>
      <c r="K55" s="1851"/>
      <c r="L55" s="1851"/>
      <c r="M55" s="1851"/>
      <c r="N55" s="1851"/>
      <c r="O55" s="1866"/>
      <c r="P55" s="1867"/>
      <c r="Q55" s="1867"/>
    </row>
    <row r="56" spans="1:17" ht="15" customHeight="1">
      <c r="A56" s="1855"/>
      <c r="B56" s="1872"/>
      <c r="C56" s="1868"/>
      <c r="D56" s="1853"/>
      <c r="E56" s="1853"/>
      <c r="F56" s="1853"/>
      <c r="G56" s="1851"/>
      <c r="H56" s="1851"/>
      <c r="I56" s="1851"/>
      <c r="J56" s="1851" t="s">
        <v>525</v>
      </c>
      <c r="K56" s="1873"/>
      <c r="L56" s="1873"/>
      <c r="M56" s="1873"/>
      <c r="N56" s="1873"/>
      <c r="O56" s="1866"/>
      <c r="P56" s="1867"/>
      <c r="Q56" s="1867"/>
    </row>
    <row r="57" spans="1:17" ht="29.4" customHeight="1">
      <c r="A57" s="1855"/>
      <c r="B57" s="1872"/>
      <c r="C57" s="2524" t="s">
        <v>3389</v>
      </c>
      <c r="D57" s="2524"/>
      <c r="E57" s="2524"/>
      <c r="F57" s="2524"/>
      <c r="G57" s="2524"/>
      <c r="H57" s="2524"/>
      <c r="I57" s="2524"/>
      <c r="J57" s="1851">
        <f>J55</f>
        <v>7.25</v>
      </c>
      <c r="K57" s="1873">
        <f>Datas!G177</f>
        <v>4155.8100000000004</v>
      </c>
      <c r="L57" s="1873"/>
      <c r="M57" s="1873"/>
      <c r="N57" s="1873">
        <f>ROUND(J57*K57,0)</f>
        <v>30130</v>
      </c>
      <c r="O57" s="1866">
        <f>ROUND(0.9*75+0.45*40,2)</f>
        <v>85.5</v>
      </c>
      <c r="P57" s="1878">
        <f>ROUND(O57*J57,2)</f>
        <v>619.88</v>
      </c>
      <c r="Q57" s="1867"/>
    </row>
    <row r="58" spans="1:17" ht="15" customHeight="1">
      <c r="A58" s="1855"/>
      <c r="B58" s="1872"/>
      <c r="C58" s="1868"/>
      <c r="D58" s="1853"/>
      <c r="E58" s="1853"/>
      <c r="F58" s="1853"/>
      <c r="G58" s="1851"/>
      <c r="H58" s="1851"/>
      <c r="I58" s="1851"/>
      <c r="J58" s="1851" t="s">
        <v>525</v>
      </c>
      <c r="K58" s="1873" t="s">
        <v>658</v>
      </c>
      <c r="L58" s="1873"/>
      <c r="M58" s="1873"/>
      <c r="N58" s="1873"/>
      <c r="O58" s="1866"/>
      <c r="P58" s="1867"/>
      <c r="Q58" s="1867"/>
    </row>
    <row r="59" spans="1:17" ht="12.75" customHeight="1">
      <c r="A59" s="1850"/>
      <c r="B59" s="1880"/>
      <c r="C59" s="1880"/>
      <c r="D59" s="1880"/>
      <c r="E59" s="1880"/>
      <c r="F59" s="1880"/>
      <c r="G59" s="1850"/>
      <c r="H59" s="1850"/>
      <c r="I59" s="1850"/>
      <c r="J59" s="1886"/>
      <c r="K59" s="1880"/>
      <c r="L59" s="1880"/>
      <c r="M59" s="1880"/>
      <c r="N59" s="1880"/>
    </row>
    <row r="60" spans="1:17" ht="148.5" hidden="1" customHeight="1">
      <c r="A60" s="1855">
        <v>2</v>
      </c>
      <c r="B60" s="1856"/>
      <c r="C60" s="2522" t="s">
        <v>3390</v>
      </c>
      <c r="D60" s="2522"/>
      <c r="E60" s="2522"/>
      <c r="F60" s="2522"/>
      <c r="G60" s="2522"/>
      <c r="H60" s="2522"/>
      <c r="I60" s="2522"/>
      <c r="J60" s="2522"/>
      <c r="K60" s="1851"/>
      <c r="L60" s="1851"/>
      <c r="M60" s="1851"/>
      <c r="N60" s="1851"/>
      <c r="O60" s="1866"/>
      <c r="P60" s="1867"/>
      <c r="Q60" s="1867"/>
    </row>
    <row r="61" spans="1:17" ht="21.75" hidden="1" customHeight="1">
      <c r="A61" s="1855"/>
      <c r="B61" s="1856"/>
      <c r="C61" s="1877"/>
      <c r="D61" s="1853"/>
      <c r="E61" s="1853"/>
      <c r="F61" s="1853"/>
      <c r="G61" s="1851"/>
      <c r="H61" s="1851"/>
      <c r="I61" s="1851"/>
      <c r="J61" s="1851"/>
      <c r="K61" s="1851"/>
      <c r="L61" s="1851"/>
      <c r="M61" s="1851"/>
      <c r="N61" s="1851"/>
      <c r="O61" s="1866"/>
      <c r="P61" s="1867"/>
      <c r="Q61" s="1867"/>
    </row>
    <row r="62" spans="1:17" ht="21.75" hidden="1" customHeight="1">
      <c r="A62" s="1855"/>
      <c r="B62" s="1856"/>
      <c r="C62" s="1877"/>
      <c r="D62" s="1853"/>
      <c r="E62" s="1853"/>
      <c r="F62" s="1853"/>
      <c r="G62" s="1851"/>
      <c r="H62" s="1851"/>
      <c r="I62" s="1851"/>
      <c r="J62" s="1851"/>
      <c r="K62" s="1851"/>
      <c r="L62" s="1851"/>
      <c r="M62" s="1851"/>
      <c r="N62" s="1851"/>
      <c r="O62" s="1866"/>
      <c r="P62" s="1867"/>
      <c r="Q62" s="1867"/>
    </row>
    <row r="63" spans="1:17" ht="21.75" hidden="1" customHeight="1">
      <c r="A63" s="1855"/>
      <c r="B63" s="1856"/>
      <c r="C63" s="1887"/>
      <c r="D63" s="1853"/>
      <c r="E63" s="1853"/>
      <c r="F63" s="1853"/>
      <c r="G63" s="1851"/>
      <c r="H63" s="1851"/>
      <c r="I63" s="1851"/>
      <c r="J63" s="1851"/>
      <c r="K63" s="1851"/>
      <c r="L63" s="1851"/>
      <c r="M63" s="1851"/>
      <c r="N63" s="1851"/>
      <c r="O63" s="1866"/>
      <c r="P63" s="1867"/>
      <c r="Q63" s="1867"/>
    </row>
    <row r="64" spans="1:17" ht="21.75" hidden="1" customHeight="1">
      <c r="A64" s="1855"/>
      <c r="B64" s="1856"/>
      <c r="C64" s="1877"/>
      <c r="D64" s="1853"/>
      <c r="E64" s="1853"/>
      <c r="F64" s="1853"/>
      <c r="G64" s="1851"/>
      <c r="H64" s="1851"/>
      <c r="I64" s="1851"/>
      <c r="J64" s="1871">
        <f>SUM(J61:J63)</f>
        <v>0</v>
      </c>
      <c r="K64" s="1851"/>
      <c r="L64" s="1851"/>
      <c r="M64" s="1851"/>
      <c r="N64" s="1851"/>
      <c r="O64" s="1866"/>
      <c r="P64" s="1867"/>
      <c r="Q64" s="1867"/>
    </row>
    <row r="65" spans="1:17" ht="21.75" hidden="1" customHeight="1">
      <c r="A65" s="1855"/>
      <c r="B65" s="1872" t="s">
        <v>3391</v>
      </c>
      <c r="C65" s="2524" t="s">
        <v>270</v>
      </c>
      <c r="D65" s="2524"/>
      <c r="E65" s="2524"/>
      <c r="F65" s="2524"/>
      <c r="G65" s="2524"/>
      <c r="H65" s="2524"/>
      <c r="I65" s="2524"/>
      <c r="J65" s="1871">
        <f>CEILING(J64,0.05)</f>
        <v>0</v>
      </c>
      <c r="K65" s="1873">
        <f>[222]Datas!G116</f>
        <v>3704.87</v>
      </c>
      <c r="L65" s="1873"/>
      <c r="M65" s="1873">
        <f>ROUND(K65*J65,0)</f>
        <v>0</v>
      </c>
      <c r="N65" s="1873">
        <f>SUM(L65:M65)</f>
        <v>0</v>
      </c>
      <c r="O65" s="1866">
        <f>ROUND(0.9*75+0.45*40,2)</f>
        <v>85.5</v>
      </c>
      <c r="P65" s="1878">
        <f>ROUND(O65*J65,2)</f>
        <v>0</v>
      </c>
    </row>
    <row r="66" spans="1:17" ht="13.5" hidden="1" customHeight="1">
      <c r="A66" s="1855"/>
      <c r="B66" s="1872"/>
      <c r="C66" s="1859"/>
      <c r="D66" s="1853"/>
      <c r="E66" s="1853"/>
      <c r="F66" s="1853"/>
      <c r="G66" s="1888"/>
      <c r="H66" s="1851"/>
      <c r="I66" s="1851"/>
      <c r="J66" s="1885" t="s">
        <v>525</v>
      </c>
      <c r="K66" s="1873" t="s">
        <v>658</v>
      </c>
      <c r="L66" s="1873"/>
      <c r="M66" s="1873"/>
      <c r="N66" s="1873"/>
      <c r="O66" s="1866"/>
      <c r="P66" s="1879"/>
    </row>
    <row r="67" spans="1:17" ht="12.75" hidden="1" customHeight="1">
      <c r="A67" s="1850"/>
      <c r="B67" s="1880"/>
      <c r="C67" s="1880"/>
      <c r="D67" s="1880"/>
      <c r="E67" s="1880"/>
      <c r="F67" s="1880"/>
      <c r="G67" s="1850"/>
      <c r="H67" s="1850"/>
      <c r="I67" s="1850"/>
      <c r="J67" s="1886"/>
      <c r="K67" s="1880"/>
      <c r="L67" s="1880"/>
      <c r="M67" s="1880"/>
      <c r="N67" s="1880"/>
    </row>
    <row r="68" spans="1:17" ht="143.4" customHeight="1">
      <c r="A68" s="1855">
        <v>3</v>
      </c>
      <c r="B68" s="1856"/>
      <c r="C68" s="2527" t="str">
        <f>[221]Datas!C156</f>
        <v xml:space="preserve">Plain Cement concrete (1:4:8) using 40 mm metal with concrete mixture.           All work upto plinth level. nominal mix (cement: fine aggregate: Coarse aggregate) using 40mm size HBG  (SS5) metal from approved quarry including cost and conveyance of all materials like cement,  50% sand+50% Rock Sand  coarse aggregate, water etc. to site, including seigniorage charges, Countryes &amp; other taxes on all materials, all operational, incidental,  and labor charges such as mixing, laying and ramming concrete in layers in position not exceeding 15cm, finishing top surface, curing concrete,  etc., complete for finished item of work for Foundations and Flooring Bed (APSS No. 402) </v>
      </c>
      <c r="D68" s="2527"/>
      <c r="E68" s="2527"/>
      <c r="F68" s="2527"/>
      <c r="G68" s="2527"/>
      <c r="H68" s="2527"/>
      <c r="I68" s="2527"/>
      <c r="J68" s="2527"/>
      <c r="K68" s="1851"/>
      <c r="L68" s="1851"/>
      <c r="M68" s="1851"/>
      <c r="N68" s="1851"/>
      <c r="O68" s="1866"/>
      <c r="P68" s="1867"/>
      <c r="Q68" s="1867"/>
    </row>
    <row r="69" spans="1:17">
      <c r="A69" s="1855"/>
      <c r="B69" s="1856"/>
      <c r="C69" s="1868" t="s">
        <v>288</v>
      </c>
      <c r="D69" s="1853">
        <v>1</v>
      </c>
      <c r="E69" s="1853" t="s">
        <v>1472</v>
      </c>
      <c r="F69" s="1853">
        <v>9</v>
      </c>
      <c r="G69" s="1851">
        <f>G9</f>
        <v>1.35</v>
      </c>
      <c r="H69" s="1851">
        <f>H9</f>
        <v>1.35</v>
      </c>
      <c r="I69" s="1851">
        <v>0.15</v>
      </c>
      <c r="J69" s="1851">
        <f>ROUND(D69*F69*G69*H69*I69,2)</f>
        <v>2.46</v>
      </c>
      <c r="K69" s="1851"/>
      <c r="L69" s="1851"/>
      <c r="M69" s="1851"/>
      <c r="N69" s="1851"/>
      <c r="O69" s="1866"/>
      <c r="P69" s="1867"/>
      <c r="Q69" s="1867"/>
    </row>
    <row r="70" spans="1:17">
      <c r="A70" s="1855"/>
      <c r="B70" s="1856"/>
      <c r="C70" s="1877"/>
      <c r="D70" s="1853"/>
      <c r="E70" s="1853"/>
      <c r="F70" s="1853"/>
      <c r="G70" s="1851"/>
      <c r="H70" s="1851"/>
      <c r="I70" s="1851"/>
      <c r="J70" s="1871">
        <f>J69</f>
        <v>2.46</v>
      </c>
      <c r="K70" s="1851"/>
      <c r="L70" s="1851"/>
      <c r="M70" s="1851"/>
      <c r="N70" s="1851"/>
      <c r="O70" s="1866"/>
      <c r="P70" s="1867"/>
      <c r="Q70" s="1867"/>
    </row>
    <row r="71" spans="1:17">
      <c r="A71" s="1855"/>
      <c r="B71" s="1872"/>
      <c r="C71" s="1868"/>
      <c r="D71" s="1853"/>
      <c r="E71" s="1853"/>
      <c r="F71" s="1853"/>
      <c r="G71" s="1851"/>
      <c r="H71" s="1851"/>
      <c r="I71" s="1851"/>
      <c r="J71" s="1851" t="s">
        <v>525</v>
      </c>
      <c r="K71" s="1873"/>
      <c r="L71" s="1873"/>
      <c r="M71" s="1873"/>
      <c r="N71" s="1873"/>
      <c r="O71" s="1866"/>
      <c r="P71" s="1867"/>
      <c r="Q71" s="1867"/>
    </row>
    <row r="72" spans="1:17">
      <c r="A72" s="1855"/>
      <c r="B72" s="1872"/>
      <c r="C72" s="2524" t="s">
        <v>3389</v>
      </c>
      <c r="D72" s="2524"/>
      <c r="E72" s="2524"/>
      <c r="F72" s="2524"/>
      <c r="G72" s="2524"/>
      <c r="H72" s="2524"/>
      <c r="I72" s="2524"/>
      <c r="J72" s="1851">
        <f>J70</f>
        <v>2.46</v>
      </c>
      <c r="K72" s="1873">
        <f>Datas!G154</f>
        <v>4371.4635670906127</v>
      </c>
      <c r="L72" s="1873"/>
      <c r="M72" s="1873"/>
      <c r="N72" s="1873">
        <f>ROUND(J72*K72,0)</f>
        <v>10754</v>
      </c>
      <c r="O72" s="1866">
        <f>ROUND(0.9*75+0.45*40,2)</f>
        <v>85.5</v>
      </c>
      <c r="P72" s="1878">
        <f>ROUND(O72*J72,2)</f>
        <v>210.33</v>
      </c>
      <c r="Q72" s="1867"/>
    </row>
    <row r="73" spans="1:17">
      <c r="A73" s="1855"/>
      <c r="B73" s="1872"/>
      <c r="C73" s="1868"/>
      <c r="D73" s="1853"/>
      <c r="E73" s="1853"/>
      <c r="F73" s="1853"/>
      <c r="G73" s="1851"/>
      <c r="H73" s="1851"/>
      <c r="I73" s="1851"/>
      <c r="J73" s="1851" t="s">
        <v>525</v>
      </c>
      <c r="K73" s="1873" t="s">
        <v>658</v>
      </c>
      <c r="L73" s="1873"/>
      <c r="M73" s="1873"/>
      <c r="N73" s="1873"/>
      <c r="O73" s="1866"/>
      <c r="P73" s="1867"/>
      <c r="Q73" s="1867"/>
    </row>
    <row r="74" spans="1:17">
      <c r="A74" s="1850"/>
      <c r="B74" s="1880"/>
      <c r="C74" s="1880"/>
      <c r="D74" s="1880"/>
      <c r="E74" s="1880"/>
      <c r="F74" s="1880"/>
      <c r="G74" s="1850"/>
      <c r="H74" s="1850"/>
      <c r="I74" s="1850"/>
      <c r="J74" s="1886"/>
      <c r="K74" s="1880"/>
      <c r="L74" s="1880"/>
      <c r="M74" s="1880"/>
      <c r="N74" s="1880"/>
    </row>
    <row r="75" spans="1:17" ht="117" customHeight="1">
      <c r="A75" s="1855">
        <v>4</v>
      </c>
      <c r="B75" s="1856"/>
      <c r="C75" s="2526" t="s">
        <v>3392</v>
      </c>
      <c r="D75" s="2526"/>
      <c r="E75" s="2526"/>
      <c r="F75" s="2526"/>
      <c r="G75" s="2526"/>
      <c r="H75" s="2526"/>
      <c r="I75" s="2526"/>
      <c r="J75" s="2526"/>
      <c r="K75" s="1851"/>
      <c r="L75" s="1851"/>
      <c r="M75" s="1851"/>
      <c r="N75" s="1851"/>
      <c r="O75" s="1866"/>
      <c r="P75" s="1867"/>
      <c r="Q75" s="1867"/>
    </row>
    <row r="76" spans="1:17" ht="28.2">
      <c r="A76" s="1855"/>
      <c r="B76" s="1856"/>
      <c r="C76" s="1859" t="s">
        <v>657</v>
      </c>
      <c r="D76" s="1877"/>
      <c r="E76" s="1877"/>
      <c r="F76" s="1877"/>
      <c r="G76" s="1889"/>
      <c r="H76" s="1889"/>
      <c r="I76" s="1889"/>
      <c r="J76" s="1889"/>
      <c r="K76" s="1851"/>
      <c r="L76" s="1851"/>
      <c r="M76" s="1851"/>
      <c r="N76" s="1851"/>
      <c r="O76" s="1866"/>
      <c r="P76" s="1867"/>
      <c r="Q76" s="1867"/>
    </row>
    <row r="77" spans="1:17">
      <c r="A77" s="1855"/>
      <c r="B77" s="1856"/>
      <c r="C77" s="1868" t="str">
        <f>C34</f>
        <v>Long walls</v>
      </c>
      <c r="D77" s="1853">
        <v>1</v>
      </c>
      <c r="E77" s="1853" t="s">
        <v>1472</v>
      </c>
      <c r="F77" s="1853">
        <v>2</v>
      </c>
      <c r="G77" s="1851">
        <f>G34</f>
        <v>8.77</v>
      </c>
      <c r="H77" s="1851">
        <v>0.6</v>
      </c>
      <c r="I77" s="1851">
        <v>0.45</v>
      </c>
      <c r="J77" s="1851">
        <f>ROUND(D77*F77*G77*H77*I77,2)</f>
        <v>4.74</v>
      </c>
      <c r="K77" s="1851"/>
      <c r="L77" s="1851"/>
      <c r="M77" s="1851"/>
      <c r="N77" s="1851"/>
      <c r="O77" s="1866"/>
      <c r="P77" s="1867"/>
      <c r="Q77" s="1867"/>
    </row>
    <row r="78" spans="1:17" ht="28.2">
      <c r="A78" s="1855"/>
      <c r="B78" s="1856"/>
      <c r="C78" s="1868" t="str">
        <f>C35</f>
        <v xml:space="preserve">Cross walls
</v>
      </c>
      <c r="D78" s="1853">
        <v>1</v>
      </c>
      <c r="E78" s="1853" t="s">
        <v>1472</v>
      </c>
      <c r="F78" s="1853">
        <v>2</v>
      </c>
      <c r="G78" s="1851">
        <f>G35</f>
        <v>5.47</v>
      </c>
      <c r="H78" s="1851">
        <v>0.6</v>
      </c>
      <c r="I78" s="1851">
        <v>0.45</v>
      </c>
      <c r="J78" s="1851">
        <f>ROUND(D78*F78*G78*H78*I78,2)</f>
        <v>2.95</v>
      </c>
      <c r="K78" s="1851"/>
      <c r="L78" s="1851"/>
      <c r="M78" s="1851"/>
      <c r="N78" s="1851"/>
      <c r="O78" s="1866"/>
      <c r="P78" s="1867"/>
      <c r="Q78" s="1867"/>
    </row>
    <row r="79" spans="1:17">
      <c r="A79" s="1855"/>
      <c r="B79" s="1856"/>
      <c r="C79" s="1868" t="s">
        <v>3533</v>
      </c>
      <c r="D79" s="1853">
        <v>1</v>
      </c>
      <c r="E79" s="1853" t="s">
        <v>1472</v>
      </c>
      <c r="F79" s="1853">
        <v>1</v>
      </c>
      <c r="G79" s="1851">
        <v>2.4</v>
      </c>
      <c r="H79" s="1851">
        <v>0.6</v>
      </c>
      <c r="I79" s="1851">
        <v>0.45</v>
      </c>
      <c r="J79" s="1851">
        <f>ROUND(D79*F79*G79*H79*I79,2)</f>
        <v>0.65</v>
      </c>
      <c r="K79" s="1851"/>
      <c r="L79" s="1851"/>
      <c r="M79" s="1851"/>
      <c r="N79" s="1851"/>
      <c r="O79" s="1866"/>
      <c r="P79" s="1867"/>
      <c r="Q79" s="1867"/>
    </row>
    <row r="80" spans="1:17">
      <c r="A80" s="1855"/>
      <c r="B80" s="1856"/>
      <c r="C80" s="1868"/>
      <c r="D80" s="1853">
        <v>1</v>
      </c>
      <c r="E80" s="1853" t="s">
        <v>1472</v>
      </c>
      <c r="F80" s="1853">
        <v>2</v>
      </c>
      <c r="G80" s="1851">
        <v>0.6</v>
      </c>
      <c r="H80" s="1851">
        <v>0.6</v>
      </c>
      <c r="I80" s="1851">
        <v>0.45</v>
      </c>
      <c r="J80" s="1851">
        <f>ROUND(D80*F80*G80*H80*I80,2)</f>
        <v>0.32</v>
      </c>
      <c r="K80" s="1851"/>
      <c r="L80" s="1851"/>
      <c r="M80" s="1851"/>
      <c r="N80" s="1851"/>
      <c r="O80" s="1866"/>
      <c r="P80" s="1867"/>
      <c r="Q80" s="1867"/>
    </row>
    <row r="81" spans="1:18" ht="28.2">
      <c r="A81" s="1855"/>
      <c r="B81" s="1856"/>
      <c r="C81" s="1859" t="s">
        <v>3273</v>
      </c>
      <c r="D81" s="1877"/>
      <c r="E81" s="1877"/>
      <c r="F81" s="1877"/>
      <c r="G81" s="1889"/>
      <c r="H81" s="1889"/>
      <c r="I81" s="1889"/>
      <c r="J81" s="1889"/>
      <c r="K81" s="1851"/>
      <c r="L81" s="1851"/>
      <c r="M81" s="1851"/>
      <c r="N81" s="1851"/>
      <c r="O81" s="1866"/>
      <c r="P81" s="1867"/>
      <c r="Q81" s="1867"/>
    </row>
    <row r="82" spans="1:18">
      <c r="A82" s="1855"/>
      <c r="B82" s="1856"/>
      <c r="C82" s="1868" t="str">
        <f>C77</f>
        <v>Long walls</v>
      </c>
      <c r="D82" s="1853">
        <v>1</v>
      </c>
      <c r="E82" s="1853" t="s">
        <v>1472</v>
      </c>
      <c r="F82" s="1853">
        <v>2</v>
      </c>
      <c r="G82" s="1851">
        <f>G77</f>
        <v>8.77</v>
      </c>
      <c r="H82" s="1851">
        <v>0.45</v>
      </c>
      <c r="I82" s="1851">
        <v>0.45</v>
      </c>
      <c r="J82" s="1851">
        <f t="shared" ref="J82:J89" si="4">ROUND(D82*F82*G82*H82*I82,2)</f>
        <v>3.55</v>
      </c>
      <c r="K82" s="1851"/>
      <c r="L82" s="1851"/>
      <c r="M82" s="1851"/>
      <c r="N82" s="1851"/>
      <c r="O82" s="1866"/>
      <c r="P82" s="1867"/>
      <c r="Q82" s="1867"/>
    </row>
    <row r="83" spans="1:18" ht="28.2">
      <c r="A83" s="1855"/>
      <c r="B83" s="1856"/>
      <c r="C83" s="1868" t="str">
        <f>C78</f>
        <v xml:space="preserve">Cross walls
</v>
      </c>
      <c r="D83" s="1853">
        <v>1</v>
      </c>
      <c r="E83" s="1853" t="s">
        <v>1472</v>
      </c>
      <c r="F83" s="1853">
        <v>2</v>
      </c>
      <c r="G83" s="1851">
        <f>G78+0.15</f>
        <v>5.62</v>
      </c>
      <c r="H83" s="1851">
        <v>0.45</v>
      </c>
      <c r="I83" s="1851">
        <v>0.45</v>
      </c>
      <c r="J83" s="1851">
        <f>ROUND(D83*F83*G83*H83*I83,2)</f>
        <v>2.2799999999999998</v>
      </c>
      <c r="K83" s="1851"/>
      <c r="L83" s="1851"/>
      <c r="M83" s="1851"/>
      <c r="N83" s="1851"/>
      <c r="O83" s="1866"/>
      <c r="P83" s="1867"/>
      <c r="Q83" s="1867"/>
    </row>
    <row r="84" spans="1:18">
      <c r="A84" s="1855"/>
      <c r="B84" s="1856"/>
      <c r="C84" s="1868" t="s">
        <v>3533</v>
      </c>
      <c r="D84" s="1853">
        <v>1</v>
      </c>
      <c r="E84" s="1853" t="s">
        <v>1472</v>
      </c>
      <c r="F84" s="1853">
        <v>1</v>
      </c>
      <c r="G84" s="1851">
        <v>2.4</v>
      </c>
      <c r="H84" s="1851">
        <v>0.6</v>
      </c>
      <c r="I84" s="1851">
        <v>0.45</v>
      </c>
      <c r="J84" s="1851">
        <f>ROUND(D84*F84*G84*H84*I84,2)</f>
        <v>0.65</v>
      </c>
      <c r="K84" s="1851"/>
      <c r="L84" s="1851"/>
      <c r="M84" s="1851"/>
      <c r="N84" s="1851"/>
      <c r="O84" s="1866"/>
      <c r="P84" s="1867"/>
      <c r="Q84" s="1867"/>
    </row>
    <row r="85" spans="1:18">
      <c r="A85" s="1855"/>
      <c r="B85" s="1856"/>
      <c r="C85" s="1887" t="s">
        <v>3393</v>
      </c>
      <c r="D85" s="1853">
        <v>1</v>
      </c>
      <c r="E85" s="1853" t="s">
        <v>1472</v>
      </c>
      <c r="F85" s="1853">
        <v>1</v>
      </c>
      <c r="G85" s="1851">
        <v>3.6</v>
      </c>
      <c r="H85" s="1851">
        <v>1.5</v>
      </c>
      <c r="I85" s="1851">
        <v>0.15</v>
      </c>
      <c r="J85" s="1851">
        <f>ROUND(D85*F85*G85*H85*I85,2)</f>
        <v>0.81</v>
      </c>
      <c r="K85" s="1851"/>
      <c r="L85" s="1851"/>
      <c r="M85" s="1851"/>
      <c r="N85" s="1851"/>
      <c r="O85" s="1866"/>
      <c r="P85" s="1867"/>
      <c r="Q85" s="1867"/>
    </row>
    <row r="86" spans="1:18">
      <c r="A86" s="1855"/>
      <c r="B86" s="1856"/>
      <c r="C86" s="1887" t="s">
        <v>3394</v>
      </c>
      <c r="D86" s="1853">
        <v>1</v>
      </c>
      <c r="E86" s="1853" t="s">
        <v>1472</v>
      </c>
      <c r="F86" s="1853">
        <v>1</v>
      </c>
      <c r="G86" s="1851">
        <v>3.6</v>
      </c>
      <c r="H86" s="1851">
        <v>1.2</v>
      </c>
      <c r="I86" s="1851">
        <v>0.15</v>
      </c>
      <c r="J86" s="1851">
        <f t="shared" si="4"/>
        <v>0.65</v>
      </c>
      <c r="K86" s="1851"/>
      <c r="L86" s="1851"/>
      <c r="M86" s="1851"/>
      <c r="N86" s="1851"/>
      <c r="O86" s="1866"/>
      <c r="P86" s="1867"/>
      <c r="Q86" s="1867"/>
    </row>
    <row r="87" spans="1:18">
      <c r="A87" s="1855"/>
      <c r="B87" s="1856"/>
      <c r="C87" s="1887" t="s">
        <v>3395</v>
      </c>
      <c r="D87" s="1853">
        <v>1</v>
      </c>
      <c r="E87" s="1853" t="s">
        <v>1472</v>
      </c>
      <c r="F87" s="1853">
        <v>1</v>
      </c>
      <c r="G87" s="1851">
        <v>3.6</v>
      </c>
      <c r="H87" s="1851">
        <v>0.9</v>
      </c>
      <c r="I87" s="1851">
        <v>0.15</v>
      </c>
      <c r="J87" s="1851">
        <f t="shared" si="4"/>
        <v>0.49</v>
      </c>
      <c r="K87" s="1851"/>
      <c r="L87" s="1851"/>
      <c r="M87" s="1851"/>
      <c r="N87" s="1851"/>
      <c r="O87" s="1866"/>
      <c r="P87" s="1867"/>
      <c r="Q87" s="1867"/>
      <c r="R87" s="1867"/>
    </row>
    <row r="88" spans="1:18">
      <c r="A88" s="1855"/>
      <c r="B88" s="1856"/>
      <c r="C88" s="1887" t="s">
        <v>3396</v>
      </c>
      <c r="D88" s="1853">
        <v>1</v>
      </c>
      <c r="E88" s="1853" t="s">
        <v>1472</v>
      </c>
      <c r="F88" s="1853">
        <v>1</v>
      </c>
      <c r="G88" s="1851">
        <v>3.6</v>
      </c>
      <c r="H88" s="1851">
        <v>0.6</v>
      </c>
      <c r="I88" s="1851">
        <v>0.15</v>
      </c>
      <c r="J88" s="1851">
        <f t="shared" si="4"/>
        <v>0.32</v>
      </c>
      <c r="K88" s="1851"/>
      <c r="L88" s="1851"/>
      <c r="M88" s="1851"/>
      <c r="N88" s="1851"/>
      <c r="O88" s="1866"/>
      <c r="P88" s="1867"/>
      <c r="Q88" s="1867"/>
      <c r="R88" s="1867"/>
    </row>
    <row r="89" spans="1:18">
      <c r="A89" s="1855"/>
      <c r="B89" s="1856"/>
      <c r="C89" s="1887" t="s">
        <v>3397</v>
      </c>
      <c r="D89" s="1853">
        <v>1</v>
      </c>
      <c r="E89" s="1853" t="s">
        <v>1472</v>
      </c>
      <c r="F89" s="1853">
        <v>1</v>
      </c>
      <c r="G89" s="1851">
        <v>3.6</v>
      </c>
      <c r="H89" s="1851">
        <v>0.3</v>
      </c>
      <c r="I89" s="1851">
        <v>0.15</v>
      </c>
      <c r="J89" s="1851">
        <f t="shared" si="4"/>
        <v>0.16</v>
      </c>
      <c r="K89" s="1851"/>
      <c r="L89" s="1851"/>
      <c r="M89" s="1851"/>
      <c r="N89" s="1851"/>
      <c r="O89" s="1866"/>
      <c r="P89" s="1867"/>
      <c r="Q89" s="1867"/>
    </row>
    <row r="90" spans="1:18">
      <c r="A90" s="1855"/>
      <c r="B90" s="1856"/>
      <c r="C90" s="1887" t="s">
        <v>3398</v>
      </c>
      <c r="D90" s="1853">
        <v>1</v>
      </c>
      <c r="E90" s="1853" t="s">
        <v>1472</v>
      </c>
      <c r="F90" s="1853">
        <v>-8</v>
      </c>
      <c r="G90" s="1851">
        <v>0.23</v>
      </c>
      <c r="H90" s="1851">
        <v>0.3</v>
      </c>
      <c r="I90" s="1851">
        <v>0.95</v>
      </c>
      <c r="J90" s="1851">
        <f>ROUND(D90*F90*G90*H90*I90,2)</f>
        <v>-0.52</v>
      </c>
      <c r="K90" s="1851"/>
      <c r="L90" s="1851"/>
      <c r="M90" s="1851"/>
      <c r="N90" s="1851"/>
      <c r="O90" s="1866"/>
      <c r="P90" s="1867"/>
      <c r="Q90" s="1867"/>
    </row>
    <row r="91" spans="1:18">
      <c r="A91" s="1855"/>
      <c r="B91" s="1856"/>
      <c r="C91" s="1887"/>
      <c r="D91" s="1853"/>
      <c r="E91" s="1853"/>
      <c r="F91" s="1853"/>
      <c r="G91" s="1851"/>
      <c r="H91" s="1851"/>
      <c r="I91" s="1851"/>
      <c r="J91" s="1871">
        <f>SUM(J77:J90)</f>
        <v>17.05</v>
      </c>
      <c r="K91" s="1851"/>
      <c r="L91" s="1851"/>
      <c r="M91" s="1851"/>
      <c r="N91" s="1851"/>
      <c r="O91" s="1866"/>
      <c r="P91" s="1867"/>
      <c r="Q91" s="1890"/>
    </row>
    <row r="92" spans="1:18">
      <c r="A92" s="1855"/>
      <c r="B92" s="1856"/>
      <c r="C92" s="1870"/>
      <c r="D92" s="1853"/>
      <c r="E92" s="1853"/>
      <c r="F92" s="1853"/>
      <c r="G92" s="1851"/>
      <c r="H92" s="1851"/>
      <c r="I92" s="1851"/>
      <c r="J92" s="1871" t="s">
        <v>656</v>
      </c>
      <c r="K92" s="1851"/>
      <c r="L92" s="1851"/>
      <c r="M92" s="1851"/>
      <c r="N92" s="1851"/>
      <c r="O92" s="1866"/>
      <c r="P92" s="1867"/>
      <c r="Q92" s="1890"/>
    </row>
    <row r="93" spans="1:18">
      <c r="A93" s="1855"/>
      <c r="B93" s="1872"/>
      <c r="C93" s="2524" t="s">
        <v>3389</v>
      </c>
      <c r="D93" s="2524"/>
      <c r="E93" s="2524"/>
      <c r="F93" s="2524"/>
      <c r="G93" s="2524"/>
      <c r="H93" s="2524"/>
      <c r="I93" s="2524"/>
      <c r="J93" s="1851">
        <f>J91</f>
        <v>17.05</v>
      </c>
      <c r="K93" s="1873">
        <f>Datas!G196</f>
        <v>3626.63</v>
      </c>
      <c r="L93" s="1873"/>
      <c r="M93" s="1873"/>
      <c r="N93" s="1873">
        <f>ROUND(J93*K93,0)</f>
        <v>61834</v>
      </c>
      <c r="O93" s="1866">
        <f>ROUND(1.1*75+0.33*40,2)</f>
        <v>95.7</v>
      </c>
      <c r="P93" s="1878">
        <f>ROUND(O93*J93,2)</f>
        <v>1631.69</v>
      </c>
    </row>
    <row r="94" spans="1:18">
      <c r="A94" s="1855"/>
      <c r="B94" s="1872"/>
      <c r="C94" s="1859"/>
      <c r="D94" s="1853"/>
      <c r="E94" s="1853"/>
      <c r="F94" s="1853"/>
      <c r="G94" s="1888"/>
      <c r="H94" s="1851"/>
      <c r="I94" s="1851"/>
      <c r="J94" s="1885" t="s">
        <v>525</v>
      </c>
      <c r="K94" s="1873" t="s">
        <v>658</v>
      </c>
      <c r="L94" s="1873"/>
      <c r="M94" s="1873"/>
      <c r="N94" s="1873"/>
      <c r="O94" s="1866"/>
      <c r="P94" s="1879"/>
    </row>
    <row r="95" spans="1:18">
      <c r="A95" s="1850"/>
      <c r="B95" s="1880"/>
      <c r="C95" s="1880"/>
      <c r="D95" s="1880"/>
      <c r="E95" s="1880"/>
      <c r="F95" s="1880"/>
      <c r="G95" s="1850"/>
      <c r="H95" s="1850"/>
      <c r="I95" s="1850"/>
      <c r="J95" s="1886"/>
      <c r="K95" s="1880"/>
      <c r="L95" s="1880"/>
      <c r="M95" s="1880"/>
      <c r="N95" s="1880"/>
    </row>
    <row r="96" spans="1:18" ht="126" hidden="1" customHeight="1">
      <c r="A96" s="1855">
        <v>4</v>
      </c>
      <c r="B96" s="1856"/>
      <c r="C96" s="2527" t="s">
        <v>3399</v>
      </c>
      <c r="D96" s="2527"/>
      <c r="E96" s="2527"/>
      <c r="F96" s="2527"/>
      <c r="G96" s="2527"/>
      <c r="H96" s="2527"/>
      <c r="I96" s="2527"/>
      <c r="J96" s="2527"/>
      <c r="K96" s="1851"/>
      <c r="L96" s="1851"/>
      <c r="M96" s="1851"/>
      <c r="N96" s="1851"/>
      <c r="O96" s="1866"/>
      <c r="P96" s="1867"/>
      <c r="Q96" s="1867"/>
    </row>
    <row r="97" spans="1:17" ht="28.2" hidden="1">
      <c r="A97" s="1855"/>
      <c r="B97" s="1856"/>
      <c r="C97" s="1859" t="s">
        <v>3273</v>
      </c>
      <c r="D97" s="1877"/>
      <c r="E97" s="1877"/>
      <c r="F97" s="1877"/>
      <c r="G97" s="1889"/>
      <c r="H97" s="1889"/>
      <c r="I97" s="1889"/>
      <c r="J97" s="1889"/>
      <c r="K97" s="1851"/>
      <c r="L97" s="1851"/>
      <c r="M97" s="1851"/>
      <c r="N97" s="1851"/>
      <c r="O97" s="1866"/>
      <c r="P97" s="1867"/>
      <c r="Q97" s="1867"/>
    </row>
    <row r="98" spans="1:17" ht="21.75" hidden="1" customHeight="1">
      <c r="A98" s="1855"/>
      <c r="B98" s="1856"/>
      <c r="C98" s="1868"/>
      <c r="D98" s="1853"/>
      <c r="E98" s="1853"/>
      <c r="F98" s="1853"/>
      <c r="G98" s="1851"/>
      <c r="H98" s="1851"/>
      <c r="I98" s="1851"/>
      <c r="J98" s="1851"/>
      <c r="K98" s="1851"/>
      <c r="L98" s="1851"/>
      <c r="M98" s="1851"/>
      <c r="N98" s="1851"/>
      <c r="O98" s="1866"/>
      <c r="P98" s="1867"/>
      <c r="Q98" s="1867"/>
    </row>
    <row r="99" spans="1:17" ht="21.75" hidden="1" customHeight="1">
      <c r="A99" s="1855"/>
      <c r="B99" s="1856"/>
      <c r="C99" s="1868"/>
      <c r="D99" s="1853"/>
      <c r="E99" s="1853"/>
      <c r="F99" s="1853"/>
      <c r="G99" s="1851"/>
      <c r="H99" s="1851"/>
      <c r="I99" s="1851"/>
      <c r="J99" s="1851"/>
      <c r="K99" s="1851"/>
      <c r="L99" s="1851"/>
      <c r="M99" s="1851"/>
      <c r="N99" s="1851"/>
      <c r="O99" s="1866"/>
      <c r="P99" s="1867"/>
      <c r="Q99" s="1867"/>
    </row>
    <row r="100" spans="1:17" ht="21.75" hidden="1" customHeight="1">
      <c r="A100" s="1855"/>
      <c r="B100" s="1856"/>
      <c r="C100" s="1868"/>
      <c r="D100" s="1853"/>
      <c r="E100" s="1853"/>
      <c r="F100" s="1853"/>
      <c r="G100" s="1851"/>
      <c r="H100" s="1851"/>
      <c r="I100" s="1851"/>
      <c r="J100" s="1851"/>
      <c r="K100" s="1851"/>
      <c r="L100" s="1851"/>
      <c r="M100" s="1851"/>
      <c r="N100" s="1851"/>
      <c r="O100" s="1866"/>
      <c r="P100" s="1867"/>
      <c r="Q100" s="1867"/>
    </row>
    <row r="101" spans="1:17" ht="21.75" hidden="1" customHeight="1">
      <c r="A101" s="1855"/>
      <c r="B101" s="1856"/>
      <c r="C101" s="1887"/>
      <c r="D101" s="1853"/>
      <c r="E101" s="1853"/>
      <c r="F101" s="1853"/>
      <c r="G101" s="1851"/>
      <c r="H101" s="1851"/>
      <c r="I101" s="1851"/>
      <c r="J101" s="1871">
        <f>SUM(J98:J100)</f>
        <v>0</v>
      </c>
      <c r="K101" s="1851"/>
      <c r="L101" s="1851"/>
      <c r="M101" s="1851"/>
      <c r="N101" s="1851"/>
      <c r="O101" s="1866"/>
      <c r="P101" s="1867"/>
      <c r="Q101" s="1867"/>
    </row>
    <row r="102" spans="1:17" ht="21.75" hidden="1" customHeight="1">
      <c r="A102" s="1855"/>
      <c r="B102" s="1872" t="s">
        <v>3400</v>
      </c>
      <c r="C102" s="2524" t="s">
        <v>270</v>
      </c>
      <c r="D102" s="2524"/>
      <c r="E102" s="2524"/>
      <c r="F102" s="2524"/>
      <c r="G102" s="2524"/>
      <c r="H102" s="2524"/>
      <c r="I102" s="2524"/>
      <c r="J102" s="1871">
        <f>CEILING(J101,0.05)</f>
        <v>0</v>
      </c>
      <c r="K102" s="1873">
        <f>[222]Datas!G179</f>
        <v>2949.48</v>
      </c>
      <c r="L102" s="1873"/>
      <c r="M102" s="1873">
        <f>ROUND(K102*J102,0)</f>
        <v>0</v>
      </c>
      <c r="N102" s="1873">
        <f>SUM(L102:M102)</f>
        <v>0</v>
      </c>
      <c r="O102" s="1891">
        <f>ROUND(1.1*75+0.32*40,2)</f>
        <v>95.3</v>
      </c>
      <c r="P102" s="1878">
        <f>ROUND(O102*J102,2)</f>
        <v>0</v>
      </c>
      <c r="Q102" s="1890"/>
    </row>
    <row r="103" spans="1:17" ht="21.75" hidden="1" customHeight="1">
      <c r="A103" s="1855"/>
      <c r="B103" s="1892"/>
      <c r="C103" s="1880"/>
      <c r="D103" s="1892"/>
      <c r="E103" s="1880"/>
      <c r="F103" s="1883"/>
      <c r="G103" s="1893"/>
      <c r="H103" s="1893"/>
      <c r="I103" s="1874"/>
      <c r="J103" s="1871" t="s">
        <v>656</v>
      </c>
      <c r="K103" s="1894" t="s">
        <v>658</v>
      </c>
      <c r="L103" s="1894"/>
      <c r="M103" s="1894"/>
      <c r="N103" s="1894"/>
      <c r="O103" s="1891"/>
      <c r="P103" s="1890"/>
      <c r="Q103" s="1867"/>
    </row>
    <row r="104" spans="1:17" ht="12.75" hidden="1" customHeight="1">
      <c r="A104" s="1850"/>
      <c r="B104" s="1880"/>
      <c r="C104" s="1880"/>
      <c r="D104" s="1880"/>
      <c r="E104" s="1880"/>
      <c r="F104" s="1880"/>
      <c r="G104" s="1850"/>
      <c r="H104" s="1850"/>
      <c r="I104" s="1850"/>
      <c r="J104" s="1886"/>
      <c r="K104" s="1880"/>
      <c r="L104" s="1880"/>
      <c r="M104" s="1880"/>
      <c r="N104" s="1880"/>
    </row>
    <row r="105" spans="1:17" ht="162.69999999999999" customHeight="1">
      <c r="A105" s="1855">
        <f>A75+1</f>
        <v>5</v>
      </c>
      <c r="B105" s="1856"/>
      <c r="C105" s="2527" t="s">
        <v>3401</v>
      </c>
      <c r="D105" s="2527"/>
      <c r="E105" s="2527"/>
      <c r="F105" s="2527"/>
      <c r="G105" s="2527"/>
      <c r="H105" s="2527"/>
      <c r="I105" s="2527"/>
      <c r="J105" s="2527"/>
      <c r="K105" s="1851"/>
      <c r="L105" s="1851"/>
      <c r="M105" s="1851"/>
      <c r="N105" s="1851"/>
      <c r="O105" s="1866"/>
      <c r="P105" s="1867"/>
      <c r="Q105" s="1867"/>
    </row>
    <row r="106" spans="1:17">
      <c r="A106" s="1855" t="s">
        <v>659</v>
      </c>
      <c r="B106" s="1856"/>
      <c r="C106" s="1845" t="s">
        <v>660</v>
      </c>
      <c r="D106" s="1853"/>
      <c r="E106" s="1853"/>
      <c r="F106" s="1853"/>
      <c r="G106" s="1851"/>
      <c r="H106" s="1851"/>
      <c r="I106" s="1851"/>
      <c r="J106" s="1851"/>
      <c r="K106" s="1851"/>
      <c r="L106" s="1851"/>
      <c r="M106" s="1851"/>
      <c r="N106" s="1851"/>
      <c r="O106" s="1866"/>
      <c r="P106" s="1867"/>
      <c r="Q106" s="1867"/>
    </row>
    <row r="107" spans="1:17">
      <c r="A107" s="1855"/>
      <c r="B107" s="1856"/>
      <c r="C107" s="1877"/>
      <c r="D107" s="1853">
        <v>1</v>
      </c>
      <c r="E107" s="1853" t="s">
        <v>1472</v>
      </c>
      <c r="F107" s="1853">
        <v>9</v>
      </c>
      <c r="G107" s="1851">
        <v>1.2</v>
      </c>
      <c r="H107" s="1851">
        <v>1.2</v>
      </c>
      <c r="I107" s="1885">
        <v>0.3</v>
      </c>
      <c r="J107" s="1851">
        <f>ROUND(D107*F107*G107*H107*I107,2)</f>
        <v>3.89</v>
      </c>
      <c r="K107" s="1851"/>
      <c r="L107" s="1851"/>
      <c r="M107" s="1851"/>
      <c r="N107" s="1851"/>
      <c r="O107" s="1866"/>
      <c r="P107" s="1867"/>
      <c r="Q107" s="1867"/>
    </row>
    <row r="108" spans="1:17">
      <c r="A108" s="1855"/>
      <c r="B108" s="1856"/>
      <c r="C108" s="1887"/>
      <c r="D108" s="1853"/>
      <c r="E108" s="1853"/>
      <c r="F108" s="1853"/>
      <c r="G108" s="1851"/>
      <c r="H108" s="1851"/>
      <c r="I108" s="1851"/>
      <c r="J108" s="1871" t="s">
        <v>656</v>
      </c>
      <c r="K108" s="1851"/>
      <c r="L108" s="1871"/>
      <c r="M108" s="1871"/>
      <c r="N108" s="1871"/>
      <c r="O108" s="1891"/>
      <c r="P108" s="1890"/>
      <c r="Q108" s="1867"/>
    </row>
    <row r="109" spans="1:17">
      <c r="A109" s="1855"/>
      <c r="B109" s="1872"/>
      <c r="C109" s="2524" t="s">
        <v>3389</v>
      </c>
      <c r="D109" s="2524"/>
      <c r="E109" s="2524"/>
      <c r="F109" s="2524"/>
      <c r="G109" s="2524"/>
      <c r="H109" s="2524"/>
      <c r="I109" s="2524"/>
      <c r="J109" s="1871">
        <f>J107</f>
        <v>3.89</v>
      </c>
      <c r="K109" s="1873">
        <f>Datas!G321</f>
        <v>8788.51</v>
      </c>
      <c r="L109" s="1873"/>
      <c r="M109" s="1873"/>
      <c r="N109" s="1873">
        <f>ROUND(J109*K109,0)</f>
        <v>34187</v>
      </c>
      <c r="O109" s="1866">
        <f>ROUND(0.9*75+0.45*40,2)</f>
        <v>85.5</v>
      </c>
      <c r="P109" s="1878">
        <f>ROUND(O109*J109,2)</f>
        <v>332.6</v>
      </c>
      <c r="Q109" s="1867"/>
    </row>
    <row r="110" spans="1:17" ht="15" customHeight="1">
      <c r="A110" s="1855"/>
      <c r="B110" s="1892"/>
      <c r="C110" s="1880"/>
      <c r="D110" s="1892"/>
      <c r="E110" s="1880"/>
      <c r="F110" s="1883"/>
      <c r="G110" s="1881"/>
      <c r="H110" s="1881"/>
      <c r="I110" s="1881"/>
      <c r="J110" s="1851" t="s">
        <v>656</v>
      </c>
      <c r="K110" s="1873" t="s">
        <v>658</v>
      </c>
      <c r="L110" s="1873"/>
      <c r="M110" s="1873"/>
      <c r="N110" s="1873"/>
      <c r="O110" s="1866"/>
      <c r="P110" s="1867"/>
      <c r="Q110" s="1867"/>
    </row>
    <row r="111" spans="1:17" ht="15" customHeight="1">
      <c r="A111" s="1855"/>
      <c r="B111" s="1892"/>
      <c r="C111" s="1880"/>
      <c r="D111" s="1892"/>
      <c r="E111" s="1880"/>
      <c r="F111" s="1883"/>
      <c r="G111" s="1881"/>
      <c r="H111" s="1881"/>
      <c r="I111" s="1881"/>
      <c r="J111" s="1884"/>
      <c r="K111" s="1873"/>
      <c r="L111" s="1873"/>
      <c r="M111" s="1873"/>
      <c r="N111" s="1873"/>
      <c r="O111" s="1866"/>
      <c r="P111" s="1867"/>
      <c r="Q111" s="1867"/>
    </row>
    <row r="112" spans="1:17" ht="17.2" customHeight="1">
      <c r="A112" s="1855" t="s">
        <v>950</v>
      </c>
      <c r="B112" s="1856"/>
      <c r="C112" s="1895" t="s">
        <v>272</v>
      </c>
      <c r="D112" s="1853"/>
      <c r="E112" s="1853"/>
      <c r="F112" s="1853"/>
      <c r="G112" s="1851"/>
      <c r="H112" s="1851"/>
      <c r="I112" s="1851"/>
      <c r="J112" s="1871"/>
      <c r="K112" s="1851"/>
      <c r="L112" s="1851"/>
      <c r="M112" s="1851"/>
      <c r="N112" s="1851"/>
      <c r="O112" s="1866"/>
      <c r="P112" s="1867"/>
      <c r="Q112" s="1890"/>
    </row>
    <row r="113" spans="1:17">
      <c r="A113" s="1855"/>
      <c r="B113" s="1856"/>
      <c r="C113" s="1895"/>
      <c r="D113" s="1853">
        <v>1</v>
      </c>
      <c r="E113" s="1853" t="s">
        <v>422</v>
      </c>
      <c r="F113" s="1853">
        <v>9</v>
      </c>
      <c r="G113" s="1851">
        <v>0.45</v>
      </c>
      <c r="H113" s="1851">
        <v>0.45</v>
      </c>
      <c r="I113" s="1851">
        <v>0.6</v>
      </c>
      <c r="J113" s="1871">
        <f>ROUND(D113*F113*G113*H113*I113,2)</f>
        <v>1.0900000000000001</v>
      </c>
      <c r="K113" s="1851"/>
      <c r="L113" s="1851"/>
      <c r="M113" s="1851"/>
      <c r="N113" s="1851"/>
      <c r="O113" s="1866"/>
      <c r="P113" s="1867"/>
      <c r="Q113" s="1890"/>
    </row>
    <row r="114" spans="1:17" ht="17.2" customHeight="1">
      <c r="A114" s="1855"/>
      <c r="B114" s="1856"/>
      <c r="C114" s="1859"/>
      <c r="D114" s="1853"/>
      <c r="E114" s="1853"/>
      <c r="F114" s="1853"/>
      <c r="G114" s="1851"/>
      <c r="H114" s="1851"/>
      <c r="I114" s="1851"/>
      <c r="J114" s="1871" t="s">
        <v>656</v>
      </c>
      <c r="K114" s="1851"/>
      <c r="L114" s="1871"/>
      <c r="M114" s="1871"/>
      <c r="N114" s="1871"/>
      <c r="O114" s="1891"/>
      <c r="P114" s="1890"/>
      <c r="Q114" s="1867"/>
    </row>
    <row r="115" spans="1:17" ht="32.4" customHeight="1">
      <c r="A115" s="1855"/>
      <c r="B115" s="1872"/>
      <c r="C115" s="2524" t="s">
        <v>3389</v>
      </c>
      <c r="D115" s="2524"/>
      <c r="E115" s="2524"/>
      <c r="F115" s="2524"/>
      <c r="G115" s="2524"/>
      <c r="H115" s="2524"/>
      <c r="I115" s="2524"/>
      <c r="J115" s="1851">
        <f>J113</f>
        <v>1.0900000000000001</v>
      </c>
      <c r="K115" s="1873">
        <f>Datas!G332</f>
        <v>9360.51</v>
      </c>
      <c r="L115" s="1873"/>
      <c r="M115" s="1873"/>
      <c r="N115" s="1873">
        <f>ROUND(J115*K115,0)</f>
        <v>10203</v>
      </c>
      <c r="O115" s="1866">
        <f>ROUND(0.9*75+0.45*40,2)</f>
        <v>85.5</v>
      </c>
      <c r="P115" s="1878">
        <f>ROUND(O115*J115,2)</f>
        <v>93.2</v>
      </c>
    </row>
    <row r="116" spans="1:17" ht="13.5" customHeight="1">
      <c r="A116" s="1855"/>
      <c r="B116" s="1872"/>
      <c r="C116" s="1859"/>
      <c r="D116" s="1853"/>
      <c r="E116" s="1853"/>
      <c r="F116" s="1853"/>
      <c r="G116" s="1888"/>
      <c r="H116" s="1851"/>
      <c r="I116" s="1851"/>
      <c r="J116" s="1885" t="s">
        <v>525</v>
      </c>
      <c r="K116" s="1873" t="s">
        <v>658</v>
      </c>
      <c r="L116" s="1873"/>
      <c r="M116" s="1873"/>
      <c r="N116" s="1873"/>
      <c r="O116" s="1866"/>
      <c r="P116" s="1879"/>
    </row>
    <row r="117" spans="1:17" ht="12.75" customHeight="1">
      <c r="A117" s="1850"/>
      <c r="B117" s="1880"/>
      <c r="C117" s="1880"/>
      <c r="D117" s="1880"/>
      <c r="E117" s="1880"/>
      <c r="F117" s="1880"/>
      <c r="G117" s="1850"/>
      <c r="H117" s="1850"/>
      <c r="I117" s="1850"/>
      <c r="J117" s="1886"/>
      <c r="K117" s="1880"/>
      <c r="L117" s="1880"/>
      <c r="M117" s="1880"/>
      <c r="N117" s="1880"/>
    </row>
    <row r="118" spans="1:17">
      <c r="A118" s="1855" t="s">
        <v>661</v>
      </c>
      <c r="B118" s="1856"/>
      <c r="C118" s="1845" t="s">
        <v>662</v>
      </c>
      <c r="D118" s="1853"/>
      <c r="E118" s="1853"/>
      <c r="F118" s="1853"/>
      <c r="G118" s="1851"/>
      <c r="H118" s="1851"/>
      <c r="I118" s="1851"/>
      <c r="J118" s="1851"/>
      <c r="K118" s="1851"/>
      <c r="L118" s="1851"/>
      <c r="M118" s="1851"/>
      <c r="N118" s="1851"/>
      <c r="O118" s="1866"/>
      <c r="P118" s="1867"/>
      <c r="Q118" s="1867"/>
    </row>
    <row r="119" spans="1:17">
      <c r="A119" s="1855"/>
      <c r="B119" s="1856"/>
      <c r="C119" s="1887" t="s">
        <v>1006</v>
      </c>
      <c r="D119" s="1853">
        <v>1</v>
      </c>
      <c r="E119" s="1853" t="s">
        <v>1472</v>
      </c>
      <c r="F119" s="1853">
        <v>9</v>
      </c>
      <c r="G119" s="1851">
        <v>0.23</v>
      </c>
      <c r="H119" s="1851">
        <v>0.3</v>
      </c>
      <c r="I119" s="1851">
        <f>1.5-0.15-0.23-0.45</f>
        <v>0.67000000000000015</v>
      </c>
      <c r="J119" s="1851">
        <f>ROUND(D119*F119*G119*H119*I119,2)</f>
        <v>0.42</v>
      </c>
      <c r="K119" s="1851"/>
      <c r="L119" s="1851"/>
      <c r="M119" s="1851"/>
      <c r="N119" s="1851"/>
      <c r="O119" s="1866"/>
      <c r="P119" s="1867"/>
      <c r="Q119" s="1867"/>
    </row>
    <row r="120" spans="1:17">
      <c r="A120" s="1855"/>
      <c r="B120" s="1856"/>
      <c r="C120" s="1845" t="s">
        <v>664</v>
      </c>
      <c r="D120" s="1853"/>
      <c r="E120" s="1853"/>
      <c r="F120" s="1853"/>
      <c r="G120" s="1851"/>
      <c r="H120" s="1851"/>
      <c r="I120" s="1851"/>
      <c r="J120" s="1871"/>
      <c r="K120" s="1851"/>
      <c r="L120" s="1851"/>
      <c r="M120" s="1851"/>
      <c r="N120" s="1851"/>
      <c r="O120" s="1866"/>
      <c r="P120" s="1867"/>
      <c r="Q120" s="1867"/>
    </row>
    <row r="121" spans="1:17">
      <c r="A121" s="1855"/>
      <c r="B121" s="1856"/>
      <c r="C121" s="1887" t="s">
        <v>3402</v>
      </c>
      <c r="D121" s="1853">
        <v>1</v>
      </c>
      <c r="E121" s="1853" t="s">
        <v>1472</v>
      </c>
      <c r="F121" s="1853">
        <v>9</v>
      </c>
      <c r="G121" s="1851">
        <v>0.23</v>
      </c>
      <c r="H121" s="1851">
        <v>0.3</v>
      </c>
      <c r="I121" s="1851">
        <v>0.6</v>
      </c>
      <c r="J121" s="1851">
        <f>ROUND(D121*F121*G121*H121*I121,2)</f>
        <v>0.37</v>
      </c>
      <c r="K121" s="1851"/>
      <c r="L121" s="1851"/>
      <c r="M121" s="1851"/>
      <c r="N121" s="1851"/>
      <c r="O121" s="1866"/>
      <c r="P121" s="1867"/>
      <c r="Q121" s="1867"/>
    </row>
    <row r="122" spans="1:17">
      <c r="A122" s="1855"/>
      <c r="B122" s="1856"/>
      <c r="C122" s="1845" t="s">
        <v>665</v>
      </c>
      <c r="D122" s="1853"/>
      <c r="E122" s="1853"/>
      <c r="F122" s="1853"/>
      <c r="G122" s="1851"/>
      <c r="H122" s="1851"/>
      <c r="I122" s="1851"/>
      <c r="J122" s="1871"/>
      <c r="K122" s="1851"/>
      <c r="L122" s="1851"/>
      <c r="M122" s="1851"/>
      <c r="N122" s="1851"/>
      <c r="O122" s="1866"/>
      <c r="P122" s="1867"/>
      <c r="Q122" s="1867"/>
    </row>
    <row r="123" spans="1:17">
      <c r="A123" s="1855"/>
      <c r="B123" s="1856"/>
      <c r="C123" s="1868" t="s">
        <v>1006</v>
      </c>
      <c r="D123" s="1853">
        <v>1</v>
      </c>
      <c r="E123" s="1853" t="s">
        <v>1472</v>
      </c>
      <c r="F123" s="1853">
        <v>9</v>
      </c>
      <c r="G123" s="1851">
        <v>0.23</v>
      </c>
      <c r="H123" s="1851">
        <v>0.3</v>
      </c>
      <c r="I123" s="1851">
        <v>3.05</v>
      </c>
      <c r="J123" s="1851">
        <f>ROUND(D123*F123*G123*H123*I123,2)</f>
        <v>1.89</v>
      </c>
      <c r="K123" s="1851"/>
      <c r="L123" s="1851"/>
      <c r="M123" s="1851"/>
      <c r="N123" s="1851"/>
      <c r="O123" s="1866"/>
      <c r="P123" s="1867"/>
      <c r="Q123" s="1867"/>
    </row>
    <row r="124" spans="1:17">
      <c r="A124" s="1855"/>
      <c r="B124" s="1856"/>
      <c r="C124" s="1887"/>
      <c r="D124" s="1853"/>
      <c r="E124" s="1853"/>
      <c r="F124" s="1853"/>
      <c r="G124" s="1851"/>
      <c r="H124" s="1851"/>
      <c r="I124" s="1851"/>
      <c r="J124" s="1871">
        <f>SUM(J119:J123)</f>
        <v>2.6799999999999997</v>
      </c>
      <c r="K124" s="1851"/>
      <c r="L124" s="1851"/>
      <c r="M124" s="1851"/>
      <c r="N124" s="1851"/>
      <c r="O124" s="1866"/>
      <c r="P124" s="1867"/>
      <c r="Q124" s="1867"/>
    </row>
    <row r="125" spans="1:17">
      <c r="A125" s="1855"/>
      <c r="B125" s="1872"/>
      <c r="C125" s="1895"/>
      <c r="D125" s="1853"/>
      <c r="E125" s="1853"/>
      <c r="F125" s="1853"/>
      <c r="G125" s="1888"/>
      <c r="H125" s="1851"/>
      <c r="I125" s="1851"/>
      <c r="J125" s="1896" t="s">
        <v>656</v>
      </c>
      <c r="K125" s="1873"/>
      <c r="L125" s="1873"/>
      <c r="M125" s="1873"/>
      <c r="N125" s="1873"/>
      <c r="O125" s="1866"/>
      <c r="P125" s="1879"/>
      <c r="Q125" s="1867"/>
    </row>
    <row r="126" spans="1:17" ht="32.4" customHeight="1">
      <c r="A126" s="1855"/>
      <c r="B126" s="1872"/>
      <c r="C126" s="2524" t="s">
        <v>3389</v>
      </c>
      <c r="D126" s="2524"/>
      <c r="E126" s="2524"/>
      <c r="F126" s="2524"/>
      <c r="G126" s="2524"/>
      <c r="H126" s="2524"/>
      <c r="I126" s="2524"/>
      <c r="J126" s="1871">
        <f>J124</f>
        <v>2.6799999999999997</v>
      </c>
      <c r="K126" s="1873">
        <f>Datas!E391</f>
        <v>11842.03</v>
      </c>
      <c r="L126" s="1873"/>
      <c r="M126" s="1873"/>
      <c r="N126" s="1873">
        <f>ROUND(J126*K126,0)</f>
        <v>31737</v>
      </c>
      <c r="O126" s="1866">
        <f>ROUND(0.9*75+0.45*40,2)</f>
        <v>85.5</v>
      </c>
      <c r="P126" s="1878">
        <f>ROUND(O126*J126,2)</f>
        <v>229.14</v>
      </c>
      <c r="Q126" s="1867"/>
    </row>
    <row r="127" spans="1:17" ht="15" customHeight="1">
      <c r="A127" s="1855"/>
      <c r="B127" s="1892"/>
      <c r="C127" s="1880"/>
      <c r="D127" s="1892"/>
      <c r="E127" s="1880"/>
      <c r="F127" s="1883"/>
      <c r="G127" s="1881"/>
      <c r="H127" s="1881"/>
      <c r="I127" s="1881"/>
      <c r="J127" s="1851" t="s">
        <v>656</v>
      </c>
      <c r="K127" s="1873" t="s">
        <v>668</v>
      </c>
      <c r="L127" s="1873"/>
      <c r="M127" s="1873"/>
      <c r="N127" s="1873"/>
      <c r="O127" s="1866"/>
      <c r="P127" s="1867"/>
      <c r="Q127" s="1867"/>
    </row>
    <row r="128" spans="1:17" ht="15" customHeight="1">
      <c r="A128" s="1855"/>
      <c r="B128" s="1892"/>
      <c r="C128" s="1880"/>
      <c r="D128" s="1892"/>
      <c r="E128" s="1880"/>
      <c r="F128" s="1883"/>
      <c r="G128" s="1881"/>
      <c r="H128" s="1881"/>
      <c r="I128" s="1881"/>
      <c r="J128" s="1884"/>
      <c r="K128" s="1873"/>
      <c r="L128" s="1873"/>
      <c r="M128" s="1873"/>
      <c r="N128" s="1873"/>
      <c r="O128" s="1866"/>
      <c r="P128" s="1867"/>
      <c r="Q128" s="1867"/>
    </row>
    <row r="129" spans="1:17" ht="17.2" customHeight="1">
      <c r="A129" s="1855" t="s">
        <v>669</v>
      </c>
      <c r="B129" s="1856"/>
      <c r="C129" s="1895" t="s">
        <v>154</v>
      </c>
      <c r="D129" s="1857"/>
      <c r="E129" s="1857"/>
      <c r="F129" s="1853"/>
      <c r="G129" s="1851"/>
      <c r="H129" s="1851"/>
      <c r="I129" s="1851"/>
      <c r="J129" s="1851"/>
      <c r="K129" s="1851"/>
      <c r="L129" s="1851"/>
      <c r="M129" s="1851"/>
      <c r="N129" s="1871"/>
      <c r="O129" s="1866"/>
      <c r="P129" s="1867"/>
      <c r="Q129" s="1867"/>
    </row>
    <row r="130" spans="1:17">
      <c r="A130" s="1855"/>
      <c r="B130" s="1856"/>
      <c r="C130" s="1870" t="s">
        <v>3403</v>
      </c>
      <c r="D130" s="1853">
        <v>1</v>
      </c>
      <c r="E130" s="1853" t="s">
        <v>1472</v>
      </c>
      <c r="F130" s="1853">
        <v>3</v>
      </c>
      <c r="G130" s="1851">
        <v>8.6199999999999992</v>
      </c>
      <c r="H130" s="1851">
        <v>0.23</v>
      </c>
      <c r="I130" s="1851">
        <v>0.3</v>
      </c>
      <c r="J130" s="1851">
        <f t="shared" ref="J130:J135" si="5">ROUND(D130*F130*G130*H130*I130,2)</f>
        <v>1.78</v>
      </c>
      <c r="K130" s="1851"/>
      <c r="L130" s="1851"/>
      <c r="M130" s="1851"/>
      <c r="N130" s="1851"/>
      <c r="O130" s="1866"/>
      <c r="P130" s="1867"/>
      <c r="Q130" s="1867"/>
    </row>
    <row r="131" spans="1:17">
      <c r="A131" s="1855"/>
      <c r="B131" s="1856"/>
      <c r="C131" s="1870" t="s">
        <v>3404</v>
      </c>
      <c r="D131" s="1853">
        <v>1</v>
      </c>
      <c r="E131" s="1853" t="s">
        <v>1472</v>
      </c>
      <c r="F131" s="1853">
        <v>3</v>
      </c>
      <c r="G131" s="1851">
        <f>6.52-0.23-0.23</f>
        <v>6.0599999999999987</v>
      </c>
      <c r="H131" s="1851">
        <v>0.23</v>
      </c>
      <c r="I131" s="1851">
        <v>0.3</v>
      </c>
      <c r="J131" s="1851">
        <f t="shared" si="5"/>
        <v>1.25</v>
      </c>
      <c r="K131" s="1851"/>
      <c r="L131" s="1851"/>
      <c r="M131" s="1851"/>
      <c r="N131" s="1851"/>
      <c r="O131" s="1866"/>
      <c r="P131" s="1867"/>
      <c r="Q131" s="1867"/>
    </row>
    <row r="132" spans="1:17">
      <c r="A132" s="1855"/>
      <c r="B132" s="1856"/>
      <c r="C132" s="1870" t="s">
        <v>3405</v>
      </c>
      <c r="D132" s="1853">
        <v>1</v>
      </c>
      <c r="E132" s="1853" t="s">
        <v>1472</v>
      </c>
      <c r="F132" s="1853">
        <v>1</v>
      </c>
      <c r="G132" s="1851">
        <v>3.66</v>
      </c>
      <c r="H132" s="1851">
        <v>0.23</v>
      </c>
      <c r="I132" s="1851">
        <v>0.3</v>
      </c>
      <c r="J132" s="1851">
        <f t="shared" si="5"/>
        <v>0.25</v>
      </c>
      <c r="K132" s="1851"/>
      <c r="L132" s="1851"/>
      <c r="M132" s="1851"/>
      <c r="N132" s="1851"/>
      <c r="O132" s="1866"/>
      <c r="P132" s="1867"/>
      <c r="Q132" s="1867"/>
    </row>
    <row r="133" spans="1:17">
      <c r="A133" s="1855"/>
      <c r="B133" s="1856"/>
      <c r="C133" s="1870" t="s">
        <v>3406</v>
      </c>
      <c r="D133" s="1853">
        <v>1</v>
      </c>
      <c r="E133" s="1853" t="s">
        <v>1472</v>
      </c>
      <c r="F133" s="1853">
        <v>1</v>
      </c>
      <c r="G133" s="1851">
        <v>3.66</v>
      </c>
      <c r="H133" s="1851">
        <v>0.15</v>
      </c>
      <c r="I133" s="1851">
        <v>0.3</v>
      </c>
      <c r="J133" s="1851">
        <f t="shared" si="5"/>
        <v>0.16</v>
      </c>
      <c r="K133" s="1851"/>
      <c r="L133" s="1851"/>
      <c r="M133" s="1851"/>
      <c r="N133" s="1851"/>
      <c r="O133" s="1866"/>
      <c r="P133" s="1867"/>
      <c r="Q133" s="1867"/>
    </row>
    <row r="134" spans="1:17">
      <c r="A134" s="1855"/>
      <c r="B134" s="1856"/>
      <c r="C134" s="1870" t="s">
        <v>3407</v>
      </c>
      <c r="D134" s="1853">
        <v>1</v>
      </c>
      <c r="E134" s="1853" t="s">
        <v>1472</v>
      </c>
      <c r="F134" s="1853">
        <v>1</v>
      </c>
      <c r="G134" s="1851">
        <v>2.13</v>
      </c>
      <c r="H134" s="1851">
        <v>0.15</v>
      </c>
      <c r="I134" s="1851">
        <v>0.3</v>
      </c>
      <c r="J134" s="1851">
        <f t="shared" si="5"/>
        <v>0.1</v>
      </c>
      <c r="K134" s="1851"/>
      <c r="L134" s="1851"/>
      <c r="M134" s="1851"/>
      <c r="N134" s="1851"/>
      <c r="O134" s="1866"/>
      <c r="P134" s="1867"/>
      <c r="Q134" s="1867"/>
    </row>
    <row r="135" spans="1:17">
      <c r="A135" s="1855"/>
      <c r="B135" s="1856"/>
      <c r="C135" s="1870" t="s">
        <v>3408</v>
      </c>
      <c r="D135" s="1853">
        <v>1</v>
      </c>
      <c r="E135" s="1853" t="s">
        <v>1472</v>
      </c>
      <c r="F135" s="1853">
        <v>3</v>
      </c>
      <c r="G135" s="1851">
        <v>-0.23</v>
      </c>
      <c r="H135" s="1851">
        <v>0.23</v>
      </c>
      <c r="I135" s="1851">
        <v>0.3</v>
      </c>
      <c r="J135" s="1851">
        <f t="shared" si="5"/>
        <v>-0.05</v>
      </c>
      <c r="K135" s="1851"/>
      <c r="L135" s="1851"/>
      <c r="M135" s="1851"/>
      <c r="N135" s="1851"/>
      <c r="O135" s="1866"/>
      <c r="P135" s="1867"/>
      <c r="Q135" s="1867"/>
    </row>
    <row r="136" spans="1:17">
      <c r="A136" s="1855"/>
      <c r="B136" s="1856"/>
      <c r="C136" s="1887" t="s">
        <v>522</v>
      </c>
      <c r="D136" s="1853"/>
      <c r="E136" s="1853"/>
      <c r="F136" s="1853"/>
      <c r="G136" s="1851"/>
      <c r="H136" s="1851"/>
      <c r="I136" s="1851"/>
      <c r="J136" s="1871">
        <f>SUM(J130:J135)</f>
        <v>3.4900000000000007</v>
      </c>
      <c r="K136" s="1851"/>
      <c r="L136" s="1851"/>
      <c r="M136" s="1851"/>
      <c r="N136" s="1851"/>
      <c r="O136" s="1866"/>
      <c r="P136" s="1867"/>
      <c r="Q136" s="1867"/>
    </row>
    <row r="137" spans="1:17">
      <c r="A137" s="1855"/>
      <c r="B137" s="1856"/>
      <c r="C137" s="1887"/>
      <c r="D137" s="1853"/>
      <c r="E137" s="1853"/>
      <c r="F137" s="1853"/>
      <c r="G137" s="1851"/>
      <c r="H137" s="1851"/>
      <c r="I137" s="1851"/>
      <c r="J137" s="1871" t="s">
        <v>656</v>
      </c>
      <c r="K137" s="1871"/>
      <c r="L137" s="1871"/>
      <c r="M137" s="1871"/>
      <c r="N137" s="1871"/>
      <c r="O137" s="1891"/>
      <c r="P137" s="1890"/>
      <c r="Q137" s="1867"/>
    </row>
    <row r="138" spans="1:17" ht="25.9" customHeight="1">
      <c r="A138" s="1855"/>
      <c r="B138" s="1872"/>
      <c r="C138" s="2524" t="s">
        <v>3389</v>
      </c>
      <c r="D138" s="2524"/>
      <c r="E138" s="2524"/>
      <c r="F138" s="2524"/>
      <c r="G138" s="2524"/>
      <c r="H138" s="2524"/>
      <c r="I138" s="2524"/>
      <c r="J138" s="1871">
        <f>J136</f>
        <v>3.4900000000000007</v>
      </c>
      <c r="K138" s="1873">
        <f>Datas!G343</f>
        <v>11378.51</v>
      </c>
      <c r="L138" s="1873"/>
      <c r="M138" s="1873"/>
      <c r="N138" s="1873">
        <f>ROUND(J138*K138,0)</f>
        <v>39711</v>
      </c>
      <c r="O138" s="1866">
        <f>ROUND(0.9*75+0.45*40,2)</f>
        <v>85.5</v>
      </c>
      <c r="P138" s="1878">
        <f>ROUND(O138*J138,2)</f>
        <v>298.39999999999998</v>
      </c>
      <c r="Q138" s="1867"/>
    </row>
    <row r="139" spans="1:17" ht="18" customHeight="1">
      <c r="A139" s="1855"/>
      <c r="B139" s="1892"/>
      <c r="C139" s="1880"/>
      <c r="D139" s="1892"/>
      <c r="E139" s="1880"/>
      <c r="F139" s="1883"/>
      <c r="G139" s="1881"/>
      <c r="H139" s="1881"/>
      <c r="I139" s="1881"/>
      <c r="J139" s="1851" t="s">
        <v>656</v>
      </c>
      <c r="K139" s="1873" t="s">
        <v>670</v>
      </c>
      <c r="L139" s="1873"/>
      <c r="M139" s="1873"/>
      <c r="N139" s="1873"/>
      <c r="O139" s="1866"/>
      <c r="P139" s="1867"/>
      <c r="Q139" s="1867"/>
    </row>
    <row r="140" spans="1:17" ht="15" customHeight="1">
      <c r="A140" s="1855"/>
      <c r="B140" s="1892"/>
      <c r="C140" s="1880"/>
      <c r="D140" s="1892"/>
      <c r="E140" s="1880"/>
      <c r="F140" s="1883"/>
      <c r="G140" s="1881"/>
      <c r="H140" s="1881"/>
      <c r="I140" s="1881"/>
      <c r="J140" s="1884"/>
      <c r="K140" s="1873"/>
      <c r="L140" s="1873"/>
      <c r="M140" s="1873"/>
      <c r="N140" s="1873"/>
      <c r="O140" s="1866"/>
      <c r="P140" s="1867"/>
      <c r="Q140" s="1867"/>
    </row>
    <row r="141" spans="1:17">
      <c r="A141" s="1855" t="s">
        <v>671</v>
      </c>
      <c r="B141" s="1856"/>
      <c r="C141" s="1895" t="s">
        <v>3409</v>
      </c>
      <c r="D141" s="1857"/>
      <c r="E141" s="1857"/>
      <c r="F141" s="1853"/>
      <c r="G141" s="1851"/>
      <c r="H141" s="1851"/>
      <c r="I141" s="1851"/>
      <c r="J141" s="1851"/>
      <c r="K141" s="1851"/>
      <c r="L141" s="1851"/>
      <c r="M141" s="1851"/>
      <c r="N141" s="1851"/>
      <c r="O141" s="1866"/>
      <c r="P141" s="1867"/>
      <c r="Q141" s="1867"/>
    </row>
    <row r="142" spans="1:17">
      <c r="A142" s="1855"/>
      <c r="B142" s="1856"/>
      <c r="C142" s="1870" t="s">
        <v>3410</v>
      </c>
      <c r="D142" s="1853">
        <v>1</v>
      </c>
      <c r="E142" s="1853" t="s">
        <v>1472</v>
      </c>
      <c r="F142" s="1853">
        <v>3</v>
      </c>
      <c r="G142" s="1851">
        <f>G130</f>
        <v>8.6199999999999992</v>
      </c>
      <c r="H142" s="1851">
        <v>0.23</v>
      </c>
      <c r="I142" s="1851">
        <v>0.3</v>
      </c>
      <c r="J142" s="1851">
        <f>ROUND(D142*F142*G142*H142*I142,2)</f>
        <v>1.78</v>
      </c>
      <c r="K142" s="1851"/>
      <c r="L142" s="1851"/>
      <c r="M142" s="1851"/>
      <c r="N142" s="1851"/>
      <c r="O142" s="1866"/>
      <c r="P142" s="1867"/>
      <c r="Q142" s="1867"/>
    </row>
    <row r="143" spans="1:17">
      <c r="A143" s="1855"/>
      <c r="B143" s="1856"/>
      <c r="C143" s="1870" t="s">
        <v>3411</v>
      </c>
      <c r="D143" s="1853">
        <v>1</v>
      </c>
      <c r="E143" s="1853" t="s">
        <v>1472</v>
      </c>
      <c r="F143" s="1853">
        <v>3</v>
      </c>
      <c r="G143" s="1851">
        <f>G131</f>
        <v>6.0599999999999987</v>
      </c>
      <c r="H143" s="1851">
        <v>0.23</v>
      </c>
      <c r="I143" s="1851">
        <v>0.3</v>
      </c>
      <c r="J143" s="1851">
        <f>ROUND(D143*F143*G143*H143*I143,2)</f>
        <v>1.25</v>
      </c>
      <c r="K143" s="1851"/>
      <c r="L143" s="1851"/>
      <c r="M143" s="1851"/>
      <c r="N143" s="1851"/>
      <c r="O143" s="1866"/>
      <c r="P143" s="1867"/>
      <c r="Q143" s="1867"/>
    </row>
    <row r="144" spans="1:17">
      <c r="A144" s="1855"/>
      <c r="B144" s="1856"/>
      <c r="C144" s="1870" t="s">
        <v>3408</v>
      </c>
      <c r="D144" s="1853">
        <v>1</v>
      </c>
      <c r="E144" s="1853" t="s">
        <v>1472</v>
      </c>
      <c r="F144" s="1853">
        <v>3</v>
      </c>
      <c r="G144" s="1851">
        <v>-0.23</v>
      </c>
      <c r="H144" s="1851">
        <v>0.23</v>
      </c>
      <c r="I144" s="1851">
        <v>0.3</v>
      </c>
      <c r="J144" s="1851">
        <f>ROUND(D144*F144*G144*H144*I144,2)</f>
        <v>-0.05</v>
      </c>
      <c r="K144" s="1851"/>
      <c r="L144" s="1851"/>
      <c r="M144" s="1851"/>
      <c r="N144" s="1851"/>
      <c r="O144" s="1866"/>
      <c r="P144" s="1867"/>
      <c r="Q144" s="1867"/>
    </row>
    <row r="145" spans="1:18">
      <c r="A145" s="1855"/>
      <c r="B145" s="1856"/>
      <c r="C145" s="1887" t="s">
        <v>522</v>
      </c>
      <c r="D145" s="1853"/>
      <c r="E145" s="1853"/>
      <c r="F145" s="1853"/>
      <c r="G145" s="1851"/>
      <c r="H145" s="1851"/>
      <c r="I145" s="1851"/>
      <c r="J145" s="1871">
        <f>SUM(J142:J144)</f>
        <v>2.9800000000000004</v>
      </c>
      <c r="K145" s="1851"/>
      <c r="L145" s="1851"/>
      <c r="M145" s="1851"/>
      <c r="N145" s="1851"/>
      <c r="O145" s="1866"/>
      <c r="P145" s="1867"/>
      <c r="Q145" s="1867"/>
    </row>
    <row r="146" spans="1:18">
      <c r="A146" s="1855"/>
      <c r="B146" s="1856"/>
      <c r="C146" s="1887"/>
      <c r="D146" s="1853"/>
      <c r="E146" s="1853"/>
      <c r="F146" s="1853"/>
      <c r="G146" s="1851"/>
      <c r="H146" s="1851"/>
      <c r="I146" s="1851"/>
      <c r="J146" s="1871" t="s">
        <v>656</v>
      </c>
      <c r="K146" s="1871"/>
      <c r="L146" s="1871"/>
      <c r="M146" s="1871"/>
      <c r="N146" s="1871"/>
      <c r="O146" s="1891"/>
      <c r="P146" s="1890"/>
      <c r="Q146" s="1867"/>
    </row>
    <row r="147" spans="1:18">
      <c r="A147" s="1855"/>
      <c r="B147" s="1872"/>
      <c r="C147" s="2524" t="s">
        <v>3389</v>
      </c>
      <c r="D147" s="2524"/>
      <c r="E147" s="2524"/>
      <c r="F147" s="2524"/>
      <c r="G147" s="2524"/>
      <c r="H147" s="2524"/>
      <c r="I147" s="2524"/>
      <c r="J147" s="1871">
        <f>J145</f>
        <v>2.9800000000000004</v>
      </c>
      <c r="K147" s="1873">
        <f>Datas!E422</f>
        <v>11257.84</v>
      </c>
      <c r="L147" s="1873"/>
      <c r="M147" s="1873"/>
      <c r="N147" s="1873">
        <f>ROUND(J147*K147,0)</f>
        <v>33548</v>
      </c>
      <c r="O147" s="1866">
        <f>ROUND(0.9*75+0.45*40,2)</f>
        <v>85.5</v>
      </c>
      <c r="P147" s="1878">
        <f>ROUND(O147*J147,2)</f>
        <v>254.79</v>
      </c>
      <c r="Q147" s="1867"/>
    </row>
    <row r="148" spans="1:18" ht="15" customHeight="1">
      <c r="A148" s="1855"/>
      <c r="B148" s="1892"/>
      <c r="C148" s="1880"/>
      <c r="D148" s="1892"/>
      <c r="E148" s="1880"/>
      <c r="F148" s="1883"/>
      <c r="G148" s="1881"/>
      <c r="H148" s="1881"/>
      <c r="I148" s="1881"/>
      <c r="J148" s="1851" t="s">
        <v>656</v>
      </c>
      <c r="K148" s="1873" t="s">
        <v>668</v>
      </c>
      <c r="L148" s="1873"/>
      <c r="M148" s="1873"/>
      <c r="N148" s="1873"/>
      <c r="O148" s="1866"/>
      <c r="P148" s="1867"/>
      <c r="Q148" s="1867"/>
    </row>
    <row r="149" spans="1:18" ht="15" customHeight="1">
      <c r="A149" s="1855"/>
      <c r="B149" s="1892"/>
      <c r="C149" s="1880"/>
      <c r="D149" s="1892"/>
      <c r="E149" s="1880"/>
      <c r="F149" s="1883"/>
      <c r="G149" s="1881"/>
      <c r="H149" s="1881"/>
      <c r="I149" s="1881"/>
      <c r="J149" s="1884"/>
      <c r="K149" s="1873"/>
      <c r="L149" s="1873"/>
      <c r="M149" s="1873"/>
      <c r="N149" s="1873"/>
      <c r="O149" s="1866"/>
      <c r="P149" s="1867"/>
      <c r="Q149" s="1867"/>
    </row>
    <row r="150" spans="1:18" ht="24.9" customHeight="1">
      <c r="A150" s="1855" t="s">
        <v>976</v>
      </c>
      <c r="B150" s="1856"/>
      <c r="C150" s="1845" t="s">
        <v>3412</v>
      </c>
      <c r="D150" s="1857"/>
      <c r="E150" s="1857"/>
      <c r="F150" s="1853"/>
      <c r="G150" s="1851"/>
      <c r="H150" s="1851"/>
      <c r="I150" s="1851"/>
      <c r="J150" s="1851"/>
      <c r="K150" s="1851"/>
      <c r="L150" s="1851"/>
      <c r="M150" s="1851"/>
      <c r="N150" s="1851"/>
      <c r="O150" s="1866"/>
      <c r="P150" s="1867"/>
      <c r="Q150" s="1867"/>
    </row>
    <row r="151" spans="1:18">
      <c r="A151" s="1855"/>
      <c r="B151" s="1856"/>
      <c r="C151" s="1887"/>
      <c r="D151" s="1853">
        <v>1</v>
      </c>
      <c r="E151" s="1853" t="s">
        <v>1472</v>
      </c>
      <c r="F151" s="1853">
        <v>1</v>
      </c>
      <c r="G151" s="1851">
        <v>9.2200000000000006</v>
      </c>
      <c r="H151" s="1851">
        <v>7.42</v>
      </c>
      <c r="I151" s="1885"/>
      <c r="J151" s="1851">
        <f>ROUND(D151*F151*G151*H151,2)</f>
        <v>68.41</v>
      </c>
      <c r="K151" s="1874"/>
      <c r="L151" s="1874"/>
      <c r="M151" s="1874"/>
      <c r="N151" s="1874"/>
      <c r="O151" s="1897"/>
      <c r="P151" s="1898"/>
      <c r="Q151" s="1898"/>
      <c r="R151" s="1847">
        <f>H151*G151</f>
        <v>68.412400000000005</v>
      </c>
    </row>
    <row r="152" spans="1:18" ht="17.2" customHeight="1">
      <c r="A152" s="1855"/>
      <c r="B152" s="1856"/>
      <c r="C152" s="1887"/>
      <c r="D152" s="1853"/>
      <c r="E152" s="1853"/>
      <c r="F152" s="1853"/>
      <c r="G152" s="1851"/>
      <c r="H152" s="1851"/>
      <c r="I152" s="1851"/>
      <c r="J152" s="1851" t="s">
        <v>987</v>
      </c>
      <c r="K152" s="1851"/>
      <c r="L152" s="1851"/>
      <c r="M152" s="1851"/>
      <c r="N152" s="1851"/>
      <c r="O152" s="1866"/>
      <c r="P152" s="1867"/>
      <c r="Q152" s="1867"/>
    </row>
    <row r="153" spans="1:18" ht="31.9" customHeight="1">
      <c r="A153" s="1855"/>
      <c r="B153" s="1872"/>
      <c r="C153" s="2524" t="s">
        <v>3389</v>
      </c>
      <c r="D153" s="2524"/>
      <c r="E153" s="2524"/>
      <c r="F153" s="2524"/>
      <c r="G153" s="2524"/>
      <c r="H153" s="2524"/>
      <c r="I153" s="2524"/>
      <c r="J153" s="1871">
        <f>J151</f>
        <v>68.41</v>
      </c>
      <c r="K153" s="1873">
        <f>Datas!G461/10</f>
        <v>1346.355</v>
      </c>
      <c r="L153" s="1873"/>
      <c r="M153" s="1873"/>
      <c r="N153" s="1873">
        <f>ROUND(J153*K153,0)</f>
        <v>92104</v>
      </c>
      <c r="O153" s="1866">
        <f>85.5*0.125</f>
        <v>10.6875</v>
      </c>
      <c r="P153" s="1878">
        <f>ROUND(O153*J153,2)</f>
        <v>731.13</v>
      </c>
      <c r="Q153" s="1867"/>
    </row>
    <row r="154" spans="1:18" ht="15" customHeight="1">
      <c r="A154" s="1855"/>
      <c r="B154" s="1873"/>
      <c r="C154" s="1873"/>
      <c r="D154" s="1873"/>
      <c r="E154" s="1873"/>
      <c r="F154" s="1873"/>
      <c r="G154" s="1873"/>
      <c r="H154" s="1873"/>
      <c r="I154" s="1873"/>
      <c r="J154" s="1851" t="s">
        <v>987</v>
      </c>
      <c r="K154" s="1873" t="s">
        <v>476</v>
      </c>
      <c r="L154" s="1873"/>
      <c r="M154" s="1873"/>
      <c r="N154" s="1873"/>
      <c r="O154" s="1866"/>
      <c r="P154" s="1878"/>
      <c r="Q154" s="1867"/>
    </row>
    <row r="155" spans="1:18" ht="15" customHeight="1">
      <c r="A155" s="1855"/>
      <c r="B155" s="1872"/>
      <c r="C155" s="1873"/>
      <c r="D155" s="1873"/>
      <c r="E155" s="1873"/>
      <c r="F155" s="1873"/>
      <c r="G155" s="1873"/>
      <c r="H155" s="1873"/>
      <c r="I155" s="1873"/>
      <c r="J155" s="1851"/>
      <c r="K155" s="1873"/>
      <c r="L155" s="1873"/>
      <c r="M155" s="1873"/>
      <c r="N155" s="1873"/>
      <c r="O155" s="1866"/>
      <c r="P155" s="1878"/>
      <c r="Q155" s="1867"/>
    </row>
    <row r="156" spans="1:18" ht="162" customHeight="1">
      <c r="A156" s="1855">
        <f>A105+1</f>
        <v>6</v>
      </c>
      <c r="B156" s="1856"/>
      <c r="C156" s="2527" t="s">
        <v>3413</v>
      </c>
      <c r="D156" s="2527"/>
      <c r="E156" s="2527"/>
      <c r="F156" s="2527"/>
      <c r="G156" s="2527"/>
      <c r="H156" s="2527"/>
      <c r="I156" s="2527"/>
      <c r="J156" s="2527"/>
      <c r="K156" s="1851"/>
      <c r="L156" s="1851"/>
      <c r="M156" s="1851"/>
      <c r="N156" s="1851"/>
      <c r="O156" s="1866"/>
      <c r="P156" s="1867"/>
      <c r="Q156" s="1867"/>
    </row>
    <row r="157" spans="1:18">
      <c r="A157" s="1855"/>
      <c r="B157" s="1856"/>
      <c r="C157" s="1899" t="s">
        <v>3414</v>
      </c>
      <c r="D157" s="1853">
        <v>1</v>
      </c>
      <c r="E157" s="1853" t="s">
        <v>1472</v>
      </c>
      <c r="F157" s="1853">
        <v>2</v>
      </c>
      <c r="G157" s="1851">
        <v>1.35</v>
      </c>
      <c r="H157" s="1851">
        <v>0.23</v>
      </c>
      <c r="I157" s="1851">
        <v>0.15</v>
      </c>
      <c r="J157" s="1851">
        <f>ROUND(D157*F157*G157*H157*I157,2)</f>
        <v>0.09</v>
      </c>
      <c r="K157" s="1851"/>
      <c r="L157" s="1851"/>
      <c r="M157" s="1851"/>
      <c r="N157" s="1851"/>
      <c r="O157" s="1866"/>
      <c r="P157" s="1867"/>
      <c r="Q157" s="1867"/>
    </row>
    <row r="158" spans="1:18">
      <c r="A158" s="1855"/>
      <c r="B158" s="1856"/>
      <c r="C158" s="1899" t="s">
        <v>3415</v>
      </c>
      <c r="D158" s="1853">
        <v>1</v>
      </c>
      <c r="E158" s="1853" t="s">
        <v>1472</v>
      </c>
      <c r="F158" s="1853">
        <v>1</v>
      </c>
      <c r="G158" s="1851">
        <v>1.2</v>
      </c>
      <c r="H158" s="1851">
        <v>0.23</v>
      </c>
      <c r="I158" s="1851">
        <v>0.15</v>
      </c>
      <c r="J158" s="1851">
        <f>ROUND(D158*F158*G158*H158*I158,2)</f>
        <v>0.04</v>
      </c>
      <c r="K158" s="1851"/>
      <c r="L158" s="1851"/>
      <c r="M158" s="1851"/>
      <c r="N158" s="1851"/>
      <c r="O158" s="1866"/>
      <c r="P158" s="1867"/>
      <c r="Q158" s="1867"/>
    </row>
    <row r="159" spans="1:18">
      <c r="A159" s="1855"/>
      <c r="B159" s="1856"/>
      <c r="C159" s="1899" t="s">
        <v>3415</v>
      </c>
      <c r="D159" s="1853">
        <v>1</v>
      </c>
      <c r="E159" s="1853" t="s">
        <v>1472</v>
      </c>
      <c r="F159" s="1853">
        <v>1</v>
      </c>
      <c r="G159" s="1851">
        <v>1.2</v>
      </c>
      <c r="H159" s="1851">
        <v>0.115</v>
      </c>
      <c r="I159" s="1851">
        <v>0.1</v>
      </c>
      <c r="J159" s="1851">
        <f>ROUND(D159*F159*G159*H159*I159,2)</f>
        <v>0.01</v>
      </c>
      <c r="K159" s="1851"/>
      <c r="L159" s="1851"/>
      <c r="M159" s="1851"/>
      <c r="N159" s="1851"/>
      <c r="O159" s="1866"/>
      <c r="P159" s="1867"/>
      <c r="Q159" s="1867"/>
    </row>
    <row r="160" spans="1:18">
      <c r="A160" s="1855"/>
      <c r="B160" s="1856"/>
      <c r="C160" s="1899" t="s">
        <v>2111</v>
      </c>
      <c r="D160" s="1853">
        <v>1</v>
      </c>
      <c r="E160" s="1853" t="s">
        <v>1472</v>
      </c>
      <c r="F160" s="1853">
        <v>5</v>
      </c>
      <c r="G160" s="1851">
        <v>1.5</v>
      </c>
      <c r="H160" s="1851">
        <v>0.23</v>
      </c>
      <c r="I160" s="1851">
        <v>0.15</v>
      </c>
      <c r="J160" s="1851">
        <f>ROUND(D160*F160*G160*H160*I160,2)</f>
        <v>0.26</v>
      </c>
      <c r="K160" s="1851"/>
      <c r="L160" s="1851"/>
      <c r="M160" s="1851"/>
      <c r="N160" s="1851"/>
      <c r="O160" s="1866"/>
      <c r="P160" s="1867"/>
      <c r="Q160" s="1867"/>
    </row>
    <row r="161" spans="1:17">
      <c r="A161" s="1855"/>
      <c r="B161" s="1856"/>
      <c r="C161" s="1899" t="s">
        <v>3416</v>
      </c>
      <c r="D161" s="1853">
        <v>1</v>
      </c>
      <c r="E161" s="1853" t="s">
        <v>1472</v>
      </c>
      <c r="F161" s="1853">
        <v>1</v>
      </c>
      <c r="G161" s="1851">
        <v>1.5</v>
      </c>
      <c r="H161" s="1851">
        <v>0.23</v>
      </c>
      <c r="I161" s="1851">
        <v>0.15</v>
      </c>
      <c r="J161" s="1851">
        <f>ROUND(D161*F161*G161*H161*I161,2)</f>
        <v>0.05</v>
      </c>
      <c r="K161" s="1851"/>
      <c r="L161" s="1851"/>
      <c r="M161" s="1851"/>
      <c r="N161" s="1851"/>
      <c r="O161" s="1866"/>
      <c r="P161" s="1867"/>
      <c r="Q161" s="1867"/>
    </row>
    <row r="162" spans="1:17">
      <c r="A162" s="1855"/>
      <c r="B162" s="1856"/>
      <c r="C162" s="1877"/>
      <c r="D162" s="1853"/>
      <c r="E162" s="1853"/>
      <c r="F162" s="1853"/>
      <c r="G162" s="1851"/>
      <c r="H162" s="1851"/>
      <c r="I162" s="1851"/>
      <c r="J162" s="1871">
        <f>SUM(J157:J161)</f>
        <v>0.45</v>
      </c>
      <c r="K162" s="1851"/>
      <c r="L162" s="1851"/>
      <c r="M162" s="1851"/>
      <c r="N162" s="1851"/>
      <c r="O162" s="1866"/>
      <c r="P162" s="1867"/>
      <c r="Q162" s="1867"/>
    </row>
    <row r="163" spans="1:17">
      <c r="A163" s="1855"/>
      <c r="B163" s="1856"/>
      <c r="C163" s="1877"/>
      <c r="D163" s="1853"/>
      <c r="E163" s="1853"/>
      <c r="F163" s="1853"/>
      <c r="G163" s="1851"/>
      <c r="H163" s="1851"/>
      <c r="I163" s="1851"/>
      <c r="J163" s="1871" t="s">
        <v>656</v>
      </c>
      <c r="K163" s="1851"/>
      <c r="L163" s="1851"/>
      <c r="M163" s="1851"/>
      <c r="N163" s="1851"/>
      <c r="O163" s="1866"/>
      <c r="P163" s="1867"/>
      <c r="Q163" s="1867"/>
    </row>
    <row r="164" spans="1:17" ht="31.2" customHeight="1">
      <c r="A164" s="1855"/>
      <c r="B164" s="1872"/>
      <c r="C164" s="2524" t="s">
        <v>3389</v>
      </c>
      <c r="D164" s="2524"/>
      <c r="E164" s="2524"/>
      <c r="F164" s="2524"/>
      <c r="G164" s="2524"/>
      <c r="H164" s="2524"/>
      <c r="I164" s="2524"/>
      <c r="J164" s="1871">
        <f>J162</f>
        <v>0.45</v>
      </c>
      <c r="K164" s="1873">
        <f>Datas!E375</f>
        <v>11905.03</v>
      </c>
      <c r="L164" s="1873"/>
      <c r="M164" s="1873">
        <f>ROUND(K164*J164,0)</f>
        <v>5357</v>
      </c>
      <c r="N164" s="1873">
        <f>ROUND(J164*K164,0)</f>
        <v>5357</v>
      </c>
      <c r="O164" s="1866">
        <f>ROUND(0.9*75+0.45*40,2)</f>
        <v>85.5</v>
      </c>
      <c r="P164" s="1878">
        <f>ROUND(O164*J164,2)</f>
        <v>38.479999999999997</v>
      </c>
      <c r="Q164" s="1867"/>
    </row>
    <row r="165" spans="1:17" ht="15" customHeight="1">
      <c r="A165" s="1855"/>
      <c r="B165" s="1880"/>
      <c r="C165" s="1880"/>
      <c r="D165" s="1880"/>
      <c r="E165" s="1880"/>
      <c r="F165" s="1883"/>
      <c r="G165" s="1880"/>
      <c r="H165" s="1880"/>
      <c r="I165" s="1880"/>
      <c r="J165" s="1851" t="s">
        <v>656</v>
      </c>
      <c r="K165" s="1873" t="str">
        <f>CONCATENATE("per ",J165)</f>
        <v>per Cum.</v>
      </c>
      <c r="L165" s="1873"/>
      <c r="M165" s="1873"/>
      <c r="N165" s="1873"/>
      <c r="O165" s="1866"/>
      <c r="P165" s="1867"/>
      <c r="Q165" s="1867"/>
    </row>
    <row r="166" spans="1:17" ht="15" customHeight="1">
      <c r="A166" s="1855"/>
      <c r="B166" s="1880"/>
      <c r="C166" s="1880"/>
      <c r="D166" s="1880"/>
      <c r="E166" s="1880"/>
      <c r="F166" s="1880"/>
      <c r="G166" s="1881"/>
      <c r="H166" s="1881"/>
      <c r="I166" s="1883"/>
      <c r="J166" s="1884"/>
      <c r="K166" s="1873"/>
      <c r="L166" s="1873"/>
      <c r="M166" s="1873"/>
      <c r="N166" s="1873"/>
      <c r="O166" s="1866"/>
      <c r="P166" s="1867"/>
      <c r="Q166" s="1867"/>
    </row>
    <row r="167" spans="1:17" ht="153.69999999999999" customHeight="1">
      <c r="A167" s="1855">
        <f>A156+1</f>
        <v>7</v>
      </c>
      <c r="B167" s="1856"/>
      <c r="C167" s="2526" t="s">
        <v>3417</v>
      </c>
      <c r="D167" s="2526"/>
      <c r="E167" s="2526"/>
      <c r="F167" s="2526"/>
      <c r="G167" s="2526"/>
      <c r="H167" s="2526"/>
      <c r="I167" s="2526"/>
      <c r="J167" s="2526"/>
      <c r="K167" s="1851"/>
      <c r="L167" s="1851"/>
      <c r="M167" s="1851"/>
      <c r="N167" s="1851"/>
      <c r="O167" s="1866"/>
      <c r="P167" s="1867"/>
      <c r="Q167" s="1867"/>
    </row>
    <row r="168" spans="1:17">
      <c r="A168" s="1855"/>
      <c r="B168" s="1856"/>
      <c r="C168" s="1877" t="s">
        <v>3415</v>
      </c>
      <c r="D168" s="1853">
        <v>1</v>
      </c>
      <c r="E168" s="1853" t="s">
        <v>1472</v>
      </c>
      <c r="F168" s="1853">
        <v>1</v>
      </c>
      <c r="G168" s="1851">
        <v>1.2</v>
      </c>
      <c r="H168" s="1851"/>
      <c r="I168" s="1851"/>
      <c r="J168" s="1851">
        <f>ROUND(D168*F168*G168,2)</f>
        <v>1.2</v>
      </c>
      <c r="K168" s="1851"/>
      <c r="L168" s="1851"/>
      <c r="M168" s="1851"/>
      <c r="N168" s="1851"/>
      <c r="O168" s="1866"/>
      <c r="P168" s="1867"/>
      <c r="Q168" s="1867"/>
    </row>
    <row r="169" spans="1:17">
      <c r="A169" s="1855"/>
      <c r="B169" s="1856"/>
      <c r="C169" s="1877" t="s">
        <v>2111</v>
      </c>
      <c r="D169" s="1853">
        <v>1</v>
      </c>
      <c r="E169" s="1853" t="s">
        <v>1472</v>
      </c>
      <c r="F169" s="1853">
        <v>4</v>
      </c>
      <c r="G169" s="1851">
        <v>1.2</v>
      </c>
      <c r="H169" s="1851"/>
      <c r="I169" s="1851"/>
      <c r="J169" s="1851">
        <f>ROUND(D169*F169*G169,2)</f>
        <v>4.8</v>
      </c>
      <c r="K169" s="1851"/>
      <c r="L169" s="1851"/>
      <c r="M169" s="1851"/>
      <c r="N169" s="1851"/>
      <c r="O169" s="1866"/>
      <c r="P169" s="1867"/>
      <c r="Q169" s="1867"/>
    </row>
    <row r="170" spans="1:17">
      <c r="A170" s="1855"/>
      <c r="B170" s="1856"/>
      <c r="C170" s="1877" t="s">
        <v>3416</v>
      </c>
      <c r="D170" s="1853">
        <v>1</v>
      </c>
      <c r="E170" s="1853" t="s">
        <v>1472</v>
      </c>
      <c r="F170" s="1853">
        <v>1</v>
      </c>
      <c r="G170" s="1851">
        <v>1.2</v>
      </c>
      <c r="H170" s="1851"/>
      <c r="I170" s="1851"/>
      <c r="J170" s="1851">
        <f>ROUND(D170*F170*G170,2)</f>
        <v>1.2</v>
      </c>
      <c r="K170" s="1851"/>
      <c r="L170" s="1851"/>
      <c r="M170" s="1851"/>
      <c r="N170" s="1851"/>
      <c r="O170" s="1866"/>
      <c r="P170" s="1867"/>
      <c r="Q170" s="1867"/>
    </row>
    <row r="171" spans="1:17" ht="28.2">
      <c r="A171" s="1855"/>
      <c r="B171" s="1856"/>
      <c r="C171" s="1877" t="s">
        <v>3418</v>
      </c>
      <c r="D171" s="1853">
        <v>1</v>
      </c>
      <c r="E171" s="1853" t="s">
        <v>1472</v>
      </c>
      <c r="F171" s="1853">
        <v>1</v>
      </c>
      <c r="G171" s="1851">
        <f>2.3*2+2.1</f>
        <v>6.6999999999999993</v>
      </c>
      <c r="H171" s="1851"/>
      <c r="I171" s="1851"/>
      <c r="J171" s="1851">
        <f>ROUND(D171*F171*G171,2)</f>
        <v>6.7</v>
      </c>
      <c r="K171" s="1851"/>
      <c r="L171" s="1851"/>
      <c r="M171" s="1851"/>
      <c r="N171" s="1851"/>
      <c r="O171" s="1866"/>
      <c r="P171" s="1867"/>
      <c r="Q171" s="1867"/>
    </row>
    <row r="172" spans="1:17">
      <c r="A172" s="1855"/>
      <c r="B172" s="1856"/>
      <c r="C172" s="1877" t="s">
        <v>674</v>
      </c>
      <c r="D172" s="1853"/>
      <c r="E172" s="1853"/>
      <c r="F172" s="1853"/>
      <c r="G172" s="1851"/>
      <c r="H172" s="1851"/>
      <c r="I172" s="1851"/>
      <c r="J172" s="1871">
        <f>SUM(J168:J171)</f>
        <v>13.9</v>
      </c>
      <c r="K172" s="1851"/>
      <c r="L172" s="1851"/>
      <c r="M172" s="1851"/>
      <c r="N172" s="1851"/>
      <c r="O172" s="1866"/>
      <c r="P172" s="1867"/>
      <c r="Q172" s="1890"/>
    </row>
    <row r="173" spans="1:17">
      <c r="A173" s="1855"/>
      <c r="B173" s="1856"/>
      <c r="C173" s="1877"/>
      <c r="D173" s="1853"/>
      <c r="E173" s="1853"/>
      <c r="F173" s="1853"/>
      <c r="G173" s="1851"/>
      <c r="H173" s="1851"/>
      <c r="I173" s="1851"/>
      <c r="J173" s="1871" t="s">
        <v>495</v>
      </c>
      <c r="K173" s="1851"/>
      <c r="L173" s="1851"/>
      <c r="M173" s="1851"/>
      <c r="N173" s="1851"/>
      <c r="O173" s="1866"/>
      <c r="P173" s="1867"/>
      <c r="Q173" s="1867"/>
    </row>
    <row r="174" spans="1:17">
      <c r="A174" s="1855"/>
      <c r="B174" s="1872"/>
      <c r="C174" s="2524" t="s">
        <v>3389</v>
      </c>
      <c r="D174" s="2524"/>
      <c r="E174" s="2524"/>
      <c r="F174" s="2524"/>
      <c r="G174" s="2524"/>
      <c r="H174" s="2524"/>
      <c r="I174" s="2524"/>
      <c r="J174" s="1871">
        <f>J172</f>
        <v>13.9</v>
      </c>
      <c r="K174" s="1873">
        <f>Datas!E503</f>
        <v>606.11</v>
      </c>
      <c r="L174" s="1873"/>
      <c r="M174" s="1873">
        <f>ROUND(K174*J174,0)</f>
        <v>8425</v>
      </c>
      <c r="N174" s="1873">
        <f>ROUND(J174*K174,0)</f>
        <v>8425</v>
      </c>
      <c r="O174" s="1866">
        <f>0.0625*(0.9*75+0.45*40)</f>
        <v>5.34375</v>
      </c>
      <c r="P174" s="1878">
        <f>ROUND(O174*J174,2)</f>
        <v>74.28</v>
      </c>
      <c r="Q174" s="1867"/>
    </row>
    <row r="175" spans="1:17" ht="15" customHeight="1">
      <c r="A175" s="1855"/>
      <c r="B175" s="1880"/>
      <c r="C175" s="1880"/>
      <c r="D175" s="1880"/>
      <c r="E175" s="1880"/>
      <c r="F175" s="1883"/>
      <c r="G175" s="1880"/>
      <c r="H175" s="1880"/>
      <c r="I175" s="1880"/>
      <c r="J175" s="1851" t="s">
        <v>495</v>
      </c>
      <c r="K175" s="1873" t="str">
        <f>CONCATENATE("per ",J175)</f>
        <v>per Rmt</v>
      </c>
      <c r="L175" s="1873"/>
      <c r="M175" s="1873"/>
      <c r="N175" s="1873"/>
      <c r="O175" s="1866"/>
      <c r="P175" s="1867"/>
      <c r="Q175" s="1867"/>
    </row>
    <row r="176" spans="1:17" ht="15" customHeight="1">
      <c r="A176" s="1855"/>
      <c r="B176" s="1872"/>
      <c r="C176" s="1872"/>
      <c r="D176" s="1872"/>
      <c r="E176" s="1872"/>
      <c r="F176" s="1872"/>
      <c r="G176" s="1872"/>
      <c r="H176" s="1872"/>
      <c r="I176" s="1872"/>
      <c r="J176" s="1884"/>
      <c r="K176" s="1873"/>
      <c r="L176" s="1873"/>
      <c r="M176" s="1873"/>
      <c r="N176" s="1873"/>
      <c r="O176" s="1866"/>
      <c r="P176" s="1878"/>
      <c r="Q176" s="1867"/>
    </row>
    <row r="177" spans="1:17" ht="119.4" customHeight="1">
      <c r="A177" s="1855">
        <f>A167+1</f>
        <v>8</v>
      </c>
      <c r="B177" s="1856"/>
      <c r="C177" s="2526" t="s">
        <v>3419</v>
      </c>
      <c r="D177" s="2526"/>
      <c r="E177" s="2526"/>
      <c r="F177" s="2526"/>
      <c r="G177" s="2526"/>
      <c r="H177" s="2526"/>
      <c r="I177" s="2526"/>
      <c r="J177" s="2526"/>
      <c r="K177" s="1851"/>
      <c r="L177" s="1851"/>
      <c r="M177" s="1851"/>
      <c r="N177" s="1851"/>
      <c r="O177" s="1866"/>
      <c r="P177" s="1867"/>
      <c r="Q177" s="1867"/>
    </row>
    <row r="178" spans="1:17">
      <c r="A178" s="1855"/>
      <c r="B178" s="1856"/>
      <c r="C178" s="1877" t="s">
        <v>3420</v>
      </c>
      <c r="D178" s="1853">
        <v>4</v>
      </c>
      <c r="E178" s="1853" t="s">
        <v>1472</v>
      </c>
      <c r="F178" s="1853">
        <v>4</v>
      </c>
      <c r="G178" s="1851">
        <v>0.23</v>
      </c>
      <c r="H178" s="1851">
        <v>0.2</v>
      </c>
      <c r="I178" s="1851">
        <v>0.15</v>
      </c>
      <c r="J178" s="1851">
        <f>ROUND(D178*F178*G178*H178*I178,2)</f>
        <v>0.11</v>
      </c>
      <c r="K178" s="1851"/>
      <c r="L178" s="1851"/>
      <c r="M178" s="1851"/>
      <c r="N178" s="1851"/>
      <c r="O178" s="1866"/>
      <c r="P178" s="1867"/>
      <c r="Q178" s="1867"/>
    </row>
    <row r="179" spans="1:17">
      <c r="A179" s="1855"/>
      <c r="B179" s="1856"/>
      <c r="C179" s="1877" t="s">
        <v>3421</v>
      </c>
      <c r="D179" s="1853">
        <v>4</v>
      </c>
      <c r="E179" s="1853" t="s">
        <v>1472</v>
      </c>
      <c r="F179" s="1853">
        <v>6</v>
      </c>
      <c r="G179" s="1851">
        <v>0.23</v>
      </c>
      <c r="H179" s="1851">
        <v>0.2</v>
      </c>
      <c r="I179" s="1851">
        <v>0.15</v>
      </c>
      <c r="J179" s="1851">
        <f>ROUND(D179*F179*G179*H179*I179,2)</f>
        <v>0.17</v>
      </c>
      <c r="K179" s="1851"/>
      <c r="L179" s="1851"/>
      <c r="M179" s="1851"/>
      <c r="N179" s="1851"/>
      <c r="O179" s="1866"/>
      <c r="P179" s="1867"/>
      <c r="Q179" s="1867"/>
    </row>
    <row r="180" spans="1:17" ht="28.2">
      <c r="A180" s="1855"/>
      <c r="B180" s="1856"/>
      <c r="C180" s="1877" t="s">
        <v>3422</v>
      </c>
      <c r="D180" s="1853">
        <v>1</v>
      </c>
      <c r="E180" s="1853" t="s">
        <v>1472</v>
      </c>
      <c r="F180" s="1853">
        <v>1</v>
      </c>
      <c r="G180" s="1851">
        <f>16*0.3048</f>
        <v>4.8768000000000002</v>
      </c>
      <c r="H180" s="1851">
        <v>0.1</v>
      </c>
      <c r="I180" s="1885">
        <v>0.1</v>
      </c>
      <c r="J180" s="1851">
        <f>ROUND(D180*F180*G180*H180*I180,2)</f>
        <v>0.05</v>
      </c>
      <c r="K180" s="1851"/>
      <c r="L180" s="1851"/>
      <c r="M180" s="1851"/>
      <c r="N180" s="1851"/>
      <c r="O180" s="1866"/>
      <c r="P180" s="1867"/>
      <c r="Q180" s="1867"/>
    </row>
    <row r="181" spans="1:17">
      <c r="A181" s="1855"/>
      <c r="B181" s="1856"/>
      <c r="C181" s="1877" t="s">
        <v>674</v>
      </c>
      <c r="D181" s="1853"/>
      <c r="E181" s="1853"/>
      <c r="F181" s="1853"/>
      <c r="G181" s="1851"/>
      <c r="H181" s="1851"/>
      <c r="I181" s="1851"/>
      <c r="J181" s="1871">
        <f>SUM(J178:J180)</f>
        <v>0.33</v>
      </c>
      <c r="K181" s="1851"/>
      <c r="L181" s="1851"/>
      <c r="M181" s="1851"/>
      <c r="N181" s="1851"/>
      <c r="O181" s="1866"/>
      <c r="P181" s="1867"/>
      <c r="Q181" s="1867"/>
    </row>
    <row r="182" spans="1:17">
      <c r="A182" s="1855"/>
      <c r="B182" s="1856"/>
      <c r="C182" s="1877"/>
      <c r="D182" s="1853"/>
      <c r="E182" s="1853"/>
      <c r="F182" s="1853"/>
      <c r="G182" s="1851"/>
      <c r="H182" s="1851"/>
      <c r="I182" s="1851"/>
      <c r="J182" s="1871" t="s">
        <v>656</v>
      </c>
      <c r="K182" s="1851"/>
      <c r="L182" s="1851"/>
      <c r="M182" s="1851"/>
      <c r="N182" s="1851"/>
      <c r="O182" s="1866"/>
      <c r="P182" s="1867"/>
      <c r="Q182" s="1867"/>
    </row>
    <row r="183" spans="1:17" ht="21.75" customHeight="1">
      <c r="A183" s="1855"/>
      <c r="B183" s="1872"/>
      <c r="C183" s="2524" t="s">
        <v>3389</v>
      </c>
      <c r="D183" s="2524"/>
      <c r="E183" s="2524"/>
      <c r="F183" s="2524"/>
      <c r="G183" s="2524"/>
      <c r="H183" s="2524"/>
      <c r="I183" s="2524"/>
      <c r="J183" s="1851">
        <f>J181</f>
        <v>0.33</v>
      </c>
      <c r="K183" s="1873">
        <f>Datas!G539</f>
        <v>5340.5599999999995</v>
      </c>
      <c r="L183" s="1873"/>
      <c r="M183" s="1873">
        <f>ROUND(K183*J183,0)</f>
        <v>1762</v>
      </c>
      <c r="N183" s="1873">
        <f>ROUND(J183*K183,0)</f>
        <v>1762</v>
      </c>
      <c r="O183" s="1866">
        <f>ROUND(0.9*75+0.45*40,2)</f>
        <v>85.5</v>
      </c>
      <c r="P183" s="1878">
        <f>ROUND(O183*J183,2)</f>
        <v>28.22</v>
      </c>
      <c r="Q183" s="1867"/>
    </row>
    <row r="184" spans="1:17" ht="15" customHeight="1">
      <c r="A184" s="1855"/>
      <c r="B184" s="1880"/>
      <c r="C184" s="1883"/>
      <c r="D184" s="1880"/>
      <c r="E184" s="1880"/>
      <c r="F184" s="1883"/>
      <c r="G184" s="1880"/>
      <c r="H184" s="1880"/>
      <c r="I184" s="1880"/>
      <c r="J184" s="1851" t="s">
        <v>656</v>
      </c>
      <c r="K184" s="1873" t="str">
        <f>CONCATENATE("per ",J184)</f>
        <v>per Cum.</v>
      </c>
      <c r="L184" s="1873"/>
      <c r="M184" s="1873"/>
      <c r="N184" s="1873"/>
      <c r="O184" s="1866"/>
      <c r="P184" s="1867"/>
      <c r="Q184" s="1867"/>
    </row>
    <row r="185" spans="1:17" ht="15" customHeight="1">
      <c r="A185" s="1855"/>
      <c r="B185" s="1880"/>
      <c r="C185" s="1880"/>
      <c r="D185" s="1880"/>
      <c r="E185" s="1880"/>
      <c r="F185" s="1883"/>
      <c r="G185" s="1880"/>
      <c r="H185" s="1880"/>
      <c r="I185" s="1880"/>
      <c r="J185" s="1884"/>
      <c r="K185" s="1873"/>
      <c r="L185" s="1873"/>
      <c r="M185" s="1873"/>
      <c r="N185" s="1873"/>
      <c r="O185" s="1866"/>
      <c r="P185" s="1867"/>
      <c r="Q185" s="1867"/>
    </row>
    <row r="186" spans="1:17" ht="37.9" customHeight="1">
      <c r="A186" s="1855">
        <f>A177+1</f>
        <v>9</v>
      </c>
      <c r="B186" s="1856"/>
      <c r="C186" s="2526" t="str">
        <f>[221]Datas!C556</f>
        <v>Brick Masonry in CM (1:6) with 2nd class Bricks traditional size 23 x 11 x 7 cms</v>
      </c>
      <c r="D186" s="2526"/>
      <c r="E186" s="2526"/>
      <c r="F186" s="2526"/>
      <c r="G186" s="2526"/>
      <c r="H186" s="2526"/>
      <c r="I186" s="2526"/>
      <c r="J186" s="2526"/>
      <c r="K186" s="1851"/>
      <c r="L186" s="1851"/>
      <c r="M186" s="1851"/>
      <c r="N186" s="1851"/>
      <c r="O186" s="1866"/>
      <c r="P186" s="1867"/>
      <c r="Q186" s="1867"/>
    </row>
    <row r="187" spans="1:17">
      <c r="A187" s="1855"/>
      <c r="B187" s="1856"/>
      <c r="C187" s="1870" t="s">
        <v>3423</v>
      </c>
      <c r="D187" s="1853">
        <v>1</v>
      </c>
      <c r="E187" s="1853" t="s">
        <v>1472</v>
      </c>
      <c r="F187" s="1853">
        <v>2</v>
      </c>
      <c r="G187" s="1851">
        <v>8.6199999999999992</v>
      </c>
      <c r="H187" s="1851">
        <v>0.23</v>
      </c>
      <c r="I187" s="1851">
        <v>3.05</v>
      </c>
      <c r="J187" s="1851">
        <f>ROUND(D187*F187*G187*H187*I187,2)</f>
        <v>12.09</v>
      </c>
      <c r="K187" s="1851"/>
      <c r="L187" s="1851"/>
      <c r="M187" s="1851"/>
      <c r="N187" s="1851"/>
      <c r="O187" s="1866"/>
      <c r="P187" s="1867"/>
      <c r="Q187" s="1867"/>
    </row>
    <row r="188" spans="1:17">
      <c r="A188" s="1855"/>
      <c r="B188" s="1856"/>
      <c r="C188" s="1870" t="s">
        <v>2761</v>
      </c>
      <c r="D188" s="1853">
        <v>1</v>
      </c>
      <c r="E188" s="1853" t="s">
        <v>1472</v>
      </c>
      <c r="F188" s="1853">
        <v>3</v>
      </c>
      <c r="G188" s="1851">
        <f>(21.38*0.3048-2*0.225-0.3)</f>
        <v>5.7666240000000002</v>
      </c>
      <c r="H188" s="1851">
        <v>0.23</v>
      </c>
      <c r="I188" s="1851">
        <v>3.05</v>
      </c>
      <c r="J188" s="1851">
        <f>ROUND(D188*F188*G188*H188*I188,2)</f>
        <v>12.14</v>
      </c>
      <c r="K188" s="1851"/>
      <c r="L188" s="1851"/>
      <c r="M188" s="1851"/>
      <c r="N188" s="1851"/>
      <c r="O188" s="1866"/>
      <c r="P188" s="1867"/>
      <c r="Q188" s="1867"/>
    </row>
    <row r="189" spans="1:17" ht="28.2">
      <c r="A189" s="1855"/>
      <c r="B189" s="1856"/>
      <c r="C189" s="1868" t="s">
        <v>3424</v>
      </c>
      <c r="D189" s="1853">
        <v>1</v>
      </c>
      <c r="E189" s="1853" t="s">
        <v>1472</v>
      </c>
      <c r="F189" s="1853">
        <v>1</v>
      </c>
      <c r="G189" s="1851">
        <v>3.66</v>
      </c>
      <c r="H189" s="1851">
        <v>0.23</v>
      </c>
      <c r="I189" s="1851">
        <v>3.05</v>
      </c>
      <c r="J189" s="1851">
        <f>ROUND(D189*F189*G189*H189*I189,2)</f>
        <v>2.57</v>
      </c>
      <c r="K189" s="1851"/>
      <c r="L189" s="1851"/>
      <c r="M189" s="1851"/>
      <c r="N189" s="1851"/>
      <c r="O189" s="1866"/>
      <c r="P189" s="1867"/>
      <c r="Q189" s="1867"/>
    </row>
    <row r="190" spans="1:17">
      <c r="A190" s="1855"/>
      <c r="B190" s="1856"/>
      <c r="C190" s="1870" t="s">
        <v>3425</v>
      </c>
      <c r="D190" s="1853">
        <f>D38</f>
        <v>1</v>
      </c>
      <c r="E190" s="1853" t="s">
        <v>1472</v>
      </c>
      <c r="F190" s="1853">
        <v>1</v>
      </c>
      <c r="G190" s="1851">
        <v>3.65</v>
      </c>
      <c r="H190" s="1851">
        <v>1.5</v>
      </c>
      <c r="I190" s="1851" t="s">
        <v>3426</v>
      </c>
      <c r="J190" s="1851">
        <f>ROUND(D190*F190*G190*H190*0.45,2)</f>
        <v>2.46</v>
      </c>
      <c r="K190" s="1851"/>
      <c r="L190" s="1851"/>
      <c r="M190" s="1851"/>
      <c r="N190" s="1851"/>
      <c r="O190" s="1866"/>
      <c r="P190" s="1867"/>
      <c r="Q190" s="1867"/>
    </row>
    <row r="191" spans="1:17">
      <c r="A191" s="1855"/>
      <c r="B191" s="1856"/>
      <c r="C191" s="1877"/>
      <c r="D191" s="1853"/>
      <c r="E191" s="1853"/>
      <c r="F191" s="1853"/>
      <c r="G191" s="1851"/>
      <c r="H191" s="1851"/>
      <c r="I191" s="1851"/>
      <c r="J191" s="1851">
        <f>SUM(J187:J190)</f>
        <v>29.26</v>
      </c>
      <c r="K191" s="1851"/>
      <c r="L191" s="1851"/>
      <c r="M191" s="1851"/>
      <c r="N191" s="1851"/>
      <c r="O191" s="1866"/>
      <c r="P191" s="1867"/>
      <c r="Q191" s="1867"/>
    </row>
    <row r="192" spans="1:17">
      <c r="A192" s="1855"/>
      <c r="B192" s="1856"/>
      <c r="C192" s="1859" t="s">
        <v>675</v>
      </c>
      <c r="D192" s="1853"/>
      <c r="E192" s="1853"/>
      <c r="F192" s="1853"/>
      <c r="G192" s="1851"/>
      <c r="H192" s="1851"/>
      <c r="I192" s="1851"/>
      <c r="J192" s="1851"/>
      <c r="K192" s="1851"/>
      <c r="L192" s="1851"/>
      <c r="M192" s="1851"/>
      <c r="N192" s="1851"/>
      <c r="O192" s="1866"/>
      <c r="P192" s="1867"/>
      <c r="Q192" s="1867"/>
    </row>
    <row r="193" spans="1:17">
      <c r="A193" s="1855"/>
      <c r="B193" s="1856"/>
      <c r="C193" s="1877" t="s">
        <v>980</v>
      </c>
      <c r="D193" s="1853">
        <v>-1</v>
      </c>
      <c r="E193" s="1853" t="s">
        <v>1472</v>
      </c>
      <c r="F193" s="1853">
        <v>2</v>
      </c>
      <c r="G193" s="1851">
        <v>1.05</v>
      </c>
      <c r="H193" s="1851">
        <v>0.23</v>
      </c>
      <c r="I193" s="1851">
        <v>2.1</v>
      </c>
      <c r="J193" s="1851">
        <f>ROUND(D193*F193*G193*H193*I193,2)</f>
        <v>-1.01</v>
      </c>
      <c r="K193" s="1851"/>
      <c r="L193" s="1851"/>
      <c r="M193" s="1851"/>
      <c r="N193" s="1851"/>
      <c r="O193" s="1866"/>
      <c r="P193" s="1867"/>
      <c r="Q193" s="1867"/>
    </row>
    <row r="194" spans="1:17">
      <c r="A194" s="1855"/>
      <c r="B194" s="1856"/>
      <c r="C194" s="1877" t="s">
        <v>981</v>
      </c>
      <c r="D194" s="1853">
        <v>-1</v>
      </c>
      <c r="E194" s="1853" t="s">
        <v>1472</v>
      </c>
      <c r="F194" s="1853">
        <v>1</v>
      </c>
      <c r="G194" s="1851">
        <v>0.9</v>
      </c>
      <c r="H194" s="1851">
        <v>0.23</v>
      </c>
      <c r="I194" s="1851">
        <v>2.1</v>
      </c>
      <c r="J194" s="1851">
        <f>ROUND(D194*F194*G194*H194*I194,2)</f>
        <v>-0.43</v>
      </c>
      <c r="K194" s="1851"/>
      <c r="L194" s="1851"/>
      <c r="M194" s="1851"/>
      <c r="N194" s="1851"/>
      <c r="O194" s="1866"/>
      <c r="P194" s="1867"/>
      <c r="Q194" s="1867"/>
    </row>
    <row r="195" spans="1:17">
      <c r="A195" s="1855"/>
      <c r="B195" s="1856"/>
      <c r="C195" s="1877" t="s">
        <v>2111</v>
      </c>
      <c r="D195" s="1853">
        <v>-1</v>
      </c>
      <c r="E195" s="1853" t="s">
        <v>1472</v>
      </c>
      <c r="F195" s="1853">
        <v>4</v>
      </c>
      <c r="G195" s="1851">
        <v>1.2</v>
      </c>
      <c r="H195" s="1851">
        <v>0.23</v>
      </c>
      <c r="I195" s="1851">
        <v>1.2</v>
      </c>
      <c r="J195" s="1851">
        <f>ROUND(D195*F195*G195*H195*I195,2)</f>
        <v>-1.32</v>
      </c>
      <c r="K195" s="1851"/>
      <c r="L195" s="1851"/>
      <c r="M195" s="1851"/>
      <c r="N195" s="1851"/>
      <c r="O195" s="1866"/>
      <c r="P195" s="1867"/>
      <c r="Q195" s="1867"/>
    </row>
    <row r="196" spans="1:17">
      <c r="A196" s="1855"/>
      <c r="B196" s="1856"/>
      <c r="C196" s="1877" t="s">
        <v>3416</v>
      </c>
      <c r="D196" s="1853">
        <v>-1</v>
      </c>
      <c r="E196" s="1853" t="s">
        <v>1472</v>
      </c>
      <c r="F196" s="1853">
        <v>1</v>
      </c>
      <c r="G196" s="1851">
        <v>1.2</v>
      </c>
      <c r="H196" s="1851">
        <v>0.23</v>
      </c>
      <c r="I196" s="1851">
        <v>0.75</v>
      </c>
      <c r="J196" s="1851">
        <f>ROUND(D196*F196*G196*H196*I196,2)</f>
        <v>-0.21</v>
      </c>
      <c r="K196" s="1851"/>
      <c r="L196" s="1851"/>
      <c r="M196" s="1851"/>
      <c r="N196" s="1851"/>
      <c r="O196" s="1866"/>
      <c r="P196" s="1867"/>
      <c r="Q196" s="1867"/>
    </row>
    <row r="197" spans="1:17">
      <c r="A197" s="1855"/>
      <c r="B197" s="1856"/>
      <c r="C197" s="1877" t="s">
        <v>83</v>
      </c>
      <c r="D197" s="1853">
        <v>-1</v>
      </c>
      <c r="E197" s="1853" t="s">
        <v>1472</v>
      </c>
      <c r="F197" s="1853">
        <v>7</v>
      </c>
      <c r="G197" s="1851">
        <v>0.6</v>
      </c>
      <c r="H197" s="1851">
        <v>0.23</v>
      </c>
      <c r="I197" s="1851">
        <v>0.3</v>
      </c>
      <c r="J197" s="1851">
        <f>ROUND(D197*F197*G197*H197*I197,2)</f>
        <v>-0.28999999999999998</v>
      </c>
      <c r="K197" s="1851"/>
      <c r="L197" s="1851"/>
      <c r="M197" s="1851"/>
      <c r="N197" s="1851"/>
      <c r="O197" s="1866"/>
      <c r="P197" s="1867"/>
      <c r="Q197" s="1867"/>
    </row>
    <row r="198" spans="1:17" ht="28.2">
      <c r="A198" s="1855"/>
      <c r="B198" s="1856"/>
      <c r="C198" s="1859" t="s">
        <v>3427</v>
      </c>
      <c r="D198" s="1853">
        <v>-1</v>
      </c>
      <c r="E198" s="1853"/>
      <c r="F198" s="1853"/>
      <c r="G198" s="1851"/>
      <c r="H198" s="1851"/>
      <c r="I198" s="1851"/>
      <c r="J198" s="1851"/>
      <c r="K198" s="1851"/>
      <c r="L198" s="1851"/>
      <c r="M198" s="1851"/>
      <c r="N198" s="1851"/>
      <c r="O198" s="1866"/>
      <c r="P198" s="1867"/>
      <c r="Q198" s="1867"/>
    </row>
    <row r="199" spans="1:17">
      <c r="A199" s="1855"/>
      <c r="B199" s="1856"/>
      <c r="C199" s="1899" t="s">
        <v>3414</v>
      </c>
      <c r="D199" s="1853">
        <v>-1</v>
      </c>
      <c r="E199" s="1853" t="s">
        <v>1472</v>
      </c>
      <c r="F199" s="1853">
        <v>2</v>
      </c>
      <c r="G199" s="1851">
        <v>1.35</v>
      </c>
      <c r="H199" s="1851">
        <v>0.23</v>
      </c>
      <c r="I199" s="1851">
        <v>0.15</v>
      </c>
      <c r="J199" s="1851">
        <f>ROUND(D199*F199*G199*H199*I199,2)</f>
        <v>-0.09</v>
      </c>
      <c r="K199" s="1851"/>
      <c r="L199" s="1851"/>
      <c r="M199" s="1851"/>
      <c r="N199" s="1851"/>
      <c r="O199" s="1866"/>
      <c r="P199" s="1867"/>
      <c r="Q199" s="1867"/>
    </row>
    <row r="200" spans="1:17">
      <c r="A200" s="1855"/>
      <c r="B200" s="1856"/>
      <c r="C200" s="1899" t="s">
        <v>3415</v>
      </c>
      <c r="D200" s="1853">
        <v>-1</v>
      </c>
      <c r="E200" s="1853" t="s">
        <v>1472</v>
      </c>
      <c r="F200" s="1853">
        <v>1</v>
      </c>
      <c r="G200" s="1851">
        <v>1.2</v>
      </c>
      <c r="H200" s="1851">
        <v>0.23</v>
      </c>
      <c r="I200" s="1851">
        <v>0.15</v>
      </c>
      <c r="J200" s="1851">
        <f>ROUND(D200*F200*G200*H200*I200,2)</f>
        <v>-0.04</v>
      </c>
      <c r="K200" s="1851"/>
      <c r="L200" s="1851"/>
      <c r="M200" s="1851"/>
      <c r="N200" s="1851"/>
      <c r="O200" s="1866"/>
      <c r="P200" s="1867"/>
      <c r="Q200" s="1867"/>
    </row>
    <row r="201" spans="1:17">
      <c r="A201" s="1855"/>
      <c r="B201" s="1856"/>
      <c r="C201" s="1899" t="s">
        <v>2111</v>
      </c>
      <c r="D201" s="1853">
        <v>-1</v>
      </c>
      <c r="E201" s="1853" t="s">
        <v>1472</v>
      </c>
      <c r="F201" s="1853">
        <v>4</v>
      </c>
      <c r="G201" s="1851">
        <v>1.5</v>
      </c>
      <c r="H201" s="1851">
        <v>0.23</v>
      </c>
      <c r="I201" s="1851">
        <v>0.15</v>
      </c>
      <c r="J201" s="1851">
        <f>ROUND(D201*F201*G201*H201*I201,2)</f>
        <v>-0.21</v>
      </c>
      <c r="K201" s="1851"/>
      <c r="L201" s="1851"/>
      <c r="M201" s="1851"/>
      <c r="N201" s="1851"/>
      <c r="O201" s="1866"/>
      <c r="P201" s="1867"/>
      <c r="Q201" s="1867"/>
    </row>
    <row r="202" spans="1:17">
      <c r="A202" s="1855"/>
      <c r="B202" s="1856"/>
      <c r="C202" s="1899" t="s">
        <v>3416</v>
      </c>
      <c r="D202" s="1853">
        <v>-1</v>
      </c>
      <c r="E202" s="1853" t="s">
        <v>1472</v>
      </c>
      <c r="F202" s="1853">
        <v>1</v>
      </c>
      <c r="G202" s="1851">
        <v>1.5</v>
      </c>
      <c r="H202" s="1851">
        <v>0.23</v>
      </c>
      <c r="I202" s="1851">
        <v>0.15</v>
      </c>
      <c r="J202" s="1851">
        <f>ROUND(D202*F202*G202*H202*I202,2)</f>
        <v>-0.05</v>
      </c>
      <c r="K202" s="1851"/>
      <c r="L202" s="1851"/>
      <c r="M202" s="1851"/>
      <c r="N202" s="1851"/>
      <c r="O202" s="1866"/>
      <c r="P202" s="1867"/>
      <c r="Q202" s="1867"/>
    </row>
    <row r="203" spans="1:17">
      <c r="A203" s="1855"/>
      <c r="B203" s="1856"/>
      <c r="C203" s="1859" t="s">
        <v>3428</v>
      </c>
      <c r="D203" s="1853"/>
      <c r="E203" s="1853"/>
      <c r="F203" s="1853"/>
      <c r="G203" s="1851"/>
      <c r="H203" s="1851"/>
      <c r="I203" s="1851"/>
      <c r="J203" s="1851"/>
      <c r="K203" s="1851"/>
      <c r="L203" s="1851"/>
      <c r="M203" s="1851"/>
      <c r="N203" s="1851"/>
      <c r="O203" s="1866"/>
      <c r="P203" s="1867"/>
      <c r="Q203" s="1867"/>
    </row>
    <row r="204" spans="1:17">
      <c r="A204" s="1855"/>
      <c r="B204" s="1856"/>
      <c r="C204" s="1877"/>
      <c r="D204" s="1853">
        <v>-4</v>
      </c>
      <c r="E204" s="1853" t="s">
        <v>1472</v>
      </c>
      <c r="F204" s="1853">
        <v>3</v>
      </c>
      <c r="G204" s="1851">
        <v>0.23</v>
      </c>
      <c r="H204" s="1851">
        <v>0.2</v>
      </c>
      <c r="I204" s="1851">
        <v>0.15</v>
      </c>
      <c r="J204" s="1851">
        <f>ROUND(D204*F204*G204*H204*I204,2)</f>
        <v>-0.08</v>
      </c>
      <c r="K204" s="1851"/>
      <c r="L204" s="1851"/>
      <c r="M204" s="1851"/>
      <c r="N204" s="1851"/>
      <c r="O204" s="1866"/>
      <c r="P204" s="1867"/>
      <c r="Q204" s="1867"/>
    </row>
    <row r="205" spans="1:17">
      <c r="A205" s="1855"/>
      <c r="B205" s="1856"/>
      <c r="C205" s="1877"/>
      <c r="D205" s="1853">
        <v>-4</v>
      </c>
      <c r="E205" s="1853" t="s">
        <v>1472</v>
      </c>
      <c r="F205" s="1853">
        <v>5</v>
      </c>
      <c r="G205" s="1851">
        <v>0.23</v>
      </c>
      <c r="H205" s="1851">
        <v>0.2</v>
      </c>
      <c r="I205" s="1851">
        <v>0.15</v>
      </c>
      <c r="J205" s="1851">
        <f>ROUND(D205*F205*G205*H205*I205,2)</f>
        <v>-0.14000000000000001</v>
      </c>
      <c r="K205" s="1851"/>
      <c r="L205" s="1851"/>
      <c r="M205" s="1851"/>
      <c r="N205" s="1851"/>
      <c r="O205" s="1866"/>
      <c r="P205" s="1867"/>
      <c r="Q205" s="1867"/>
    </row>
    <row r="206" spans="1:17">
      <c r="A206" s="1855"/>
      <c r="B206" s="1856"/>
      <c r="C206" s="1877"/>
      <c r="D206" s="1853"/>
      <c r="E206" s="1853"/>
      <c r="F206" s="1853"/>
      <c r="G206" s="1851"/>
      <c r="H206" s="1851"/>
      <c r="I206" s="1851"/>
      <c r="J206" s="1851">
        <f>SUM(J193:J205)</f>
        <v>-3.8699999999999997</v>
      </c>
      <c r="K206" s="1851"/>
      <c r="L206" s="1851"/>
      <c r="M206" s="1851"/>
      <c r="N206" s="1851"/>
      <c r="O206" s="1866"/>
      <c r="P206" s="1867"/>
      <c r="Q206" s="1867"/>
    </row>
    <row r="207" spans="1:17">
      <c r="A207" s="1855"/>
      <c r="B207" s="1856"/>
      <c r="C207" s="1877"/>
      <c r="D207" s="1853"/>
      <c r="E207" s="1853"/>
      <c r="F207" s="1853"/>
      <c r="G207" s="1851"/>
      <c r="H207" s="1851"/>
      <c r="I207" s="1851"/>
      <c r="J207" s="1871">
        <f>J191+J206</f>
        <v>25.39</v>
      </c>
      <c r="K207" s="1851"/>
      <c r="L207" s="1851"/>
      <c r="M207" s="1851"/>
      <c r="N207" s="1851"/>
      <c r="O207" s="1866"/>
      <c r="P207" s="1867"/>
      <c r="Q207" s="1867"/>
    </row>
    <row r="208" spans="1:17">
      <c r="A208" s="1855"/>
      <c r="B208" s="1856"/>
      <c r="C208" s="1877"/>
      <c r="D208" s="1853"/>
      <c r="E208" s="1853"/>
      <c r="F208" s="1853"/>
      <c r="G208" s="1851"/>
      <c r="H208" s="1851"/>
      <c r="I208" s="1851"/>
      <c r="J208" s="1871" t="s">
        <v>656</v>
      </c>
      <c r="K208" s="1851"/>
      <c r="L208" s="1851"/>
      <c r="M208" s="1851"/>
      <c r="N208" s="1851"/>
      <c r="O208" s="1866"/>
      <c r="P208" s="1867"/>
      <c r="Q208" s="1867"/>
    </row>
    <row r="209" spans="1:17" ht="21" customHeight="1">
      <c r="A209" s="1855"/>
      <c r="B209" s="1872"/>
      <c r="C209" s="2524" t="s">
        <v>3389</v>
      </c>
      <c r="D209" s="2524"/>
      <c r="E209" s="2524"/>
      <c r="F209" s="2524"/>
      <c r="G209" s="2524"/>
      <c r="H209" s="2524"/>
      <c r="I209" s="2524"/>
      <c r="J209" s="1851">
        <f>J207</f>
        <v>25.39</v>
      </c>
      <c r="K209" s="1873">
        <f>Datas!E612</f>
        <v>7013.85</v>
      </c>
      <c r="L209" s="1873"/>
      <c r="M209" s="1873">
        <f>ROUND(K209*J209,0)</f>
        <v>178082</v>
      </c>
      <c r="N209" s="1873">
        <f>ROUND(J209*K209,0)</f>
        <v>178082</v>
      </c>
      <c r="O209" s="1866">
        <f>(38.5*512/1000+0.2*40)</f>
        <v>27.712</v>
      </c>
      <c r="P209" s="1878">
        <f>ROUND(O209*J209,2)</f>
        <v>703.61</v>
      </c>
      <c r="Q209" s="1867"/>
    </row>
    <row r="210" spans="1:17" ht="15" customHeight="1">
      <c r="A210" s="1855"/>
      <c r="B210" s="1892"/>
      <c r="C210" s="1880"/>
      <c r="D210" s="1892"/>
      <c r="E210" s="1880"/>
      <c r="F210" s="1883"/>
      <c r="G210" s="1893"/>
      <c r="H210" s="1893"/>
      <c r="I210" s="1874"/>
      <c r="J210" s="1851" t="s">
        <v>656</v>
      </c>
      <c r="K210" s="1873" t="str">
        <f>CONCATENATE("per ",J210)</f>
        <v>per Cum.</v>
      </c>
      <c r="L210" s="1873"/>
      <c r="M210" s="1873"/>
      <c r="N210" s="1873"/>
      <c r="O210" s="1866"/>
      <c r="P210" s="1867"/>
      <c r="Q210" s="1867"/>
    </row>
    <row r="211" spans="1:17" ht="15" customHeight="1">
      <c r="A211" s="1855"/>
      <c r="B211" s="1892"/>
      <c r="C211" s="1880"/>
      <c r="D211" s="1892"/>
      <c r="E211" s="1880"/>
      <c r="F211" s="1883"/>
      <c r="G211" s="1893"/>
      <c r="H211" s="1893"/>
      <c r="I211" s="1874"/>
      <c r="J211" s="1884"/>
      <c r="K211" s="1873"/>
      <c r="L211" s="1873"/>
      <c r="M211" s="1873"/>
      <c r="N211" s="1873"/>
      <c r="O211" s="1866"/>
      <c r="P211" s="1867"/>
      <c r="Q211" s="1867"/>
    </row>
    <row r="212" spans="1:17" ht="115.5" customHeight="1">
      <c r="A212" s="1855">
        <f>A186+1</f>
        <v>10</v>
      </c>
      <c r="B212" s="1856"/>
      <c r="C212" s="2527" t="s">
        <v>3429</v>
      </c>
      <c r="D212" s="2527"/>
      <c r="E212" s="2527"/>
      <c r="F212" s="2527"/>
      <c r="G212" s="2527"/>
      <c r="H212" s="2527"/>
      <c r="I212" s="2527"/>
      <c r="J212" s="2527"/>
      <c r="K212" s="1851"/>
      <c r="L212" s="1851"/>
      <c r="M212" s="1851"/>
      <c r="N212" s="1851"/>
      <c r="O212" s="1866"/>
      <c r="P212" s="1867"/>
      <c r="Q212" s="1867"/>
    </row>
    <row r="213" spans="1:17">
      <c r="A213" s="1855"/>
      <c r="B213" s="1856"/>
      <c r="C213" s="1870" t="s">
        <v>3430</v>
      </c>
      <c r="D213" s="1853">
        <v>1</v>
      </c>
      <c r="E213" s="1853" t="s">
        <v>1472</v>
      </c>
      <c r="F213" s="1853">
        <v>1</v>
      </c>
      <c r="G213" s="1851">
        <v>3.6</v>
      </c>
      <c r="H213" s="1969">
        <v>1</v>
      </c>
      <c r="I213" s="1851">
        <v>3.05</v>
      </c>
      <c r="J213" s="1851">
        <f>ROUND(D213*F213*G213*H213*I213,2)</f>
        <v>10.98</v>
      </c>
      <c r="K213" s="1851"/>
      <c r="L213" s="1851"/>
      <c r="M213" s="1851"/>
      <c r="N213" s="1851"/>
      <c r="O213" s="1866"/>
      <c r="P213" s="1867"/>
      <c r="Q213" s="1867"/>
    </row>
    <row r="214" spans="1:17">
      <c r="A214" s="1855"/>
      <c r="B214" s="1856"/>
      <c r="C214" s="1870" t="s">
        <v>3431</v>
      </c>
      <c r="D214" s="1853">
        <v>1</v>
      </c>
      <c r="E214" s="1853" t="s">
        <v>1472</v>
      </c>
      <c r="F214" s="1853">
        <v>1</v>
      </c>
      <c r="G214" s="1851">
        <v>2.1</v>
      </c>
      <c r="H214" s="1969">
        <v>1</v>
      </c>
      <c r="I214" s="1851">
        <v>3.05</v>
      </c>
      <c r="J214" s="1851">
        <f>ROUND(D214*F214*G214*H214*I214,2)</f>
        <v>6.41</v>
      </c>
      <c r="K214" s="1851"/>
      <c r="L214" s="1851"/>
      <c r="M214" s="1851"/>
      <c r="N214" s="1851"/>
      <c r="O214" s="1866"/>
      <c r="P214" s="1867"/>
      <c r="Q214" s="1867"/>
    </row>
    <row r="215" spans="1:17">
      <c r="A215" s="1855"/>
      <c r="B215" s="1856"/>
      <c r="C215" s="1870" t="s">
        <v>3432</v>
      </c>
      <c r="D215" s="1853">
        <v>1</v>
      </c>
      <c r="E215" s="1853" t="s">
        <v>1472</v>
      </c>
      <c r="F215" s="1853">
        <v>2</v>
      </c>
      <c r="G215" s="1851">
        <v>0.6</v>
      </c>
      <c r="H215" s="1969">
        <v>1</v>
      </c>
      <c r="I215" s="1851">
        <v>0.75</v>
      </c>
      <c r="J215" s="1851">
        <f>ROUND(D215*F215*G215*H215*I215,2)</f>
        <v>0.9</v>
      </c>
      <c r="K215" s="1851"/>
      <c r="L215" s="1851"/>
      <c r="M215" s="1851"/>
      <c r="N215" s="1851"/>
      <c r="O215" s="1866"/>
      <c r="P215" s="1867"/>
      <c r="Q215" s="1867"/>
    </row>
    <row r="216" spans="1:17">
      <c r="A216" s="1855"/>
      <c r="B216" s="1856"/>
      <c r="C216" s="1877"/>
      <c r="D216" s="1853"/>
      <c r="E216" s="1853"/>
      <c r="F216" s="1853"/>
      <c r="G216" s="1851"/>
      <c r="H216" s="1969">
        <v>1</v>
      </c>
      <c r="I216" s="1851"/>
      <c r="J216" s="1871">
        <f>SUM(J213:J215)</f>
        <v>18.29</v>
      </c>
      <c r="K216" s="1851"/>
      <c r="L216" s="1851"/>
      <c r="M216" s="1851"/>
      <c r="N216" s="1851"/>
      <c r="O216" s="1866"/>
      <c r="P216" s="1867"/>
      <c r="Q216" s="1867"/>
    </row>
    <row r="217" spans="1:17">
      <c r="A217" s="1855"/>
      <c r="B217" s="1856"/>
      <c r="C217" s="1859" t="s">
        <v>675</v>
      </c>
      <c r="D217" s="1853"/>
      <c r="E217" s="1853"/>
      <c r="F217" s="1853"/>
      <c r="G217" s="1851"/>
      <c r="H217" s="1969">
        <v>1</v>
      </c>
      <c r="I217" s="1851"/>
      <c r="J217" s="1851"/>
      <c r="K217" s="1851"/>
      <c r="L217" s="1851"/>
      <c r="M217" s="1851"/>
      <c r="N217" s="1851"/>
      <c r="O217" s="1866"/>
      <c r="P217" s="1867"/>
      <c r="Q217" s="1867"/>
    </row>
    <row r="218" spans="1:17">
      <c r="A218" s="1855"/>
      <c r="B218" s="1856"/>
      <c r="C218" s="1877" t="s">
        <v>981</v>
      </c>
      <c r="D218" s="1853">
        <v>-1</v>
      </c>
      <c r="E218" s="1853" t="s">
        <v>1472</v>
      </c>
      <c r="F218" s="1853">
        <v>1</v>
      </c>
      <c r="G218" s="1851">
        <v>0.9</v>
      </c>
      <c r="H218" s="1969">
        <v>1</v>
      </c>
      <c r="I218" s="1851">
        <v>2.1</v>
      </c>
      <c r="J218" s="1851">
        <f>ROUND(D218*F218*G218*H218*I218,2)</f>
        <v>-1.89</v>
      </c>
      <c r="K218" s="1851"/>
      <c r="L218" s="1851"/>
      <c r="M218" s="1851"/>
      <c r="N218" s="1851"/>
      <c r="O218" s="1866"/>
      <c r="P218" s="1867"/>
      <c r="Q218" s="1867"/>
    </row>
    <row r="219" spans="1:17" ht="28.2">
      <c r="A219" s="1855"/>
      <c r="B219" s="1856"/>
      <c r="C219" s="1877" t="s">
        <v>3427</v>
      </c>
      <c r="D219" s="1853"/>
      <c r="E219" s="1853"/>
      <c r="F219" s="1853"/>
      <c r="G219" s="1851"/>
      <c r="H219" s="1969">
        <v>1</v>
      </c>
      <c r="I219" s="1851"/>
      <c r="J219" s="1851"/>
      <c r="K219" s="1851"/>
      <c r="L219" s="1851"/>
      <c r="M219" s="1851"/>
      <c r="N219" s="1851"/>
      <c r="O219" s="1866"/>
      <c r="P219" s="1867"/>
      <c r="Q219" s="1867"/>
    </row>
    <row r="220" spans="1:17">
      <c r="A220" s="1855"/>
      <c r="B220" s="1856"/>
      <c r="C220" s="1899" t="s">
        <v>3415</v>
      </c>
      <c r="D220" s="1853">
        <v>-1</v>
      </c>
      <c r="E220" s="1853" t="s">
        <v>1472</v>
      </c>
      <c r="F220" s="1853">
        <v>1</v>
      </c>
      <c r="G220" s="1851">
        <v>1.2</v>
      </c>
      <c r="H220" s="1969">
        <v>1</v>
      </c>
      <c r="I220" s="1851">
        <v>0.15</v>
      </c>
      <c r="J220" s="1851">
        <f>ROUND(D220*F220*G220*H220*I220,2)</f>
        <v>-0.18</v>
      </c>
      <c r="K220" s="1851"/>
      <c r="L220" s="1851"/>
      <c r="M220" s="1851"/>
      <c r="N220" s="1851"/>
      <c r="O220" s="1866"/>
      <c r="P220" s="1867"/>
      <c r="Q220" s="1867"/>
    </row>
    <row r="221" spans="1:17">
      <c r="A221" s="1855"/>
      <c r="B221" s="1856"/>
      <c r="C221" s="1859" t="s">
        <v>3428</v>
      </c>
      <c r="D221" s="1853"/>
      <c r="E221" s="1853"/>
      <c r="F221" s="1853"/>
      <c r="G221" s="1851"/>
      <c r="H221" s="1969"/>
      <c r="I221" s="1851"/>
      <c r="J221" s="1851"/>
      <c r="K221" s="1851"/>
      <c r="L221" s="1851"/>
      <c r="M221" s="1851"/>
      <c r="N221" s="1851"/>
      <c r="O221" s="1866"/>
      <c r="P221" s="1867"/>
      <c r="Q221" s="1867"/>
    </row>
    <row r="222" spans="1:17">
      <c r="A222" s="1855"/>
      <c r="B222" s="1856"/>
      <c r="C222" s="1877" t="s">
        <v>3433</v>
      </c>
      <c r="D222" s="1853">
        <v>-4</v>
      </c>
      <c r="E222" s="1853" t="s">
        <v>1472</v>
      </c>
      <c r="F222" s="1853">
        <v>1</v>
      </c>
      <c r="G222" s="1885">
        <v>0.115</v>
      </c>
      <c r="H222" s="1969">
        <v>1</v>
      </c>
      <c r="I222" s="1851">
        <v>0.15</v>
      </c>
      <c r="J222" s="1851">
        <f>ROUND(D222*F222*G222*H222*I222,2)</f>
        <v>-7.0000000000000007E-2</v>
      </c>
      <c r="K222" s="1851"/>
      <c r="L222" s="1851"/>
      <c r="M222" s="1851"/>
      <c r="N222" s="1851"/>
      <c r="O222" s="1866"/>
      <c r="P222" s="1867"/>
      <c r="Q222" s="1867"/>
    </row>
    <row r="223" spans="1:17">
      <c r="A223" s="1855"/>
      <c r="B223" s="1856"/>
      <c r="C223" s="1877"/>
      <c r="D223" s="1853"/>
      <c r="E223" s="1853"/>
      <c r="F223" s="1853"/>
      <c r="G223" s="1851"/>
      <c r="H223" s="1851"/>
      <c r="I223" s="1851"/>
      <c r="J223" s="1871">
        <f>SUM(J218:J222)</f>
        <v>-2.1399999999999997</v>
      </c>
      <c r="K223" s="1851"/>
      <c r="L223" s="1851"/>
      <c r="M223" s="1851"/>
      <c r="N223" s="1851"/>
      <c r="O223" s="1866"/>
      <c r="P223" s="1867"/>
      <c r="Q223" s="1867"/>
    </row>
    <row r="224" spans="1:17">
      <c r="A224" s="1855"/>
      <c r="B224" s="1856"/>
      <c r="C224" s="1877" t="s">
        <v>84</v>
      </c>
      <c r="D224" s="1853"/>
      <c r="E224" s="1853"/>
      <c r="F224" s="1853"/>
      <c r="G224" s="1851"/>
      <c r="H224" s="1851"/>
      <c r="I224" s="1851"/>
      <c r="J224" s="1871">
        <f>J216+J223</f>
        <v>16.149999999999999</v>
      </c>
      <c r="K224" s="1851"/>
      <c r="L224" s="1851"/>
      <c r="M224" s="1851"/>
      <c r="N224" s="1851"/>
      <c r="O224" s="1866"/>
      <c r="P224" s="1867"/>
      <c r="Q224" s="1867"/>
    </row>
    <row r="225" spans="1:17">
      <c r="A225" s="1855"/>
      <c r="B225" s="1856"/>
      <c r="C225" s="1877"/>
      <c r="D225" s="1853"/>
      <c r="E225" s="1853"/>
      <c r="F225" s="1853"/>
      <c r="G225" s="1851"/>
      <c r="H225" s="1851"/>
      <c r="I225" s="1851"/>
      <c r="J225" s="1871" t="s">
        <v>656</v>
      </c>
      <c r="K225" s="1851"/>
      <c r="L225" s="1851"/>
      <c r="M225" s="1851"/>
      <c r="N225" s="1851"/>
      <c r="O225" s="1866"/>
      <c r="P225" s="1867"/>
      <c r="Q225" s="1867"/>
    </row>
    <row r="226" spans="1:17">
      <c r="A226" s="1855"/>
      <c r="B226" s="1872"/>
      <c r="C226" s="2524" t="s">
        <v>3389</v>
      </c>
      <c r="D226" s="2524"/>
      <c r="E226" s="2524"/>
      <c r="F226" s="2524"/>
      <c r="G226" s="2524"/>
      <c r="H226" s="2524"/>
      <c r="I226" s="2524"/>
      <c r="J226" s="1871">
        <f>J224</f>
        <v>16.149999999999999</v>
      </c>
      <c r="K226" s="1873">
        <f>Datas!E961</f>
        <v>800.34</v>
      </c>
      <c r="L226" s="1873"/>
      <c r="M226" s="1873">
        <f>ROUND(K226*J226,0)</f>
        <v>12925</v>
      </c>
      <c r="N226" s="1873">
        <f>ROUND(J226*K226,0)</f>
        <v>12925</v>
      </c>
      <c r="O226" s="1866">
        <f>(38.5*512/1000+0.2*40)</f>
        <v>27.712</v>
      </c>
      <c r="P226" s="1878">
        <f>ROUND(O226*J226,2)</f>
        <v>447.55</v>
      </c>
      <c r="Q226" s="1867"/>
    </row>
    <row r="227" spans="1:17">
      <c r="A227" s="1855"/>
      <c r="B227" s="1892"/>
      <c r="C227" s="1880"/>
      <c r="D227" s="1892"/>
      <c r="E227" s="1880"/>
      <c r="F227" s="1883"/>
      <c r="G227" s="1893"/>
      <c r="H227" s="1893"/>
      <c r="I227" s="1874"/>
      <c r="J227" s="1851" t="s">
        <v>1478</v>
      </c>
      <c r="K227" s="1873" t="str">
        <f>CONCATENATE("per ",J227)</f>
        <v>per Sqm</v>
      </c>
      <c r="L227" s="1873"/>
      <c r="M227" s="1873"/>
      <c r="N227" s="1873"/>
      <c r="O227" s="1866"/>
      <c r="P227" s="1867"/>
      <c r="Q227" s="1867"/>
    </row>
    <row r="228" spans="1:17">
      <c r="A228" s="1855"/>
      <c r="B228" s="1892"/>
      <c r="C228" s="1880"/>
      <c r="D228" s="1892"/>
      <c r="E228" s="1880"/>
      <c r="F228" s="1883"/>
      <c r="G228" s="1893"/>
      <c r="H228" s="1893"/>
      <c r="I228" s="1874"/>
      <c r="J228" s="1884"/>
      <c r="K228" s="1873"/>
      <c r="L228" s="1873"/>
      <c r="M228" s="1873"/>
      <c r="N228" s="1873"/>
      <c r="O228" s="1866"/>
      <c r="P228" s="1867"/>
      <c r="Q228" s="1867"/>
    </row>
    <row r="229" spans="1:17" ht="85.9" hidden="1" customHeight="1">
      <c r="A229" s="1855">
        <f>A212+1</f>
        <v>11</v>
      </c>
      <c r="B229" s="1856"/>
      <c r="C229" s="2526" t="s">
        <v>3434</v>
      </c>
      <c r="D229" s="2529"/>
      <c r="E229" s="2529"/>
      <c r="F229" s="2529"/>
      <c r="G229" s="2529"/>
      <c r="H229" s="2529"/>
      <c r="I229" s="2529"/>
      <c r="J229" s="2529"/>
      <c r="K229" s="1851"/>
      <c r="L229" s="1851"/>
      <c r="M229" s="1851"/>
      <c r="N229" s="1851"/>
      <c r="O229" s="1866"/>
      <c r="P229" s="1867"/>
      <c r="Q229" s="1867"/>
    </row>
    <row r="230" spans="1:17" ht="15.7" hidden="1" customHeight="1">
      <c r="A230" s="1855"/>
      <c r="B230" s="1856"/>
      <c r="C230" s="1859" t="s">
        <v>39</v>
      </c>
      <c r="D230" s="1859"/>
      <c r="E230" s="1859"/>
      <c r="F230" s="1859"/>
      <c r="G230" s="1862"/>
      <c r="H230" s="1862"/>
      <c r="I230" s="1862"/>
      <c r="J230" s="1862"/>
      <c r="K230" s="1851"/>
      <c r="L230" s="1851"/>
      <c r="M230" s="1851"/>
      <c r="N230" s="1851"/>
      <c r="O230" s="1863"/>
      <c r="P230" s="1864"/>
      <c r="Q230" s="1864"/>
    </row>
    <row r="231" spans="1:17" ht="21.75" hidden="1" customHeight="1">
      <c r="A231" s="1855"/>
      <c r="B231" s="1856"/>
      <c r="C231" s="1865" t="s">
        <v>288</v>
      </c>
      <c r="D231" s="1853">
        <v>1</v>
      </c>
      <c r="E231" s="1853" t="s">
        <v>1472</v>
      </c>
      <c r="F231" s="1853">
        <v>9</v>
      </c>
      <c r="G231" s="1851">
        <v>1.5</v>
      </c>
      <c r="H231" s="1851">
        <v>1.5</v>
      </c>
      <c r="I231" s="1851">
        <v>1.5</v>
      </c>
      <c r="J231" s="1851">
        <f>ROUND(D231*F231*G231*H231*I231,2)</f>
        <v>30.38</v>
      </c>
      <c r="K231" s="1851"/>
      <c r="L231" s="1851"/>
      <c r="M231" s="1851"/>
      <c r="N231" s="1851"/>
      <c r="O231" s="1866"/>
      <c r="P231" s="1867"/>
      <c r="Q231" s="1867"/>
    </row>
    <row r="232" spans="1:17" ht="24.75" hidden="1" customHeight="1">
      <c r="A232" s="1855"/>
      <c r="B232" s="1856"/>
      <c r="C232" s="1868" t="s">
        <v>3435</v>
      </c>
      <c r="D232" s="1853">
        <v>1</v>
      </c>
      <c r="E232" s="1853" t="s">
        <v>1472</v>
      </c>
      <c r="F232" s="1853">
        <v>2</v>
      </c>
      <c r="G232" s="1851">
        <f xml:space="preserve"> (28.25*0.3048-3*1.35-0.23)</f>
        <v>4.3305999999999987</v>
      </c>
      <c r="H232" s="1851">
        <v>0.6</v>
      </c>
      <c r="I232" s="1851">
        <f>I10</f>
        <v>0.6</v>
      </c>
      <c r="J232" s="1851">
        <f>ROUND(D232*F232*G232*H232*I232,2)</f>
        <v>3.12</v>
      </c>
      <c r="K232" s="1851"/>
      <c r="L232" s="1851"/>
      <c r="M232" s="1851"/>
      <c r="N232" s="1851"/>
      <c r="O232" s="1866"/>
      <c r="P232" s="1867"/>
      <c r="Q232" s="1867"/>
    </row>
    <row r="233" spans="1:17" ht="24.75" hidden="1" customHeight="1">
      <c r="A233" s="1855"/>
      <c r="B233" s="1856"/>
      <c r="C233" s="1868" t="s">
        <v>3436</v>
      </c>
      <c r="D233" s="1853">
        <v>1</v>
      </c>
      <c r="E233" s="1853" t="s">
        <v>1472</v>
      </c>
      <c r="F233" s="1853">
        <v>2</v>
      </c>
      <c r="G233" s="1851">
        <f>(21.38*0.3048-3*1.35-0.23)</f>
        <v>2.2366239999999995</v>
      </c>
      <c r="H233" s="1851">
        <v>0.6</v>
      </c>
      <c r="I233" s="1851">
        <f>I11</f>
        <v>0.6</v>
      </c>
      <c r="J233" s="1851">
        <f>ROUND(D233*F233*G233*H233*I233,2)</f>
        <v>1.61</v>
      </c>
      <c r="K233" s="1851"/>
      <c r="L233" s="1851"/>
      <c r="M233" s="1851"/>
      <c r="N233" s="1851"/>
      <c r="O233" s="1866"/>
      <c r="P233" s="1867"/>
      <c r="Q233" s="1867"/>
    </row>
    <row r="234" spans="1:17" ht="21.75" hidden="1" customHeight="1">
      <c r="A234" s="1855"/>
      <c r="B234" s="1856"/>
      <c r="C234" s="1870" t="s">
        <v>509</v>
      </c>
      <c r="D234" s="1853">
        <v>1</v>
      </c>
      <c r="E234" s="1853" t="s">
        <v>1472</v>
      </c>
      <c r="F234" s="1853">
        <v>1</v>
      </c>
      <c r="G234" s="1851">
        <f>12*0.3048</f>
        <v>3.6576000000000004</v>
      </c>
      <c r="H234" s="1851">
        <v>1.5</v>
      </c>
      <c r="I234" s="1851">
        <v>0.15</v>
      </c>
      <c r="J234" s="1851">
        <f>ROUND(D234*F234*G234*H234*I234,2)</f>
        <v>0.82</v>
      </c>
      <c r="K234" s="1851"/>
      <c r="L234" s="1851"/>
      <c r="M234" s="1851"/>
      <c r="N234" s="1851"/>
      <c r="O234" s="1866"/>
      <c r="P234" s="1867"/>
      <c r="Q234" s="1867"/>
    </row>
    <row r="235" spans="1:17" ht="21.75" hidden="1" customHeight="1">
      <c r="A235" s="1855"/>
      <c r="B235" s="1856"/>
      <c r="C235" s="1870"/>
      <c r="D235" s="1853"/>
      <c r="E235" s="1853"/>
      <c r="F235" s="1853"/>
      <c r="G235" s="1851"/>
      <c r="H235" s="1851"/>
      <c r="I235" s="1851"/>
      <c r="J235" s="1851">
        <f>SUM(J231:J234)</f>
        <v>35.93</v>
      </c>
      <c r="K235" s="1851"/>
      <c r="L235" s="1851"/>
      <c r="M235" s="1851"/>
      <c r="N235" s="1851"/>
      <c r="O235" s="1866"/>
      <c r="P235" s="1867"/>
      <c r="Q235" s="1867"/>
    </row>
    <row r="236" spans="1:17" hidden="1">
      <c r="A236" s="1855"/>
      <c r="B236" s="1856"/>
      <c r="C236" s="2530" t="s">
        <v>3437</v>
      </c>
      <c r="D236" s="2531"/>
      <c r="E236" s="2531"/>
      <c r="F236" s="2531"/>
      <c r="G236" s="2531"/>
      <c r="H236" s="2531"/>
      <c r="I236" s="2531"/>
      <c r="J236" s="1871">
        <f>J235*0.7</f>
        <v>25.151</v>
      </c>
      <c r="K236" s="1851"/>
      <c r="L236" s="1851"/>
      <c r="M236" s="1851"/>
      <c r="N236" s="1851"/>
      <c r="O236" s="1866"/>
      <c r="P236" s="1867"/>
      <c r="Q236" s="1867"/>
    </row>
    <row r="237" spans="1:17" hidden="1">
      <c r="A237" s="1855"/>
      <c r="B237" s="1856"/>
      <c r="C237" s="1901"/>
      <c r="D237" s="1902"/>
      <c r="E237" s="1902"/>
      <c r="F237" s="1902"/>
      <c r="G237" s="1902"/>
      <c r="H237" s="1902"/>
      <c r="I237" s="1902"/>
      <c r="J237" s="1871" t="s">
        <v>656</v>
      </c>
      <c r="K237" s="1851"/>
      <c r="L237" s="1851"/>
      <c r="M237" s="1851"/>
      <c r="N237" s="1851"/>
      <c r="O237" s="1866"/>
      <c r="P237" s="1867"/>
      <c r="Q237" s="1867"/>
    </row>
    <row r="238" spans="1:17" ht="21.75" hidden="1" customHeight="1">
      <c r="A238" s="1855"/>
      <c r="B238" s="1872"/>
      <c r="C238" s="2532" t="s">
        <v>3376</v>
      </c>
      <c r="D238" s="2532"/>
      <c r="E238" s="2532"/>
      <c r="F238" s="2532"/>
      <c r="G238" s="2532"/>
      <c r="H238" s="2532"/>
      <c r="I238" s="2532"/>
      <c r="J238" s="1871">
        <v>0</v>
      </c>
      <c r="K238" s="1873">
        <f>[221]Datas!G84</f>
        <v>170.03</v>
      </c>
      <c r="L238" s="1873">
        <f>ROUND(J238*K238,0)</f>
        <v>0</v>
      </c>
      <c r="M238" s="1873"/>
      <c r="N238" s="1873">
        <f>SUM(L238:M238)</f>
        <v>0</v>
      </c>
      <c r="O238" s="1866"/>
      <c r="P238" s="1867"/>
      <c r="Q238" s="1867"/>
    </row>
    <row r="239" spans="1:17" ht="15" hidden="1" customHeight="1">
      <c r="A239" s="1855"/>
      <c r="B239" s="1872"/>
      <c r="C239" s="1877"/>
      <c r="D239" s="1853"/>
      <c r="E239" s="1853"/>
      <c r="F239" s="1853"/>
      <c r="G239" s="1851"/>
      <c r="H239" s="1851"/>
      <c r="I239" s="1851"/>
      <c r="J239" s="1851" t="s">
        <v>656</v>
      </c>
      <c r="K239" s="1873" t="str">
        <f>CONCATENATE( "per ",J239)</f>
        <v>per Cum.</v>
      </c>
      <c r="L239" s="1873"/>
      <c r="M239" s="1873"/>
      <c r="N239" s="1873"/>
      <c r="O239" s="1866"/>
      <c r="P239" s="1867"/>
      <c r="Q239" s="1867"/>
    </row>
    <row r="240" spans="1:17" ht="15" hidden="1" customHeight="1">
      <c r="A240" s="1855"/>
      <c r="B240" s="1872"/>
      <c r="C240" s="1877"/>
      <c r="D240" s="1853"/>
      <c r="E240" s="1853"/>
      <c r="F240" s="1853"/>
      <c r="G240" s="1851"/>
      <c r="H240" s="1851"/>
      <c r="I240" s="1851"/>
      <c r="J240" s="1884"/>
      <c r="K240" s="1873"/>
      <c r="L240" s="1873"/>
      <c r="M240" s="1873"/>
      <c r="N240" s="1873"/>
      <c r="O240" s="1866"/>
      <c r="P240" s="1867"/>
      <c r="Q240" s="1867"/>
    </row>
    <row r="241" spans="1:17" ht="69.75" customHeight="1">
      <c r="A241" s="1855">
        <v>11</v>
      </c>
      <c r="B241" s="1856"/>
      <c r="C241" s="2527" t="s">
        <v>3438</v>
      </c>
      <c r="D241" s="2527"/>
      <c r="E241" s="2527"/>
      <c r="F241" s="2527"/>
      <c r="G241" s="2527"/>
      <c r="H241" s="2527"/>
      <c r="I241" s="2527"/>
      <c r="J241" s="2527"/>
      <c r="K241" s="1851"/>
      <c r="L241" s="1851"/>
      <c r="M241" s="1851"/>
      <c r="N241" s="1851"/>
      <c r="O241" s="1866"/>
      <c r="P241" s="1867"/>
      <c r="Q241" s="1867"/>
    </row>
    <row r="242" spans="1:17" ht="28.2">
      <c r="A242" s="1855"/>
      <c r="B242" s="1856"/>
      <c r="C242" s="1859" t="s">
        <v>85</v>
      </c>
      <c r="D242" s="1877"/>
      <c r="E242" s="1877"/>
      <c r="F242" s="1877"/>
      <c r="G242" s="1889"/>
      <c r="H242" s="1889"/>
      <c r="I242" s="1889"/>
      <c r="J242" s="1889"/>
      <c r="K242" s="1851"/>
      <c r="L242" s="1851"/>
      <c r="M242" s="1851"/>
      <c r="N242" s="1851"/>
      <c r="O242" s="1866"/>
      <c r="P242" s="1867"/>
      <c r="Q242" s="1890"/>
    </row>
    <row r="243" spans="1:17">
      <c r="A243" s="1855"/>
      <c r="B243" s="1856"/>
      <c r="C243" s="1877" t="s">
        <v>3439</v>
      </c>
      <c r="D243" s="1853">
        <v>1</v>
      </c>
      <c r="E243" s="1853" t="s">
        <v>1472</v>
      </c>
      <c r="F243" s="1853">
        <v>1</v>
      </c>
      <c r="G243" s="1851">
        <f>8.77-0.9</f>
        <v>7.8699999999999992</v>
      </c>
      <c r="H243" s="1851">
        <f>6.67-0.9</f>
        <v>5.77</v>
      </c>
      <c r="I243" s="1851">
        <v>0.6</v>
      </c>
      <c r="J243" s="1851">
        <f>ROUND(D243*F243*G243*H243*I243,2)</f>
        <v>27.25</v>
      </c>
      <c r="K243" s="1851"/>
      <c r="L243" s="1851"/>
      <c r="M243" s="1851"/>
      <c r="N243" s="1851"/>
      <c r="O243" s="1866"/>
      <c r="P243" s="1867"/>
      <c r="Q243" s="1890"/>
    </row>
    <row r="244" spans="1:17">
      <c r="A244" s="1855"/>
      <c r="B244" s="1856"/>
      <c r="C244" s="1859"/>
      <c r="D244" s="1853"/>
      <c r="E244" s="1853"/>
      <c r="F244" s="1853"/>
      <c r="G244" s="1851"/>
      <c r="H244" s="1851"/>
      <c r="I244" s="1851"/>
      <c r="J244" s="1871" t="s">
        <v>1473</v>
      </c>
      <c r="K244" s="1851"/>
      <c r="L244" s="1851"/>
      <c r="M244" s="1851"/>
      <c r="N244" s="1851"/>
      <c r="O244" s="1866"/>
      <c r="P244" s="1867"/>
      <c r="Q244" s="1867"/>
    </row>
    <row r="245" spans="1:17" ht="16.5" customHeight="1">
      <c r="A245" s="1855"/>
      <c r="B245" s="1872"/>
      <c r="C245" s="2524" t="s">
        <v>3375</v>
      </c>
      <c r="D245" s="2524"/>
      <c r="E245" s="2524"/>
      <c r="F245" s="2524"/>
      <c r="G245" s="2524"/>
      <c r="H245" s="2524"/>
      <c r="I245" s="2524"/>
      <c r="J245" s="1851">
        <f>J243</f>
        <v>27.25</v>
      </c>
      <c r="K245" s="1873">
        <f>Datas!G1278</f>
        <v>338.61</v>
      </c>
      <c r="L245" s="1873"/>
      <c r="M245" s="1873">
        <f>ROUND(K245*J245,0)</f>
        <v>9227</v>
      </c>
      <c r="N245" s="1873">
        <f>ROUND(J245*K245,0)</f>
        <v>9227</v>
      </c>
      <c r="O245" s="1866">
        <v>30</v>
      </c>
      <c r="P245" s="1878">
        <f>ROUND(O245*J245,2)</f>
        <v>817.5</v>
      </c>
      <c r="Q245" s="1867"/>
    </row>
    <row r="246" spans="1:17" ht="16.5" hidden="1" customHeight="1">
      <c r="A246" s="1855"/>
      <c r="B246" s="1872"/>
      <c r="C246" s="1872"/>
      <c r="D246" s="1872"/>
      <c r="E246" s="1872"/>
      <c r="F246" s="1872"/>
      <c r="G246" s="1872"/>
      <c r="H246" s="1872"/>
      <c r="I246" s="1872"/>
      <c r="J246" s="1851" t="s">
        <v>1473</v>
      </c>
      <c r="K246" s="1873" t="str">
        <f>CONCATENATE( "per ",J246)</f>
        <v>per cum</v>
      </c>
      <c r="L246" s="1873"/>
      <c r="M246" s="1873"/>
      <c r="N246" s="1873"/>
      <c r="O246" s="1866"/>
      <c r="P246" s="1879"/>
      <c r="Q246" s="1867"/>
    </row>
    <row r="247" spans="1:17" ht="15" hidden="1" customHeight="1">
      <c r="A247" s="1855"/>
      <c r="B247" s="1872"/>
      <c r="C247" s="2523" t="s">
        <v>3376</v>
      </c>
      <c r="D247" s="2523"/>
      <c r="E247" s="2523"/>
      <c r="F247" s="2523"/>
      <c r="G247" s="2523"/>
      <c r="H247" s="2523"/>
      <c r="I247" s="2523"/>
      <c r="J247" s="1851">
        <v>0</v>
      </c>
      <c r="K247" s="1873">
        <f>K238</f>
        <v>170.03</v>
      </c>
      <c r="L247" s="1873">
        <f>ROUND(J247*K247,0)</f>
        <v>0</v>
      </c>
      <c r="M247" s="1873"/>
      <c r="N247" s="1873">
        <f>SUM(L247:M247)</f>
        <v>0</v>
      </c>
      <c r="O247" s="1866"/>
      <c r="P247" s="1878"/>
      <c r="Q247" s="1867"/>
    </row>
    <row r="248" spans="1:17" hidden="1">
      <c r="A248" s="1855"/>
      <c r="B248" s="1872"/>
      <c r="C248" s="1877"/>
      <c r="D248" s="1853"/>
      <c r="E248" s="1853"/>
      <c r="F248" s="1853"/>
      <c r="G248" s="1851"/>
      <c r="H248" s="1851"/>
      <c r="I248" s="1851"/>
      <c r="J248" s="1851" t="s">
        <v>1473</v>
      </c>
      <c r="K248" s="1873" t="str">
        <f>CONCATENATE( "per ",J248)</f>
        <v>per cum</v>
      </c>
      <c r="L248" s="1873"/>
      <c r="M248" s="1873"/>
      <c r="N248" s="1873"/>
      <c r="O248" s="1866"/>
      <c r="P248" s="1867"/>
      <c r="Q248" s="1867"/>
    </row>
    <row r="249" spans="1:17">
      <c r="A249" s="1855"/>
      <c r="B249" s="1880"/>
      <c r="C249" s="1880"/>
      <c r="D249" s="1853"/>
      <c r="E249" s="1853"/>
      <c r="F249" s="1853"/>
      <c r="G249" s="1881"/>
      <c r="H249" s="1882"/>
      <c r="I249" s="1883"/>
      <c r="J249" s="1851" t="s">
        <v>525</v>
      </c>
      <c r="K249" s="1873" t="s">
        <v>658</v>
      </c>
      <c r="L249" s="1873"/>
      <c r="M249" s="1873"/>
      <c r="N249" s="1873"/>
      <c r="O249" s="1879"/>
      <c r="P249" s="1879"/>
      <c r="Q249" s="1879"/>
    </row>
    <row r="250" spans="1:17" ht="172.9" customHeight="1">
      <c r="A250" s="1855">
        <f>A241+1</f>
        <v>12</v>
      </c>
      <c r="B250" s="1856"/>
      <c r="C250" s="2527" t="s">
        <v>209</v>
      </c>
      <c r="D250" s="2528"/>
      <c r="E250" s="2528"/>
      <c r="F250" s="2528"/>
      <c r="G250" s="2528"/>
      <c r="H250" s="2528"/>
      <c r="I250" s="2528"/>
      <c r="J250" s="2528"/>
      <c r="K250" s="1851"/>
      <c r="L250" s="1851"/>
      <c r="M250" s="1851"/>
      <c r="N250" s="1851"/>
      <c r="O250" s="1879"/>
      <c r="P250" s="1879"/>
      <c r="Q250" s="1879"/>
    </row>
    <row r="251" spans="1:17">
      <c r="A251" s="1855"/>
      <c r="B251" s="1856"/>
      <c r="C251" s="1870" t="s">
        <v>3440</v>
      </c>
      <c r="D251" s="1853">
        <v>1</v>
      </c>
      <c r="E251" s="1853" t="s">
        <v>1472</v>
      </c>
      <c r="F251" s="1853">
        <v>1</v>
      </c>
      <c r="G251" s="1851">
        <f>G151</f>
        <v>9.2200000000000006</v>
      </c>
      <c r="H251" s="1851">
        <f>H151</f>
        <v>7.42</v>
      </c>
      <c r="I251" s="1851"/>
      <c r="J251" s="1851">
        <f>ROUND(D251*F251*G251*H251,2)</f>
        <v>68.41</v>
      </c>
      <c r="K251" s="1851"/>
      <c r="L251" s="1851"/>
      <c r="M251" s="1851"/>
      <c r="N251" s="1851"/>
      <c r="O251" s="1879"/>
      <c r="P251" s="1879"/>
      <c r="Q251" s="1879"/>
    </row>
    <row r="252" spans="1:17">
      <c r="A252" s="1855"/>
      <c r="B252" s="1856"/>
      <c r="C252" s="1877"/>
      <c r="D252" s="1853"/>
      <c r="E252" s="1853"/>
      <c r="F252" s="1853"/>
      <c r="G252" s="1851"/>
      <c r="H252" s="1851"/>
      <c r="I252" s="1851"/>
      <c r="J252" s="1871" t="s">
        <v>464</v>
      </c>
      <c r="K252" s="1851"/>
      <c r="L252" s="1851"/>
      <c r="M252" s="1851"/>
      <c r="N252" s="1851"/>
      <c r="O252" s="1879"/>
      <c r="P252" s="1879"/>
      <c r="Q252" s="1903"/>
    </row>
    <row r="253" spans="1:17">
      <c r="A253" s="1855"/>
      <c r="B253" s="1872"/>
      <c r="C253" s="2524" t="s">
        <v>3389</v>
      </c>
      <c r="D253" s="2524"/>
      <c r="E253" s="2524"/>
      <c r="F253" s="2524"/>
      <c r="G253" s="2524"/>
      <c r="H253" s="2524"/>
      <c r="I253" s="2524"/>
      <c r="J253" s="1851">
        <f>J251</f>
        <v>68.41</v>
      </c>
      <c r="K253" s="1873">
        <f>Datas!E867</f>
        <v>489.39799999999997</v>
      </c>
      <c r="L253" s="1873"/>
      <c r="M253" s="1873">
        <f>ROUND(K253*J253,0)</f>
        <v>33480</v>
      </c>
      <c r="N253" s="1873">
        <f>ROUND(J253*K253,0)</f>
        <v>33480</v>
      </c>
      <c r="O253" s="1866">
        <f>0.21/10*40</f>
        <v>0.83999999999999986</v>
      </c>
      <c r="P253" s="1878">
        <f>ROUND(O253*J253,2)</f>
        <v>57.46</v>
      </c>
      <c r="Q253" s="1867"/>
    </row>
    <row r="254" spans="1:17">
      <c r="A254" s="1855"/>
      <c r="B254" s="1872"/>
      <c r="C254" s="2524"/>
      <c r="D254" s="2524"/>
      <c r="E254" s="2524"/>
      <c r="F254" s="2524"/>
      <c r="G254" s="2524"/>
      <c r="H254" s="2524"/>
      <c r="I254" s="2524"/>
      <c r="J254" s="1851" t="s">
        <v>464</v>
      </c>
      <c r="K254" s="1873" t="s">
        <v>3516</v>
      </c>
      <c r="L254" s="1873"/>
      <c r="M254" s="1873"/>
      <c r="N254" s="1873"/>
      <c r="O254" s="1879"/>
      <c r="P254" s="1879"/>
      <c r="Q254" s="1879"/>
    </row>
    <row r="255" spans="1:17">
      <c r="A255" s="1850"/>
      <c r="B255" s="1880"/>
      <c r="C255" s="1880"/>
      <c r="D255" s="1880"/>
      <c r="E255" s="1880"/>
      <c r="F255" s="1880"/>
      <c r="G255" s="1850"/>
      <c r="H255" s="1850"/>
      <c r="I255" s="1850"/>
      <c r="J255" s="1886"/>
      <c r="K255" s="1880"/>
      <c r="L255" s="1880"/>
      <c r="M255" s="1880"/>
      <c r="N255" s="1880"/>
    </row>
    <row r="256" spans="1:17" ht="172.9" customHeight="1">
      <c r="A256" s="1855">
        <v>13</v>
      </c>
      <c r="B256" s="1856"/>
      <c r="C256" s="2527" t="str">
        <f>[221]Datas!C544</f>
        <v>Providing High Yield Strength Deformed (HYSD)/ Thermo Mechanically Treated (TMT) / Mild steel (MS) steel bars (Fe 415/ Fe 500 grade as per IS 1786-1979) of different diameters for RCC works , including labour charges for straightening, cutting, bending to required sizes and shapes, placing in position with cover blocks of approved materials and size and tying and lap-splicing with binding wire of 18 SWG, forming grills for reinforcement work as per approved designs and drawings, including cost and conveyance of steel bars, including all wastages such as overlaps, couplings, chairs, spacer bars including cost and conveyance of binding wire, cover blocks and all incidental, operational, labour charges such as cutting, bending, placing in position, tying including sales and other taxes on all materials etc., complete for finished item of work in all floors.( APSS No.126)</v>
      </c>
      <c r="D256" s="2528"/>
      <c r="E256" s="2528"/>
      <c r="F256" s="2528"/>
      <c r="G256" s="2528"/>
      <c r="H256" s="2528"/>
      <c r="I256" s="2528"/>
      <c r="J256" s="2528"/>
      <c r="K256" s="1851"/>
      <c r="L256" s="1851"/>
      <c r="M256" s="1851"/>
      <c r="N256" s="1851"/>
      <c r="O256" s="1879"/>
      <c r="P256" s="1879"/>
      <c r="Q256" s="1879"/>
    </row>
    <row r="257" spans="1:17" ht="24" customHeight="1">
      <c r="A257" s="1855"/>
      <c r="B257" s="1856"/>
      <c r="C257" s="1870"/>
      <c r="D257" s="1853">
        <v>1</v>
      </c>
      <c r="E257" s="1853" t="s">
        <v>1472</v>
      </c>
      <c r="F257" s="1853">
        <v>1</v>
      </c>
      <c r="G257" s="1851"/>
      <c r="H257" s="1851"/>
      <c r="I257" s="1851"/>
      <c r="J257" s="1851">
        <v>1.83</v>
      </c>
      <c r="K257" s="1851"/>
      <c r="L257" s="1851"/>
      <c r="M257" s="1851"/>
      <c r="N257" s="1851"/>
      <c r="O257" s="1879"/>
      <c r="P257" s="1879"/>
      <c r="Q257" s="1879"/>
    </row>
    <row r="258" spans="1:17" ht="17.2" customHeight="1">
      <c r="A258" s="1855"/>
      <c r="B258" s="1856"/>
      <c r="C258" s="1877"/>
      <c r="D258" s="1853"/>
      <c r="E258" s="1853"/>
      <c r="F258" s="1853"/>
      <c r="G258" s="1851"/>
      <c r="H258" s="1851"/>
      <c r="I258" s="1851"/>
      <c r="J258" s="1871" t="s">
        <v>1037</v>
      </c>
      <c r="K258" s="1851"/>
      <c r="L258" s="1851"/>
      <c r="M258" s="1851"/>
      <c r="N258" s="1851"/>
      <c r="O258" s="1879"/>
      <c r="P258" s="1879"/>
      <c r="Q258" s="1903"/>
    </row>
    <row r="259" spans="1:17" ht="21.75" customHeight="1">
      <c r="A259" s="1855"/>
      <c r="B259" s="1872"/>
      <c r="C259" s="2524" t="s">
        <v>3389</v>
      </c>
      <c r="D259" s="2524"/>
      <c r="E259" s="2524"/>
      <c r="F259" s="2524"/>
      <c r="G259" s="2524"/>
      <c r="H259" s="2524"/>
      <c r="I259" s="2524"/>
      <c r="J259" s="1851">
        <f>J257</f>
        <v>1.83</v>
      </c>
      <c r="K259" s="1873">
        <f>Datas!G584</f>
        <v>77799</v>
      </c>
      <c r="L259" s="1873"/>
      <c r="M259" s="1873">
        <f>ROUND(K259*J259,0)</f>
        <v>142372</v>
      </c>
      <c r="N259" s="1873">
        <f>ROUND(J259*K259,0)</f>
        <v>142372</v>
      </c>
      <c r="O259" s="1866">
        <f>0.21/10*40</f>
        <v>0.83999999999999986</v>
      </c>
      <c r="P259" s="1878">
        <f>ROUND(O259*J259,2)</f>
        <v>1.54</v>
      </c>
      <c r="Q259" s="1867"/>
    </row>
    <row r="260" spans="1:17">
      <c r="A260" s="1855"/>
      <c r="B260" s="1872"/>
      <c r="C260" s="2524"/>
      <c r="D260" s="2524"/>
      <c r="E260" s="2524"/>
      <c r="F260" s="2524"/>
      <c r="G260" s="2524"/>
      <c r="H260" s="2524"/>
      <c r="I260" s="2524"/>
      <c r="J260" s="1851" t="str">
        <f>J258</f>
        <v>MT</v>
      </c>
      <c r="K260" s="1873" t="s">
        <v>3441</v>
      </c>
      <c r="L260" s="1873"/>
      <c r="M260" s="1873"/>
      <c r="N260" s="1873"/>
      <c r="O260" s="1879"/>
      <c r="P260" s="1879"/>
      <c r="Q260" s="1879"/>
    </row>
    <row r="261" spans="1:17">
      <c r="A261" s="1850"/>
      <c r="B261" s="1880"/>
      <c r="C261" s="1880"/>
      <c r="D261" s="1880"/>
      <c r="E261" s="1880"/>
      <c r="F261" s="1880"/>
      <c r="G261" s="1850"/>
      <c r="H261" s="1850"/>
      <c r="I261" s="1850"/>
      <c r="J261" s="1886"/>
      <c r="K261" s="1880"/>
      <c r="L261" s="1880"/>
      <c r="M261" s="1880"/>
      <c r="N261" s="1880"/>
    </row>
    <row r="262" spans="1:17" ht="100.5" hidden="1" customHeight="1">
      <c r="A262" s="1855">
        <f>A250+1</f>
        <v>13</v>
      </c>
      <c r="B262" s="1856"/>
      <c r="C262" s="2527" t="s">
        <v>3442</v>
      </c>
      <c r="D262" s="2528"/>
      <c r="E262" s="2528"/>
      <c r="F262" s="2528"/>
      <c r="G262" s="2528"/>
      <c r="H262" s="2528"/>
      <c r="I262" s="2528"/>
      <c r="J262" s="2528"/>
      <c r="K262" s="1851"/>
      <c r="L262" s="1851"/>
      <c r="M262" s="1851"/>
      <c r="N262" s="1851"/>
      <c r="O262" s="1866"/>
      <c r="P262" s="1867"/>
      <c r="Q262" s="1867"/>
    </row>
    <row r="263" spans="1:17" ht="18.75" hidden="1" customHeight="1">
      <c r="A263" s="1855"/>
      <c r="B263" s="1856"/>
      <c r="C263" s="1899" t="s">
        <v>3443</v>
      </c>
      <c r="D263" s="1853">
        <v>1</v>
      </c>
      <c r="E263" s="1853" t="s">
        <v>1472</v>
      </c>
      <c r="F263" s="1853">
        <v>1</v>
      </c>
      <c r="G263" s="1851">
        <f>ROUND(14*0.3048,2)</f>
        <v>4.2699999999999996</v>
      </c>
      <c r="H263" s="1851">
        <f>ROUND((19.88)*0.3048,2)</f>
        <v>6.06</v>
      </c>
      <c r="I263" s="1880"/>
      <c r="J263" s="1851">
        <f t="shared" ref="J263:J268" si="6">ROUND(D263*F263*G263*H263,2)</f>
        <v>25.88</v>
      </c>
      <c r="K263" s="1851"/>
      <c r="L263" s="1851"/>
      <c r="M263" s="1851"/>
      <c r="N263" s="1851"/>
      <c r="O263" s="1866"/>
      <c r="P263" s="1867"/>
      <c r="Q263" s="1867"/>
    </row>
    <row r="264" spans="1:17" hidden="1">
      <c r="A264" s="1855"/>
      <c r="B264" s="1856"/>
      <c r="C264" s="1899" t="s">
        <v>3444</v>
      </c>
      <c r="D264" s="1853">
        <v>1</v>
      </c>
      <c r="E264" s="1853" t="s">
        <v>1472</v>
      </c>
      <c r="F264" s="1853">
        <v>1</v>
      </c>
      <c r="G264" s="1851">
        <f>ROUND((12)*0.3048,2)</f>
        <v>3.66</v>
      </c>
      <c r="H264" s="1851">
        <f>ROUND((7)*0.3048,2)</f>
        <v>2.13</v>
      </c>
      <c r="I264" s="1880"/>
      <c r="J264" s="1851">
        <f t="shared" si="6"/>
        <v>7.8</v>
      </c>
      <c r="K264" s="1851"/>
      <c r="L264" s="1851"/>
      <c r="M264" s="1851"/>
      <c r="N264" s="1851"/>
      <c r="O264" s="1866"/>
      <c r="P264" s="1867"/>
      <c r="Q264" s="1867"/>
    </row>
    <row r="265" spans="1:17" hidden="1">
      <c r="A265" s="1855"/>
      <c r="B265" s="1856"/>
      <c r="C265" s="1899" t="s">
        <v>3445</v>
      </c>
      <c r="D265" s="1853">
        <v>1</v>
      </c>
      <c r="E265" s="1853" t="s">
        <v>1472</v>
      </c>
      <c r="F265" s="1853">
        <v>1</v>
      </c>
      <c r="G265" s="1851">
        <f>ROUND((7.63)*0.3048,2)</f>
        <v>2.33</v>
      </c>
      <c r="H265" s="1851">
        <f>ROUND((7)*0.3048,2)</f>
        <v>2.13</v>
      </c>
      <c r="I265" s="1880"/>
      <c r="J265" s="1851">
        <f t="shared" si="6"/>
        <v>4.96</v>
      </c>
      <c r="K265" s="1851"/>
      <c r="L265" s="1851"/>
      <c r="M265" s="1851"/>
      <c r="N265" s="1851"/>
      <c r="O265" s="1866"/>
      <c r="P265" s="1867"/>
      <c r="Q265" s="1867"/>
    </row>
    <row r="266" spans="1:17" hidden="1">
      <c r="A266" s="1855"/>
      <c r="B266" s="1856"/>
      <c r="C266" s="1899" t="s">
        <v>3446</v>
      </c>
      <c r="D266" s="1853">
        <v>1</v>
      </c>
      <c r="E266" s="1853" t="s">
        <v>1472</v>
      </c>
      <c r="F266" s="1853">
        <v>1</v>
      </c>
      <c r="G266" s="1851">
        <f>ROUND((4)*0.3048,2)</f>
        <v>1.22</v>
      </c>
      <c r="H266" s="1851">
        <f>ROUND((7)*0.3048,2)</f>
        <v>2.13</v>
      </c>
      <c r="I266" s="1880"/>
      <c r="J266" s="1851">
        <f t="shared" si="6"/>
        <v>2.6</v>
      </c>
      <c r="K266" s="1851"/>
      <c r="L266" s="1851"/>
      <c r="M266" s="1851"/>
      <c r="N266" s="1851"/>
      <c r="O266" s="1866"/>
      <c r="P266" s="1867"/>
      <c r="Q266" s="1867"/>
    </row>
    <row r="267" spans="1:17" ht="28.2" hidden="1">
      <c r="A267" s="1855"/>
      <c r="B267" s="1856"/>
      <c r="C267" s="1877" t="s">
        <v>3447</v>
      </c>
      <c r="D267" s="1853">
        <v>1</v>
      </c>
      <c r="E267" s="1853" t="s">
        <v>1472</v>
      </c>
      <c r="F267" s="1853">
        <v>2</v>
      </c>
      <c r="G267" s="1851">
        <f>ROUND(30.25*0.3048,2)</f>
        <v>9.2200000000000006</v>
      </c>
      <c r="H267" s="1851">
        <v>0.3</v>
      </c>
      <c r="I267" s="1880"/>
      <c r="J267" s="1851">
        <f t="shared" si="6"/>
        <v>5.53</v>
      </c>
      <c r="K267" s="1851"/>
      <c r="L267" s="1851"/>
      <c r="M267" s="1851"/>
      <c r="N267" s="1851"/>
      <c r="O267" s="1866"/>
      <c r="P267" s="1867"/>
      <c r="Q267" s="1867"/>
    </row>
    <row r="268" spans="1:17" ht="17.25" hidden="1" customHeight="1">
      <c r="A268" s="1855"/>
      <c r="B268" s="1856"/>
      <c r="C268" s="1877" t="s">
        <v>3448</v>
      </c>
      <c r="D268" s="1853">
        <v>1</v>
      </c>
      <c r="E268" s="1853" t="s">
        <v>1472</v>
      </c>
      <c r="F268" s="1853">
        <v>2</v>
      </c>
      <c r="G268" s="1851">
        <f>ROUND(21.38*0.3048,2)</f>
        <v>6.52</v>
      </c>
      <c r="H268" s="1851">
        <v>0.3</v>
      </c>
      <c r="I268" s="1880"/>
      <c r="J268" s="1851">
        <f t="shared" si="6"/>
        <v>3.91</v>
      </c>
      <c r="K268" s="1851"/>
      <c r="L268" s="1851"/>
      <c r="M268" s="1851"/>
      <c r="N268" s="1851"/>
      <c r="O268" s="1866"/>
      <c r="P268" s="1867"/>
      <c r="Q268" s="1867"/>
    </row>
    <row r="269" spans="1:17" ht="24" hidden="1" customHeight="1">
      <c r="A269" s="1855"/>
      <c r="B269" s="1856"/>
      <c r="C269" s="1877"/>
      <c r="D269" s="1853"/>
      <c r="E269" s="1853"/>
      <c r="F269" s="1853"/>
      <c r="G269" s="1851"/>
      <c r="H269" s="1851"/>
      <c r="I269" s="1851"/>
      <c r="J269" s="1871">
        <f>SUM(J263:J268)</f>
        <v>50.680000000000007</v>
      </c>
      <c r="K269" s="1851"/>
      <c r="L269" s="1851"/>
      <c r="M269" s="1851"/>
      <c r="N269" s="1851"/>
      <c r="O269" s="1866"/>
      <c r="P269" s="1867"/>
      <c r="Q269" s="1867"/>
    </row>
    <row r="270" spans="1:17" ht="17.2" hidden="1" customHeight="1">
      <c r="A270" s="1855"/>
      <c r="B270" s="1856"/>
      <c r="C270" s="1877"/>
      <c r="D270" s="1904"/>
      <c r="E270" s="1904"/>
      <c r="F270" s="1853"/>
      <c r="G270" s="1851"/>
      <c r="H270" s="1851"/>
      <c r="I270" s="1851"/>
      <c r="J270" s="1871" t="s">
        <v>1478</v>
      </c>
      <c r="K270" s="1851"/>
      <c r="L270" s="1851"/>
      <c r="M270" s="1851"/>
      <c r="N270" s="1851"/>
      <c r="O270" s="1866"/>
      <c r="P270" s="1867"/>
      <c r="Q270" s="1867"/>
    </row>
    <row r="271" spans="1:17" ht="21.75" hidden="1" customHeight="1">
      <c r="A271" s="1855"/>
      <c r="B271" s="1872"/>
      <c r="C271" s="2524" t="s">
        <v>3389</v>
      </c>
      <c r="D271" s="2524"/>
      <c r="E271" s="2524"/>
      <c r="F271" s="2524"/>
      <c r="G271" s="2524"/>
      <c r="H271" s="2524"/>
      <c r="I271" s="2524"/>
      <c r="J271" s="1851">
        <v>0</v>
      </c>
      <c r="K271" s="1873">
        <f>[221]Datas!E625</f>
        <v>1396.87</v>
      </c>
      <c r="L271" s="1873"/>
      <c r="M271" s="1873">
        <f>ROUND(K271*J271/10,0)</f>
        <v>0</v>
      </c>
      <c r="N271" s="1873">
        <f>SUM(L271:M271)</f>
        <v>0</v>
      </c>
      <c r="O271" s="1866">
        <f>0.15*40/10</f>
        <v>0.6</v>
      </c>
      <c r="P271" s="1878">
        <f>ROUND(O271*J271,2)</f>
        <v>0</v>
      </c>
      <c r="Q271" s="1867"/>
    </row>
    <row r="272" spans="1:17" hidden="1">
      <c r="A272" s="1855"/>
      <c r="B272" s="1880"/>
      <c r="C272" s="1880"/>
      <c r="D272" s="1880"/>
      <c r="E272" s="1880"/>
      <c r="F272" s="1883"/>
      <c r="G272" s="1880"/>
      <c r="H272" s="1880"/>
      <c r="I272" s="1880"/>
      <c r="J272" s="1851" t="s">
        <v>1478</v>
      </c>
      <c r="K272" s="1873" t="s">
        <v>672</v>
      </c>
      <c r="L272" s="1873"/>
      <c r="M272" s="1873"/>
      <c r="N272" s="1873"/>
      <c r="O272" s="1866"/>
      <c r="P272" s="1867"/>
      <c r="Q272" s="1867"/>
    </row>
    <row r="273" spans="1:17" hidden="1">
      <c r="A273" s="1855"/>
      <c r="B273" s="1880"/>
      <c r="C273" s="1880"/>
      <c r="D273" s="1880"/>
      <c r="E273" s="1880"/>
      <c r="F273" s="1883"/>
      <c r="G273" s="1880"/>
      <c r="H273" s="1880"/>
      <c r="I273" s="1880"/>
      <c r="J273" s="1884"/>
      <c r="K273" s="1873"/>
      <c r="L273" s="1873"/>
      <c r="M273" s="1873"/>
      <c r="N273" s="1873"/>
      <c r="O273" s="1866"/>
      <c r="P273" s="1867"/>
      <c r="Q273" s="1867"/>
    </row>
    <row r="274" spans="1:17" ht="130.9" hidden="1" customHeight="1">
      <c r="A274" s="1855">
        <f>A262+1</f>
        <v>14</v>
      </c>
      <c r="B274" s="1856"/>
      <c r="C274" s="2527" t="s">
        <v>3449</v>
      </c>
      <c r="D274" s="2528"/>
      <c r="E274" s="2528"/>
      <c r="F274" s="2528"/>
      <c r="G274" s="2528"/>
      <c r="H274" s="2528"/>
      <c r="I274" s="2528"/>
      <c r="J274" s="2528"/>
      <c r="K274" s="1851"/>
      <c r="L274" s="1851"/>
      <c r="M274" s="1851"/>
      <c r="N274" s="1851"/>
      <c r="O274" s="1866"/>
      <c r="P274" s="1867"/>
      <c r="Q274" s="1867"/>
    </row>
    <row r="275" spans="1:17" hidden="1">
      <c r="A275" s="1855"/>
      <c r="B275" s="1856"/>
      <c r="C275" s="1859" t="s">
        <v>3450</v>
      </c>
      <c r="D275" s="1880"/>
      <c r="E275" s="1880"/>
      <c r="F275" s="1880"/>
      <c r="G275" s="1874"/>
      <c r="H275" s="1874"/>
      <c r="I275" s="1874"/>
      <c r="J275" s="1874"/>
      <c r="K275" s="1851"/>
      <c r="L275" s="1851"/>
      <c r="M275" s="1851"/>
      <c r="N275" s="1851"/>
      <c r="O275" s="1866"/>
      <c r="P275" s="1867"/>
      <c r="Q275" s="1867"/>
    </row>
    <row r="276" spans="1:17" ht="18" hidden="1" customHeight="1">
      <c r="A276" s="1855"/>
      <c r="B276" s="1856"/>
      <c r="C276" s="1899" t="s">
        <v>3451</v>
      </c>
      <c r="D276" s="1853">
        <v>1</v>
      </c>
      <c r="E276" s="1853" t="s">
        <v>1472</v>
      </c>
      <c r="F276" s="1853">
        <v>1</v>
      </c>
      <c r="G276" s="1851">
        <f>ROUND((14+19.88)*0.3048*2,2)</f>
        <v>20.65</v>
      </c>
      <c r="H276" s="1851">
        <v>3.05</v>
      </c>
      <c r="I276" s="1851"/>
      <c r="J276" s="1851">
        <f t="shared" ref="J276:J281" si="7">ROUND(D276*F276*G276*H276,2)</f>
        <v>62.98</v>
      </c>
      <c r="K276" s="1851"/>
      <c r="L276" s="1851"/>
      <c r="M276" s="1851"/>
      <c r="N276" s="1851"/>
      <c r="O276" s="1866"/>
      <c r="P276" s="1867"/>
      <c r="Q276" s="1867"/>
    </row>
    <row r="277" spans="1:17" hidden="1">
      <c r="A277" s="1855"/>
      <c r="B277" s="1856"/>
      <c r="C277" s="1899" t="s">
        <v>3452</v>
      </c>
      <c r="D277" s="1853">
        <v>1</v>
      </c>
      <c r="E277" s="1853" t="s">
        <v>1472</v>
      </c>
      <c r="F277" s="1853">
        <v>1</v>
      </c>
      <c r="G277" s="1851">
        <f>ROUND((12+7)*0.3048*2,2)</f>
        <v>11.58</v>
      </c>
      <c r="H277" s="1851">
        <v>3.05</v>
      </c>
      <c r="I277" s="1851"/>
      <c r="J277" s="1851">
        <f t="shared" si="7"/>
        <v>35.32</v>
      </c>
      <c r="K277" s="1851"/>
      <c r="L277" s="1851"/>
      <c r="M277" s="1851"/>
      <c r="N277" s="1851"/>
      <c r="O277" s="1866"/>
      <c r="P277" s="1867"/>
      <c r="Q277" s="1867"/>
    </row>
    <row r="278" spans="1:17" hidden="1">
      <c r="A278" s="1855"/>
      <c r="B278" s="1856"/>
      <c r="C278" s="1899" t="s">
        <v>3453</v>
      </c>
      <c r="D278" s="1853">
        <v>1</v>
      </c>
      <c r="E278" s="1853" t="s">
        <v>1472</v>
      </c>
      <c r="F278" s="1853">
        <v>1</v>
      </c>
      <c r="G278" s="1851">
        <f>ROUND((7.63+7)*0.3048*2,2)</f>
        <v>8.92</v>
      </c>
      <c r="H278" s="1851">
        <v>3.05</v>
      </c>
      <c r="I278" s="1851"/>
      <c r="J278" s="1851">
        <f t="shared" si="7"/>
        <v>27.21</v>
      </c>
      <c r="K278" s="1851"/>
      <c r="L278" s="1851"/>
      <c r="M278" s="1851"/>
      <c r="N278" s="1851"/>
      <c r="O278" s="1866"/>
      <c r="P278" s="1867"/>
      <c r="Q278" s="1867"/>
    </row>
    <row r="279" spans="1:17" hidden="1">
      <c r="A279" s="1855"/>
      <c r="B279" s="1856"/>
      <c r="C279" s="1899" t="s">
        <v>3446</v>
      </c>
      <c r="D279" s="1853">
        <v>1</v>
      </c>
      <c r="E279" s="1853" t="s">
        <v>1472</v>
      </c>
      <c r="F279" s="1853">
        <v>1</v>
      </c>
      <c r="G279" s="1851">
        <f>ROUND((4+7)*0.3048*2,2)</f>
        <v>6.71</v>
      </c>
      <c r="H279" s="1851">
        <v>3.05</v>
      </c>
      <c r="I279" s="1851"/>
      <c r="J279" s="1851">
        <f t="shared" si="7"/>
        <v>20.47</v>
      </c>
      <c r="K279" s="1851"/>
      <c r="L279" s="1851"/>
      <c r="M279" s="1851"/>
      <c r="N279" s="1851"/>
      <c r="O279" s="1866"/>
      <c r="P279" s="1867"/>
      <c r="Q279" s="1867"/>
    </row>
    <row r="280" spans="1:17" hidden="1">
      <c r="A280" s="1855"/>
      <c r="B280" s="1856"/>
      <c r="C280" s="1899" t="s">
        <v>3454</v>
      </c>
      <c r="D280" s="1853">
        <v>1</v>
      </c>
      <c r="E280" s="1853" t="s">
        <v>1472</v>
      </c>
      <c r="F280" s="1853">
        <v>1</v>
      </c>
      <c r="G280" s="1851">
        <f>ROUND((12+5)*0.3048,2)</f>
        <v>5.18</v>
      </c>
      <c r="H280" s="1851">
        <v>3.05</v>
      </c>
      <c r="I280" s="1851"/>
      <c r="J280" s="1851">
        <f t="shared" si="7"/>
        <v>15.8</v>
      </c>
      <c r="K280" s="1851"/>
      <c r="L280" s="1851"/>
      <c r="M280" s="1851"/>
      <c r="N280" s="1851"/>
      <c r="O280" s="1866"/>
      <c r="P280" s="1867"/>
      <c r="Q280" s="1867"/>
    </row>
    <row r="281" spans="1:17" ht="28.2" hidden="1">
      <c r="A281" s="1855"/>
      <c r="B281" s="1856"/>
      <c r="C281" s="1899" t="s">
        <v>3432</v>
      </c>
      <c r="D281" s="1853">
        <v>2</v>
      </c>
      <c r="E281" s="1853" t="s">
        <v>1472</v>
      </c>
      <c r="F281" s="1853">
        <v>2</v>
      </c>
      <c r="G281" s="1851">
        <v>0.6</v>
      </c>
      <c r="H281" s="1851">
        <v>0.75</v>
      </c>
      <c r="I281" s="1851"/>
      <c r="J281" s="1851">
        <f t="shared" si="7"/>
        <v>1.8</v>
      </c>
      <c r="K281" s="1851"/>
      <c r="L281" s="1851"/>
      <c r="M281" s="1851"/>
      <c r="N281" s="1851"/>
      <c r="O281" s="1866"/>
      <c r="P281" s="1867"/>
      <c r="Q281" s="1867"/>
    </row>
    <row r="282" spans="1:17" ht="24" hidden="1" customHeight="1">
      <c r="A282" s="1855"/>
      <c r="B282" s="1856"/>
      <c r="C282" s="1905"/>
      <c r="D282" s="1853"/>
      <c r="E282" s="1853"/>
      <c r="F282" s="1853"/>
      <c r="G282" s="1851"/>
      <c r="H282" s="1851"/>
      <c r="I282" s="1851"/>
      <c r="J282" s="1851">
        <f>SUM(J276:J281)</f>
        <v>163.58000000000001</v>
      </c>
      <c r="K282" s="1851"/>
      <c r="L282" s="1851"/>
      <c r="M282" s="1851"/>
      <c r="N282" s="1851"/>
      <c r="O282" s="1866"/>
      <c r="P282" s="1867"/>
      <c r="Q282" s="1867"/>
    </row>
    <row r="283" spans="1:17" ht="21.75" hidden="1" customHeight="1">
      <c r="A283" s="1855"/>
      <c r="B283" s="1856"/>
      <c r="C283" s="1859" t="s">
        <v>675</v>
      </c>
      <c r="D283" s="1853"/>
      <c r="E283" s="1853"/>
      <c r="F283" s="1853"/>
      <c r="G283" s="1851"/>
      <c r="H283" s="1851"/>
      <c r="I283" s="1851"/>
      <c r="J283" s="1851"/>
      <c r="K283" s="1851"/>
      <c r="L283" s="1851"/>
      <c r="M283" s="1851"/>
      <c r="N283" s="1851"/>
      <c r="O283" s="1866"/>
      <c r="P283" s="1867"/>
      <c r="Q283" s="1867"/>
    </row>
    <row r="284" spans="1:17" hidden="1">
      <c r="A284" s="1855"/>
      <c r="B284" s="1856"/>
      <c r="C284" s="1899" t="s">
        <v>116</v>
      </c>
      <c r="D284" s="1853">
        <v>1</v>
      </c>
      <c r="E284" s="1853" t="s">
        <v>1472</v>
      </c>
      <c r="F284" s="1853">
        <v>2</v>
      </c>
      <c r="G284" s="1851">
        <v>1.05</v>
      </c>
      <c r="H284" s="1851"/>
      <c r="I284" s="1851">
        <v>2.1</v>
      </c>
      <c r="J284" s="1851">
        <f>ROUND(D284*F284*G284*I284,2)</f>
        <v>4.41</v>
      </c>
      <c r="K284" s="1851"/>
      <c r="L284" s="1851"/>
      <c r="M284" s="1851"/>
      <c r="N284" s="1851"/>
      <c r="O284" s="1866"/>
      <c r="P284" s="1867"/>
      <c r="Q284" s="1867"/>
    </row>
    <row r="285" spans="1:17" ht="18" hidden="1" customHeight="1">
      <c r="A285" s="1855"/>
      <c r="B285" s="1856"/>
      <c r="C285" s="1899" t="s">
        <v>2801</v>
      </c>
      <c r="D285" s="1853">
        <v>1</v>
      </c>
      <c r="E285" s="1853" t="s">
        <v>1472</v>
      </c>
      <c r="F285" s="1853">
        <v>2</v>
      </c>
      <c r="G285" s="1851">
        <v>0.9</v>
      </c>
      <c r="H285" s="1851"/>
      <c r="I285" s="1851">
        <v>2.1</v>
      </c>
      <c r="J285" s="1851">
        <f>ROUND(D285*F285*G285*I285,2)</f>
        <v>3.78</v>
      </c>
      <c r="K285" s="1851"/>
      <c r="L285" s="1851"/>
      <c r="M285" s="1851"/>
      <c r="N285" s="1851"/>
      <c r="O285" s="1866"/>
      <c r="P285" s="1867"/>
      <c r="Q285" s="1867"/>
    </row>
    <row r="286" spans="1:17" ht="18" hidden="1" customHeight="1">
      <c r="A286" s="1855"/>
      <c r="B286" s="1856"/>
      <c r="C286" s="1899" t="s">
        <v>3455</v>
      </c>
      <c r="D286" s="1853">
        <v>1</v>
      </c>
      <c r="E286" s="1853" t="s">
        <v>1472</v>
      </c>
      <c r="F286" s="1853">
        <v>4</v>
      </c>
      <c r="G286" s="1851">
        <v>1.2</v>
      </c>
      <c r="H286" s="1851"/>
      <c r="I286" s="1851">
        <v>1.2</v>
      </c>
      <c r="J286" s="1851">
        <f>ROUND(D286*F286*G286*I286,2)</f>
        <v>5.76</v>
      </c>
      <c r="K286" s="1851"/>
      <c r="L286" s="1851"/>
      <c r="M286" s="1851"/>
      <c r="N286" s="1851"/>
      <c r="O286" s="1866"/>
      <c r="P286" s="1867"/>
      <c r="Q286" s="1867"/>
    </row>
    <row r="287" spans="1:17" ht="18" hidden="1" customHeight="1">
      <c r="A287" s="1855"/>
      <c r="B287" s="1856"/>
      <c r="C287" s="1899" t="s">
        <v>3455</v>
      </c>
      <c r="D287" s="1853">
        <v>1</v>
      </c>
      <c r="E287" s="1853" t="s">
        <v>1472</v>
      </c>
      <c r="F287" s="1853">
        <v>1</v>
      </c>
      <c r="G287" s="1851">
        <v>1.2</v>
      </c>
      <c r="H287" s="1851"/>
      <c r="I287" s="1851">
        <v>0.75</v>
      </c>
      <c r="J287" s="1851">
        <f>ROUND(D287*F287*G287*I287,2)</f>
        <v>0.9</v>
      </c>
      <c r="K287" s="1851"/>
      <c r="L287" s="1851"/>
      <c r="M287" s="1851"/>
      <c r="N287" s="1851"/>
      <c r="O287" s="1866"/>
      <c r="P287" s="1867"/>
      <c r="Q287" s="1867"/>
    </row>
    <row r="288" spans="1:17" ht="18" hidden="1" customHeight="1">
      <c r="A288" s="1855"/>
      <c r="B288" s="1856"/>
      <c r="C288" s="1899" t="s">
        <v>83</v>
      </c>
      <c r="D288" s="1853">
        <v>1</v>
      </c>
      <c r="E288" s="1853" t="s">
        <v>1472</v>
      </c>
      <c r="F288" s="1853">
        <v>7</v>
      </c>
      <c r="G288" s="1851">
        <v>0.6</v>
      </c>
      <c r="H288" s="1851"/>
      <c r="I288" s="1851">
        <v>0.3</v>
      </c>
      <c r="J288" s="1851">
        <f>ROUND(D288*F288*G288*I288,2)</f>
        <v>1.26</v>
      </c>
      <c r="K288" s="1851"/>
      <c r="L288" s="1851"/>
      <c r="M288" s="1851"/>
      <c r="N288" s="1851"/>
      <c r="O288" s="1866"/>
      <c r="P288" s="1867"/>
      <c r="Q288" s="1867"/>
    </row>
    <row r="289" spans="1:17" hidden="1">
      <c r="A289" s="1855"/>
      <c r="B289" s="1856"/>
      <c r="C289" s="1887"/>
      <c r="D289" s="1853"/>
      <c r="E289" s="1853"/>
      <c r="F289" s="1853"/>
      <c r="G289" s="1851"/>
      <c r="H289" s="1851"/>
      <c r="I289" s="1851"/>
      <c r="J289" s="1851">
        <f>SUM(J284:J288)</f>
        <v>16.11</v>
      </c>
      <c r="K289" s="1851"/>
      <c r="L289" s="1851"/>
      <c r="M289" s="1851"/>
      <c r="N289" s="1851"/>
      <c r="O289" s="1866"/>
      <c r="P289" s="1867"/>
      <c r="Q289" s="1867"/>
    </row>
    <row r="290" spans="1:17" ht="24" hidden="1" customHeight="1">
      <c r="A290" s="1855"/>
      <c r="B290" s="1856"/>
      <c r="C290" s="1887"/>
      <c r="D290" s="1853"/>
      <c r="E290" s="1853"/>
      <c r="F290" s="1853"/>
      <c r="G290" s="1851"/>
      <c r="H290" s="1851"/>
      <c r="I290" s="1851"/>
      <c r="J290" s="1871">
        <f>J282-J289</f>
        <v>147.47000000000003</v>
      </c>
      <c r="K290" s="1851"/>
      <c r="L290" s="1851"/>
      <c r="M290" s="1851"/>
      <c r="N290" s="1851"/>
      <c r="O290" s="1866"/>
      <c r="P290" s="1867"/>
      <c r="Q290" s="1867"/>
    </row>
    <row r="291" spans="1:17" ht="17.2" hidden="1" customHeight="1">
      <c r="A291" s="1855"/>
      <c r="B291" s="1856"/>
      <c r="C291" s="1877"/>
      <c r="D291" s="1904"/>
      <c r="E291" s="1904"/>
      <c r="F291" s="1853"/>
      <c r="G291" s="1851"/>
      <c r="H291" s="1851"/>
      <c r="I291" s="1851"/>
      <c r="J291" s="1871" t="s">
        <v>1478</v>
      </c>
      <c r="K291" s="1851"/>
      <c r="L291" s="1851"/>
      <c r="M291" s="1851"/>
      <c r="N291" s="1851"/>
      <c r="O291" s="1866"/>
      <c r="P291" s="1867"/>
      <c r="Q291" s="1867"/>
    </row>
    <row r="292" spans="1:17" ht="21.75" hidden="1" customHeight="1">
      <c r="A292" s="1855"/>
      <c r="B292" s="1872"/>
      <c r="C292" s="2524" t="s">
        <v>3389</v>
      </c>
      <c r="D292" s="2524"/>
      <c r="E292" s="2524"/>
      <c r="F292" s="2524"/>
      <c r="G292" s="2524"/>
      <c r="H292" s="2524"/>
      <c r="I292" s="2524"/>
      <c r="J292" s="1851">
        <v>0</v>
      </c>
      <c r="K292" s="1873">
        <f>[221]Datas!E652</f>
        <v>4029.98</v>
      </c>
      <c r="L292" s="1873"/>
      <c r="M292" s="1873">
        <f>ROUND(K292*J292/10,0)</f>
        <v>0</v>
      </c>
      <c r="N292" s="1873">
        <f>SUM(L292:M292)</f>
        <v>0</v>
      </c>
      <c r="O292" s="1866">
        <v>0.6</v>
      </c>
      <c r="P292" s="1878">
        <f>ROUND(O292*J292,2)</f>
        <v>0</v>
      </c>
      <c r="Q292" s="1867"/>
    </row>
    <row r="293" spans="1:17" hidden="1">
      <c r="A293" s="1855"/>
      <c r="B293" s="1880"/>
      <c r="C293" s="1880"/>
      <c r="D293" s="1880"/>
      <c r="E293" s="1880"/>
      <c r="F293" s="1883"/>
      <c r="G293" s="1880"/>
      <c r="H293" s="1880"/>
      <c r="I293" s="1880"/>
      <c r="J293" s="1851" t="s">
        <v>1478</v>
      </c>
      <c r="K293" s="1873" t="s">
        <v>672</v>
      </c>
      <c r="L293" s="1873"/>
      <c r="M293" s="1873"/>
      <c r="N293" s="1873"/>
      <c r="O293" s="1866"/>
      <c r="P293" s="1867"/>
      <c r="Q293" s="1867"/>
    </row>
    <row r="294" spans="1:17" hidden="1">
      <c r="A294" s="1855"/>
      <c r="B294" s="1880"/>
      <c r="C294" s="1880"/>
      <c r="D294" s="1880"/>
      <c r="E294" s="1880"/>
      <c r="F294" s="1883"/>
      <c r="G294" s="1880"/>
      <c r="H294" s="1880"/>
      <c r="I294" s="1880"/>
      <c r="J294" s="1884"/>
      <c r="K294" s="1873"/>
      <c r="L294" s="1873"/>
      <c r="M294" s="1873"/>
      <c r="N294" s="1873"/>
      <c r="O294" s="1866"/>
      <c r="P294" s="1867"/>
      <c r="Q294" s="1867"/>
    </row>
    <row r="295" spans="1:17" ht="185.4" customHeight="1">
      <c r="A295" s="1855">
        <v>14</v>
      </c>
      <c r="B295" s="1856"/>
      <c r="C295" s="2527" t="s">
        <v>3456</v>
      </c>
      <c r="D295" s="2528"/>
      <c r="E295" s="2528"/>
      <c r="F295" s="2528"/>
      <c r="G295" s="2528"/>
      <c r="H295" s="2528"/>
      <c r="I295" s="2528"/>
      <c r="J295" s="2528"/>
      <c r="K295" s="1851"/>
      <c r="L295" s="1851"/>
      <c r="M295" s="1851"/>
      <c r="N295" s="1851"/>
      <c r="O295" s="1866"/>
      <c r="P295" s="1867"/>
      <c r="Q295" s="1867"/>
    </row>
    <row r="296" spans="1:17">
      <c r="A296" s="1855"/>
      <c r="B296" s="1872"/>
      <c r="C296" s="1859" t="s">
        <v>3457</v>
      </c>
      <c r="D296" s="1853">
        <v>1</v>
      </c>
      <c r="E296" s="1853" t="s">
        <v>1472</v>
      </c>
      <c r="F296" s="1853">
        <v>2</v>
      </c>
      <c r="G296" s="1851"/>
      <c r="H296" s="1851"/>
      <c r="I296" s="1851"/>
      <c r="J296" s="1851">
        <f>F296</f>
        <v>2</v>
      </c>
      <c r="K296" s="1851"/>
      <c r="L296" s="1851"/>
      <c r="M296" s="1873"/>
      <c r="N296" s="1894"/>
      <c r="O296" s="1866"/>
      <c r="P296" s="1867"/>
      <c r="Q296" s="1890"/>
    </row>
    <row r="297" spans="1:17" ht="27" customHeight="1">
      <c r="A297" s="1855"/>
      <c r="B297" s="1872"/>
      <c r="C297" s="2524" t="s">
        <v>3389</v>
      </c>
      <c r="D297" s="2524"/>
      <c r="E297" s="2524"/>
      <c r="F297" s="2524"/>
      <c r="G297" s="2524"/>
      <c r="H297" s="2524"/>
      <c r="I297" s="2524"/>
      <c r="J297" s="1871">
        <f>J296</f>
        <v>2</v>
      </c>
      <c r="K297" s="1851">
        <f>' Doors window-Country Wood '!J133</f>
        <v>3358.4500000000003</v>
      </c>
      <c r="L297" s="1873"/>
      <c r="M297" s="1873">
        <f>ROUND(K297*J297,0)</f>
        <v>6717</v>
      </c>
      <c r="N297" s="1873">
        <f>ROUND(J297*K297,0)</f>
        <v>6717</v>
      </c>
      <c r="O297" s="1866"/>
      <c r="P297" s="1878"/>
      <c r="Q297" s="1867"/>
    </row>
    <row r="298" spans="1:17">
      <c r="A298" s="1855"/>
      <c r="B298" s="1872"/>
      <c r="C298" s="1877"/>
      <c r="D298" s="1853"/>
      <c r="E298" s="1853"/>
      <c r="F298" s="1853"/>
      <c r="G298" s="1851"/>
      <c r="H298" s="1851"/>
      <c r="I298" s="1851"/>
      <c r="J298" s="1851" t="s">
        <v>472</v>
      </c>
      <c r="K298" s="1873" t="s">
        <v>473</v>
      </c>
      <c r="L298" s="1873"/>
      <c r="M298" s="1873"/>
      <c r="N298" s="1873"/>
      <c r="O298" s="1866"/>
      <c r="P298" s="1867"/>
      <c r="Q298" s="1867"/>
    </row>
    <row r="299" spans="1:17">
      <c r="A299" s="1855"/>
      <c r="B299" s="1872"/>
      <c r="C299" s="1877"/>
      <c r="D299" s="1853"/>
      <c r="E299" s="1853"/>
      <c r="F299" s="1853"/>
      <c r="G299" s="1851"/>
      <c r="H299" s="1851"/>
      <c r="I299" s="1851"/>
      <c r="J299" s="1884"/>
      <c r="K299" s="1873"/>
      <c r="L299" s="1873"/>
      <c r="M299" s="1873"/>
      <c r="N299" s="1873"/>
      <c r="O299" s="1866"/>
      <c r="P299" s="1867"/>
      <c r="Q299" s="1867"/>
    </row>
    <row r="300" spans="1:17">
      <c r="A300" s="1855"/>
      <c r="B300" s="1872"/>
      <c r="C300" s="1877"/>
      <c r="D300" s="1853"/>
      <c r="E300" s="1853"/>
      <c r="F300" s="1853"/>
      <c r="G300" s="1851"/>
      <c r="H300" s="1851"/>
      <c r="I300" s="1851"/>
      <c r="J300" s="1884"/>
      <c r="K300" s="1873"/>
      <c r="L300" s="1873"/>
      <c r="M300" s="1873"/>
      <c r="N300" s="1873"/>
      <c r="O300" s="1866"/>
      <c r="P300" s="1867"/>
      <c r="Q300" s="1867"/>
    </row>
    <row r="301" spans="1:17" ht="165.7" customHeight="1">
      <c r="A301" s="1855">
        <v>15</v>
      </c>
      <c r="B301" s="1856"/>
      <c r="C301" s="2526" t="s">
        <v>3458</v>
      </c>
      <c r="D301" s="2529"/>
      <c r="E301" s="2529"/>
      <c r="F301" s="2529"/>
      <c r="G301" s="2529"/>
      <c r="H301" s="2529"/>
      <c r="I301" s="2529"/>
      <c r="J301" s="2529"/>
      <c r="K301" s="1851"/>
      <c r="L301" s="1851"/>
      <c r="M301" s="1851"/>
      <c r="N301" s="1851"/>
      <c r="O301" s="1906"/>
      <c r="P301" s="1906"/>
      <c r="Q301" s="1906"/>
    </row>
    <row r="302" spans="1:17" ht="22.8">
      <c r="A302" s="1855"/>
      <c r="B302" s="1872"/>
      <c r="C302" s="1907" t="s">
        <v>3459</v>
      </c>
      <c r="D302" s="1853">
        <v>1</v>
      </c>
      <c r="E302" s="1853" t="s">
        <v>1472</v>
      </c>
      <c r="F302" s="1853">
        <v>2</v>
      </c>
      <c r="G302" s="1851"/>
      <c r="H302" s="1851"/>
      <c r="I302" s="1851"/>
      <c r="J302" s="1851">
        <f>F302</f>
        <v>2</v>
      </c>
      <c r="K302" s="1851"/>
      <c r="L302" s="1851"/>
      <c r="M302" s="1873"/>
      <c r="N302" s="1894"/>
      <c r="O302" s="1906"/>
      <c r="P302" s="1906"/>
      <c r="Q302" s="1906"/>
    </row>
    <row r="303" spans="1:17" ht="31.5" customHeight="1">
      <c r="A303" s="1855"/>
      <c r="B303" s="1872"/>
      <c r="C303" s="2524" t="s">
        <v>3389</v>
      </c>
      <c r="D303" s="2524"/>
      <c r="E303" s="2524"/>
      <c r="F303" s="2524"/>
      <c r="G303" s="2524"/>
      <c r="H303" s="2524"/>
      <c r="I303" s="2524"/>
      <c r="J303" s="1871">
        <f>J302</f>
        <v>2</v>
      </c>
      <c r="K303" s="1851">
        <f>' Doors window-Country Wood '!J97</f>
        <v>3343.033512</v>
      </c>
      <c r="L303" s="1873"/>
      <c r="M303" s="1873">
        <f>ROUND(K303*J303,0)</f>
        <v>6686</v>
      </c>
      <c r="N303" s="1873">
        <f>ROUND(J303*K303,0)</f>
        <v>6686</v>
      </c>
      <c r="O303" s="1906"/>
      <c r="P303" s="1906"/>
      <c r="Q303" s="1906"/>
    </row>
    <row r="304" spans="1:17">
      <c r="A304" s="1855"/>
      <c r="B304" s="1872"/>
      <c r="C304" s="1877"/>
      <c r="D304" s="1853"/>
      <c r="E304" s="1853"/>
      <c r="F304" s="1853"/>
      <c r="G304" s="1851"/>
      <c r="H304" s="1851"/>
      <c r="I304" s="1851"/>
      <c r="J304" s="1851" t="s">
        <v>472</v>
      </c>
      <c r="K304" s="1873" t="s">
        <v>473</v>
      </c>
      <c r="L304" s="1873"/>
      <c r="M304" s="1873"/>
      <c r="N304" s="1873"/>
      <c r="O304" s="1906"/>
      <c r="P304" s="1906"/>
      <c r="Q304" s="1906"/>
    </row>
    <row r="305" spans="1:17" ht="118.9" customHeight="1">
      <c r="A305" s="1855">
        <v>16</v>
      </c>
      <c r="B305" s="1856"/>
      <c r="C305" s="2526" t="s">
        <v>3460</v>
      </c>
      <c r="D305" s="2529"/>
      <c r="E305" s="2529"/>
      <c r="F305" s="2529"/>
      <c r="G305" s="2529"/>
      <c r="H305" s="2529"/>
      <c r="I305" s="2529"/>
      <c r="J305" s="2529"/>
      <c r="K305" s="1851"/>
      <c r="L305" s="1851"/>
      <c r="M305" s="1851"/>
      <c r="N305" s="1851"/>
      <c r="O305" s="1866"/>
      <c r="P305" s="1867"/>
      <c r="Q305" s="1867"/>
    </row>
    <row r="306" spans="1:17" ht="27.75" customHeight="1">
      <c r="A306" s="1855"/>
      <c r="B306" s="1872"/>
      <c r="C306" s="1899" t="s">
        <v>3541</v>
      </c>
      <c r="D306" s="1853">
        <v>1</v>
      </c>
      <c r="E306" s="1853" t="s">
        <v>1472</v>
      </c>
      <c r="F306" s="1853">
        <v>4</v>
      </c>
      <c r="G306" s="1851">
        <v>1.2</v>
      </c>
      <c r="H306" s="1851"/>
      <c r="I306" s="1851">
        <v>1.2</v>
      </c>
      <c r="J306" s="1851">
        <f>F306</f>
        <v>4</v>
      </c>
      <c r="K306" s="1851"/>
      <c r="L306" s="1851"/>
      <c r="M306" s="1873"/>
      <c r="N306" s="1871"/>
      <c r="O306" s="1866"/>
      <c r="P306" s="1867"/>
      <c r="Q306" s="1890"/>
    </row>
    <row r="307" spans="1:17" ht="25.9" customHeight="1">
      <c r="A307" s="1855"/>
      <c r="B307" s="1872"/>
      <c r="C307" s="2524" t="s">
        <v>3389</v>
      </c>
      <c r="D307" s="2524"/>
      <c r="E307" s="2524"/>
      <c r="F307" s="2524"/>
      <c r="G307" s="2524"/>
      <c r="H307" s="2524"/>
      <c r="I307" s="2524"/>
      <c r="J307" s="1871">
        <f>J306</f>
        <v>4</v>
      </c>
      <c r="K307" s="1851">
        <f>' Doors window-Country Wood '!J313</f>
        <v>4457.1271999999999</v>
      </c>
      <c r="L307" s="1873"/>
      <c r="M307" s="1873">
        <f>ROUND(K307*J307,0)</f>
        <v>17829</v>
      </c>
      <c r="N307" s="1873">
        <f>ROUND(J307*K307,0)</f>
        <v>17829</v>
      </c>
      <c r="O307" s="1866"/>
      <c r="P307" s="1878"/>
      <c r="Q307" s="1867"/>
    </row>
    <row r="308" spans="1:17">
      <c r="A308" s="1855"/>
      <c r="B308" s="1872"/>
      <c r="C308" s="1877"/>
      <c r="D308" s="1853"/>
      <c r="E308" s="1853"/>
      <c r="F308" s="1853"/>
      <c r="G308" s="1851"/>
      <c r="H308" s="1851"/>
      <c r="I308" s="1851"/>
      <c r="J308" s="1851" t="s">
        <v>472</v>
      </c>
      <c r="K308" s="1873" t="s">
        <v>473</v>
      </c>
      <c r="L308" s="1873"/>
      <c r="M308" s="1873"/>
      <c r="N308" s="1873"/>
      <c r="O308" s="1866"/>
      <c r="P308" s="1867"/>
      <c r="Q308" s="1867"/>
    </row>
    <row r="309" spans="1:17">
      <c r="A309" s="1855"/>
      <c r="B309" s="1872"/>
      <c r="C309" s="1877"/>
      <c r="D309" s="1853"/>
      <c r="E309" s="1853"/>
      <c r="F309" s="1853"/>
      <c r="G309" s="1851"/>
      <c r="H309" s="1851"/>
      <c r="I309" s="1851"/>
      <c r="J309" s="1884"/>
      <c r="K309" s="1873"/>
      <c r="L309" s="1873"/>
      <c r="M309" s="1873"/>
      <c r="N309" s="1873"/>
      <c r="O309" s="1866"/>
      <c r="P309" s="1867"/>
      <c r="Q309" s="1867"/>
    </row>
    <row r="310" spans="1:17" ht="114" customHeight="1">
      <c r="A310" s="1855">
        <f>A305+1</f>
        <v>17</v>
      </c>
      <c r="B310" s="1856"/>
      <c r="C310" s="2527" t="s">
        <v>3461</v>
      </c>
      <c r="D310" s="2528"/>
      <c r="E310" s="2528"/>
      <c r="F310" s="2528"/>
      <c r="G310" s="2528"/>
      <c r="H310" s="2528"/>
      <c r="I310" s="2528"/>
      <c r="J310" s="2528"/>
      <c r="K310" s="1851"/>
      <c r="L310" s="1851"/>
      <c r="M310" s="1851"/>
      <c r="N310" s="1851"/>
      <c r="O310" s="1866"/>
      <c r="P310" s="1867"/>
      <c r="Q310" s="1867"/>
    </row>
    <row r="311" spans="1:17" ht="36" customHeight="1">
      <c r="A311" s="1855"/>
      <c r="B311" s="1872"/>
      <c r="C311" s="1908" t="s">
        <v>3532</v>
      </c>
      <c r="D311" s="1853">
        <v>1</v>
      </c>
      <c r="E311" s="1853" t="s">
        <v>1472</v>
      </c>
      <c r="F311" s="1853">
        <v>1</v>
      </c>
      <c r="G311" s="1851">
        <v>1.2</v>
      </c>
      <c r="H311" s="1851"/>
      <c r="I311" s="1851">
        <v>0.75</v>
      </c>
      <c r="J311" s="1851">
        <f>F311</f>
        <v>1</v>
      </c>
      <c r="K311" s="1851"/>
      <c r="L311" s="1851"/>
      <c r="M311" s="1873"/>
      <c r="N311" s="1871"/>
      <c r="O311" s="1866"/>
      <c r="P311" s="1867"/>
      <c r="Q311" s="1890"/>
    </row>
    <row r="312" spans="1:17" ht="27" customHeight="1">
      <c r="A312" s="1855"/>
      <c r="B312" s="1872"/>
      <c r="C312" s="2524" t="s">
        <v>3389</v>
      </c>
      <c r="D312" s="2524"/>
      <c r="E312" s="2524"/>
      <c r="F312" s="2524"/>
      <c r="G312" s="2524"/>
      <c r="H312" s="2524"/>
      <c r="I312" s="2524"/>
      <c r="J312" s="1871">
        <f>J311</f>
        <v>1</v>
      </c>
      <c r="K312" s="1851">
        <f>' Doors window-Country Wood '!J492</f>
        <v>4242.9236000000001</v>
      </c>
      <c r="L312" s="1873"/>
      <c r="M312" s="1873">
        <f>ROUND(K312*J312,0)</f>
        <v>4243</v>
      </c>
      <c r="N312" s="1873">
        <f>ROUND(J312*K312,0)</f>
        <v>4243</v>
      </c>
      <c r="O312" s="1866"/>
      <c r="P312" s="1878"/>
      <c r="Q312" s="1867"/>
    </row>
    <row r="313" spans="1:17">
      <c r="A313" s="1855"/>
      <c r="B313" s="1872"/>
      <c r="C313" s="1877"/>
      <c r="D313" s="1853"/>
      <c r="E313" s="1853"/>
      <c r="F313" s="1853"/>
      <c r="G313" s="1851"/>
      <c r="H313" s="1851"/>
      <c r="I313" s="1851"/>
      <c r="J313" s="1851" t="s">
        <v>472</v>
      </c>
      <c r="K313" s="1873" t="s">
        <v>473</v>
      </c>
      <c r="L313" s="1873"/>
      <c r="M313" s="1873"/>
      <c r="N313" s="1873"/>
      <c r="O313" s="1866"/>
      <c r="P313" s="1867"/>
      <c r="Q313" s="1867"/>
    </row>
    <row r="314" spans="1:17">
      <c r="A314" s="1855"/>
      <c r="B314" s="1872"/>
      <c r="C314" s="1877"/>
      <c r="D314" s="1853"/>
      <c r="E314" s="1853"/>
      <c r="F314" s="1853"/>
      <c r="G314" s="1851"/>
      <c r="H314" s="1851"/>
      <c r="I314" s="1851"/>
      <c r="J314" s="1884"/>
      <c r="K314" s="1873"/>
      <c r="L314" s="1873"/>
      <c r="M314" s="1873"/>
      <c r="N314" s="1873"/>
      <c r="O314" s="1866"/>
      <c r="P314" s="1867"/>
      <c r="Q314" s="1867"/>
    </row>
    <row r="315" spans="1:17" s="1876" customFormat="1" ht="54" customHeight="1">
      <c r="A315" s="1855">
        <v>18</v>
      </c>
      <c r="B315" s="1872"/>
      <c r="C315" s="2526" t="s">
        <v>1244</v>
      </c>
      <c r="D315" s="2526"/>
      <c r="E315" s="2526"/>
      <c r="F315" s="2526"/>
      <c r="G315" s="2526"/>
      <c r="H315" s="2526"/>
      <c r="I315" s="2526"/>
      <c r="J315" s="2526"/>
      <c r="K315" s="1900"/>
      <c r="L315" s="1909"/>
      <c r="M315" s="1909"/>
      <c r="N315" s="1910"/>
      <c r="O315" s="1911"/>
    </row>
    <row r="316" spans="1:17" s="1876" customFormat="1">
      <c r="A316" s="1855"/>
      <c r="B316" s="1880"/>
      <c r="C316" s="1855"/>
      <c r="D316" s="1855"/>
      <c r="E316" s="1855"/>
      <c r="F316" s="1900"/>
      <c r="G316" s="1912">
        <v>25</v>
      </c>
      <c r="H316" s="1912"/>
      <c r="I316" s="1913"/>
      <c r="J316" s="1912">
        <f>G316</f>
        <v>25</v>
      </c>
      <c r="K316" s="1914">
        <f>'data-Elec '!H60</f>
        <v>111.43</v>
      </c>
      <c r="L316" s="1915"/>
      <c r="M316" s="1873">
        <f>ROUND(K316*J316,0)</f>
        <v>2786</v>
      </c>
      <c r="N316" s="1873">
        <f>ROUND(J316*K316,0)</f>
        <v>2786</v>
      </c>
      <c r="O316" s="1911"/>
    </row>
    <row r="317" spans="1:17" s="1876" customFormat="1" ht="15" customHeight="1">
      <c r="A317" s="1855"/>
      <c r="B317" s="1872"/>
      <c r="C317" s="1855"/>
      <c r="D317" s="1855"/>
      <c r="E317" s="1855"/>
      <c r="F317" s="1900"/>
      <c r="G317" s="1912"/>
      <c r="H317" s="1912"/>
      <c r="I317" s="1913"/>
      <c r="J317" s="1912" t="s">
        <v>495</v>
      </c>
      <c r="K317" s="1855" t="s">
        <v>2858</v>
      </c>
      <c r="L317" s="1909"/>
      <c r="M317" s="1909"/>
      <c r="N317" s="1910"/>
      <c r="O317" s="1911"/>
    </row>
    <row r="318" spans="1:17" ht="130.9" hidden="1" customHeight="1">
      <c r="A318" s="1855">
        <v>25</v>
      </c>
      <c r="B318" s="1856"/>
      <c r="C318" s="2527" t="s">
        <v>3449</v>
      </c>
      <c r="D318" s="2528"/>
      <c r="E318" s="2528"/>
      <c r="F318" s="2528"/>
      <c r="G318" s="2528"/>
      <c r="H318" s="2528"/>
      <c r="I318" s="2528"/>
      <c r="J318" s="2528"/>
      <c r="K318" s="1851"/>
      <c r="L318" s="1851"/>
      <c r="M318" s="1851"/>
      <c r="N318" s="1851"/>
      <c r="O318" s="1866"/>
      <c r="P318" s="1867"/>
      <c r="Q318" s="1867"/>
    </row>
    <row r="319" spans="1:17" hidden="1">
      <c r="A319" s="1855"/>
      <c r="B319" s="1856"/>
      <c r="C319" s="1859" t="s">
        <v>3450</v>
      </c>
      <c r="D319" s="1880"/>
      <c r="E319" s="1880"/>
      <c r="F319" s="1880"/>
      <c r="G319" s="1874"/>
      <c r="H319" s="1874"/>
      <c r="I319" s="1874"/>
      <c r="J319" s="1874"/>
      <c r="K319" s="1851"/>
      <c r="L319" s="1851"/>
      <c r="M319" s="1851"/>
      <c r="N319" s="1851"/>
      <c r="O319" s="1866"/>
      <c r="P319" s="1867"/>
      <c r="Q319" s="1867"/>
    </row>
    <row r="320" spans="1:17" ht="18" hidden="1" customHeight="1">
      <c r="A320" s="1855"/>
      <c r="B320" s="1856"/>
      <c r="C320" s="1899" t="s">
        <v>3451</v>
      </c>
      <c r="D320" s="1853">
        <v>1</v>
      </c>
      <c r="E320" s="1853" t="s">
        <v>1472</v>
      </c>
      <c r="F320" s="1853">
        <v>1</v>
      </c>
      <c r="G320" s="1851">
        <f>ROUND((14+19.88)*0.3048*2,2)</f>
        <v>20.65</v>
      </c>
      <c r="H320" s="1851">
        <v>3.05</v>
      </c>
      <c r="I320" s="1851"/>
      <c r="J320" s="1851">
        <f t="shared" ref="J320:J325" si="8">ROUND(D320*F320*G320*H320,2)</f>
        <v>62.98</v>
      </c>
      <c r="K320" s="1851"/>
      <c r="L320" s="1851"/>
      <c r="M320" s="1851"/>
      <c r="N320" s="1851"/>
      <c r="O320" s="1866"/>
      <c r="P320" s="1867"/>
      <c r="Q320" s="1867"/>
    </row>
    <row r="321" spans="1:17" hidden="1">
      <c r="A321" s="1855"/>
      <c r="B321" s="1856"/>
      <c r="C321" s="1899" t="s">
        <v>3452</v>
      </c>
      <c r="D321" s="1853">
        <v>1</v>
      </c>
      <c r="E321" s="1853" t="s">
        <v>1472</v>
      </c>
      <c r="F321" s="1853">
        <v>1</v>
      </c>
      <c r="G321" s="1851">
        <f>ROUND((12+7)*0.3048*2,2)</f>
        <v>11.58</v>
      </c>
      <c r="H321" s="1851">
        <v>3.05</v>
      </c>
      <c r="I321" s="1851"/>
      <c r="J321" s="1851">
        <f t="shared" si="8"/>
        <v>35.32</v>
      </c>
      <c r="K321" s="1851"/>
      <c r="L321" s="1851"/>
      <c r="M321" s="1851"/>
      <c r="N321" s="1851"/>
      <c r="O321" s="1866"/>
      <c r="P321" s="1867"/>
      <c r="Q321" s="1867"/>
    </row>
    <row r="322" spans="1:17" hidden="1">
      <c r="A322" s="1855"/>
      <c r="B322" s="1856"/>
      <c r="C322" s="1899" t="s">
        <v>3453</v>
      </c>
      <c r="D322" s="1853">
        <v>1</v>
      </c>
      <c r="E322" s="1853" t="s">
        <v>1472</v>
      </c>
      <c r="F322" s="1853">
        <v>1</v>
      </c>
      <c r="G322" s="1851">
        <f>ROUND((7.63+7)*0.3048*2,2)</f>
        <v>8.92</v>
      </c>
      <c r="H322" s="1851">
        <v>3.05</v>
      </c>
      <c r="I322" s="1851"/>
      <c r="J322" s="1851">
        <f t="shared" si="8"/>
        <v>27.21</v>
      </c>
      <c r="K322" s="1851"/>
      <c r="L322" s="1851"/>
      <c r="M322" s="1851"/>
      <c r="N322" s="1851"/>
      <c r="O322" s="1866"/>
      <c r="P322" s="1867"/>
      <c r="Q322" s="1867"/>
    </row>
    <row r="323" spans="1:17" hidden="1">
      <c r="A323" s="1855"/>
      <c r="B323" s="1856"/>
      <c r="C323" s="1899" t="s">
        <v>3446</v>
      </c>
      <c r="D323" s="1853">
        <v>1</v>
      </c>
      <c r="E323" s="1853" t="s">
        <v>1472</v>
      </c>
      <c r="F323" s="1853">
        <v>1</v>
      </c>
      <c r="G323" s="1851">
        <f>ROUND((4+7)*0.3048*2,2)</f>
        <v>6.71</v>
      </c>
      <c r="H323" s="1851">
        <v>3.05</v>
      </c>
      <c r="I323" s="1851"/>
      <c r="J323" s="1851">
        <f t="shared" si="8"/>
        <v>20.47</v>
      </c>
      <c r="K323" s="1851"/>
      <c r="L323" s="1851"/>
      <c r="M323" s="1851"/>
      <c r="N323" s="1851"/>
      <c r="O323" s="1866"/>
      <c r="P323" s="1867"/>
      <c r="Q323" s="1867"/>
    </row>
    <row r="324" spans="1:17" hidden="1">
      <c r="A324" s="1855"/>
      <c r="B324" s="1856"/>
      <c r="C324" s="1899" t="s">
        <v>3454</v>
      </c>
      <c r="D324" s="1853">
        <v>1</v>
      </c>
      <c r="E324" s="1853" t="s">
        <v>1472</v>
      </c>
      <c r="F324" s="1853">
        <v>1</v>
      </c>
      <c r="G324" s="1851">
        <f>ROUND((12+5)*0.3048,2)</f>
        <v>5.18</v>
      </c>
      <c r="H324" s="1851">
        <v>3.05</v>
      </c>
      <c r="I324" s="1851"/>
      <c r="J324" s="1851">
        <f t="shared" si="8"/>
        <v>15.8</v>
      </c>
      <c r="K324" s="1851"/>
      <c r="L324" s="1851"/>
      <c r="M324" s="1851"/>
      <c r="N324" s="1851"/>
      <c r="O324" s="1866"/>
      <c r="P324" s="1867"/>
      <c r="Q324" s="1867"/>
    </row>
    <row r="325" spans="1:17" ht="28.2" hidden="1">
      <c r="A325" s="1855"/>
      <c r="B325" s="1856"/>
      <c r="C325" s="1899" t="s">
        <v>3432</v>
      </c>
      <c r="D325" s="1853">
        <v>2</v>
      </c>
      <c r="E325" s="1853" t="s">
        <v>1472</v>
      </c>
      <c r="F325" s="1853">
        <v>2</v>
      </c>
      <c r="G325" s="1851">
        <v>0.6</v>
      </c>
      <c r="H325" s="1851">
        <v>0.75</v>
      </c>
      <c r="I325" s="1851"/>
      <c r="J325" s="1851">
        <f t="shared" si="8"/>
        <v>1.8</v>
      </c>
      <c r="K325" s="1851"/>
      <c r="L325" s="1851"/>
      <c r="M325" s="1851"/>
      <c r="N325" s="1851"/>
      <c r="O325" s="1866"/>
      <c r="P325" s="1867"/>
      <c r="Q325" s="1867"/>
    </row>
    <row r="326" spans="1:17" ht="24" hidden="1" customHeight="1">
      <c r="A326" s="1855"/>
      <c r="B326" s="1856"/>
      <c r="C326" s="1905"/>
      <c r="D326" s="1853"/>
      <c r="E326" s="1853"/>
      <c r="F326" s="1853"/>
      <c r="G326" s="1851"/>
      <c r="H326" s="1851"/>
      <c r="I326" s="1851"/>
      <c r="J326" s="1851">
        <f>SUM(J320:J325)</f>
        <v>163.58000000000001</v>
      </c>
      <c r="K326" s="1851"/>
      <c r="L326" s="1851"/>
      <c r="M326" s="1851"/>
      <c r="N326" s="1851"/>
      <c r="O326" s="1866"/>
      <c r="P326" s="1867"/>
      <c r="Q326" s="1867"/>
    </row>
    <row r="327" spans="1:17" ht="21.75" hidden="1" customHeight="1">
      <c r="A327" s="1855"/>
      <c r="B327" s="1856"/>
      <c r="C327" s="1859" t="s">
        <v>675</v>
      </c>
      <c r="D327" s="1853"/>
      <c r="E327" s="1853"/>
      <c r="F327" s="1853"/>
      <c r="G327" s="1851"/>
      <c r="H327" s="1851"/>
      <c r="I327" s="1851"/>
      <c r="J327" s="1851"/>
      <c r="K327" s="1851"/>
      <c r="L327" s="1851"/>
      <c r="M327" s="1851"/>
      <c r="N327" s="1851"/>
      <c r="O327" s="1866"/>
      <c r="P327" s="1867"/>
      <c r="Q327" s="1867"/>
    </row>
    <row r="328" spans="1:17" hidden="1">
      <c r="A328" s="1855"/>
      <c r="B328" s="1856"/>
      <c r="C328" s="1899" t="s">
        <v>116</v>
      </c>
      <c r="D328" s="1853">
        <v>1</v>
      </c>
      <c r="E328" s="1853" t="s">
        <v>1472</v>
      </c>
      <c r="F328" s="1853">
        <v>2</v>
      </c>
      <c r="G328" s="1851">
        <v>1.05</v>
      </c>
      <c r="H328" s="1851"/>
      <c r="I328" s="1851">
        <v>2.1</v>
      </c>
      <c r="J328" s="1851">
        <f>ROUND(D328*F328*G328*I328,2)</f>
        <v>4.41</v>
      </c>
      <c r="K328" s="1851"/>
      <c r="L328" s="1851"/>
      <c r="M328" s="1851"/>
      <c r="N328" s="1851"/>
      <c r="O328" s="1866"/>
      <c r="P328" s="1867"/>
      <c r="Q328" s="1867"/>
    </row>
    <row r="329" spans="1:17" ht="18" hidden="1" customHeight="1">
      <c r="A329" s="1855"/>
      <c r="B329" s="1856"/>
      <c r="C329" s="1899" t="s">
        <v>2801</v>
      </c>
      <c r="D329" s="1853">
        <v>1</v>
      </c>
      <c r="E329" s="1853" t="s">
        <v>1472</v>
      </c>
      <c r="F329" s="1853">
        <v>2</v>
      </c>
      <c r="G329" s="1851">
        <v>0.9</v>
      </c>
      <c r="H329" s="1851"/>
      <c r="I329" s="1851">
        <v>2.1</v>
      </c>
      <c r="J329" s="1851">
        <f>ROUND(D329*F329*G329*I329,2)</f>
        <v>3.78</v>
      </c>
      <c r="K329" s="1851"/>
      <c r="L329" s="1851"/>
      <c r="M329" s="1851"/>
      <c r="N329" s="1851"/>
      <c r="O329" s="1866"/>
      <c r="P329" s="1867"/>
      <c r="Q329" s="1867"/>
    </row>
    <row r="330" spans="1:17" ht="18" hidden="1" customHeight="1">
      <c r="A330" s="1855"/>
      <c r="B330" s="1856"/>
      <c r="C330" s="1899" t="s">
        <v>3455</v>
      </c>
      <c r="D330" s="1853">
        <v>1</v>
      </c>
      <c r="E330" s="1853" t="s">
        <v>1472</v>
      </c>
      <c r="F330" s="1853">
        <v>4</v>
      </c>
      <c r="G330" s="1851">
        <v>1.2</v>
      </c>
      <c r="H330" s="1851"/>
      <c r="I330" s="1851">
        <v>1.2</v>
      </c>
      <c r="J330" s="1851">
        <f>ROUND(D330*F330*G330*I330,2)</f>
        <v>5.76</v>
      </c>
      <c r="K330" s="1851"/>
      <c r="L330" s="1851"/>
      <c r="M330" s="1851"/>
      <c r="N330" s="1851"/>
      <c r="O330" s="1866"/>
      <c r="P330" s="1867"/>
      <c r="Q330" s="1867"/>
    </row>
    <row r="331" spans="1:17" ht="18" hidden="1" customHeight="1">
      <c r="A331" s="1855"/>
      <c r="B331" s="1856"/>
      <c r="C331" s="1899" t="s">
        <v>3455</v>
      </c>
      <c r="D331" s="1853">
        <v>1</v>
      </c>
      <c r="E331" s="1853" t="s">
        <v>1472</v>
      </c>
      <c r="F331" s="1853">
        <v>1</v>
      </c>
      <c r="G331" s="1851">
        <v>1.2</v>
      </c>
      <c r="H331" s="1851"/>
      <c r="I331" s="1851">
        <v>0.75</v>
      </c>
      <c r="J331" s="1851">
        <f>ROUND(D331*F331*G331*I331,2)</f>
        <v>0.9</v>
      </c>
      <c r="K331" s="1851"/>
      <c r="L331" s="1851"/>
      <c r="M331" s="1851"/>
      <c r="N331" s="1851"/>
      <c r="O331" s="1866"/>
      <c r="P331" s="1867"/>
      <c r="Q331" s="1867"/>
    </row>
    <row r="332" spans="1:17" ht="18" hidden="1" customHeight="1">
      <c r="A332" s="1855"/>
      <c r="B332" s="1856"/>
      <c r="C332" s="1899" t="s">
        <v>83</v>
      </c>
      <c r="D332" s="1853">
        <v>1</v>
      </c>
      <c r="E332" s="1853" t="s">
        <v>1472</v>
      </c>
      <c r="F332" s="1853">
        <v>7</v>
      </c>
      <c r="G332" s="1851">
        <v>0.6</v>
      </c>
      <c r="H332" s="1851"/>
      <c r="I332" s="1851">
        <v>0.3</v>
      </c>
      <c r="J332" s="1851">
        <f>ROUND(D332*F332*G332*I332,2)</f>
        <v>1.26</v>
      </c>
      <c r="K332" s="1851"/>
      <c r="L332" s="1851"/>
      <c r="M332" s="1851"/>
      <c r="N332" s="1851"/>
      <c r="O332" s="1866"/>
      <c r="P332" s="1867"/>
      <c r="Q332" s="1867"/>
    </row>
    <row r="333" spans="1:17" hidden="1">
      <c r="A333" s="1855"/>
      <c r="B333" s="1856"/>
      <c r="C333" s="1887"/>
      <c r="D333" s="1853"/>
      <c r="E333" s="1853"/>
      <c r="F333" s="1853"/>
      <c r="G333" s="1851"/>
      <c r="H333" s="1851"/>
      <c r="I333" s="1851"/>
      <c r="J333" s="1851">
        <f>SUM(J328:J332)</f>
        <v>16.11</v>
      </c>
      <c r="K333" s="1851"/>
      <c r="L333" s="1851"/>
      <c r="M333" s="1851"/>
      <c r="N333" s="1851"/>
      <c r="O333" s="1866"/>
      <c r="P333" s="1867"/>
      <c r="Q333" s="1867"/>
    </row>
    <row r="334" spans="1:17" ht="24" hidden="1" customHeight="1">
      <c r="A334" s="1855"/>
      <c r="B334" s="1856"/>
      <c r="C334" s="1887"/>
      <c r="D334" s="1853"/>
      <c r="E334" s="1853"/>
      <c r="F334" s="1853"/>
      <c r="G334" s="1851"/>
      <c r="H334" s="1851"/>
      <c r="I334" s="1851"/>
      <c r="J334" s="1871">
        <f>J326-J333</f>
        <v>147.47000000000003</v>
      </c>
      <c r="K334" s="1851"/>
      <c r="L334" s="1851"/>
      <c r="M334" s="1851"/>
      <c r="N334" s="1851"/>
      <c r="O334" s="1866"/>
      <c r="P334" s="1867"/>
      <c r="Q334" s="1867"/>
    </row>
    <row r="335" spans="1:17" ht="17.2" hidden="1" customHeight="1">
      <c r="A335" s="1855"/>
      <c r="B335" s="1856"/>
      <c r="C335" s="1877"/>
      <c r="D335" s="1904"/>
      <c r="E335" s="1904"/>
      <c r="F335" s="1853"/>
      <c r="G335" s="1851"/>
      <c r="H335" s="1851"/>
      <c r="I335" s="1851"/>
      <c r="J335" s="1871" t="s">
        <v>1478</v>
      </c>
      <c r="K335" s="1851"/>
      <c r="L335" s="1851"/>
      <c r="M335" s="1851"/>
      <c r="N335" s="1851"/>
      <c r="O335" s="1866"/>
      <c r="P335" s="1867"/>
      <c r="Q335" s="1867"/>
    </row>
    <row r="336" spans="1:17" ht="21.75" hidden="1" customHeight="1">
      <c r="A336" s="1855"/>
      <c r="B336" s="1872"/>
      <c r="C336" s="2524" t="s">
        <v>3389</v>
      </c>
      <c r="D336" s="2524"/>
      <c r="E336" s="2524"/>
      <c r="F336" s="2524"/>
      <c r="G336" s="2524"/>
      <c r="H336" s="2524"/>
      <c r="I336" s="2524"/>
      <c r="J336" s="1851">
        <v>0</v>
      </c>
      <c r="K336" s="1873">
        <f>'Building-Estimate'!K392</f>
        <v>4152.1900000000005</v>
      </c>
      <c r="L336" s="1873"/>
      <c r="M336" s="1873">
        <f>ROUND(K336*J336/10,0)</f>
        <v>0</v>
      </c>
      <c r="N336" s="1873">
        <f>SUM(L336:M336)</f>
        <v>0</v>
      </c>
      <c r="O336" s="1866">
        <v>0.6</v>
      </c>
      <c r="P336" s="1878">
        <f>ROUND(O336*J336,2)</f>
        <v>0</v>
      </c>
      <c r="Q336" s="1867"/>
    </row>
    <row r="337" spans="1:17" hidden="1">
      <c r="A337" s="1855"/>
      <c r="B337" s="1880"/>
      <c r="C337" s="1880"/>
      <c r="D337" s="1880"/>
      <c r="E337" s="1880"/>
      <c r="F337" s="1883"/>
      <c r="G337" s="1880"/>
      <c r="H337" s="1880"/>
      <c r="I337" s="1880"/>
      <c r="J337" s="1851" t="s">
        <v>1478</v>
      </c>
      <c r="K337" s="1873" t="s">
        <v>672</v>
      </c>
      <c r="L337" s="1873"/>
      <c r="M337" s="1873"/>
      <c r="N337" s="1873"/>
      <c r="O337" s="1866"/>
      <c r="P337" s="1867"/>
      <c r="Q337" s="1867"/>
    </row>
    <row r="338" spans="1:17" hidden="1">
      <c r="A338" s="1855"/>
      <c r="B338" s="1880"/>
      <c r="C338" s="1880"/>
      <c r="D338" s="1880"/>
      <c r="E338" s="1880"/>
      <c r="F338" s="1883"/>
      <c r="G338" s="1880"/>
      <c r="H338" s="1880"/>
      <c r="I338" s="1880"/>
      <c r="J338" s="1884"/>
      <c r="K338" s="1873"/>
      <c r="L338" s="1873"/>
      <c r="M338" s="1873"/>
      <c r="N338" s="1873"/>
      <c r="O338" s="1866"/>
      <c r="P338" s="1867"/>
      <c r="Q338" s="1867"/>
    </row>
    <row r="339" spans="1:17" ht="162" hidden="1" customHeight="1">
      <c r="A339" s="1855">
        <v>26</v>
      </c>
      <c r="B339" s="1856"/>
      <c r="C339" s="2527" t="s">
        <v>3462</v>
      </c>
      <c r="D339" s="2528"/>
      <c r="E339" s="2528"/>
      <c r="F339" s="2528"/>
      <c r="G339" s="2528"/>
      <c r="H339" s="2528"/>
      <c r="I339" s="2528"/>
      <c r="J339" s="2528"/>
      <c r="K339" s="1851"/>
      <c r="L339" s="1851"/>
      <c r="M339" s="1851"/>
      <c r="N339" s="1851"/>
      <c r="O339" s="1866"/>
      <c r="P339" s="1867"/>
      <c r="Q339" s="1867"/>
    </row>
    <row r="340" spans="1:17" ht="24" hidden="1" customHeight="1">
      <c r="A340" s="1855"/>
      <c r="B340" s="1856"/>
      <c r="C340" s="1899" t="s">
        <v>3463</v>
      </c>
      <c r="D340" s="1853">
        <v>1</v>
      </c>
      <c r="E340" s="1853" t="s">
        <v>1472</v>
      </c>
      <c r="F340" s="1853">
        <v>1</v>
      </c>
      <c r="G340" s="1851">
        <f>ROUND((14)*0.3048,2)</f>
        <v>4.2699999999999996</v>
      </c>
      <c r="H340" s="1851">
        <f>ROUND((19.88)*0.3048,2)</f>
        <v>6.06</v>
      </c>
      <c r="I340" s="1880"/>
      <c r="J340" s="1851">
        <f t="shared" ref="J340:J347" si="9">ROUND(D340*F340*G340*H340,2)</f>
        <v>25.88</v>
      </c>
      <c r="K340" s="1851"/>
      <c r="L340" s="1851"/>
      <c r="M340" s="1851"/>
      <c r="N340" s="1851"/>
      <c r="O340" s="1866"/>
      <c r="P340" s="1867"/>
      <c r="Q340" s="1867"/>
    </row>
    <row r="341" spans="1:17" hidden="1">
      <c r="A341" s="1855"/>
      <c r="B341" s="1856"/>
      <c r="C341" s="1899" t="s">
        <v>3464</v>
      </c>
      <c r="D341" s="1853">
        <v>1</v>
      </c>
      <c r="E341" s="1853" t="s">
        <v>1472</v>
      </c>
      <c r="F341" s="1853">
        <v>1</v>
      </c>
      <c r="G341" s="1851">
        <f>ROUND((12)*0.3048,2)</f>
        <v>3.66</v>
      </c>
      <c r="H341" s="1851">
        <f>ROUND((7*0.3048),2)</f>
        <v>2.13</v>
      </c>
      <c r="I341" s="1880"/>
      <c r="J341" s="1851">
        <f t="shared" si="9"/>
        <v>7.8</v>
      </c>
      <c r="K341" s="1851"/>
      <c r="L341" s="1851"/>
      <c r="M341" s="1851"/>
      <c r="N341" s="1851"/>
      <c r="O341" s="1866"/>
      <c r="P341" s="1867"/>
      <c r="Q341" s="1867"/>
    </row>
    <row r="342" spans="1:17" hidden="1">
      <c r="A342" s="1855"/>
      <c r="B342" s="1856"/>
      <c r="C342" s="1899" t="s">
        <v>3453</v>
      </c>
      <c r="D342" s="1853">
        <v>1</v>
      </c>
      <c r="E342" s="1853" t="s">
        <v>1472</v>
      </c>
      <c r="F342" s="1853">
        <v>1</v>
      </c>
      <c r="G342" s="1851">
        <f>ROUND((7.63)*0.3048,2)</f>
        <v>2.33</v>
      </c>
      <c r="H342" s="1851">
        <f>ROUND((7)*0.3048,2)</f>
        <v>2.13</v>
      </c>
      <c r="I342" s="1880"/>
      <c r="J342" s="1851">
        <f t="shared" si="9"/>
        <v>4.96</v>
      </c>
      <c r="K342" s="1851"/>
      <c r="L342" s="1851"/>
      <c r="M342" s="1851"/>
      <c r="N342" s="1851"/>
      <c r="O342" s="1866"/>
      <c r="P342" s="1867"/>
      <c r="Q342" s="1867"/>
    </row>
    <row r="343" spans="1:17" hidden="1">
      <c r="A343" s="1855"/>
      <c r="B343" s="1856"/>
      <c r="C343" s="1899" t="s">
        <v>3465</v>
      </c>
      <c r="D343" s="1853">
        <v>1</v>
      </c>
      <c r="E343" s="1853" t="s">
        <v>1472</v>
      </c>
      <c r="F343" s="1853">
        <v>1</v>
      </c>
      <c r="G343" s="1851">
        <f>ROUND((4)*0.3048,2)</f>
        <v>1.22</v>
      </c>
      <c r="H343" s="1851">
        <f>ROUND((7)*0.3048,2)</f>
        <v>2.13</v>
      </c>
      <c r="I343" s="1880"/>
      <c r="J343" s="1851">
        <f t="shared" si="9"/>
        <v>2.6</v>
      </c>
      <c r="K343" s="1851"/>
      <c r="L343" s="1851"/>
      <c r="M343" s="1851"/>
      <c r="N343" s="1851"/>
      <c r="O343" s="1866"/>
      <c r="P343" s="1867"/>
      <c r="Q343" s="1867"/>
    </row>
    <row r="344" spans="1:17" hidden="1">
      <c r="A344" s="1855"/>
      <c r="B344" s="1856"/>
      <c r="C344" s="1899" t="s">
        <v>3454</v>
      </c>
      <c r="D344" s="1853">
        <v>1</v>
      </c>
      <c r="E344" s="1853" t="s">
        <v>1472</v>
      </c>
      <c r="F344" s="1853">
        <v>1</v>
      </c>
      <c r="G344" s="1851">
        <f>ROUND((12)*0.3048,2)</f>
        <v>3.66</v>
      </c>
      <c r="H344" s="1851">
        <f>ROUND((5)*0.3048,2)</f>
        <v>1.52</v>
      </c>
      <c r="I344" s="1880"/>
      <c r="J344" s="1851">
        <f t="shared" si="9"/>
        <v>5.56</v>
      </c>
      <c r="K344" s="1851"/>
      <c r="L344" s="1851"/>
      <c r="M344" s="1851"/>
      <c r="N344" s="1851"/>
      <c r="O344" s="1866"/>
      <c r="P344" s="1867"/>
      <c r="Q344" s="1867"/>
    </row>
    <row r="345" spans="1:17" ht="18" hidden="1" customHeight="1">
      <c r="A345" s="1855"/>
      <c r="B345" s="1856"/>
      <c r="C345" s="1899" t="s">
        <v>3466</v>
      </c>
      <c r="D345" s="1853">
        <v>2</v>
      </c>
      <c r="E345" s="1853" t="s">
        <v>1472</v>
      </c>
      <c r="F345" s="1853">
        <v>1</v>
      </c>
      <c r="G345" s="1851">
        <v>1.05</v>
      </c>
      <c r="H345" s="1851">
        <v>0.23</v>
      </c>
      <c r="I345" s="1851"/>
      <c r="J345" s="1851">
        <f t="shared" si="9"/>
        <v>0.48</v>
      </c>
      <c r="K345" s="1851"/>
      <c r="L345" s="1851"/>
      <c r="M345" s="1851"/>
      <c r="N345" s="1851"/>
      <c r="O345" s="1866"/>
      <c r="P345" s="1867"/>
      <c r="Q345" s="1867"/>
    </row>
    <row r="346" spans="1:17" ht="18" hidden="1" customHeight="1">
      <c r="A346" s="1855"/>
      <c r="B346" s="1856"/>
      <c r="C346" s="1899" t="s">
        <v>3467</v>
      </c>
      <c r="D346" s="1853">
        <v>1</v>
      </c>
      <c r="E346" s="1853" t="s">
        <v>1472</v>
      </c>
      <c r="F346" s="1853">
        <v>1</v>
      </c>
      <c r="G346" s="1851">
        <v>0.9</v>
      </c>
      <c r="H346" s="1851">
        <v>0.23</v>
      </c>
      <c r="I346" s="1851"/>
      <c r="J346" s="1851">
        <f t="shared" si="9"/>
        <v>0.21</v>
      </c>
      <c r="K346" s="1851"/>
      <c r="L346" s="1851"/>
      <c r="M346" s="1851"/>
      <c r="N346" s="1851"/>
      <c r="O346" s="1866"/>
      <c r="P346" s="1867"/>
      <c r="Q346" s="1867"/>
    </row>
    <row r="347" spans="1:17" ht="18" hidden="1" customHeight="1">
      <c r="A347" s="1855"/>
      <c r="B347" s="1856"/>
      <c r="C347" s="1899" t="s">
        <v>3467</v>
      </c>
      <c r="D347" s="1853">
        <v>1</v>
      </c>
      <c r="E347" s="1853" t="s">
        <v>1472</v>
      </c>
      <c r="F347" s="1853">
        <v>1</v>
      </c>
      <c r="G347" s="1851">
        <v>0.9</v>
      </c>
      <c r="H347" s="1885">
        <v>0.115</v>
      </c>
      <c r="I347" s="1851"/>
      <c r="J347" s="1851">
        <f t="shared" si="9"/>
        <v>0.1</v>
      </c>
      <c r="K347" s="1851"/>
      <c r="L347" s="1851"/>
      <c r="M347" s="1851"/>
      <c r="N347" s="1851"/>
      <c r="O347" s="1866"/>
      <c r="P347" s="1867"/>
      <c r="Q347" s="1867"/>
    </row>
    <row r="348" spans="1:17" ht="18" hidden="1" customHeight="1">
      <c r="A348" s="1855"/>
      <c r="B348" s="1856"/>
      <c r="C348" s="1877"/>
      <c r="D348" s="1853"/>
      <c r="E348" s="1853"/>
      <c r="F348" s="1853"/>
      <c r="G348" s="1851"/>
      <c r="H348" s="1851"/>
      <c r="I348" s="1851"/>
      <c r="J348" s="1851">
        <f>SUM(J340:J347)</f>
        <v>47.59</v>
      </c>
      <c r="K348" s="1851"/>
      <c r="L348" s="1851"/>
      <c r="M348" s="1851"/>
      <c r="N348" s="1851"/>
      <c r="O348" s="1866"/>
      <c r="P348" s="1867"/>
      <c r="Q348" s="1867"/>
    </row>
    <row r="349" spans="1:17" ht="18" hidden="1" customHeight="1">
      <c r="A349" s="1855"/>
      <c r="B349" s="1856"/>
      <c r="C349" s="1877"/>
      <c r="D349" s="1853"/>
      <c r="E349" s="1853"/>
      <c r="F349" s="1853"/>
      <c r="G349" s="1851"/>
      <c r="H349" s="1851"/>
      <c r="I349" s="1851" t="s">
        <v>982</v>
      </c>
      <c r="J349" s="1871">
        <f>CEILING(J348,0.05)</f>
        <v>47.6</v>
      </c>
      <c r="K349" s="1851"/>
      <c r="L349" s="1851"/>
      <c r="M349" s="1851"/>
      <c r="N349" s="1851"/>
      <c r="O349" s="1866"/>
      <c r="P349" s="1867"/>
      <c r="Q349" s="1890"/>
    </row>
    <row r="350" spans="1:17" ht="17.2" hidden="1" customHeight="1">
      <c r="A350" s="1855"/>
      <c r="B350" s="1856"/>
      <c r="C350" s="1877"/>
      <c r="D350" s="1853"/>
      <c r="E350" s="1853"/>
      <c r="F350" s="1853"/>
      <c r="G350" s="1851"/>
      <c r="H350" s="1851"/>
      <c r="I350" s="1851"/>
      <c r="J350" s="1871" t="s">
        <v>1478</v>
      </c>
      <c r="K350" s="1851"/>
      <c r="L350" s="1851"/>
      <c r="M350" s="1851"/>
      <c r="N350" s="1851"/>
      <c r="O350" s="1866"/>
      <c r="P350" s="1867"/>
      <c r="Q350" s="1867"/>
    </row>
    <row r="351" spans="1:17" ht="21.75" hidden="1" customHeight="1">
      <c r="A351" s="1855"/>
      <c r="B351" s="1872"/>
      <c r="C351" s="2524" t="s">
        <v>3389</v>
      </c>
      <c r="D351" s="2524"/>
      <c r="E351" s="2524"/>
      <c r="F351" s="2524"/>
      <c r="G351" s="2524"/>
      <c r="H351" s="2524"/>
      <c r="I351" s="2524"/>
      <c r="J351" s="1851">
        <v>0</v>
      </c>
      <c r="K351" s="1873">
        <f>'Building-Estimate'!K428</f>
        <v>7373.25</v>
      </c>
      <c r="L351" s="1873"/>
      <c r="M351" s="1873">
        <f>ROUND(K351*J351/10,0)</f>
        <v>0</v>
      </c>
      <c r="N351" s="1873">
        <f>SUM(L351:M351)</f>
        <v>0</v>
      </c>
      <c r="O351" s="1866">
        <f>(11*7+0.12*40)/10</f>
        <v>8.18</v>
      </c>
      <c r="P351" s="1878">
        <f>ROUND(O351*J351,2)</f>
        <v>0</v>
      </c>
      <c r="Q351" s="1867"/>
    </row>
    <row r="352" spans="1:17" hidden="1">
      <c r="A352" s="1855"/>
      <c r="B352" s="1872"/>
      <c r="C352" s="1877"/>
      <c r="D352" s="1853"/>
      <c r="E352" s="1853"/>
      <c r="F352" s="1853"/>
      <c r="G352" s="1851"/>
      <c r="H352" s="1851"/>
      <c r="I352" s="1851"/>
      <c r="J352" s="1851" t="s">
        <v>1478</v>
      </c>
      <c r="K352" s="1873" t="s">
        <v>672</v>
      </c>
      <c r="L352" s="1873"/>
      <c r="M352" s="1873"/>
      <c r="N352" s="1873"/>
      <c r="O352" s="1866"/>
      <c r="P352" s="1867"/>
      <c r="Q352" s="1867"/>
    </row>
    <row r="353" spans="1:17" hidden="1">
      <c r="A353" s="1855"/>
      <c r="B353" s="1872"/>
      <c r="C353" s="1877"/>
      <c r="D353" s="1853"/>
      <c r="E353" s="1853"/>
      <c r="F353" s="1853"/>
      <c r="G353" s="1851"/>
      <c r="H353" s="1851"/>
      <c r="I353" s="1851"/>
      <c r="J353" s="1884"/>
      <c r="K353" s="1873"/>
      <c r="L353" s="1873"/>
      <c r="M353" s="1873"/>
      <c r="N353" s="1873"/>
      <c r="O353" s="1866"/>
      <c r="P353" s="1867"/>
      <c r="Q353" s="1867"/>
    </row>
    <row r="354" spans="1:17" ht="85.5" hidden="1" customHeight="1">
      <c r="A354" s="1855">
        <f>A315+1</f>
        <v>19</v>
      </c>
      <c r="B354" s="1856"/>
      <c r="C354" s="2522" t="s">
        <v>3367</v>
      </c>
      <c r="D354" s="2522"/>
      <c r="E354" s="2522"/>
      <c r="F354" s="2522"/>
      <c r="G354" s="2522"/>
      <c r="H354" s="2522"/>
      <c r="I354" s="2522"/>
      <c r="J354" s="2522"/>
      <c r="K354" s="1851"/>
      <c r="L354" s="1851"/>
      <c r="M354" s="1851"/>
      <c r="N354" s="1851"/>
      <c r="O354" s="1866"/>
      <c r="P354" s="1867"/>
      <c r="Q354" s="1867"/>
    </row>
    <row r="355" spans="1:17" ht="17.2" hidden="1" customHeight="1">
      <c r="A355" s="1855"/>
      <c r="B355" s="1856"/>
      <c r="C355" s="1845" t="s">
        <v>3468</v>
      </c>
      <c r="D355" s="1853"/>
      <c r="E355" s="1853"/>
      <c r="F355" s="1853"/>
      <c r="G355" s="1851"/>
      <c r="H355" s="1851"/>
      <c r="I355" s="1851"/>
      <c r="J355" s="1851"/>
      <c r="K355" s="1851"/>
      <c r="L355" s="1851"/>
      <c r="M355" s="1851"/>
      <c r="N355" s="1851"/>
      <c r="O355" s="1866"/>
      <c r="P355" s="1867"/>
      <c r="Q355" s="1867"/>
    </row>
    <row r="356" spans="1:17" ht="17.2" hidden="1" customHeight="1">
      <c r="A356" s="1855"/>
      <c r="B356" s="1856"/>
      <c r="C356" s="1917" t="s">
        <v>3469</v>
      </c>
      <c r="D356" s="1853">
        <v>1</v>
      </c>
      <c r="E356" s="1853" t="s">
        <v>1472</v>
      </c>
      <c r="F356" s="1853">
        <v>2</v>
      </c>
      <c r="G356" s="1851">
        <v>3.2</v>
      </c>
      <c r="H356" s="1851">
        <v>0.45</v>
      </c>
      <c r="I356" s="1851">
        <v>0.45</v>
      </c>
      <c r="J356" s="1851">
        <f>ROUND(D356*F356*G356*H356*I356,2)</f>
        <v>1.3</v>
      </c>
      <c r="K356" s="1851"/>
      <c r="L356" s="1851"/>
      <c r="M356" s="1851"/>
      <c r="N356" s="1851"/>
      <c r="O356" s="1866"/>
      <c r="P356" s="1867"/>
      <c r="Q356" s="1867"/>
    </row>
    <row r="357" spans="1:17" ht="17.2" hidden="1" customHeight="1">
      <c r="A357" s="1855"/>
      <c r="B357" s="1856"/>
      <c r="C357" s="1899" t="s">
        <v>3470</v>
      </c>
      <c r="D357" s="1853">
        <v>1</v>
      </c>
      <c r="E357" s="1853" t="s">
        <v>1472</v>
      </c>
      <c r="F357" s="1853">
        <v>2</v>
      </c>
      <c r="G357" s="1851">
        <v>1.6</v>
      </c>
      <c r="H357" s="1851">
        <v>0.45</v>
      </c>
      <c r="I357" s="1851">
        <v>0.45</v>
      </c>
      <c r="J357" s="1851">
        <f>ROUND(D357*F357*G357*H357*I357,2)</f>
        <v>0.65</v>
      </c>
      <c r="K357" s="1851"/>
      <c r="L357" s="1851"/>
      <c r="M357" s="1851"/>
      <c r="N357" s="1851"/>
      <c r="O357" s="1866"/>
      <c r="P357" s="1867"/>
      <c r="Q357" s="1867"/>
    </row>
    <row r="358" spans="1:17" ht="17.2" hidden="1" customHeight="1">
      <c r="A358" s="1855"/>
      <c r="B358" s="1856"/>
      <c r="C358" s="1917" t="s">
        <v>509</v>
      </c>
      <c r="D358" s="1853">
        <v>1</v>
      </c>
      <c r="E358" s="1853" t="s">
        <v>1472</v>
      </c>
      <c r="F358" s="1853">
        <v>2</v>
      </c>
      <c r="G358" s="1851">
        <v>0.9</v>
      </c>
      <c r="H358" s="1851">
        <v>0.45</v>
      </c>
      <c r="I358" s="1851">
        <v>0.15</v>
      </c>
      <c r="J358" s="1851">
        <f>ROUND(D358*F358*G358*H358*I358,2)</f>
        <v>0.12</v>
      </c>
      <c r="K358" s="1851"/>
      <c r="L358" s="1851"/>
      <c r="M358" s="1851"/>
      <c r="N358" s="1851"/>
      <c r="O358" s="1866"/>
      <c r="P358" s="1867"/>
      <c r="Q358" s="1867"/>
    </row>
    <row r="359" spans="1:17" ht="17.2" hidden="1" customHeight="1">
      <c r="A359" s="1855"/>
      <c r="B359" s="1856"/>
      <c r="C359" s="1917" t="s">
        <v>3471</v>
      </c>
      <c r="D359" s="1853">
        <v>2</v>
      </c>
      <c r="E359" s="1853" t="s">
        <v>1472</v>
      </c>
      <c r="F359" s="1853" t="s">
        <v>3472</v>
      </c>
      <c r="G359" s="1851">
        <v>1.2</v>
      </c>
      <c r="H359" s="1851">
        <v>1.2</v>
      </c>
      <c r="I359" s="1851">
        <v>1.5</v>
      </c>
      <c r="J359" s="1851">
        <f>ROUND(I359*H359*G359*D359*PI()/4,2)</f>
        <v>3.39</v>
      </c>
      <c r="K359" s="1851"/>
      <c r="L359" s="1851"/>
      <c r="M359" s="1851"/>
      <c r="N359" s="1851"/>
      <c r="O359" s="1866"/>
      <c r="P359" s="1867"/>
      <c r="Q359" s="1867"/>
    </row>
    <row r="360" spans="1:17" ht="17.2" hidden="1" customHeight="1">
      <c r="A360" s="1855"/>
      <c r="B360" s="1856"/>
      <c r="C360" s="1917"/>
      <c r="D360" s="1853"/>
      <c r="E360" s="1853"/>
      <c r="F360" s="1853"/>
      <c r="G360" s="1851"/>
      <c r="H360" s="1851"/>
      <c r="I360" s="1851"/>
      <c r="J360" s="1871">
        <f>SUM(J356:J359)</f>
        <v>5.4600000000000009</v>
      </c>
      <c r="K360" s="1851"/>
      <c r="L360" s="1851"/>
      <c r="M360" s="1851"/>
      <c r="N360" s="1851"/>
      <c r="O360" s="1866"/>
      <c r="P360" s="1867"/>
      <c r="Q360" s="1867"/>
    </row>
    <row r="361" spans="1:17" ht="21.75" hidden="1" customHeight="1">
      <c r="A361" s="1855"/>
      <c r="B361" s="1872"/>
      <c r="C361" s="2523" t="s">
        <v>644</v>
      </c>
      <c r="D361" s="2523"/>
      <c r="E361" s="2523"/>
      <c r="F361" s="2523"/>
      <c r="G361" s="2523"/>
      <c r="H361" s="2523"/>
      <c r="I361" s="2523"/>
      <c r="J361" s="1871">
        <v>0</v>
      </c>
      <c r="K361" s="1873">
        <f>K17</f>
        <v>385.38499999999999</v>
      </c>
      <c r="L361" s="1873">
        <f>ROUND(K361*J361,0)</f>
        <v>0</v>
      </c>
      <c r="M361" s="1874"/>
      <c r="N361" s="1873">
        <f>L361</f>
        <v>0</v>
      </c>
      <c r="O361" s="1875">
        <v>0</v>
      </c>
      <c r="P361" s="1876">
        <f>ROUND(O361*J361,0)</f>
        <v>0</v>
      </c>
      <c r="Q361" s="1867"/>
    </row>
    <row r="362" spans="1:17" ht="15" hidden="1" customHeight="1">
      <c r="A362" s="1855"/>
      <c r="B362" s="1872"/>
      <c r="C362" s="1877"/>
      <c r="D362" s="1853"/>
      <c r="E362" s="1853"/>
      <c r="F362" s="1853"/>
      <c r="G362" s="1851"/>
      <c r="H362" s="1851"/>
      <c r="I362" s="1851"/>
      <c r="J362" s="1851" t="s">
        <v>525</v>
      </c>
      <c r="K362" s="1873" t="s">
        <v>658</v>
      </c>
      <c r="L362" s="1873"/>
      <c r="M362" s="1873"/>
      <c r="N362" s="1873"/>
      <c r="O362" s="1866"/>
      <c r="P362" s="1867"/>
      <c r="Q362" s="1867"/>
    </row>
    <row r="363" spans="1:17" hidden="1">
      <c r="A363" s="1855"/>
      <c r="B363" s="1872"/>
      <c r="C363" s="1877"/>
      <c r="D363" s="1853"/>
      <c r="E363" s="1853"/>
      <c r="F363" s="1853"/>
      <c r="G363" s="1851"/>
      <c r="H363" s="1851"/>
      <c r="I363" s="1851"/>
      <c r="J363" s="1884"/>
      <c r="K363" s="1873"/>
      <c r="L363" s="1873"/>
      <c r="M363" s="1873"/>
      <c r="N363" s="1873"/>
      <c r="O363" s="1866"/>
      <c r="P363" s="1867"/>
      <c r="Q363" s="1867"/>
    </row>
    <row r="364" spans="1:17" ht="29.4" customHeight="1">
      <c r="A364" s="1855"/>
      <c r="B364" s="1900"/>
      <c r="C364" s="1877"/>
      <c r="D364" s="1877"/>
      <c r="E364" s="1877"/>
      <c r="F364" s="1918"/>
      <c r="G364" s="1877"/>
      <c r="H364" s="1877"/>
      <c r="I364" s="1877"/>
      <c r="J364" s="1919"/>
      <c r="K364" s="1920"/>
      <c r="L364" s="1921">
        <f>SUM(L17:L363)</f>
        <v>0</v>
      </c>
      <c r="M364" s="1921"/>
      <c r="N364" s="1921">
        <f>SUM(N17:N363)</f>
        <v>786994</v>
      </c>
      <c r="O364" s="1875"/>
      <c r="P364" s="1922">
        <f>ROUND(SUM(P17:P314),0)</f>
        <v>6570</v>
      </c>
      <c r="Q364" s="1922">
        <f>SUM(Q17:Q314)</f>
        <v>0</v>
      </c>
    </row>
    <row r="365" spans="1:17" ht="24" hidden="1" customHeight="1">
      <c r="A365" s="1855">
        <v>19</v>
      </c>
      <c r="B365" s="1872"/>
      <c r="C365" s="2533"/>
      <c r="D365" s="2533"/>
      <c r="E365" s="2533"/>
      <c r="F365" s="2533"/>
      <c r="G365" s="2533"/>
      <c r="H365" s="2533"/>
      <c r="I365" s="2533"/>
      <c r="J365" s="1852"/>
      <c r="K365" s="1873"/>
      <c r="L365" s="1923"/>
      <c r="M365" s="1923"/>
      <c r="N365" s="1924"/>
      <c r="O365" s="1925"/>
      <c r="P365" s="1926"/>
      <c r="Q365" s="1926"/>
    </row>
    <row r="366" spans="1:17" ht="24" customHeight="1">
      <c r="A366" s="1855">
        <v>20</v>
      </c>
      <c r="B366" s="1872"/>
      <c r="C366" s="2534" t="s">
        <v>3534</v>
      </c>
      <c r="D366" s="2535"/>
      <c r="E366" s="2535"/>
      <c r="F366" s="2535"/>
      <c r="G366" s="2535"/>
      <c r="H366" s="2535"/>
      <c r="I366" s="2536"/>
      <c r="J366" s="1852"/>
      <c r="K366" s="1873"/>
      <c r="L366" s="1923"/>
      <c r="M366" s="1923"/>
      <c r="N366" s="1924">
        <v>4000</v>
      </c>
      <c r="O366" s="1925"/>
      <c r="P366" s="1926"/>
      <c r="Q366" s="1926"/>
    </row>
    <row r="367" spans="1:17" ht="21" customHeight="1">
      <c r="A367" s="1849">
        <v>21</v>
      </c>
      <c r="B367" s="1872"/>
      <c r="C367" s="2533" t="s">
        <v>3474</v>
      </c>
      <c r="D367" s="2533"/>
      <c r="E367" s="2533"/>
      <c r="F367" s="2533"/>
      <c r="G367" s="2533"/>
      <c r="H367" s="2533"/>
      <c r="I367" s="2533"/>
      <c r="J367" s="1928"/>
      <c r="K367" s="1929"/>
      <c r="L367" s="1930"/>
      <c r="M367" s="1930"/>
      <c r="N367" s="1931">
        <f>800000-N366-N365-N364</f>
        <v>9006</v>
      </c>
      <c r="O367" s="1925"/>
      <c r="P367" s="1926"/>
      <c r="Q367" s="1926"/>
    </row>
    <row r="368" spans="1:17" ht="28.9" customHeight="1">
      <c r="A368" s="1855"/>
      <c r="B368" s="1856"/>
      <c r="C368" s="1859"/>
      <c r="D368" s="1904"/>
      <c r="E368" s="1904"/>
      <c r="F368" s="1904"/>
      <c r="G368" s="1871"/>
      <c r="H368" s="1871"/>
      <c r="I368" s="1871"/>
      <c r="J368" s="1932"/>
      <c r="K368" s="1894"/>
      <c r="L368" s="1894"/>
      <c r="M368" s="1933" t="s">
        <v>3475</v>
      </c>
      <c r="N368" s="1934">
        <f>SUM(N364:N367)</f>
        <v>800000</v>
      </c>
      <c r="O368" s="1935"/>
      <c r="P368" s="1927">
        <f>N368-800000</f>
        <v>0</v>
      </c>
      <c r="Q368" s="1926"/>
    </row>
    <row r="369" spans="1:18" ht="31.5" hidden="1" customHeight="1">
      <c r="A369" s="1855"/>
      <c r="B369" s="1856"/>
      <c r="C369" s="2521" t="s">
        <v>3476</v>
      </c>
      <c r="D369" s="2521"/>
      <c r="E369" s="2521"/>
      <c r="F369" s="2521"/>
      <c r="G369" s="2521"/>
      <c r="H369" s="2521"/>
      <c r="I369" s="2521"/>
      <c r="J369" s="2521"/>
      <c r="K369" s="1851"/>
      <c r="L369" s="1851"/>
      <c r="M369" s="1851"/>
      <c r="N369" s="1851"/>
      <c r="O369" s="1858"/>
      <c r="P369" s="1858"/>
      <c r="Q369" s="1858"/>
    </row>
    <row r="370" spans="1:18" ht="117.75" hidden="1" customHeight="1">
      <c r="A370" s="1855">
        <v>24</v>
      </c>
      <c r="B370" s="1856"/>
      <c r="C370" s="2527" t="s">
        <v>3477</v>
      </c>
      <c r="D370" s="2528"/>
      <c r="E370" s="2528"/>
      <c r="F370" s="2528"/>
      <c r="G370" s="2528"/>
      <c r="H370" s="2528"/>
      <c r="I370" s="2528"/>
      <c r="J370" s="2528"/>
      <c r="K370" s="1851"/>
      <c r="L370" s="1851"/>
      <c r="M370" s="1851"/>
      <c r="N370" s="1851"/>
      <c r="O370" s="1866"/>
      <c r="P370" s="1867"/>
      <c r="Q370" s="1867"/>
    </row>
    <row r="371" spans="1:18" hidden="1">
      <c r="A371" s="1855"/>
      <c r="B371" s="1856"/>
      <c r="C371" s="1859" t="s">
        <v>3478</v>
      </c>
      <c r="D371" s="1880"/>
      <c r="E371" s="1880"/>
      <c r="F371" s="1880"/>
      <c r="G371" s="1874"/>
      <c r="H371" s="1874"/>
      <c r="I371" s="1874"/>
      <c r="J371" s="1874"/>
      <c r="K371" s="1851"/>
      <c r="L371" s="1851"/>
      <c r="M371" s="1851"/>
      <c r="N371" s="1851"/>
      <c r="O371" s="1866"/>
      <c r="P371" s="1867"/>
      <c r="Q371" s="1867"/>
    </row>
    <row r="372" spans="1:18" ht="18" hidden="1" customHeight="1">
      <c r="A372" s="1855"/>
      <c r="B372" s="1856"/>
      <c r="C372" s="1877" t="s">
        <v>1438</v>
      </c>
      <c r="D372" s="1853">
        <v>1</v>
      </c>
      <c r="E372" s="1853" t="s">
        <v>1472</v>
      </c>
      <c r="F372" s="1853">
        <v>1</v>
      </c>
      <c r="G372" s="1851">
        <f>ROUND(28.25*0.3048,2)</f>
        <v>8.61</v>
      </c>
      <c r="H372" s="1880"/>
      <c r="I372" s="1851">
        <v>3.05</v>
      </c>
      <c r="J372" s="1851">
        <f>ROUND(D372*F372*G372*I372,2)</f>
        <v>26.26</v>
      </c>
      <c r="K372" s="1851"/>
      <c r="L372" s="1851"/>
      <c r="M372" s="1851"/>
      <c r="N372" s="1851"/>
      <c r="O372" s="1866"/>
      <c r="P372" s="1867"/>
      <c r="Q372" s="1867"/>
    </row>
    <row r="373" spans="1:18" ht="18" hidden="1" customHeight="1">
      <c r="A373" s="1855"/>
      <c r="B373" s="1856"/>
      <c r="C373" s="1877" t="s">
        <v>3479</v>
      </c>
      <c r="D373" s="1853">
        <v>1</v>
      </c>
      <c r="E373" s="1853" t="s">
        <v>1472</v>
      </c>
      <c r="F373" s="1853">
        <v>1</v>
      </c>
      <c r="G373" s="1851">
        <f>ROUND(15.5*0.3048,2)</f>
        <v>4.72</v>
      </c>
      <c r="H373" s="1880"/>
      <c r="I373" s="1851">
        <v>3.05</v>
      </c>
      <c r="J373" s="1851">
        <f>ROUND(D373*F373*G373*I373,2)</f>
        <v>14.4</v>
      </c>
      <c r="K373" s="1851"/>
      <c r="L373" s="1851"/>
      <c r="M373" s="1851"/>
      <c r="N373" s="1851"/>
      <c r="O373" s="1866"/>
      <c r="P373" s="1867"/>
      <c r="Q373" s="1867"/>
    </row>
    <row r="374" spans="1:18" ht="18" hidden="1" customHeight="1">
      <c r="A374" s="1855"/>
      <c r="B374" s="1856"/>
      <c r="C374" s="1877" t="s">
        <v>3480</v>
      </c>
      <c r="D374" s="1853">
        <v>1</v>
      </c>
      <c r="E374" s="1853" t="s">
        <v>1472</v>
      </c>
      <c r="F374" s="1853">
        <v>1</v>
      </c>
      <c r="G374" s="1851">
        <f>ROUND(21.38*0.3048,2)</f>
        <v>6.52</v>
      </c>
      <c r="H374" s="1880"/>
      <c r="I374" s="1851">
        <v>3.05</v>
      </c>
      <c r="J374" s="1851">
        <f>ROUND(D374*F374*G374*I374,2)</f>
        <v>19.89</v>
      </c>
      <c r="K374" s="1851"/>
      <c r="L374" s="1851"/>
      <c r="M374" s="1851"/>
      <c r="N374" s="1851"/>
      <c r="O374" s="1866"/>
      <c r="P374" s="1867"/>
      <c r="Q374" s="1867"/>
    </row>
    <row r="375" spans="1:18" ht="18" hidden="1" customHeight="1">
      <c r="A375" s="1855"/>
      <c r="B375" s="1856"/>
      <c r="C375" s="1877" t="s">
        <v>3481</v>
      </c>
      <c r="D375" s="1853">
        <v>1</v>
      </c>
      <c r="E375" s="1853" t="s">
        <v>1472</v>
      </c>
      <c r="F375" s="1853">
        <v>1</v>
      </c>
      <c r="G375" s="1851">
        <f>ROUND((21.38-5)*0.3048,2)</f>
        <v>4.99</v>
      </c>
      <c r="H375" s="1880"/>
      <c r="I375" s="1851">
        <v>3.05</v>
      </c>
      <c r="J375" s="1851">
        <f>ROUND(D375*F375*G375*I375,2)</f>
        <v>15.22</v>
      </c>
      <c r="K375" s="1851"/>
      <c r="L375" s="1851"/>
      <c r="M375" s="1851"/>
      <c r="N375" s="1851"/>
      <c r="O375" s="1866"/>
      <c r="P375" s="1867"/>
      <c r="Q375" s="1867"/>
    </row>
    <row r="376" spans="1:18" ht="18" hidden="1" customHeight="1">
      <c r="A376" s="1855"/>
      <c r="B376" s="1856"/>
      <c r="C376" s="1877" t="s">
        <v>3371</v>
      </c>
      <c r="D376" s="1853">
        <v>1</v>
      </c>
      <c r="E376" s="1853" t="s">
        <v>1472</v>
      </c>
      <c r="F376" s="1853">
        <v>1</v>
      </c>
      <c r="G376" s="1851">
        <v>2.4</v>
      </c>
      <c r="H376" s="1851">
        <v>1.2</v>
      </c>
      <c r="I376" s="1880"/>
      <c r="J376" s="1851">
        <f>ROUND(D376*F376*G376*H376,2)</f>
        <v>2.88</v>
      </c>
      <c r="K376" s="1851"/>
      <c r="L376" s="1851"/>
      <c r="M376" s="1851"/>
      <c r="N376" s="1851"/>
      <c r="O376" s="1866"/>
      <c r="P376" s="1867"/>
      <c r="Q376" s="1867"/>
    </row>
    <row r="377" spans="1:18" ht="18" hidden="1" customHeight="1">
      <c r="A377" s="1855"/>
      <c r="B377" s="1856"/>
      <c r="C377" s="1877" t="s">
        <v>3422</v>
      </c>
      <c r="D377" s="1853">
        <v>2</v>
      </c>
      <c r="E377" s="1853" t="s">
        <v>1472</v>
      </c>
      <c r="F377" s="1853">
        <v>2</v>
      </c>
      <c r="G377" s="1851">
        <v>1.2</v>
      </c>
      <c r="H377" s="1880"/>
      <c r="I377" s="1851">
        <v>0.1</v>
      </c>
      <c r="J377" s="1851">
        <f>ROUND(D377*F377*G377*I377,2)</f>
        <v>0.48</v>
      </c>
      <c r="K377" s="1851"/>
      <c r="L377" s="1851"/>
      <c r="M377" s="1851"/>
      <c r="N377" s="1851"/>
      <c r="O377" s="1866"/>
      <c r="P377" s="1867"/>
      <c r="Q377" s="1867"/>
    </row>
    <row r="378" spans="1:18" ht="18" hidden="1" customHeight="1">
      <c r="A378" s="1855"/>
      <c r="B378" s="1856"/>
      <c r="C378" s="1877" t="s">
        <v>3422</v>
      </c>
      <c r="D378" s="1853">
        <v>1</v>
      </c>
      <c r="E378" s="1853" t="s">
        <v>1472</v>
      </c>
      <c r="F378" s="1853">
        <v>2</v>
      </c>
      <c r="G378" s="1851">
        <v>2.4</v>
      </c>
      <c r="H378" s="1880"/>
      <c r="I378" s="1851">
        <v>0.1</v>
      </c>
      <c r="J378" s="1851">
        <f>ROUND(D378*F378*G378*I378,2)</f>
        <v>0.48</v>
      </c>
      <c r="K378" s="1851"/>
      <c r="L378" s="1851"/>
      <c r="M378" s="1851"/>
      <c r="N378" s="1851"/>
      <c r="O378" s="1866"/>
      <c r="P378" s="1867"/>
      <c r="Q378" s="1867"/>
    </row>
    <row r="379" spans="1:18" ht="18" hidden="1" customHeight="1">
      <c r="A379" s="1855"/>
      <c r="B379" s="1856"/>
      <c r="C379" s="1895" t="s">
        <v>421</v>
      </c>
      <c r="D379" s="1853"/>
      <c r="E379" s="1853"/>
      <c r="F379" s="1853"/>
      <c r="G379" s="1851"/>
      <c r="H379" s="1851"/>
      <c r="I379" s="1851"/>
      <c r="J379" s="1851"/>
      <c r="K379" s="1851"/>
      <c r="L379" s="1851"/>
      <c r="M379" s="1851"/>
      <c r="N379" s="1851"/>
      <c r="O379" s="1866"/>
      <c r="P379" s="1867"/>
      <c r="Q379" s="1867"/>
    </row>
    <row r="380" spans="1:18" ht="18" hidden="1" customHeight="1">
      <c r="A380" s="1855"/>
      <c r="B380" s="1856"/>
      <c r="C380" s="1887" t="s">
        <v>3393</v>
      </c>
      <c r="D380" s="1853">
        <v>2</v>
      </c>
      <c r="E380" s="1853" t="s">
        <v>1472</v>
      </c>
      <c r="F380" s="1853">
        <v>1</v>
      </c>
      <c r="G380" s="1851">
        <v>1.5</v>
      </c>
      <c r="H380" s="1874"/>
      <c r="I380" s="1851">
        <v>0.15</v>
      </c>
      <c r="J380" s="1851">
        <f>ROUND(D380*F380*G380*I380,2)</f>
        <v>0.45</v>
      </c>
      <c r="K380" s="1851"/>
      <c r="L380" s="1851"/>
      <c r="M380" s="1851"/>
      <c r="N380" s="1851"/>
      <c r="O380" s="1866"/>
      <c r="P380" s="1867"/>
      <c r="Q380" s="1867"/>
    </row>
    <row r="381" spans="1:18" ht="18" hidden="1" customHeight="1">
      <c r="A381" s="1855"/>
      <c r="B381" s="1856"/>
      <c r="C381" s="1887" t="s">
        <v>3482</v>
      </c>
      <c r="D381" s="1853">
        <v>2</v>
      </c>
      <c r="E381" s="1853" t="s">
        <v>1472</v>
      </c>
      <c r="F381" s="1853">
        <v>1</v>
      </c>
      <c r="G381" s="1851">
        <v>1.2</v>
      </c>
      <c r="H381" s="1874"/>
      <c r="I381" s="1851">
        <v>0.15</v>
      </c>
      <c r="J381" s="1851">
        <f>ROUND(D381*F381*G381*I381,2)</f>
        <v>0.36</v>
      </c>
      <c r="K381" s="1851"/>
      <c r="L381" s="1851"/>
      <c r="M381" s="1851"/>
      <c r="N381" s="1851"/>
      <c r="O381" s="1866"/>
      <c r="P381" s="1867"/>
      <c r="Q381" s="1867"/>
    </row>
    <row r="382" spans="1:18" ht="18" hidden="1" customHeight="1">
      <c r="A382" s="1855"/>
      <c r="B382" s="1856"/>
      <c r="C382" s="1887" t="s">
        <v>3395</v>
      </c>
      <c r="D382" s="1853">
        <v>2</v>
      </c>
      <c r="E382" s="1853" t="s">
        <v>1472</v>
      </c>
      <c r="F382" s="1853">
        <v>1</v>
      </c>
      <c r="G382" s="1851">
        <v>0.9</v>
      </c>
      <c r="H382" s="1874"/>
      <c r="I382" s="1851">
        <v>0.15</v>
      </c>
      <c r="J382" s="1851">
        <f>ROUND(D382*F382*G382*I382,2)</f>
        <v>0.27</v>
      </c>
      <c r="K382" s="1851"/>
      <c r="L382" s="1851"/>
      <c r="M382" s="1851"/>
      <c r="N382" s="1851"/>
      <c r="O382" s="1866"/>
      <c r="P382" s="1867"/>
      <c r="Q382" s="1867"/>
    </row>
    <row r="383" spans="1:18" ht="18" hidden="1" customHeight="1">
      <c r="A383" s="1855"/>
      <c r="B383" s="1856"/>
      <c r="C383" s="1887" t="s">
        <v>3396</v>
      </c>
      <c r="D383" s="1853">
        <v>2</v>
      </c>
      <c r="E383" s="1853" t="s">
        <v>1472</v>
      </c>
      <c r="F383" s="1853">
        <v>1</v>
      </c>
      <c r="G383" s="1851">
        <v>0.6</v>
      </c>
      <c r="H383" s="1874"/>
      <c r="I383" s="1851">
        <v>0.15</v>
      </c>
      <c r="J383" s="1851">
        <f>ROUND(D383*F383*G383*I383,2)</f>
        <v>0.18</v>
      </c>
      <c r="K383" s="1851"/>
      <c r="L383" s="1851"/>
      <c r="M383" s="1851"/>
      <c r="N383" s="1851"/>
      <c r="O383" s="1866"/>
      <c r="P383" s="1867"/>
      <c r="Q383" s="1867"/>
    </row>
    <row r="384" spans="1:18" ht="18" hidden="1" customHeight="1">
      <c r="A384" s="1855"/>
      <c r="B384" s="1856"/>
      <c r="C384" s="1887" t="s">
        <v>3397</v>
      </c>
      <c r="D384" s="1853">
        <v>2</v>
      </c>
      <c r="E384" s="1853" t="s">
        <v>1472</v>
      </c>
      <c r="F384" s="1853">
        <v>1</v>
      </c>
      <c r="G384" s="1851">
        <v>0.3</v>
      </c>
      <c r="H384" s="1874"/>
      <c r="I384" s="1851">
        <v>0.15</v>
      </c>
      <c r="J384" s="1851">
        <f>ROUND(D384*F384*G384*I384,2)</f>
        <v>0.09</v>
      </c>
      <c r="K384" s="1851"/>
      <c r="L384" s="1851"/>
      <c r="M384" s="1851"/>
      <c r="N384" s="1851"/>
      <c r="O384" s="1866"/>
      <c r="P384" s="1867"/>
      <c r="Q384" s="1867"/>
      <c r="R384" s="1867"/>
    </row>
    <row r="385" spans="1:18" ht="18" hidden="1" customHeight="1">
      <c r="A385" s="1855"/>
      <c r="B385" s="1856"/>
      <c r="C385" s="1887" t="s">
        <v>3483</v>
      </c>
      <c r="D385" s="1853">
        <v>1</v>
      </c>
      <c r="E385" s="1853" t="s">
        <v>1472</v>
      </c>
      <c r="F385" s="1853">
        <v>5</v>
      </c>
      <c r="G385" s="1851">
        <v>3.6</v>
      </c>
      <c r="H385" s="1851">
        <v>0.3</v>
      </c>
      <c r="I385" s="1851"/>
      <c r="J385" s="1851">
        <f>ROUND(D385*F385*G385*H385,2)</f>
        <v>5.4</v>
      </c>
      <c r="K385" s="1851"/>
      <c r="L385" s="1851"/>
      <c r="M385" s="1851"/>
      <c r="N385" s="1851"/>
      <c r="O385" s="1866"/>
      <c r="P385" s="1867"/>
      <c r="Q385" s="1867"/>
      <c r="R385" s="1867"/>
    </row>
    <row r="386" spans="1:18" ht="18" hidden="1" customHeight="1">
      <c r="A386" s="1855"/>
      <c r="B386" s="1856"/>
      <c r="C386" s="1887" t="s">
        <v>3484</v>
      </c>
      <c r="D386" s="1853">
        <v>1</v>
      </c>
      <c r="E386" s="1853" t="s">
        <v>1472</v>
      </c>
      <c r="F386" s="1853">
        <v>5</v>
      </c>
      <c r="G386" s="1851">
        <v>3.6</v>
      </c>
      <c r="H386" s="1880"/>
      <c r="I386" s="1851">
        <v>0.15</v>
      </c>
      <c r="J386" s="1851">
        <f>ROUND(D386*F386*G386*I386,2)</f>
        <v>2.7</v>
      </c>
      <c r="K386" s="1851"/>
      <c r="L386" s="1851"/>
      <c r="M386" s="1851"/>
      <c r="N386" s="1851"/>
      <c r="O386" s="1866"/>
      <c r="P386" s="1867"/>
      <c r="Q386" s="1867"/>
    </row>
    <row r="387" spans="1:18" ht="18" hidden="1" customHeight="1">
      <c r="A387" s="1855"/>
      <c r="B387" s="1856"/>
      <c r="C387" s="1865" t="s">
        <v>3485</v>
      </c>
      <c r="D387" s="1853">
        <f>D190</f>
        <v>1</v>
      </c>
      <c r="E387" s="1853" t="s">
        <v>1472</v>
      </c>
      <c r="F387" s="1853">
        <v>1</v>
      </c>
      <c r="G387" s="1851">
        <v>3.65</v>
      </c>
      <c r="H387" s="1851">
        <v>0.45</v>
      </c>
      <c r="I387" s="1851"/>
      <c r="J387" s="1851">
        <f>ROUND(D387*F387*G387*H387,2)</f>
        <v>1.64</v>
      </c>
      <c r="K387" s="1851"/>
      <c r="L387" s="1851"/>
      <c r="M387" s="1851"/>
      <c r="N387" s="1851"/>
      <c r="O387" s="1866"/>
      <c r="P387" s="1867"/>
      <c r="Q387" s="1867"/>
    </row>
    <row r="388" spans="1:18" ht="18" hidden="1" customHeight="1">
      <c r="A388" s="1855"/>
      <c r="B388" s="1856"/>
      <c r="C388" s="1865" t="s">
        <v>3486</v>
      </c>
      <c r="D388" s="1853">
        <f>D387</f>
        <v>1</v>
      </c>
      <c r="E388" s="1853" t="s">
        <v>1472</v>
      </c>
      <c r="F388" s="1853">
        <v>1</v>
      </c>
      <c r="G388" s="1851">
        <v>1.5</v>
      </c>
      <c r="H388" s="1851">
        <v>0.9</v>
      </c>
      <c r="I388" s="1851"/>
      <c r="J388" s="1851">
        <f>ROUND(D388*F388*G388*H388,2)</f>
        <v>1.35</v>
      </c>
      <c r="K388" s="1851"/>
      <c r="L388" s="1851"/>
      <c r="M388" s="1851"/>
      <c r="N388" s="1851"/>
      <c r="O388" s="1866"/>
      <c r="P388" s="1867"/>
      <c r="Q388" s="1867"/>
    </row>
    <row r="389" spans="1:18" ht="18" hidden="1" customHeight="1">
      <c r="A389" s="1855"/>
      <c r="B389" s="1856"/>
      <c r="C389" s="1865" t="s">
        <v>3487</v>
      </c>
      <c r="D389" s="1853">
        <f>D388</f>
        <v>1</v>
      </c>
      <c r="E389" s="1853" t="s">
        <v>1472</v>
      </c>
      <c r="F389" s="1853">
        <v>1</v>
      </c>
      <c r="G389" s="1851">
        <v>3.65</v>
      </c>
      <c r="H389" s="1885">
        <v>1.5</v>
      </c>
      <c r="I389" s="1880"/>
      <c r="J389" s="1851">
        <f>ROUND(D389*F389*G389*H389,2)</f>
        <v>5.48</v>
      </c>
      <c r="K389" s="1851"/>
      <c r="L389" s="1851"/>
      <c r="M389" s="1851"/>
      <c r="N389" s="1851"/>
      <c r="O389" s="1866"/>
      <c r="P389" s="1867"/>
      <c r="Q389" s="1867"/>
    </row>
    <row r="390" spans="1:18" ht="21.75" hidden="1" customHeight="1">
      <c r="A390" s="1855"/>
      <c r="B390" s="1856"/>
      <c r="C390" s="1877" t="s">
        <v>467</v>
      </c>
      <c r="D390" s="1853"/>
      <c r="E390" s="1853"/>
      <c r="F390" s="1853"/>
      <c r="G390" s="1851"/>
      <c r="H390" s="1851"/>
      <c r="I390" s="1851"/>
      <c r="J390" s="1871">
        <f>SUM(J372:J389)</f>
        <v>97.53000000000003</v>
      </c>
      <c r="K390" s="1851"/>
      <c r="L390" s="1851"/>
      <c r="M390" s="1851"/>
      <c r="N390" s="1851"/>
      <c r="O390" s="1866"/>
      <c r="P390" s="1867"/>
      <c r="Q390" s="1867"/>
    </row>
    <row r="391" spans="1:18" ht="17.2" hidden="1" customHeight="1">
      <c r="A391" s="1855"/>
      <c r="B391" s="1856"/>
      <c r="C391" s="1877"/>
      <c r="D391" s="1853"/>
      <c r="E391" s="1853"/>
      <c r="F391" s="1853"/>
      <c r="G391" s="1851"/>
      <c r="H391" s="1851"/>
      <c r="I391" s="1851"/>
      <c r="J391" s="1871" t="s">
        <v>1478</v>
      </c>
      <c r="K391" s="1851"/>
      <c r="L391" s="1871"/>
      <c r="M391" s="1871"/>
      <c r="N391" s="1871"/>
      <c r="O391" s="1891"/>
      <c r="P391" s="1890"/>
      <c r="Q391" s="1867"/>
    </row>
    <row r="392" spans="1:18" ht="21.75" hidden="1" customHeight="1">
      <c r="A392" s="1855"/>
      <c r="B392" s="1872"/>
      <c r="C392" s="2524" t="s">
        <v>3389</v>
      </c>
      <c r="D392" s="2524"/>
      <c r="E392" s="2524"/>
      <c r="F392" s="2524"/>
      <c r="G392" s="2524"/>
      <c r="H392" s="2524"/>
      <c r="I392" s="2524"/>
      <c r="J392" s="1851">
        <f>J390</f>
        <v>97.53000000000003</v>
      </c>
      <c r="K392" s="1873">
        <f>[221]Datas!E677</f>
        <v>4152.1900000000005</v>
      </c>
      <c r="L392" s="1873"/>
      <c r="M392" s="1873">
        <f>ROUND(K392*J392/10,0)</f>
        <v>40496</v>
      </c>
      <c r="N392" s="1873">
        <f>SUM(L392:M392)</f>
        <v>40496</v>
      </c>
      <c r="O392" s="1866">
        <f>0.21*40/10</f>
        <v>0.84000000000000008</v>
      </c>
      <c r="P392" s="1878">
        <f>ROUND(O392*J392,2)</f>
        <v>81.93</v>
      </c>
      <c r="Q392" s="1867"/>
    </row>
    <row r="393" spans="1:18" hidden="1">
      <c r="A393" s="1855"/>
      <c r="B393" s="1880"/>
      <c r="C393" s="1880"/>
      <c r="D393" s="1880"/>
      <c r="E393" s="1880"/>
      <c r="F393" s="1883"/>
      <c r="G393" s="1880"/>
      <c r="H393" s="1880"/>
      <c r="I393" s="1880"/>
      <c r="J393" s="1851" t="s">
        <v>1478</v>
      </c>
      <c r="K393" s="1873" t="s">
        <v>468</v>
      </c>
      <c r="L393" s="1873"/>
      <c r="M393" s="1873"/>
      <c r="N393" s="1873"/>
      <c r="O393" s="1866"/>
      <c r="P393" s="1867"/>
      <c r="Q393" s="1867"/>
    </row>
    <row r="394" spans="1:18" hidden="1">
      <c r="A394" s="1855"/>
      <c r="B394" s="1880"/>
      <c r="C394" s="1880"/>
      <c r="D394" s="1880"/>
      <c r="E394" s="1880"/>
      <c r="F394" s="1883"/>
      <c r="G394" s="1880"/>
      <c r="H394" s="1880"/>
      <c r="I394" s="1880"/>
      <c r="J394" s="1884"/>
      <c r="K394" s="1873"/>
      <c r="L394" s="1873"/>
      <c r="M394" s="1873"/>
      <c r="N394" s="1873"/>
      <c r="O394" s="1866"/>
      <c r="P394" s="1867"/>
      <c r="Q394" s="1867"/>
    </row>
    <row r="395" spans="1:18" ht="130.9" hidden="1" customHeight="1">
      <c r="A395" s="1855">
        <v>25</v>
      </c>
      <c r="B395" s="1856"/>
      <c r="C395" s="2527" t="s">
        <v>3449</v>
      </c>
      <c r="D395" s="2528"/>
      <c r="E395" s="2528"/>
      <c r="F395" s="2528"/>
      <c r="G395" s="2528"/>
      <c r="H395" s="2528"/>
      <c r="I395" s="2528"/>
      <c r="J395" s="2528"/>
      <c r="K395" s="1851"/>
      <c r="L395" s="1851"/>
      <c r="M395" s="1851"/>
      <c r="N395" s="1851"/>
      <c r="O395" s="1866"/>
      <c r="P395" s="1867"/>
      <c r="Q395" s="1867"/>
    </row>
    <row r="396" spans="1:18" hidden="1">
      <c r="A396" s="1855"/>
      <c r="B396" s="1856"/>
      <c r="C396" s="1859" t="s">
        <v>3450</v>
      </c>
      <c r="D396" s="1880"/>
      <c r="E396" s="1880"/>
      <c r="F396" s="1880"/>
      <c r="G396" s="1874"/>
      <c r="H396" s="1874"/>
      <c r="I396" s="1874"/>
      <c r="J396" s="1874"/>
      <c r="K396" s="1851"/>
      <c r="L396" s="1851"/>
      <c r="M396" s="1851"/>
      <c r="N396" s="1851"/>
      <c r="O396" s="1866"/>
      <c r="P396" s="1867"/>
      <c r="Q396" s="1867"/>
    </row>
    <row r="397" spans="1:18" ht="18" hidden="1" customHeight="1">
      <c r="A397" s="1855"/>
      <c r="B397" s="1856"/>
      <c r="C397" s="1899" t="s">
        <v>3451</v>
      </c>
      <c r="D397" s="1853">
        <v>1</v>
      </c>
      <c r="E397" s="1853" t="s">
        <v>1472</v>
      </c>
      <c r="F397" s="1853">
        <v>1</v>
      </c>
      <c r="G397" s="1851">
        <f>ROUND((14+19.88)*0.3048*2,2)</f>
        <v>20.65</v>
      </c>
      <c r="H397" s="1851">
        <v>3.05</v>
      </c>
      <c r="I397" s="1851"/>
      <c r="J397" s="1851">
        <f t="shared" ref="J397:J402" si="10">ROUND(D397*F397*G397*H397,2)</f>
        <v>62.98</v>
      </c>
      <c r="K397" s="1851"/>
      <c r="L397" s="1851"/>
      <c r="M397" s="1851"/>
      <c r="N397" s="1851"/>
      <c r="O397" s="1866"/>
      <c r="P397" s="1867"/>
      <c r="Q397" s="1867"/>
    </row>
    <row r="398" spans="1:18" hidden="1">
      <c r="A398" s="1855"/>
      <c r="B398" s="1856"/>
      <c r="C398" s="1899" t="s">
        <v>3452</v>
      </c>
      <c r="D398" s="1853">
        <v>1</v>
      </c>
      <c r="E398" s="1853" t="s">
        <v>1472</v>
      </c>
      <c r="F398" s="1853">
        <v>1</v>
      </c>
      <c r="G398" s="1851">
        <f>ROUND((12+7)*0.3048*2,2)</f>
        <v>11.58</v>
      </c>
      <c r="H398" s="1851">
        <v>3.05</v>
      </c>
      <c r="I398" s="1851"/>
      <c r="J398" s="1851">
        <f t="shared" si="10"/>
        <v>35.32</v>
      </c>
      <c r="K398" s="1851"/>
      <c r="L398" s="1851"/>
      <c r="M398" s="1851"/>
      <c r="N398" s="1851"/>
      <c r="O398" s="1866"/>
      <c r="P398" s="1867"/>
      <c r="Q398" s="1867"/>
    </row>
    <row r="399" spans="1:18" hidden="1">
      <c r="A399" s="1855"/>
      <c r="B399" s="1856"/>
      <c r="C399" s="1899" t="s">
        <v>3453</v>
      </c>
      <c r="D399" s="1853">
        <v>1</v>
      </c>
      <c r="E399" s="1853" t="s">
        <v>1472</v>
      </c>
      <c r="F399" s="1853">
        <v>1</v>
      </c>
      <c r="G399" s="1851">
        <f>ROUND((7.63+7)*0.3048*2,2)</f>
        <v>8.92</v>
      </c>
      <c r="H399" s="1851">
        <v>3.05</v>
      </c>
      <c r="I399" s="1851"/>
      <c r="J399" s="1851">
        <f t="shared" si="10"/>
        <v>27.21</v>
      </c>
      <c r="K399" s="1851"/>
      <c r="L399" s="1851"/>
      <c r="M399" s="1851"/>
      <c r="N399" s="1851"/>
      <c r="O399" s="1866"/>
      <c r="P399" s="1867"/>
      <c r="Q399" s="1867"/>
    </row>
    <row r="400" spans="1:18" hidden="1">
      <c r="A400" s="1855"/>
      <c r="B400" s="1856"/>
      <c r="C400" s="1899" t="s">
        <v>3446</v>
      </c>
      <c r="D400" s="1853">
        <v>1</v>
      </c>
      <c r="E400" s="1853" t="s">
        <v>1472</v>
      </c>
      <c r="F400" s="1853">
        <v>1</v>
      </c>
      <c r="G400" s="1851">
        <f>ROUND((4+7)*0.3048*2,2)</f>
        <v>6.71</v>
      </c>
      <c r="H400" s="1851">
        <v>3.05</v>
      </c>
      <c r="I400" s="1851"/>
      <c r="J400" s="1851">
        <f t="shared" si="10"/>
        <v>20.47</v>
      </c>
      <c r="K400" s="1851"/>
      <c r="L400" s="1851"/>
      <c r="M400" s="1851"/>
      <c r="N400" s="1851"/>
      <c r="O400" s="1866"/>
      <c r="P400" s="1867"/>
      <c r="Q400" s="1867"/>
    </row>
    <row r="401" spans="1:17" hidden="1">
      <c r="A401" s="1855"/>
      <c r="B401" s="1856"/>
      <c r="C401" s="1899" t="s">
        <v>3454</v>
      </c>
      <c r="D401" s="1853">
        <v>1</v>
      </c>
      <c r="E401" s="1853" t="s">
        <v>1472</v>
      </c>
      <c r="F401" s="1853">
        <v>1</v>
      </c>
      <c r="G401" s="1851">
        <f>ROUND((12+5)*0.3048,2)</f>
        <v>5.18</v>
      </c>
      <c r="H401" s="1851">
        <v>3.05</v>
      </c>
      <c r="I401" s="1851"/>
      <c r="J401" s="1851">
        <f t="shared" si="10"/>
        <v>15.8</v>
      </c>
      <c r="K401" s="1851"/>
      <c r="L401" s="1851"/>
      <c r="M401" s="1851"/>
      <c r="N401" s="1851"/>
      <c r="O401" s="1866"/>
      <c r="P401" s="1867"/>
      <c r="Q401" s="1867"/>
    </row>
    <row r="402" spans="1:17" ht="28.2" hidden="1">
      <c r="A402" s="1855"/>
      <c r="B402" s="1856"/>
      <c r="C402" s="1899" t="s">
        <v>3432</v>
      </c>
      <c r="D402" s="1853">
        <v>2</v>
      </c>
      <c r="E402" s="1853" t="s">
        <v>1472</v>
      </c>
      <c r="F402" s="1853">
        <v>2</v>
      </c>
      <c r="G402" s="1851">
        <v>0.6</v>
      </c>
      <c r="H402" s="1851">
        <v>0.75</v>
      </c>
      <c r="I402" s="1851"/>
      <c r="J402" s="1851">
        <f t="shared" si="10"/>
        <v>1.8</v>
      </c>
      <c r="K402" s="1851"/>
      <c r="L402" s="1851"/>
      <c r="M402" s="1851"/>
      <c r="N402" s="1851"/>
      <c r="O402" s="1866"/>
      <c r="P402" s="1867"/>
      <c r="Q402" s="1867"/>
    </row>
    <row r="403" spans="1:17" ht="24" hidden="1" customHeight="1">
      <c r="A403" s="1855"/>
      <c r="B403" s="1856"/>
      <c r="C403" s="1905"/>
      <c r="D403" s="1853"/>
      <c r="E403" s="1853"/>
      <c r="F403" s="1853"/>
      <c r="G403" s="1851"/>
      <c r="H403" s="1851"/>
      <c r="I403" s="1851"/>
      <c r="J403" s="1851">
        <f>SUM(J397:J402)</f>
        <v>163.58000000000001</v>
      </c>
      <c r="K403" s="1851"/>
      <c r="L403" s="1851"/>
      <c r="M403" s="1851"/>
      <c r="N403" s="1851"/>
      <c r="O403" s="1866"/>
      <c r="P403" s="1867"/>
      <c r="Q403" s="1867"/>
    </row>
    <row r="404" spans="1:17" ht="21.75" hidden="1" customHeight="1">
      <c r="A404" s="1855"/>
      <c r="B404" s="1856"/>
      <c r="C404" s="1859" t="s">
        <v>675</v>
      </c>
      <c r="D404" s="1853"/>
      <c r="E404" s="1853"/>
      <c r="F404" s="1853"/>
      <c r="G404" s="1851"/>
      <c r="H404" s="1851"/>
      <c r="I404" s="1851"/>
      <c r="J404" s="1851"/>
      <c r="K404" s="1851"/>
      <c r="L404" s="1851"/>
      <c r="M404" s="1851"/>
      <c r="N404" s="1851"/>
      <c r="O404" s="1866"/>
      <c r="P404" s="1867"/>
      <c r="Q404" s="1867"/>
    </row>
    <row r="405" spans="1:17" hidden="1">
      <c r="A405" s="1855"/>
      <c r="B405" s="1856"/>
      <c r="C405" s="1899" t="s">
        <v>116</v>
      </c>
      <c r="D405" s="1853">
        <v>1</v>
      </c>
      <c r="E405" s="1853" t="s">
        <v>1472</v>
      </c>
      <c r="F405" s="1853">
        <v>2</v>
      </c>
      <c r="G405" s="1851">
        <v>1.05</v>
      </c>
      <c r="H405" s="1851"/>
      <c r="I405" s="1851">
        <v>2.1</v>
      </c>
      <c r="J405" s="1851">
        <f>ROUND(D405*F405*G405*I405,2)</f>
        <v>4.41</v>
      </c>
      <c r="K405" s="1851"/>
      <c r="L405" s="1851"/>
      <c r="M405" s="1851"/>
      <c r="N405" s="1851"/>
      <c r="O405" s="1866"/>
      <c r="P405" s="1867"/>
      <c r="Q405" s="1867"/>
    </row>
    <row r="406" spans="1:17" ht="18" hidden="1" customHeight="1">
      <c r="A406" s="1855"/>
      <c r="B406" s="1856"/>
      <c r="C406" s="1899" t="s">
        <v>2801</v>
      </c>
      <c r="D406" s="1853">
        <v>1</v>
      </c>
      <c r="E406" s="1853" t="s">
        <v>1472</v>
      </c>
      <c r="F406" s="1853">
        <v>2</v>
      </c>
      <c r="G406" s="1851">
        <v>0.9</v>
      </c>
      <c r="H406" s="1851"/>
      <c r="I406" s="1851">
        <v>2.1</v>
      </c>
      <c r="J406" s="1851">
        <f>ROUND(D406*F406*G406*I406,2)</f>
        <v>3.78</v>
      </c>
      <c r="K406" s="1851"/>
      <c r="L406" s="1851"/>
      <c r="M406" s="1851"/>
      <c r="N406" s="1851"/>
      <c r="O406" s="1866"/>
      <c r="P406" s="1867"/>
      <c r="Q406" s="1867"/>
    </row>
    <row r="407" spans="1:17" ht="18" hidden="1" customHeight="1">
      <c r="A407" s="1855"/>
      <c r="B407" s="1856"/>
      <c r="C407" s="1899" t="s">
        <v>3455</v>
      </c>
      <c r="D407" s="1853">
        <v>1</v>
      </c>
      <c r="E407" s="1853" t="s">
        <v>1472</v>
      </c>
      <c r="F407" s="1853">
        <v>4</v>
      </c>
      <c r="G407" s="1851">
        <v>1.2</v>
      </c>
      <c r="H407" s="1851"/>
      <c r="I407" s="1851">
        <v>1.2</v>
      </c>
      <c r="J407" s="1851">
        <f>ROUND(D407*F407*G407*I407,2)</f>
        <v>5.76</v>
      </c>
      <c r="K407" s="1851"/>
      <c r="L407" s="1851"/>
      <c r="M407" s="1851"/>
      <c r="N407" s="1851"/>
      <c r="O407" s="1866"/>
      <c r="P407" s="1867"/>
      <c r="Q407" s="1867"/>
    </row>
    <row r="408" spans="1:17" ht="18" hidden="1" customHeight="1">
      <c r="A408" s="1855"/>
      <c r="B408" s="1856"/>
      <c r="C408" s="1899" t="s">
        <v>3455</v>
      </c>
      <c r="D408" s="1853">
        <v>1</v>
      </c>
      <c r="E408" s="1853" t="s">
        <v>1472</v>
      </c>
      <c r="F408" s="1853">
        <v>1</v>
      </c>
      <c r="G408" s="1851">
        <v>1.2</v>
      </c>
      <c r="H408" s="1851"/>
      <c r="I408" s="1851">
        <v>0.75</v>
      </c>
      <c r="J408" s="1851">
        <f>ROUND(D408*F408*G408*I408,2)</f>
        <v>0.9</v>
      </c>
      <c r="K408" s="1851"/>
      <c r="L408" s="1851"/>
      <c r="M408" s="1851"/>
      <c r="N408" s="1851"/>
      <c r="O408" s="1866"/>
      <c r="P408" s="1867"/>
      <c r="Q408" s="1867"/>
    </row>
    <row r="409" spans="1:17" ht="18" hidden="1" customHeight="1">
      <c r="A409" s="1855"/>
      <c r="B409" s="1856"/>
      <c r="C409" s="1899" t="s">
        <v>83</v>
      </c>
      <c r="D409" s="1853">
        <v>1</v>
      </c>
      <c r="E409" s="1853" t="s">
        <v>1472</v>
      </c>
      <c r="F409" s="1853">
        <v>7</v>
      </c>
      <c r="G409" s="1851">
        <v>0.6</v>
      </c>
      <c r="H409" s="1851"/>
      <c r="I409" s="1851">
        <v>0.3</v>
      </c>
      <c r="J409" s="1851">
        <f>ROUND(D409*F409*G409*I409,2)</f>
        <v>1.26</v>
      </c>
      <c r="K409" s="1851"/>
      <c r="L409" s="1851"/>
      <c r="M409" s="1851"/>
      <c r="N409" s="1851"/>
      <c r="O409" s="1866"/>
      <c r="P409" s="1867"/>
      <c r="Q409" s="1867"/>
    </row>
    <row r="410" spans="1:17" hidden="1">
      <c r="A410" s="1855"/>
      <c r="B410" s="1856"/>
      <c r="C410" s="1887"/>
      <c r="D410" s="1853"/>
      <c r="E410" s="1853"/>
      <c r="F410" s="1853"/>
      <c r="G410" s="1851"/>
      <c r="H410" s="1851"/>
      <c r="I410" s="1851"/>
      <c r="J410" s="1851">
        <f>SUM(J405:J409)</f>
        <v>16.11</v>
      </c>
      <c r="K410" s="1851"/>
      <c r="L410" s="1851"/>
      <c r="M410" s="1851"/>
      <c r="N410" s="1851"/>
      <c r="O410" s="1866"/>
      <c r="P410" s="1867"/>
      <c r="Q410" s="1867"/>
    </row>
    <row r="411" spans="1:17" ht="24" hidden="1" customHeight="1">
      <c r="A411" s="1855"/>
      <c r="B411" s="1856"/>
      <c r="C411" s="1887"/>
      <c r="D411" s="1853"/>
      <c r="E411" s="1853"/>
      <c r="F411" s="1853"/>
      <c r="G411" s="1851"/>
      <c r="H411" s="1851"/>
      <c r="I411" s="1851"/>
      <c r="J411" s="1871">
        <f>J403-J410</f>
        <v>147.47000000000003</v>
      </c>
      <c r="K411" s="1851"/>
      <c r="L411" s="1851"/>
      <c r="M411" s="1851"/>
      <c r="N411" s="1851"/>
      <c r="O411" s="1866"/>
      <c r="P411" s="1867"/>
      <c r="Q411" s="1867"/>
    </row>
    <row r="412" spans="1:17" ht="17.2" hidden="1" customHeight="1">
      <c r="A412" s="1855"/>
      <c r="B412" s="1856"/>
      <c r="C412" s="1877"/>
      <c r="D412" s="1904"/>
      <c r="E412" s="1904"/>
      <c r="F412" s="1853"/>
      <c r="G412" s="1851"/>
      <c r="H412" s="1851"/>
      <c r="I412" s="1851"/>
      <c r="J412" s="1871" t="s">
        <v>1478</v>
      </c>
      <c r="K412" s="1851"/>
      <c r="L412" s="1851"/>
      <c r="M412" s="1851"/>
      <c r="N412" s="1851"/>
      <c r="O412" s="1866"/>
      <c r="P412" s="1867"/>
      <c r="Q412" s="1867"/>
    </row>
    <row r="413" spans="1:17" ht="21.75" hidden="1" customHeight="1">
      <c r="A413" s="1855"/>
      <c r="B413" s="1872"/>
      <c r="C413" s="2524" t="s">
        <v>3389</v>
      </c>
      <c r="D413" s="2524"/>
      <c r="E413" s="2524"/>
      <c r="F413" s="2524"/>
      <c r="G413" s="2524"/>
      <c r="H413" s="2524"/>
      <c r="I413" s="2524"/>
      <c r="J413" s="1851">
        <v>0</v>
      </c>
      <c r="K413" s="1873">
        <f>[221]Datas!E652</f>
        <v>4029.98</v>
      </c>
      <c r="L413" s="1873"/>
      <c r="M413" s="1873">
        <f>ROUND(K413*J413/10,0)</f>
        <v>0</v>
      </c>
      <c r="N413" s="1873">
        <f>SUM(L413:M413)</f>
        <v>0</v>
      </c>
      <c r="O413" s="1866">
        <v>0.6</v>
      </c>
      <c r="P413" s="1878">
        <f>ROUND(O413*J413,2)</f>
        <v>0</v>
      </c>
      <c r="Q413" s="1867"/>
    </row>
    <row r="414" spans="1:17" hidden="1">
      <c r="A414" s="1855"/>
      <c r="B414" s="1880"/>
      <c r="C414" s="1880"/>
      <c r="D414" s="1880"/>
      <c r="E414" s="1880"/>
      <c r="F414" s="1883"/>
      <c r="G414" s="1880"/>
      <c r="H414" s="1880"/>
      <c r="I414" s="1880"/>
      <c r="J414" s="1851" t="s">
        <v>1478</v>
      </c>
      <c r="K414" s="1873" t="s">
        <v>672</v>
      </c>
      <c r="L414" s="1873"/>
      <c r="M414" s="1873"/>
      <c r="N414" s="1873"/>
      <c r="O414" s="1866"/>
      <c r="P414" s="1867"/>
      <c r="Q414" s="1867"/>
    </row>
    <row r="415" spans="1:17" hidden="1">
      <c r="A415" s="1855"/>
      <c r="B415" s="1880"/>
      <c r="C415" s="1880"/>
      <c r="D415" s="1880"/>
      <c r="E415" s="1880"/>
      <c r="F415" s="1883"/>
      <c r="G415" s="1880"/>
      <c r="H415" s="1880"/>
      <c r="I415" s="1880"/>
      <c r="J415" s="1884"/>
      <c r="K415" s="1873"/>
      <c r="L415" s="1873"/>
      <c r="M415" s="1873"/>
      <c r="N415" s="1873"/>
      <c r="O415" s="1866"/>
      <c r="P415" s="1867"/>
      <c r="Q415" s="1867"/>
    </row>
    <row r="416" spans="1:17" ht="162" hidden="1" customHeight="1">
      <c r="A416" s="1855">
        <v>26</v>
      </c>
      <c r="B416" s="1856"/>
      <c r="C416" s="2527" t="s">
        <v>3462</v>
      </c>
      <c r="D416" s="2528"/>
      <c r="E416" s="2528"/>
      <c r="F416" s="2528"/>
      <c r="G416" s="2528"/>
      <c r="H416" s="2528"/>
      <c r="I416" s="2528"/>
      <c r="J416" s="2528"/>
      <c r="K416" s="1851"/>
      <c r="L416" s="1851"/>
      <c r="M416" s="1851"/>
      <c r="N416" s="1851"/>
      <c r="O416" s="1866"/>
      <c r="P416" s="1867"/>
      <c r="Q416" s="1867"/>
    </row>
    <row r="417" spans="1:17" ht="24" hidden="1" customHeight="1">
      <c r="A417" s="1855"/>
      <c r="B417" s="1856"/>
      <c r="C417" s="1899" t="s">
        <v>3463</v>
      </c>
      <c r="D417" s="1853">
        <v>1</v>
      </c>
      <c r="E417" s="1853" t="s">
        <v>1472</v>
      </c>
      <c r="F417" s="1853">
        <v>1</v>
      </c>
      <c r="G417" s="1851">
        <f>ROUND((14)*0.3048,2)</f>
        <v>4.2699999999999996</v>
      </c>
      <c r="H417" s="1851">
        <f>ROUND((19.88)*0.3048,2)</f>
        <v>6.06</v>
      </c>
      <c r="I417" s="1880"/>
      <c r="J417" s="1851">
        <f t="shared" ref="J417:J424" si="11">ROUND(D417*F417*G417*H417,2)</f>
        <v>25.88</v>
      </c>
      <c r="K417" s="1851"/>
      <c r="L417" s="1851"/>
      <c r="M417" s="1851"/>
      <c r="N417" s="1851"/>
      <c r="O417" s="1866"/>
      <c r="P417" s="1867"/>
      <c r="Q417" s="1867"/>
    </row>
    <row r="418" spans="1:17" hidden="1">
      <c r="A418" s="1855"/>
      <c r="B418" s="1856"/>
      <c r="C418" s="1899" t="s">
        <v>3464</v>
      </c>
      <c r="D418" s="1853">
        <v>1</v>
      </c>
      <c r="E418" s="1853" t="s">
        <v>1472</v>
      </c>
      <c r="F418" s="1853">
        <v>1</v>
      </c>
      <c r="G418" s="1851">
        <f>ROUND((12)*0.3048,2)</f>
        <v>3.66</v>
      </c>
      <c r="H418" s="1851">
        <f>ROUND((7*0.3048),2)</f>
        <v>2.13</v>
      </c>
      <c r="I418" s="1880"/>
      <c r="J418" s="1851">
        <f t="shared" si="11"/>
        <v>7.8</v>
      </c>
      <c r="K418" s="1851"/>
      <c r="L418" s="1851"/>
      <c r="M418" s="1851"/>
      <c r="N418" s="1851"/>
      <c r="O418" s="1866"/>
      <c r="P418" s="1867"/>
      <c r="Q418" s="1867"/>
    </row>
    <row r="419" spans="1:17" hidden="1">
      <c r="A419" s="1855"/>
      <c r="B419" s="1856"/>
      <c r="C419" s="1899" t="s">
        <v>3453</v>
      </c>
      <c r="D419" s="1853">
        <v>1</v>
      </c>
      <c r="E419" s="1853" t="s">
        <v>1472</v>
      </c>
      <c r="F419" s="1853">
        <v>1</v>
      </c>
      <c r="G419" s="1851">
        <f>ROUND((7.63)*0.3048,2)</f>
        <v>2.33</v>
      </c>
      <c r="H419" s="1851">
        <f>ROUND((7)*0.3048,2)</f>
        <v>2.13</v>
      </c>
      <c r="I419" s="1880"/>
      <c r="J419" s="1851">
        <f t="shared" si="11"/>
        <v>4.96</v>
      </c>
      <c r="K419" s="1851"/>
      <c r="L419" s="1851"/>
      <c r="M419" s="1851"/>
      <c r="N419" s="1851"/>
      <c r="O419" s="1866"/>
      <c r="P419" s="1867"/>
      <c r="Q419" s="1867"/>
    </row>
    <row r="420" spans="1:17" hidden="1">
      <c r="A420" s="1855"/>
      <c r="B420" s="1856"/>
      <c r="C420" s="1899" t="s">
        <v>3465</v>
      </c>
      <c r="D420" s="1853">
        <v>1</v>
      </c>
      <c r="E420" s="1853" t="s">
        <v>1472</v>
      </c>
      <c r="F420" s="1853">
        <v>1</v>
      </c>
      <c r="G420" s="1851">
        <f>ROUND((4)*0.3048,2)</f>
        <v>1.22</v>
      </c>
      <c r="H420" s="1851">
        <f>ROUND((7)*0.3048,2)</f>
        <v>2.13</v>
      </c>
      <c r="I420" s="1880"/>
      <c r="J420" s="1851">
        <f t="shared" si="11"/>
        <v>2.6</v>
      </c>
      <c r="K420" s="1851"/>
      <c r="L420" s="1851"/>
      <c r="M420" s="1851"/>
      <c r="N420" s="1851"/>
      <c r="O420" s="1866"/>
      <c r="P420" s="1867"/>
      <c r="Q420" s="1867"/>
    </row>
    <row r="421" spans="1:17" hidden="1">
      <c r="A421" s="1855"/>
      <c r="B421" s="1856"/>
      <c r="C421" s="1899" t="s">
        <v>3454</v>
      </c>
      <c r="D421" s="1853">
        <v>1</v>
      </c>
      <c r="E421" s="1853" t="s">
        <v>1472</v>
      </c>
      <c r="F421" s="1853">
        <v>1</v>
      </c>
      <c r="G421" s="1851">
        <f>ROUND((12)*0.3048,2)</f>
        <v>3.66</v>
      </c>
      <c r="H421" s="1851">
        <f>ROUND((5)*0.3048,2)</f>
        <v>1.52</v>
      </c>
      <c r="I421" s="1880"/>
      <c r="J421" s="1851">
        <f t="shared" si="11"/>
        <v>5.56</v>
      </c>
      <c r="K421" s="1851"/>
      <c r="L421" s="1851"/>
      <c r="M421" s="1851"/>
      <c r="N421" s="1851"/>
      <c r="O421" s="1866"/>
      <c r="P421" s="1867"/>
      <c r="Q421" s="1867"/>
    </row>
    <row r="422" spans="1:17" ht="18" hidden="1" customHeight="1">
      <c r="A422" s="1855"/>
      <c r="B422" s="1856"/>
      <c r="C422" s="1899" t="s">
        <v>3466</v>
      </c>
      <c r="D422" s="1853">
        <v>2</v>
      </c>
      <c r="E422" s="1853" t="s">
        <v>1472</v>
      </c>
      <c r="F422" s="1853">
        <v>1</v>
      </c>
      <c r="G422" s="1851">
        <v>1.05</v>
      </c>
      <c r="H422" s="1851">
        <v>0.23</v>
      </c>
      <c r="I422" s="1851"/>
      <c r="J422" s="1851">
        <f t="shared" si="11"/>
        <v>0.48</v>
      </c>
      <c r="K422" s="1851"/>
      <c r="L422" s="1851"/>
      <c r="M422" s="1851"/>
      <c r="N422" s="1851"/>
      <c r="O422" s="1866"/>
      <c r="P422" s="1867"/>
      <c r="Q422" s="1867"/>
    </row>
    <row r="423" spans="1:17" ht="18" hidden="1" customHeight="1">
      <c r="A423" s="1855"/>
      <c r="B423" s="1856"/>
      <c r="C423" s="1899" t="s">
        <v>3467</v>
      </c>
      <c r="D423" s="1853">
        <v>1</v>
      </c>
      <c r="E423" s="1853" t="s">
        <v>1472</v>
      </c>
      <c r="F423" s="1853">
        <v>1</v>
      </c>
      <c r="G423" s="1851">
        <v>0.9</v>
      </c>
      <c r="H423" s="1851">
        <v>0.23</v>
      </c>
      <c r="I423" s="1851"/>
      <c r="J423" s="1851">
        <f t="shared" si="11"/>
        <v>0.21</v>
      </c>
      <c r="K423" s="1851"/>
      <c r="L423" s="1851"/>
      <c r="M423" s="1851"/>
      <c r="N423" s="1851"/>
      <c r="O423" s="1866"/>
      <c r="P423" s="1867"/>
      <c r="Q423" s="1867"/>
    </row>
    <row r="424" spans="1:17" ht="18" hidden="1" customHeight="1">
      <c r="A424" s="1855"/>
      <c r="B424" s="1856"/>
      <c r="C424" s="1899" t="s">
        <v>3467</v>
      </c>
      <c r="D424" s="1853">
        <v>1</v>
      </c>
      <c r="E424" s="1853" t="s">
        <v>1472</v>
      </c>
      <c r="F424" s="1853">
        <v>1</v>
      </c>
      <c r="G424" s="1851">
        <v>0.9</v>
      </c>
      <c r="H424" s="1885">
        <v>0.115</v>
      </c>
      <c r="I424" s="1851"/>
      <c r="J424" s="1851">
        <f t="shared" si="11"/>
        <v>0.1</v>
      </c>
      <c r="K424" s="1851"/>
      <c r="L424" s="1851"/>
      <c r="M424" s="1851"/>
      <c r="N424" s="1851"/>
      <c r="O424" s="1866"/>
      <c r="P424" s="1867"/>
      <c r="Q424" s="1867"/>
    </row>
    <row r="425" spans="1:17" ht="18" hidden="1" customHeight="1">
      <c r="A425" s="1855"/>
      <c r="B425" s="1856"/>
      <c r="C425" s="1877"/>
      <c r="D425" s="1853"/>
      <c r="E425" s="1853"/>
      <c r="F425" s="1853"/>
      <c r="G425" s="1851"/>
      <c r="H425" s="1851"/>
      <c r="I425" s="1851"/>
      <c r="J425" s="1851">
        <f>SUM(J417:J424)</f>
        <v>47.59</v>
      </c>
      <c r="K425" s="1851"/>
      <c r="L425" s="1851"/>
      <c r="M425" s="1851"/>
      <c r="N425" s="1851"/>
      <c r="O425" s="1866"/>
      <c r="P425" s="1867"/>
      <c r="Q425" s="1867"/>
    </row>
    <row r="426" spans="1:17" ht="18" hidden="1" customHeight="1">
      <c r="A426" s="1855"/>
      <c r="B426" s="1856"/>
      <c r="C426" s="1877"/>
      <c r="D426" s="1853"/>
      <c r="E426" s="1853"/>
      <c r="F426" s="1853"/>
      <c r="G426" s="1851"/>
      <c r="H426" s="1851"/>
      <c r="I426" s="1851" t="s">
        <v>982</v>
      </c>
      <c r="J426" s="1871">
        <v>0</v>
      </c>
      <c r="K426" s="1851"/>
      <c r="L426" s="1851"/>
      <c r="M426" s="1851"/>
      <c r="N426" s="1851"/>
      <c r="O426" s="1866"/>
      <c r="P426" s="1867"/>
      <c r="Q426" s="1890"/>
    </row>
    <row r="427" spans="1:17" ht="17.2" hidden="1" customHeight="1">
      <c r="A427" s="1855"/>
      <c r="B427" s="1856"/>
      <c r="C427" s="1877"/>
      <c r="D427" s="1853"/>
      <c r="E427" s="1853"/>
      <c r="F427" s="1853"/>
      <c r="G427" s="1851"/>
      <c r="H427" s="1851"/>
      <c r="I427" s="1851"/>
      <c r="J427" s="1871" t="s">
        <v>1478</v>
      </c>
      <c r="K427" s="1851"/>
      <c r="L427" s="1851"/>
      <c r="M427" s="1851"/>
      <c r="N427" s="1851"/>
      <c r="O427" s="1866"/>
      <c r="P427" s="1867"/>
      <c r="Q427" s="1867"/>
    </row>
    <row r="428" spans="1:17" ht="21.75" hidden="1" customHeight="1">
      <c r="A428" s="1855"/>
      <c r="B428" s="1872"/>
      <c r="C428" s="2524" t="s">
        <v>3389</v>
      </c>
      <c r="D428" s="2524"/>
      <c r="E428" s="2524"/>
      <c r="F428" s="2524"/>
      <c r="G428" s="2524"/>
      <c r="H428" s="2524"/>
      <c r="I428" s="2524"/>
      <c r="J428" s="1851">
        <f>J426</f>
        <v>0</v>
      </c>
      <c r="K428" s="1873">
        <f>[221]Datas!E722</f>
        <v>7373.25</v>
      </c>
      <c r="L428" s="1873"/>
      <c r="M428" s="1873">
        <f>ROUND(K428*J428/10,0)</f>
        <v>0</v>
      </c>
      <c r="N428" s="1873">
        <f>SUM(L428:M428)</f>
        <v>0</v>
      </c>
      <c r="O428" s="1866">
        <f>(11*7+0.12*40)/10</f>
        <v>8.18</v>
      </c>
      <c r="P428" s="1878">
        <f>ROUND(O428*J428,2)</f>
        <v>0</v>
      </c>
      <c r="Q428" s="1867"/>
    </row>
    <row r="429" spans="1:17" hidden="1">
      <c r="A429" s="1855"/>
      <c r="B429" s="1872"/>
      <c r="C429" s="1877"/>
      <c r="D429" s="1853"/>
      <c r="E429" s="1853"/>
      <c r="F429" s="1853"/>
      <c r="G429" s="1851"/>
      <c r="H429" s="1851"/>
      <c r="I429" s="1851"/>
      <c r="J429" s="1851" t="s">
        <v>1478</v>
      </c>
      <c r="K429" s="1873" t="s">
        <v>672</v>
      </c>
      <c r="L429" s="1873"/>
      <c r="M429" s="1873"/>
      <c r="N429" s="1873"/>
      <c r="O429" s="1866"/>
      <c r="P429" s="1867"/>
      <c r="Q429" s="1867"/>
    </row>
    <row r="430" spans="1:17" hidden="1">
      <c r="A430" s="1855"/>
      <c r="B430" s="1872"/>
      <c r="C430" s="1877"/>
      <c r="D430" s="1853"/>
      <c r="E430" s="1853"/>
      <c r="F430" s="1853"/>
      <c r="G430" s="1851"/>
      <c r="H430" s="1851"/>
      <c r="I430" s="1851"/>
      <c r="J430" s="1884"/>
      <c r="K430" s="1873"/>
      <c r="L430" s="1873"/>
      <c r="M430" s="1873"/>
      <c r="N430" s="1873"/>
      <c r="O430" s="1866"/>
      <c r="P430" s="1867"/>
      <c r="Q430" s="1867"/>
    </row>
    <row r="431" spans="1:17" ht="134.25" hidden="1" customHeight="1">
      <c r="A431" s="1855">
        <f>A416+1</f>
        <v>27</v>
      </c>
      <c r="B431" s="1856"/>
      <c r="C431" s="2527" t="str">
        <f>[221]Datas!C780</f>
        <v>Providing skirting to internal walls to 15 cm height/risers of steps with 25 mm thick polished shabad  stone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Cuddapah stone, cement, sand and water etc., complete including seigniorage charges, etc., complete for finished item of work, but excluding the cost of conveyance of all materials</v>
      </c>
      <c r="D431" s="2528"/>
      <c r="E431" s="2528"/>
      <c r="F431" s="2528"/>
      <c r="G431" s="2528"/>
      <c r="H431" s="2528"/>
      <c r="I431" s="2528"/>
      <c r="J431" s="2528"/>
      <c r="K431" s="1851"/>
      <c r="L431" s="1851"/>
      <c r="M431" s="1851"/>
      <c r="N431" s="1851"/>
      <c r="O431" s="1866"/>
      <c r="P431" s="1867"/>
      <c r="Q431" s="1867"/>
    </row>
    <row r="432" spans="1:17" ht="24" hidden="1" customHeight="1">
      <c r="A432" s="1855"/>
      <c r="B432" s="1856"/>
      <c r="C432" s="1899" t="s">
        <v>3463</v>
      </c>
      <c r="D432" s="1853">
        <v>1</v>
      </c>
      <c r="E432" s="1853" t="s">
        <v>1472</v>
      </c>
      <c r="F432" s="1853">
        <v>1</v>
      </c>
      <c r="G432" s="1851">
        <f>ROUND((14+19.88)*2*0.3048,2)</f>
        <v>20.65</v>
      </c>
      <c r="H432" s="1851"/>
      <c r="I432" s="1851">
        <v>0.1</v>
      </c>
      <c r="J432" s="1851">
        <f>ROUND(D432*F432*G432*I432,2)</f>
        <v>2.0699999999999998</v>
      </c>
      <c r="K432" s="1851"/>
      <c r="L432" s="1851"/>
      <c r="M432" s="1851"/>
      <c r="N432" s="1851"/>
      <c r="O432" s="1866"/>
      <c r="P432" s="1867"/>
      <c r="Q432" s="1867"/>
    </row>
    <row r="433" spans="1:17" hidden="1">
      <c r="A433" s="1855"/>
      <c r="B433" s="1856"/>
      <c r="C433" s="1899" t="s">
        <v>3464</v>
      </c>
      <c r="D433" s="1853">
        <v>1</v>
      </c>
      <c r="E433" s="1853" t="s">
        <v>1472</v>
      </c>
      <c r="F433" s="1853">
        <v>1</v>
      </c>
      <c r="G433" s="1851">
        <f>ROUND((12+7)*2*0.3048,2)</f>
        <v>11.58</v>
      </c>
      <c r="H433" s="1851"/>
      <c r="I433" s="1851">
        <v>0.1</v>
      </c>
      <c r="J433" s="1851">
        <f t="shared" ref="J433:J438" si="12">ROUND(D433*F433*G433*I433,2)</f>
        <v>1.1599999999999999</v>
      </c>
      <c r="K433" s="1851"/>
      <c r="L433" s="1851"/>
      <c r="M433" s="1851"/>
      <c r="N433" s="1851"/>
      <c r="O433" s="1866"/>
      <c r="P433" s="1867"/>
      <c r="Q433" s="1867"/>
    </row>
    <row r="434" spans="1:17" hidden="1">
      <c r="A434" s="1855"/>
      <c r="B434" s="1856"/>
      <c r="C434" s="1899" t="s">
        <v>3453</v>
      </c>
      <c r="D434" s="1853">
        <v>1</v>
      </c>
      <c r="E434" s="1853" t="s">
        <v>1472</v>
      </c>
      <c r="F434" s="1853">
        <v>1</v>
      </c>
      <c r="G434" s="1851">
        <f>ROUND((7.63+7)*2*0.3048,2)</f>
        <v>8.92</v>
      </c>
      <c r="H434" s="1851"/>
      <c r="I434" s="1851">
        <v>0.1</v>
      </c>
      <c r="J434" s="1851">
        <f t="shared" si="12"/>
        <v>0.89</v>
      </c>
      <c r="K434" s="1851"/>
      <c r="L434" s="1851"/>
      <c r="M434" s="1851"/>
      <c r="N434" s="1851"/>
      <c r="O434" s="1866"/>
      <c r="P434" s="1867"/>
      <c r="Q434" s="1867"/>
    </row>
    <row r="435" spans="1:17" hidden="1">
      <c r="A435" s="1855"/>
      <c r="B435" s="1856"/>
      <c r="C435" s="1899" t="s">
        <v>3465</v>
      </c>
      <c r="D435" s="1853">
        <v>1</v>
      </c>
      <c r="E435" s="1853" t="s">
        <v>1472</v>
      </c>
      <c r="F435" s="1853">
        <v>1</v>
      </c>
      <c r="G435" s="1851">
        <f>ROUND((4+7)*2*0.3048,2)</f>
        <v>6.71</v>
      </c>
      <c r="H435" s="1851"/>
      <c r="I435" s="1851">
        <v>0.1</v>
      </c>
      <c r="J435" s="1851">
        <f t="shared" si="12"/>
        <v>0.67</v>
      </c>
      <c r="K435" s="1851"/>
      <c r="L435" s="1851"/>
      <c r="M435" s="1851"/>
      <c r="N435" s="1851"/>
      <c r="O435" s="1866"/>
      <c r="P435" s="1867"/>
      <c r="Q435" s="1867"/>
    </row>
    <row r="436" spans="1:17" hidden="1">
      <c r="A436" s="1855"/>
      <c r="B436" s="1856"/>
      <c r="C436" s="1899" t="s">
        <v>3488</v>
      </c>
      <c r="D436" s="1853">
        <v>1</v>
      </c>
      <c r="E436" s="1853" t="s">
        <v>1472</v>
      </c>
      <c r="F436" s="1853">
        <v>1</v>
      </c>
      <c r="G436" s="1851">
        <f>ROUND((12+5)*0.3048,2)</f>
        <v>5.18</v>
      </c>
      <c r="H436" s="1851"/>
      <c r="I436" s="1851">
        <v>0.1</v>
      </c>
      <c r="J436" s="1851">
        <f t="shared" si="12"/>
        <v>0.52</v>
      </c>
      <c r="K436" s="1851"/>
      <c r="L436" s="1851"/>
      <c r="M436" s="1851"/>
      <c r="N436" s="1851"/>
      <c r="O436" s="1866"/>
      <c r="P436" s="1867"/>
      <c r="Q436" s="1867"/>
    </row>
    <row r="437" spans="1:17" ht="18" hidden="1" customHeight="1">
      <c r="A437" s="1855"/>
      <c r="B437" s="1856"/>
      <c r="C437" s="1899" t="s">
        <v>3489</v>
      </c>
      <c r="D437" s="1853">
        <v>2</v>
      </c>
      <c r="E437" s="1853" t="s">
        <v>1472</v>
      </c>
      <c r="F437" s="1853">
        <v>2</v>
      </c>
      <c r="G437" s="1851">
        <v>1.05</v>
      </c>
      <c r="H437" s="1851"/>
      <c r="I437" s="1851">
        <v>0.1</v>
      </c>
      <c r="J437" s="1851">
        <f t="shared" si="12"/>
        <v>0.42</v>
      </c>
      <c r="K437" s="1851"/>
      <c r="L437" s="1851"/>
      <c r="M437" s="1851"/>
      <c r="N437" s="1851"/>
      <c r="O437" s="1866"/>
      <c r="P437" s="1867"/>
      <c r="Q437" s="1867"/>
    </row>
    <row r="438" spans="1:17" ht="18" hidden="1" customHeight="1">
      <c r="A438" s="1855"/>
      <c r="B438" s="1856"/>
      <c r="C438" s="1899" t="s">
        <v>2801</v>
      </c>
      <c r="D438" s="1853">
        <v>2</v>
      </c>
      <c r="E438" s="1853" t="s">
        <v>1472</v>
      </c>
      <c r="F438" s="1853">
        <v>2</v>
      </c>
      <c r="G438" s="1851">
        <v>0.9</v>
      </c>
      <c r="H438" s="1851"/>
      <c r="I438" s="1851">
        <v>0.1</v>
      </c>
      <c r="J438" s="1851">
        <f t="shared" si="12"/>
        <v>0.36</v>
      </c>
      <c r="K438" s="1851"/>
      <c r="L438" s="1851"/>
      <c r="M438" s="1851"/>
      <c r="N438" s="1851"/>
      <c r="O438" s="1866"/>
      <c r="P438" s="1867"/>
      <c r="Q438" s="1867"/>
    </row>
    <row r="439" spans="1:17" ht="18" hidden="1" customHeight="1">
      <c r="A439" s="1855"/>
      <c r="B439" s="1856"/>
      <c r="C439" s="1877"/>
      <c r="D439" s="1853"/>
      <c r="E439" s="1853"/>
      <c r="F439" s="1853"/>
      <c r="G439" s="1851"/>
      <c r="H439" s="1851"/>
      <c r="I439" s="1851"/>
      <c r="J439" s="1851">
        <f>SUM(J432:J438)</f>
        <v>6.089999999999999</v>
      </c>
      <c r="K439" s="1851"/>
      <c r="L439" s="1851"/>
      <c r="M439" s="1851"/>
      <c r="N439" s="1851"/>
      <c r="O439" s="1866"/>
      <c r="P439" s="1867"/>
      <c r="Q439" s="1867"/>
    </row>
    <row r="440" spans="1:17" ht="17.2" hidden="1" customHeight="1">
      <c r="A440" s="1855"/>
      <c r="B440" s="1856"/>
      <c r="C440" s="1877"/>
      <c r="D440" s="1853"/>
      <c r="E440" s="1853"/>
      <c r="F440" s="1853"/>
      <c r="G440" s="1851"/>
      <c r="H440" s="1851"/>
      <c r="I440" s="1851"/>
      <c r="J440" s="1871" t="s">
        <v>1478</v>
      </c>
      <c r="K440" s="1851"/>
      <c r="L440" s="1851"/>
      <c r="M440" s="1851"/>
      <c r="N440" s="1851"/>
      <c r="O440" s="1866"/>
      <c r="P440" s="1867"/>
      <c r="Q440" s="1867"/>
    </row>
    <row r="441" spans="1:17" ht="21.75" hidden="1" customHeight="1">
      <c r="A441" s="1855"/>
      <c r="B441" s="1872"/>
      <c r="C441" s="2524" t="s">
        <v>3389</v>
      </c>
      <c r="D441" s="2524"/>
      <c r="E441" s="2524"/>
      <c r="F441" s="2524"/>
      <c r="G441" s="2524"/>
      <c r="H441" s="2524"/>
      <c r="I441" s="2524"/>
      <c r="J441" s="1851">
        <f>J439</f>
        <v>6.089999999999999</v>
      </c>
      <c r="K441" s="1873">
        <f>[221]Datas!G798</f>
        <v>8076.4499999999989</v>
      </c>
      <c r="L441" s="1873"/>
      <c r="M441" s="1873">
        <f>ROUND(K441*J441/10,0)</f>
        <v>4919</v>
      </c>
      <c r="N441" s="1873">
        <f>SUM(L441:M441)</f>
        <v>4919</v>
      </c>
      <c r="O441" s="1866">
        <f>(11*7+0.12*40)/10</f>
        <v>8.18</v>
      </c>
      <c r="P441" s="1878">
        <f>ROUND(O441*J441,2)</f>
        <v>49.82</v>
      </c>
      <c r="Q441" s="1867"/>
    </row>
    <row r="442" spans="1:17" hidden="1">
      <c r="A442" s="1855"/>
      <c r="B442" s="1872"/>
      <c r="C442" s="1877"/>
      <c r="D442" s="1853"/>
      <c r="E442" s="1853"/>
      <c r="F442" s="1853"/>
      <c r="G442" s="1851"/>
      <c r="H442" s="1851"/>
      <c r="I442" s="1851"/>
      <c r="J442" s="1851" t="s">
        <v>1478</v>
      </c>
      <c r="K442" s="1873" t="s">
        <v>672</v>
      </c>
      <c r="L442" s="1873"/>
      <c r="M442" s="1873"/>
      <c r="N442" s="1873"/>
      <c r="O442" s="1866"/>
      <c r="P442" s="1867"/>
      <c r="Q442" s="1867"/>
    </row>
    <row r="443" spans="1:17" hidden="1">
      <c r="A443" s="1855"/>
      <c r="B443" s="1872"/>
      <c r="C443" s="1877"/>
      <c r="D443" s="1853"/>
      <c r="E443" s="1853"/>
      <c r="F443" s="1853"/>
      <c r="G443" s="1851"/>
      <c r="H443" s="1851"/>
      <c r="I443" s="1851"/>
      <c r="J443" s="1884"/>
      <c r="K443" s="1873"/>
      <c r="L443" s="1873"/>
      <c r="M443" s="1873"/>
      <c r="N443" s="1873"/>
      <c r="O443" s="1866"/>
      <c r="P443" s="1867"/>
      <c r="Q443" s="1867"/>
    </row>
    <row r="444" spans="1:17" s="1941" customFormat="1" ht="93.7" hidden="1" customHeight="1">
      <c r="A444" s="1936">
        <v>28</v>
      </c>
      <c r="B444" s="1937"/>
      <c r="C444" s="2527" t="s">
        <v>3490</v>
      </c>
      <c r="D444" s="2528"/>
      <c r="E444" s="2528"/>
      <c r="F444" s="2528"/>
      <c r="G444" s="2528"/>
      <c r="H444" s="2528"/>
      <c r="I444" s="2528"/>
      <c r="J444" s="2528"/>
      <c r="K444" s="1938"/>
      <c r="L444" s="1938"/>
      <c r="M444" s="1938"/>
      <c r="N444" s="1938"/>
      <c r="O444" s="1939"/>
      <c r="P444" s="1940"/>
      <c r="Q444" s="1940"/>
    </row>
    <row r="445" spans="1:17" s="1941" customFormat="1" ht="24" hidden="1" customHeight="1">
      <c r="A445" s="1936"/>
      <c r="B445" s="1937"/>
      <c r="C445" s="1899" t="s">
        <v>3491</v>
      </c>
      <c r="D445" s="1853">
        <v>1</v>
      </c>
      <c r="E445" s="1853" t="s">
        <v>1472</v>
      </c>
      <c r="F445" s="1853">
        <v>2</v>
      </c>
      <c r="G445" s="1851">
        <f>ROUND((28.25)*0.3048,2)</f>
        <v>8.61</v>
      </c>
      <c r="H445" s="1851"/>
      <c r="I445" s="1851">
        <v>0.75</v>
      </c>
      <c r="J445" s="1851">
        <f>ROUND(D445*F445*G445*I445,2)</f>
        <v>12.92</v>
      </c>
      <c r="K445" s="1938"/>
      <c r="L445" s="1938"/>
      <c r="M445" s="1938"/>
      <c r="N445" s="1938"/>
      <c r="O445" s="1939"/>
      <c r="P445" s="1940"/>
      <c r="Q445" s="1940"/>
    </row>
    <row r="446" spans="1:17" s="1941" customFormat="1" ht="24" hidden="1" customHeight="1">
      <c r="A446" s="1936"/>
      <c r="B446" s="1937"/>
      <c r="C446" s="1899" t="s">
        <v>469</v>
      </c>
      <c r="D446" s="1853">
        <v>1</v>
      </c>
      <c r="E446" s="1853" t="s">
        <v>1472</v>
      </c>
      <c r="F446" s="1853">
        <v>2</v>
      </c>
      <c r="G446" s="1851">
        <f>ROUND((21.38)*0.3048,2)</f>
        <v>6.52</v>
      </c>
      <c r="H446" s="1851"/>
      <c r="I446" s="1851">
        <v>0.75</v>
      </c>
      <c r="J446" s="1851">
        <f>ROUND(D446*F446*G446*I446,2)</f>
        <v>9.7799999999999994</v>
      </c>
      <c r="K446" s="1938"/>
      <c r="L446" s="1938"/>
      <c r="M446" s="1938"/>
      <c r="N446" s="1938"/>
      <c r="O446" s="1939"/>
      <c r="P446" s="1940"/>
      <c r="Q446" s="1940"/>
    </row>
    <row r="447" spans="1:17" s="1941" customFormat="1" ht="24" hidden="1" customHeight="1">
      <c r="A447" s="1936"/>
      <c r="B447" s="1937"/>
      <c r="C447" s="1899" t="s">
        <v>470</v>
      </c>
      <c r="D447" s="1853">
        <v>1</v>
      </c>
      <c r="E447" s="1853" t="s">
        <v>1472</v>
      </c>
      <c r="F447" s="1853">
        <v>1</v>
      </c>
      <c r="G447" s="1851">
        <v>3.6</v>
      </c>
      <c r="H447" s="1851"/>
      <c r="I447" s="1851">
        <v>0.75</v>
      </c>
      <c r="J447" s="1851">
        <f>-ROUND(D447*F447*G447*I447,2)</f>
        <v>-2.7</v>
      </c>
      <c r="K447" s="1938"/>
      <c r="L447" s="1938"/>
      <c r="M447" s="1938"/>
      <c r="N447" s="1938"/>
      <c r="O447" s="1939"/>
      <c r="P447" s="1940"/>
      <c r="Q447" s="1940"/>
    </row>
    <row r="448" spans="1:17" s="1941" customFormat="1" ht="24" hidden="1" customHeight="1">
      <c r="A448" s="1936"/>
      <c r="B448" s="1937"/>
      <c r="C448" s="1899"/>
      <c r="D448" s="1853"/>
      <c r="E448" s="1853"/>
      <c r="F448" s="1853"/>
      <c r="G448" s="1851"/>
      <c r="H448" s="1851"/>
      <c r="I448" s="1851"/>
      <c r="J448" s="1871">
        <f>SUM(J445:J447)</f>
        <v>20</v>
      </c>
      <c r="K448" s="1938"/>
      <c r="L448" s="1938"/>
      <c r="M448" s="1938"/>
      <c r="N448" s="1938"/>
      <c r="O448" s="1939"/>
      <c r="P448" s="1940"/>
      <c r="Q448" s="1940"/>
    </row>
    <row r="449" spans="1:17" s="1941" customFormat="1" ht="17.2" hidden="1" customHeight="1">
      <c r="A449" s="1936"/>
      <c r="B449" s="1937"/>
      <c r="C449" s="1859"/>
      <c r="D449" s="1853"/>
      <c r="E449" s="1853"/>
      <c r="F449" s="1853"/>
      <c r="G449" s="1851"/>
      <c r="H449" s="1851"/>
      <c r="I449" s="1851"/>
      <c r="J449" s="1871" t="s">
        <v>1478</v>
      </c>
      <c r="K449" s="1851"/>
      <c r="L449" s="1942"/>
      <c r="M449" s="1942"/>
      <c r="N449" s="1942"/>
      <c r="O449" s="1943"/>
      <c r="P449" s="1944"/>
      <c r="Q449" s="1940"/>
    </row>
    <row r="450" spans="1:17" ht="21.75" hidden="1" customHeight="1">
      <c r="A450" s="1855"/>
      <c r="B450" s="1872"/>
      <c r="C450" s="2524" t="s">
        <v>270</v>
      </c>
      <c r="D450" s="2524"/>
      <c r="E450" s="2524"/>
      <c r="F450" s="2524"/>
      <c r="G450" s="2524"/>
      <c r="H450" s="2524"/>
      <c r="I450" s="2524"/>
      <c r="J450" s="1851">
        <f>J448</f>
        <v>20</v>
      </c>
      <c r="K450" s="1873">
        <f>[221]Datas!G283</f>
        <v>853.34</v>
      </c>
      <c r="L450" s="1873"/>
      <c r="M450" s="1873">
        <f>ROUND(K450*J450/10,0)</f>
        <v>1707</v>
      </c>
      <c r="N450" s="1873">
        <f>SUM(L450:M450)</f>
        <v>1707</v>
      </c>
      <c r="O450" s="1866">
        <f>0.03*40/10</f>
        <v>0.12</v>
      </c>
      <c r="P450" s="1878">
        <f>ROUND(O450*J450,2)</f>
        <v>2.4</v>
      </c>
      <c r="Q450" s="1867"/>
    </row>
    <row r="451" spans="1:17" hidden="1">
      <c r="A451" s="1855"/>
      <c r="B451" s="1892"/>
      <c r="C451" s="1880"/>
      <c r="D451" s="1892"/>
      <c r="E451" s="1880"/>
      <c r="F451" s="1883"/>
      <c r="G451" s="1893"/>
      <c r="H451" s="1893"/>
      <c r="I451" s="1874"/>
      <c r="J451" s="1851" t="s">
        <v>1478</v>
      </c>
      <c r="K451" s="1873" t="s">
        <v>672</v>
      </c>
      <c r="L451" s="1873"/>
      <c r="M451" s="1873"/>
      <c r="N451" s="1873"/>
      <c r="O451" s="1866"/>
      <c r="P451" s="1867"/>
      <c r="Q451" s="1867"/>
    </row>
    <row r="452" spans="1:17" hidden="1">
      <c r="A452" s="1855"/>
      <c r="B452" s="1892"/>
      <c r="C452" s="1880"/>
      <c r="D452" s="1892"/>
      <c r="E452" s="1880"/>
      <c r="F452" s="1883"/>
      <c r="G452" s="1893"/>
      <c r="H452" s="1893"/>
      <c r="I452" s="1874"/>
      <c r="J452" s="1884"/>
      <c r="K452" s="1873"/>
      <c r="L452" s="1873"/>
      <c r="M452" s="1873"/>
      <c r="N452" s="1873"/>
      <c r="O452" s="1866"/>
      <c r="P452" s="1867"/>
      <c r="Q452" s="1867"/>
    </row>
    <row r="453" spans="1:17" ht="88.5" hidden="1" customHeight="1">
      <c r="A453" s="1855">
        <v>29</v>
      </c>
      <c r="B453" s="1856"/>
      <c r="C453" s="2527" t="s">
        <v>548</v>
      </c>
      <c r="D453" s="2528"/>
      <c r="E453" s="2528"/>
      <c r="F453" s="2528"/>
      <c r="G453" s="2528"/>
      <c r="H453" s="2528"/>
      <c r="I453" s="2528"/>
      <c r="J453" s="2528"/>
      <c r="K453" s="1851"/>
      <c r="L453" s="1851"/>
      <c r="M453" s="1851"/>
      <c r="N453" s="1851"/>
      <c r="O453" s="1866"/>
      <c r="P453" s="1867"/>
      <c r="Q453" s="1867"/>
    </row>
    <row r="454" spans="1:17" hidden="1">
      <c r="A454" s="1855"/>
      <c r="B454" s="1856"/>
      <c r="C454" s="1859" t="s">
        <v>474</v>
      </c>
      <c r="D454" s="1880"/>
      <c r="E454" s="1880"/>
      <c r="F454" s="1880"/>
      <c r="G454" s="1880"/>
      <c r="H454" s="1880"/>
      <c r="I454" s="1880"/>
      <c r="J454" s="1880"/>
      <c r="K454" s="1851"/>
      <c r="L454" s="1851"/>
      <c r="M454" s="1851"/>
      <c r="N454" s="1851"/>
      <c r="O454" s="1866"/>
      <c r="P454" s="1867"/>
      <c r="Q454" s="1867"/>
    </row>
    <row r="455" spans="1:17" hidden="1">
      <c r="A455" s="1855"/>
      <c r="B455" s="1856"/>
      <c r="C455" s="1899" t="s">
        <v>3443</v>
      </c>
      <c r="D455" s="1853">
        <v>1</v>
      </c>
      <c r="E455" s="1853" t="s">
        <v>1472</v>
      </c>
      <c r="F455" s="1853">
        <v>1</v>
      </c>
      <c r="G455" s="1851">
        <f>ROUND(14*0.3048,2)</f>
        <v>4.2699999999999996</v>
      </c>
      <c r="H455" s="1851">
        <f>ROUND((19.88)*0.3048,2)</f>
        <v>6.06</v>
      </c>
      <c r="I455" s="1880"/>
      <c r="J455" s="1851">
        <f t="shared" ref="J455:J460" si="13">ROUND(D455*F455*G455*H455,2)</f>
        <v>25.88</v>
      </c>
      <c r="K455" s="1851"/>
      <c r="L455" s="1851"/>
      <c r="M455" s="1851"/>
      <c r="N455" s="1851"/>
      <c r="O455" s="1866"/>
      <c r="P455" s="1867"/>
      <c r="Q455" s="1867"/>
    </row>
    <row r="456" spans="1:17" hidden="1">
      <c r="A456" s="1855"/>
      <c r="B456" s="1856"/>
      <c r="C456" s="1899" t="s">
        <v>3444</v>
      </c>
      <c r="D456" s="1853">
        <v>1</v>
      </c>
      <c r="E456" s="1853" t="s">
        <v>1472</v>
      </c>
      <c r="F456" s="1853">
        <v>1</v>
      </c>
      <c r="G456" s="1851">
        <f>ROUND((12)*0.3048,2)</f>
        <v>3.66</v>
      </c>
      <c r="H456" s="1851">
        <f>ROUND((7)*0.3048,2)</f>
        <v>2.13</v>
      </c>
      <c r="I456" s="1880"/>
      <c r="J456" s="1851">
        <f t="shared" si="13"/>
        <v>7.8</v>
      </c>
      <c r="K456" s="1851"/>
      <c r="L456" s="1851"/>
      <c r="M456" s="1851"/>
      <c r="N456" s="1851"/>
      <c r="O456" s="1866"/>
      <c r="P456" s="1867"/>
      <c r="Q456" s="1867"/>
    </row>
    <row r="457" spans="1:17" hidden="1">
      <c r="A457" s="1855"/>
      <c r="B457" s="1856"/>
      <c r="C457" s="1899" t="s">
        <v>3445</v>
      </c>
      <c r="D457" s="1853">
        <v>1</v>
      </c>
      <c r="E457" s="1853" t="s">
        <v>1472</v>
      </c>
      <c r="F457" s="1853">
        <v>1</v>
      </c>
      <c r="G457" s="1851">
        <f>ROUND((7.63)*0.3048,2)</f>
        <v>2.33</v>
      </c>
      <c r="H457" s="1851">
        <f>ROUND((7)*0.3048,2)</f>
        <v>2.13</v>
      </c>
      <c r="I457" s="1880"/>
      <c r="J457" s="1851">
        <f t="shared" si="13"/>
        <v>4.96</v>
      </c>
      <c r="K457" s="1851"/>
      <c r="L457" s="1851"/>
      <c r="M457" s="1851"/>
      <c r="N457" s="1851"/>
      <c r="O457" s="1866"/>
      <c r="P457" s="1867"/>
      <c r="Q457" s="1867"/>
    </row>
    <row r="458" spans="1:17" hidden="1">
      <c r="A458" s="1855"/>
      <c r="B458" s="1856"/>
      <c r="C458" s="1899" t="s">
        <v>3446</v>
      </c>
      <c r="D458" s="1853">
        <v>1</v>
      </c>
      <c r="E458" s="1853" t="s">
        <v>1472</v>
      </c>
      <c r="F458" s="1853">
        <v>1</v>
      </c>
      <c r="G458" s="1851">
        <f>ROUND((4)*0.3048,2)</f>
        <v>1.22</v>
      </c>
      <c r="H458" s="1851">
        <f>ROUND((7)*0.3048,2)</f>
        <v>2.13</v>
      </c>
      <c r="I458" s="1880"/>
      <c r="J458" s="1851">
        <f t="shared" si="13"/>
        <v>2.6</v>
      </c>
      <c r="K458" s="1851"/>
      <c r="L458" s="1851"/>
      <c r="M458" s="1851"/>
      <c r="N458" s="1851"/>
      <c r="O458" s="1866"/>
      <c r="P458" s="1867"/>
      <c r="Q458" s="1867"/>
    </row>
    <row r="459" spans="1:17" ht="28.2" hidden="1">
      <c r="A459" s="1855"/>
      <c r="B459" s="1856"/>
      <c r="C459" s="1877" t="s">
        <v>3447</v>
      </c>
      <c r="D459" s="1853">
        <v>1</v>
      </c>
      <c r="E459" s="1853" t="s">
        <v>1472</v>
      </c>
      <c r="F459" s="1853">
        <v>2</v>
      </c>
      <c r="G459" s="1851">
        <f>ROUND(30.25*0.3048,2)</f>
        <v>9.2200000000000006</v>
      </c>
      <c r="H459" s="1851">
        <v>0.3</v>
      </c>
      <c r="I459" s="1880"/>
      <c r="J459" s="1851">
        <f t="shared" si="13"/>
        <v>5.53</v>
      </c>
      <c r="K459" s="1851"/>
      <c r="L459" s="1851"/>
      <c r="M459" s="1851"/>
      <c r="N459" s="1851"/>
      <c r="O459" s="1866"/>
      <c r="P459" s="1867"/>
      <c r="Q459" s="1867"/>
    </row>
    <row r="460" spans="1:17" ht="28.2" hidden="1">
      <c r="A460" s="1855"/>
      <c r="B460" s="1856"/>
      <c r="C460" s="1877" t="s">
        <v>3448</v>
      </c>
      <c r="D460" s="1853">
        <v>1</v>
      </c>
      <c r="E460" s="1853" t="s">
        <v>1472</v>
      </c>
      <c r="F460" s="1853">
        <v>2</v>
      </c>
      <c r="G460" s="1851">
        <f>ROUND(21.38*0.3048,2)</f>
        <v>6.52</v>
      </c>
      <c r="H460" s="1851">
        <v>0.3</v>
      </c>
      <c r="I460" s="1880"/>
      <c r="J460" s="1851">
        <f t="shared" si="13"/>
        <v>3.91</v>
      </c>
      <c r="K460" s="1851"/>
      <c r="L460" s="1851"/>
      <c r="M460" s="1851"/>
      <c r="N460" s="1851"/>
      <c r="O460" s="1866"/>
      <c r="P460" s="1867"/>
      <c r="Q460" s="1867"/>
    </row>
    <row r="461" spans="1:17" hidden="1">
      <c r="A461" s="1855"/>
      <c r="B461" s="1856"/>
      <c r="C461" s="1859" t="s">
        <v>3492</v>
      </c>
      <c r="D461" s="1880"/>
      <c r="E461" s="1880"/>
      <c r="F461" s="1880"/>
      <c r="G461" s="1874"/>
      <c r="H461" s="1874"/>
      <c r="I461" s="1874"/>
      <c r="J461" s="1874"/>
      <c r="K461" s="1851"/>
      <c r="L461" s="1851"/>
      <c r="M461" s="1851"/>
      <c r="N461" s="1851"/>
      <c r="O461" s="1866"/>
      <c r="P461" s="1867"/>
      <c r="Q461" s="1867"/>
    </row>
    <row r="462" spans="1:17" hidden="1">
      <c r="A462" s="1855"/>
      <c r="B462" s="1856"/>
      <c r="C462" s="1899" t="s">
        <v>3451</v>
      </c>
      <c r="D462" s="1853">
        <v>1</v>
      </c>
      <c r="E462" s="1853" t="s">
        <v>1472</v>
      </c>
      <c r="F462" s="1853">
        <v>1</v>
      </c>
      <c r="G462" s="1851">
        <f>ROUND((14+19.88)*0.3048*2,2)</f>
        <v>20.65</v>
      </c>
      <c r="H462" s="1851"/>
      <c r="I462" s="1851">
        <v>3.05</v>
      </c>
      <c r="J462" s="1851">
        <f>ROUND(D462*F462*G462*I462,2)</f>
        <v>62.98</v>
      </c>
      <c r="K462" s="1851"/>
      <c r="L462" s="1851"/>
      <c r="M462" s="1851"/>
      <c r="N462" s="1851"/>
      <c r="O462" s="1866"/>
      <c r="P462" s="1867"/>
      <c r="Q462" s="1867"/>
    </row>
    <row r="463" spans="1:17" hidden="1">
      <c r="A463" s="1855"/>
      <c r="B463" s="1856"/>
      <c r="C463" s="1899" t="s">
        <v>3452</v>
      </c>
      <c r="D463" s="1853">
        <v>1</v>
      </c>
      <c r="E463" s="1853" t="s">
        <v>1472</v>
      </c>
      <c r="F463" s="1853">
        <v>1</v>
      </c>
      <c r="G463" s="1851">
        <f>ROUND((12+7)*0.3048*2,2)</f>
        <v>11.58</v>
      </c>
      <c r="H463" s="1851"/>
      <c r="I463" s="1851">
        <v>3.05</v>
      </c>
      <c r="J463" s="1851">
        <f>ROUND(D463*F463*G463*I463,2)</f>
        <v>35.32</v>
      </c>
      <c r="K463" s="1851"/>
      <c r="L463" s="1851"/>
      <c r="M463" s="1851"/>
      <c r="N463" s="1851"/>
      <c r="O463" s="1866"/>
      <c r="P463" s="1867"/>
      <c r="Q463" s="1867"/>
    </row>
    <row r="464" spans="1:17" hidden="1">
      <c r="A464" s="1855"/>
      <c r="B464" s="1856"/>
      <c r="C464" s="1899" t="s">
        <v>3453</v>
      </c>
      <c r="D464" s="1853">
        <v>1</v>
      </c>
      <c r="E464" s="1853" t="s">
        <v>1472</v>
      </c>
      <c r="F464" s="1853">
        <v>1</v>
      </c>
      <c r="G464" s="1851">
        <f>ROUND((7.63+7)*0.3048*2,2)</f>
        <v>8.92</v>
      </c>
      <c r="H464" s="1851"/>
      <c r="I464" s="1851">
        <v>3.05</v>
      </c>
      <c r="J464" s="1851">
        <f>ROUND(D464*F464*G464*I464,2)</f>
        <v>27.21</v>
      </c>
      <c r="K464" s="1851"/>
      <c r="L464" s="1851"/>
      <c r="M464" s="1851"/>
      <c r="N464" s="1851"/>
      <c r="O464" s="1866"/>
      <c r="P464" s="1867"/>
      <c r="Q464" s="1867"/>
    </row>
    <row r="465" spans="1:17" hidden="1">
      <c r="A465" s="1855"/>
      <c r="B465" s="1856"/>
      <c r="C465" s="1899" t="s">
        <v>3446</v>
      </c>
      <c r="D465" s="1853">
        <v>1</v>
      </c>
      <c r="E465" s="1853" t="s">
        <v>1472</v>
      </c>
      <c r="F465" s="1853">
        <v>1</v>
      </c>
      <c r="G465" s="1851">
        <f>ROUND((4+7)*0.3048*2,2)</f>
        <v>6.71</v>
      </c>
      <c r="H465" s="1851"/>
      <c r="I465" s="1851">
        <v>3.05</v>
      </c>
      <c r="J465" s="1851">
        <f>ROUND(D465*F465*G465*I465,2)</f>
        <v>20.47</v>
      </c>
      <c r="K465" s="1851"/>
      <c r="L465" s="1851"/>
      <c r="M465" s="1851"/>
      <c r="N465" s="1851"/>
      <c r="O465" s="1866"/>
      <c r="P465" s="1867"/>
      <c r="Q465" s="1867"/>
    </row>
    <row r="466" spans="1:17" hidden="1">
      <c r="A466" s="1855"/>
      <c r="B466" s="1856"/>
      <c r="C466" s="1899" t="s">
        <v>3454</v>
      </c>
      <c r="D466" s="1853">
        <v>1</v>
      </c>
      <c r="E466" s="1853" t="s">
        <v>1472</v>
      </c>
      <c r="F466" s="1853">
        <v>1</v>
      </c>
      <c r="G466" s="1851">
        <f>ROUND((12+5)*0.3048,2)</f>
        <v>5.18</v>
      </c>
      <c r="H466" s="1851"/>
      <c r="I466" s="1851">
        <v>3.05</v>
      </c>
      <c r="J466" s="1851">
        <f>ROUND(D466*F466*G466*I466,2)</f>
        <v>15.8</v>
      </c>
      <c r="K466" s="1851"/>
      <c r="L466" s="1851"/>
      <c r="M466" s="1851"/>
      <c r="N466" s="1851"/>
      <c r="O466" s="1866"/>
      <c r="P466" s="1867"/>
      <c r="Q466" s="1867"/>
    </row>
    <row r="467" spans="1:17" hidden="1">
      <c r="A467" s="1855"/>
      <c r="B467" s="1856"/>
      <c r="C467" s="1905"/>
      <c r="D467" s="1853"/>
      <c r="E467" s="1853"/>
      <c r="F467" s="1853"/>
      <c r="G467" s="1851"/>
      <c r="H467" s="1851"/>
      <c r="I467" s="1851"/>
      <c r="J467" s="1851"/>
      <c r="K467" s="1851"/>
      <c r="L467" s="1851"/>
      <c r="M467" s="1851"/>
      <c r="N467" s="1851"/>
      <c r="O467" s="1866"/>
      <c r="P467" s="1867"/>
      <c r="Q467" s="1867"/>
    </row>
    <row r="468" spans="1:17" hidden="1">
      <c r="A468" s="1855"/>
      <c r="B468" s="1856"/>
      <c r="C468" s="1859" t="s">
        <v>675</v>
      </c>
      <c r="D468" s="1853"/>
      <c r="E468" s="1853"/>
      <c r="F468" s="1853"/>
      <c r="G468" s="1851"/>
      <c r="H468" s="1851"/>
      <c r="I468" s="1851"/>
      <c r="J468" s="1851"/>
      <c r="K468" s="1851"/>
      <c r="L468" s="1851"/>
      <c r="M468" s="1851"/>
      <c r="N468" s="1851"/>
      <c r="O468" s="1866"/>
      <c r="P468" s="1867"/>
      <c r="Q468" s="1867"/>
    </row>
    <row r="469" spans="1:17" hidden="1">
      <c r="A469" s="1855"/>
      <c r="B469" s="1856"/>
      <c r="C469" s="1899" t="s">
        <v>116</v>
      </c>
      <c r="D469" s="1853">
        <v>1</v>
      </c>
      <c r="E469" s="1853" t="s">
        <v>1472</v>
      </c>
      <c r="F469" s="1853">
        <v>2</v>
      </c>
      <c r="G469" s="1851">
        <v>1.05</v>
      </c>
      <c r="H469" s="1851"/>
      <c r="I469" s="1851">
        <v>2.1</v>
      </c>
      <c r="J469" s="1851">
        <f>-ROUND(D469*F469*G469*I469,2)</f>
        <v>-4.41</v>
      </c>
      <c r="K469" s="1851"/>
      <c r="L469" s="1851"/>
      <c r="M469" s="1851"/>
      <c r="N469" s="1851"/>
      <c r="O469" s="1866"/>
      <c r="P469" s="1867"/>
      <c r="Q469" s="1867"/>
    </row>
    <row r="470" spans="1:17" hidden="1">
      <c r="A470" s="1855"/>
      <c r="B470" s="1856"/>
      <c r="C470" s="1899" t="s">
        <v>2801</v>
      </c>
      <c r="D470" s="1853">
        <v>1</v>
      </c>
      <c r="E470" s="1853" t="s">
        <v>1472</v>
      </c>
      <c r="F470" s="1853">
        <v>2</v>
      </c>
      <c r="G470" s="1851">
        <v>0.9</v>
      </c>
      <c r="H470" s="1851"/>
      <c r="I470" s="1851">
        <v>2.1</v>
      </c>
      <c r="J470" s="1851">
        <f>-ROUND(D470*F470*G470*I470,2)</f>
        <v>-3.78</v>
      </c>
      <c r="K470" s="1851"/>
      <c r="L470" s="1851"/>
      <c r="M470" s="1851"/>
      <c r="N470" s="1851"/>
      <c r="O470" s="1866"/>
      <c r="P470" s="1867"/>
      <c r="Q470" s="1867"/>
    </row>
    <row r="471" spans="1:17" hidden="1">
      <c r="A471" s="1855"/>
      <c r="B471" s="1856"/>
      <c r="C471" s="1899" t="s">
        <v>3493</v>
      </c>
      <c r="D471" s="1853">
        <v>1</v>
      </c>
      <c r="E471" s="1853" t="s">
        <v>1472</v>
      </c>
      <c r="F471" s="1853">
        <v>4</v>
      </c>
      <c r="G471" s="1851">
        <v>1.2</v>
      </c>
      <c r="H471" s="1851"/>
      <c r="I471" s="1851">
        <v>1.2</v>
      </c>
      <c r="J471" s="1851">
        <f>-ROUND(D471*F471*G471*I471,2)</f>
        <v>-5.76</v>
      </c>
      <c r="K471" s="1851"/>
      <c r="L471" s="1851"/>
      <c r="M471" s="1851"/>
      <c r="N471" s="1851"/>
      <c r="O471" s="1866"/>
      <c r="P471" s="1867"/>
      <c r="Q471" s="1867"/>
    </row>
    <row r="472" spans="1:17" hidden="1">
      <c r="A472" s="1855"/>
      <c r="B472" s="1856"/>
      <c r="C472" s="1899" t="s">
        <v>3494</v>
      </c>
      <c r="D472" s="1853">
        <v>1</v>
      </c>
      <c r="E472" s="1853" t="s">
        <v>1472</v>
      </c>
      <c r="F472" s="1853">
        <v>1</v>
      </c>
      <c r="G472" s="1851">
        <v>1.2</v>
      </c>
      <c r="H472" s="1851"/>
      <c r="I472" s="1851">
        <v>0.75</v>
      </c>
      <c r="J472" s="1851">
        <f>-ROUND(D472*F472*G472*I472,2)</f>
        <v>-0.9</v>
      </c>
      <c r="K472" s="1851"/>
      <c r="L472" s="1851"/>
      <c r="M472" s="1851"/>
      <c r="N472" s="1851"/>
      <c r="O472" s="1866"/>
      <c r="P472" s="1867"/>
      <c r="Q472" s="1867"/>
    </row>
    <row r="473" spans="1:17" hidden="1">
      <c r="A473" s="1855"/>
      <c r="B473" s="1856"/>
      <c r="C473" s="1899" t="s">
        <v>83</v>
      </c>
      <c r="D473" s="1853">
        <v>1</v>
      </c>
      <c r="E473" s="1853" t="s">
        <v>1472</v>
      </c>
      <c r="F473" s="1853">
        <v>7</v>
      </c>
      <c r="G473" s="1851">
        <v>0.6</v>
      </c>
      <c r="H473" s="1851"/>
      <c r="I473" s="1851">
        <v>0.3</v>
      </c>
      <c r="J473" s="1851">
        <f>-ROUND(D473*F473*G473*I473,2)</f>
        <v>-1.26</v>
      </c>
      <c r="K473" s="1851"/>
      <c r="L473" s="1851"/>
      <c r="M473" s="1851"/>
      <c r="N473" s="1851"/>
      <c r="O473" s="1866"/>
      <c r="P473" s="1867"/>
      <c r="Q473" s="1867"/>
    </row>
    <row r="474" spans="1:17" hidden="1">
      <c r="A474" s="1855"/>
      <c r="B474" s="1856"/>
      <c r="C474" s="1877" t="s">
        <v>467</v>
      </c>
      <c r="D474" s="1853"/>
      <c r="E474" s="1853"/>
      <c r="F474" s="1853"/>
      <c r="G474" s="1851"/>
      <c r="H474" s="1851"/>
      <c r="I474" s="1851"/>
      <c r="J474" s="1871">
        <f>SUM(J455:J473)</f>
        <v>196.35000000000002</v>
      </c>
      <c r="K474" s="1851"/>
      <c r="L474" s="1851"/>
      <c r="M474" s="1851"/>
      <c r="N474" s="1851"/>
      <c r="O474" s="1866"/>
      <c r="P474" s="1867"/>
      <c r="Q474" s="1867"/>
    </row>
    <row r="475" spans="1:17" ht="17.2" hidden="1" customHeight="1">
      <c r="A475" s="1855"/>
      <c r="B475" s="1856"/>
      <c r="C475" s="1859"/>
      <c r="D475" s="1853"/>
      <c r="E475" s="1853"/>
      <c r="F475" s="1853"/>
      <c r="G475" s="1851"/>
      <c r="H475" s="1851"/>
      <c r="I475" s="1851"/>
      <c r="J475" s="1871" t="s">
        <v>1478</v>
      </c>
      <c r="K475" s="1851"/>
      <c r="L475" s="1851"/>
      <c r="M475" s="1851"/>
      <c r="N475" s="1851"/>
      <c r="O475" s="1866"/>
      <c r="P475" s="1867"/>
      <c r="Q475" s="1867"/>
    </row>
    <row r="476" spans="1:17" ht="21.75" hidden="1" customHeight="1">
      <c r="A476" s="1855"/>
      <c r="B476" s="1872"/>
      <c r="C476" s="2524" t="s">
        <v>3389</v>
      </c>
      <c r="D476" s="2524"/>
      <c r="E476" s="2524"/>
      <c r="F476" s="2524"/>
      <c r="G476" s="2524"/>
      <c r="H476" s="2524"/>
      <c r="I476" s="2524"/>
      <c r="J476" s="1851">
        <f>J474</f>
        <v>196.35000000000002</v>
      </c>
      <c r="K476" s="1873">
        <f>[221]Datas!G842</f>
        <v>606.52</v>
      </c>
      <c r="L476" s="1873"/>
      <c r="M476" s="1873">
        <f>ROUND(J476*K476/10,0)</f>
        <v>11909</v>
      </c>
      <c r="N476" s="1851">
        <f>SUM(L476:M476)</f>
        <v>11909</v>
      </c>
      <c r="O476" s="1866"/>
      <c r="P476" s="1867"/>
      <c r="Q476" s="1867"/>
    </row>
    <row r="477" spans="1:17" hidden="1">
      <c r="A477" s="1855"/>
      <c r="B477" s="1880"/>
      <c r="C477" s="1880"/>
      <c r="D477" s="1880"/>
      <c r="E477" s="1880"/>
      <c r="F477" s="1883"/>
      <c r="G477" s="1880"/>
      <c r="H477" s="1880"/>
      <c r="I477" s="1880"/>
      <c r="J477" s="1851" t="s">
        <v>1478</v>
      </c>
      <c r="K477" s="1873" t="s">
        <v>672</v>
      </c>
      <c r="L477" s="1873"/>
      <c r="M477" s="1873"/>
      <c r="N477" s="1873"/>
      <c r="O477" s="1866"/>
      <c r="P477" s="1867"/>
      <c r="Q477" s="1867"/>
    </row>
    <row r="478" spans="1:17" hidden="1">
      <c r="A478" s="1855"/>
      <c r="B478" s="1880"/>
      <c r="C478" s="1880"/>
      <c r="D478" s="1880"/>
      <c r="E478" s="1880"/>
      <c r="F478" s="1883"/>
      <c r="G478" s="1880"/>
      <c r="H478" s="1880"/>
      <c r="I478" s="1880"/>
      <c r="J478" s="1884"/>
      <c r="K478" s="1873"/>
      <c r="L478" s="1873"/>
      <c r="M478" s="1873"/>
      <c r="N478" s="1873"/>
      <c r="O478" s="1866"/>
      <c r="P478" s="1867"/>
      <c r="Q478" s="1867"/>
    </row>
    <row r="479" spans="1:17" ht="102.75" hidden="1" customHeight="1">
      <c r="A479" s="1855">
        <f>A453+1</f>
        <v>30</v>
      </c>
      <c r="B479" s="1856"/>
      <c r="C479" s="2527" t="s">
        <v>3495</v>
      </c>
      <c r="D479" s="2528"/>
      <c r="E479" s="2528"/>
      <c r="F479" s="2528"/>
      <c r="G479" s="2528"/>
      <c r="H479" s="2528"/>
      <c r="I479" s="2528"/>
      <c r="J479" s="2528"/>
      <c r="K479" s="1851"/>
      <c r="L479" s="1851"/>
      <c r="M479" s="1851"/>
      <c r="N479" s="1851"/>
      <c r="O479" s="1866"/>
      <c r="P479" s="1867"/>
      <c r="Q479" s="1867"/>
    </row>
    <row r="480" spans="1:17" hidden="1">
      <c r="A480" s="1855"/>
      <c r="B480" s="1856"/>
      <c r="C480" s="1859" t="s">
        <v>3496</v>
      </c>
      <c r="D480" s="1880"/>
      <c r="E480" s="1880"/>
      <c r="F480" s="1880"/>
      <c r="G480" s="1874"/>
      <c r="H480" s="1874"/>
      <c r="I480" s="1874"/>
      <c r="J480" s="1874"/>
      <c r="K480" s="1851"/>
      <c r="L480" s="1851"/>
      <c r="M480" s="1851"/>
      <c r="N480" s="1851"/>
      <c r="O480" s="1866"/>
      <c r="P480" s="1867"/>
      <c r="Q480" s="1867"/>
    </row>
    <row r="481" spans="1:17" hidden="1">
      <c r="A481" s="1855"/>
      <c r="B481" s="1856"/>
      <c r="C481" s="1877" t="s">
        <v>1438</v>
      </c>
      <c r="D481" s="1853">
        <v>1</v>
      </c>
      <c r="E481" s="1853" t="s">
        <v>1472</v>
      </c>
      <c r="F481" s="1853">
        <v>1</v>
      </c>
      <c r="G481" s="1851">
        <f>ROUND(28.25*0.3048,2)</f>
        <v>8.61</v>
      </c>
      <c r="H481" s="1880"/>
      <c r="I481" s="1851">
        <v>3.05</v>
      </c>
      <c r="J481" s="1851">
        <f>ROUND(D481*F481*G481*I481,2)</f>
        <v>26.26</v>
      </c>
      <c r="K481" s="1851"/>
      <c r="L481" s="1851"/>
      <c r="M481" s="1851"/>
      <c r="N481" s="1851"/>
      <c r="O481" s="1866"/>
      <c r="P481" s="1867"/>
      <c r="Q481" s="1867"/>
    </row>
    <row r="482" spans="1:17" hidden="1">
      <c r="A482" s="1855"/>
      <c r="B482" s="1856"/>
      <c r="C482" s="1877" t="s">
        <v>3479</v>
      </c>
      <c r="D482" s="1853">
        <v>1</v>
      </c>
      <c r="E482" s="1853" t="s">
        <v>1472</v>
      </c>
      <c r="F482" s="1853">
        <v>1</v>
      </c>
      <c r="G482" s="1851">
        <f>ROUND(15.5*0.3048,2)</f>
        <v>4.72</v>
      </c>
      <c r="H482" s="1880"/>
      <c r="I482" s="1851">
        <v>3.05</v>
      </c>
      <c r="J482" s="1851">
        <f>ROUND(D482*F482*G482*I482,2)</f>
        <v>14.4</v>
      </c>
      <c r="K482" s="1851"/>
      <c r="L482" s="1851"/>
      <c r="M482" s="1851"/>
      <c r="N482" s="1851"/>
      <c r="O482" s="1866"/>
      <c r="P482" s="1867"/>
      <c r="Q482" s="1867"/>
    </row>
    <row r="483" spans="1:17" hidden="1">
      <c r="A483" s="1855"/>
      <c r="B483" s="1856"/>
      <c r="C483" s="1877" t="s">
        <v>3480</v>
      </c>
      <c r="D483" s="1853">
        <v>1</v>
      </c>
      <c r="E483" s="1853" t="s">
        <v>1472</v>
      </c>
      <c r="F483" s="1853">
        <v>1</v>
      </c>
      <c r="G483" s="1851">
        <f>ROUND(21.38*0.3048,2)</f>
        <v>6.52</v>
      </c>
      <c r="H483" s="1880"/>
      <c r="I483" s="1851">
        <v>3.05</v>
      </c>
      <c r="J483" s="1851">
        <f>ROUND(D483*F483*G483*I483,2)</f>
        <v>19.89</v>
      </c>
      <c r="K483" s="1851"/>
      <c r="L483" s="1851"/>
      <c r="M483" s="1851"/>
      <c r="N483" s="1851"/>
      <c r="O483" s="1866"/>
      <c r="P483" s="1867"/>
      <c r="Q483" s="1867"/>
    </row>
    <row r="484" spans="1:17" hidden="1">
      <c r="A484" s="1855"/>
      <c r="B484" s="1856"/>
      <c r="C484" s="1877" t="s">
        <v>3481</v>
      </c>
      <c r="D484" s="1853">
        <v>1</v>
      </c>
      <c r="E484" s="1853" t="s">
        <v>1472</v>
      </c>
      <c r="F484" s="1853">
        <v>1</v>
      </c>
      <c r="G484" s="1851">
        <f>ROUND((21.38-5)*0.3048,2)</f>
        <v>4.99</v>
      </c>
      <c r="H484" s="1880"/>
      <c r="I484" s="1851">
        <v>3.05</v>
      </c>
      <c r="J484" s="1851">
        <f>ROUND(D484*F484*G484*I484,2)</f>
        <v>15.22</v>
      </c>
      <c r="K484" s="1851"/>
      <c r="L484" s="1851"/>
      <c r="M484" s="1851"/>
      <c r="N484" s="1851"/>
      <c r="O484" s="1866"/>
      <c r="P484" s="1867"/>
      <c r="Q484" s="1867"/>
    </row>
    <row r="485" spans="1:17" hidden="1">
      <c r="A485" s="1855"/>
      <c r="B485" s="1856"/>
      <c r="C485" s="1895" t="s">
        <v>421</v>
      </c>
      <c r="D485" s="1853"/>
      <c r="E485" s="1853"/>
      <c r="F485" s="1853"/>
      <c r="G485" s="1851"/>
      <c r="H485" s="1851"/>
      <c r="I485" s="1851"/>
      <c r="J485" s="1851"/>
      <c r="K485" s="1851"/>
      <c r="L485" s="1851"/>
      <c r="M485" s="1851"/>
      <c r="N485" s="1851"/>
      <c r="O485" s="1866"/>
      <c r="P485" s="1867"/>
      <c r="Q485" s="1867"/>
    </row>
    <row r="486" spans="1:17" hidden="1">
      <c r="A486" s="1855"/>
      <c r="B486" s="1856"/>
      <c r="C486" s="1887" t="s">
        <v>3393</v>
      </c>
      <c r="D486" s="1853">
        <v>2</v>
      </c>
      <c r="E486" s="1853" t="s">
        <v>1472</v>
      </c>
      <c r="F486" s="1853">
        <v>1</v>
      </c>
      <c r="G486" s="1851">
        <v>1.5</v>
      </c>
      <c r="H486" s="1874"/>
      <c r="I486" s="1851">
        <v>0.15</v>
      </c>
      <c r="J486" s="1851">
        <f>ROUND(D486*F486*G486*I486,2)</f>
        <v>0.45</v>
      </c>
      <c r="K486" s="1851"/>
      <c r="L486" s="1851"/>
      <c r="M486" s="1851"/>
      <c r="N486" s="1851"/>
      <c r="O486" s="1866"/>
      <c r="P486" s="1867"/>
      <c r="Q486" s="1867"/>
    </row>
    <row r="487" spans="1:17" hidden="1">
      <c r="A487" s="1855"/>
      <c r="B487" s="1856"/>
      <c r="C487" s="1887" t="s">
        <v>3482</v>
      </c>
      <c r="D487" s="1853">
        <v>2</v>
      </c>
      <c r="E487" s="1853" t="s">
        <v>1472</v>
      </c>
      <c r="F487" s="1853">
        <v>1</v>
      </c>
      <c r="G487" s="1851">
        <v>1.2</v>
      </c>
      <c r="H487" s="1874"/>
      <c r="I487" s="1851">
        <v>0.15</v>
      </c>
      <c r="J487" s="1851">
        <f>ROUND(D487*F487*G487*I487,2)</f>
        <v>0.36</v>
      </c>
      <c r="K487" s="1851"/>
      <c r="L487" s="1851"/>
      <c r="M487" s="1851"/>
      <c r="N487" s="1851"/>
      <c r="O487" s="1866"/>
      <c r="P487" s="1867"/>
      <c r="Q487" s="1867"/>
    </row>
    <row r="488" spans="1:17" hidden="1">
      <c r="A488" s="1855"/>
      <c r="B488" s="1856"/>
      <c r="C488" s="1887" t="s">
        <v>3395</v>
      </c>
      <c r="D488" s="1853">
        <v>2</v>
      </c>
      <c r="E488" s="1853" t="s">
        <v>1472</v>
      </c>
      <c r="F488" s="1853">
        <v>1</v>
      </c>
      <c r="G488" s="1851">
        <v>0.9</v>
      </c>
      <c r="H488" s="1874"/>
      <c r="I488" s="1851">
        <v>0.15</v>
      </c>
      <c r="J488" s="1851">
        <f>ROUND(D488*F488*G488*I488,2)</f>
        <v>0.27</v>
      </c>
      <c r="K488" s="1851"/>
      <c r="L488" s="1851"/>
      <c r="M488" s="1851"/>
      <c r="N488" s="1851"/>
      <c r="O488" s="1866"/>
      <c r="P488" s="1867"/>
      <c r="Q488" s="1867"/>
    </row>
    <row r="489" spans="1:17" hidden="1">
      <c r="A489" s="1855"/>
      <c r="B489" s="1856"/>
      <c r="C489" s="1887" t="s">
        <v>3396</v>
      </c>
      <c r="D489" s="1853">
        <v>2</v>
      </c>
      <c r="E489" s="1853" t="s">
        <v>1472</v>
      </c>
      <c r="F489" s="1853">
        <v>1</v>
      </c>
      <c r="G489" s="1851">
        <v>0.6</v>
      </c>
      <c r="H489" s="1874"/>
      <c r="I489" s="1851">
        <v>0.15</v>
      </c>
      <c r="J489" s="1851">
        <f>ROUND(D489*F489*G489*I489,2)</f>
        <v>0.18</v>
      </c>
      <c r="K489" s="1851"/>
      <c r="L489" s="1851"/>
      <c r="M489" s="1851"/>
      <c r="N489" s="1851"/>
      <c r="O489" s="1866"/>
      <c r="P489" s="1867"/>
      <c r="Q489" s="1867"/>
    </row>
    <row r="490" spans="1:17" hidden="1">
      <c r="A490" s="1855"/>
      <c r="B490" s="1856"/>
      <c r="C490" s="1887" t="s">
        <v>3397</v>
      </c>
      <c r="D490" s="1853">
        <v>2</v>
      </c>
      <c r="E490" s="1853" t="s">
        <v>1472</v>
      </c>
      <c r="F490" s="1853">
        <v>1</v>
      </c>
      <c r="G490" s="1851">
        <v>0.3</v>
      </c>
      <c r="H490" s="1874"/>
      <c r="I490" s="1851">
        <v>0.15</v>
      </c>
      <c r="J490" s="1851">
        <f>ROUND(D490*F490*G490*I490,2)</f>
        <v>0.09</v>
      </c>
      <c r="K490" s="1851"/>
      <c r="L490" s="1851"/>
      <c r="M490" s="1851"/>
      <c r="N490" s="1851"/>
      <c r="O490" s="1866"/>
      <c r="P490" s="1867"/>
      <c r="Q490" s="1867"/>
    </row>
    <row r="491" spans="1:17" hidden="1">
      <c r="A491" s="1855"/>
      <c r="B491" s="1856"/>
      <c r="C491" s="1887" t="s">
        <v>3483</v>
      </c>
      <c r="D491" s="1853">
        <v>1</v>
      </c>
      <c r="E491" s="1853" t="s">
        <v>1472</v>
      </c>
      <c r="F491" s="1853">
        <v>5</v>
      </c>
      <c r="G491" s="1851">
        <v>3.6</v>
      </c>
      <c r="H491" s="1851">
        <v>0.3</v>
      </c>
      <c r="I491" s="1851"/>
      <c r="J491" s="1851">
        <f>ROUND(D491*F491*G491*H491,2)</f>
        <v>5.4</v>
      </c>
      <c r="K491" s="1851"/>
      <c r="L491" s="1851"/>
      <c r="M491" s="1851"/>
      <c r="N491" s="1851"/>
      <c r="O491" s="1866"/>
      <c r="P491" s="1867"/>
      <c r="Q491" s="1867"/>
    </row>
    <row r="492" spans="1:17" hidden="1">
      <c r="A492" s="1855"/>
      <c r="B492" s="1856"/>
      <c r="C492" s="1887" t="s">
        <v>3484</v>
      </c>
      <c r="D492" s="1853">
        <v>1</v>
      </c>
      <c r="E492" s="1853" t="s">
        <v>1472</v>
      </c>
      <c r="F492" s="1853">
        <v>5</v>
      </c>
      <c r="G492" s="1851">
        <v>3.6</v>
      </c>
      <c r="H492" s="1880"/>
      <c r="I492" s="1851">
        <v>0.15</v>
      </c>
      <c r="J492" s="1851">
        <f>ROUND(D492*F492*G492*I492,2)</f>
        <v>2.7</v>
      </c>
      <c r="K492" s="1851"/>
      <c r="L492" s="1851"/>
      <c r="M492" s="1851"/>
      <c r="N492" s="1851"/>
      <c r="O492" s="1866"/>
      <c r="P492" s="1867"/>
      <c r="Q492" s="1867"/>
    </row>
    <row r="493" spans="1:17" hidden="1">
      <c r="A493" s="1855"/>
      <c r="B493" s="1856"/>
      <c r="C493" s="1887" t="s">
        <v>475</v>
      </c>
      <c r="D493" s="1853"/>
      <c r="E493" s="1853"/>
      <c r="F493" s="1853"/>
      <c r="G493" s="1851"/>
      <c r="H493" s="1880"/>
      <c r="I493" s="1851"/>
      <c r="J493" s="1851"/>
      <c r="K493" s="1851"/>
      <c r="L493" s="1851"/>
      <c r="M493" s="1851"/>
      <c r="N493" s="1851"/>
      <c r="O493" s="1866"/>
      <c r="P493" s="1867"/>
      <c r="Q493" s="1867"/>
    </row>
    <row r="494" spans="1:17" hidden="1">
      <c r="A494" s="1855"/>
      <c r="B494" s="1856"/>
      <c r="C494" s="1899" t="s">
        <v>3491</v>
      </c>
      <c r="D494" s="1853">
        <v>1</v>
      </c>
      <c r="E494" s="1853" t="s">
        <v>1472</v>
      </c>
      <c r="F494" s="1853">
        <v>2</v>
      </c>
      <c r="G494" s="1851">
        <f>ROUND((28.25)*0.3048,2)</f>
        <v>8.61</v>
      </c>
      <c r="H494" s="1851"/>
      <c r="I494" s="1851">
        <v>0.75</v>
      </c>
      <c r="J494" s="1851">
        <f>ROUND(D494*F494*G494*I494,2)</f>
        <v>12.92</v>
      </c>
      <c r="K494" s="1851"/>
      <c r="L494" s="1851"/>
      <c r="M494" s="1851"/>
      <c r="N494" s="1851"/>
      <c r="O494" s="1866"/>
      <c r="P494" s="1867"/>
      <c r="Q494" s="1867"/>
    </row>
    <row r="495" spans="1:17" hidden="1">
      <c r="A495" s="1855"/>
      <c r="B495" s="1856"/>
      <c r="C495" s="1899" t="s">
        <v>469</v>
      </c>
      <c r="D495" s="1853">
        <v>1</v>
      </c>
      <c r="E495" s="1853" t="s">
        <v>1472</v>
      </c>
      <c r="F495" s="1853">
        <v>2</v>
      </c>
      <c r="G495" s="1851">
        <f>ROUND((21.38)*0.3048,2)</f>
        <v>6.52</v>
      </c>
      <c r="H495" s="1851"/>
      <c r="I495" s="1851">
        <v>0.75</v>
      </c>
      <c r="J495" s="1851">
        <f>ROUND(D495*F495*G495*I495,2)</f>
        <v>9.7799999999999994</v>
      </c>
      <c r="K495" s="1851"/>
      <c r="L495" s="1851"/>
      <c r="M495" s="1851"/>
      <c r="N495" s="1851"/>
      <c r="O495" s="1866"/>
      <c r="P495" s="1867"/>
      <c r="Q495" s="1867"/>
    </row>
    <row r="496" spans="1:17" hidden="1">
      <c r="A496" s="1855"/>
      <c r="B496" s="1856"/>
      <c r="C496" s="1899" t="s">
        <v>470</v>
      </c>
      <c r="D496" s="1853">
        <v>1</v>
      </c>
      <c r="E496" s="1853" t="s">
        <v>1472</v>
      </c>
      <c r="F496" s="1853">
        <v>1</v>
      </c>
      <c r="G496" s="1851">
        <v>3.6</v>
      </c>
      <c r="H496" s="1851"/>
      <c r="I496" s="1851">
        <v>0.75</v>
      </c>
      <c r="J496" s="1851">
        <f>-ROUND(D496*F496*G496*I496,2)</f>
        <v>-2.7</v>
      </c>
      <c r="K496" s="1851"/>
      <c r="L496" s="1851"/>
      <c r="M496" s="1851"/>
      <c r="N496" s="1851"/>
      <c r="O496" s="1866"/>
      <c r="P496" s="1867"/>
      <c r="Q496" s="1867"/>
    </row>
    <row r="497" spans="1:17" hidden="1">
      <c r="A497" s="1855"/>
      <c r="B497" s="1856"/>
      <c r="C497" s="1859"/>
      <c r="D497" s="1853"/>
      <c r="E497" s="1853"/>
      <c r="F497" s="1853"/>
      <c r="G497" s="1851"/>
      <c r="H497" s="1851"/>
      <c r="I497" s="1851" t="s">
        <v>471</v>
      </c>
      <c r="J497" s="1871">
        <f>SUM(J481:J496)</f>
        <v>105.22000000000003</v>
      </c>
      <c r="K497" s="1851"/>
      <c r="L497" s="1851"/>
      <c r="M497" s="1851"/>
      <c r="N497" s="1851"/>
      <c r="O497" s="1866"/>
      <c r="P497" s="1867"/>
      <c r="Q497" s="1867"/>
    </row>
    <row r="498" spans="1:17" ht="17.2" hidden="1" customHeight="1">
      <c r="A498" s="1855"/>
      <c r="B498" s="1856"/>
      <c r="C498" s="1859"/>
      <c r="D498" s="1853"/>
      <c r="E498" s="1853"/>
      <c r="F498" s="1853"/>
      <c r="G498" s="1851"/>
      <c r="H498" s="1851"/>
      <c r="I498" s="1851"/>
      <c r="J498" s="1871" t="s">
        <v>1478</v>
      </c>
      <c r="K498" s="1851"/>
      <c r="L498" s="1851"/>
      <c r="M498" s="1851"/>
      <c r="N498" s="1851"/>
      <c r="O498" s="1866"/>
      <c r="P498" s="1867"/>
      <c r="Q498" s="1867"/>
    </row>
    <row r="499" spans="1:17" ht="21.75" hidden="1" customHeight="1">
      <c r="A499" s="1855"/>
      <c r="B499" s="1872"/>
      <c r="C499" s="2524" t="s">
        <v>3389</v>
      </c>
      <c r="D499" s="2524"/>
      <c r="E499" s="2524"/>
      <c r="F499" s="2524"/>
      <c r="G499" s="2524"/>
      <c r="H499" s="2524"/>
      <c r="I499" s="2524"/>
      <c r="J499" s="1851">
        <f>J497</f>
        <v>105.22000000000003</v>
      </c>
      <c r="K499" s="1873">
        <f>[221]Datas!G943</f>
        <v>1947.2</v>
      </c>
      <c r="L499" s="1873"/>
      <c r="M499" s="1873">
        <f>ROUND(K499*J499/10,0)</f>
        <v>20488</v>
      </c>
      <c r="N499" s="1851">
        <f>SUM(L499:M499)</f>
        <v>20488</v>
      </c>
      <c r="O499" s="1866"/>
      <c r="P499" s="1867"/>
      <c r="Q499" s="1867"/>
    </row>
    <row r="500" spans="1:17" hidden="1">
      <c r="A500" s="1855"/>
      <c r="B500" s="1892"/>
      <c r="C500" s="1880"/>
      <c r="D500" s="1892"/>
      <c r="E500" s="1880"/>
      <c r="F500" s="1883"/>
      <c r="G500" s="1893"/>
      <c r="H500" s="1893"/>
      <c r="I500" s="1874"/>
      <c r="J500" s="1851" t="s">
        <v>1478</v>
      </c>
      <c r="K500" s="1873" t="s">
        <v>672</v>
      </c>
      <c r="L500" s="1873"/>
      <c r="M500" s="1873"/>
      <c r="N500" s="1873"/>
      <c r="O500" s="1866"/>
      <c r="P500" s="1867"/>
      <c r="Q500" s="1867"/>
    </row>
    <row r="501" spans="1:17" hidden="1">
      <c r="A501" s="1855"/>
      <c r="B501" s="1892"/>
      <c r="C501" s="1880"/>
      <c r="D501" s="1892"/>
      <c r="E501" s="1880"/>
      <c r="F501" s="1883"/>
      <c r="G501" s="1893"/>
      <c r="H501" s="1893"/>
      <c r="I501" s="1874"/>
      <c r="J501" s="1884"/>
      <c r="K501" s="1873"/>
      <c r="L501" s="1873"/>
      <c r="M501" s="1873"/>
      <c r="N501" s="1873"/>
      <c r="O501" s="1866"/>
      <c r="P501" s="1867"/>
      <c r="Q501" s="1867"/>
    </row>
    <row r="502" spans="1:17" ht="87.75" hidden="1" customHeight="1">
      <c r="A502" s="1855">
        <f>A479+1</f>
        <v>31</v>
      </c>
      <c r="B502" s="1856"/>
      <c r="C502" s="2527" t="s">
        <v>1027</v>
      </c>
      <c r="D502" s="2528"/>
      <c r="E502" s="2528"/>
      <c r="F502" s="2528"/>
      <c r="G502" s="2528"/>
      <c r="H502" s="2528"/>
      <c r="I502" s="2528"/>
      <c r="J502" s="2528"/>
      <c r="K502" s="1851"/>
      <c r="L502" s="1851"/>
      <c r="M502" s="1851"/>
      <c r="N502" s="1851"/>
      <c r="O502" s="1866"/>
      <c r="P502" s="1867"/>
      <c r="Q502" s="1867"/>
    </row>
    <row r="503" spans="1:17" ht="17.2" hidden="1" customHeight="1">
      <c r="A503" s="1855"/>
      <c r="B503" s="1856"/>
      <c r="C503" s="1899" t="s">
        <v>3497</v>
      </c>
      <c r="D503" s="1853">
        <v>2</v>
      </c>
      <c r="E503" s="1853" t="s">
        <v>1472</v>
      </c>
      <c r="F503" s="1851">
        <v>2.25</v>
      </c>
      <c r="G503" s="1851">
        <v>1.05</v>
      </c>
      <c r="H503" s="1851"/>
      <c r="I503" s="1851">
        <v>2.1</v>
      </c>
      <c r="J503" s="1851">
        <f>ROUND(D503*F503*G503*I503,2)</f>
        <v>9.92</v>
      </c>
      <c r="K503" s="1851"/>
      <c r="L503" s="1851"/>
      <c r="M503" s="1851"/>
      <c r="N503" s="1851"/>
      <c r="O503" s="1866"/>
      <c r="P503" s="1867"/>
      <c r="Q503" s="1890"/>
    </row>
    <row r="504" spans="1:17" ht="17.2" hidden="1" customHeight="1">
      <c r="A504" s="1855"/>
      <c r="B504" s="1856"/>
      <c r="C504" s="1899"/>
      <c r="D504" s="1853">
        <v>2</v>
      </c>
      <c r="E504" s="1853" t="s">
        <v>1472</v>
      </c>
      <c r="F504" s="1851">
        <v>2.25</v>
      </c>
      <c r="G504" s="1851">
        <v>0.9</v>
      </c>
      <c r="H504" s="1851"/>
      <c r="I504" s="1851">
        <v>2.1</v>
      </c>
      <c r="J504" s="1851">
        <f>ROUND(D504*F504*G504*I504,2)</f>
        <v>8.51</v>
      </c>
      <c r="K504" s="1851"/>
      <c r="L504" s="1851"/>
      <c r="M504" s="1851"/>
      <c r="N504" s="1851"/>
      <c r="O504" s="1866"/>
      <c r="P504" s="1867"/>
      <c r="Q504" s="1890"/>
    </row>
    <row r="505" spans="1:17" ht="17.2" hidden="1" customHeight="1">
      <c r="A505" s="1855"/>
      <c r="B505" s="1856"/>
      <c r="C505" s="1899"/>
      <c r="D505" s="1853">
        <v>4</v>
      </c>
      <c r="E505" s="1853" t="s">
        <v>1472</v>
      </c>
      <c r="F505" s="1851">
        <v>2.75</v>
      </c>
      <c r="G505" s="1851">
        <v>1.2</v>
      </c>
      <c r="H505" s="1851"/>
      <c r="I505" s="1851">
        <v>1.2</v>
      </c>
      <c r="J505" s="1851">
        <f>ROUND(D505*F505*G505*I505,2)</f>
        <v>15.84</v>
      </c>
      <c r="K505" s="1851"/>
      <c r="L505" s="1851"/>
      <c r="M505" s="1851"/>
      <c r="N505" s="1851"/>
      <c r="O505" s="1866"/>
      <c r="P505" s="1867"/>
      <c r="Q505" s="1890"/>
    </row>
    <row r="506" spans="1:17" ht="17.2" hidden="1" customHeight="1">
      <c r="A506" s="1855"/>
      <c r="B506" s="1856"/>
      <c r="C506" s="1899"/>
      <c r="D506" s="1853">
        <v>1</v>
      </c>
      <c r="E506" s="1853" t="s">
        <v>1472</v>
      </c>
      <c r="F506" s="1851">
        <v>2.75</v>
      </c>
      <c r="G506" s="1851">
        <v>1.2</v>
      </c>
      <c r="H506" s="1851"/>
      <c r="I506" s="1851">
        <v>0.75</v>
      </c>
      <c r="J506" s="1851">
        <f>ROUND(D506*F506*G506*I506,2)</f>
        <v>2.48</v>
      </c>
      <c r="K506" s="1851"/>
      <c r="L506" s="1851"/>
      <c r="M506" s="1851"/>
      <c r="N506" s="1851"/>
      <c r="O506" s="1866"/>
      <c r="P506" s="1867"/>
      <c r="Q506" s="1890"/>
    </row>
    <row r="507" spans="1:17" ht="17.2" hidden="1" customHeight="1">
      <c r="A507" s="1855"/>
      <c r="B507" s="1856"/>
      <c r="C507" s="1899"/>
      <c r="D507" s="1853"/>
      <c r="E507" s="1853"/>
      <c r="F507" s="1853"/>
      <c r="G507" s="1851"/>
      <c r="H507" s="1851"/>
      <c r="I507" s="1851"/>
      <c r="J507" s="1871">
        <f>SUM(J503:J506)</f>
        <v>36.749999999999993</v>
      </c>
      <c r="K507" s="1851"/>
      <c r="L507" s="1851"/>
      <c r="M507" s="1851"/>
      <c r="N507" s="1851"/>
      <c r="O507" s="1866"/>
      <c r="P507" s="1867"/>
      <c r="Q507" s="1867"/>
    </row>
    <row r="508" spans="1:17" ht="17.2" hidden="1" customHeight="1">
      <c r="A508" s="1855"/>
      <c r="B508" s="1856"/>
      <c r="C508" s="1859"/>
      <c r="D508" s="1853"/>
      <c r="E508" s="1853"/>
      <c r="F508" s="1853"/>
      <c r="G508" s="1851"/>
      <c r="H508" s="1851"/>
      <c r="I508" s="1851"/>
      <c r="J508" s="1871" t="s">
        <v>1478</v>
      </c>
      <c r="K508" s="1851"/>
      <c r="L508" s="1851"/>
      <c r="M508" s="1851"/>
      <c r="N508" s="1851"/>
      <c r="O508" s="1866"/>
      <c r="P508" s="1867"/>
      <c r="Q508" s="1867"/>
    </row>
    <row r="509" spans="1:17" ht="21.75" hidden="1" customHeight="1">
      <c r="A509" s="1855"/>
      <c r="B509" s="1872"/>
      <c r="C509" s="2524" t="s">
        <v>3389</v>
      </c>
      <c r="D509" s="2524"/>
      <c r="E509" s="2524"/>
      <c r="F509" s="2524"/>
      <c r="G509" s="2524"/>
      <c r="H509" s="2524"/>
      <c r="I509" s="2524"/>
      <c r="J509" s="1851">
        <f>J507</f>
        <v>36.749999999999993</v>
      </c>
      <c r="K509" s="1873">
        <f>[221]Datas!G887</f>
        <v>1244.8</v>
      </c>
      <c r="L509" s="1874"/>
      <c r="M509" s="1873">
        <f>ROUND(K509*J509/10,0)</f>
        <v>4575</v>
      </c>
      <c r="N509" s="1851">
        <f>SUM(L509:M509)</f>
        <v>4575</v>
      </c>
      <c r="O509" s="1866"/>
      <c r="P509" s="1876"/>
      <c r="Q509" s="1867"/>
    </row>
    <row r="510" spans="1:17" hidden="1">
      <c r="A510" s="1855"/>
      <c r="B510" s="1872"/>
      <c r="C510" s="1872"/>
      <c r="D510" s="1872"/>
      <c r="E510" s="1872"/>
      <c r="F510" s="1872"/>
      <c r="G510" s="1872"/>
      <c r="H510" s="1872"/>
      <c r="I510" s="1872"/>
      <c r="J510" s="1851" t="s">
        <v>1478</v>
      </c>
      <c r="K510" s="1873" t="s">
        <v>476</v>
      </c>
      <c r="L510" s="1873"/>
      <c r="M510" s="1873"/>
      <c r="N510" s="1873"/>
      <c r="O510" s="1866"/>
      <c r="P510" s="1867"/>
      <c r="Q510" s="1867"/>
    </row>
    <row r="511" spans="1:17" hidden="1">
      <c r="A511" s="1855"/>
      <c r="B511" s="1872"/>
      <c r="C511" s="1877"/>
      <c r="D511" s="1853"/>
      <c r="E511" s="1853"/>
      <c r="F511" s="1853"/>
      <c r="G511" s="1851"/>
      <c r="H511" s="1851"/>
      <c r="I511" s="1851"/>
      <c r="J511" s="1884"/>
      <c r="K511" s="1873"/>
      <c r="L511" s="1873"/>
      <c r="M511" s="1873"/>
      <c r="N511" s="1873"/>
      <c r="O511" s="1866"/>
      <c r="P511" s="1867"/>
      <c r="Q511" s="1867"/>
    </row>
    <row r="512" spans="1:17" ht="145.9" hidden="1" customHeight="1">
      <c r="A512" s="1855">
        <f>A502+1</f>
        <v>32</v>
      </c>
      <c r="B512" s="1856"/>
      <c r="C512" s="2527" t="s">
        <v>0</v>
      </c>
      <c r="D512" s="2528"/>
      <c r="E512" s="2528"/>
      <c r="F512" s="2528"/>
      <c r="G512" s="2528"/>
      <c r="H512" s="2528"/>
      <c r="I512" s="2528"/>
      <c r="J512" s="2528"/>
      <c r="K512" s="1851"/>
      <c r="L512" s="1851"/>
      <c r="M512" s="1851"/>
      <c r="N512" s="1851"/>
      <c r="O512" s="1866"/>
      <c r="P512" s="1867"/>
      <c r="Q512" s="1867"/>
    </row>
    <row r="513" spans="1:19" ht="20.25" hidden="1" customHeight="1">
      <c r="A513" s="1855"/>
      <c r="B513" s="1856"/>
      <c r="C513" s="1877" t="s">
        <v>3498</v>
      </c>
      <c r="D513" s="1853"/>
      <c r="E513" s="1853"/>
      <c r="F513" s="1853"/>
      <c r="G513" s="1851"/>
      <c r="H513" s="1851"/>
      <c r="I513" s="1851"/>
      <c r="J513" s="1871">
        <v>0.1</v>
      </c>
      <c r="K513" s="1851"/>
      <c r="L513" s="1851"/>
      <c r="M513" s="1851"/>
      <c r="N513" s="1851"/>
      <c r="O513" s="1866"/>
      <c r="P513" s="1867"/>
      <c r="Q513" s="1890"/>
      <c r="R513" s="1847">
        <v>1.4</v>
      </c>
    </row>
    <row r="514" spans="1:19" ht="17.2" hidden="1" customHeight="1">
      <c r="A514" s="1855"/>
      <c r="B514" s="1856"/>
      <c r="C514" s="1859"/>
      <c r="D514" s="1853"/>
      <c r="E514" s="1853"/>
      <c r="F514" s="1853"/>
      <c r="G514" s="1851"/>
      <c r="H514" s="1851"/>
      <c r="I514" s="1851"/>
      <c r="J514" s="1871"/>
      <c r="K514" s="1851"/>
      <c r="L514" s="1851"/>
      <c r="M514" s="1851"/>
      <c r="N514" s="1851"/>
      <c r="O514" s="1866"/>
      <c r="P514" s="1867"/>
      <c r="Q514" s="1890"/>
    </row>
    <row r="515" spans="1:19" ht="33" hidden="1" customHeight="1">
      <c r="A515" s="1855"/>
      <c r="B515" s="1872"/>
      <c r="C515" s="2524" t="s">
        <v>3389</v>
      </c>
      <c r="D515" s="2524"/>
      <c r="E515" s="2524"/>
      <c r="F515" s="2524"/>
      <c r="G515" s="2524"/>
      <c r="H515" s="2524"/>
      <c r="I515" s="2524"/>
      <c r="J515" s="1851">
        <f>J513</f>
        <v>0.1</v>
      </c>
      <c r="K515" s="1873">
        <f>[221]Datas!G555</f>
        <v>89162</v>
      </c>
      <c r="L515" s="1874"/>
      <c r="M515" s="1873">
        <f>ROUND(K515*J515,0)</f>
        <v>8916</v>
      </c>
      <c r="N515" s="1873">
        <f>SUM(M515)</f>
        <v>8916</v>
      </c>
      <c r="O515" s="1945"/>
      <c r="P515" s="1945"/>
      <c r="Q515" s="1890"/>
      <c r="S515" s="1847">
        <v>2.0099999999999998</v>
      </c>
    </row>
    <row r="516" spans="1:19" hidden="1">
      <c r="A516" s="1855"/>
      <c r="B516" s="1872"/>
      <c r="C516" s="1872"/>
      <c r="D516" s="1872"/>
      <c r="E516" s="1872"/>
      <c r="F516" s="1872"/>
      <c r="G516" s="1872"/>
      <c r="H516" s="1872"/>
      <c r="I516" s="1872"/>
      <c r="J516" s="1885" t="s">
        <v>1037</v>
      </c>
      <c r="K516" s="1873" t="s">
        <v>3499</v>
      </c>
      <c r="L516" s="1874"/>
      <c r="M516" s="1873"/>
      <c r="N516" s="1873"/>
      <c r="O516" s="1945"/>
      <c r="P516" s="1945"/>
      <c r="Q516" s="1867"/>
    </row>
    <row r="517" spans="1:19" hidden="1">
      <c r="A517" s="1855"/>
      <c r="B517" s="1872"/>
      <c r="C517" s="1872"/>
      <c r="D517" s="1872"/>
      <c r="E517" s="1872"/>
      <c r="F517" s="1872"/>
      <c r="G517" s="1872"/>
      <c r="H517" s="1872"/>
      <c r="I517" s="1872"/>
      <c r="J517" s="1884"/>
      <c r="K517" s="1873"/>
      <c r="L517" s="1874"/>
      <c r="M517" s="1873"/>
      <c r="N517" s="1873"/>
      <c r="O517" s="1945"/>
      <c r="P517" s="1945"/>
      <c r="Q517" s="1879"/>
    </row>
    <row r="518" spans="1:19" hidden="1">
      <c r="A518" s="1855"/>
      <c r="B518" s="1872"/>
      <c r="C518" s="1872"/>
      <c r="D518" s="1872"/>
      <c r="E518" s="1872"/>
      <c r="F518" s="1872"/>
      <c r="G518" s="1872"/>
      <c r="H518" s="1872"/>
      <c r="I518" s="1872"/>
      <c r="J518" s="1946"/>
      <c r="K518" s="1914"/>
      <c r="L518" s="1900"/>
      <c r="M518" s="1914"/>
      <c r="N518" s="1916"/>
      <c r="O518" s="1925"/>
      <c r="P518" s="1876"/>
      <c r="Q518" s="1879"/>
    </row>
    <row r="519" spans="1:19" s="1876" customFormat="1" ht="14.4" hidden="1" customHeight="1">
      <c r="A519" s="1855"/>
      <c r="B519" s="1900"/>
      <c r="C519" s="1855"/>
      <c r="D519" s="1855"/>
      <c r="E519" s="1855"/>
      <c r="F519" s="1900"/>
      <c r="G519" s="1912"/>
      <c r="H519" s="1912"/>
      <c r="I519" s="1913"/>
      <c r="J519" s="1912"/>
      <c r="K519" s="1855"/>
      <c r="L519" s="1909"/>
      <c r="M519" s="1909"/>
      <c r="N519" s="1910"/>
      <c r="O519" s="1911"/>
    </row>
    <row r="520" spans="1:19" s="1876" customFormat="1" ht="14.4" hidden="1" customHeight="1">
      <c r="A520" s="1855">
        <v>33</v>
      </c>
      <c r="B520" s="1900"/>
      <c r="C520" s="2537" t="s">
        <v>3500</v>
      </c>
      <c r="D520" s="2537"/>
      <c r="E520" s="2537"/>
      <c r="F520" s="2537"/>
      <c r="G520" s="2537"/>
      <c r="H520" s="2537"/>
      <c r="I520" s="2537"/>
      <c r="J520" s="1912"/>
      <c r="K520" s="1914">
        <v>1</v>
      </c>
      <c r="L520" s="1947">
        <f>[222]Electrical!L55</f>
        <v>0</v>
      </c>
      <c r="M520" s="1947">
        <f>'[221]Sub Est_Elec'!N55</f>
        <v>28216</v>
      </c>
      <c r="N520" s="1947">
        <f>[222]Electrical!N55</f>
        <v>3701</v>
      </c>
      <c r="O520" s="1911"/>
    </row>
    <row r="521" spans="1:19" hidden="1">
      <c r="A521" s="1855"/>
      <c r="B521" s="1872"/>
      <c r="C521" s="1855"/>
      <c r="D521" s="1855"/>
      <c r="E521" s="1855"/>
      <c r="F521" s="1948"/>
      <c r="G521" s="1912"/>
      <c r="H521" s="1912"/>
      <c r="I521" s="1913"/>
      <c r="J521" s="1949"/>
      <c r="K521" s="1950"/>
      <c r="L521" s="1900"/>
      <c r="M521" s="1914"/>
      <c r="N521" s="1916"/>
      <c r="O521" s="1925"/>
      <c r="P521" s="1876"/>
      <c r="Q521" s="1876"/>
    </row>
    <row r="522" spans="1:19" ht="20.25" hidden="1" customHeight="1">
      <c r="A522" s="1855">
        <f>A520+1</f>
        <v>34</v>
      </c>
      <c r="B522" s="1872"/>
      <c r="C522" s="2537" t="s">
        <v>3501</v>
      </c>
      <c r="D522" s="2537"/>
      <c r="E522" s="2537"/>
      <c r="F522" s="2537"/>
      <c r="G522" s="2537"/>
      <c r="H522" s="2537"/>
      <c r="I522" s="2537"/>
      <c r="J522" s="1949"/>
      <c r="K522" s="1914">
        <v>1</v>
      </c>
      <c r="L522" s="1947">
        <f>'[222]Toilet Block'!L274</f>
        <v>0</v>
      </c>
      <c r="M522" s="1947">
        <f>'[221]Sub Est-Toilet'!N299</f>
        <v>152657</v>
      </c>
      <c r="N522" s="1947">
        <f>'[221]Sub Est-Toilet'!N299</f>
        <v>152657</v>
      </c>
      <c r="O522" s="1925"/>
      <c r="P522" s="1876"/>
      <c r="Q522" s="1879"/>
    </row>
    <row r="523" spans="1:19" hidden="1">
      <c r="A523" s="1855"/>
      <c r="B523" s="1880"/>
      <c r="C523" s="1880"/>
      <c r="D523" s="1880"/>
      <c r="E523" s="1880"/>
      <c r="F523" s="1880"/>
      <c r="G523" s="1881"/>
      <c r="H523" s="1882"/>
      <c r="I523" s="1883"/>
      <c r="J523" s="1946"/>
      <c r="K523" s="1914"/>
      <c r="L523" s="1900"/>
      <c r="M523" s="1914"/>
      <c r="N523" s="1916"/>
      <c r="O523" s="1925"/>
      <c r="P523" s="1876"/>
      <c r="Q523" s="1879"/>
    </row>
    <row r="524" spans="1:19" hidden="1">
      <c r="A524" s="1855"/>
      <c r="B524" s="1900"/>
      <c r="C524" s="1877"/>
      <c r="D524" s="1877"/>
      <c r="E524" s="1877"/>
      <c r="F524" s="1918"/>
      <c r="G524" s="1877"/>
      <c r="H524" s="1877"/>
      <c r="I524" s="1877"/>
      <c r="J524" s="1919"/>
      <c r="K524" s="1920"/>
      <c r="L524" s="1921">
        <f>SUM(L370:L522)</f>
        <v>0</v>
      </c>
      <c r="M524" s="1921">
        <f>SUM(M303:M522)</f>
        <v>305427</v>
      </c>
      <c r="N524" s="1921">
        <f>SUM(N370:N523)</f>
        <v>249368</v>
      </c>
      <c r="O524" s="1875"/>
      <c r="P524" s="1922">
        <f>ROUND(SUM(P370:P522),0)</f>
        <v>134</v>
      </c>
      <c r="Q524" s="1922">
        <f>SUM(Q370:Q522)</f>
        <v>0</v>
      </c>
    </row>
    <row r="525" spans="1:19" ht="21" hidden="1" customHeight="1">
      <c r="A525" s="1855">
        <v>35</v>
      </c>
      <c r="B525" s="1872"/>
      <c r="C525" s="2533" t="s">
        <v>3502</v>
      </c>
      <c r="D525" s="2533"/>
      <c r="E525" s="2533"/>
      <c r="F525" s="2533"/>
      <c r="G525" s="2533"/>
      <c r="H525" s="2533"/>
      <c r="I525" s="2533"/>
      <c r="J525" s="1852"/>
      <c r="K525" s="1873"/>
      <c r="L525" s="1923"/>
      <c r="M525" s="1923"/>
      <c r="N525" s="1924">
        <f>ROUND(M524*5%,0)</f>
        <v>15271</v>
      </c>
      <c r="O525" s="1925"/>
      <c r="P525" s="1926"/>
      <c r="Q525" s="1927">
        <f>SUM(Q262:Q524)</f>
        <v>0</v>
      </c>
    </row>
    <row r="526" spans="1:19" ht="21" hidden="1" customHeight="1">
      <c r="A526" s="1855">
        <f>A525+1</f>
        <v>36</v>
      </c>
      <c r="B526" s="1872"/>
      <c r="C526" s="2533" t="s">
        <v>3473</v>
      </c>
      <c r="D526" s="2533"/>
      <c r="E526" s="2533"/>
      <c r="F526" s="2533"/>
      <c r="G526" s="2533"/>
      <c r="H526" s="2533"/>
      <c r="I526" s="2533"/>
      <c r="J526" s="1852"/>
      <c r="K526" s="1873"/>
      <c r="L526" s="1923"/>
      <c r="M526" s="1923"/>
      <c r="N526" s="1924">
        <f>ROUND(N524*0.5%,0)</f>
        <v>1247</v>
      </c>
      <c r="O526" s="1925"/>
      <c r="P526" s="1926"/>
      <c r="Q526" s="1926"/>
    </row>
    <row r="527" spans="1:19" ht="21" hidden="1" customHeight="1">
      <c r="A527" s="1855">
        <f>A526+1</f>
        <v>37</v>
      </c>
      <c r="B527" s="1872"/>
      <c r="C527" s="2533" t="s">
        <v>3503</v>
      </c>
      <c r="D527" s="2533"/>
      <c r="E527" s="2533"/>
      <c r="F527" s="2533"/>
      <c r="G527" s="2533"/>
      <c r="H527" s="2533"/>
      <c r="I527" s="2533"/>
      <c r="J527" s="1928"/>
      <c r="K527" s="1929"/>
      <c r="L527" s="1930"/>
      <c r="M527" s="1930"/>
      <c r="N527" s="1931">
        <f>ROUND((N364+N524)*0.1%,0)</f>
        <v>1036</v>
      </c>
      <c r="O527" s="1951"/>
      <c r="P527" s="1926"/>
      <c r="Q527" s="1926"/>
    </row>
    <row r="528" spans="1:19" ht="21" hidden="1" customHeight="1">
      <c r="A528" s="1855">
        <f>A526+1</f>
        <v>37</v>
      </c>
      <c r="B528" s="1872"/>
      <c r="C528" s="2533" t="s">
        <v>3474</v>
      </c>
      <c r="D528" s="2533"/>
      <c r="E528" s="2533"/>
      <c r="F528" s="2533"/>
      <c r="G528" s="2533"/>
      <c r="H528" s="2533"/>
      <c r="I528" s="2533"/>
      <c r="J528" s="1928"/>
      <c r="K528" s="1929"/>
      <c r="L528" s="1930"/>
      <c r="M528" s="1930"/>
      <c r="N528" s="1931">
        <v>3287</v>
      </c>
      <c r="O528" s="1925"/>
      <c r="P528" s="1926"/>
      <c r="Q528" s="1926"/>
    </row>
    <row r="529" spans="1:17" hidden="1">
      <c r="A529" s="1855"/>
      <c r="B529" s="1872"/>
      <c r="C529" s="1952"/>
      <c r="D529" s="1952"/>
      <c r="E529" s="1952"/>
      <c r="F529" s="1953"/>
      <c r="G529" s="1912"/>
      <c r="H529" s="1912"/>
      <c r="I529" s="1912"/>
      <c r="J529" s="1928"/>
      <c r="K529" s="1929"/>
      <c r="L529" s="1851"/>
      <c r="M529" s="1933" t="s">
        <v>3504</v>
      </c>
      <c r="N529" s="1933">
        <f>SUM(N524:N528)</f>
        <v>270209</v>
      </c>
      <c r="O529" s="1935"/>
      <c r="P529" s="1927">
        <f>N529-400000</f>
        <v>-129791</v>
      </c>
      <c r="Q529" s="1926"/>
    </row>
    <row r="530" spans="1:17" ht="18" hidden="1" customHeight="1">
      <c r="A530" s="1855"/>
      <c r="B530" s="1872"/>
      <c r="C530" s="1952"/>
      <c r="D530" s="1952"/>
      <c r="E530" s="1952"/>
      <c r="F530" s="1953"/>
      <c r="G530" s="1912"/>
      <c r="H530" s="1912"/>
      <c r="I530" s="1912"/>
      <c r="J530" s="1928"/>
      <c r="K530" s="1929"/>
      <c r="L530" s="1851"/>
      <c r="M530" s="1933"/>
      <c r="N530" s="1933"/>
      <c r="O530" s="1935"/>
      <c r="P530" s="1927"/>
      <c r="Q530" s="1926"/>
    </row>
    <row r="531" spans="1:17" hidden="1">
      <c r="A531" s="1855"/>
      <c r="B531" s="1872"/>
      <c r="C531" s="1952"/>
      <c r="D531" s="1952"/>
      <c r="E531" s="1952"/>
      <c r="F531" s="1953"/>
      <c r="G531" s="1912"/>
      <c r="H531" s="1912"/>
      <c r="I531" s="1912"/>
      <c r="J531" s="1928"/>
      <c r="K531" s="1929"/>
      <c r="L531" s="1851"/>
      <c r="M531" s="1933"/>
      <c r="N531" s="1933"/>
      <c r="O531" s="1935"/>
      <c r="P531" s="1927"/>
      <c r="Q531" s="1926"/>
    </row>
    <row r="532" spans="1:17" ht="19.899999999999999" hidden="1" customHeight="1">
      <c r="A532" s="1855"/>
      <c r="B532" s="1872"/>
      <c r="C532" s="1952"/>
      <c r="D532" s="1952"/>
      <c r="E532" s="1952"/>
      <c r="F532" s="1953"/>
      <c r="G532" s="1912"/>
      <c r="H532" s="1954" t="s">
        <v>3505</v>
      </c>
      <c r="I532" s="1954"/>
      <c r="J532" s="1928"/>
      <c r="K532" s="1929"/>
      <c r="L532" s="1851"/>
      <c r="M532" s="1933"/>
      <c r="N532" s="1933">
        <f>N368</f>
        <v>800000</v>
      </c>
      <c r="O532" s="1935"/>
      <c r="P532" s="1927"/>
      <c r="Q532" s="1926"/>
    </row>
    <row r="533" spans="1:17" ht="19.899999999999999" hidden="1" customHeight="1">
      <c r="A533" s="1855"/>
      <c r="B533" s="1872"/>
      <c r="C533" s="1952"/>
      <c r="D533" s="1952"/>
      <c r="E533" s="1952"/>
      <c r="F533" s="1953"/>
      <c r="G533" s="1912"/>
      <c r="H533" s="1954" t="s">
        <v>3506</v>
      </c>
      <c r="I533" s="1954"/>
      <c r="J533" s="1928"/>
      <c r="K533" s="1929"/>
      <c r="L533" s="1851"/>
      <c r="M533" s="1933"/>
      <c r="N533" s="1933">
        <f>N529</f>
        <v>270209</v>
      </c>
      <c r="O533" s="1935"/>
      <c r="P533" s="1927"/>
      <c r="Q533" s="1926"/>
    </row>
    <row r="534" spans="1:17" ht="25.9" hidden="1" customHeight="1">
      <c r="A534" s="1855"/>
      <c r="B534" s="1872"/>
      <c r="C534" s="1952"/>
      <c r="D534" s="1952"/>
      <c r="E534" s="1952"/>
      <c r="F534" s="1953"/>
      <c r="G534" s="1912"/>
      <c r="H534" s="1954" t="s">
        <v>3507</v>
      </c>
      <c r="I534" s="1954"/>
      <c r="J534" s="1928"/>
      <c r="K534" s="1929"/>
      <c r="L534" s="1851"/>
      <c r="M534" s="1933"/>
      <c r="N534" s="1933">
        <f>SUM(N532:N533)</f>
        <v>1070209</v>
      </c>
      <c r="O534" s="1935"/>
      <c r="P534" s="1927">
        <f>N534-427895</f>
        <v>642314</v>
      </c>
      <c r="Q534" s="1926"/>
    </row>
    <row r="535" spans="1:17">
      <c r="A535" s="1955"/>
      <c r="B535" s="1956"/>
      <c r="D535" s="1957"/>
      <c r="F535" s="1958"/>
      <c r="G535" s="1959"/>
      <c r="H535" s="1959"/>
      <c r="I535" s="1945"/>
      <c r="J535" s="1960"/>
      <c r="K535" s="1945"/>
      <c r="L535" s="1945"/>
      <c r="M535" s="1961"/>
      <c r="N535" s="1945"/>
      <c r="O535" s="1945"/>
      <c r="P535" s="1945"/>
      <c r="Q535" s="1867"/>
    </row>
    <row r="536" spans="1:17">
      <c r="A536" s="1955"/>
      <c r="B536" s="1956"/>
      <c r="D536" s="1957"/>
      <c r="F536" s="1958"/>
      <c r="G536" s="1959"/>
      <c r="H536" s="1959"/>
      <c r="I536" s="1945"/>
      <c r="J536" s="1960"/>
      <c r="K536" s="1945"/>
      <c r="L536" s="1945"/>
      <c r="M536" s="1961"/>
      <c r="N536" s="1945"/>
      <c r="O536" s="1945"/>
      <c r="P536" s="1945"/>
      <c r="Q536" s="1867"/>
    </row>
    <row r="537" spans="1:17">
      <c r="A537" s="1955"/>
      <c r="B537" s="1956"/>
      <c r="D537" s="1957"/>
      <c r="F537" s="1958"/>
      <c r="G537" s="1959"/>
      <c r="H537" s="1959"/>
      <c r="I537" s="1945"/>
      <c r="J537" s="1960"/>
      <c r="K537" s="1945"/>
      <c r="L537" s="1945"/>
      <c r="M537" s="1961"/>
      <c r="N537" s="1945"/>
      <c r="O537" s="1945"/>
      <c r="P537" s="1945"/>
      <c r="Q537" s="1867"/>
    </row>
    <row r="538" spans="1:17">
      <c r="A538" s="1955"/>
      <c r="B538" s="1956"/>
      <c r="D538" s="1957"/>
      <c r="F538" s="1958"/>
      <c r="G538" s="1959"/>
      <c r="H538" s="1959"/>
      <c r="I538" s="1945"/>
      <c r="J538" s="1960"/>
      <c r="K538" s="1945"/>
      <c r="L538" s="1945"/>
      <c r="M538" s="1961"/>
      <c r="N538" s="1945"/>
      <c r="O538" s="1945"/>
      <c r="P538" s="1945"/>
      <c r="Q538" s="1867"/>
    </row>
    <row r="539" spans="1:17">
      <c r="A539" s="1955"/>
      <c r="B539" s="1956"/>
      <c r="D539" s="1957"/>
      <c r="F539" s="1958"/>
      <c r="G539" s="1959"/>
      <c r="H539" s="1959"/>
      <c r="I539" s="1945"/>
      <c r="J539" s="1960"/>
      <c r="K539" s="1945"/>
      <c r="L539" s="1945"/>
      <c r="M539" s="1945" t="s">
        <v>1480</v>
      </c>
      <c r="N539" s="1945"/>
      <c r="O539" s="1945"/>
      <c r="P539" s="1945"/>
      <c r="Q539" s="1867"/>
    </row>
    <row r="540" spans="1:17" ht="19.2" customHeight="1">
      <c r="A540" s="1956"/>
      <c r="B540" s="1962"/>
      <c r="C540" s="1963" t="str">
        <f>[221]Lead!B42</f>
        <v>Asst.Executive  Engineer</v>
      </c>
      <c r="D540" s="1964"/>
      <c r="E540" s="1964"/>
      <c r="F540" s="1965"/>
      <c r="G540" s="1963" t="str">
        <f>[221]Lead!H42</f>
        <v>Dy.Executive.Engineer</v>
      </c>
      <c r="H540" s="1963"/>
      <c r="I540" s="1964"/>
      <c r="J540" s="1966"/>
      <c r="K540" s="1963"/>
      <c r="L540" s="1963"/>
      <c r="M540" s="1964"/>
      <c r="N540" s="1964"/>
      <c r="O540" s="1964"/>
      <c r="P540" s="1964"/>
      <c r="Q540" s="1867"/>
    </row>
    <row r="541" spans="1:17">
      <c r="A541" s="1956"/>
      <c r="B541" s="1962"/>
      <c r="C541" s="1963" t="str">
        <f>'[221]Input Sheet'!C7</f>
        <v>MPP Kalwakurthy</v>
      </c>
      <c r="D541" s="1964"/>
      <c r="E541" s="1964"/>
      <c r="F541" s="1965"/>
      <c r="G541" s="1967" t="str">
        <f>'[221]Input Sheet'!C8</f>
        <v>PR SD : Kalwakurthy</v>
      </c>
      <c r="H541" s="1963"/>
      <c r="I541" s="1964"/>
      <c r="J541" s="1966"/>
      <c r="K541" s="1963"/>
      <c r="L541" s="1963"/>
      <c r="M541" s="1964"/>
      <c r="N541" s="1964"/>
      <c r="O541" s="1964"/>
      <c r="P541" s="1964"/>
      <c r="Q541" s="1867"/>
    </row>
  </sheetData>
  <mergeCells count="108">
    <mergeCell ref="P3:P4"/>
    <mergeCell ref="Q3:Q4"/>
    <mergeCell ref="D5:F5"/>
    <mergeCell ref="A1:N1"/>
    <mergeCell ref="A2:N2"/>
    <mergeCell ref="A3:A4"/>
    <mergeCell ref="B3:B4"/>
    <mergeCell ref="C3:C4"/>
    <mergeCell ref="D3:F4"/>
    <mergeCell ref="G3:I3"/>
    <mergeCell ref="J3:J4"/>
    <mergeCell ref="K3:K4"/>
    <mergeCell ref="L3:L4"/>
    <mergeCell ref="C6:J6"/>
    <mergeCell ref="C7:J7"/>
    <mergeCell ref="C17:I17"/>
    <mergeCell ref="C19:J19"/>
    <mergeCell ref="C28:I28"/>
    <mergeCell ref="C30:I30"/>
    <mergeCell ref="M3:M4"/>
    <mergeCell ref="N3:N4"/>
    <mergeCell ref="O3:O4"/>
    <mergeCell ref="C75:J75"/>
    <mergeCell ref="C93:I93"/>
    <mergeCell ref="C96:J96"/>
    <mergeCell ref="C102:I102"/>
    <mergeCell ref="C105:J105"/>
    <mergeCell ref="C109:I109"/>
    <mergeCell ref="C33:J33"/>
    <mergeCell ref="C57:I57"/>
    <mergeCell ref="C60:J60"/>
    <mergeCell ref="C65:I65"/>
    <mergeCell ref="C68:J68"/>
    <mergeCell ref="C72:I72"/>
    <mergeCell ref="C164:I164"/>
    <mergeCell ref="C167:J167"/>
    <mergeCell ref="C174:I174"/>
    <mergeCell ref="C177:J177"/>
    <mergeCell ref="C183:I183"/>
    <mergeCell ref="C186:J186"/>
    <mergeCell ref="C115:I115"/>
    <mergeCell ref="C126:I126"/>
    <mergeCell ref="C138:I138"/>
    <mergeCell ref="C147:I147"/>
    <mergeCell ref="C153:I153"/>
    <mergeCell ref="C156:J156"/>
    <mergeCell ref="C241:J241"/>
    <mergeCell ref="C245:I245"/>
    <mergeCell ref="C247:I247"/>
    <mergeCell ref="C250:J250"/>
    <mergeCell ref="C253:I253"/>
    <mergeCell ref="C254:I254"/>
    <mergeCell ref="C209:I209"/>
    <mergeCell ref="C212:J212"/>
    <mergeCell ref="C226:I226"/>
    <mergeCell ref="C229:J229"/>
    <mergeCell ref="C236:I236"/>
    <mergeCell ref="C238:I238"/>
    <mergeCell ref="C292:I292"/>
    <mergeCell ref="C295:J295"/>
    <mergeCell ref="C297:I297"/>
    <mergeCell ref="C301:J301"/>
    <mergeCell ref="C303:I303"/>
    <mergeCell ref="C305:J305"/>
    <mergeCell ref="C256:J256"/>
    <mergeCell ref="C259:I259"/>
    <mergeCell ref="C260:I260"/>
    <mergeCell ref="C262:J262"/>
    <mergeCell ref="C271:I271"/>
    <mergeCell ref="C274:J274"/>
    <mergeCell ref="C392:I392"/>
    <mergeCell ref="C395:J395"/>
    <mergeCell ref="C413:I413"/>
    <mergeCell ref="C339:J339"/>
    <mergeCell ref="C351:I351"/>
    <mergeCell ref="C354:J354"/>
    <mergeCell ref="C361:I361"/>
    <mergeCell ref="C365:I365"/>
    <mergeCell ref="C307:I307"/>
    <mergeCell ref="C310:J310"/>
    <mergeCell ref="C312:I312"/>
    <mergeCell ref="C315:J315"/>
    <mergeCell ref="C318:J318"/>
    <mergeCell ref="C336:I336"/>
    <mergeCell ref="C527:I527"/>
    <mergeCell ref="C528:I528"/>
    <mergeCell ref="C366:I366"/>
    <mergeCell ref="C512:J512"/>
    <mergeCell ref="C515:I515"/>
    <mergeCell ref="C520:I520"/>
    <mergeCell ref="C522:I522"/>
    <mergeCell ref="C525:I525"/>
    <mergeCell ref="C526:I526"/>
    <mergeCell ref="C453:J453"/>
    <mergeCell ref="C476:I476"/>
    <mergeCell ref="C479:J479"/>
    <mergeCell ref="C499:I499"/>
    <mergeCell ref="C502:J502"/>
    <mergeCell ref="C509:I509"/>
    <mergeCell ref="C416:J416"/>
    <mergeCell ref="C428:I428"/>
    <mergeCell ref="C431:J431"/>
    <mergeCell ref="C441:I441"/>
    <mergeCell ref="C444:J444"/>
    <mergeCell ref="C450:I450"/>
    <mergeCell ref="C367:I367"/>
    <mergeCell ref="C369:J369"/>
    <mergeCell ref="C370:J370"/>
  </mergeCells>
  <pageMargins left="0.7" right="0.7" top="0.75" bottom="0.75" header="0.3" footer="0.3"/>
  <pageSetup paperSize="9" scale="7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FF00"/>
  </sheetPr>
  <dimension ref="A1:U1169"/>
  <sheetViews>
    <sheetView view="pageBreakPreview" topLeftCell="A10" zoomScaleNormal="85" zoomScaleSheetLayoutView="100" workbookViewId="0">
      <selection activeCell="I18" sqref="I18"/>
    </sheetView>
  </sheetViews>
  <sheetFormatPr defaultRowHeight="15.6"/>
  <cols>
    <col min="1" max="1" width="4.5546875" style="1355" customWidth="1"/>
    <col min="2" max="2" width="26.109375" style="1379" customWidth="1"/>
    <col min="3" max="4" width="3.6640625" style="1460" customWidth="1"/>
    <col min="5" max="5" width="6.33203125" style="1460" customWidth="1"/>
    <col min="6" max="6" width="8.44140625" style="1460" customWidth="1"/>
    <col min="7" max="7" width="7.6640625" style="1460" bestFit="1" customWidth="1"/>
    <col min="8" max="8" width="12.44140625" style="1460" customWidth="1"/>
    <col min="9" max="9" width="9.44140625" style="1460" customWidth="1"/>
    <col min="10" max="10" width="9.6640625" style="1460" customWidth="1"/>
    <col min="11" max="11" width="12.5546875" style="1380" customWidth="1"/>
    <col min="12" max="12" width="8.88671875" style="1379"/>
    <col min="13" max="13" width="14.33203125" style="1379" customWidth="1"/>
    <col min="14" max="14" width="16" style="1379" customWidth="1"/>
    <col min="15" max="15" width="8.88671875" style="1379"/>
    <col min="16" max="16" width="11.33203125" style="1379" bestFit="1" customWidth="1"/>
    <col min="17" max="256" width="8.88671875" style="1379"/>
    <col min="257" max="257" width="4.5546875" style="1379" customWidth="1"/>
    <col min="258" max="258" width="38.5546875" style="1379" customWidth="1"/>
    <col min="259" max="259" width="5.5546875" style="1379" customWidth="1"/>
    <col min="260" max="260" width="4" style="1379" customWidth="1"/>
    <col min="261" max="261" width="5.5546875" style="1379" customWidth="1"/>
    <col min="262" max="262" width="8" style="1379" customWidth="1"/>
    <col min="263" max="264" width="8.33203125" style="1379" customWidth="1"/>
    <col min="265" max="265" width="10.6640625" style="1379" customWidth="1"/>
    <col min="266" max="266" width="9.6640625" style="1379" customWidth="1"/>
    <col min="267" max="267" width="14.33203125" style="1379" customWidth="1"/>
    <col min="268" max="268" width="8.88671875" style="1379"/>
    <col min="269" max="269" width="14.33203125" style="1379" customWidth="1"/>
    <col min="270" max="271" width="8.88671875" style="1379"/>
    <col min="272" max="272" width="11.33203125" style="1379" bestFit="1" customWidth="1"/>
    <col min="273" max="512" width="8.88671875" style="1379"/>
    <col min="513" max="513" width="4.5546875" style="1379" customWidth="1"/>
    <col min="514" max="514" width="38.5546875" style="1379" customWidth="1"/>
    <col min="515" max="515" width="5.5546875" style="1379" customWidth="1"/>
    <col min="516" max="516" width="4" style="1379" customWidth="1"/>
    <col min="517" max="517" width="5.5546875" style="1379" customWidth="1"/>
    <col min="518" max="518" width="8" style="1379" customWidth="1"/>
    <col min="519" max="520" width="8.33203125" style="1379" customWidth="1"/>
    <col min="521" max="521" width="10.6640625" style="1379" customWidth="1"/>
    <col min="522" max="522" width="9.6640625" style="1379" customWidth="1"/>
    <col min="523" max="523" width="14.33203125" style="1379" customWidth="1"/>
    <col min="524" max="524" width="8.88671875" style="1379"/>
    <col min="525" max="525" width="14.33203125" style="1379" customWidth="1"/>
    <col min="526" max="527" width="8.88671875" style="1379"/>
    <col min="528" max="528" width="11.33203125" style="1379" bestFit="1" customWidth="1"/>
    <col min="529" max="768" width="8.88671875" style="1379"/>
    <col min="769" max="769" width="4.5546875" style="1379" customWidth="1"/>
    <col min="770" max="770" width="38.5546875" style="1379" customWidth="1"/>
    <col min="771" max="771" width="5.5546875" style="1379" customWidth="1"/>
    <col min="772" max="772" width="4" style="1379" customWidth="1"/>
    <col min="773" max="773" width="5.5546875" style="1379" customWidth="1"/>
    <col min="774" max="774" width="8" style="1379" customWidth="1"/>
    <col min="775" max="776" width="8.33203125" style="1379" customWidth="1"/>
    <col min="777" max="777" width="10.6640625" style="1379" customWidth="1"/>
    <col min="778" max="778" width="9.6640625" style="1379" customWidth="1"/>
    <col min="779" max="779" width="14.33203125" style="1379" customWidth="1"/>
    <col min="780" max="780" width="8.88671875" style="1379"/>
    <col min="781" max="781" width="14.33203125" style="1379" customWidth="1"/>
    <col min="782" max="783" width="8.88671875" style="1379"/>
    <col min="784" max="784" width="11.33203125" style="1379" bestFit="1" customWidth="1"/>
    <col min="785" max="1024" width="8.88671875" style="1379"/>
    <col min="1025" max="1025" width="4.5546875" style="1379" customWidth="1"/>
    <col min="1026" max="1026" width="38.5546875" style="1379" customWidth="1"/>
    <col min="1027" max="1027" width="5.5546875" style="1379" customWidth="1"/>
    <col min="1028" max="1028" width="4" style="1379" customWidth="1"/>
    <col min="1029" max="1029" width="5.5546875" style="1379" customWidth="1"/>
    <col min="1030" max="1030" width="8" style="1379" customWidth="1"/>
    <col min="1031" max="1032" width="8.33203125" style="1379" customWidth="1"/>
    <col min="1033" max="1033" width="10.6640625" style="1379" customWidth="1"/>
    <col min="1034" max="1034" width="9.6640625" style="1379" customWidth="1"/>
    <col min="1035" max="1035" width="14.33203125" style="1379" customWidth="1"/>
    <col min="1036" max="1036" width="8.88671875" style="1379"/>
    <col min="1037" max="1037" width="14.33203125" style="1379" customWidth="1"/>
    <col min="1038" max="1039" width="8.88671875" style="1379"/>
    <col min="1040" max="1040" width="11.33203125" style="1379" bestFit="1" customWidth="1"/>
    <col min="1041" max="1280" width="8.88671875" style="1379"/>
    <col min="1281" max="1281" width="4.5546875" style="1379" customWidth="1"/>
    <col min="1282" max="1282" width="38.5546875" style="1379" customWidth="1"/>
    <col min="1283" max="1283" width="5.5546875" style="1379" customWidth="1"/>
    <col min="1284" max="1284" width="4" style="1379" customWidth="1"/>
    <col min="1285" max="1285" width="5.5546875" style="1379" customWidth="1"/>
    <col min="1286" max="1286" width="8" style="1379" customWidth="1"/>
    <col min="1287" max="1288" width="8.33203125" style="1379" customWidth="1"/>
    <col min="1289" max="1289" width="10.6640625" style="1379" customWidth="1"/>
    <col min="1290" max="1290" width="9.6640625" style="1379" customWidth="1"/>
    <col min="1291" max="1291" width="14.33203125" style="1379" customWidth="1"/>
    <col min="1292" max="1292" width="8.88671875" style="1379"/>
    <col min="1293" max="1293" width="14.33203125" style="1379" customWidth="1"/>
    <col min="1294" max="1295" width="8.88671875" style="1379"/>
    <col min="1296" max="1296" width="11.33203125" style="1379" bestFit="1" customWidth="1"/>
    <col min="1297" max="1536" width="8.88671875" style="1379"/>
    <col min="1537" max="1537" width="4.5546875" style="1379" customWidth="1"/>
    <col min="1538" max="1538" width="38.5546875" style="1379" customWidth="1"/>
    <col min="1539" max="1539" width="5.5546875" style="1379" customWidth="1"/>
    <col min="1540" max="1540" width="4" style="1379" customWidth="1"/>
    <col min="1541" max="1541" width="5.5546875" style="1379" customWidth="1"/>
    <col min="1542" max="1542" width="8" style="1379" customWidth="1"/>
    <col min="1543" max="1544" width="8.33203125" style="1379" customWidth="1"/>
    <col min="1545" max="1545" width="10.6640625" style="1379" customWidth="1"/>
    <col min="1546" max="1546" width="9.6640625" style="1379" customWidth="1"/>
    <col min="1547" max="1547" width="14.33203125" style="1379" customWidth="1"/>
    <col min="1548" max="1548" width="8.88671875" style="1379"/>
    <col min="1549" max="1549" width="14.33203125" style="1379" customWidth="1"/>
    <col min="1550" max="1551" width="8.88671875" style="1379"/>
    <col min="1552" max="1552" width="11.33203125" style="1379" bestFit="1" customWidth="1"/>
    <col min="1553" max="1792" width="8.88671875" style="1379"/>
    <col min="1793" max="1793" width="4.5546875" style="1379" customWidth="1"/>
    <col min="1794" max="1794" width="38.5546875" style="1379" customWidth="1"/>
    <col min="1795" max="1795" width="5.5546875" style="1379" customWidth="1"/>
    <col min="1796" max="1796" width="4" style="1379" customWidth="1"/>
    <col min="1797" max="1797" width="5.5546875" style="1379" customWidth="1"/>
    <col min="1798" max="1798" width="8" style="1379" customWidth="1"/>
    <col min="1799" max="1800" width="8.33203125" style="1379" customWidth="1"/>
    <col min="1801" max="1801" width="10.6640625" style="1379" customWidth="1"/>
    <col min="1802" max="1802" width="9.6640625" style="1379" customWidth="1"/>
    <col min="1803" max="1803" width="14.33203125" style="1379" customWidth="1"/>
    <col min="1804" max="1804" width="8.88671875" style="1379"/>
    <col min="1805" max="1805" width="14.33203125" style="1379" customWidth="1"/>
    <col min="1806" max="1807" width="8.88671875" style="1379"/>
    <col min="1808" max="1808" width="11.33203125" style="1379" bestFit="1" customWidth="1"/>
    <col min="1809" max="2048" width="8.88671875" style="1379"/>
    <col min="2049" max="2049" width="4.5546875" style="1379" customWidth="1"/>
    <col min="2050" max="2050" width="38.5546875" style="1379" customWidth="1"/>
    <col min="2051" max="2051" width="5.5546875" style="1379" customWidth="1"/>
    <col min="2052" max="2052" width="4" style="1379" customWidth="1"/>
    <col min="2053" max="2053" width="5.5546875" style="1379" customWidth="1"/>
    <col min="2054" max="2054" width="8" style="1379" customWidth="1"/>
    <col min="2055" max="2056" width="8.33203125" style="1379" customWidth="1"/>
    <col min="2057" max="2057" width="10.6640625" style="1379" customWidth="1"/>
    <col min="2058" max="2058" width="9.6640625" style="1379" customWidth="1"/>
    <col min="2059" max="2059" width="14.33203125" style="1379" customWidth="1"/>
    <col min="2060" max="2060" width="8.88671875" style="1379"/>
    <col min="2061" max="2061" width="14.33203125" style="1379" customWidth="1"/>
    <col min="2062" max="2063" width="8.88671875" style="1379"/>
    <col min="2064" max="2064" width="11.33203125" style="1379" bestFit="1" customWidth="1"/>
    <col min="2065" max="2304" width="8.88671875" style="1379"/>
    <col min="2305" max="2305" width="4.5546875" style="1379" customWidth="1"/>
    <col min="2306" max="2306" width="38.5546875" style="1379" customWidth="1"/>
    <col min="2307" max="2307" width="5.5546875" style="1379" customWidth="1"/>
    <col min="2308" max="2308" width="4" style="1379" customWidth="1"/>
    <col min="2309" max="2309" width="5.5546875" style="1379" customWidth="1"/>
    <col min="2310" max="2310" width="8" style="1379" customWidth="1"/>
    <col min="2311" max="2312" width="8.33203125" style="1379" customWidth="1"/>
    <col min="2313" max="2313" width="10.6640625" style="1379" customWidth="1"/>
    <col min="2314" max="2314" width="9.6640625" style="1379" customWidth="1"/>
    <col min="2315" max="2315" width="14.33203125" style="1379" customWidth="1"/>
    <col min="2316" max="2316" width="8.88671875" style="1379"/>
    <col min="2317" max="2317" width="14.33203125" style="1379" customWidth="1"/>
    <col min="2318" max="2319" width="8.88671875" style="1379"/>
    <col min="2320" max="2320" width="11.33203125" style="1379" bestFit="1" customWidth="1"/>
    <col min="2321" max="2560" width="8.88671875" style="1379"/>
    <col min="2561" max="2561" width="4.5546875" style="1379" customWidth="1"/>
    <col min="2562" max="2562" width="38.5546875" style="1379" customWidth="1"/>
    <col min="2563" max="2563" width="5.5546875" style="1379" customWidth="1"/>
    <col min="2564" max="2564" width="4" style="1379" customWidth="1"/>
    <col min="2565" max="2565" width="5.5546875" style="1379" customWidth="1"/>
    <col min="2566" max="2566" width="8" style="1379" customWidth="1"/>
    <col min="2567" max="2568" width="8.33203125" style="1379" customWidth="1"/>
    <col min="2569" max="2569" width="10.6640625" style="1379" customWidth="1"/>
    <col min="2570" max="2570" width="9.6640625" style="1379" customWidth="1"/>
    <col min="2571" max="2571" width="14.33203125" style="1379" customWidth="1"/>
    <col min="2572" max="2572" width="8.88671875" style="1379"/>
    <col min="2573" max="2573" width="14.33203125" style="1379" customWidth="1"/>
    <col min="2574" max="2575" width="8.88671875" style="1379"/>
    <col min="2576" max="2576" width="11.33203125" style="1379" bestFit="1" customWidth="1"/>
    <col min="2577" max="2816" width="8.88671875" style="1379"/>
    <col min="2817" max="2817" width="4.5546875" style="1379" customWidth="1"/>
    <col min="2818" max="2818" width="38.5546875" style="1379" customWidth="1"/>
    <col min="2819" max="2819" width="5.5546875" style="1379" customWidth="1"/>
    <col min="2820" max="2820" width="4" style="1379" customWidth="1"/>
    <col min="2821" max="2821" width="5.5546875" style="1379" customWidth="1"/>
    <col min="2822" max="2822" width="8" style="1379" customWidth="1"/>
    <col min="2823" max="2824" width="8.33203125" style="1379" customWidth="1"/>
    <col min="2825" max="2825" width="10.6640625" style="1379" customWidth="1"/>
    <col min="2826" max="2826" width="9.6640625" style="1379" customWidth="1"/>
    <col min="2827" max="2827" width="14.33203125" style="1379" customWidth="1"/>
    <col min="2828" max="2828" width="8.88671875" style="1379"/>
    <col min="2829" max="2829" width="14.33203125" style="1379" customWidth="1"/>
    <col min="2830" max="2831" width="8.88671875" style="1379"/>
    <col min="2832" max="2832" width="11.33203125" style="1379" bestFit="1" customWidth="1"/>
    <col min="2833" max="3072" width="8.88671875" style="1379"/>
    <col min="3073" max="3073" width="4.5546875" style="1379" customWidth="1"/>
    <col min="3074" max="3074" width="38.5546875" style="1379" customWidth="1"/>
    <col min="3075" max="3075" width="5.5546875" style="1379" customWidth="1"/>
    <col min="3076" max="3076" width="4" style="1379" customWidth="1"/>
    <col min="3077" max="3077" width="5.5546875" style="1379" customWidth="1"/>
    <col min="3078" max="3078" width="8" style="1379" customWidth="1"/>
    <col min="3079" max="3080" width="8.33203125" style="1379" customWidth="1"/>
    <col min="3081" max="3081" width="10.6640625" style="1379" customWidth="1"/>
    <col min="3082" max="3082" width="9.6640625" style="1379" customWidth="1"/>
    <col min="3083" max="3083" width="14.33203125" style="1379" customWidth="1"/>
    <col min="3084" max="3084" width="8.88671875" style="1379"/>
    <col min="3085" max="3085" width="14.33203125" style="1379" customWidth="1"/>
    <col min="3086" max="3087" width="8.88671875" style="1379"/>
    <col min="3088" max="3088" width="11.33203125" style="1379" bestFit="1" customWidth="1"/>
    <col min="3089" max="3328" width="8.88671875" style="1379"/>
    <col min="3329" max="3329" width="4.5546875" style="1379" customWidth="1"/>
    <col min="3330" max="3330" width="38.5546875" style="1379" customWidth="1"/>
    <col min="3331" max="3331" width="5.5546875" style="1379" customWidth="1"/>
    <col min="3332" max="3332" width="4" style="1379" customWidth="1"/>
    <col min="3333" max="3333" width="5.5546875" style="1379" customWidth="1"/>
    <col min="3334" max="3334" width="8" style="1379" customWidth="1"/>
    <col min="3335" max="3336" width="8.33203125" style="1379" customWidth="1"/>
    <col min="3337" max="3337" width="10.6640625" style="1379" customWidth="1"/>
    <col min="3338" max="3338" width="9.6640625" style="1379" customWidth="1"/>
    <col min="3339" max="3339" width="14.33203125" style="1379" customWidth="1"/>
    <col min="3340" max="3340" width="8.88671875" style="1379"/>
    <col min="3341" max="3341" width="14.33203125" style="1379" customWidth="1"/>
    <col min="3342" max="3343" width="8.88671875" style="1379"/>
    <col min="3344" max="3344" width="11.33203125" style="1379" bestFit="1" customWidth="1"/>
    <col min="3345" max="3584" width="8.88671875" style="1379"/>
    <col min="3585" max="3585" width="4.5546875" style="1379" customWidth="1"/>
    <col min="3586" max="3586" width="38.5546875" style="1379" customWidth="1"/>
    <col min="3587" max="3587" width="5.5546875" style="1379" customWidth="1"/>
    <col min="3588" max="3588" width="4" style="1379" customWidth="1"/>
    <col min="3589" max="3589" width="5.5546875" style="1379" customWidth="1"/>
    <col min="3590" max="3590" width="8" style="1379" customWidth="1"/>
    <col min="3591" max="3592" width="8.33203125" style="1379" customWidth="1"/>
    <col min="3593" max="3593" width="10.6640625" style="1379" customWidth="1"/>
    <col min="3594" max="3594" width="9.6640625" style="1379" customWidth="1"/>
    <col min="3595" max="3595" width="14.33203125" style="1379" customWidth="1"/>
    <col min="3596" max="3596" width="8.88671875" style="1379"/>
    <col min="3597" max="3597" width="14.33203125" style="1379" customWidth="1"/>
    <col min="3598" max="3599" width="8.88671875" style="1379"/>
    <col min="3600" max="3600" width="11.33203125" style="1379" bestFit="1" customWidth="1"/>
    <col min="3601" max="3840" width="8.88671875" style="1379"/>
    <col min="3841" max="3841" width="4.5546875" style="1379" customWidth="1"/>
    <col min="3842" max="3842" width="38.5546875" style="1379" customWidth="1"/>
    <col min="3843" max="3843" width="5.5546875" style="1379" customWidth="1"/>
    <col min="3844" max="3844" width="4" style="1379" customWidth="1"/>
    <col min="3845" max="3845" width="5.5546875" style="1379" customWidth="1"/>
    <col min="3846" max="3846" width="8" style="1379" customWidth="1"/>
    <col min="3847" max="3848" width="8.33203125" style="1379" customWidth="1"/>
    <col min="3849" max="3849" width="10.6640625" style="1379" customWidth="1"/>
    <col min="3850" max="3850" width="9.6640625" style="1379" customWidth="1"/>
    <col min="3851" max="3851" width="14.33203125" style="1379" customWidth="1"/>
    <col min="3852" max="3852" width="8.88671875" style="1379"/>
    <col min="3853" max="3853" width="14.33203125" style="1379" customWidth="1"/>
    <col min="3854" max="3855" width="8.88671875" style="1379"/>
    <col min="3856" max="3856" width="11.33203125" style="1379" bestFit="1" customWidth="1"/>
    <col min="3857" max="4096" width="8.88671875" style="1379"/>
    <col min="4097" max="4097" width="4.5546875" style="1379" customWidth="1"/>
    <col min="4098" max="4098" width="38.5546875" style="1379" customWidth="1"/>
    <col min="4099" max="4099" width="5.5546875" style="1379" customWidth="1"/>
    <col min="4100" max="4100" width="4" style="1379" customWidth="1"/>
    <col min="4101" max="4101" width="5.5546875" style="1379" customWidth="1"/>
    <col min="4102" max="4102" width="8" style="1379" customWidth="1"/>
    <col min="4103" max="4104" width="8.33203125" style="1379" customWidth="1"/>
    <col min="4105" max="4105" width="10.6640625" style="1379" customWidth="1"/>
    <col min="4106" max="4106" width="9.6640625" style="1379" customWidth="1"/>
    <col min="4107" max="4107" width="14.33203125" style="1379" customWidth="1"/>
    <col min="4108" max="4108" width="8.88671875" style="1379"/>
    <col min="4109" max="4109" width="14.33203125" style="1379" customWidth="1"/>
    <col min="4110" max="4111" width="8.88671875" style="1379"/>
    <col min="4112" max="4112" width="11.33203125" style="1379" bestFit="1" customWidth="1"/>
    <col min="4113" max="4352" width="8.88671875" style="1379"/>
    <col min="4353" max="4353" width="4.5546875" style="1379" customWidth="1"/>
    <col min="4354" max="4354" width="38.5546875" style="1379" customWidth="1"/>
    <col min="4355" max="4355" width="5.5546875" style="1379" customWidth="1"/>
    <col min="4356" max="4356" width="4" style="1379" customWidth="1"/>
    <col min="4357" max="4357" width="5.5546875" style="1379" customWidth="1"/>
    <col min="4358" max="4358" width="8" style="1379" customWidth="1"/>
    <col min="4359" max="4360" width="8.33203125" style="1379" customWidth="1"/>
    <col min="4361" max="4361" width="10.6640625" style="1379" customWidth="1"/>
    <col min="4362" max="4362" width="9.6640625" style="1379" customWidth="1"/>
    <col min="4363" max="4363" width="14.33203125" style="1379" customWidth="1"/>
    <col min="4364" max="4364" width="8.88671875" style="1379"/>
    <col min="4365" max="4365" width="14.33203125" style="1379" customWidth="1"/>
    <col min="4366" max="4367" width="8.88671875" style="1379"/>
    <col min="4368" max="4368" width="11.33203125" style="1379" bestFit="1" customWidth="1"/>
    <col min="4369" max="4608" width="8.88671875" style="1379"/>
    <col min="4609" max="4609" width="4.5546875" style="1379" customWidth="1"/>
    <col min="4610" max="4610" width="38.5546875" style="1379" customWidth="1"/>
    <col min="4611" max="4611" width="5.5546875" style="1379" customWidth="1"/>
    <col min="4612" max="4612" width="4" style="1379" customWidth="1"/>
    <col min="4613" max="4613" width="5.5546875" style="1379" customWidth="1"/>
    <col min="4614" max="4614" width="8" style="1379" customWidth="1"/>
    <col min="4615" max="4616" width="8.33203125" style="1379" customWidth="1"/>
    <col min="4617" max="4617" width="10.6640625" style="1379" customWidth="1"/>
    <col min="4618" max="4618" width="9.6640625" style="1379" customWidth="1"/>
    <col min="4619" max="4619" width="14.33203125" style="1379" customWidth="1"/>
    <col min="4620" max="4620" width="8.88671875" style="1379"/>
    <col min="4621" max="4621" width="14.33203125" style="1379" customWidth="1"/>
    <col min="4622" max="4623" width="8.88671875" style="1379"/>
    <col min="4624" max="4624" width="11.33203125" style="1379" bestFit="1" customWidth="1"/>
    <col min="4625" max="4864" width="8.88671875" style="1379"/>
    <col min="4865" max="4865" width="4.5546875" style="1379" customWidth="1"/>
    <col min="4866" max="4866" width="38.5546875" style="1379" customWidth="1"/>
    <col min="4867" max="4867" width="5.5546875" style="1379" customWidth="1"/>
    <col min="4868" max="4868" width="4" style="1379" customWidth="1"/>
    <col min="4869" max="4869" width="5.5546875" style="1379" customWidth="1"/>
    <col min="4870" max="4870" width="8" style="1379" customWidth="1"/>
    <col min="4871" max="4872" width="8.33203125" style="1379" customWidth="1"/>
    <col min="4873" max="4873" width="10.6640625" style="1379" customWidth="1"/>
    <col min="4874" max="4874" width="9.6640625" style="1379" customWidth="1"/>
    <col min="4875" max="4875" width="14.33203125" style="1379" customWidth="1"/>
    <col min="4876" max="4876" width="8.88671875" style="1379"/>
    <col min="4877" max="4877" width="14.33203125" style="1379" customWidth="1"/>
    <col min="4878" max="4879" width="8.88671875" style="1379"/>
    <col min="4880" max="4880" width="11.33203125" style="1379" bestFit="1" customWidth="1"/>
    <col min="4881" max="5120" width="8.88671875" style="1379"/>
    <col min="5121" max="5121" width="4.5546875" style="1379" customWidth="1"/>
    <col min="5122" max="5122" width="38.5546875" style="1379" customWidth="1"/>
    <col min="5123" max="5123" width="5.5546875" style="1379" customWidth="1"/>
    <col min="5124" max="5124" width="4" style="1379" customWidth="1"/>
    <col min="5125" max="5125" width="5.5546875" style="1379" customWidth="1"/>
    <col min="5126" max="5126" width="8" style="1379" customWidth="1"/>
    <col min="5127" max="5128" width="8.33203125" style="1379" customWidth="1"/>
    <col min="5129" max="5129" width="10.6640625" style="1379" customWidth="1"/>
    <col min="5130" max="5130" width="9.6640625" style="1379" customWidth="1"/>
    <col min="5131" max="5131" width="14.33203125" style="1379" customWidth="1"/>
    <col min="5132" max="5132" width="8.88671875" style="1379"/>
    <col min="5133" max="5133" width="14.33203125" style="1379" customWidth="1"/>
    <col min="5134" max="5135" width="8.88671875" style="1379"/>
    <col min="5136" max="5136" width="11.33203125" style="1379" bestFit="1" customWidth="1"/>
    <col min="5137" max="5376" width="8.88671875" style="1379"/>
    <col min="5377" max="5377" width="4.5546875" style="1379" customWidth="1"/>
    <col min="5378" max="5378" width="38.5546875" style="1379" customWidth="1"/>
    <col min="5379" max="5379" width="5.5546875" style="1379" customWidth="1"/>
    <col min="5380" max="5380" width="4" style="1379" customWidth="1"/>
    <col min="5381" max="5381" width="5.5546875" style="1379" customWidth="1"/>
    <col min="5382" max="5382" width="8" style="1379" customWidth="1"/>
    <col min="5383" max="5384" width="8.33203125" style="1379" customWidth="1"/>
    <col min="5385" max="5385" width="10.6640625" style="1379" customWidth="1"/>
    <col min="5386" max="5386" width="9.6640625" style="1379" customWidth="1"/>
    <col min="5387" max="5387" width="14.33203125" style="1379" customWidth="1"/>
    <col min="5388" max="5388" width="8.88671875" style="1379"/>
    <col min="5389" max="5389" width="14.33203125" style="1379" customWidth="1"/>
    <col min="5390" max="5391" width="8.88671875" style="1379"/>
    <col min="5392" max="5392" width="11.33203125" style="1379" bestFit="1" customWidth="1"/>
    <col min="5393" max="5632" width="8.88671875" style="1379"/>
    <col min="5633" max="5633" width="4.5546875" style="1379" customWidth="1"/>
    <col min="5634" max="5634" width="38.5546875" style="1379" customWidth="1"/>
    <col min="5635" max="5635" width="5.5546875" style="1379" customWidth="1"/>
    <col min="5636" max="5636" width="4" style="1379" customWidth="1"/>
    <col min="5637" max="5637" width="5.5546875" style="1379" customWidth="1"/>
    <col min="5638" max="5638" width="8" style="1379" customWidth="1"/>
    <col min="5639" max="5640" width="8.33203125" style="1379" customWidth="1"/>
    <col min="5641" max="5641" width="10.6640625" style="1379" customWidth="1"/>
    <col min="5642" max="5642" width="9.6640625" style="1379" customWidth="1"/>
    <col min="5643" max="5643" width="14.33203125" style="1379" customWidth="1"/>
    <col min="5644" max="5644" width="8.88671875" style="1379"/>
    <col min="5645" max="5645" width="14.33203125" style="1379" customWidth="1"/>
    <col min="5646" max="5647" width="8.88671875" style="1379"/>
    <col min="5648" max="5648" width="11.33203125" style="1379" bestFit="1" customWidth="1"/>
    <col min="5649" max="5888" width="8.88671875" style="1379"/>
    <col min="5889" max="5889" width="4.5546875" style="1379" customWidth="1"/>
    <col min="5890" max="5890" width="38.5546875" style="1379" customWidth="1"/>
    <col min="5891" max="5891" width="5.5546875" style="1379" customWidth="1"/>
    <col min="5892" max="5892" width="4" style="1379" customWidth="1"/>
    <col min="5893" max="5893" width="5.5546875" style="1379" customWidth="1"/>
    <col min="5894" max="5894" width="8" style="1379" customWidth="1"/>
    <col min="5895" max="5896" width="8.33203125" style="1379" customWidth="1"/>
    <col min="5897" max="5897" width="10.6640625" style="1379" customWidth="1"/>
    <col min="5898" max="5898" width="9.6640625" style="1379" customWidth="1"/>
    <col min="5899" max="5899" width="14.33203125" style="1379" customWidth="1"/>
    <col min="5900" max="5900" width="8.88671875" style="1379"/>
    <col min="5901" max="5901" width="14.33203125" style="1379" customWidth="1"/>
    <col min="5902" max="5903" width="8.88671875" style="1379"/>
    <col min="5904" max="5904" width="11.33203125" style="1379" bestFit="1" customWidth="1"/>
    <col min="5905" max="6144" width="8.88671875" style="1379"/>
    <col min="6145" max="6145" width="4.5546875" style="1379" customWidth="1"/>
    <col min="6146" max="6146" width="38.5546875" style="1379" customWidth="1"/>
    <col min="6147" max="6147" width="5.5546875" style="1379" customWidth="1"/>
    <col min="6148" max="6148" width="4" style="1379" customWidth="1"/>
    <col min="6149" max="6149" width="5.5546875" style="1379" customWidth="1"/>
    <col min="6150" max="6150" width="8" style="1379" customWidth="1"/>
    <col min="6151" max="6152" width="8.33203125" style="1379" customWidth="1"/>
    <col min="6153" max="6153" width="10.6640625" style="1379" customWidth="1"/>
    <col min="6154" max="6154" width="9.6640625" style="1379" customWidth="1"/>
    <col min="6155" max="6155" width="14.33203125" style="1379" customWidth="1"/>
    <col min="6156" max="6156" width="8.88671875" style="1379"/>
    <col min="6157" max="6157" width="14.33203125" style="1379" customWidth="1"/>
    <col min="6158" max="6159" width="8.88671875" style="1379"/>
    <col min="6160" max="6160" width="11.33203125" style="1379" bestFit="1" customWidth="1"/>
    <col min="6161" max="6400" width="8.88671875" style="1379"/>
    <col min="6401" max="6401" width="4.5546875" style="1379" customWidth="1"/>
    <col min="6402" max="6402" width="38.5546875" style="1379" customWidth="1"/>
    <col min="6403" max="6403" width="5.5546875" style="1379" customWidth="1"/>
    <col min="6404" max="6404" width="4" style="1379" customWidth="1"/>
    <col min="6405" max="6405" width="5.5546875" style="1379" customWidth="1"/>
    <col min="6406" max="6406" width="8" style="1379" customWidth="1"/>
    <col min="6407" max="6408" width="8.33203125" style="1379" customWidth="1"/>
    <col min="6409" max="6409" width="10.6640625" style="1379" customWidth="1"/>
    <col min="6410" max="6410" width="9.6640625" style="1379" customWidth="1"/>
    <col min="6411" max="6411" width="14.33203125" style="1379" customWidth="1"/>
    <col min="6412" max="6412" width="8.88671875" style="1379"/>
    <col min="6413" max="6413" width="14.33203125" style="1379" customWidth="1"/>
    <col min="6414" max="6415" width="8.88671875" style="1379"/>
    <col min="6416" max="6416" width="11.33203125" style="1379" bestFit="1" customWidth="1"/>
    <col min="6417" max="6656" width="8.88671875" style="1379"/>
    <col min="6657" max="6657" width="4.5546875" style="1379" customWidth="1"/>
    <col min="6658" max="6658" width="38.5546875" style="1379" customWidth="1"/>
    <col min="6659" max="6659" width="5.5546875" style="1379" customWidth="1"/>
    <col min="6660" max="6660" width="4" style="1379" customWidth="1"/>
    <col min="6661" max="6661" width="5.5546875" style="1379" customWidth="1"/>
    <col min="6662" max="6662" width="8" style="1379" customWidth="1"/>
    <col min="6663" max="6664" width="8.33203125" style="1379" customWidth="1"/>
    <col min="6665" max="6665" width="10.6640625" style="1379" customWidth="1"/>
    <col min="6666" max="6666" width="9.6640625" style="1379" customWidth="1"/>
    <col min="6667" max="6667" width="14.33203125" style="1379" customWidth="1"/>
    <col min="6668" max="6668" width="8.88671875" style="1379"/>
    <col min="6669" max="6669" width="14.33203125" style="1379" customWidth="1"/>
    <col min="6670" max="6671" width="8.88671875" style="1379"/>
    <col min="6672" max="6672" width="11.33203125" style="1379" bestFit="1" customWidth="1"/>
    <col min="6673" max="6912" width="8.88671875" style="1379"/>
    <col min="6913" max="6913" width="4.5546875" style="1379" customWidth="1"/>
    <col min="6914" max="6914" width="38.5546875" style="1379" customWidth="1"/>
    <col min="6915" max="6915" width="5.5546875" style="1379" customWidth="1"/>
    <col min="6916" max="6916" width="4" style="1379" customWidth="1"/>
    <col min="6917" max="6917" width="5.5546875" style="1379" customWidth="1"/>
    <col min="6918" max="6918" width="8" style="1379" customWidth="1"/>
    <col min="6919" max="6920" width="8.33203125" style="1379" customWidth="1"/>
    <col min="6921" max="6921" width="10.6640625" style="1379" customWidth="1"/>
    <col min="6922" max="6922" width="9.6640625" style="1379" customWidth="1"/>
    <col min="6923" max="6923" width="14.33203125" style="1379" customWidth="1"/>
    <col min="6924" max="6924" width="8.88671875" style="1379"/>
    <col min="6925" max="6925" width="14.33203125" style="1379" customWidth="1"/>
    <col min="6926" max="6927" width="8.88671875" style="1379"/>
    <col min="6928" max="6928" width="11.33203125" style="1379" bestFit="1" customWidth="1"/>
    <col min="6929" max="7168" width="8.88671875" style="1379"/>
    <col min="7169" max="7169" width="4.5546875" style="1379" customWidth="1"/>
    <col min="7170" max="7170" width="38.5546875" style="1379" customWidth="1"/>
    <col min="7171" max="7171" width="5.5546875" style="1379" customWidth="1"/>
    <col min="7172" max="7172" width="4" style="1379" customWidth="1"/>
    <col min="7173" max="7173" width="5.5546875" style="1379" customWidth="1"/>
    <col min="7174" max="7174" width="8" style="1379" customWidth="1"/>
    <col min="7175" max="7176" width="8.33203125" style="1379" customWidth="1"/>
    <col min="7177" max="7177" width="10.6640625" style="1379" customWidth="1"/>
    <col min="7178" max="7178" width="9.6640625" style="1379" customWidth="1"/>
    <col min="7179" max="7179" width="14.33203125" style="1379" customWidth="1"/>
    <col min="7180" max="7180" width="8.88671875" style="1379"/>
    <col min="7181" max="7181" width="14.33203125" style="1379" customWidth="1"/>
    <col min="7182" max="7183" width="8.88671875" style="1379"/>
    <col min="7184" max="7184" width="11.33203125" style="1379" bestFit="1" customWidth="1"/>
    <col min="7185" max="7424" width="8.88671875" style="1379"/>
    <col min="7425" max="7425" width="4.5546875" style="1379" customWidth="1"/>
    <col min="7426" max="7426" width="38.5546875" style="1379" customWidth="1"/>
    <col min="7427" max="7427" width="5.5546875" style="1379" customWidth="1"/>
    <col min="7428" max="7428" width="4" style="1379" customWidth="1"/>
    <col min="7429" max="7429" width="5.5546875" style="1379" customWidth="1"/>
    <col min="7430" max="7430" width="8" style="1379" customWidth="1"/>
    <col min="7431" max="7432" width="8.33203125" style="1379" customWidth="1"/>
    <col min="7433" max="7433" width="10.6640625" style="1379" customWidth="1"/>
    <col min="7434" max="7434" width="9.6640625" style="1379" customWidth="1"/>
    <col min="7435" max="7435" width="14.33203125" style="1379" customWidth="1"/>
    <col min="7436" max="7436" width="8.88671875" style="1379"/>
    <col min="7437" max="7437" width="14.33203125" style="1379" customWidth="1"/>
    <col min="7438" max="7439" width="8.88671875" style="1379"/>
    <col min="7440" max="7440" width="11.33203125" style="1379" bestFit="1" customWidth="1"/>
    <col min="7441" max="7680" width="8.88671875" style="1379"/>
    <col min="7681" max="7681" width="4.5546875" style="1379" customWidth="1"/>
    <col min="7682" max="7682" width="38.5546875" style="1379" customWidth="1"/>
    <col min="7683" max="7683" width="5.5546875" style="1379" customWidth="1"/>
    <col min="7684" max="7684" width="4" style="1379" customWidth="1"/>
    <col min="7685" max="7685" width="5.5546875" style="1379" customWidth="1"/>
    <col min="7686" max="7686" width="8" style="1379" customWidth="1"/>
    <col min="7687" max="7688" width="8.33203125" style="1379" customWidth="1"/>
    <col min="7689" max="7689" width="10.6640625" style="1379" customWidth="1"/>
    <col min="7690" max="7690" width="9.6640625" style="1379" customWidth="1"/>
    <col min="7691" max="7691" width="14.33203125" style="1379" customWidth="1"/>
    <col min="7692" max="7692" width="8.88671875" style="1379"/>
    <col min="7693" max="7693" width="14.33203125" style="1379" customWidth="1"/>
    <col min="7694" max="7695" width="8.88671875" style="1379"/>
    <col min="7696" max="7696" width="11.33203125" style="1379" bestFit="1" customWidth="1"/>
    <col min="7697" max="7936" width="8.88671875" style="1379"/>
    <col min="7937" max="7937" width="4.5546875" style="1379" customWidth="1"/>
    <col min="7938" max="7938" width="38.5546875" style="1379" customWidth="1"/>
    <col min="7939" max="7939" width="5.5546875" style="1379" customWidth="1"/>
    <col min="7940" max="7940" width="4" style="1379" customWidth="1"/>
    <col min="7941" max="7941" width="5.5546875" style="1379" customWidth="1"/>
    <col min="7942" max="7942" width="8" style="1379" customWidth="1"/>
    <col min="7943" max="7944" width="8.33203125" style="1379" customWidth="1"/>
    <col min="7945" max="7945" width="10.6640625" style="1379" customWidth="1"/>
    <col min="7946" max="7946" width="9.6640625" style="1379" customWidth="1"/>
    <col min="7947" max="7947" width="14.33203125" style="1379" customWidth="1"/>
    <col min="7948" max="7948" width="8.88671875" style="1379"/>
    <col min="7949" max="7949" width="14.33203125" style="1379" customWidth="1"/>
    <col min="7950" max="7951" width="8.88671875" style="1379"/>
    <col min="7952" max="7952" width="11.33203125" style="1379" bestFit="1" customWidth="1"/>
    <col min="7953" max="8192" width="8.88671875" style="1379"/>
    <col min="8193" max="8193" width="4.5546875" style="1379" customWidth="1"/>
    <col min="8194" max="8194" width="38.5546875" style="1379" customWidth="1"/>
    <col min="8195" max="8195" width="5.5546875" style="1379" customWidth="1"/>
    <col min="8196" max="8196" width="4" style="1379" customWidth="1"/>
    <col min="8197" max="8197" width="5.5546875" style="1379" customWidth="1"/>
    <col min="8198" max="8198" width="8" style="1379" customWidth="1"/>
    <col min="8199" max="8200" width="8.33203125" style="1379" customWidth="1"/>
    <col min="8201" max="8201" width="10.6640625" style="1379" customWidth="1"/>
    <col min="8202" max="8202" width="9.6640625" style="1379" customWidth="1"/>
    <col min="8203" max="8203" width="14.33203125" style="1379" customWidth="1"/>
    <col min="8204" max="8204" width="8.88671875" style="1379"/>
    <col min="8205" max="8205" width="14.33203125" style="1379" customWidth="1"/>
    <col min="8206" max="8207" width="8.88671875" style="1379"/>
    <col min="8208" max="8208" width="11.33203125" style="1379" bestFit="1" customWidth="1"/>
    <col min="8209" max="8448" width="8.88671875" style="1379"/>
    <col min="8449" max="8449" width="4.5546875" style="1379" customWidth="1"/>
    <col min="8450" max="8450" width="38.5546875" style="1379" customWidth="1"/>
    <col min="8451" max="8451" width="5.5546875" style="1379" customWidth="1"/>
    <col min="8452" max="8452" width="4" style="1379" customWidth="1"/>
    <col min="8453" max="8453" width="5.5546875" style="1379" customWidth="1"/>
    <col min="8454" max="8454" width="8" style="1379" customWidth="1"/>
    <col min="8455" max="8456" width="8.33203125" style="1379" customWidth="1"/>
    <col min="8457" max="8457" width="10.6640625" style="1379" customWidth="1"/>
    <col min="8458" max="8458" width="9.6640625" style="1379" customWidth="1"/>
    <col min="8459" max="8459" width="14.33203125" style="1379" customWidth="1"/>
    <col min="8460" max="8460" width="8.88671875" style="1379"/>
    <col min="8461" max="8461" width="14.33203125" style="1379" customWidth="1"/>
    <col min="8462" max="8463" width="8.88671875" style="1379"/>
    <col min="8464" max="8464" width="11.33203125" style="1379" bestFit="1" customWidth="1"/>
    <col min="8465" max="8704" width="8.88671875" style="1379"/>
    <col min="8705" max="8705" width="4.5546875" style="1379" customWidth="1"/>
    <col min="8706" max="8706" width="38.5546875" style="1379" customWidth="1"/>
    <col min="8707" max="8707" width="5.5546875" style="1379" customWidth="1"/>
    <col min="8708" max="8708" width="4" style="1379" customWidth="1"/>
    <col min="8709" max="8709" width="5.5546875" style="1379" customWidth="1"/>
    <col min="8710" max="8710" width="8" style="1379" customWidth="1"/>
    <col min="8711" max="8712" width="8.33203125" style="1379" customWidth="1"/>
    <col min="8713" max="8713" width="10.6640625" style="1379" customWidth="1"/>
    <col min="8714" max="8714" width="9.6640625" style="1379" customWidth="1"/>
    <col min="8715" max="8715" width="14.33203125" style="1379" customWidth="1"/>
    <col min="8716" max="8716" width="8.88671875" style="1379"/>
    <col min="8717" max="8717" width="14.33203125" style="1379" customWidth="1"/>
    <col min="8718" max="8719" width="8.88671875" style="1379"/>
    <col min="8720" max="8720" width="11.33203125" style="1379" bestFit="1" customWidth="1"/>
    <col min="8721" max="8960" width="8.88671875" style="1379"/>
    <col min="8961" max="8961" width="4.5546875" style="1379" customWidth="1"/>
    <col min="8962" max="8962" width="38.5546875" style="1379" customWidth="1"/>
    <col min="8963" max="8963" width="5.5546875" style="1379" customWidth="1"/>
    <col min="8964" max="8964" width="4" style="1379" customWidth="1"/>
    <col min="8965" max="8965" width="5.5546875" style="1379" customWidth="1"/>
    <col min="8966" max="8966" width="8" style="1379" customWidth="1"/>
    <col min="8967" max="8968" width="8.33203125" style="1379" customWidth="1"/>
    <col min="8969" max="8969" width="10.6640625" style="1379" customWidth="1"/>
    <col min="8970" max="8970" width="9.6640625" style="1379" customWidth="1"/>
    <col min="8971" max="8971" width="14.33203125" style="1379" customWidth="1"/>
    <col min="8972" max="8972" width="8.88671875" style="1379"/>
    <col min="8973" max="8973" width="14.33203125" style="1379" customWidth="1"/>
    <col min="8974" max="8975" width="8.88671875" style="1379"/>
    <col min="8976" max="8976" width="11.33203125" style="1379" bestFit="1" customWidth="1"/>
    <col min="8977" max="9216" width="8.88671875" style="1379"/>
    <col min="9217" max="9217" width="4.5546875" style="1379" customWidth="1"/>
    <col min="9218" max="9218" width="38.5546875" style="1379" customWidth="1"/>
    <col min="9219" max="9219" width="5.5546875" style="1379" customWidth="1"/>
    <col min="9220" max="9220" width="4" style="1379" customWidth="1"/>
    <col min="9221" max="9221" width="5.5546875" style="1379" customWidth="1"/>
    <col min="9222" max="9222" width="8" style="1379" customWidth="1"/>
    <col min="9223" max="9224" width="8.33203125" style="1379" customWidth="1"/>
    <col min="9225" max="9225" width="10.6640625" style="1379" customWidth="1"/>
    <col min="9226" max="9226" width="9.6640625" style="1379" customWidth="1"/>
    <col min="9227" max="9227" width="14.33203125" style="1379" customWidth="1"/>
    <col min="9228" max="9228" width="8.88671875" style="1379"/>
    <col min="9229" max="9229" width="14.33203125" style="1379" customWidth="1"/>
    <col min="9230" max="9231" width="8.88671875" style="1379"/>
    <col min="9232" max="9232" width="11.33203125" style="1379" bestFit="1" customWidth="1"/>
    <col min="9233" max="9472" width="8.88671875" style="1379"/>
    <col min="9473" max="9473" width="4.5546875" style="1379" customWidth="1"/>
    <col min="9474" max="9474" width="38.5546875" style="1379" customWidth="1"/>
    <col min="9475" max="9475" width="5.5546875" style="1379" customWidth="1"/>
    <col min="9476" max="9476" width="4" style="1379" customWidth="1"/>
    <col min="9477" max="9477" width="5.5546875" style="1379" customWidth="1"/>
    <col min="9478" max="9478" width="8" style="1379" customWidth="1"/>
    <col min="9479" max="9480" width="8.33203125" style="1379" customWidth="1"/>
    <col min="9481" max="9481" width="10.6640625" style="1379" customWidth="1"/>
    <col min="9482" max="9482" width="9.6640625" style="1379" customWidth="1"/>
    <col min="9483" max="9483" width="14.33203125" style="1379" customWidth="1"/>
    <col min="9484" max="9484" width="8.88671875" style="1379"/>
    <col min="9485" max="9485" width="14.33203125" style="1379" customWidth="1"/>
    <col min="9486" max="9487" width="8.88671875" style="1379"/>
    <col min="9488" max="9488" width="11.33203125" style="1379" bestFit="1" customWidth="1"/>
    <col min="9489" max="9728" width="8.88671875" style="1379"/>
    <col min="9729" max="9729" width="4.5546875" style="1379" customWidth="1"/>
    <col min="9730" max="9730" width="38.5546875" style="1379" customWidth="1"/>
    <col min="9731" max="9731" width="5.5546875" style="1379" customWidth="1"/>
    <col min="9732" max="9732" width="4" style="1379" customWidth="1"/>
    <col min="9733" max="9733" width="5.5546875" style="1379" customWidth="1"/>
    <col min="9734" max="9734" width="8" style="1379" customWidth="1"/>
    <col min="9735" max="9736" width="8.33203125" style="1379" customWidth="1"/>
    <col min="9737" max="9737" width="10.6640625" style="1379" customWidth="1"/>
    <col min="9738" max="9738" width="9.6640625" style="1379" customWidth="1"/>
    <col min="9739" max="9739" width="14.33203125" style="1379" customWidth="1"/>
    <col min="9740" max="9740" width="8.88671875" style="1379"/>
    <col min="9741" max="9741" width="14.33203125" style="1379" customWidth="1"/>
    <col min="9742" max="9743" width="8.88671875" style="1379"/>
    <col min="9744" max="9744" width="11.33203125" style="1379" bestFit="1" customWidth="1"/>
    <col min="9745" max="9984" width="8.88671875" style="1379"/>
    <col min="9985" max="9985" width="4.5546875" style="1379" customWidth="1"/>
    <col min="9986" max="9986" width="38.5546875" style="1379" customWidth="1"/>
    <col min="9987" max="9987" width="5.5546875" style="1379" customWidth="1"/>
    <col min="9988" max="9988" width="4" style="1379" customWidth="1"/>
    <col min="9989" max="9989" width="5.5546875" style="1379" customWidth="1"/>
    <col min="9990" max="9990" width="8" style="1379" customWidth="1"/>
    <col min="9991" max="9992" width="8.33203125" style="1379" customWidth="1"/>
    <col min="9993" max="9993" width="10.6640625" style="1379" customWidth="1"/>
    <col min="9994" max="9994" width="9.6640625" style="1379" customWidth="1"/>
    <col min="9995" max="9995" width="14.33203125" style="1379" customWidth="1"/>
    <col min="9996" max="9996" width="8.88671875" style="1379"/>
    <col min="9997" max="9997" width="14.33203125" style="1379" customWidth="1"/>
    <col min="9998" max="9999" width="8.88671875" style="1379"/>
    <col min="10000" max="10000" width="11.33203125" style="1379" bestFit="1" customWidth="1"/>
    <col min="10001" max="10240" width="8.88671875" style="1379"/>
    <col min="10241" max="10241" width="4.5546875" style="1379" customWidth="1"/>
    <col min="10242" max="10242" width="38.5546875" style="1379" customWidth="1"/>
    <col min="10243" max="10243" width="5.5546875" style="1379" customWidth="1"/>
    <col min="10244" max="10244" width="4" style="1379" customWidth="1"/>
    <col min="10245" max="10245" width="5.5546875" style="1379" customWidth="1"/>
    <col min="10246" max="10246" width="8" style="1379" customWidth="1"/>
    <col min="10247" max="10248" width="8.33203125" style="1379" customWidth="1"/>
    <col min="10249" max="10249" width="10.6640625" style="1379" customWidth="1"/>
    <col min="10250" max="10250" width="9.6640625" style="1379" customWidth="1"/>
    <col min="10251" max="10251" width="14.33203125" style="1379" customWidth="1"/>
    <col min="10252" max="10252" width="8.88671875" style="1379"/>
    <col min="10253" max="10253" width="14.33203125" style="1379" customWidth="1"/>
    <col min="10254" max="10255" width="8.88671875" style="1379"/>
    <col min="10256" max="10256" width="11.33203125" style="1379" bestFit="1" customWidth="1"/>
    <col min="10257" max="10496" width="8.88671875" style="1379"/>
    <col min="10497" max="10497" width="4.5546875" style="1379" customWidth="1"/>
    <col min="10498" max="10498" width="38.5546875" style="1379" customWidth="1"/>
    <col min="10499" max="10499" width="5.5546875" style="1379" customWidth="1"/>
    <col min="10500" max="10500" width="4" style="1379" customWidth="1"/>
    <col min="10501" max="10501" width="5.5546875" style="1379" customWidth="1"/>
    <col min="10502" max="10502" width="8" style="1379" customWidth="1"/>
    <col min="10503" max="10504" width="8.33203125" style="1379" customWidth="1"/>
    <col min="10505" max="10505" width="10.6640625" style="1379" customWidth="1"/>
    <col min="10506" max="10506" width="9.6640625" style="1379" customWidth="1"/>
    <col min="10507" max="10507" width="14.33203125" style="1379" customWidth="1"/>
    <col min="10508" max="10508" width="8.88671875" style="1379"/>
    <col min="10509" max="10509" width="14.33203125" style="1379" customWidth="1"/>
    <col min="10510" max="10511" width="8.88671875" style="1379"/>
    <col min="10512" max="10512" width="11.33203125" style="1379" bestFit="1" customWidth="1"/>
    <col min="10513" max="10752" width="8.88671875" style="1379"/>
    <col min="10753" max="10753" width="4.5546875" style="1379" customWidth="1"/>
    <col min="10754" max="10754" width="38.5546875" style="1379" customWidth="1"/>
    <col min="10755" max="10755" width="5.5546875" style="1379" customWidth="1"/>
    <col min="10756" max="10756" width="4" style="1379" customWidth="1"/>
    <col min="10757" max="10757" width="5.5546875" style="1379" customWidth="1"/>
    <col min="10758" max="10758" width="8" style="1379" customWidth="1"/>
    <col min="10759" max="10760" width="8.33203125" style="1379" customWidth="1"/>
    <col min="10761" max="10761" width="10.6640625" style="1379" customWidth="1"/>
    <col min="10762" max="10762" width="9.6640625" style="1379" customWidth="1"/>
    <col min="10763" max="10763" width="14.33203125" style="1379" customWidth="1"/>
    <col min="10764" max="10764" width="8.88671875" style="1379"/>
    <col min="10765" max="10765" width="14.33203125" style="1379" customWidth="1"/>
    <col min="10766" max="10767" width="8.88671875" style="1379"/>
    <col min="10768" max="10768" width="11.33203125" style="1379" bestFit="1" customWidth="1"/>
    <col min="10769" max="11008" width="8.88671875" style="1379"/>
    <col min="11009" max="11009" width="4.5546875" style="1379" customWidth="1"/>
    <col min="11010" max="11010" width="38.5546875" style="1379" customWidth="1"/>
    <col min="11011" max="11011" width="5.5546875" style="1379" customWidth="1"/>
    <col min="11012" max="11012" width="4" style="1379" customWidth="1"/>
    <col min="11013" max="11013" width="5.5546875" style="1379" customWidth="1"/>
    <col min="11014" max="11014" width="8" style="1379" customWidth="1"/>
    <col min="11015" max="11016" width="8.33203125" style="1379" customWidth="1"/>
    <col min="11017" max="11017" width="10.6640625" style="1379" customWidth="1"/>
    <col min="11018" max="11018" width="9.6640625" style="1379" customWidth="1"/>
    <col min="11019" max="11019" width="14.33203125" style="1379" customWidth="1"/>
    <col min="11020" max="11020" width="8.88671875" style="1379"/>
    <col min="11021" max="11021" width="14.33203125" style="1379" customWidth="1"/>
    <col min="11022" max="11023" width="8.88671875" style="1379"/>
    <col min="11024" max="11024" width="11.33203125" style="1379" bestFit="1" customWidth="1"/>
    <col min="11025" max="11264" width="8.88671875" style="1379"/>
    <col min="11265" max="11265" width="4.5546875" style="1379" customWidth="1"/>
    <col min="11266" max="11266" width="38.5546875" style="1379" customWidth="1"/>
    <col min="11267" max="11267" width="5.5546875" style="1379" customWidth="1"/>
    <col min="11268" max="11268" width="4" style="1379" customWidth="1"/>
    <col min="11269" max="11269" width="5.5546875" style="1379" customWidth="1"/>
    <col min="11270" max="11270" width="8" style="1379" customWidth="1"/>
    <col min="11271" max="11272" width="8.33203125" style="1379" customWidth="1"/>
    <col min="11273" max="11273" width="10.6640625" style="1379" customWidth="1"/>
    <col min="11274" max="11274" width="9.6640625" style="1379" customWidth="1"/>
    <col min="11275" max="11275" width="14.33203125" style="1379" customWidth="1"/>
    <col min="11276" max="11276" width="8.88671875" style="1379"/>
    <col min="11277" max="11277" width="14.33203125" style="1379" customWidth="1"/>
    <col min="11278" max="11279" width="8.88671875" style="1379"/>
    <col min="11280" max="11280" width="11.33203125" style="1379" bestFit="1" customWidth="1"/>
    <col min="11281" max="11520" width="8.88671875" style="1379"/>
    <col min="11521" max="11521" width="4.5546875" style="1379" customWidth="1"/>
    <col min="11522" max="11522" width="38.5546875" style="1379" customWidth="1"/>
    <col min="11523" max="11523" width="5.5546875" style="1379" customWidth="1"/>
    <col min="11524" max="11524" width="4" style="1379" customWidth="1"/>
    <col min="11525" max="11525" width="5.5546875" style="1379" customWidth="1"/>
    <col min="11526" max="11526" width="8" style="1379" customWidth="1"/>
    <col min="11527" max="11528" width="8.33203125" style="1379" customWidth="1"/>
    <col min="11529" max="11529" width="10.6640625" style="1379" customWidth="1"/>
    <col min="11530" max="11530" width="9.6640625" style="1379" customWidth="1"/>
    <col min="11531" max="11531" width="14.33203125" style="1379" customWidth="1"/>
    <col min="11532" max="11532" width="8.88671875" style="1379"/>
    <col min="11533" max="11533" width="14.33203125" style="1379" customWidth="1"/>
    <col min="11534" max="11535" width="8.88671875" style="1379"/>
    <col min="11536" max="11536" width="11.33203125" style="1379" bestFit="1" customWidth="1"/>
    <col min="11537" max="11776" width="8.88671875" style="1379"/>
    <col min="11777" max="11777" width="4.5546875" style="1379" customWidth="1"/>
    <col min="11778" max="11778" width="38.5546875" style="1379" customWidth="1"/>
    <col min="11779" max="11779" width="5.5546875" style="1379" customWidth="1"/>
    <col min="11780" max="11780" width="4" style="1379" customWidth="1"/>
    <col min="11781" max="11781" width="5.5546875" style="1379" customWidth="1"/>
    <col min="11782" max="11782" width="8" style="1379" customWidth="1"/>
    <col min="11783" max="11784" width="8.33203125" style="1379" customWidth="1"/>
    <col min="11785" max="11785" width="10.6640625" style="1379" customWidth="1"/>
    <col min="11786" max="11786" width="9.6640625" style="1379" customWidth="1"/>
    <col min="11787" max="11787" width="14.33203125" style="1379" customWidth="1"/>
    <col min="11788" max="11788" width="8.88671875" style="1379"/>
    <col min="11789" max="11789" width="14.33203125" style="1379" customWidth="1"/>
    <col min="11790" max="11791" width="8.88671875" style="1379"/>
    <col min="11792" max="11792" width="11.33203125" style="1379" bestFit="1" customWidth="1"/>
    <col min="11793" max="12032" width="8.88671875" style="1379"/>
    <col min="12033" max="12033" width="4.5546875" style="1379" customWidth="1"/>
    <col min="12034" max="12034" width="38.5546875" style="1379" customWidth="1"/>
    <col min="12035" max="12035" width="5.5546875" style="1379" customWidth="1"/>
    <col min="12036" max="12036" width="4" style="1379" customWidth="1"/>
    <col min="12037" max="12037" width="5.5546875" style="1379" customWidth="1"/>
    <col min="12038" max="12038" width="8" style="1379" customWidth="1"/>
    <col min="12039" max="12040" width="8.33203125" style="1379" customWidth="1"/>
    <col min="12041" max="12041" width="10.6640625" style="1379" customWidth="1"/>
    <col min="12042" max="12042" width="9.6640625" style="1379" customWidth="1"/>
    <col min="12043" max="12043" width="14.33203125" style="1379" customWidth="1"/>
    <col min="12044" max="12044" width="8.88671875" style="1379"/>
    <col min="12045" max="12045" width="14.33203125" style="1379" customWidth="1"/>
    <col min="12046" max="12047" width="8.88671875" style="1379"/>
    <col min="12048" max="12048" width="11.33203125" style="1379" bestFit="1" customWidth="1"/>
    <col min="12049" max="12288" width="8.88671875" style="1379"/>
    <col min="12289" max="12289" width="4.5546875" style="1379" customWidth="1"/>
    <col min="12290" max="12290" width="38.5546875" style="1379" customWidth="1"/>
    <col min="12291" max="12291" width="5.5546875" style="1379" customWidth="1"/>
    <col min="12292" max="12292" width="4" style="1379" customWidth="1"/>
    <col min="12293" max="12293" width="5.5546875" style="1379" customWidth="1"/>
    <col min="12294" max="12294" width="8" style="1379" customWidth="1"/>
    <col min="12295" max="12296" width="8.33203125" style="1379" customWidth="1"/>
    <col min="12297" max="12297" width="10.6640625" style="1379" customWidth="1"/>
    <col min="12298" max="12298" width="9.6640625" style="1379" customWidth="1"/>
    <col min="12299" max="12299" width="14.33203125" style="1379" customWidth="1"/>
    <col min="12300" max="12300" width="8.88671875" style="1379"/>
    <col min="12301" max="12301" width="14.33203125" style="1379" customWidth="1"/>
    <col min="12302" max="12303" width="8.88671875" style="1379"/>
    <col min="12304" max="12304" width="11.33203125" style="1379" bestFit="1" customWidth="1"/>
    <col min="12305" max="12544" width="8.88671875" style="1379"/>
    <col min="12545" max="12545" width="4.5546875" style="1379" customWidth="1"/>
    <col min="12546" max="12546" width="38.5546875" style="1379" customWidth="1"/>
    <col min="12547" max="12547" width="5.5546875" style="1379" customWidth="1"/>
    <col min="12548" max="12548" width="4" style="1379" customWidth="1"/>
    <col min="12549" max="12549" width="5.5546875" style="1379" customWidth="1"/>
    <col min="12550" max="12550" width="8" style="1379" customWidth="1"/>
    <col min="12551" max="12552" width="8.33203125" style="1379" customWidth="1"/>
    <col min="12553" max="12553" width="10.6640625" style="1379" customWidth="1"/>
    <col min="12554" max="12554" width="9.6640625" style="1379" customWidth="1"/>
    <col min="12555" max="12555" width="14.33203125" style="1379" customWidth="1"/>
    <col min="12556" max="12556" width="8.88671875" style="1379"/>
    <col min="12557" max="12557" width="14.33203125" style="1379" customWidth="1"/>
    <col min="12558" max="12559" width="8.88671875" style="1379"/>
    <col min="12560" max="12560" width="11.33203125" style="1379" bestFit="1" customWidth="1"/>
    <col min="12561" max="12800" width="8.88671875" style="1379"/>
    <col min="12801" max="12801" width="4.5546875" style="1379" customWidth="1"/>
    <col min="12802" max="12802" width="38.5546875" style="1379" customWidth="1"/>
    <col min="12803" max="12803" width="5.5546875" style="1379" customWidth="1"/>
    <col min="12804" max="12804" width="4" style="1379" customWidth="1"/>
    <col min="12805" max="12805" width="5.5546875" style="1379" customWidth="1"/>
    <col min="12806" max="12806" width="8" style="1379" customWidth="1"/>
    <col min="12807" max="12808" width="8.33203125" style="1379" customWidth="1"/>
    <col min="12809" max="12809" width="10.6640625" style="1379" customWidth="1"/>
    <col min="12810" max="12810" width="9.6640625" style="1379" customWidth="1"/>
    <col min="12811" max="12811" width="14.33203125" style="1379" customWidth="1"/>
    <col min="12812" max="12812" width="8.88671875" style="1379"/>
    <col min="12813" max="12813" width="14.33203125" style="1379" customWidth="1"/>
    <col min="12814" max="12815" width="8.88671875" style="1379"/>
    <col min="12816" max="12816" width="11.33203125" style="1379" bestFit="1" customWidth="1"/>
    <col min="12817" max="13056" width="8.88671875" style="1379"/>
    <col min="13057" max="13057" width="4.5546875" style="1379" customWidth="1"/>
    <col min="13058" max="13058" width="38.5546875" style="1379" customWidth="1"/>
    <col min="13059" max="13059" width="5.5546875" style="1379" customWidth="1"/>
    <col min="13060" max="13060" width="4" style="1379" customWidth="1"/>
    <col min="13061" max="13061" width="5.5546875" style="1379" customWidth="1"/>
    <col min="13062" max="13062" width="8" style="1379" customWidth="1"/>
    <col min="13063" max="13064" width="8.33203125" style="1379" customWidth="1"/>
    <col min="13065" max="13065" width="10.6640625" style="1379" customWidth="1"/>
    <col min="13066" max="13066" width="9.6640625" style="1379" customWidth="1"/>
    <col min="13067" max="13067" width="14.33203125" style="1379" customWidth="1"/>
    <col min="13068" max="13068" width="8.88671875" style="1379"/>
    <col min="13069" max="13069" width="14.33203125" style="1379" customWidth="1"/>
    <col min="13070" max="13071" width="8.88671875" style="1379"/>
    <col min="13072" max="13072" width="11.33203125" style="1379" bestFit="1" customWidth="1"/>
    <col min="13073" max="13312" width="8.88671875" style="1379"/>
    <col min="13313" max="13313" width="4.5546875" style="1379" customWidth="1"/>
    <col min="13314" max="13314" width="38.5546875" style="1379" customWidth="1"/>
    <col min="13315" max="13315" width="5.5546875" style="1379" customWidth="1"/>
    <col min="13316" max="13316" width="4" style="1379" customWidth="1"/>
    <col min="13317" max="13317" width="5.5546875" style="1379" customWidth="1"/>
    <col min="13318" max="13318" width="8" style="1379" customWidth="1"/>
    <col min="13319" max="13320" width="8.33203125" style="1379" customWidth="1"/>
    <col min="13321" max="13321" width="10.6640625" style="1379" customWidth="1"/>
    <col min="13322" max="13322" width="9.6640625" style="1379" customWidth="1"/>
    <col min="13323" max="13323" width="14.33203125" style="1379" customWidth="1"/>
    <col min="13324" max="13324" width="8.88671875" style="1379"/>
    <col min="13325" max="13325" width="14.33203125" style="1379" customWidth="1"/>
    <col min="13326" max="13327" width="8.88671875" style="1379"/>
    <col min="13328" max="13328" width="11.33203125" style="1379" bestFit="1" customWidth="1"/>
    <col min="13329" max="13568" width="8.88671875" style="1379"/>
    <col min="13569" max="13569" width="4.5546875" style="1379" customWidth="1"/>
    <col min="13570" max="13570" width="38.5546875" style="1379" customWidth="1"/>
    <col min="13571" max="13571" width="5.5546875" style="1379" customWidth="1"/>
    <col min="13572" max="13572" width="4" style="1379" customWidth="1"/>
    <col min="13573" max="13573" width="5.5546875" style="1379" customWidth="1"/>
    <col min="13574" max="13574" width="8" style="1379" customWidth="1"/>
    <col min="13575" max="13576" width="8.33203125" style="1379" customWidth="1"/>
    <col min="13577" max="13577" width="10.6640625" style="1379" customWidth="1"/>
    <col min="13578" max="13578" width="9.6640625" style="1379" customWidth="1"/>
    <col min="13579" max="13579" width="14.33203125" style="1379" customWidth="1"/>
    <col min="13580" max="13580" width="8.88671875" style="1379"/>
    <col min="13581" max="13581" width="14.33203125" style="1379" customWidth="1"/>
    <col min="13582" max="13583" width="8.88671875" style="1379"/>
    <col min="13584" max="13584" width="11.33203125" style="1379" bestFit="1" customWidth="1"/>
    <col min="13585" max="13824" width="8.88671875" style="1379"/>
    <col min="13825" max="13825" width="4.5546875" style="1379" customWidth="1"/>
    <col min="13826" max="13826" width="38.5546875" style="1379" customWidth="1"/>
    <col min="13827" max="13827" width="5.5546875" style="1379" customWidth="1"/>
    <col min="13828" max="13828" width="4" style="1379" customWidth="1"/>
    <col min="13829" max="13829" width="5.5546875" style="1379" customWidth="1"/>
    <col min="13830" max="13830" width="8" style="1379" customWidth="1"/>
    <col min="13831" max="13832" width="8.33203125" style="1379" customWidth="1"/>
    <col min="13833" max="13833" width="10.6640625" style="1379" customWidth="1"/>
    <col min="13834" max="13834" width="9.6640625" style="1379" customWidth="1"/>
    <col min="13835" max="13835" width="14.33203125" style="1379" customWidth="1"/>
    <col min="13836" max="13836" width="8.88671875" style="1379"/>
    <col min="13837" max="13837" width="14.33203125" style="1379" customWidth="1"/>
    <col min="13838" max="13839" width="8.88671875" style="1379"/>
    <col min="13840" max="13840" width="11.33203125" style="1379" bestFit="1" customWidth="1"/>
    <col min="13841" max="14080" width="8.88671875" style="1379"/>
    <col min="14081" max="14081" width="4.5546875" style="1379" customWidth="1"/>
    <col min="14082" max="14082" width="38.5546875" style="1379" customWidth="1"/>
    <col min="14083" max="14083" width="5.5546875" style="1379" customWidth="1"/>
    <col min="14084" max="14084" width="4" style="1379" customWidth="1"/>
    <col min="14085" max="14085" width="5.5546875" style="1379" customWidth="1"/>
    <col min="14086" max="14086" width="8" style="1379" customWidth="1"/>
    <col min="14087" max="14088" width="8.33203125" style="1379" customWidth="1"/>
    <col min="14089" max="14089" width="10.6640625" style="1379" customWidth="1"/>
    <col min="14090" max="14090" width="9.6640625" style="1379" customWidth="1"/>
    <col min="14091" max="14091" width="14.33203125" style="1379" customWidth="1"/>
    <col min="14092" max="14092" width="8.88671875" style="1379"/>
    <col min="14093" max="14093" width="14.33203125" style="1379" customWidth="1"/>
    <col min="14094" max="14095" width="8.88671875" style="1379"/>
    <col min="14096" max="14096" width="11.33203125" style="1379" bestFit="1" customWidth="1"/>
    <col min="14097" max="14336" width="8.88671875" style="1379"/>
    <col min="14337" max="14337" width="4.5546875" style="1379" customWidth="1"/>
    <col min="14338" max="14338" width="38.5546875" style="1379" customWidth="1"/>
    <col min="14339" max="14339" width="5.5546875" style="1379" customWidth="1"/>
    <col min="14340" max="14340" width="4" style="1379" customWidth="1"/>
    <col min="14341" max="14341" width="5.5546875" style="1379" customWidth="1"/>
    <col min="14342" max="14342" width="8" style="1379" customWidth="1"/>
    <col min="14343" max="14344" width="8.33203125" style="1379" customWidth="1"/>
    <col min="14345" max="14345" width="10.6640625" style="1379" customWidth="1"/>
    <col min="14346" max="14346" width="9.6640625" style="1379" customWidth="1"/>
    <col min="14347" max="14347" width="14.33203125" style="1379" customWidth="1"/>
    <col min="14348" max="14348" width="8.88671875" style="1379"/>
    <col min="14349" max="14349" width="14.33203125" style="1379" customWidth="1"/>
    <col min="14350" max="14351" width="8.88671875" style="1379"/>
    <col min="14352" max="14352" width="11.33203125" style="1379" bestFit="1" customWidth="1"/>
    <col min="14353" max="14592" width="8.88671875" style="1379"/>
    <col min="14593" max="14593" width="4.5546875" style="1379" customWidth="1"/>
    <col min="14594" max="14594" width="38.5546875" style="1379" customWidth="1"/>
    <col min="14595" max="14595" width="5.5546875" style="1379" customWidth="1"/>
    <col min="14596" max="14596" width="4" style="1379" customWidth="1"/>
    <col min="14597" max="14597" width="5.5546875" style="1379" customWidth="1"/>
    <col min="14598" max="14598" width="8" style="1379" customWidth="1"/>
    <col min="14599" max="14600" width="8.33203125" style="1379" customWidth="1"/>
    <col min="14601" max="14601" width="10.6640625" style="1379" customWidth="1"/>
    <col min="14602" max="14602" width="9.6640625" style="1379" customWidth="1"/>
    <col min="14603" max="14603" width="14.33203125" style="1379" customWidth="1"/>
    <col min="14604" max="14604" width="8.88671875" style="1379"/>
    <col min="14605" max="14605" width="14.33203125" style="1379" customWidth="1"/>
    <col min="14606" max="14607" width="8.88671875" style="1379"/>
    <col min="14608" max="14608" width="11.33203125" style="1379" bestFit="1" customWidth="1"/>
    <col min="14609" max="14848" width="8.88671875" style="1379"/>
    <col min="14849" max="14849" width="4.5546875" style="1379" customWidth="1"/>
    <col min="14850" max="14850" width="38.5546875" style="1379" customWidth="1"/>
    <col min="14851" max="14851" width="5.5546875" style="1379" customWidth="1"/>
    <col min="14852" max="14852" width="4" style="1379" customWidth="1"/>
    <col min="14853" max="14853" width="5.5546875" style="1379" customWidth="1"/>
    <col min="14854" max="14854" width="8" style="1379" customWidth="1"/>
    <col min="14855" max="14856" width="8.33203125" style="1379" customWidth="1"/>
    <col min="14857" max="14857" width="10.6640625" style="1379" customWidth="1"/>
    <col min="14858" max="14858" width="9.6640625" style="1379" customWidth="1"/>
    <col min="14859" max="14859" width="14.33203125" style="1379" customWidth="1"/>
    <col min="14860" max="14860" width="8.88671875" style="1379"/>
    <col min="14861" max="14861" width="14.33203125" style="1379" customWidth="1"/>
    <col min="14862" max="14863" width="8.88671875" style="1379"/>
    <col min="14864" max="14864" width="11.33203125" style="1379" bestFit="1" customWidth="1"/>
    <col min="14865" max="15104" width="8.88671875" style="1379"/>
    <col min="15105" max="15105" width="4.5546875" style="1379" customWidth="1"/>
    <col min="15106" max="15106" width="38.5546875" style="1379" customWidth="1"/>
    <col min="15107" max="15107" width="5.5546875" style="1379" customWidth="1"/>
    <col min="15108" max="15108" width="4" style="1379" customWidth="1"/>
    <col min="15109" max="15109" width="5.5546875" style="1379" customWidth="1"/>
    <col min="15110" max="15110" width="8" style="1379" customWidth="1"/>
    <col min="15111" max="15112" width="8.33203125" style="1379" customWidth="1"/>
    <col min="15113" max="15113" width="10.6640625" style="1379" customWidth="1"/>
    <col min="15114" max="15114" width="9.6640625" style="1379" customWidth="1"/>
    <col min="15115" max="15115" width="14.33203125" style="1379" customWidth="1"/>
    <col min="15116" max="15116" width="8.88671875" style="1379"/>
    <col min="15117" max="15117" width="14.33203125" style="1379" customWidth="1"/>
    <col min="15118" max="15119" width="8.88671875" style="1379"/>
    <col min="15120" max="15120" width="11.33203125" style="1379" bestFit="1" customWidth="1"/>
    <col min="15121" max="15360" width="8.88671875" style="1379"/>
    <col min="15361" max="15361" width="4.5546875" style="1379" customWidth="1"/>
    <col min="15362" max="15362" width="38.5546875" style="1379" customWidth="1"/>
    <col min="15363" max="15363" width="5.5546875" style="1379" customWidth="1"/>
    <col min="15364" max="15364" width="4" style="1379" customWidth="1"/>
    <col min="15365" max="15365" width="5.5546875" style="1379" customWidth="1"/>
    <col min="15366" max="15366" width="8" style="1379" customWidth="1"/>
    <col min="15367" max="15368" width="8.33203125" style="1379" customWidth="1"/>
    <col min="15369" max="15369" width="10.6640625" style="1379" customWidth="1"/>
    <col min="15370" max="15370" width="9.6640625" style="1379" customWidth="1"/>
    <col min="15371" max="15371" width="14.33203125" style="1379" customWidth="1"/>
    <col min="15372" max="15372" width="8.88671875" style="1379"/>
    <col min="15373" max="15373" width="14.33203125" style="1379" customWidth="1"/>
    <col min="15374" max="15375" width="8.88671875" style="1379"/>
    <col min="15376" max="15376" width="11.33203125" style="1379" bestFit="1" customWidth="1"/>
    <col min="15377" max="15616" width="8.88671875" style="1379"/>
    <col min="15617" max="15617" width="4.5546875" style="1379" customWidth="1"/>
    <col min="15618" max="15618" width="38.5546875" style="1379" customWidth="1"/>
    <col min="15619" max="15619" width="5.5546875" style="1379" customWidth="1"/>
    <col min="15620" max="15620" width="4" style="1379" customWidth="1"/>
    <col min="15621" max="15621" width="5.5546875" style="1379" customWidth="1"/>
    <col min="15622" max="15622" width="8" style="1379" customWidth="1"/>
    <col min="15623" max="15624" width="8.33203125" style="1379" customWidth="1"/>
    <col min="15625" max="15625" width="10.6640625" style="1379" customWidth="1"/>
    <col min="15626" max="15626" width="9.6640625" style="1379" customWidth="1"/>
    <col min="15627" max="15627" width="14.33203125" style="1379" customWidth="1"/>
    <col min="15628" max="15628" width="8.88671875" style="1379"/>
    <col min="15629" max="15629" width="14.33203125" style="1379" customWidth="1"/>
    <col min="15630" max="15631" width="8.88671875" style="1379"/>
    <col min="15632" max="15632" width="11.33203125" style="1379" bestFit="1" customWidth="1"/>
    <col min="15633" max="15872" width="8.88671875" style="1379"/>
    <col min="15873" max="15873" width="4.5546875" style="1379" customWidth="1"/>
    <col min="15874" max="15874" width="38.5546875" style="1379" customWidth="1"/>
    <col min="15875" max="15875" width="5.5546875" style="1379" customWidth="1"/>
    <col min="15876" max="15876" width="4" style="1379" customWidth="1"/>
    <col min="15877" max="15877" width="5.5546875" style="1379" customWidth="1"/>
    <col min="15878" max="15878" width="8" style="1379" customWidth="1"/>
    <col min="15879" max="15880" width="8.33203125" style="1379" customWidth="1"/>
    <col min="15881" max="15881" width="10.6640625" style="1379" customWidth="1"/>
    <col min="15882" max="15882" width="9.6640625" style="1379" customWidth="1"/>
    <col min="15883" max="15883" width="14.33203125" style="1379" customWidth="1"/>
    <col min="15884" max="15884" width="8.88671875" style="1379"/>
    <col min="15885" max="15885" width="14.33203125" style="1379" customWidth="1"/>
    <col min="15886" max="15887" width="8.88671875" style="1379"/>
    <col min="15888" max="15888" width="11.33203125" style="1379" bestFit="1" customWidth="1"/>
    <col min="15889" max="16128" width="8.88671875" style="1379"/>
    <col min="16129" max="16129" width="4.5546875" style="1379" customWidth="1"/>
    <col min="16130" max="16130" width="38.5546875" style="1379" customWidth="1"/>
    <col min="16131" max="16131" width="5.5546875" style="1379" customWidth="1"/>
    <col min="16132" max="16132" width="4" style="1379" customWidth="1"/>
    <col min="16133" max="16133" width="5.5546875" style="1379" customWidth="1"/>
    <col min="16134" max="16134" width="8" style="1379" customWidth="1"/>
    <col min="16135" max="16136" width="8.33203125" style="1379" customWidth="1"/>
    <col min="16137" max="16137" width="10.6640625" style="1379" customWidth="1"/>
    <col min="16138" max="16138" width="9.6640625" style="1379" customWidth="1"/>
    <col min="16139" max="16139" width="14.33203125" style="1379" customWidth="1"/>
    <col min="16140" max="16140" width="8.88671875" style="1379"/>
    <col min="16141" max="16141" width="14.33203125" style="1379" customWidth="1"/>
    <col min="16142" max="16143" width="8.88671875" style="1379"/>
    <col min="16144" max="16144" width="11.33203125" style="1379" bestFit="1" customWidth="1"/>
    <col min="16145" max="16384" width="8.88671875" style="1379"/>
  </cols>
  <sheetData>
    <row r="1" spans="1:12" s="1354" customFormat="1" ht="19.5">
      <c r="A1" s="2557" t="s">
        <v>2992</v>
      </c>
      <c r="B1" s="2557"/>
      <c r="C1" s="2557"/>
      <c r="D1" s="2557"/>
      <c r="E1" s="2557"/>
      <c r="F1" s="2557"/>
      <c r="G1" s="2557"/>
      <c r="H1" s="2557"/>
      <c r="I1" s="2557"/>
      <c r="J1" s="2557"/>
      <c r="K1" s="2557"/>
    </row>
    <row r="2" spans="1:12" s="1354" customFormat="1" ht="6.75" customHeight="1">
      <c r="A2" s="1381"/>
      <c r="B2" s="1381"/>
      <c r="C2" s="1381"/>
      <c r="D2" s="1381"/>
      <c r="E2" s="1381"/>
      <c r="F2" s="1381"/>
      <c r="G2" s="1381"/>
      <c r="H2" s="1381"/>
      <c r="I2" s="1381"/>
      <c r="J2" s="1381"/>
      <c r="K2" s="1382"/>
    </row>
    <row r="3" spans="1:12" s="1354" customFormat="1" ht="39.75" customHeight="1">
      <c r="A3" s="2558" t="str">
        <f>'Lead- Input sheet '!A2</f>
        <v xml:space="preserve"> Construction of  Anganwadi Building at Jeedipally Thanda (V) of Kalwakurthy (M) of Nagarkurnool District </v>
      </c>
      <c r="B3" s="2558"/>
      <c r="C3" s="2558"/>
      <c r="D3" s="2558"/>
      <c r="E3" s="2558"/>
      <c r="F3" s="2558"/>
      <c r="G3" s="2558"/>
      <c r="H3" s="2558"/>
      <c r="I3" s="2558"/>
      <c r="J3" s="2558"/>
      <c r="K3" s="2558"/>
    </row>
    <row r="4" spans="1:12" s="1355" customFormat="1" ht="20.25" customHeight="1">
      <c r="A4" s="2559" t="s">
        <v>2993</v>
      </c>
      <c r="B4" s="2559"/>
      <c r="C4" s="2559"/>
      <c r="D4" s="2559"/>
      <c r="E4" s="2559"/>
      <c r="F4" s="2559"/>
      <c r="G4" s="2559"/>
      <c r="H4" s="2559"/>
      <c r="I4" s="2559"/>
      <c r="J4" s="2559"/>
      <c r="K4" s="2559"/>
    </row>
    <row r="5" spans="1:12" s="1355" customFormat="1" ht="16.5" customHeight="1">
      <c r="A5" s="2555" t="s">
        <v>2994</v>
      </c>
      <c r="B5" s="2555" t="s">
        <v>2995</v>
      </c>
      <c r="C5" s="2555" t="s">
        <v>527</v>
      </c>
      <c r="D5" s="2555"/>
      <c r="E5" s="2555"/>
      <c r="F5" s="2555" t="s">
        <v>1202</v>
      </c>
      <c r="G5" s="2555"/>
      <c r="H5" s="2555"/>
      <c r="I5" s="2555" t="s">
        <v>2996</v>
      </c>
      <c r="J5" s="2555" t="s">
        <v>1479</v>
      </c>
      <c r="K5" s="2555" t="s">
        <v>1256</v>
      </c>
    </row>
    <row r="6" spans="1:12" s="1355" customFormat="1" ht="15.75" customHeight="1">
      <c r="A6" s="2555"/>
      <c r="B6" s="2555"/>
      <c r="C6" s="2555"/>
      <c r="D6" s="2555"/>
      <c r="E6" s="2555"/>
      <c r="F6" s="1356" t="s">
        <v>1417</v>
      </c>
      <c r="G6" s="1356" t="s">
        <v>859</v>
      </c>
      <c r="H6" s="1356" t="s">
        <v>785</v>
      </c>
      <c r="I6" s="2555"/>
      <c r="J6" s="2555"/>
      <c r="K6" s="2555"/>
    </row>
    <row r="7" spans="1:12" s="1355" customFormat="1" ht="16.5" customHeight="1">
      <c r="A7" s="1356"/>
      <c r="B7" s="1356"/>
      <c r="C7" s="2555"/>
      <c r="D7" s="2555"/>
      <c r="E7" s="2555"/>
      <c r="F7" s="1356"/>
      <c r="G7" s="1356"/>
      <c r="H7" s="1356"/>
      <c r="I7" s="1356"/>
      <c r="J7" s="1356"/>
      <c r="K7" s="1356"/>
    </row>
    <row r="8" spans="1:12" s="1358" customFormat="1" ht="84.75" customHeight="1">
      <c r="A8" s="1383">
        <v>1</v>
      </c>
      <c r="B8" s="2549" t="str">
        <f>Datas!C5</f>
        <v>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v>
      </c>
      <c r="C8" s="2549"/>
      <c r="D8" s="2549"/>
      <c r="E8" s="2549"/>
      <c r="F8" s="2549"/>
      <c r="G8" s="2549"/>
      <c r="H8" s="2549"/>
      <c r="I8" s="2549"/>
      <c r="J8" s="1384"/>
      <c r="K8" s="1385"/>
      <c r="L8" s="1357"/>
    </row>
    <row r="9" spans="1:12" s="1360" customFormat="1" ht="17.2" customHeight="1">
      <c r="A9" s="1386"/>
      <c r="B9" s="1387" t="s">
        <v>2997</v>
      </c>
      <c r="C9" s="1388"/>
      <c r="D9" s="1388"/>
      <c r="E9" s="1388"/>
      <c r="F9" s="1389"/>
      <c r="G9" s="1388"/>
      <c r="H9" s="1388"/>
      <c r="I9" s="1390"/>
      <c r="J9" s="1389"/>
      <c r="K9" s="1391"/>
      <c r="L9" s="1359"/>
    </row>
    <row r="10" spans="1:12" s="1360" customFormat="1" ht="17.2" customHeight="1">
      <c r="A10" s="1386"/>
      <c r="B10" s="1391" t="s">
        <v>3264</v>
      </c>
      <c r="C10" s="1389">
        <v>1</v>
      </c>
      <c r="D10" s="1389" t="s">
        <v>422</v>
      </c>
      <c r="E10" s="1389">
        <v>9</v>
      </c>
      <c r="F10" s="1392">
        <v>1.5</v>
      </c>
      <c r="G10" s="1392">
        <v>1.5</v>
      </c>
      <c r="H10" s="1392">
        <v>1.5</v>
      </c>
      <c r="I10" s="1392">
        <f>ROUND(F10*G10*H10*E10*C10,2)</f>
        <v>30.38</v>
      </c>
      <c r="J10" s="1389"/>
      <c r="K10" s="1391"/>
    </row>
    <row r="11" spans="1:12" s="1360" customFormat="1" ht="17.2" customHeight="1">
      <c r="A11" s="1386"/>
      <c r="B11" s="1393" t="s">
        <v>2998</v>
      </c>
      <c r="C11" s="1389"/>
      <c r="D11" s="1389"/>
      <c r="E11" s="1389"/>
      <c r="F11" s="1392"/>
      <c r="G11" s="1392"/>
      <c r="H11" s="1392"/>
      <c r="I11" s="1392"/>
      <c r="J11" s="1389"/>
      <c r="K11" s="1391"/>
    </row>
    <row r="12" spans="1:12" s="1360" customFormat="1" ht="17.2" customHeight="1">
      <c r="A12" s="1386"/>
      <c r="B12" s="1391" t="s">
        <v>2999</v>
      </c>
      <c r="C12" s="1389">
        <v>1</v>
      </c>
      <c r="D12" s="1389" t="s">
        <v>422</v>
      </c>
      <c r="E12" s="1389">
        <v>2</v>
      </c>
      <c r="F12" s="1392">
        <v>9.06</v>
      </c>
      <c r="G12" s="1392">
        <v>0.75</v>
      </c>
      <c r="H12" s="1392">
        <v>0.45</v>
      </c>
      <c r="I12" s="1392">
        <f t="shared" ref="I12:I17" si="0">ROUND(F12*G12*H12*E12*C12,2)</f>
        <v>6.12</v>
      </c>
      <c r="J12" s="1389"/>
      <c r="K12" s="1391"/>
    </row>
    <row r="13" spans="1:12" s="1360" customFormat="1" ht="17.2" customHeight="1">
      <c r="A13" s="1386"/>
      <c r="B13" s="1391" t="s">
        <v>3000</v>
      </c>
      <c r="C13" s="1389">
        <v>1</v>
      </c>
      <c r="D13" s="1389" t="s">
        <v>422</v>
      </c>
      <c r="E13" s="1389">
        <v>2</v>
      </c>
      <c r="F13" s="1392">
        <v>5.55</v>
      </c>
      <c r="G13" s="1392">
        <v>0.75</v>
      </c>
      <c r="H13" s="1392">
        <v>0.45</v>
      </c>
      <c r="I13" s="1392">
        <f t="shared" si="0"/>
        <v>3.75</v>
      </c>
      <c r="J13" s="1389"/>
      <c r="K13" s="1391"/>
    </row>
    <row r="14" spans="1:12" s="1360" customFormat="1" ht="17.2" customHeight="1">
      <c r="A14" s="1386"/>
      <c r="B14" s="1391" t="s">
        <v>3265</v>
      </c>
      <c r="C14" s="1389">
        <v>-1</v>
      </c>
      <c r="D14" s="1389" t="s">
        <v>422</v>
      </c>
      <c r="E14" s="1389">
        <v>8</v>
      </c>
      <c r="F14" s="1392">
        <v>1.5</v>
      </c>
      <c r="G14" s="1392">
        <v>0.75</v>
      </c>
      <c r="H14" s="1392">
        <v>0.45</v>
      </c>
      <c r="I14" s="1392">
        <f t="shared" si="0"/>
        <v>-4.05</v>
      </c>
      <c r="J14" s="1389"/>
      <c r="K14" s="1391"/>
    </row>
    <row r="15" spans="1:12" s="1360" customFormat="1" ht="17.2" customHeight="1">
      <c r="A15" s="1386"/>
      <c r="B15" s="1391" t="s">
        <v>3266</v>
      </c>
      <c r="C15" s="1389">
        <v>1</v>
      </c>
      <c r="D15" s="1389" t="s">
        <v>422</v>
      </c>
      <c r="E15" s="1389">
        <v>2</v>
      </c>
      <c r="F15" s="1392">
        <v>2.1800000000000002</v>
      </c>
      <c r="G15" s="1392">
        <v>0.75</v>
      </c>
      <c r="H15" s="1392">
        <v>0.6</v>
      </c>
      <c r="I15" s="1392">
        <f t="shared" si="0"/>
        <v>1.96</v>
      </c>
      <c r="J15" s="1389"/>
      <c r="K15" s="1391"/>
    </row>
    <row r="16" spans="1:12" s="1360" customFormat="1" ht="17.2" customHeight="1">
      <c r="A16" s="1386"/>
      <c r="B16" s="1393" t="s">
        <v>3267</v>
      </c>
      <c r="C16" s="1389">
        <v>1</v>
      </c>
      <c r="D16" s="1389" t="s">
        <v>422</v>
      </c>
      <c r="E16" s="1389">
        <v>2</v>
      </c>
      <c r="F16" s="1392">
        <v>1.58</v>
      </c>
      <c r="G16" s="1392">
        <v>0.75</v>
      </c>
      <c r="H16" s="1392">
        <v>0.6</v>
      </c>
      <c r="I16" s="1392">
        <f t="shared" si="0"/>
        <v>1.42</v>
      </c>
      <c r="J16" s="1389"/>
      <c r="K16" s="1391"/>
    </row>
    <row r="17" spans="1:11" s="1360" customFormat="1" ht="17.2" customHeight="1">
      <c r="A17" s="1386"/>
      <c r="B17" s="1391" t="s">
        <v>3268</v>
      </c>
      <c r="C17" s="1389">
        <v>1</v>
      </c>
      <c r="D17" s="1389" t="s">
        <v>422</v>
      </c>
      <c r="E17" s="1389">
        <v>2</v>
      </c>
      <c r="F17" s="1392">
        <v>1.2</v>
      </c>
      <c r="G17" s="1392">
        <v>1.2</v>
      </c>
      <c r="H17" s="1392">
        <v>1.2</v>
      </c>
      <c r="I17" s="1392">
        <f t="shared" si="0"/>
        <v>3.46</v>
      </c>
      <c r="J17" s="1389"/>
      <c r="K17" s="1391"/>
    </row>
    <row r="18" spans="1:11" s="1361" customFormat="1" ht="17.2" customHeight="1">
      <c r="A18" s="1386"/>
      <c r="B18" s="1393"/>
      <c r="C18" s="1386"/>
      <c r="D18" s="1386"/>
      <c r="E18" s="1386"/>
      <c r="F18" s="1394"/>
      <c r="G18" s="1394"/>
      <c r="H18" s="1394"/>
      <c r="I18" s="1394">
        <f>SUM(I10:I17)</f>
        <v>43.040000000000006</v>
      </c>
      <c r="J18" s="1394">
        <f>Datas!G15</f>
        <v>385.38499999999999</v>
      </c>
      <c r="K18" s="1395">
        <f>ROUND(I18*J18,0)</f>
        <v>16587</v>
      </c>
    </row>
    <row r="19" spans="1:11" s="1361" customFormat="1" ht="17.2" customHeight="1">
      <c r="A19" s="1386"/>
      <c r="B19" s="1386"/>
      <c r="C19" s="1386"/>
      <c r="D19" s="1386"/>
      <c r="E19" s="1386"/>
      <c r="F19" s="1386"/>
      <c r="G19" s="1386"/>
      <c r="H19" s="1386"/>
      <c r="I19" s="1386" t="s">
        <v>525</v>
      </c>
      <c r="J19" s="1386" t="s">
        <v>525</v>
      </c>
      <c r="K19" s="1396"/>
    </row>
    <row r="20" spans="1:11" s="1358" customFormat="1" ht="123.75" customHeight="1">
      <c r="A20" s="1397">
        <v>2</v>
      </c>
      <c r="B20" s="2544" t="str">
        <f>Datas!C138</f>
        <v xml:space="preserve">Plain Cement concrete (1:4:8) using 40 mm metal with concrete mixture.All work upto plinth level. nominal mix (cement: fine aggregate: Coarse aggregate) using 40mm size HBG  (SS5) metal from approved quarry including cost and conveyance of all materials like cement, sand, coarse aggregate, water etc. to site, including seigniorage charges, Countryes &amp; other taxes on all materials, all operational, incidental,  and labor charges such as mixing, laying and ramming concrete in layers in position not exceeding 15cm, finishing top surface, curing concrete,  etc., complete for finished item of work for Foundations and Flooring Bed (APSS No. 402) </v>
      </c>
      <c r="C20" s="2544"/>
      <c r="D20" s="2544"/>
      <c r="E20" s="2544"/>
      <c r="F20" s="2544"/>
      <c r="G20" s="2544"/>
      <c r="H20" s="2544"/>
      <c r="I20" s="2544"/>
      <c r="J20" s="1384"/>
      <c r="K20" s="1385"/>
    </row>
    <row r="21" spans="1:11" s="1360" customFormat="1" ht="18" customHeight="1">
      <c r="A21" s="1398"/>
      <c r="B21" s="1393" t="s">
        <v>3001</v>
      </c>
      <c r="C21" s="1389"/>
      <c r="D21" s="1389"/>
      <c r="E21" s="1389"/>
      <c r="F21" s="1392"/>
      <c r="G21" s="1392"/>
      <c r="H21" s="1392"/>
      <c r="I21" s="1392"/>
      <c r="J21" s="1389"/>
      <c r="K21" s="1391"/>
    </row>
    <row r="22" spans="1:11" s="1360" customFormat="1" ht="18" customHeight="1">
      <c r="A22" s="1398"/>
      <c r="B22" s="1391" t="str">
        <f>B10</f>
        <v>Foorings</v>
      </c>
      <c r="C22" s="1389">
        <v>1</v>
      </c>
      <c r="D22" s="1389" t="s">
        <v>422</v>
      </c>
      <c r="E22" s="1389">
        <v>9</v>
      </c>
      <c r="F22" s="1392">
        <v>1.5</v>
      </c>
      <c r="G22" s="1392">
        <v>1.5</v>
      </c>
      <c r="H22" s="1392">
        <v>0.15</v>
      </c>
      <c r="I22" s="1392">
        <f t="shared" ref="I22:I27" si="1">ROUND(F22*G22*H22*E22*C22,2)</f>
        <v>3.04</v>
      </c>
      <c r="J22" s="1389"/>
      <c r="K22" s="1391"/>
    </row>
    <row r="23" spans="1:11" s="1360" customFormat="1" ht="18" customHeight="1">
      <c r="A23" s="1398"/>
      <c r="B23" s="1391" t="s">
        <v>3269</v>
      </c>
      <c r="C23" s="1389">
        <v>1</v>
      </c>
      <c r="D23" s="1389" t="s">
        <v>422</v>
      </c>
      <c r="E23" s="1389">
        <v>2</v>
      </c>
      <c r="F23" s="1392">
        <v>9.06</v>
      </c>
      <c r="G23" s="1392">
        <v>0.75</v>
      </c>
      <c r="H23" s="1392">
        <v>0.15</v>
      </c>
      <c r="I23" s="1392">
        <f t="shared" si="1"/>
        <v>2.04</v>
      </c>
      <c r="J23" s="1389"/>
      <c r="K23" s="1391"/>
    </row>
    <row r="24" spans="1:11" s="1360" customFormat="1" ht="18" customHeight="1">
      <c r="A24" s="1398"/>
      <c r="B24" s="1391" t="s">
        <v>3267</v>
      </c>
      <c r="C24" s="1389">
        <v>1</v>
      </c>
      <c r="D24" s="1389" t="s">
        <v>422</v>
      </c>
      <c r="E24" s="1389">
        <v>2</v>
      </c>
      <c r="F24" s="1392">
        <v>5.55</v>
      </c>
      <c r="G24" s="1392">
        <v>0.75</v>
      </c>
      <c r="H24" s="1392">
        <f>H23</f>
        <v>0.15</v>
      </c>
      <c r="I24" s="1392">
        <f t="shared" si="1"/>
        <v>1.25</v>
      </c>
      <c r="J24" s="1389"/>
      <c r="K24" s="1391"/>
    </row>
    <row r="25" spans="1:11" s="1360" customFormat="1" ht="18" customHeight="1">
      <c r="A25" s="1398"/>
      <c r="B25" s="1391" t="s">
        <v>3270</v>
      </c>
      <c r="C25" s="1389">
        <v>1</v>
      </c>
      <c r="D25" s="1389" t="s">
        <v>1472</v>
      </c>
      <c r="E25" s="1389">
        <v>8</v>
      </c>
      <c r="F25" s="1392">
        <v>0.45</v>
      </c>
      <c r="G25" s="1392">
        <v>0.45</v>
      </c>
      <c r="H25" s="1392">
        <f>H24</f>
        <v>0.15</v>
      </c>
      <c r="I25" s="1392">
        <f t="shared" si="1"/>
        <v>0.24</v>
      </c>
      <c r="J25" s="1389"/>
      <c r="K25" s="1391"/>
    </row>
    <row r="26" spans="1:11" s="1360" customFormat="1" ht="18" customHeight="1">
      <c r="A26" s="1398"/>
      <c r="B26" s="1391" t="s">
        <v>3266</v>
      </c>
      <c r="C26" s="1389">
        <v>1</v>
      </c>
      <c r="D26" s="1389" t="s">
        <v>422</v>
      </c>
      <c r="E26" s="1389">
        <v>2</v>
      </c>
      <c r="F26" s="1392">
        <v>2.1800000000000002</v>
      </c>
      <c r="G26" s="1392">
        <v>0.75</v>
      </c>
      <c r="H26" s="1392">
        <v>0.15</v>
      </c>
      <c r="I26" s="1392">
        <f t="shared" si="1"/>
        <v>0.49</v>
      </c>
      <c r="J26" s="1389"/>
      <c r="K26" s="1391"/>
    </row>
    <row r="27" spans="1:11" s="1360" customFormat="1" ht="18" customHeight="1">
      <c r="A27" s="1398"/>
      <c r="B27" s="1393" t="s">
        <v>3267</v>
      </c>
      <c r="C27" s="1389">
        <v>1</v>
      </c>
      <c r="D27" s="1389" t="s">
        <v>1472</v>
      </c>
      <c r="E27" s="1389">
        <v>2</v>
      </c>
      <c r="F27" s="1392">
        <v>1.58</v>
      </c>
      <c r="G27" s="1392">
        <v>0.75</v>
      </c>
      <c r="H27" s="1392">
        <v>0.15</v>
      </c>
      <c r="I27" s="1392">
        <f t="shared" si="1"/>
        <v>0.36</v>
      </c>
      <c r="J27" s="1389"/>
      <c r="K27" s="1391"/>
    </row>
    <row r="28" spans="1:11" s="1360" customFormat="1" ht="18" customHeight="1">
      <c r="A28" s="1398"/>
      <c r="B28" s="1391" t="s">
        <v>3271</v>
      </c>
      <c r="C28" s="1389">
        <v>1</v>
      </c>
      <c r="D28" s="1389" t="s">
        <v>1472</v>
      </c>
      <c r="E28" s="1389">
        <v>1</v>
      </c>
      <c r="F28" s="1392">
        <v>5.85</v>
      </c>
      <c r="G28" s="1392">
        <v>0.75</v>
      </c>
      <c r="H28" s="1392">
        <v>0.1</v>
      </c>
      <c r="I28" s="1392">
        <f t="shared" ref="I28:I38" si="2">ROUND(F28*G28*H28*E28*C28,2)</f>
        <v>0.44</v>
      </c>
      <c r="J28" s="1389"/>
      <c r="K28" s="1391"/>
    </row>
    <row r="29" spans="1:11" s="1360" customFormat="1" ht="18" customHeight="1">
      <c r="A29" s="1398"/>
      <c r="B29" s="1391"/>
      <c r="C29" s="1389">
        <v>1</v>
      </c>
      <c r="D29" s="1389" t="s">
        <v>1472</v>
      </c>
      <c r="E29" s="1389">
        <v>1</v>
      </c>
      <c r="F29" s="1392">
        <v>4.0599999999999996</v>
      </c>
      <c r="G29" s="1392">
        <v>0.75</v>
      </c>
      <c r="H29" s="1392">
        <v>0.1</v>
      </c>
      <c r="I29" s="1392">
        <f t="shared" si="2"/>
        <v>0.3</v>
      </c>
      <c r="J29" s="1389"/>
      <c r="K29" s="1391"/>
    </row>
    <row r="30" spans="1:11" s="1360" customFormat="1" ht="18" customHeight="1">
      <c r="A30" s="1398"/>
      <c r="B30" s="1391"/>
      <c r="C30" s="1389">
        <v>1</v>
      </c>
      <c r="D30" s="1389" t="s">
        <v>1472</v>
      </c>
      <c r="E30" s="1389">
        <v>2</v>
      </c>
      <c r="F30" s="1392">
        <v>3.43</v>
      </c>
      <c r="G30" s="1392">
        <v>0.75</v>
      </c>
      <c r="H30" s="1392">
        <v>0.1</v>
      </c>
      <c r="I30" s="1392">
        <f t="shared" si="2"/>
        <v>0.51</v>
      </c>
      <c r="J30" s="1389"/>
      <c r="K30" s="1391"/>
    </row>
    <row r="31" spans="1:11" s="1360" customFormat="1" ht="18" customHeight="1">
      <c r="A31" s="1398"/>
      <c r="B31" s="1391"/>
      <c r="C31" s="1389">
        <v>1</v>
      </c>
      <c r="D31" s="1389" t="s">
        <v>1472</v>
      </c>
      <c r="E31" s="1389">
        <v>1</v>
      </c>
      <c r="F31" s="1392">
        <v>1.88</v>
      </c>
      <c r="G31" s="1392">
        <v>0.75</v>
      </c>
      <c r="H31" s="1392">
        <v>0.1</v>
      </c>
      <c r="I31" s="1392">
        <f t="shared" si="2"/>
        <v>0.14000000000000001</v>
      </c>
      <c r="J31" s="1389"/>
      <c r="K31" s="1391"/>
    </row>
    <row r="32" spans="1:11" s="1360" customFormat="1" ht="18" customHeight="1">
      <c r="A32" s="1398"/>
      <c r="B32" s="1391" t="s">
        <v>3272</v>
      </c>
      <c r="C32" s="1389">
        <v>1</v>
      </c>
      <c r="D32" s="1389" t="s">
        <v>1472</v>
      </c>
      <c r="E32" s="1389">
        <v>1</v>
      </c>
      <c r="F32" s="1392">
        <v>8.15</v>
      </c>
      <c r="G32" s="1392">
        <v>6.14</v>
      </c>
      <c r="H32" s="1392">
        <v>0.1</v>
      </c>
      <c r="I32" s="1392">
        <f t="shared" si="2"/>
        <v>5</v>
      </c>
      <c r="J32" s="1389"/>
      <c r="K32" s="1391"/>
    </row>
    <row r="33" spans="1:14" s="1360" customFormat="1" ht="18" customHeight="1">
      <c r="A33" s="1398"/>
      <c r="B33" s="1391"/>
      <c r="C33" s="1389">
        <v>-1</v>
      </c>
      <c r="D33" s="1389" t="s">
        <v>1472</v>
      </c>
      <c r="E33" s="1389">
        <v>1</v>
      </c>
      <c r="F33" s="1392">
        <v>4.2699999999999996</v>
      </c>
      <c r="G33" s="1392">
        <v>0.23</v>
      </c>
      <c r="H33" s="1392">
        <v>0.1</v>
      </c>
      <c r="I33" s="1392">
        <f t="shared" si="2"/>
        <v>-0.1</v>
      </c>
      <c r="J33" s="1389"/>
      <c r="K33" s="1391"/>
    </row>
    <row r="34" spans="1:14" s="1360" customFormat="1" ht="18" customHeight="1">
      <c r="A34" s="1398"/>
      <c r="B34" s="1391"/>
      <c r="C34" s="1389">
        <v>-1</v>
      </c>
      <c r="D34" s="1389" t="s">
        <v>1472</v>
      </c>
      <c r="E34" s="1389">
        <v>2</v>
      </c>
      <c r="F34" s="1392">
        <v>3.65</v>
      </c>
      <c r="G34" s="1392">
        <v>0.23</v>
      </c>
      <c r="H34" s="1392">
        <v>0.1</v>
      </c>
      <c r="I34" s="1392">
        <f t="shared" si="2"/>
        <v>-0.17</v>
      </c>
      <c r="J34" s="1389"/>
      <c r="K34" s="1391"/>
    </row>
    <row r="35" spans="1:14" s="1360" customFormat="1" ht="18" customHeight="1">
      <c r="A35" s="1398"/>
      <c r="B35" s="1391"/>
      <c r="C35" s="1389">
        <v>-1</v>
      </c>
      <c r="D35" s="1389" t="s">
        <v>1472</v>
      </c>
      <c r="E35" s="1389">
        <v>1</v>
      </c>
      <c r="F35" s="1392">
        <v>6.14</v>
      </c>
      <c r="G35" s="1392">
        <v>0.23</v>
      </c>
      <c r="H35" s="1392">
        <v>0.1</v>
      </c>
      <c r="I35" s="1392">
        <f t="shared" si="2"/>
        <v>-0.14000000000000001</v>
      </c>
      <c r="J35" s="1389"/>
      <c r="K35" s="1391"/>
    </row>
    <row r="36" spans="1:14" s="1360" customFormat="1" ht="17.2" customHeight="1">
      <c r="A36" s="1398"/>
      <c r="B36" s="1393"/>
      <c r="C36" s="1389">
        <v>-1</v>
      </c>
      <c r="D36" s="1389" t="s">
        <v>1472</v>
      </c>
      <c r="E36" s="1389">
        <v>1</v>
      </c>
      <c r="F36" s="1392">
        <v>2.1</v>
      </c>
      <c r="G36" s="1392">
        <v>0.23</v>
      </c>
      <c r="H36" s="1392">
        <v>0.1</v>
      </c>
      <c r="I36" s="1392">
        <f t="shared" si="2"/>
        <v>-0.05</v>
      </c>
      <c r="J36" s="1389"/>
      <c r="K36" s="1391"/>
    </row>
    <row r="37" spans="1:14" s="1360" customFormat="1" ht="17.2" customHeight="1">
      <c r="A37" s="1398"/>
      <c r="B37" s="1391"/>
      <c r="C37" s="1389">
        <v>1</v>
      </c>
      <c r="D37" s="1389" t="s">
        <v>1472</v>
      </c>
      <c r="E37" s="1389">
        <v>1</v>
      </c>
      <c r="F37" s="1392">
        <v>4.55</v>
      </c>
      <c r="G37" s="1392">
        <v>0.4</v>
      </c>
      <c r="H37" s="1392">
        <v>0.1</v>
      </c>
      <c r="I37" s="1392">
        <f t="shared" si="2"/>
        <v>0.18</v>
      </c>
      <c r="J37" s="1389"/>
      <c r="K37" s="1391"/>
      <c r="M37" s="1360">
        <v>2000000</v>
      </c>
      <c r="N37" s="1360">
        <v>1050000</v>
      </c>
    </row>
    <row r="38" spans="1:14" s="1360" customFormat="1" ht="17.2" customHeight="1">
      <c r="A38" s="1398"/>
      <c r="B38" s="1391"/>
      <c r="C38" s="1389">
        <v>1</v>
      </c>
      <c r="D38" s="1389" t="s">
        <v>1472</v>
      </c>
      <c r="E38" s="1389">
        <v>1</v>
      </c>
      <c r="F38" s="1392">
        <v>1.53</v>
      </c>
      <c r="G38" s="1392">
        <v>0.4</v>
      </c>
      <c r="H38" s="1392">
        <v>0.1</v>
      </c>
      <c r="I38" s="1392">
        <f t="shared" si="2"/>
        <v>0.06</v>
      </c>
      <c r="J38" s="1389"/>
      <c r="K38" s="1391"/>
    </row>
    <row r="39" spans="1:14" s="1361" customFormat="1" ht="17.2" customHeight="1">
      <c r="A39" s="1386"/>
      <c r="B39" s="1393"/>
      <c r="C39" s="1386"/>
      <c r="D39" s="1386"/>
      <c r="E39" s="1386"/>
      <c r="F39" s="1394"/>
      <c r="G39" s="1394"/>
      <c r="H39" s="1394"/>
      <c r="I39" s="1394">
        <f>SUM(I21:I38)</f>
        <v>13.590000000000002</v>
      </c>
      <c r="J39" s="1394">
        <f>Datas!G157</f>
        <v>4371.4635670906127</v>
      </c>
      <c r="K39" s="1395">
        <f>ROUND(I39*J39,0)</f>
        <v>59408</v>
      </c>
    </row>
    <row r="40" spans="1:14" s="1361" customFormat="1" ht="17.2" customHeight="1">
      <c r="A40" s="1386"/>
      <c r="B40" s="1386"/>
      <c r="C40" s="1386"/>
      <c r="D40" s="1386"/>
      <c r="E40" s="1386"/>
      <c r="F40" s="1386"/>
      <c r="G40" s="1386"/>
      <c r="H40" s="1386"/>
      <c r="I40" s="1386" t="s">
        <v>525</v>
      </c>
      <c r="J40" s="1386" t="s">
        <v>525</v>
      </c>
      <c r="K40" s="1396"/>
    </row>
    <row r="41" spans="1:14" s="1358" customFormat="1" ht="113.25" customHeight="1">
      <c r="A41" s="1397">
        <v>3</v>
      </c>
      <c r="B41" s="2544" t="str">
        <f>Datas!C178</f>
        <v xml:space="preserve">RR Masonry in CM (1:6) Cement: Sand) using hard granite stones from approved quarry including cost and conveyance of all materials like Granite stones, cement, sand, water,  etc.,  to site including seigniorage charges, Countryes &amp; other taxes on all materials, all operational, incidental, and labor charges such as cutting stones to required size and shape, mixing of cement mortar, constructing masonry, curing etc., complete for finished item of work for foundation and basement (APSS No. 601 &amp; 615) </v>
      </c>
      <c r="C41" s="2544"/>
      <c r="D41" s="2544"/>
      <c r="E41" s="2544"/>
      <c r="F41" s="2544"/>
      <c r="G41" s="2544"/>
      <c r="H41" s="2544"/>
      <c r="I41" s="2544"/>
      <c r="J41" s="1384"/>
      <c r="K41" s="1385"/>
      <c r="N41" s="1357"/>
    </row>
    <row r="42" spans="1:14" s="1360" customFormat="1" ht="17.2" customHeight="1">
      <c r="A42" s="1398"/>
      <c r="B42" s="1393" t="s">
        <v>3003</v>
      </c>
      <c r="C42" s="1389"/>
      <c r="D42" s="1389"/>
      <c r="E42" s="1389"/>
      <c r="F42" s="1392"/>
      <c r="G42" s="1392"/>
      <c r="H42" s="1392"/>
      <c r="I42" s="1392"/>
      <c r="J42" s="1389"/>
      <c r="K42" s="1391"/>
    </row>
    <row r="43" spans="1:14" s="1360" customFormat="1" ht="17.2" customHeight="1">
      <c r="A43" s="1398"/>
      <c r="B43" s="1391" t="s">
        <v>2720</v>
      </c>
      <c r="C43" s="1389">
        <f>C28</f>
        <v>1</v>
      </c>
      <c r="D43" s="1389" t="s">
        <v>422</v>
      </c>
      <c r="E43" s="1389">
        <v>2</v>
      </c>
      <c r="F43" s="1392">
        <v>8.91</v>
      </c>
      <c r="G43" s="1392">
        <v>0.6</v>
      </c>
      <c r="H43" s="1392">
        <v>0.3</v>
      </c>
      <c r="I43" s="1392">
        <f t="shared" ref="I43:I54" si="3">ROUND(F43*G43*H43*E43*C43,2)</f>
        <v>3.21</v>
      </c>
      <c r="J43" s="1389"/>
      <c r="K43" s="1391"/>
    </row>
    <row r="44" spans="1:14" s="1360" customFormat="1" ht="17.2" customHeight="1">
      <c r="A44" s="1398"/>
      <c r="B44" s="1391" t="s">
        <v>3267</v>
      </c>
      <c r="C44" s="1389">
        <f>C29</f>
        <v>1</v>
      </c>
      <c r="D44" s="1389" t="s">
        <v>422</v>
      </c>
      <c r="E44" s="1389">
        <v>2</v>
      </c>
      <c r="F44" s="1392">
        <v>5.7</v>
      </c>
      <c r="G44" s="1392">
        <v>0.6</v>
      </c>
      <c r="H44" s="1392">
        <v>0.3</v>
      </c>
      <c r="I44" s="1392">
        <f t="shared" si="3"/>
        <v>2.0499999999999998</v>
      </c>
      <c r="J44" s="1389"/>
      <c r="K44" s="1391"/>
    </row>
    <row r="45" spans="1:14" s="1360" customFormat="1" ht="17.2" customHeight="1">
      <c r="A45" s="1398"/>
      <c r="B45" s="1391" t="s">
        <v>2681</v>
      </c>
      <c r="C45" s="1389">
        <v>-1</v>
      </c>
      <c r="D45" s="1389" t="s">
        <v>422</v>
      </c>
      <c r="E45" s="1389">
        <v>8</v>
      </c>
      <c r="F45" s="1392">
        <v>0.45</v>
      </c>
      <c r="G45" s="1392">
        <v>0.6</v>
      </c>
      <c r="H45" s="1392">
        <v>0.3</v>
      </c>
      <c r="I45" s="1392">
        <f t="shared" si="3"/>
        <v>-0.65</v>
      </c>
      <c r="J45" s="1389"/>
      <c r="K45" s="1391"/>
    </row>
    <row r="46" spans="1:14" s="1360" customFormat="1" ht="17.2" customHeight="1">
      <c r="A46" s="1398"/>
      <c r="B46" s="1391"/>
      <c r="C46" s="1389">
        <v>-1</v>
      </c>
      <c r="D46" s="1389" t="s">
        <v>422</v>
      </c>
      <c r="E46" s="1389">
        <v>8</v>
      </c>
      <c r="F46" s="1392">
        <v>0.23</v>
      </c>
      <c r="G46" s="1392">
        <v>0.3</v>
      </c>
      <c r="H46" s="1392">
        <v>0.15</v>
      </c>
      <c r="I46" s="1392">
        <f t="shared" si="3"/>
        <v>-0.08</v>
      </c>
      <c r="J46" s="1389"/>
      <c r="K46" s="1391"/>
    </row>
    <row r="47" spans="1:14" s="1360" customFormat="1" ht="17.2" customHeight="1">
      <c r="A47" s="1398"/>
      <c r="B47" s="1391" t="s">
        <v>3266</v>
      </c>
      <c r="C47" s="1389">
        <f>C32</f>
        <v>1</v>
      </c>
      <c r="D47" s="1389" t="s">
        <v>422</v>
      </c>
      <c r="E47" s="1389">
        <v>2</v>
      </c>
      <c r="F47" s="1392">
        <v>2.0299999999999998</v>
      </c>
      <c r="G47" s="1392">
        <v>0.6</v>
      </c>
      <c r="H47" s="1392">
        <v>0.6</v>
      </c>
      <c r="I47" s="1392">
        <f t="shared" si="3"/>
        <v>1.46</v>
      </c>
      <c r="J47" s="1389"/>
      <c r="K47" s="1391"/>
    </row>
    <row r="48" spans="1:14" s="1360" customFormat="1" ht="17.2" customHeight="1">
      <c r="A48" s="1398"/>
      <c r="B48" s="1391"/>
      <c r="C48" s="1389">
        <v>1</v>
      </c>
      <c r="D48" s="1389" t="s">
        <v>422</v>
      </c>
      <c r="E48" s="1389">
        <v>2</v>
      </c>
      <c r="F48" s="1392">
        <v>1.73</v>
      </c>
      <c r="G48" s="1392">
        <v>0.6</v>
      </c>
      <c r="H48" s="1392">
        <v>0.6</v>
      </c>
      <c r="I48" s="1392">
        <f t="shared" si="3"/>
        <v>1.25</v>
      </c>
      <c r="J48" s="1389"/>
      <c r="K48" s="1391"/>
    </row>
    <row r="49" spans="1:11" s="1360" customFormat="1" ht="17.2" customHeight="1">
      <c r="A49" s="1398"/>
      <c r="B49" s="1391" t="s">
        <v>3273</v>
      </c>
      <c r="C49" s="1389"/>
      <c r="D49" s="1389"/>
      <c r="E49" s="1389"/>
      <c r="F49" s="1392"/>
      <c r="G49" s="1392"/>
      <c r="H49" s="1392"/>
      <c r="I49" s="1392"/>
      <c r="J49" s="1389"/>
      <c r="K49" s="1391"/>
    </row>
    <row r="50" spans="1:11" s="1360" customFormat="1" ht="17.2" customHeight="1">
      <c r="A50" s="1398"/>
      <c r="B50" s="1391"/>
      <c r="C50" s="1389">
        <v>1</v>
      </c>
      <c r="D50" s="1389" t="s">
        <v>1472</v>
      </c>
      <c r="E50" s="1389">
        <v>1</v>
      </c>
      <c r="F50" s="1392">
        <v>8.76</v>
      </c>
      <c r="G50" s="1392">
        <v>0.45</v>
      </c>
      <c r="H50" s="1392">
        <v>0.45</v>
      </c>
      <c r="I50" s="1392">
        <f t="shared" si="3"/>
        <v>1.77</v>
      </c>
      <c r="J50" s="1389"/>
      <c r="K50" s="1391"/>
    </row>
    <row r="51" spans="1:11" s="1360" customFormat="1" ht="17.2" customHeight="1">
      <c r="A51" s="1398"/>
      <c r="B51" s="1391"/>
      <c r="C51" s="1389">
        <v>1</v>
      </c>
      <c r="D51" s="1389" t="s">
        <v>1472</v>
      </c>
      <c r="E51" s="1389">
        <v>2</v>
      </c>
      <c r="F51" s="1392">
        <v>5.85</v>
      </c>
      <c r="G51" s="1392">
        <v>0.45</v>
      </c>
      <c r="H51" s="1392">
        <v>0.45</v>
      </c>
      <c r="I51" s="1392">
        <f t="shared" si="3"/>
        <v>2.37</v>
      </c>
      <c r="J51" s="1389"/>
      <c r="K51" s="1391"/>
    </row>
    <row r="52" spans="1:11" s="1360" customFormat="1" ht="17.2" customHeight="1">
      <c r="A52" s="1398"/>
      <c r="B52" s="1391"/>
      <c r="C52" s="1389">
        <v>-1</v>
      </c>
      <c r="D52" s="1389" t="s">
        <v>1472</v>
      </c>
      <c r="E52" s="1389">
        <v>2</v>
      </c>
      <c r="F52" s="1392">
        <v>0.3</v>
      </c>
      <c r="G52" s="1392">
        <v>0.3</v>
      </c>
      <c r="H52" s="1392">
        <v>0.45</v>
      </c>
      <c r="I52" s="1392">
        <f t="shared" si="3"/>
        <v>-0.08</v>
      </c>
      <c r="J52" s="1389"/>
      <c r="K52" s="1391"/>
    </row>
    <row r="53" spans="1:11" s="1360" customFormat="1" ht="17.2" customHeight="1">
      <c r="A53" s="1398"/>
      <c r="B53" s="1391"/>
      <c r="C53" s="1389">
        <v>1</v>
      </c>
      <c r="D53" s="1389" t="s">
        <v>1472</v>
      </c>
      <c r="E53" s="1389">
        <v>2</v>
      </c>
      <c r="F53" s="1392">
        <v>1.88</v>
      </c>
      <c r="G53" s="1392">
        <v>0.45</v>
      </c>
      <c r="H53" s="1392">
        <v>0.45</v>
      </c>
      <c r="I53" s="1392">
        <f t="shared" si="3"/>
        <v>0.76</v>
      </c>
      <c r="J53" s="1389"/>
      <c r="K53" s="1391"/>
    </row>
    <row r="54" spans="1:11" s="1360" customFormat="1" ht="17.2" customHeight="1">
      <c r="A54" s="1398"/>
      <c r="B54" s="1391"/>
      <c r="C54" s="1389">
        <v>1</v>
      </c>
      <c r="D54" s="1389" t="s">
        <v>1472</v>
      </c>
      <c r="E54" s="1389">
        <v>2</v>
      </c>
      <c r="F54" s="1392">
        <v>1.88</v>
      </c>
      <c r="G54" s="1392">
        <v>0.45</v>
      </c>
      <c r="H54" s="1392">
        <v>0.45</v>
      </c>
      <c r="I54" s="1392">
        <f t="shared" si="3"/>
        <v>0.76</v>
      </c>
      <c r="J54" s="1389"/>
      <c r="K54" s="1391"/>
    </row>
    <row r="55" spans="1:11" s="1361" customFormat="1" ht="17.2" customHeight="1">
      <c r="A55" s="1386"/>
      <c r="B55" s="1386"/>
      <c r="C55" s="1386"/>
      <c r="D55" s="1386"/>
      <c r="E55" s="1386"/>
      <c r="F55" s="1386"/>
      <c r="G55" s="1386"/>
      <c r="H55" s="1386"/>
      <c r="I55" s="1394">
        <f>SUM(I43:I54)</f>
        <v>12.819999999999999</v>
      </c>
      <c r="J55" s="1394">
        <f>Datas!G196</f>
        <v>3626.63</v>
      </c>
      <c r="K55" s="1395">
        <f>ROUND(I55*J55,0)</f>
        <v>46493</v>
      </c>
    </row>
    <row r="56" spans="1:11" s="1361" customFormat="1" ht="17.2" customHeight="1">
      <c r="A56" s="1386"/>
      <c r="B56" s="1386"/>
      <c r="C56" s="1386"/>
      <c r="D56" s="1386"/>
      <c r="E56" s="1386"/>
      <c r="F56" s="1386"/>
      <c r="G56" s="1386"/>
      <c r="H56" s="1386"/>
      <c r="I56" s="1386" t="s">
        <v>525</v>
      </c>
      <c r="J56" s="1386" t="s">
        <v>525</v>
      </c>
      <c r="K56" s="1396"/>
    </row>
    <row r="57" spans="1:11" s="1358" customFormat="1" ht="14.25" customHeight="1">
      <c r="A57" s="1397"/>
      <c r="B57" s="2556"/>
      <c r="C57" s="2556"/>
      <c r="D57" s="2556"/>
      <c r="E57" s="2556"/>
      <c r="F57" s="2556"/>
      <c r="G57" s="1384"/>
      <c r="H57" s="1384"/>
      <c r="I57" s="1383"/>
      <c r="J57" s="1384"/>
      <c r="K57" s="1385"/>
    </row>
    <row r="58" spans="1:11" s="1358" customFormat="1" ht="111" customHeight="1">
      <c r="A58" s="1383">
        <v>4</v>
      </c>
      <c r="B58" s="2544" t="str">
        <f>Datas!C294</f>
        <v>RCC M- 20 Nominal mix (Cement:fine aggregate: coarse aggregate) corresponding to Table 9 of IS 456 using 20mm size graded machine crushed hard granite metal (coarse aggregate) from approved quarry including cost and conveyance of all materials like cement, Sand of Concrete coarse aggregate, water etc., to site and including  sales &amp; other taxes on all materials including all operational, incidental and labour charges such as machine mixing, laying concrete, curing etc.,complete but excluding cost of steel and its fabrication charges for finished item of work, but excluding  centering, shuttering.</v>
      </c>
      <c r="C58" s="2544"/>
      <c r="D58" s="2544"/>
      <c r="E58" s="2544"/>
      <c r="F58" s="2544"/>
      <c r="G58" s="2544"/>
      <c r="H58" s="2544"/>
      <c r="I58" s="2544"/>
      <c r="J58" s="1384"/>
      <c r="K58" s="1385"/>
    </row>
    <row r="59" spans="1:11" s="1360" customFormat="1" ht="18" customHeight="1">
      <c r="A59" s="1386" t="s">
        <v>765</v>
      </c>
      <c r="B59" s="2553" t="s">
        <v>3004</v>
      </c>
      <c r="C59" s="2553"/>
      <c r="D59" s="2553"/>
      <c r="E59" s="2553"/>
      <c r="F59" s="2553"/>
      <c r="G59" s="2553"/>
      <c r="H59" s="1392"/>
      <c r="I59" s="1389"/>
      <c r="J59" s="1392"/>
      <c r="K59" s="1399"/>
    </row>
    <row r="60" spans="1:11" s="1360" customFormat="1" ht="18" customHeight="1">
      <c r="A60" s="1386"/>
      <c r="B60" s="1391" t="str">
        <f>B22</f>
        <v>Foorings</v>
      </c>
      <c r="C60" s="1389">
        <f>C22</f>
        <v>1</v>
      </c>
      <c r="D60" s="1389" t="s">
        <v>422</v>
      </c>
      <c r="E60" s="1389">
        <f>E22</f>
        <v>9</v>
      </c>
      <c r="F60" s="1392">
        <v>1.2</v>
      </c>
      <c r="G60" s="1392">
        <v>1.2</v>
      </c>
      <c r="H60" s="1392">
        <v>0.3</v>
      </c>
      <c r="I60" s="1392">
        <f>ROUND(F60*G60*H60*E60*C60,2)</f>
        <v>3.89</v>
      </c>
      <c r="J60" s="1392"/>
      <c r="K60" s="1399"/>
    </row>
    <row r="61" spans="1:11" s="1361" customFormat="1" ht="18" customHeight="1">
      <c r="A61" s="1386"/>
      <c r="B61" s="1393"/>
      <c r="C61" s="1386"/>
      <c r="D61" s="1386"/>
      <c r="E61" s="1386"/>
      <c r="F61" s="1394"/>
      <c r="G61" s="1394"/>
      <c r="H61" s="1394"/>
      <c r="I61" s="1394">
        <f>SUM(I60:I60)</f>
        <v>3.89</v>
      </c>
      <c r="J61" s="1394">
        <f>Datas!G321</f>
        <v>8788.51</v>
      </c>
      <c r="K61" s="1395">
        <f>ROUND(I61*J61,0)</f>
        <v>34187</v>
      </c>
    </row>
    <row r="62" spans="1:11" s="1361" customFormat="1" ht="18" customHeight="1">
      <c r="A62" s="1386"/>
      <c r="B62" s="1387"/>
      <c r="C62" s="1386"/>
      <c r="D62" s="1386"/>
      <c r="E62" s="1386"/>
      <c r="F62" s="1386"/>
      <c r="G62" s="1386"/>
      <c r="H62" s="1386"/>
      <c r="I62" s="1386" t="s">
        <v>525</v>
      </c>
      <c r="J62" s="1386" t="s">
        <v>525</v>
      </c>
      <c r="K62" s="1396"/>
    </row>
    <row r="63" spans="1:11" s="1360" customFormat="1" ht="18" customHeight="1">
      <c r="A63" s="1386" t="s">
        <v>1391</v>
      </c>
      <c r="B63" s="1387" t="s">
        <v>3005</v>
      </c>
      <c r="C63" s="1389"/>
      <c r="D63" s="1389"/>
      <c r="E63" s="1389"/>
      <c r="F63" s="1392"/>
      <c r="G63" s="1392"/>
      <c r="H63" s="1392"/>
      <c r="I63" s="1392"/>
      <c r="J63" s="1392"/>
      <c r="K63" s="1399"/>
    </row>
    <row r="64" spans="1:11" s="1360" customFormat="1" ht="18" customHeight="1">
      <c r="A64" s="1386"/>
      <c r="B64" s="1391" t="str">
        <f>B60</f>
        <v>Foorings</v>
      </c>
      <c r="C64" s="1389">
        <f>C60</f>
        <v>1</v>
      </c>
      <c r="D64" s="1389" t="s">
        <v>422</v>
      </c>
      <c r="E64" s="1389">
        <f>E60</f>
        <v>9</v>
      </c>
      <c r="F64" s="1392">
        <v>0.45</v>
      </c>
      <c r="G64" s="1400">
        <v>0.45</v>
      </c>
      <c r="H64" s="1392">
        <v>0.6</v>
      </c>
      <c r="I64" s="1392">
        <f>ROUND(F64*G64*H64*E64*C64,2)</f>
        <v>1.0900000000000001</v>
      </c>
      <c r="J64" s="1392"/>
      <c r="K64" s="1399"/>
    </row>
    <row r="65" spans="1:14" s="1361" customFormat="1" ht="18" customHeight="1">
      <c r="A65" s="1386"/>
      <c r="B65" s="1393"/>
      <c r="C65" s="1386"/>
      <c r="D65" s="1386"/>
      <c r="E65" s="1386"/>
      <c r="F65" s="1394"/>
      <c r="G65" s="1394"/>
      <c r="H65" s="1394"/>
      <c r="I65" s="1394">
        <f>SUM(I64:I64)</f>
        <v>1.0900000000000001</v>
      </c>
      <c r="J65" s="1394">
        <f>Datas!G332</f>
        <v>9360.51</v>
      </c>
      <c r="K65" s="1395">
        <f>ROUND(I65*J65,0)</f>
        <v>10203</v>
      </c>
    </row>
    <row r="66" spans="1:14" s="1361" customFormat="1" ht="18" customHeight="1">
      <c r="A66" s="1386" t="s">
        <v>1391</v>
      </c>
      <c r="B66" s="1387" t="s">
        <v>3001</v>
      </c>
      <c r="C66" s="1386"/>
      <c r="D66" s="1386"/>
      <c r="E66" s="1386"/>
      <c r="F66" s="1386"/>
      <c r="G66" s="1386"/>
      <c r="H66" s="1386"/>
      <c r="I66" s="1386" t="s">
        <v>525</v>
      </c>
      <c r="J66" s="1386" t="s">
        <v>525</v>
      </c>
      <c r="K66" s="1396"/>
    </row>
    <row r="67" spans="1:14" s="1360" customFormat="1">
      <c r="A67" s="1386"/>
      <c r="B67" s="1387" t="s">
        <v>3148</v>
      </c>
      <c r="C67" s="1389"/>
      <c r="D67" s="1389"/>
      <c r="E67" s="1389"/>
      <c r="F67" s="1392"/>
      <c r="G67" s="1392"/>
      <c r="H67" s="1392"/>
      <c r="I67" s="1392"/>
      <c r="J67" s="1392"/>
      <c r="K67" s="1399"/>
    </row>
    <row r="68" spans="1:14" s="1360" customFormat="1" ht="18" customHeight="1">
      <c r="A68" s="1386"/>
      <c r="B68" s="1391"/>
      <c r="C68" s="1389">
        <v>1</v>
      </c>
      <c r="D68" s="1389" t="s">
        <v>422</v>
      </c>
      <c r="E68" s="1389">
        <v>9</v>
      </c>
      <c r="F68" s="1392">
        <v>0.23</v>
      </c>
      <c r="G68" s="1400">
        <v>0.3</v>
      </c>
      <c r="H68" s="1392">
        <v>1.05</v>
      </c>
      <c r="I68" s="1392">
        <f>ROUND(F68*G68*H68*E68*C68,2)</f>
        <v>0.65</v>
      </c>
      <c r="J68" s="1392"/>
      <c r="K68" s="1399"/>
    </row>
    <row r="69" spans="1:14" s="1360" customFormat="1" ht="18" customHeight="1">
      <c r="A69" s="1386"/>
      <c r="B69" s="1401" t="s">
        <v>3006</v>
      </c>
      <c r="C69" s="1389"/>
      <c r="D69" s="1389"/>
      <c r="E69" s="1389"/>
      <c r="F69" s="1392"/>
      <c r="G69" s="1392"/>
      <c r="H69" s="1392"/>
      <c r="I69" s="1392"/>
      <c r="J69" s="1392"/>
      <c r="K69" s="1399"/>
    </row>
    <row r="70" spans="1:14" s="1360" customFormat="1" ht="18" customHeight="1">
      <c r="A70" s="1386"/>
      <c r="B70" s="1391"/>
      <c r="C70" s="1389">
        <v>1</v>
      </c>
      <c r="D70" s="1389" t="s">
        <v>422</v>
      </c>
      <c r="E70" s="1389">
        <v>6</v>
      </c>
      <c r="F70" s="1392">
        <v>0.23</v>
      </c>
      <c r="G70" s="1400">
        <v>0.3</v>
      </c>
      <c r="H70" s="1392">
        <v>2.9</v>
      </c>
      <c r="I70" s="1392">
        <f>ROUND(F70*G70*H70*E70*C70,2)</f>
        <v>1.2</v>
      </c>
      <c r="J70" s="1392"/>
      <c r="K70" s="1399"/>
    </row>
    <row r="71" spans="1:14" s="1360" customFormat="1" ht="18" customHeight="1">
      <c r="A71" s="1386"/>
      <c r="B71" s="1391"/>
      <c r="C71" s="1389">
        <v>1</v>
      </c>
      <c r="D71" s="1389" t="s">
        <v>1472</v>
      </c>
      <c r="E71" s="1389">
        <v>3</v>
      </c>
      <c r="F71" s="1392">
        <v>0.23</v>
      </c>
      <c r="G71" s="1400">
        <v>0.3</v>
      </c>
      <c r="H71" s="1392">
        <v>2.2000000000000002</v>
      </c>
      <c r="I71" s="1392">
        <f t="shared" ref="I71:I72" si="4">ROUND(F71*G71*H71*E71*C71,2)</f>
        <v>0.46</v>
      </c>
      <c r="J71" s="1392"/>
      <c r="K71" s="1399"/>
    </row>
    <row r="72" spans="1:14" s="1360" customFormat="1" ht="18" customHeight="1">
      <c r="A72" s="1386"/>
      <c r="B72" s="1391"/>
      <c r="C72" s="1389">
        <v>1</v>
      </c>
      <c r="D72" s="1389" t="s">
        <v>1472</v>
      </c>
      <c r="E72" s="1389">
        <v>3</v>
      </c>
      <c r="F72" s="1392">
        <v>0.23</v>
      </c>
      <c r="G72" s="1400">
        <v>0.3</v>
      </c>
      <c r="H72" s="1392">
        <v>0.4</v>
      </c>
      <c r="I72" s="1392">
        <f t="shared" si="4"/>
        <v>0.08</v>
      </c>
      <c r="J72" s="1392"/>
      <c r="K72" s="1399"/>
    </row>
    <row r="73" spans="1:14" s="1361" customFormat="1" ht="18" customHeight="1">
      <c r="A73" s="1386"/>
      <c r="B73" s="1393"/>
      <c r="C73" s="1386"/>
      <c r="D73" s="1386"/>
      <c r="E73" s="1386"/>
      <c r="F73" s="1394"/>
      <c r="G73" s="1394"/>
      <c r="H73" s="1394"/>
      <c r="I73" s="1394">
        <f>SUM(I68:I72)</f>
        <v>2.39</v>
      </c>
      <c r="J73" s="1394">
        <f>Datas!E391</f>
        <v>11842.03</v>
      </c>
      <c r="K73" s="1395">
        <f>ROUND(I73*J73,0)</f>
        <v>28302</v>
      </c>
    </row>
    <row r="74" spans="1:14" s="1361" customFormat="1" ht="18" customHeight="1">
      <c r="A74" s="1386"/>
      <c r="B74" s="1386"/>
      <c r="C74" s="1386"/>
      <c r="D74" s="1386"/>
      <c r="E74" s="1386"/>
      <c r="F74" s="1386"/>
      <c r="G74" s="1386"/>
      <c r="H74" s="1386"/>
      <c r="I74" s="1386" t="s">
        <v>525</v>
      </c>
      <c r="J74" s="1386" t="s">
        <v>525</v>
      </c>
      <c r="K74" s="1396"/>
    </row>
    <row r="75" spans="1:14" s="1361" customFormat="1" ht="18" customHeight="1">
      <c r="A75" s="1386" t="s">
        <v>3007</v>
      </c>
      <c r="B75" s="1393" t="s">
        <v>3008</v>
      </c>
      <c r="C75" s="1386"/>
      <c r="D75" s="1386"/>
      <c r="E75" s="1386"/>
      <c r="F75" s="1394"/>
      <c r="G75" s="1394"/>
      <c r="H75" s="1394"/>
      <c r="I75" s="1394"/>
      <c r="J75" s="1394"/>
      <c r="K75" s="1395"/>
    </row>
    <row r="76" spans="1:14" s="1360" customFormat="1" ht="18" customHeight="1">
      <c r="A76" s="1386"/>
      <c r="B76" s="1391" t="s">
        <v>3276</v>
      </c>
      <c r="C76" s="1389">
        <v>1</v>
      </c>
      <c r="D76" s="1389" t="s">
        <v>422</v>
      </c>
      <c r="E76" s="1389">
        <v>2</v>
      </c>
      <c r="F76" s="1392">
        <v>8.61</v>
      </c>
      <c r="G76" s="1392">
        <v>0.23</v>
      </c>
      <c r="H76" s="1392">
        <v>0.3</v>
      </c>
      <c r="I76" s="1392">
        <f t="shared" ref="I76:I81" si="5">ROUND(F76*G76*H76*E76*C76,2)</f>
        <v>1.19</v>
      </c>
      <c r="J76" s="1392"/>
      <c r="K76" s="1399"/>
      <c r="N76" s="1362"/>
    </row>
    <row r="77" spans="1:14" s="1360" customFormat="1" ht="18" customHeight="1">
      <c r="A77" s="1386"/>
      <c r="B77" s="1391" t="s">
        <v>3277</v>
      </c>
      <c r="C77" s="1389">
        <v>1</v>
      </c>
      <c r="D77" s="1389" t="s">
        <v>422</v>
      </c>
      <c r="E77" s="1389">
        <v>2</v>
      </c>
      <c r="F77" s="1392">
        <v>6.14</v>
      </c>
      <c r="G77" s="1392">
        <v>0.23</v>
      </c>
      <c r="H77" s="1392">
        <v>0.3</v>
      </c>
      <c r="I77" s="1392">
        <f t="shared" si="5"/>
        <v>0.85</v>
      </c>
      <c r="J77" s="1392"/>
      <c r="K77" s="1399"/>
      <c r="N77" s="1362"/>
    </row>
    <row r="78" spans="1:14" s="1360" customFormat="1" ht="18" customHeight="1">
      <c r="A78" s="1386"/>
      <c r="B78" s="1391" t="s">
        <v>3278</v>
      </c>
      <c r="C78" s="1389">
        <v>1</v>
      </c>
      <c r="D78" s="1389" t="s">
        <v>422</v>
      </c>
      <c r="E78" s="1389">
        <v>1</v>
      </c>
      <c r="F78" s="1392">
        <v>4.2699999999999996</v>
      </c>
      <c r="G78" s="1392">
        <v>0.23</v>
      </c>
      <c r="H78" s="1392">
        <v>0.3</v>
      </c>
      <c r="I78" s="1392">
        <f t="shared" si="5"/>
        <v>0.28999999999999998</v>
      </c>
      <c r="J78" s="1392"/>
      <c r="K78" s="1399"/>
      <c r="N78" s="1362"/>
    </row>
    <row r="79" spans="1:14" s="1360" customFormat="1" ht="18" customHeight="1">
      <c r="A79" s="1386"/>
      <c r="B79" s="1391"/>
      <c r="C79" s="1389">
        <v>1</v>
      </c>
      <c r="D79" s="1389" t="s">
        <v>422</v>
      </c>
      <c r="E79" s="1389">
        <v>2</v>
      </c>
      <c r="F79" s="1392">
        <v>3.65</v>
      </c>
      <c r="G79" s="1392">
        <v>0.23</v>
      </c>
      <c r="H79" s="1392">
        <v>0.3</v>
      </c>
      <c r="I79" s="1392">
        <f t="shared" si="5"/>
        <v>0.5</v>
      </c>
      <c r="J79" s="1392"/>
      <c r="K79" s="1399"/>
      <c r="N79" s="1362"/>
    </row>
    <row r="80" spans="1:14" s="1360" customFormat="1" ht="18" customHeight="1">
      <c r="A80" s="1386"/>
      <c r="B80" s="1391" t="s">
        <v>3279</v>
      </c>
      <c r="C80" s="1389">
        <v>1</v>
      </c>
      <c r="D80" s="1389" t="s">
        <v>1472</v>
      </c>
      <c r="E80" s="1389">
        <v>1</v>
      </c>
      <c r="F80" s="1392">
        <v>2.1</v>
      </c>
      <c r="G80" s="1392">
        <v>0.23</v>
      </c>
      <c r="H80" s="1392">
        <v>0.3</v>
      </c>
      <c r="I80" s="1392">
        <f t="shared" si="5"/>
        <v>0.14000000000000001</v>
      </c>
      <c r="J80" s="1392"/>
      <c r="K80" s="1399"/>
      <c r="N80" s="1362"/>
    </row>
    <row r="81" spans="1:14" s="1360" customFormat="1" ht="18" customHeight="1">
      <c r="A81" s="1386"/>
      <c r="B81" s="1391"/>
      <c r="C81" s="1389">
        <v>1</v>
      </c>
      <c r="D81" s="1389" t="s">
        <v>422</v>
      </c>
      <c r="E81" s="1389">
        <v>1</v>
      </c>
      <c r="F81" s="1392">
        <v>6.14</v>
      </c>
      <c r="G81" s="1392">
        <v>0.23</v>
      </c>
      <c r="H81" s="1392">
        <v>0.3</v>
      </c>
      <c r="I81" s="1392">
        <f t="shared" si="5"/>
        <v>0.42</v>
      </c>
      <c r="J81" s="1392"/>
      <c r="K81" s="1399"/>
      <c r="N81" s="1362"/>
    </row>
    <row r="82" spans="1:14" s="1361" customFormat="1" ht="18" customHeight="1">
      <c r="A82" s="1386"/>
      <c r="B82" s="1396"/>
      <c r="C82" s="1386"/>
      <c r="D82" s="1386"/>
      <c r="E82" s="1386"/>
      <c r="F82" s="1394"/>
      <c r="G82" s="1394"/>
      <c r="H82" s="1394"/>
      <c r="I82" s="1394">
        <f>SUM(I76:I81)</f>
        <v>3.39</v>
      </c>
      <c r="J82" s="1394">
        <f xml:space="preserve"> Datas!G343</f>
        <v>11378.51</v>
      </c>
      <c r="K82" s="1395">
        <f>ROUND(I82*J82,0)</f>
        <v>38573</v>
      </c>
    </row>
    <row r="83" spans="1:14" s="1361" customFormat="1" ht="18" customHeight="1">
      <c r="A83" s="1386"/>
      <c r="B83" s="1386"/>
      <c r="C83" s="1386"/>
      <c r="D83" s="1386"/>
      <c r="E83" s="1386"/>
      <c r="F83" s="1386"/>
      <c r="G83" s="1386"/>
      <c r="H83" s="1386"/>
      <c r="I83" s="1386" t="s">
        <v>525</v>
      </c>
      <c r="J83" s="1386" t="s">
        <v>525</v>
      </c>
      <c r="K83" s="1396"/>
    </row>
    <row r="84" spans="1:14" s="1361" customFormat="1" ht="17.2" customHeight="1">
      <c r="A84" s="1386" t="s">
        <v>3009</v>
      </c>
      <c r="B84" s="1387" t="s">
        <v>3010</v>
      </c>
      <c r="C84" s="1386"/>
      <c r="D84" s="1386"/>
      <c r="E84" s="1386"/>
      <c r="F84" s="1386"/>
      <c r="G84" s="1386"/>
      <c r="H84" s="1386"/>
      <c r="I84" s="1386"/>
      <c r="J84" s="1386"/>
      <c r="K84" s="1396"/>
    </row>
    <row r="85" spans="1:14" s="1360" customFormat="1" ht="15.9" customHeight="1">
      <c r="A85" s="1386"/>
      <c r="B85" s="1391" t="s">
        <v>3280</v>
      </c>
      <c r="C85" s="1389">
        <v>1</v>
      </c>
      <c r="D85" s="1389" t="s">
        <v>422</v>
      </c>
      <c r="E85" s="1389">
        <v>1</v>
      </c>
      <c r="F85" s="1392">
        <v>3.7</v>
      </c>
      <c r="G85" s="1392">
        <v>0.23</v>
      </c>
      <c r="H85" s="1392">
        <v>0.15</v>
      </c>
      <c r="I85" s="1392">
        <f t="shared" ref="I85:I90" si="6">ROUND(F85*G85*H85*E85*C85,2)</f>
        <v>0.13</v>
      </c>
      <c r="J85" s="1389"/>
      <c r="K85" s="1391"/>
    </row>
    <row r="86" spans="1:14" s="1360" customFormat="1" ht="15.9" customHeight="1">
      <c r="A86" s="1386"/>
      <c r="B86" s="1391" t="s">
        <v>3281</v>
      </c>
      <c r="C86" s="1389">
        <v>1</v>
      </c>
      <c r="D86" s="1389" t="s">
        <v>422</v>
      </c>
      <c r="E86" s="1389">
        <v>1</v>
      </c>
      <c r="F86" s="1392">
        <v>1.65</v>
      </c>
      <c r="G86" s="1392">
        <v>0.23</v>
      </c>
      <c r="H86" s="1392">
        <v>0.15</v>
      </c>
      <c r="I86" s="1392">
        <f t="shared" si="6"/>
        <v>0.06</v>
      </c>
      <c r="J86" s="1389"/>
      <c r="K86" s="1391"/>
    </row>
    <row r="87" spans="1:14" s="1360" customFormat="1" ht="15.9" customHeight="1">
      <c r="A87" s="1386"/>
      <c r="B87" s="1391" t="s">
        <v>3282</v>
      </c>
      <c r="C87" s="1389">
        <v>1</v>
      </c>
      <c r="D87" s="1389" t="s">
        <v>422</v>
      </c>
      <c r="E87" s="1389">
        <v>1</v>
      </c>
      <c r="F87" s="1392">
        <v>1.5</v>
      </c>
      <c r="G87" s="1392">
        <v>0.115</v>
      </c>
      <c r="H87" s="1392">
        <v>0.15</v>
      </c>
      <c r="I87" s="1392">
        <f t="shared" si="6"/>
        <v>0.03</v>
      </c>
      <c r="J87" s="1389"/>
      <c r="K87" s="1391"/>
    </row>
    <row r="88" spans="1:14" s="1360" customFormat="1" ht="15.9" customHeight="1">
      <c r="A88" s="1386"/>
      <c r="B88" s="1391" t="s">
        <v>3283</v>
      </c>
      <c r="C88" s="1389">
        <v>1</v>
      </c>
      <c r="D88" s="1389" t="s">
        <v>422</v>
      </c>
      <c r="E88" s="1389">
        <v>1</v>
      </c>
      <c r="F88" s="1392">
        <v>1.5</v>
      </c>
      <c r="G88" s="1392">
        <v>0.115</v>
      </c>
      <c r="H88" s="1392">
        <v>0.15</v>
      </c>
      <c r="I88" s="1392">
        <f t="shared" si="6"/>
        <v>0.03</v>
      </c>
      <c r="J88" s="1389"/>
      <c r="K88" s="1391"/>
    </row>
    <row r="89" spans="1:14" s="1360" customFormat="1" ht="15.9" customHeight="1">
      <c r="A89" s="1386"/>
      <c r="B89" s="1391" t="s">
        <v>3284</v>
      </c>
      <c r="C89" s="1389">
        <v>1</v>
      </c>
      <c r="D89" s="1389" t="s">
        <v>422</v>
      </c>
      <c r="E89" s="1389">
        <v>1</v>
      </c>
      <c r="F89" s="1392">
        <v>2.25</v>
      </c>
      <c r="G89" s="1392">
        <v>0.23</v>
      </c>
      <c r="H89" s="1392">
        <v>0.15</v>
      </c>
      <c r="I89" s="1392">
        <f t="shared" si="6"/>
        <v>0.08</v>
      </c>
      <c r="J89" s="1389"/>
      <c r="K89" s="1391"/>
    </row>
    <row r="90" spans="1:14" s="1360" customFormat="1" ht="15.9" customHeight="1">
      <c r="A90" s="1386"/>
      <c r="B90" s="1391" t="s">
        <v>3285</v>
      </c>
      <c r="C90" s="1389">
        <v>1</v>
      </c>
      <c r="D90" s="1389" t="s">
        <v>422</v>
      </c>
      <c r="E90" s="1389">
        <v>4</v>
      </c>
      <c r="F90" s="1392">
        <v>2</v>
      </c>
      <c r="G90" s="1392">
        <v>0.23</v>
      </c>
      <c r="H90" s="1392">
        <v>0.15</v>
      </c>
      <c r="I90" s="1392">
        <f t="shared" si="6"/>
        <v>0.28000000000000003</v>
      </c>
      <c r="J90" s="1389"/>
      <c r="K90" s="1391"/>
    </row>
    <row r="91" spans="1:14" s="1361" customFormat="1" ht="17.2" customHeight="1">
      <c r="A91" s="1386"/>
      <c r="B91" s="1393"/>
      <c r="C91" s="1386"/>
      <c r="D91" s="1386"/>
      <c r="E91" s="1386"/>
      <c r="F91" s="1394"/>
      <c r="G91" s="1394"/>
      <c r="H91" s="1394"/>
      <c r="I91" s="1394">
        <f>SUM(I85:I90)</f>
        <v>0.6100000000000001</v>
      </c>
      <c r="J91" s="1394">
        <f>Datas!E375</f>
        <v>11905.03</v>
      </c>
      <c r="K91" s="1395">
        <f>ROUND(I91*J91,0)</f>
        <v>7262</v>
      </c>
    </row>
    <row r="92" spans="1:14" s="1361" customFormat="1" ht="17.2" customHeight="1">
      <c r="A92" s="1386"/>
      <c r="B92" s="1386"/>
      <c r="C92" s="1386"/>
      <c r="D92" s="1386"/>
      <c r="E92" s="1386"/>
      <c r="F92" s="1386"/>
      <c r="G92" s="1386"/>
      <c r="H92" s="1386"/>
      <c r="I92" s="1386" t="s">
        <v>525</v>
      </c>
      <c r="J92" s="1386" t="s">
        <v>525</v>
      </c>
      <c r="K92" s="1396"/>
    </row>
    <row r="93" spans="1:14" s="1360" customFormat="1" ht="15.9" customHeight="1">
      <c r="A93" s="1386" t="s">
        <v>3011</v>
      </c>
      <c r="B93" s="2553" t="s">
        <v>3012</v>
      </c>
      <c r="C93" s="2553"/>
      <c r="D93" s="2553"/>
      <c r="E93" s="2553"/>
      <c r="F93" s="2553"/>
      <c r="G93" s="1389"/>
      <c r="H93" s="1389"/>
      <c r="I93" s="1386"/>
      <c r="J93" s="1389"/>
      <c r="K93" s="1391"/>
    </row>
    <row r="94" spans="1:14" s="1360" customFormat="1" ht="15.9" customHeight="1">
      <c r="A94" s="1386"/>
      <c r="B94" s="1805" t="s">
        <v>3286</v>
      </c>
      <c r="C94" s="1805">
        <v>1</v>
      </c>
      <c r="D94" s="1805" t="s">
        <v>1472</v>
      </c>
      <c r="E94" s="1805">
        <v>1</v>
      </c>
      <c r="F94" s="1805">
        <v>4.83</v>
      </c>
      <c r="G94" s="1389"/>
      <c r="H94" s="1389"/>
      <c r="I94" s="1392">
        <f>ROUND(PRODUCT(C94:H94),2)</f>
        <v>4.83</v>
      </c>
      <c r="J94" s="1389"/>
      <c r="K94" s="1391"/>
    </row>
    <row r="95" spans="1:14" s="1360" customFormat="1" ht="15.9" customHeight="1">
      <c r="A95" s="1386"/>
      <c r="B95" s="1805"/>
      <c r="C95" s="1805">
        <v>1</v>
      </c>
      <c r="D95" s="1805" t="s">
        <v>1472</v>
      </c>
      <c r="E95" s="1805">
        <v>1</v>
      </c>
      <c r="F95" s="1805">
        <v>2.2000000000000002</v>
      </c>
      <c r="G95" s="1389"/>
      <c r="H95" s="1389"/>
      <c r="I95" s="1392">
        <f t="shared" ref="I95:I97" si="7">ROUND(PRODUCT(C95:H95),2)</f>
        <v>2.2000000000000002</v>
      </c>
      <c r="J95" s="1389"/>
      <c r="K95" s="1391"/>
    </row>
    <row r="96" spans="1:14" s="1360" customFormat="1" ht="15.9" customHeight="1">
      <c r="A96" s="1386"/>
      <c r="B96" s="1805" t="s">
        <v>3285</v>
      </c>
      <c r="C96" s="1805">
        <v>1</v>
      </c>
      <c r="D96" s="1805" t="s">
        <v>1472</v>
      </c>
      <c r="E96" s="1805">
        <v>4</v>
      </c>
      <c r="F96" s="1805">
        <v>2</v>
      </c>
      <c r="G96" s="1389"/>
      <c r="H96" s="1389"/>
      <c r="I96" s="1392">
        <f t="shared" si="7"/>
        <v>8</v>
      </c>
      <c r="J96" s="1389"/>
      <c r="K96" s="1391"/>
    </row>
    <row r="97" spans="1:11" s="1360" customFormat="1" ht="15.9" customHeight="1">
      <c r="A97" s="1386"/>
      <c r="B97" s="1391" t="s">
        <v>3284</v>
      </c>
      <c r="C97" s="1389">
        <v>1</v>
      </c>
      <c r="D97" s="1389" t="s">
        <v>1472</v>
      </c>
      <c r="E97" s="1389">
        <v>1</v>
      </c>
      <c r="F97" s="1392">
        <v>2.25</v>
      </c>
      <c r="G97" s="1402" t="s">
        <v>3013</v>
      </c>
      <c r="H97" s="1402" t="s">
        <v>3013</v>
      </c>
      <c r="I97" s="1392">
        <f t="shared" si="7"/>
        <v>2.25</v>
      </c>
      <c r="J97" s="1389"/>
      <c r="K97" s="1391"/>
    </row>
    <row r="98" spans="1:11" s="1361" customFormat="1" ht="17.2" customHeight="1">
      <c r="A98" s="1386"/>
      <c r="B98" s="1393"/>
      <c r="C98" s="1386"/>
      <c r="D98" s="1386"/>
      <c r="E98" s="1386"/>
      <c r="F98" s="1394"/>
      <c r="G98" s="1394"/>
      <c r="H98" s="1394"/>
      <c r="I98" s="1394">
        <f>SUM(I94:I97)</f>
        <v>17.28</v>
      </c>
      <c r="J98" s="1394">
        <f>Datas!E503</f>
        <v>606.11</v>
      </c>
      <c r="K98" s="1395">
        <f>ROUND(I98*J98,0)</f>
        <v>10474</v>
      </c>
    </row>
    <row r="99" spans="1:11" s="1361" customFormat="1" ht="17.2" customHeight="1">
      <c r="A99" s="1386"/>
      <c r="B99" s="2553"/>
      <c r="C99" s="2553"/>
      <c r="D99" s="2553"/>
      <c r="E99" s="2553"/>
      <c r="F99" s="2553"/>
      <c r="G99" s="1386"/>
      <c r="H99" s="1386"/>
      <c r="I99" s="1386" t="s">
        <v>495</v>
      </c>
      <c r="J99" s="1386" t="s">
        <v>495</v>
      </c>
      <c r="K99" s="1396"/>
    </row>
    <row r="100" spans="1:11" s="1361" customFormat="1" ht="17.2" customHeight="1">
      <c r="A100" s="1386" t="s">
        <v>1407</v>
      </c>
      <c r="B100" s="2553" t="s">
        <v>3014</v>
      </c>
      <c r="C100" s="2553"/>
      <c r="D100" s="2553"/>
      <c r="E100" s="2553"/>
      <c r="F100" s="2553"/>
      <c r="G100" s="1386"/>
      <c r="H100" s="1386"/>
      <c r="I100" s="1386"/>
      <c r="J100" s="1386"/>
      <c r="K100" s="1396"/>
    </row>
    <row r="101" spans="1:11" s="1361" customFormat="1">
      <c r="A101" s="1386"/>
      <c r="B101" s="1391" t="s">
        <v>3287</v>
      </c>
      <c r="C101" s="1389">
        <v>1</v>
      </c>
      <c r="D101" s="1389" t="s">
        <v>422</v>
      </c>
      <c r="E101" s="1403">
        <v>1</v>
      </c>
      <c r="F101" s="1392">
        <v>4.2300000000000004</v>
      </c>
      <c r="G101" s="1389">
        <v>0.23</v>
      </c>
      <c r="H101" s="1392">
        <v>0.3</v>
      </c>
      <c r="I101" s="1392">
        <f>ROUND(F101*G101*H101*E101*C101,2)</f>
        <v>0.28999999999999998</v>
      </c>
      <c r="J101" s="1386"/>
      <c r="K101" s="1396"/>
    </row>
    <row r="102" spans="1:11" s="1360" customFormat="1" ht="15.9" customHeight="1">
      <c r="A102" s="1386"/>
      <c r="B102" s="1399" t="s">
        <v>3288</v>
      </c>
      <c r="C102" s="1389">
        <v>1</v>
      </c>
      <c r="D102" s="1389" t="s">
        <v>422</v>
      </c>
      <c r="E102" s="1403">
        <v>1</v>
      </c>
      <c r="F102" s="1392">
        <v>3.15</v>
      </c>
      <c r="G102" s="1389">
        <v>0.23</v>
      </c>
      <c r="H102" s="1392">
        <v>0.3</v>
      </c>
      <c r="I102" s="1392">
        <f>ROUND(F102*G102*H102*E102*C102,2)</f>
        <v>0.22</v>
      </c>
      <c r="J102" s="1389"/>
      <c r="K102" s="1391"/>
    </row>
    <row r="103" spans="1:11" s="1360" customFormat="1" ht="15.9" customHeight="1">
      <c r="A103" s="1386"/>
      <c r="B103" s="1399" t="s">
        <v>3289</v>
      </c>
      <c r="C103" s="1389">
        <v>1</v>
      </c>
      <c r="D103" s="1389" t="s">
        <v>422</v>
      </c>
      <c r="E103" s="1403">
        <v>3</v>
      </c>
      <c r="F103" s="1392">
        <v>8.61</v>
      </c>
      <c r="G103" s="1389">
        <v>0.23</v>
      </c>
      <c r="H103" s="1392">
        <v>0.3</v>
      </c>
      <c r="I103" s="1392">
        <f>ROUND(F103*G103*H103*E103*C103,2)</f>
        <v>1.78</v>
      </c>
      <c r="J103" s="1389"/>
      <c r="K103" s="1391"/>
    </row>
    <row r="104" spans="1:11" s="1360" customFormat="1" ht="15.9" customHeight="1">
      <c r="A104" s="1386"/>
      <c r="B104" s="1399" t="s">
        <v>3267</v>
      </c>
      <c r="C104" s="1389">
        <v>1</v>
      </c>
      <c r="D104" s="1389" t="s">
        <v>422</v>
      </c>
      <c r="E104" s="1403">
        <v>3</v>
      </c>
      <c r="F104" s="1392">
        <v>6.6</v>
      </c>
      <c r="G104" s="1389">
        <v>0.23</v>
      </c>
      <c r="H104" s="1392">
        <v>0.3</v>
      </c>
      <c r="I104" s="1392">
        <f>ROUND(F104*G104*H104*E104*C104,2)</f>
        <v>1.37</v>
      </c>
      <c r="J104" s="1389"/>
      <c r="K104" s="1391"/>
    </row>
    <row r="105" spans="1:11" s="1360" customFormat="1" ht="15.9" customHeight="1">
      <c r="A105" s="1386"/>
      <c r="B105" s="1399" t="s">
        <v>3290</v>
      </c>
      <c r="C105" s="1389">
        <v>-1</v>
      </c>
      <c r="D105" s="1389" t="s">
        <v>422</v>
      </c>
      <c r="E105" s="1403">
        <v>9</v>
      </c>
      <c r="F105" s="1392">
        <v>0.23</v>
      </c>
      <c r="G105" s="1389">
        <v>0.23</v>
      </c>
      <c r="H105" s="1392">
        <v>0.3</v>
      </c>
      <c r="I105" s="1392">
        <f>ROUND(F105*G105*H105*E105*C105,2)</f>
        <v>-0.14000000000000001</v>
      </c>
      <c r="J105" s="1389"/>
      <c r="K105" s="1391"/>
    </row>
    <row r="106" spans="1:11" s="1361" customFormat="1" ht="17.2" customHeight="1">
      <c r="A106" s="1386"/>
      <c r="B106" s="1393"/>
      <c r="C106" s="1386"/>
      <c r="D106" s="1386"/>
      <c r="E106" s="1386"/>
      <c r="F106" s="1394"/>
      <c r="G106" s="1394"/>
      <c r="H106" s="1394"/>
      <c r="I106" s="1394">
        <f>SUM(I100:I105)</f>
        <v>3.52</v>
      </c>
      <c r="J106" s="1394">
        <f>Datas!E422</f>
        <v>11257.84</v>
      </c>
      <c r="K106" s="1395">
        <f>ROUND(I106*J106,0)</f>
        <v>39628</v>
      </c>
    </row>
    <row r="107" spans="1:11" s="1361" customFormat="1" ht="17.2" customHeight="1">
      <c r="A107" s="1386"/>
      <c r="B107" s="1386"/>
      <c r="C107" s="1386"/>
      <c r="D107" s="1386"/>
      <c r="E107" s="1386"/>
      <c r="F107" s="1386"/>
      <c r="G107" s="1386"/>
      <c r="H107" s="1386"/>
      <c r="I107" s="1386" t="s">
        <v>525</v>
      </c>
      <c r="J107" s="1386" t="s">
        <v>525</v>
      </c>
      <c r="K107" s="1396"/>
    </row>
    <row r="108" spans="1:11" s="1360" customFormat="1" ht="15.9" customHeight="1">
      <c r="A108" s="1386" t="s">
        <v>1409</v>
      </c>
      <c r="B108" s="1393" t="s">
        <v>3015</v>
      </c>
      <c r="C108" s="1389"/>
      <c r="D108" s="1389"/>
      <c r="E108" s="1389"/>
      <c r="F108" s="1392"/>
      <c r="G108" s="1392"/>
      <c r="H108" s="1404"/>
      <c r="I108" s="1392"/>
      <c r="J108" s="1392"/>
      <c r="K108" s="1399"/>
    </row>
    <row r="109" spans="1:11" s="1360" customFormat="1" ht="15.9" customHeight="1">
      <c r="A109" s="1386"/>
      <c r="B109" s="1405"/>
      <c r="C109" s="1389">
        <v>1</v>
      </c>
      <c r="D109" s="1389" t="s">
        <v>422</v>
      </c>
      <c r="E109" s="1389">
        <v>1</v>
      </c>
      <c r="F109" s="1392">
        <v>9.75</v>
      </c>
      <c r="G109" s="1392">
        <v>7.5</v>
      </c>
      <c r="H109" s="1404" t="s">
        <v>3013</v>
      </c>
      <c r="I109" s="1392">
        <f>ROUND(F109*G109*E109*C109,2)</f>
        <v>73.13</v>
      </c>
      <c r="J109" s="1392"/>
      <c r="K109" s="1399"/>
    </row>
    <row r="110" spans="1:11" s="1360" customFormat="1" ht="15.9" customHeight="1">
      <c r="A110" s="1386"/>
      <c r="B110" s="1405" t="s">
        <v>3291</v>
      </c>
      <c r="C110" s="1389">
        <v>1</v>
      </c>
      <c r="D110" s="1389" t="s">
        <v>1472</v>
      </c>
      <c r="E110" s="1389">
        <v>1</v>
      </c>
      <c r="F110" s="1392">
        <v>2.2599999999999998</v>
      </c>
      <c r="G110" s="1392">
        <v>3.16</v>
      </c>
      <c r="H110" s="1404" t="s">
        <v>3013</v>
      </c>
      <c r="I110" s="1392">
        <f>ROUND(F110*G110*E110*C110,2)</f>
        <v>7.14</v>
      </c>
      <c r="J110" s="1392"/>
      <c r="K110" s="1399"/>
    </row>
    <row r="111" spans="1:11" s="1361" customFormat="1" ht="17.2" customHeight="1">
      <c r="A111" s="1386"/>
      <c r="B111" s="1393"/>
      <c r="C111" s="1386"/>
      <c r="D111" s="1386"/>
      <c r="E111" s="1386"/>
      <c r="F111" s="1394"/>
      <c r="G111" s="1394"/>
      <c r="H111" s="1394"/>
      <c r="I111" s="1394">
        <f>SUM(I109:I110)</f>
        <v>80.27</v>
      </c>
      <c r="J111" s="1394">
        <f>Datas!E470</f>
        <v>1346.355</v>
      </c>
      <c r="K111" s="1395">
        <f>ROUND(I111*J111,0)</f>
        <v>108072</v>
      </c>
    </row>
    <row r="112" spans="1:11" s="1361" customFormat="1" ht="17.2" customHeight="1">
      <c r="A112" s="1386"/>
      <c r="B112" s="1386"/>
      <c r="C112" s="1386"/>
      <c r="D112" s="1386"/>
      <c r="E112" s="1386"/>
      <c r="F112" s="1386"/>
      <c r="G112" s="1386"/>
      <c r="H112" s="1386"/>
      <c r="I112" s="1386" t="s">
        <v>1478</v>
      </c>
      <c r="J112" s="1386" t="s">
        <v>3038</v>
      </c>
      <c r="K112" s="1396"/>
    </row>
    <row r="113" spans="1:13" s="1361" customFormat="1" ht="24.75" hidden="1" customHeight="1">
      <c r="A113" s="1386" t="s">
        <v>127</v>
      </c>
      <c r="B113" s="1393" t="s">
        <v>3016</v>
      </c>
      <c r="C113" s="1398"/>
      <c r="D113" s="1398"/>
      <c r="E113" s="1398"/>
      <c r="F113" s="1398"/>
      <c r="G113" s="1398"/>
      <c r="H113" s="1398"/>
      <c r="I113" s="1398"/>
      <c r="J113" s="1392"/>
      <c r="K113" s="1399"/>
    </row>
    <row r="114" spans="1:13" s="1361" customFormat="1" ht="17.2" hidden="1" customHeight="1">
      <c r="A114" s="1386"/>
      <c r="B114" s="1391" t="s">
        <v>3017</v>
      </c>
      <c r="C114" s="1389">
        <v>0</v>
      </c>
      <c r="D114" s="1389" t="s">
        <v>422</v>
      </c>
      <c r="E114" s="1389">
        <v>1</v>
      </c>
      <c r="F114" s="1392">
        <v>3.42</v>
      </c>
      <c r="G114" s="1392">
        <v>1</v>
      </c>
      <c r="H114" s="1404" t="s">
        <v>3013</v>
      </c>
      <c r="I114" s="1392">
        <f>C114*E114*F114*G114</f>
        <v>0</v>
      </c>
      <c r="J114" s="1392"/>
      <c r="K114" s="1399"/>
    </row>
    <row r="115" spans="1:13" s="1361" customFormat="1" ht="17.2" hidden="1" customHeight="1">
      <c r="A115" s="1386"/>
      <c r="B115" s="1391" t="s">
        <v>3018</v>
      </c>
      <c r="C115" s="1389">
        <v>0</v>
      </c>
      <c r="D115" s="1389" t="s">
        <v>422</v>
      </c>
      <c r="E115" s="1389">
        <v>1</v>
      </c>
      <c r="F115" s="1392">
        <v>2.605</v>
      </c>
      <c r="G115" s="1392">
        <v>1.1499999999999999</v>
      </c>
      <c r="H115" s="1404" t="s">
        <v>3013</v>
      </c>
      <c r="I115" s="1392">
        <f>C115*E115*F115*G115</f>
        <v>0</v>
      </c>
      <c r="J115" s="1392"/>
      <c r="K115" s="1399"/>
    </row>
    <row r="116" spans="1:13" s="1361" customFormat="1" ht="17.2" hidden="1" customHeight="1">
      <c r="A116" s="1386"/>
      <c r="B116" s="1391" t="s">
        <v>3019</v>
      </c>
      <c r="C116" s="1389">
        <v>0</v>
      </c>
      <c r="D116" s="1389" t="s">
        <v>422</v>
      </c>
      <c r="E116" s="1389">
        <v>1</v>
      </c>
      <c r="F116" s="1392">
        <v>3.42</v>
      </c>
      <c r="G116" s="1392">
        <v>1</v>
      </c>
      <c r="H116" s="1404" t="s">
        <v>3013</v>
      </c>
      <c r="I116" s="1392">
        <f>C116*E116*F116*G116</f>
        <v>0</v>
      </c>
      <c r="J116" s="1392"/>
      <c r="K116" s="1399"/>
    </row>
    <row r="117" spans="1:13" s="1361" customFormat="1" ht="17.2" hidden="1" customHeight="1">
      <c r="A117" s="1386"/>
      <c r="B117" s="1391"/>
      <c r="C117" s="1389"/>
      <c r="D117" s="1389"/>
      <c r="E117" s="1389"/>
      <c r="F117" s="1392"/>
      <c r="G117" s="1392"/>
      <c r="H117" s="1404"/>
      <c r="I117" s="1392"/>
      <c r="J117" s="1392"/>
      <c r="K117" s="1399"/>
    </row>
    <row r="118" spans="1:13" s="1361" customFormat="1" ht="17.2" hidden="1" customHeight="1">
      <c r="A118" s="1386"/>
      <c r="B118" s="1391"/>
      <c r="C118" s="1389"/>
      <c r="D118" s="1389"/>
      <c r="E118" s="1389"/>
      <c r="F118" s="1392"/>
      <c r="G118" s="1392"/>
      <c r="H118" s="1404"/>
      <c r="I118" s="1392"/>
      <c r="J118" s="1392"/>
      <c r="K118" s="1399"/>
    </row>
    <row r="119" spans="1:13" s="1361" customFormat="1" ht="17.2" hidden="1" customHeight="1">
      <c r="A119" s="1386"/>
      <c r="B119" s="1393"/>
      <c r="C119" s="1386"/>
      <c r="D119" s="1386"/>
      <c r="E119" s="1386"/>
      <c r="F119" s="1394"/>
      <c r="G119" s="1394"/>
      <c r="H119" s="1394"/>
      <c r="I119" s="1394">
        <f>SUM(I114:I116)</f>
        <v>0</v>
      </c>
      <c r="J119" s="1394">
        <f>Datas!E486</f>
        <v>1679.8970000000002</v>
      </c>
      <c r="K119" s="1395">
        <f>ROUND(I119*J119,0)</f>
        <v>0</v>
      </c>
    </row>
    <row r="120" spans="1:13" s="1361" customFormat="1" ht="17.2" hidden="1" customHeight="1">
      <c r="A120" s="1386"/>
      <c r="B120" s="1386"/>
      <c r="C120" s="1386"/>
      <c r="D120" s="1386"/>
      <c r="E120" s="1386"/>
      <c r="F120" s="1386"/>
      <c r="G120" s="1386"/>
      <c r="H120" s="1386"/>
      <c r="I120" s="1386" t="s">
        <v>1478</v>
      </c>
      <c r="J120" s="1386" t="s">
        <v>476</v>
      </c>
      <c r="K120" s="1396"/>
    </row>
    <row r="121" spans="1:13" s="1358" customFormat="1" ht="108.75" hidden="1" customHeight="1">
      <c r="A121" s="1397"/>
      <c r="B121" s="2544" t="s">
        <v>3078</v>
      </c>
      <c r="C121" s="2544"/>
      <c r="D121" s="2544"/>
      <c r="E121" s="2544"/>
      <c r="F121" s="2544"/>
      <c r="G121" s="2544"/>
      <c r="H121" s="2544"/>
      <c r="I121" s="2544"/>
      <c r="J121" s="1384"/>
      <c r="K121" s="1385"/>
    </row>
    <row r="122" spans="1:13" s="1361" customFormat="1" ht="17.2" hidden="1" customHeight="1">
      <c r="A122" s="1386"/>
      <c r="B122" s="2553" t="s">
        <v>3020</v>
      </c>
      <c r="C122" s="2553"/>
      <c r="D122" s="2553"/>
      <c r="E122" s="2553"/>
      <c r="F122" s="2553"/>
      <c r="G122" s="1386"/>
      <c r="H122" s="1386"/>
      <c r="I122" s="1386"/>
      <c r="J122" s="1386"/>
      <c r="K122" s="1396"/>
    </row>
    <row r="123" spans="1:13" s="1360" customFormat="1" ht="15.9" hidden="1" customHeight="1">
      <c r="A123" s="1386"/>
      <c r="B123" s="1399" t="s">
        <v>3021</v>
      </c>
      <c r="C123" s="1389">
        <v>0</v>
      </c>
      <c r="D123" s="1389" t="s">
        <v>422</v>
      </c>
      <c r="E123" s="1392">
        <v>0.5</v>
      </c>
      <c r="F123" s="1392">
        <v>1</v>
      </c>
      <c r="G123" s="1392">
        <v>0.3</v>
      </c>
      <c r="H123" s="1392">
        <v>0.15</v>
      </c>
      <c r="I123" s="1392">
        <f>ROUND(F123*G123*H123*E123*C123,2)</f>
        <v>0</v>
      </c>
      <c r="J123" s="1389"/>
      <c r="K123" s="1391"/>
    </row>
    <row r="124" spans="1:13" s="1360" customFormat="1" ht="15.9" hidden="1" customHeight="1">
      <c r="A124" s="1386"/>
      <c r="B124" s="1399" t="s">
        <v>3022</v>
      </c>
      <c r="C124" s="1389">
        <v>0</v>
      </c>
      <c r="D124" s="1389" t="s">
        <v>422</v>
      </c>
      <c r="E124" s="1392">
        <v>0.5</v>
      </c>
      <c r="F124" s="1392">
        <v>1</v>
      </c>
      <c r="G124" s="1392">
        <v>0.3</v>
      </c>
      <c r="H124" s="1392">
        <v>0.15</v>
      </c>
      <c r="I124" s="1392">
        <f>ROUND(F124*G124*H124*E124*C124,2)</f>
        <v>0</v>
      </c>
      <c r="J124" s="1389"/>
      <c r="K124" s="1391"/>
    </row>
    <row r="125" spans="1:13" s="1361" customFormat="1" ht="17.2" hidden="1" customHeight="1">
      <c r="A125" s="1386"/>
      <c r="B125" s="1393"/>
      <c r="C125" s="1386"/>
      <c r="D125" s="1386"/>
      <c r="E125" s="1386"/>
      <c r="F125" s="1394"/>
      <c r="G125" s="1394"/>
      <c r="H125" s="1394"/>
      <c r="I125" s="1394">
        <f>SUM(I123:I124)</f>
        <v>0</v>
      </c>
      <c r="J125" s="1394">
        <f>Datas!G557</f>
        <v>8168.64</v>
      </c>
      <c r="K125" s="1395">
        <f>ROUND(I125*J125,0)</f>
        <v>0</v>
      </c>
      <c r="M125" s="1375"/>
    </row>
    <row r="126" spans="1:13" s="1361" customFormat="1" ht="17.2" hidden="1" customHeight="1">
      <c r="A126" s="1386"/>
      <c r="B126" s="1386"/>
      <c r="C126" s="1386"/>
      <c r="D126" s="1386"/>
      <c r="E126" s="1386"/>
      <c r="F126" s="1386"/>
      <c r="G126" s="1386"/>
      <c r="H126" s="1386"/>
      <c r="I126" s="1386" t="s">
        <v>525</v>
      </c>
      <c r="J126" s="1386" t="s">
        <v>525</v>
      </c>
      <c r="K126" s="1396"/>
    </row>
    <row r="127" spans="1:13" s="1358" customFormat="1" ht="27" customHeight="1">
      <c r="A127" s="1397">
        <v>5</v>
      </c>
      <c r="B127" s="2544" t="str">
        <f>Datas!C519</f>
        <v xml:space="preserve">Plain Cement concrete - Nominal Mix (1:3:6)  for Bed Blocks </v>
      </c>
      <c r="C127" s="2544"/>
      <c r="D127" s="2544"/>
      <c r="E127" s="2544"/>
      <c r="F127" s="2544"/>
      <c r="G127" s="2544"/>
      <c r="H127" s="2544"/>
      <c r="I127" s="2544"/>
      <c r="J127" s="1384"/>
      <c r="K127" s="1385"/>
    </row>
    <row r="128" spans="1:13" s="1361" customFormat="1" ht="17.2" customHeight="1">
      <c r="A128" s="1386"/>
      <c r="B128" s="1386" t="s">
        <v>3149</v>
      </c>
      <c r="C128" s="1389">
        <v>1</v>
      </c>
      <c r="D128" s="1389" t="s">
        <v>422</v>
      </c>
      <c r="E128" s="1403">
        <v>6</v>
      </c>
      <c r="F128" s="1392">
        <v>0.23</v>
      </c>
      <c r="G128" s="1392">
        <v>0.23</v>
      </c>
      <c r="H128" s="1392">
        <v>0.15</v>
      </c>
      <c r="I128" s="1392">
        <f>ROUND(F128*G128*H128*E128*C128,2)</f>
        <v>0.05</v>
      </c>
      <c r="J128" s="1386"/>
      <c r="K128" s="1396"/>
    </row>
    <row r="129" spans="1:11" s="1361" customFormat="1" ht="17.2" customHeight="1">
      <c r="A129" s="1386"/>
      <c r="B129" s="1386" t="s">
        <v>3150</v>
      </c>
      <c r="C129" s="1389">
        <v>3</v>
      </c>
      <c r="D129" s="1389" t="s">
        <v>422</v>
      </c>
      <c r="E129" s="1403">
        <v>6</v>
      </c>
      <c r="F129" s="1392">
        <v>0.23</v>
      </c>
      <c r="G129" s="1392">
        <v>0.23</v>
      </c>
      <c r="H129" s="1392">
        <v>0.15</v>
      </c>
      <c r="I129" s="1392">
        <f>ROUND(F129*G129*H129*E129*C129,2)</f>
        <v>0.14000000000000001</v>
      </c>
      <c r="J129" s="1386"/>
      <c r="K129" s="1396"/>
    </row>
    <row r="130" spans="1:11" s="1361" customFormat="1" ht="17.2" customHeight="1">
      <c r="A130" s="1386"/>
      <c r="B130" s="1386"/>
      <c r="C130" s="1386"/>
      <c r="D130" s="1386"/>
      <c r="E130" s="1386"/>
      <c r="F130" s="1386"/>
      <c r="G130" s="1386"/>
      <c r="H130" s="1386"/>
      <c r="I130" s="1394">
        <f>SUM(I128:I129)</f>
        <v>0.19</v>
      </c>
      <c r="J130" s="1394">
        <f>Datas!G539</f>
        <v>5340.5599999999995</v>
      </c>
      <c r="K130" s="1395">
        <f>ROUND(I130*J130,0)</f>
        <v>1015</v>
      </c>
    </row>
    <row r="131" spans="1:11" s="1361" customFormat="1" ht="17.2" customHeight="1">
      <c r="A131" s="1386"/>
      <c r="B131" s="1386"/>
      <c r="C131" s="1386"/>
      <c r="D131" s="1386"/>
      <c r="E131" s="1386"/>
      <c r="F131" s="1386"/>
      <c r="G131" s="1386"/>
      <c r="H131" s="1386"/>
      <c r="I131" s="1386" t="s">
        <v>525</v>
      </c>
      <c r="J131" s="1386" t="s">
        <v>525</v>
      </c>
      <c r="K131" s="1396"/>
    </row>
    <row r="132" spans="1:11" s="1358" customFormat="1" ht="88.2" customHeight="1">
      <c r="A132" s="1397">
        <v>6</v>
      </c>
      <c r="B132" s="2544" t="str">
        <f>Datas!C848</f>
        <v>Providing impervious coat to exposed RCC roof slab surface with CM(1:3), 20mm thick  with 1kg of water proof compound per bag of cement  laid over roof when it is green including cost of all materials, seigniorage charges, excluding conveyance charges of materials and including all operational, incidental and labour charges for mixing mortar, laying, rendering smooth and thread lining, curing, rounding off junctions of wall and slab etc,, complete for finished item of work</v>
      </c>
      <c r="C132" s="2544"/>
      <c r="D132" s="2544"/>
      <c r="E132" s="2544"/>
      <c r="F132" s="2544"/>
      <c r="G132" s="2544"/>
      <c r="H132" s="2544"/>
      <c r="I132" s="2544"/>
      <c r="J132" s="1384"/>
      <c r="K132" s="1385"/>
    </row>
    <row r="133" spans="1:11" s="1360" customFormat="1" ht="17.2" customHeight="1">
      <c r="A133" s="1398"/>
      <c r="B133" s="1405" t="s">
        <v>3292</v>
      </c>
      <c r="C133" s="1389">
        <v>1</v>
      </c>
      <c r="D133" s="1389" t="s">
        <v>422</v>
      </c>
      <c r="E133" s="1389">
        <v>1</v>
      </c>
      <c r="F133" s="1392">
        <v>9.75</v>
      </c>
      <c r="G133" s="1392">
        <v>7.5</v>
      </c>
      <c r="H133" s="1404"/>
      <c r="I133" s="1392">
        <f>ROUND(F133*G133*E133*C133,2)</f>
        <v>73.13</v>
      </c>
      <c r="J133" s="1392"/>
      <c r="K133" s="1399"/>
    </row>
    <row r="134" spans="1:11" s="1360" customFormat="1" ht="17.2" customHeight="1">
      <c r="A134" s="1398"/>
      <c r="B134" s="1405" t="s">
        <v>3293</v>
      </c>
      <c r="C134" s="1389">
        <v>1</v>
      </c>
      <c r="D134" s="1389" t="s">
        <v>1472</v>
      </c>
      <c r="E134" s="1389">
        <v>1</v>
      </c>
      <c r="F134" s="1392">
        <v>2.2599999999999998</v>
      </c>
      <c r="G134" s="1392">
        <v>3.16</v>
      </c>
      <c r="H134" s="1404"/>
      <c r="I134" s="1392">
        <f>ROUND(F134*G134*E134*C134,2)</f>
        <v>7.14</v>
      </c>
      <c r="J134" s="1392"/>
      <c r="K134" s="1399"/>
    </row>
    <row r="135" spans="1:11" s="1361" customFormat="1" ht="17.2" customHeight="1">
      <c r="A135" s="1386"/>
      <c r="B135" s="1393"/>
      <c r="C135" s="1386"/>
      <c r="D135" s="1386"/>
      <c r="E135" s="1386"/>
      <c r="F135" s="1394"/>
      <c r="G135" s="1394"/>
      <c r="H135" s="1394"/>
      <c r="I135" s="1394">
        <f>SUM(I133:I134)</f>
        <v>80.27</v>
      </c>
      <c r="J135" s="1394">
        <f>Datas!E867</f>
        <v>489.39799999999997</v>
      </c>
      <c r="K135" s="1395">
        <f>ROUND(I135*J135,0)</f>
        <v>39284</v>
      </c>
    </row>
    <row r="136" spans="1:11" s="1361" customFormat="1" ht="17.2" customHeight="1">
      <c r="A136" s="1386"/>
      <c r="B136" s="1386"/>
      <c r="C136" s="1386"/>
      <c r="D136" s="1386"/>
      <c r="E136" s="1386"/>
      <c r="F136" s="1386"/>
      <c r="G136" s="1386"/>
      <c r="H136" s="1386"/>
      <c r="I136" s="1386" t="s">
        <v>1478</v>
      </c>
      <c r="J136" s="1386" t="s">
        <v>3038</v>
      </c>
      <c r="K136" s="1396"/>
    </row>
    <row r="137" spans="1:11" s="1361" customFormat="1" ht="17.2" customHeight="1">
      <c r="A137" s="1386"/>
      <c r="B137" s="1386"/>
      <c r="C137" s="1386"/>
      <c r="D137" s="1386"/>
      <c r="E137" s="1386"/>
      <c r="F137" s="1386"/>
      <c r="G137" s="1386"/>
      <c r="H137" s="1386"/>
      <c r="I137" s="1386"/>
      <c r="J137" s="1386"/>
      <c r="K137" s="1396"/>
    </row>
    <row r="138" spans="1:11" s="1358" customFormat="1" ht="70.5" customHeight="1">
      <c r="A138" s="1397">
        <v>7</v>
      </c>
      <c r="B138" s="2554" t="s">
        <v>2702</v>
      </c>
      <c r="C138" s="2554"/>
      <c r="D138" s="2554"/>
      <c r="E138" s="2554"/>
      <c r="F138" s="2554"/>
      <c r="G138" s="2554"/>
      <c r="H138" s="2554"/>
      <c r="I138" s="2554"/>
      <c r="J138" s="1384"/>
      <c r="K138" s="1385"/>
    </row>
    <row r="139" spans="1:11" s="1361" customFormat="1" ht="25.2" customHeight="1">
      <c r="A139" s="1386"/>
      <c r="B139" s="1405" t="s">
        <v>2703</v>
      </c>
      <c r="C139" s="1405"/>
      <c r="D139" s="1405"/>
      <c r="E139" s="1405"/>
      <c r="F139" s="1405"/>
      <c r="G139" s="1405"/>
      <c r="H139" s="1405"/>
      <c r="I139" s="1405">
        <f>I18</f>
        <v>43.040000000000006</v>
      </c>
      <c r="J139" s="1386"/>
      <c r="K139" s="1396"/>
    </row>
    <row r="140" spans="1:11" s="1361" customFormat="1" ht="27" customHeight="1">
      <c r="A140" s="1386"/>
      <c r="B140" s="1405" t="s">
        <v>2704</v>
      </c>
      <c r="C140" s="1405"/>
      <c r="D140" s="1405"/>
      <c r="E140" s="1405"/>
      <c r="F140" s="1405"/>
      <c r="G140" s="1405"/>
      <c r="H140" s="1405"/>
      <c r="I140" s="1405">
        <f>-I39</f>
        <v>-13.590000000000002</v>
      </c>
      <c r="J140" s="1386"/>
      <c r="K140" s="1396"/>
    </row>
    <row r="141" spans="1:11" s="1361" customFormat="1" ht="29.4" customHeight="1">
      <c r="A141" s="1386"/>
      <c r="B141" s="1405" t="s">
        <v>2705</v>
      </c>
      <c r="C141" s="1405"/>
      <c r="D141" s="1405"/>
      <c r="E141" s="1405"/>
      <c r="F141" s="1405"/>
      <c r="G141" s="1405"/>
      <c r="H141" s="1405"/>
      <c r="I141" s="1405">
        <f>-I61</f>
        <v>-3.89</v>
      </c>
      <c r="J141" s="1386"/>
      <c r="K141" s="1396"/>
    </row>
    <row r="142" spans="1:11" s="1361" customFormat="1" ht="28.2" customHeight="1">
      <c r="A142" s="1386"/>
      <c r="B142" s="1405" t="s">
        <v>2706</v>
      </c>
      <c r="C142" s="1405"/>
      <c r="D142" s="1405"/>
      <c r="E142" s="1405"/>
      <c r="F142" s="1405"/>
      <c r="G142" s="1405"/>
      <c r="H142" s="1405"/>
      <c r="I142" s="1405">
        <f>-I65</f>
        <v>-1.0900000000000001</v>
      </c>
      <c r="J142" s="1386"/>
      <c r="K142" s="1396"/>
    </row>
    <row r="143" spans="1:11" s="1361" customFormat="1" ht="21.7" customHeight="1">
      <c r="A143" s="1386"/>
      <c r="B143" s="1405" t="s">
        <v>2707</v>
      </c>
      <c r="C143" s="1405"/>
      <c r="D143" s="1405"/>
      <c r="E143" s="1405"/>
      <c r="F143" s="1405"/>
      <c r="G143" s="1405"/>
      <c r="H143" s="1405"/>
      <c r="I143" s="1405">
        <f>-SUM(I68:I68)</f>
        <v>-0.65</v>
      </c>
      <c r="J143" s="1386"/>
      <c r="K143" s="1396"/>
    </row>
    <row r="144" spans="1:11" s="1361" customFormat="1" ht="33.700000000000003" customHeight="1">
      <c r="A144" s="1386"/>
      <c r="B144" s="1405" t="s">
        <v>3051</v>
      </c>
      <c r="C144" s="1405"/>
      <c r="D144" s="1405"/>
      <c r="E144" s="1405"/>
      <c r="F144" s="1405"/>
      <c r="G144" s="1405"/>
      <c r="H144" s="1405"/>
      <c r="I144" s="1406">
        <f>-I55/2</f>
        <v>-6.4099999999999993</v>
      </c>
      <c r="J144" s="1386"/>
      <c r="K144" s="1396"/>
    </row>
    <row r="145" spans="1:11" s="1361" customFormat="1" ht="17.2" customHeight="1">
      <c r="A145" s="1386"/>
      <c r="B145" s="1386"/>
      <c r="C145" s="1386"/>
      <c r="D145" s="1386"/>
      <c r="E145" s="1386"/>
      <c r="F145" s="1386"/>
      <c r="G145" s="1386"/>
      <c r="H145" s="1386"/>
      <c r="I145" s="1394">
        <f>SUM(I139:I144)</f>
        <v>17.410000000000004</v>
      </c>
      <c r="J145" s="1394">
        <f>Datas!G66</f>
        <v>40.98</v>
      </c>
      <c r="K145" s="1395">
        <f>ROUND(I145*J145,0)</f>
        <v>713</v>
      </c>
    </row>
    <row r="146" spans="1:11" s="1361" customFormat="1" ht="17.2" customHeight="1">
      <c r="A146" s="1386"/>
      <c r="B146" s="1386"/>
      <c r="C146" s="1386"/>
      <c r="D146" s="1386"/>
      <c r="E146" s="1386"/>
      <c r="F146" s="1386"/>
      <c r="G146" s="1386"/>
      <c r="H146" s="1386"/>
      <c r="I146" s="1386" t="s">
        <v>525</v>
      </c>
      <c r="J146" s="1386" t="s">
        <v>525</v>
      </c>
      <c r="K146" s="1396"/>
    </row>
    <row r="147" spans="1:11" s="1358" customFormat="1" ht="84.75" customHeight="1">
      <c r="A147" s="1397">
        <v>8</v>
      </c>
      <c r="B147" s="2554" t="s">
        <v>3151</v>
      </c>
      <c r="C147" s="2554"/>
      <c r="D147" s="2554"/>
      <c r="E147" s="2554"/>
      <c r="F147" s="2554"/>
      <c r="G147" s="2554"/>
      <c r="H147" s="2554"/>
      <c r="I147" s="2554"/>
      <c r="J147" s="1384"/>
      <c r="K147" s="1385"/>
    </row>
    <row r="148" spans="1:11" s="1358" customFormat="1" ht="16.5" customHeight="1">
      <c r="A148" s="1397"/>
      <c r="B148" s="1393" t="s">
        <v>3136</v>
      </c>
      <c r="C148" s="1389"/>
      <c r="D148" s="1389"/>
      <c r="E148" s="1389"/>
      <c r="F148" s="1392"/>
      <c r="G148" s="1392"/>
      <c r="H148" s="1392"/>
      <c r="I148" s="1392"/>
      <c r="J148" s="1384"/>
      <c r="K148" s="1385"/>
    </row>
    <row r="149" spans="1:11" s="1358" customFormat="1" ht="16.5" customHeight="1">
      <c r="A149" s="1397"/>
      <c r="B149" s="1391" t="s">
        <v>3274</v>
      </c>
      <c r="C149" s="1389">
        <f t="shared" ref="C149:E150" si="8">C37</f>
        <v>1</v>
      </c>
      <c r="D149" s="1389" t="str">
        <f t="shared" si="8"/>
        <v>x</v>
      </c>
      <c r="E149" s="1389">
        <f t="shared" si="8"/>
        <v>1</v>
      </c>
      <c r="F149" s="1392">
        <v>7.86</v>
      </c>
      <c r="G149" s="1392">
        <v>5.85</v>
      </c>
      <c r="H149" s="1392">
        <v>0.45</v>
      </c>
      <c r="I149" s="1392">
        <f t="shared" ref="I149:I154" si="9">ROUND(F149*G149*H149*E149*C149,2)</f>
        <v>20.69</v>
      </c>
      <c r="J149" s="1384"/>
      <c r="K149" s="1385"/>
    </row>
    <row r="150" spans="1:11" s="1358" customFormat="1" ht="16.5" customHeight="1">
      <c r="A150" s="1397"/>
      <c r="B150" s="1391" t="s">
        <v>3275</v>
      </c>
      <c r="C150" s="1389">
        <f t="shared" si="8"/>
        <v>1</v>
      </c>
      <c r="D150" s="1389" t="str">
        <f t="shared" si="8"/>
        <v>x</v>
      </c>
      <c r="E150" s="1389">
        <f t="shared" si="8"/>
        <v>1</v>
      </c>
      <c r="F150" s="1392">
        <v>8.15</v>
      </c>
      <c r="G150" s="1392">
        <v>6.14</v>
      </c>
      <c r="H150" s="1392">
        <v>0.22500000000000001</v>
      </c>
      <c r="I150" s="1392">
        <f t="shared" si="9"/>
        <v>11.26</v>
      </c>
      <c r="J150" s="1384"/>
      <c r="K150" s="1385"/>
    </row>
    <row r="151" spans="1:11" s="1358" customFormat="1" ht="16.5" customHeight="1">
      <c r="A151" s="1397"/>
      <c r="B151" s="1391"/>
      <c r="C151" s="1389">
        <v>-1</v>
      </c>
      <c r="D151" s="1389" t="s">
        <v>1472</v>
      </c>
      <c r="E151" s="1389">
        <v>1</v>
      </c>
      <c r="F151" s="1392">
        <v>4.2699999999999996</v>
      </c>
      <c r="G151" s="1392">
        <v>0.23</v>
      </c>
      <c r="H151" s="1392">
        <v>0.23</v>
      </c>
      <c r="I151" s="1392">
        <f t="shared" si="9"/>
        <v>-0.23</v>
      </c>
      <c r="J151" s="1384"/>
      <c r="K151" s="1385"/>
    </row>
    <row r="152" spans="1:11" s="1358" customFormat="1" ht="16.5" customHeight="1">
      <c r="A152" s="1397"/>
      <c r="B152" s="1391"/>
      <c r="C152" s="1389">
        <v>-1</v>
      </c>
      <c r="D152" s="1389" t="s">
        <v>1472</v>
      </c>
      <c r="E152" s="1389">
        <v>2</v>
      </c>
      <c r="F152" s="1392">
        <v>3.65</v>
      </c>
      <c r="G152" s="1392">
        <v>0.23</v>
      </c>
      <c r="H152" s="1392">
        <v>0.23</v>
      </c>
      <c r="I152" s="1392">
        <f t="shared" si="9"/>
        <v>-0.39</v>
      </c>
      <c r="J152" s="1384"/>
      <c r="K152" s="1385"/>
    </row>
    <row r="153" spans="1:11" s="1358" customFormat="1" ht="16.5" customHeight="1">
      <c r="A153" s="1397"/>
      <c r="B153" s="1391"/>
      <c r="C153" s="1389">
        <v>-1</v>
      </c>
      <c r="D153" s="1389" t="s">
        <v>1472</v>
      </c>
      <c r="E153" s="1389">
        <v>1</v>
      </c>
      <c r="F153" s="1392">
        <v>6.14</v>
      </c>
      <c r="G153" s="1392">
        <v>0.23</v>
      </c>
      <c r="H153" s="1392">
        <v>0.23</v>
      </c>
      <c r="I153" s="1392">
        <f t="shared" si="9"/>
        <v>-0.32</v>
      </c>
      <c r="J153" s="1384"/>
      <c r="K153" s="1385"/>
    </row>
    <row r="154" spans="1:11" s="1358" customFormat="1" ht="16.5" customHeight="1">
      <c r="A154" s="1397"/>
      <c r="B154" s="1391"/>
      <c r="C154" s="1389">
        <v>-1</v>
      </c>
      <c r="D154" s="1389" t="s">
        <v>1472</v>
      </c>
      <c r="E154" s="1389">
        <v>1</v>
      </c>
      <c r="F154" s="1392">
        <v>2.1</v>
      </c>
      <c r="G154" s="1392">
        <v>0.23</v>
      </c>
      <c r="H154" s="1392">
        <v>0.23</v>
      </c>
      <c r="I154" s="1392">
        <f t="shared" si="9"/>
        <v>-0.11</v>
      </c>
      <c r="J154" s="1384"/>
      <c r="K154" s="1385"/>
    </row>
    <row r="155" spans="1:11" s="1361" customFormat="1" ht="17.2" customHeight="1">
      <c r="A155" s="1386"/>
      <c r="B155" s="1393"/>
      <c r="C155" s="1386"/>
      <c r="D155" s="1386"/>
      <c r="E155" s="1386"/>
      <c r="F155" s="1394"/>
      <c r="G155" s="1394"/>
      <c r="H155" s="1394"/>
      <c r="I155" s="1394">
        <f>SUM(I148:I154)</f>
        <v>30.900000000000002</v>
      </c>
      <c r="J155" s="1394">
        <f>Datas!G54</f>
        <v>228.33</v>
      </c>
      <c r="K155" s="1395">
        <f>ROUND(I155*J155,0)</f>
        <v>7055</v>
      </c>
    </row>
    <row r="156" spans="1:11" s="1361" customFormat="1" ht="17.2" customHeight="1">
      <c r="A156" s="1386"/>
      <c r="B156" s="1386"/>
      <c r="C156" s="1386"/>
      <c r="D156" s="1386"/>
      <c r="E156" s="1386"/>
      <c r="F156" s="1386"/>
      <c r="G156" s="1386"/>
      <c r="H156" s="1386"/>
      <c r="I156" s="1386" t="s">
        <v>525</v>
      </c>
      <c r="J156" s="1386" t="s">
        <v>525</v>
      </c>
      <c r="K156" s="1396"/>
    </row>
    <row r="157" spans="1:11" s="1358" customFormat="1" ht="97.5" customHeight="1">
      <c r="A157" s="1383">
        <v>9</v>
      </c>
      <c r="B157" s="2544" t="s">
        <v>3172</v>
      </c>
      <c r="C157" s="2544"/>
      <c r="D157" s="2544"/>
      <c r="E157" s="2544"/>
      <c r="F157" s="2544"/>
      <c r="G157" s="2544"/>
      <c r="H157" s="2544"/>
      <c r="I157" s="2544"/>
      <c r="J157" s="1407"/>
      <c r="K157" s="1385"/>
    </row>
    <row r="158" spans="1:11" s="1360" customFormat="1" ht="16.5" customHeight="1">
      <c r="A158" s="1386"/>
      <c r="B158" s="1401" t="s">
        <v>3023</v>
      </c>
      <c r="C158" s="1388"/>
      <c r="D158" s="1388"/>
      <c r="E158" s="1388"/>
      <c r="F158" s="1389"/>
      <c r="G158" s="1388"/>
      <c r="H158" s="1388"/>
      <c r="I158" s="1390"/>
      <c r="J158" s="1390"/>
      <c r="K158" s="1391"/>
    </row>
    <row r="159" spans="1:11" s="1360" customFormat="1" ht="16.5" customHeight="1">
      <c r="A159" s="1386"/>
      <c r="B159" s="1806" t="s">
        <v>3294</v>
      </c>
      <c r="C159" s="1389">
        <v>1</v>
      </c>
      <c r="D159" s="1389" t="s">
        <v>1472</v>
      </c>
      <c r="E159" s="1389">
        <v>1</v>
      </c>
      <c r="F159" s="1392">
        <v>3.65</v>
      </c>
      <c r="G159" s="1392">
        <v>0.23</v>
      </c>
      <c r="H159" s="1392">
        <v>0.35</v>
      </c>
      <c r="I159" s="1392">
        <f>ROUND(C159*E159*F159*G159*H159,2)</f>
        <v>0.28999999999999998</v>
      </c>
      <c r="J159" s="1390"/>
      <c r="K159" s="1391"/>
    </row>
    <row r="160" spans="1:11" s="1360" customFormat="1" ht="16.5" customHeight="1">
      <c r="A160" s="1386"/>
      <c r="B160" s="1806" t="s">
        <v>3295</v>
      </c>
      <c r="C160" s="1389">
        <v>1</v>
      </c>
      <c r="D160" s="1389" t="s">
        <v>1472</v>
      </c>
      <c r="E160" s="1389">
        <v>1</v>
      </c>
      <c r="F160" s="1392">
        <v>2.85</v>
      </c>
      <c r="G160" s="1392">
        <v>0.23</v>
      </c>
      <c r="H160" s="1392">
        <v>0.35</v>
      </c>
      <c r="I160" s="1392">
        <f>ROUND(C160*E160*F160*G160*H160,2)</f>
        <v>0.23</v>
      </c>
      <c r="J160" s="1390"/>
      <c r="K160" s="1391"/>
    </row>
    <row r="161" spans="1:11" s="1360" customFormat="1" ht="16.5" customHeight="1">
      <c r="A161" s="1386"/>
      <c r="B161" s="1807" t="s">
        <v>3296</v>
      </c>
      <c r="C161" s="1389"/>
      <c r="D161" s="1389"/>
      <c r="E161" s="1389"/>
      <c r="F161" s="1392"/>
      <c r="G161" s="1392"/>
      <c r="H161" s="1392"/>
      <c r="I161" s="1392"/>
      <c r="J161" s="1390"/>
      <c r="K161" s="1391"/>
    </row>
    <row r="162" spans="1:11" s="1360" customFormat="1" ht="16.5" customHeight="1">
      <c r="A162" s="1386"/>
      <c r="B162" s="1806" t="s">
        <v>3297</v>
      </c>
      <c r="C162" s="1389">
        <v>1</v>
      </c>
      <c r="D162" s="1389" t="s">
        <v>1472</v>
      </c>
      <c r="E162" s="1389">
        <v>1</v>
      </c>
      <c r="F162" s="1392">
        <v>8.61</v>
      </c>
      <c r="G162" s="1392">
        <v>0.23</v>
      </c>
      <c r="H162" s="1392">
        <v>2.1</v>
      </c>
      <c r="I162" s="1392">
        <f>ROUND(C162*E162*F162*G162*H162,2)</f>
        <v>4.16</v>
      </c>
      <c r="J162" s="1390"/>
      <c r="K162" s="1391"/>
    </row>
    <row r="163" spans="1:11" s="1360" customFormat="1" ht="16.5" customHeight="1">
      <c r="A163" s="1386"/>
      <c r="B163" s="1806"/>
      <c r="C163" s="1389">
        <v>1</v>
      </c>
      <c r="D163" s="1389" t="s">
        <v>1472</v>
      </c>
      <c r="E163" s="1389">
        <v>1</v>
      </c>
      <c r="F163" s="1392">
        <v>4.72</v>
      </c>
      <c r="G163" s="1392">
        <v>0.23</v>
      </c>
      <c r="H163" s="1392">
        <v>2.1</v>
      </c>
      <c r="I163" s="1392">
        <f>ROUND(C163*E163*F163*G163*H163,2)</f>
        <v>2.2799999999999998</v>
      </c>
      <c r="J163" s="1390"/>
      <c r="K163" s="1391"/>
    </row>
    <row r="164" spans="1:11" s="1360" customFormat="1" ht="16.5" customHeight="1">
      <c r="A164" s="1386"/>
      <c r="B164" s="1806"/>
      <c r="C164" s="1389">
        <v>1</v>
      </c>
      <c r="D164" s="1389" t="s">
        <v>1472</v>
      </c>
      <c r="E164" s="1389">
        <v>1</v>
      </c>
      <c r="F164" s="1392">
        <v>3.66</v>
      </c>
      <c r="G164" s="1392">
        <v>0.23</v>
      </c>
      <c r="H164" s="1392">
        <v>2.1</v>
      </c>
      <c r="I164" s="1392">
        <f>ROUND(C164*E164*F164*G164*H164,2)</f>
        <v>1.77</v>
      </c>
      <c r="J164" s="1390"/>
      <c r="K164" s="1391"/>
    </row>
    <row r="165" spans="1:11" s="1360" customFormat="1" ht="16.5" customHeight="1">
      <c r="A165" s="1386"/>
      <c r="B165" s="1806" t="s">
        <v>2761</v>
      </c>
      <c r="C165" s="1389">
        <v>1</v>
      </c>
      <c r="D165" s="1389" t="s">
        <v>1472</v>
      </c>
      <c r="E165" s="1389">
        <v>2</v>
      </c>
      <c r="F165" s="1392">
        <v>6.12</v>
      </c>
      <c r="G165" s="1392">
        <v>0.23</v>
      </c>
      <c r="H165" s="1392">
        <v>2.1</v>
      </c>
      <c r="I165" s="1392">
        <f>ROUND(C165*E165*F165*G165*H165,2)</f>
        <v>5.91</v>
      </c>
      <c r="J165" s="1390"/>
      <c r="K165" s="1391"/>
    </row>
    <row r="166" spans="1:11" s="1360" customFormat="1" ht="16.5" customHeight="1">
      <c r="A166" s="1386"/>
      <c r="B166" s="1806"/>
      <c r="C166" s="1389">
        <v>1</v>
      </c>
      <c r="D166" s="1389" t="s">
        <v>1472</v>
      </c>
      <c r="E166" s="1389">
        <v>1</v>
      </c>
      <c r="F166" s="1392">
        <v>4.6100000000000003</v>
      </c>
      <c r="G166" s="1392">
        <v>0.23</v>
      </c>
      <c r="H166" s="1392">
        <v>2.1</v>
      </c>
      <c r="I166" s="1392">
        <f>ROUND(C166*E166*F166*G166*H166,2)</f>
        <v>2.23</v>
      </c>
      <c r="J166" s="1390"/>
      <c r="K166" s="1391"/>
    </row>
    <row r="167" spans="1:11" s="1360" customFormat="1" ht="16.5" customHeight="1">
      <c r="A167" s="1386"/>
      <c r="B167" s="1806" t="s">
        <v>3298</v>
      </c>
      <c r="C167" s="1389">
        <v>1</v>
      </c>
      <c r="D167" s="1389" t="s">
        <v>1472</v>
      </c>
      <c r="E167" s="1389">
        <v>8</v>
      </c>
      <c r="F167" s="1392">
        <v>0.3</v>
      </c>
      <c r="G167" s="1392">
        <v>0.23</v>
      </c>
      <c r="H167" s="1392">
        <v>2.1</v>
      </c>
      <c r="I167" s="1392">
        <f t="shared" ref="I167:I173" si="10">-ROUND(C167*E167*F167*G167*H167,2)</f>
        <v>-1.1599999999999999</v>
      </c>
      <c r="J167" s="1390"/>
      <c r="K167" s="1391"/>
    </row>
    <row r="168" spans="1:11" s="1360" customFormat="1" ht="16.5" customHeight="1">
      <c r="A168" s="1386"/>
      <c r="B168" s="1806" t="s">
        <v>3299</v>
      </c>
      <c r="C168" s="1389">
        <v>1</v>
      </c>
      <c r="D168" s="1389" t="s">
        <v>1472</v>
      </c>
      <c r="E168" s="1389">
        <v>2</v>
      </c>
      <c r="F168" s="1392">
        <v>1.05</v>
      </c>
      <c r="G168" s="1392">
        <v>0.23</v>
      </c>
      <c r="H168" s="1392">
        <v>2.1</v>
      </c>
      <c r="I168" s="1392">
        <f t="shared" si="10"/>
        <v>-1.01</v>
      </c>
      <c r="J168" s="1390"/>
      <c r="K168" s="1391"/>
    </row>
    <row r="169" spans="1:11" s="1360" customFormat="1" ht="16.5" customHeight="1">
      <c r="A169" s="1386"/>
      <c r="B169" s="1806" t="s">
        <v>3300</v>
      </c>
      <c r="C169" s="1389">
        <v>1</v>
      </c>
      <c r="D169" s="1389" t="s">
        <v>1472</v>
      </c>
      <c r="E169" s="1389">
        <v>1</v>
      </c>
      <c r="F169" s="1392">
        <v>0.9</v>
      </c>
      <c r="G169" s="1392">
        <v>0.23</v>
      </c>
      <c r="H169" s="1392">
        <v>2.1</v>
      </c>
      <c r="I169" s="1392">
        <f t="shared" si="10"/>
        <v>-0.43</v>
      </c>
      <c r="J169" s="1390"/>
      <c r="K169" s="1391"/>
    </row>
    <row r="170" spans="1:11" s="1360" customFormat="1" ht="16.5" customHeight="1">
      <c r="A170" s="1386"/>
      <c r="B170" s="1806" t="s">
        <v>3301</v>
      </c>
      <c r="C170" s="1389">
        <v>1</v>
      </c>
      <c r="D170" s="1389" t="s">
        <v>1472</v>
      </c>
      <c r="E170" s="1389">
        <v>5</v>
      </c>
      <c r="F170" s="1392">
        <v>1.37</v>
      </c>
      <c r="G170" s="1392">
        <v>0.23</v>
      </c>
      <c r="H170" s="1392">
        <v>1.22</v>
      </c>
      <c r="I170" s="1392">
        <f t="shared" si="10"/>
        <v>-1.92</v>
      </c>
      <c r="J170" s="1390"/>
      <c r="K170" s="1391"/>
    </row>
    <row r="171" spans="1:11" s="1360" customFormat="1" ht="16.5" customHeight="1">
      <c r="A171" s="1386"/>
      <c r="B171" s="1806" t="s">
        <v>3302</v>
      </c>
      <c r="C171" s="1389">
        <v>1</v>
      </c>
      <c r="D171" s="1389" t="s">
        <v>1472</v>
      </c>
      <c r="E171" s="1389">
        <v>1</v>
      </c>
      <c r="F171" s="1392">
        <v>0.75</v>
      </c>
      <c r="G171" s="1392">
        <v>0.23</v>
      </c>
      <c r="H171" s="1392">
        <v>0.9</v>
      </c>
      <c r="I171" s="1392">
        <f t="shared" si="10"/>
        <v>-0.16</v>
      </c>
      <c r="J171" s="1390"/>
      <c r="K171" s="1391"/>
    </row>
    <row r="172" spans="1:11" s="1360" customFormat="1" ht="16.5" customHeight="1">
      <c r="A172" s="1386"/>
      <c r="B172" s="1806" t="s">
        <v>3303</v>
      </c>
      <c r="C172" s="1389">
        <v>3</v>
      </c>
      <c r="D172" s="1389" t="e">
        <f>#REF!</f>
        <v>#REF!</v>
      </c>
      <c r="E172" s="1389">
        <v>6</v>
      </c>
      <c r="F172" s="1392">
        <v>0.23</v>
      </c>
      <c r="G172" s="1392">
        <v>0.23</v>
      </c>
      <c r="H172" s="1392">
        <v>0.15</v>
      </c>
      <c r="I172" s="1392">
        <f t="shared" si="10"/>
        <v>-0.14000000000000001</v>
      </c>
      <c r="J172" s="1390"/>
      <c r="K172" s="1391"/>
    </row>
    <row r="173" spans="1:11" s="1360" customFormat="1" ht="16.5" customHeight="1">
      <c r="A173" s="1386"/>
      <c r="B173" s="1806" t="s">
        <v>3304</v>
      </c>
      <c r="C173" s="1389">
        <v>6</v>
      </c>
      <c r="D173" s="1389" t="str">
        <f>D170</f>
        <v>x</v>
      </c>
      <c r="E173" s="1389">
        <v>4</v>
      </c>
      <c r="F173" s="1392">
        <v>0.23</v>
      </c>
      <c r="G173" s="1392">
        <v>0.23</v>
      </c>
      <c r="H173" s="1392">
        <v>0.15</v>
      </c>
      <c r="I173" s="1392">
        <f t="shared" si="10"/>
        <v>-0.19</v>
      </c>
      <c r="J173" s="1390"/>
      <c r="K173" s="1391"/>
    </row>
    <row r="174" spans="1:11" s="1360" customFormat="1" ht="16.5" customHeight="1">
      <c r="A174" s="1386"/>
      <c r="B174" s="1807" t="s">
        <v>3305</v>
      </c>
      <c r="C174" s="1389"/>
      <c r="D174" s="1389"/>
      <c r="E174" s="1389"/>
      <c r="F174" s="1392"/>
      <c r="G174" s="1392"/>
      <c r="H174" s="1392"/>
      <c r="I174" s="1392"/>
      <c r="J174" s="1390"/>
      <c r="K174" s="1391"/>
    </row>
    <row r="175" spans="1:11" s="1360" customFormat="1" ht="16.5" customHeight="1">
      <c r="A175" s="1386"/>
      <c r="B175" s="1806" t="s">
        <v>3297</v>
      </c>
      <c r="C175" s="1389">
        <v>1</v>
      </c>
      <c r="D175" s="1389" t="s">
        <v>1472</v>
      </c>
      <c r="E175" s="1389">
        <v>1</v>
      </c>
      <c r="F175" s="1392">
        <v>8.61</v>
      </c>
      <c r="G175" s="1392">
        <v>0.23</v>
      </c>
      <c r="H175" s="1392">
        <v>0.8</v>
      </c>
      <c r="I175" s="1392">
        <f>ROUND(C175*E175*F175*G175*H175,2)</f>
        <v>1.58</v>
      </c>
      <c r="J175" s="1390"/>
      <c r="K175" s="1391"/>
    </row>
    <row r="176" spans="1:11" s="1360" customFormat="1" ht="16.5" customHeight="1">
      <c r="A176" s="1386"/>
      <c r="B176" s="1806"/>
      <c r="C176" s="1389">
        <v>1</v>
      </c>
      <c r="D176" s="1389" t="s">
        <v>1472</v>
      </c>
      <c r="E176" s="1389">
        <v>1</v>
      </c>
      <c r="F176" s="1392">
        <v>4.72</v>
      </c>
      <c r="G176" s="1392">
        <v>0.23</v>
      </c>
      <c r="H176" s="1392">
        <v>0.8</v>
      </c>
      <c r="I176" s="1392">
        <f>ROUND(C176*E176*F176*G176*H176,2)</f>
        <v>0.87</v>
      </c>
      <c r="J176" s="1390"/>
      <c r="K176" s="1391"/>
    </row>
    <row r="177" spans="1:11" s="1360" customFormat="1" ht="16.5" customHeight="1">
      <c r="A177" s="1386"/>
      <c r="B177" s="1806"/>
      <c r="C177" s="1389">
        <v>1</v>
      </c>
      <c r="D177" s="1389" t="s">
        <v>1472</v>
      </c>
      <c r="E177" s="1389">
        <v>1</v>
      </c>
      <c r="F177" s="1392">
        <v>3.89</v>
      </c>
      <c r="G177" s="1392">
        <v>0.23</v>
      </c>
      <c r="H177" s="1392">
        <v>0.8</v>
      </c>
      <c r="I177" s="1392">
        <f>ROUND(C177*E177*F177*G177*H177,2)</f>
        <v>0.72</v>
      </c>
      <c r="J177" s="1390"/>
      <c r="K177" s="1391"/>
    </row>
    <row r="178" spans="1:11" s="1360" customFormat="1" ht="16.5" customHeight="1">
      <c r="A178" s="1386"/>
      <c r="B178" s="1806" t="s">
        <v>2761</v>
      </c>
      <c r="C178" s="1389">
        <v>1</v>
      </c>
      <c r="D178" s="1389" t="s">
        <v>1472</v>
      </c>
      <c r="E178" s="1389">
        <v>2</v>
      </c>
      <c r="F178" s="1392">
        <v>6.14</v>
      </c>
      <c r="G178" s="1392">
        <v>0.23</v>
      </c>
      <c r="H178" s="1392">
        <v>0.8</v>
      </c>
      <c r="I178" s="1392">
        <f>ROUND(C178*E178*F178*G178*H178,2)</f>
        <v>2.2599999999999998</v>
      </c>
      <c r="J178" s="1390"/>
      <c r="K178" s="1391"/>
    </row>
    <row r="179" spans="1:11" s="1360" customFormat="1" ht="16.5" customHeight="1">
      <c r="A179" s="1386"/>
      <c r="B179" s="1806"/>
      <c r="C179" s="1389">
        <v>1</v>
      </c>
      <c r="D179" s="1389" t="s">
        <v>1472</v>
      </c>
      <c r="E179" s="1389">
        <v>1</v>
      </c>
      <c r="F179" s="1392">
        <v>4.6100000000000003</v>
      </c>
      <c r="G179" s="1392">
        <v>0.23</v>
      </c>
      <c r="H179" s="1392">
        <v>0.8</v>
      </c>
      <c r="I179" s="1392">
        <f>ROUND(C179*E179*F179*G179*H179,2)</f>
        <v>0.85</v>
      </c>
      <c r="J179" s="1390"/>
      <c r="K179" s="1391"/>
    </row>
    <row r="180" spans="1:11" s="1360" customFormat="1" ht="16.5" customHeight="1">
      <c r="A180" s="1386"/>
      <c r="B180" s="1806" t="s">
        <v>3298</v>
      </c>
      <c r="C180" s="1389">
        <v>1</v>
      </c>
      <c r="D180" s="1389" t="s">
        <v>1472</v>
      </c>
      <c r="E180" s="1389">
        <v>8</v>
      </c>
      <c r="F180" s="1392">
        <v>0.3</v>
      </c>
      <c r="G180" s="1392">
        <v>0.23</v>
      </c>
      <c r="H180" s="1392">
        <v>0.8</v>
      </c>
      <c r="I180" s="1392">
        <f t="shared" ref="I180:I186" si="11">-ROUND(C180*E180*F180*G180*H180,2)</f>
        <v>-0.44</v>
      </c>
      <c r="J180" s="1390"/>
      <c r="K180" s="1391"/>
    </row>
    <row r="181" spans="1:11" s="1360" customFormat="1" ht="16.5" customHeight="1">
      <c r="A181" s="1386"/>
      <c r="B181" s="1808" t="s">
        <v>3306</v>
      </c>
      <c r="C181" s="1389">
        <v>1</v>
      </c>
      <c r="D181" s="1389" t="s">
        <v>1472</v>
      </c>
      <c r="E181" s="1389">
        <v>1</v>
      </c>
      <c r="F181" s="1392">
        <v>3.7</v>
      </c>
      <c r="G181" s="1392">
        <v>0.23</v>
      </c>
      <c r="H181" s="1392">
        <v>0.15</v>
      </c>
      <c r="I181" s="1392">
        <f t="shared" si="11"/>
        <v>-0.13</v>
      </c>
      <c r="J181" s="1390"/>
      <c r="K181" s="1391"/>
    </row>
    <row r="182" spans="1:11" s="1360" customFormat="1" ht="16.5" customHeight="1">
      <c r="A182" s="1386"/>
      <c r="B182" s="1808" t="s">
        <v>3307</v>
      </c>
      <c r="C182" s="1389">
        <v>1</v>
      </c>
      <c r="D182" s="1389" t="s">
        <v>1472</v>
      </c>
      <c r="E182" s="1389">
        <v>1</v>
      </c>
      <c r="F182" s="1392">
        <v>1.65</v>
      </c>
      <c r="G182" s="1392">
        <v>0.23</v>
      </c>
      <c r="H182" s="1392">
        <v>0.15</v>
      </c>
      <c r="I182" s="1392">
        <f t="shared" si="11"/>
        <v>-0.06</v>
      </c>
      <c r="J182" s="1390"/>
      <c r="K182" s="1391"/>
    </row>
    <row r="183" spans="1:11" s="1360" customFormat="1" ht="16.5" customHeight="1">
      <c r="A183" s="1386"/>
      <c r="B183" s="1808" t="s">
        <v>3308</v>
      </c>
      <c r="C183" s="1389">
        <v>1</v>
      </c>
      <c r="D183" s="1389" t="s">
        <v>1472</v>
      </c>
      <c r="E183" s="1389">
        <v>1</v>
      </c>
      <c r="F183" s="1392">
        <v>2.25</v>
      </c>
      <c r="G183" s="1392">
        <v>0.23</v>
      </c>
      <c r="H183" s="1392">
        <v>0.15</v>
      </c>
      <c r="I183" s="1392">
        <f t="shared" si="11"/>
        <v>-0.08</v>
      </c>
      <c r="J183" s="1390"/>
      <c r="K183" s="1391"/>
    </row>
    <row r="184" spans="1:11" s="1360" customFormat="1" ht="16.5" customHeight="1">
      <c r="A184" s="1386"/>
      <c r="B184" s="1808" t="s">
        <v>3309</v>
      </c>
      <c r="C184" s="1389">
        <v>1</v>
      </c>
      <c r="D184" s="1389" t="s">
        <v>1472</v>
      </c>
      <c r="E184" s="1389">
        <v>4</v>
      </c>
      <c r="F184" s="1392">
        <v>2</v>
      </c>
      <c r="G184" s="1392">
        <v>0.23</v>
      </c>
      <c r="H184" s="1392">
        <v>0.15</v>
      </c>
      <c r="I184" s="1392">
        <f t="shared" si="11"/>
        <v>-0.28000000000000003</v>
      </c>
      <c r="J184" s="1390"/>
      <c r="K184" s="1391"/>
    </row>
    <row r="185" spans="1:11" s="1360" customFormat="1" ht="16.5" customHeight="1">
      <c r="A185" s="1386"/>
      <c r="B185" s="1808" t="s">
        <v>3310</v>
      </c>
      <c r="C185" s="1389">
        <v>1</v>
      </c>
      <c r="D185" s="1389" t="s">
        <v>1472</v>
      </c>
      <c r="E185" s="1389">
        <v>7</v>
      </c>
      <c r="F185" s="1392">
        <v>0.6</v>
      </c>
      <c r="G185" s="1392">
        <v>0.23</v>
      </c>
      <c r="H185" s="1392">
        <v>0.23</v>
      </c>
      <c r="I185" s="1392">
        <f t="shared" si="11"/>
        <v>-0.22</v>
      </c>
      <c r="J185" s="1390"/>
      <c r="K185" s="1391"/>
    </row>
    <row r="186" spans="1:11" s="1360" customFormat="1" ht="16.5" customHeight="1">
      <c r="A186" s="1386"/>
      <c r="B186" s="1808" t="s">
        <v>3311</v>
      </c>
      <c r="C186" s="1389">
        <v>1</v>
      </c>
      <c r="D186" s="1389" t="s">
        <v>1472</v>
      </c>
      <c r="E186" s="1389">
        <v>1</v>
      </c>
      <c r="F186" s="1392">
        <v>0.6</v>
      </c>
      <c r="G186" s="1392">
        <v>0.23</v>
      </c>
      <c r="H186" s="1392">
        <v>0.45</v>
      </c>
      <c r="I186" s="1392">
        <f t="shared" si="11"/>
        <v>-0.06</v>
      </c>
      <c r="J186" s="1390"/>
      <c r="K186" s="1391"/>
    </row>
    <row r="187" spans="1:11" s="1360" customFormat="1" ht="16.5" customHeight="1">
      <c r="A187" s="1386"/>
      <c r="B187" s="1808" t="s">
        <v>3312</v>
      </c>
      <c r="C187" s="1389">
        <v>1</v>
      </c>
      <c r="D187" s="1389" t="s">
        <v>1472</v>
      </c>
      <c r="E187" s="1389">
        <v>1</v>
      </c>
      <c r="F187" s="1392">
        <v>4.55</v>
      </c>
      <c r="G187" s="1392">
        <v>0.6</v>
      </c>
      <c r="H187" s="1392">
        <v>0.15</v>
      </c>
      <c r="I187" s="1392">
        <f t="shared" ref="I187:I192" si="12">ROUND(C187*E187*F187*G187*H187,2)</f>
        <v>0.41</v>
      </c>
      <c r="J187" s="1390"/>
      <c r="K187" s="1391"/>
    </row>
    <row r="188" spans="1:11" s="1360" customFormat="1" ht="16.5" customHeight="1">
      <c r="A188" s="1386"/>
      <c r="B188" s="1808"/>
      <c r="C188" s="1389">
        <v>1</v>
      </c>
      <c r="D188" s="1389" t="s">
        <v>1472</v>
      </c>
      <c r="E188" s="1389">
        <v>1</v>
      </c>
      <c r="F188" s="1392">
        <v>4.25</v>
      </c>
      <c r="G188" s="1392">
        <v>0.3</v>
      </c>
      <c r="H188" s="1392">
        <v>0.15</v>
      </c>
      <c r="I188" s="1392">
        <f t="shared" si="12"/>
        <v>0.19</v>
      </c>
      <c r="J188" s="1390"/>
      <c r="K188" s="1391"/>
    </row>
    <row r="189" spans="1:11" s="1360" customFormat="1" ht="16.5" customHeight="1">
      <c r="A189" s="1386"/>
      <c r="B189" s="1808" t="s">
        <v>3313</v>
      </c>
      <c r="C189" s="1389">
        <v>1</v>
      </c>
      <c r="D189" s="1389" t="s">
        <v>1472</v>
      </c>
      <c r="E189" s="1389">
        <v>1</v>
      </c>
      <c r="F189" s="1392">
        <v>1.53</v>
      </c>
      <c r="G189" s="1392">
        <v>0.6</v>
      </c>
      <c r="H189" s="1392">
        <v>0.15</v>
      </c>
      <c r="I189" s="1392">
        <f t="shared" si="12"/>
        <v>0.14000000000000001</v>
      </c>
      <c r="J189" s="1390"/>
      <c r="K189" s="1391"/>
    </row>
    <row r="190" spans="1:11" s="1360" customFormat="1" ht="16.5" customHeight="1">
      <c r="A190" s="1386"/>
      <c r="B190" s="1808"/>
      <c r="C190" s="1389">
        <v>1</v>
      </c>
      <c r="D190" s="1389" t="s">
        <v>1472</v>
      </c>
      <c r="E190" s="1389">
        <v>1</v>
      </c>
      <c r="F190" s="1392">
        <v>1.53</v>
      </c>
      <c r="G190" s="1392">
        <v>0.3</v>
      </c>
      <c r="H190" s="1392">
        <v>0.15</v>
      </c>
      <c r="I190" s="1392">
        <f t="shared" si="12"/>
        <v>7.0000000000000007E-2</v>
      </c>
      <c r="J190" s="1390"/>
      <c r="K190" s="1391"/>
    </row>
    <row r="191" spans="1:11" s="1360" customFormat="1" ht="16.5" customHeight="1">
      <c r="A191" s="1386"/>
      <c r="B191" s="1809" t="s">
        <v>3314</v>
      </c>
      <c r="C191" s="1389">
        <v>1</v>
      </c>
      <c r="D191" s="1389" t="s">
        <v>1472</v>
      </c>
      <c r="E191" s="1389">
        <v>2</v>
      </c>
      <c r="F191" s="1392">
        <f>1.2+0.23+0.23</f>
        <v>1.66</v>
      </c>
      <c r="G191" s="1392">
        <v>0.23</v>
      </c>
      <c r="H191" s="1392">
        <v>2.6</v>
      </c>
      <c r="I191" s="1392">
        <f t="shared" si="12"/>
        <v>1.99</v>
      </c>
      <c r="J191" s="1390"/>
      <c r="K191" s="1391"/>
    </row>
    <row r="192" spans="1:11" s="1360" customFormat="1" ht="16.5" customHeight="1">
      <c r="A192" s="1386"/>
      <c r="B192" s="1809" t="s">
        <v>3315</v>
      </c>
      <c r="C192" s="1389">
        <v>1</v>
      </c>
      <c r="D192" s="1389" t="s">
        <v>1472</v>
      </c>
      <c r="E192" s="1389">
        <v>2</v>
      </c>
      <c r="F192" s="1392">
        <f>2.1+0.23-0.23</f>
        <v>2.1</v>
      </c>
      <c r="G192" s="1392">
        <v>0.23</v>
      </c>
      <c r="H192" s="1392">
        <v>2.6</v>
      </c>
      <c r="I192" s="1392">
        <f t="shared" si="12"/>
        <v>2.5099999999999998</v>
      </c>
      <c r="J192" s="1390"/>
      <c r="K192" s="1391"/>
    </row>
    <row r="193" spans="1:13" s="1360" customFormat="1" ht="16.5" customHeight="1">
      <c r="A193" s="1386"/>
      <c r="B193" s="1806" t="s">
        <v>3316</v>
      </c>
      <c r="C193" s="1389">
        <v>1</v>
      </c>
      <c r="D193" s="1389" t="s">
        <v>1472</v>
      </c>
      <c r="E193" s="1389">
        <v>1</v>
      </c>
      <c r="F193" s="1392">
        <v>0.75</v>
      </c>
      <c r="G193" s="1392">
        <v>0.23</v>
      </c>
      <c r="H193" s="1392">
        <v>2.1</v>
      </c>
      <c r="I193" s="1392">
        <f>-ROUND(C193*E193*F193*G193*H193,2)</f>
        <v>-0.36</v>
      </c>
      <c r="J193" s="1390"/>
      <c r="K193" s="1391"/>
    </row>
    <row r="194" spans="1:13" s="1361" customFormat="1" ht="17.2" customHeight="1">
      <c r="A194" s="1386"/>
      <c r="B194" s="1393"/>
      <c r="C194" s="1386"/>
      <c r="D194" s="1386"/>
      <c r="E194" s="1386"/>
      <c r="F194" s="1394"/>
      <c r="G194" s="1394"/>
      <c r="H194" s="1394"/>
      <c r="I194" s="1394">
        <f>SUM(I158:I193)</f>
        <v>21.820000000000007</v>
      </c>
      <c r="J194" s="1394">
        <f>Datas!E612</f>
        <v>7013.85</v>
      </c>
      <c r="K194" s="1395">
        <f>ROUND(I194*J194,0)</f>
        <v>153042</v>
      </c>
    </row>
    <row r="195" spans="1:13" s="1361" customFormat="1" ht="17.2" customHeight="1">
      <c r="A195" s="1386"/>
      <c r="B195" s="1386"/>
      <c r="C195" s="1386"/>
      <c r="D195" s="1386"/>
      <c r="E195" s="1386"/>
      <c r="F195" s="1386"/>
      <c r="G195" s="1386"/>
      <c r="H195" s="1386"/>
      <c r="I195" s="1386" t="s">
        <v>525</v>
      </c>
      <c r="J195" s="1386" t="s">
        <v>525</v>
      </c>
      <c r="K195" s="1396"/>
    </row>
    <row r="196" spans="1:13" s="1358" customFormat="1" ht="117" customHeight="1">
      <c r="A196" s="1383">
        <v>10</v>
      </c>
      <c r="B196" s="2544" t="str">
        <f>Datas!C938</f>
        <v>Reinforced Brick Masonary walls of 11.5cm in CM(1:4) using  second class traditional size bricks and using two mild steel bars of 6m dia in every third layer of brick masory, with free joints of the main block work including cost and seignorage charges and conveyance of all materials and water from approved sources to work site and all operational, incidental, labour charges such as scaffolding mixing mortor constructing masonary lift charges, curing etc. complete but excluding the cost of steel and its fabrication charges for finished item of work as per SS 509</v>
      </c>
      <c r="C196" s="2544"/>
      <c r="D196" s="2544"/>
      <c r="E196" s="2544"/>
      <c r="F196" s="2544"/>
      <c r="G196" s="2544"/>
      <c r="H196" s="2544"/>
      <c r="I196" s="2544"/>
      <c r="J196" s="1384"/>
      <c r="K196" s="1385"/>
    </row>
    <row r="197" spans="1:13" s="1360" customFormat="1" ht="16.5" customHeight="1">
      <c r="A197" s="1386"/>
      <c r="B197" s="1806" t="s">
        <v>3317</v>
      </c>
      <c r="C197" s="1389">
        <v>1</v>
      </c>
      <c r="D197" s="1389" t="s">
        <v>1472</v>
      </c>
      <c r="E197" s="1389">
        <v>1</v>
      </c>
      <c r="F197" s="1392">
        <v>3.65</v>
      </c>
      <c r="G197" s="1392"/>
      <c r="H197" s="1392">
        <v>3</v>
      </c>
      <c r="I197" s="1392">
        <f>ROUND(C197*E197*F197*H197,2)</f>
        <v>10.95</v>
      </c>
      <c r="J197" s="1390"/>
      <c r="K197" s="1391"/>
    </row>
    <row r="198" spans="1:13" s="1358" customFormat="1" ht="15.9" customHeight="1">
      <c r="A198" s="1383"/>
      <c r="B198" s="1806" t="s">
        <v>3318</v>
      </c>
      <c r="C198" s="1389">
        <v>1</v>
      </c>
      <c r="D198" s="1389" t="s">
        <v>1472</v>
      </c>
      <c r="E198" s="1389">
        <v>1</v>
      </c>
      <c r="F198" s="1392">
        <v>2.13</v>
      </c>
      <c r="G198" s="1392"/>
      <c r="H198" s="1392">
        <v>2.15</v>
      </c>
      <c r="I198" s="1392">
        <f t="shared" ref="I198:I203" si="13">ROUND(C198*E198*F198*H198,2)</f>
        <v>4.58</v>
      </c>
      <c r="J198" s="1407"/>
      <c r="K198" s="1385"/>
    </row>
    <row r="199" spans="1:13" s="1358" customFormat="1" ht="15.9" customHeight="1">
      <c r="A199" s="1383"/>
      <c r="B199" s="1806" t="s">
        <v>3300</v>
      </c>
      <c r="C199" s="1389">
        <v>-1</v>
      </c>
      <c r="D199" s="1389" t="s">
        <v>1472</v>
      </c>
      <c r="E199" s="1389">
        <v>1</v>
      </c>
      <c r="F199" s="1392">
        <v>0.9</v>
      </c>
      <c r="G199" s="1392"/>
      <c r="H199" s="1392">
        <v>2.1</v>
      </c>
      <c r="I199" s="1392">
        <f t="shared" si="13"/>
        <v>-1.89</v>
      </c>
      <c r="J199" s="1407"/>
      <c r="K199" s="1385"/>
    </row>
    <row r="200" spans="1:13" s="1358" customFormat="1" ht="15.9" customHeight="1">
      <c r="A200" s="1383"/>
      <c r="B200" s="1806" t="s">
        <v>3319</v>
      </c>
      <c r="C200" s="1389">
        <v>-1</v>
      </c>
      <c r="D200" s="1389" t="s">
        <v>1472</v>
      </c>
      <c r="E200" s="1389">
        <v>1</v>
      </c>
      <c r="F200" s="1392">
        <v>0.9</v>
      </c>
      <c r="G200" s="1392"/>
      <c r="H200" s="1392">
        <v>2.1</v>
      </c>
      <c r="I200" s="1392">
        <f t="shared" si="13"/>
        <v>-1.89</v>
      </c>
      <c r="J200" s="1407"/>
      <c r="K200" s="1385"/>
    </row>
    <row r="201" spans="1:13" s="1358" customFormat="1" ht="15.9" customHeight="1">
      <c r="A201" s="1383"/>
      <c r="B201" s="1806" t="s">
        <v>3320</v>
      </c>
      <c r="C201" s="1389">
        <v>-1</v>
      </c>
      <c r="D201" s="1389" t="str">
        <f>D200</f>
        <v>x</v>
      </c>
      <c r="E201" s="1389">
        <v>6</v>
      </c>
      <c r="F201" s="1392">
        <v>0.23</v>
      </c>
      <c r="G201" s="1392"/>
      <c r="H201" s="1392">
        <v>0.15</v>
      </c>
      <c r="I201" s="1392">
        <f t="shared" si="13"/>
        <v>-0.21</v>
      </c>
      <c r="J201" s="1407"/>
      <c r="K201" s="1385"/>
    </row>
    <row r="202" spans="1:13" s="1358" customFormat="1" ht="15.9" customHeight="1">
      <c r="A202" s="1383"/>
      <c r="B202" s="1808" t="s">
        <v>3321</v>
      </c>
      <c r="C202" s="1389">
        <v>-1</v>
      </c>
      <c r="D202" s="1389" t="s">
        <v>1472</v>
      </c>
      <c r="E202" s="1389">
        <v>1</v>
      </c>
      <c r="F202" s="1392">
        <v>1.5</v>
      </c>
      <c r="G202" s="1392"/>
      <c r="H202" s="1392">
        <v>0.15</v>
      </c>
      <c r="I202" s="1392">
        <f t="shared" si="13"/>
        <v>-0.23</v>
      </c>
      <c r="J202" s="1407"/>
      <c r="K202" s="1385"/>
    </row>
    <row r="203" spans="1:13" s="1358" customFormat="1" ht="15.9" customHeight="1">
      <c r="A203" s="1383"/>
      <c r="B203" s="1808" t="s">
        <v>3322</v>
      </c>
      <c r="C203" s="1389">
        <v>-1</v>
      </c>
      <c r="D203" s="1389" t="s">
        <v>1472</v>
      </c>
      <c r="E203" s="1389">
        <v>1</v>
      </c>
      <c r="F203" s="1392">
        <v>1.5</v>
      </c>
      <c r="G203" s="1392"/>
      <c r="H203" s="1392">
        <v>0.15</v>
      </c>
      <c r="I203" s="1392">
        <f t="shared" si="13"/>
        <v>-0.23</v>
      </c>
      <c r="J203" s="1407"/>
      <c r="K203" s="1385"/>
    </row>
    <row r="204" spans="1:13" s="1358" customFormat="1" ht="15.9" hidden="1" customHeight="1">
      <c r="A204" s="1383"/>
      <c r="B204" s="1391" t="str">
        <f>B165</f>
        <v>Cross walls</v>
      </c>
      <c r="C204" s="1389">
        <f>C165</f>
        <v>1</v>
      </c>
      <c r="D204" s="1389" t="s">
        <v>1472</v>
      </c>
      <c r="E204" s="1389">
        <f>E165</f>
        <v>2</v>
      </c>
      <c r="F204" s="1392">
        <f>F165</f>
        <v>6.12</v>
      </c>
      <c r="G204" s="1392">
        <v>0.23</v>
      </c>
      <c r="H204" s="1392">
        <f>H165</f>
        <v>2.1</v>
      </c>
      <c r="I204" s="1392">
        <v>0</v>
      </c>
      <c r="J204" s="1407"/>
      <c r="K204" s="1385"/>
    </row>
    <row r="205" spans="1:13" s="1358" customFormat="1" ht="15.9" hidden="1" customHeight="1">
      <c r="A205" s="1383"/>
      <c r="B205" s="1391">
        <f>B166</f>
        <v>0</v>
      </c>
      <c r="C205" s="1389">
        <f>C166</f>
        <v>1</v>
      </c>
      <c r="D205" s="1389" t="s">
        <v>1472</v>
      </c>
      <c r="E205" s="1389">
        <f>E166</f>
        <v>1</v>
      </c>
      <c r="F205" s="1392">
        <f>F166</f>
        <v>4.6100000000000003</v>
      </c>
      <c r="G205" s="1392">
        <v>0.23</v>
      </c>
      <c r="H205" s="1392">
        <f>H166</f>
        <v>2.1</v>
      </c>
      <c r="I205" s="1392">
        <v>0</v>
      </c>
      <c r="J205" s="1407"/>
      <c r="K205" s="1385"/>
    </row>
    <row r="206" spans="1:13" s="1361" customFormat="1" ht="17.2" customHeight="1">
      <c r="A206" s="1386"/>
      <c r="B206" s="1393"/>
      <c r="C206" s="1386"/>
      <c r="D206" s="1386"/>
      <c r="E206" s="1386"/>
      <c r="F206" s="1394"/>
      <c r="G206" s="1394"/>
      <c r="H206" s="1394"/>
      <c r="I206" s="1394">
        <f>SUM(I197:I205)</f>
        <v>11.079999999999997</v>
      </c>
      <c r="J206" s="1394">
        <f>Datas!E961</f>
        <v>800.34</v>
      </c>
      <c r="K206" s="1395">
        <f>ROUND(I206*J206,0)</f>
        <v>8868</v>
      </c>
    </row>
    <row r="207" spans="1:13" s="1361" customFormat="1" ht="17.2" customHeight="1">
      <c r="A207" s="1386"/>
      <c r="B207" s="1386"/>
      <c r="C207" s="1386"/>
      <c r="D207" s="1386"/>
      <c r="E207" s="1386"/>
      <c r="F207" s="1386"/>
      <c r="G207" s="1386"/>
      <c r="H207" s="1386"/>
      <c r="I207" s="1386" t="s">
        <v>1478</v>
      </c>
      <c r="J207" s="1386" t="s">
        <v>1478</v>
      </c>
      <c r="K207" s="1396"/>
    </row>
    <row r="208" spans="1:13" s="1358" customFormat="1" ht="108.75" customHeight="1">
      <c r="A208" s="1397">
        <v>11</v>
      </c>
      <c r="B208" s="2549" t="str">
        <f>Datas!C573</f>
        <v>Providing High Yield Strength Deformed (HYSD)/ Thermo Mechanically Treated (TMT) / Mild steel (MS) steel bars (Fe 415/ Fe 500 grade as per IS 1786-1979) of different diameters for RCC works , including labour charges for straightening, cutting, bending to required sizes and shapes, placing in position with cover blocks of approved materials and size and tying and lap-splicing with binding wire of 18 SWG, forming grills for reinforcement work as per approved designs and drawings, including cost and conveyance of steel bars, including all wastages such as overlaps, couplings, chairs, spacer bars including cost and conveyance of binding wire, cover blocks and all incidental, operational, labour charges such as cutting, bending, placing in position, tying including sales and other taxes on all materials etc., complete for finished item of work in all floors.( APSS No.126)</v>
      </c>
      <c r="C208" s="2549"/>
      <c r="D208" s="2549"/>
      <c r="E208" s="2549"/>
      <c r="F208" s="2549"/>
      <c r="G208" s="2549"/>
      <c r="H208" s="2549"/>
      <c r="I208" s="2549"/>
      <c r="J208" s="1384"/>
      <c r="K208" s="1385"/>
      <c r="M208" s="1363" t="e">
        <f>#REF!</f>
        <v>#REF!</v>
      </c>
    </row>
    <row r="209" spans="1:13" s="1361" customFormat="1" ht="17.2" customHeight="1">
      <c r="A209" s="1386"/>
      <c r="B209" s="1391"/>
      <c r="C209" s="1389"/>
      <c r="D209" s="1389"/>
      <c r="E209" s="1389"/>
      <c r="F209" s="1394"/>
      <c r="G209" s="1392"/>
      <c r="H209" s="1392"/>
      <c r="I209" s="1394">
        <v>1895</v>
      </c>
      <c r="J209" s="1394"/>
      <c r="K209" s="1395"/>
    </row>
    <row r="210" spans="1:13" s="1361" customFormat="1" ht="17.2" customHeight="1">
      <c r="A210" s="1386"/>
      <c r="B210" s="1391"/>
      <c r="C210" s="1389"/>
      <c r="D210" s="1389"/>
      <c r="E210" s="1389"/>
      <c r="F210" s="1394"/>
      <c r="G210" s="1392"/>
      <c r="H210" s="1392" t="s">
        <v>2178</v>
      </c>
      <c r="I210" s="1394">
        <v>1895</v>
      </c>
      <c r="J210" s="1394">
        <f>ROUND(Datas!G584/1000,2)</f>
        <v>77.8</v>
      </c>
      <c r="K210" s="1395">
        <f>ROUND(I210*J210,0)</f>
        <v>147431</v>
      </c>
    </row>
    <row r="211" spans="1:13" s="1361" customFormat="1" ht="17.2" customHeight="1">
      <c r="A211" s="1386"/>
      <c r="B211" s="1386"/>
      <c r="C211" s="1389"/>
      <c r="D211" s="1389"/>
      <c r="E211" s="1389"/>
      <c r="F211" s="1389"/>
      <c r="G211" s="1389"/>
      <c r="H211" s="1389"/>
      <c r="I211" s="1386" t="s">
        <v>338</v>
      </c>
      <c r="J211" s="1386" t="s">
        <v>3024</v>
      </c>
      <c r="K211" s="1396"/>
    </row>
    <row r="212" spans="1:13" s="1358" customFormat="1" ht="111.75" hidden="1" customHeight="1">
      <c r="A212" s="1397">
        <v>9</v>
      </c>
      <c r="B212" s="2549" t="s">
        <v>3173</v>
      </c>
      <c r="C212" s="2549"/>
      <c r="D212" s="2549"/>
      <c r="E212" s="2549"/>
      <c r="F212" s="2549"/>
      <c r="G212" s="2549"/>
      <c r="H212" s="2549"/>
      <c r="I212" s="2549"/>
      <c r="J212" s="1384"/>
      <c r="K212" s="1385"/>
      <c r="M212" s="1363">
        <f>K422</f>
        <v>0</v>
      </c>
    </row>
    <row r="213" spans="1:13" s="1361" customFormat="1" ht="17.2" hidden="1" customHeight="1">
      <c r="A213" s="1386"/>
      <c r="B213" s="1393"/>
      <c r="C213" s="1386">
        <v>1</v>
      </c>
      <c r="D213" s="1386" t="s">
        <v>1472</v>
      </c>
      <c r="E213" s="1386">
        <v>1</v>
      </c>
      <c r="F213" s="1394">
        <v>0</v>
      </c>
      <c r="G213" s="1394" t="s">
        <v>3013</v>
      </c>
      <c r="H213" s="1394" t="s">
        <v>3013</v>
      </c>
      <c r="I213" s="1394">
        <v>0</v>
      </c>
      <c r="J213" s="1394">
        <v>99</v>
      </c>
      <c r="K213" s="1395"/>
    </row>
    <row r="214" spans="1:13" s="1361" customFormat="1" ht="17.2" hidden="1" customHeight="1">
      <c r="A214" s="1386"/>
      <c r="B214" s="1386"/>
      <c r="C214" s="1386"/>
      <c r="D214" s="1386"/>
      <c r="E214" s="1386"/>
      <c r="F214" s="1386"/>
      <c r="G214" s="1386"/>
      <c r="H214" s="1386"/>
      <c r="I214" s="1386" t="s">
        <v>338</v>
      </c>
      <c r="J214" s="1386" t="s">
        <v>3025</v>
      </c>
      <c r="K214" s="1396"/>
    </row>
    <row r="215" spans="1:13" s="1365" customFormat="1" ht="114.75" hidden="1" customHeight="1">
      <c r="A215" s="1397">
        <v>13</v>
      </c>
      <c r="B215" s="2550" t="s">
        <v>3026</v>
      </c>
      <c r="C215" s="2551"/>
      <c r="D215" s="2551"/>
      <c r="E215" s="2551"/>
      <c r="F215" s="2551"/>
      <c r="G215" s="2551"/>
      <c r="H215" s="2551"/>
      <c r="I215" s="2552"/>
      <c r="J215" s="1384"/>
      <c r="K215" s="1385"/>
      <c r="L215" s="1364"/>
    </row>
    <row r="216" spans="1:13" s="1367" customFormat="1" ht="17.2" hidden="1" customHeight="1">
      <c r="A216" s="1398"/>
      <c r="B216" s="1408" t="s">
        <v>3027</v>
      </c>
      <c r="C216" s="1409"/>
      <c r="D216" s="1409"/>
      <c r="E216" s="1409"/>
      <c r="F216" s="1409"/>
      <c r="G216" s="1409"/>
      <c r="H216" s="1409"/>
      <c r="I216" s="1409"/>
      <c r="J216" s="1389"/>
      <c r="K216" s="1391"/>
      <c r="L216" s="1366"/>
    </row>
    <row r="217" spans="1:13" s="1367" customFormat="1" ht="17.2" hidden="1" customHeight="1">
      <c r="A217" s="1398"/>
      <c r="B217" s="1391"/>
      <c r="C217" s="1389"/>
      <c r="D217" s="1389"/>
      <c r="E217" s="1389"/>
      <c r="F217" s="1392"/>
      <c r="G217" s="1392"/>
      <c r="H217" s="1392"/>
      <c r="I217" s="1392">
        <f>ROUND(G217*F217*E217*C217,2)</f>
        <v>0</v>
      </c>
      <c r="J217" s="1389"/>
      <c r="K217" s="1391"/>
      <c r="L217" s="1366"/>
    </row>
    <row r="218" spans="1:13" s="1367" customFormat="1" ht="17.2" hidden="1" customHeight="1">
      <c r="A218" s="1398"/>
      <c r="B218" s="1391"/>
      <c r="C218" s="1389"/>
      <c r="D218" s="1389"/>
      <c r="E218" s="1389"/>
      <c r="F218" s="1392"/>
      <c r="G218" s="1392"/>
      <c r="H218" s="1392"/>
      <c r="I218" s="1392">
        <f t="shared" ref="I218:I229" si="14">ROUND(G218*F218*E218*C218,2)</f>
        <v>0</v>
      </c>
      <c r="J218" s="1389"/>
      <c r="K218" s="1391"/>
      <c r="L218" s="1366"/>
    </row>
    <row r="219" spans="1:13" s="1367" customFormat="1" ht="17.2" hidden="1" customHeight="1">
      <c r="A219" s="1398"/>
      <c r="B219" s="1391"/>
      <c r="C219" s="1389"/>
      <c r="D219" s="1389"/>
      <c r="E219" s="1389"/>
      <c r="F219" s="1392"/>
      <c r="G219" s="1392"/>
      <c r="H219" s="1392"/>
      <c r="I219" s="1392">
        <f t="shared" si="14"/>
        <v>0</v>
      </c>
      <c r="J219" s="1389"/>
      <c r="K219" s="1391"/>
      <c r="L219" s="1366"/>
    </row>
    <row r="220" spans="1:13" s="1367" customFormat="1" ht="17.2" hidden="1" customHeight="1">
      <c r="A220" s="1398"/>
      <c r="B220" s="1391"/>
      <c r="C220" s="1389"/>
      <c r="D220" s="1389"/>
      <c r="E220" s="1389"/>
      <c r="F220" s="1392"/>
      <c r="G220" s="1392"/>
      <c r="H220" s="1392"/>
      <c r="I220" s="1392">
        <f t="shared" si="14"/>
        <v>0</v>
      </c>
      <c r="J220" s="1389"/>
      <c r="K220" s="1391"/>
      <c r="L220" s="1366"/>
    </row>
    <row r="221" spans="1:13" s="1367" customFormat="1" ht="17.2" hidden="1" customHeight="1">
      <c r="A221" s="1398"/>
      <c r="B221" s="1391"/>
      <c r="C221" s="1389"/>
      <c r="D221" s="1389"/>
      <c r="E221" s="1389"/>
      <c r="F221" s="1392"/>
      <c r="G221" s="1392"/>
      <c r="H221" s="1392"/>
      <c r="I221" s="1392">
        <f t="shared" si="14"/>
        <v>0</v>
      </c>
      <c r="J221" s="1389"/>
      <c r="K221" s="1391"/>
      <c r="L221" s="1366"/>
    </row>
    <row r="222" spans="1:13" s="1367" customFormat="1" ht="17.2" hidden="1" customHeight="1">
      <c r="A222" s="1398"/>
      <c r="B222" s="1391"/>
      <c r="C222" s="1389"/>
      <c r="D222" s="1389"/>
      <c r="E222" s="1389"/>
      <c r="F222" s="1392"/>
      <c r="G222" s="1392"/>
      <c r="H222" s="1392"/>
      <c r="I222" s="1392">
        <f t="shared" si="14"/>
        <v>0</v>
      </c>
      <c r="J222" s="1389"/>
      <c r="K222" s="1391"/>
      <c r="L222" s="1366"/>
    </row>
    <row r="223" spans="1:13" s="1367" customFormat="1" ht="17.2" hidden="1" customHeight="1">
      <c r="A223" s="1398"/>
      <c r="B223" s="1391"/>
      <c r="C223" s="1389"/>
      <c r="D223" s="1389"/>
      <c r="E223" s="1389"/>
      <c r="F223" s="1392"/>
      <c r="G223" s="1392"/>
      <c r="H223" s="1392"/>
      <c r="I223" s="1392">
        <f t="shared" si="14"/>
        <v>0</v>
      </c>
      <c r="J223" s="1389"/>
      <c r="K223" s="1391"/>
      <c r="L223" s="1366"/>
    </row>
    <row r="224" spans="1:13" s="1367" customFormat="1" ht="17.2" hidden="1" customHeight="1">
      <c r="A224" s="1398"/>
      <c r="B224" s="1391"/>
      <c r="C224" s="1389"/>
      <c r="D224" s="1389"/>
      <c r="E224" s="1389"/>
      <c r="F224" s="1392"/>
      <c r="G224" s="1392"/>
      <c r="H224" s="1392"/>
      <c r="I224" s="1392">
        <f t="shared" si="14"/>
        <v>0</v>
      </c>
      <c r="J224" s="1389"/>
      <c r="K224" s="1391"/>
      <c r="L224" s="1366"/>
    </row>
    <row r="225" spans="1:12" s="1367" customFormat="1" ht="17.2" hidden="1" customHeight="1">
      <c r="A225" s="1398"/>
      <c r="B225" s="1391"/>
      <c r="C225" s="1389"/>
      <c r="D225" s="1389"/>
      <c r="E225" s="1389"/>
      <c r="F225" s="1392"/>
      <c r="G225" s="1392"/>
      <c r="H225" s="1392"/>
      <c r="I225" s="1392">
        <f t="shared" si="14"/>
        <v>0</v>
      </c>
      <c r="J225" s="1389"/>
      <c r="K225" s="1391"/>
      <c r="L225" s="1366"/>
    </row>
    <row r="226" spans="1:12" s="1367" customFormat="1" ht="17.2" hidden="1" customHeight="1">
      <c r="A226" s="1398"/>
      <c r="B226" s="1391"/>
      <c r="C226" s="1389"/>
      <c r="D226" s="1389"/>
      <c r="E226" s="1389"/>
      <c r="F226" s="1392"/>
      <c r="G226" s="1392"/>
      <c r="H226" s="1392"/>
      <c r="I226" s="1392">
        <f t="shared" si="14"/>
        <v>0</v>
      </c>
      <c r="J226" s="1389"/>
      <c r="K226" s="1391"/>
      <c r="L226" s="1366"/>
    </row>
    <row r="227" spans="1:12" s="1367" customFormat="1" ht="17.2" hidden="1" customHeight="1">
      <c r="A227" s="1398"/>
      <c r="B227" s="1391"/>
      <c r="C227" s="1389"/>
      <c r="D227" s="1389"/>
      <c r="E227" s="1389"/>
      <c r="F227" s="1392"/>
      <c r="G227" s="1392"/>
      <c r="H227" s="1392"/>
      <c r="I227" s="1392">
        <f t="shared" si="14"/>
        <v>0</v>
      </c>
      <c r="J227" s="1389"/>
      <c r="K227" s="1391"/>
      <c r="L227" s="1366"/>
    </row>
    <row r="228" spans="1:12" s="1367" customFormat="1" ht="17.2" hidden="1" customHeight="1">
      <c r="A228" s="1398"/>
      <c r="B228" s="1391"/>
      <c r="C228" s="1389"/>
      <c r="D228" s="1389"/>
      <c r="E228" s="1389"/>
      <c r="F228" s="1392"/>
      <c r="G228" s="1392"/>
      <c r="H228" s="1392"/>
      <c r="I228" s="1392">
        <f t="shared" si="14"/>
        <v>0</v>
      </c>
      <c r="J228" s="1389"/>
      <c r="K228" s="1391"/>
      <c r="L228" s="1366"/>
    </row>
    <row r="229" spans="1:12" s="1367" customFormat="1" ht="17.2" hidden="1" customHeight="1">
      <c r="A229" s="1398"/>
      <c r="B229" s="1391"/>
      <c r="C229" s="1389"/>
      <c r="D229" s="1389"/>
      <c r="E229" s="1389"/>
      <c r="F229" s="1392"/>
      <c r="G229" s="1392"/>
      <c r="H229" s="1392"/>
      <c r="I229" s="1392">
        <f t="shared" si="14"/>
        <v>0</v>
      </c>
      <c r="J229" s="1389"/>
      <c r="K229" s="1391"/>
      <c r="L229" s="1366"/>
    </row>
    <row r="230" spans="1:12" s="1361" customFormat="1" ht="17.2" hidden="1" customHeight="1">
      <c r="A230" s="1386"/>
      <c r="B230" s="1393"/>
      <c r="C230" s="1386"/>
      <c r="D230" s="1386"/>
      <c r="E230" s="1386"/>
      <c r="F230" s="1394"/>
      <c r="G230" s="1394"/>
      <c r="H230" s="1394"/>
      <c r="I230" s="1394">
        <f>SUM(I217:I229)*0</f>
        <v>0</v>
      </c>
      <c r="J230" s="1394">
        <f>Datas!E654</f>
        <v>1489.73</v>
      </c>
      <c r="K230" s="1395">
        <f>ROUND(I230*J230/10,0)</f>
        <v>0</v>
      </c>
    </row>
    <row r="231" spans="1:12" s="1361" customFormat="1" ht="17.2" hidden="1" customHeight="1">
      <c r="A231" s="1386"/>
      <c r="B231" s="1386"/>
      <c r="C231" s="1386"/>
      <c r="D231" s="1386"/>
      <c r="E231" s="1386"/>
      <c r="F231" s="1386"/>
      <c r="G231" s="1386"/>
      <c r="H231" s="1386"/>
      <c r="I231" s="1386" t="s">
        <v>1478</v>
      </c>
      <c r="J231" s="1386" t="s">
        <v>923</v>
      </c>
      <c r="K231" s="1396"/>
    </row>
    <row r="232" spans="1:12" s="1365" customFormat="1" ht="109.2" customHeight="1">
      <c r="A232" s="1397">
        <v>12</v>
      </c>
      <c r="B232" s="2544" t="str">
        <f>Datas!C656</f>
        <v>Plastering 12mm thick double coat in CM (1:5) 8 mm thick base coat and CM (1:3) of 4mm thick top coat with dubara sponge finish including c/c of all materials like cement, sand,water etc., to site, other taxes on all materials, all operational, incidental such as scaffolding charges, lift charges, including cutting of Grooves,finishing, curing, etc., complete for for finished item of work. (APSS 1001,1003 &amp; 1004) (CSSR) Internal Walls</v>
      </c>
      <c r="C232" s="2544"/>
      <c r="D232" s="2544"/>
      <c r="E232" s="2544"/>
      <c r="F232" s="2544"/>
      <c r="G232" s="2544"/>
      <c r="H232" s="2544"/>
      <c r="I232" s="2544"/>
      <c r="J232" s="1410"/>
      <c r="K232" s="1411"/>
      <c r="L232" s="1364"/>
    </row>
    <row r="233" spans="1:12" s="1367" customFormat="1" ht="17.2" customHeight="1">
      <c r="A233" s="1398"/>
      <c r="B233" s="1412" t="s">
        <v>3027</v>
      </c>
      <c r="C233" s="1413"/>
      <c r="D233" s="1413"/>
      <c r="E233" s="1413"/>
      <c r="F233" s="1413"/>
      <c r="G233" s="1413"/>
      <c r="H233" s="1413"/>
      <c r="I233" s="1413"/>
      <c r="J233" s="1392"/>
      <c r="K233" s="1399"/>
      <c r="L233" s="1366"/>
    </row>
    <row r="234" spans="1:12" s="1367" customFormat="1" ht="17.2" customHeight="1">
      <c r="A234" s="1398"/>
      <c r="B234" s="1685" t="s">
        <v>3323</v>
      </c>
      <c r="C234" s="1389">
        <v>1</v>
      </c>
      <c r="D234" s="1389" t="s">
        <v>1472</v>
      </c>
      <c r="E234" s="1389">
        <v>1</v>
      </c>
      <c r="F234" s="1392">
        <v>4.2</v>
      </c>
      <c r="G234" s="1392">
        <v>6.14</v>
      </c>
      <c r="H234" s="1392"/>
      <c r="I234" s="1392">
        <f t="shared" ref="I234:I245" si="15">ROUND(PRODUCT(C234:H234),2)</f>
        <v>25.79</v>
      </c>
      <c r="J234" s="1392"/>
      <c r="K234" s="1399"/>
      <c r="L234" s="1366"/>
    </row>
    <row r="235" spans="1:12" s="1367" customFormat="1" ht="17.2" customHeight="1">
      <c r="A235" s="1398"/>
      <c r="B235" s="1685" t="s">
        <v>3324</v>
      </c>
      <c r="C235" s="1389">
        <v>1</v>
      </c>
      <c r="D235" s="1389" t="s">
        <v>1472</v>
      </c>
      <c r="E235" s="1389">
        <v>2</v>
      </c>
      <c r="F235" s="1392">
        <v>4.2</v>
      </c>
      <c r="G235" s="1392"/>
      <c r="H235" s="1392">
        <v>0.3</v>
      </c>
      <c r="I235" s="1392">
        <f t="shared" si="15"/>
        <v>2.52</v>
      </c>
      <c r="J235" s="1392"/>
      <c r="K235" s="1399"/>
      <c r="L235" s="1366"/>
    </row>
    <row r="236" spans="1:12" s="1367" customFormat="1" ht="17.2" customHeight="1">
      <c r="A236" s="1398"/>
      <c r="B236" s="1685" t="s">
        <v>3325</v>
      </c>
      <c r="C236" s="1389">
        <v>1</v>
      </c>
      <c r="D236" s="1389" t="s">
        <v>1472</v>
      </c>
      <c r="E236" s="1389">
        <v>1</v>
      </c>
      <c r="F236" s="1392">
        <v>3.6</v>
      </c>
      <c r="G236" s="1392">
        <v>1.3</v>
      </c>
      <c r="H236" s="1392"/>
      <c r="I236" s="1392">
        <f t="shared" si="15"/>
        <v>4.68</v>
      </c>
      <c r="J236" s="1392"/>
      <c r="K236" s="1399"/>
      <c r="L236" s="1366"/>
    </row>
    <row r="237" spans="1:12" s="1367" customFormat="1" ht="17.2" customHeight="1">
      <c r="A237" s="1398"/>
      <c r="B237" s="1685" t="s">
        <v>3326</v>
      </c>
      <c r="C237" s="1389">
        <v>1</v>
      </c>
      <c r="D237" s="1389" t="s">
        <v>1472</v>
      </c>
      <c r="E237" s="1389">
        <v>1</v>
      </c>
      <c r="F237" s="1392">
        <v>3.6</v>
      </c>
      <c r="G237" s="1392">
        <v>2.31</v>
      </c>
      <c r="H237" s="1392"/>
      <c r="I237" s="1392">
        <f t="shared" si="15"/>
        <v>8.32</v>
      </c>
      <c r="J237" s="1392"/>
      <c r="K237" s="1399"/>
      <c r="L237" s="1366"/>
    </row>
    <row r="238" spans="1:12" s="1367" customFormat="1" ht="17.2" customHeight="1">
      <c r="A238" s="1398"/>
      <c r="B238" s="1685" t="s">
        <v>3327</v>
      </c>
      <c r="C238" s="1389">
        <v>1</v>
      </c>
      <c r="D238" s="1389" t="s">
        <v>1472</v>
      </c>
      <c r="E238" s="1389">
        <v>1</v>
      </c>
      <c r="F238" s="1392">
        <v>3.65</v>
      </c>
      <c r="G238" s="1392">
        <v>2.13</v>
      </c>
      <c r="H238" s="1392"/>
      <c r="I238" s="1392">
        <f t="shared" si="15"/>
        <v>7.77</v>
      </c>
      <c r="J238" s="1392"/>
      <c r="K238" s="1399"/>
      <c r="L238" s="1366"/>
    </row>
    <row r="239" spans="1:12" s="1367" customFormat="1" ht="17.2" customHeight="1">
      <c r="A239" s="1398"/>
      <c r="B239" s="1806" t="s">
        <v>3328</v>
      </c>
      <c r="C239" s="1389">
        <v>1</v>
      </c>
      <c r="D239" s="1389" t="s">
        <v>1472</v>
      </c>
      <c r="E239" s="1389">
        <v>1</v>
      </c>
      <c r="F239" s="1392">
        <v>9.5</v>
      </c>
      <c r="G239" s="1392">
        <v>0.45</v>
      </c>
      <c r="H239" s="1392"/>
      <c r="I239" s="1392">
        <f t="shared" si="15"/>
        <v>4.28</v>
      </c>
      <c r="J239" s="1392"/>
      <c r="K239" s="1399"/>
      <c r="L239" s="1366"/>
    </row>
    <row r="240" spans="1:12" s="1367" customFormat="1" ht="17.2" customHeight="1">
      <c r="A240" s="1398"/>
      <c r="B240" s="1808" t="s">
        <v>3329</v>
      </c>
      <c r="C240" s="1389">
        <v>1</v>
      </c>
      <c r="D240" s="1389" t="s">
        <v>1472</v>
      </c>
      <c r="E240" s="1389">
        <v>1</v>
      </c>
      <c r="F240" s="1392">
        <v>9.5</v>
      </c>
      <c r="G240" s="1392">
        <v>0.3</v>
      </c>
      <c r="H240" s="1392"/>
      <c r="I240" s="1392">
        <f t="shared" si="15"/>
        <v>2.85</v>
      </c>
      <c r="J240" s="1392"/>
      <c r="K240" s="1399"/>
      <c r="L240" s="1366"/>
    </row>
    <row r="241" spans="1:12" s="1367" customFormat="1" ht="17.2" customHeight="1">
      <c r="A241" s="1398"/>
      <c r="B241" s="1808" t="s">
        <v>3330</v>
      </c>
      <c r="C241" s="1389">
        <v>1</v>
      </c>
      <c r="D241" s="1389" t="s">
        <v>1472</v>
      </c>
      <c r="E241" s="1389">
        <v>2</v>
      </c>
      <c r="F241" s="1392">
        <v>6.6</v>
      </c>
      <c r="G241" s="1392">
        <v>0.45</v>
      </c>
      <c r="H241" s="1392"/>
      <c r="I241" s="1392">
        <f t="shared" si="15"/>
        <v>5.94</v>
      </c>
      <c r="J241" s="1392"/>
      <c r="K241" s="1399"/>
      <c r="L241" s="1366"/>
    </row>
    <row r="242" spans="1:12" s="1367" customFormat="1" ht="17.2" customHeight="1">
      <c r="A242" s="1398"/>
      <c r="B242" s="1808" t="s">
        <v>3331</v>
      </c>
      <c r="C242" s="1389">
        <v>1</v>
      </c>
      <c r="D242" s="1389" t="s">
        <v>1472</v>
      </c>
      <c r="E242" s="1389">
        <v>1</v>
      </c>
      <c r="F242" s="1392">
        <v>4.8</v>
      </c>
      <c r="G242" s="1392">
        <v>0.6</v>
      </c>
      <c r="H242" s="1392"/>
      <c r="I242" s="1392">
        <f t="shared" si="15"/>
        <v>2.88</v>
      </c>
      <c r="J242" s="1392"/>
      <c r="K242" s="1399"/>
      <c r="L242" s="1366"/>
    </row>
    <row r="243" spans="1:12" s="1367" customFormat="1" ht="17.2" customHeight="1">
      <c r="A243" s="1398"/>
      <c r="B243" s="1808" t="s">
        <v>3332</v>
      </c>
      <c r="C243" s="1389">
        <v>1</v>
      </c>
      <c r="D243" s="1389" t="s">
        <v>1472</v>
      </c>
      <c r="E243" s="1389">
        <v>1</v>
      </c>
      <c r="F243" s="1392">
        <v>2.2000000000000002</v>
      </c>
      <c r="G243" s="1392">
        <v>0.6</v>
      </c>
      <c r="H243" s="1392"/>
      <c r="I243" s="1392">
        <f t="shared" si="15"/>
        <v>1.32</v>
      </c>
      <c r="J243" s="1392"/>
      <c r="K243" s="1399"/>
      <c r="L243" s="1366"/>
    </row>
    <row r="244" spans="1:12" s="1367" customFormat="1" ht="17.2" customHeight="1">
      <c r="A244" s="1398"/>
      <c r="B244" s="1808" t="s">
        <v>3333</v>
      </c>
      <c r="C244" s="1389">
        <v>1</v>
      </c>
      <c r="D244" s="1389" t="s">
        <v>1472</v>
      </c>
      <c r="E244" s="1389">
        <v>4</v>
      </c>
      <c r="F244" s="1392">
        <v>1.8</v>
      </c>
      <c r="G244" s="1392">
        <v>0.6</v>
      </c>
      <c r="H244" s="1392"/>
      <c r="I244" s="1392">
        <f t="shared" si="15"/>
        <v>4.32</v>
      </c>
      <c r="J244" s="1392"/>
      <c r="K244" s="1399"/>
      <c r="L244" s="1366"/>
    </row>
    <row r="245" spans="1:12" s="1367" customFormat="1" ht="17.2" customHeight="1">
      <c r="A245" s="1398"/>
      <c r="B245" s="1808" t="s">
        <v>3334</v>
      </c>
      <c r="C245" s="1389">
        <v>1</v>
      </c>
      <c r="D245" s="1389" t="s">
        <v>1472</v>
      </c>
      <c r="E245" s="1389">
        <v>1</v>
      </c>
      <c r="F245" s="1392">
        <v>1.2</v>
      </c>
      <c r="G245" s="1392">
        <v>2.1</v>
      </c>
      <c r="H245" s="1392"/>
      <c r="I245" s="1392">
        <f t="shared" si="15"/>
        <v>2.52</v>
      </c>
      <c r="J245" s="1392"/>
      <c r="K245" s="1399"/>
      <c r="L245" s="1366"/>
    </row>
    <row r="246" spans="1:12" s="1361" customFormat="1" ht="17.2" customHeight="1">
      <c r="A246" s="1386"/>
      <c r="B246" s="1393"/>
      <c r="C246" s="1386"/>
      <c r="D246" s="1386"/>
      <c r="E246" s="1386"/>
      <c r="F246" s="1394"/>
      <c r="G246" s="1394"/>
      <c r="H246" s="1394"/>
      <c r="I246" s="1394">
        <f>SUM(I234:I245)</f>
        <v>73.189999999999984</v>
      </c>
      <c r="J246" s="1394">
        <f>Datas!E681</f>
        <v>426.68500000000006</v>
      </c>
      <c r="K246" s="1395">
        <f>ROUND(I246*J246,0)</f>
        <v>31229</v>
      </c>
    </row>
    <row r="247" spans="1:12" s="1361" customFormat="1" ht="17.2" customHeight="1">
      <c r="A247" s="1386"/>
      <c r="B247" s="1386"/>
      <c r="C247" s="1386"/>
      <c r="D247" s="1386"/>
      <c r="E247" s="1386"/>
      <c r="F247" s="1386"/>
      <c r="G247" s="1386"/>
      <c r="H247" s="1386"/>
      <c r="I247" s="1386" t="s">
        <v>1478</v>
      </c>
      <c r="J247" s="1386" t="s">
        <v>3134</v>
      </c>
      <c r="K247" s="1396"/>
    </row>
    <row r="248" spans="1:12" s="1365" customFormat="1" ht="109.2" hidden="1" customHeight="1">
      <c r="A248" s="1397">
        <v>12</v>
      </c>
      <c r="B248" s="2544" t="str">
        <f>Datas!C656</f>
        <v>Plastering 12mm thick double coat in CM (1:5) 8 mm thick base coat and CM (1:3) of 4mm thick top coat with dubara sponge finish including c/c of all materials like cement, sand,water etc., to site, other taxes on all materials, all operational, incidental such as scaffolding charges, lift charges, including cutting of Grooves,finishing, curing, etc., complete for for finished item of work. (APSS 1001,1003 &amp; 1004) (CSSR) Internal Walls</v>
      </c>
      <c r="C248" s="2544"/>
      <c r="D248" s="2544"/>
      <c r="E248" s="2544"/>
      <c r="F248" s="2544"/>
      <c r="G248" s="2544"/>
      <c r="H248" s="2544"/>
      <c r="I248" s="2544"/>
      <c r="J248" s="1410"/>
      <c r="K248" s="1411"/>
      <c r="L248" s="1364"/>
    </row>
    <row r="249" spans="1:12" s="1367" customFormat="1" ht="17.2" hidden="1" customHeight="1">
      <c r="A249" s="1398"/>
      <c r="B249" s="1412" t="s">
        <v>3027</v>
      </c>
      <c r="C249" s="1413"/>
      <c r="D249" s="1413"/>
      <c r="E249" s="1413"/>
      <c r="F249" s="1413"/>
      <c r="G249" s="1413"/>
      <c r="H249" s="1413"/>
      <c r="I249" s="1413"/>
      <c r="J249" s="1392"/>
      <c r="K249" s="1399"/>
      <c r="L249" s="1366"/>
    </row>
    <row r="250" spans="1:12" s="1367" customFormat="1" ht="17.2" hidden="1" customHeight="1">
      <c r="A250" s="1398"/>
      <c r="B250" s="1685" t="s">
        <v>3335</v>
      </c>
      <c r="C250" s="1389">
        <v>1</v>
      </c>
      <c r="D250" s="1389" t="s">
        <v>1472</v>
      </c>
      <c r="E250" s="1389">
        <v>2</v>
      </c>
      <c r="F250" s="1392">
        <v>4.2</v>
      </c>
      <c r="G250" s="1392"/>
      <c r="H250" s="1392">
        <v>3</v>
      </c>
      <c r="I250" s="1392">
        <f t="shared" ref="I250:I269" si="16">ROUND(PRODUCT(C250:H250),2)</f>
        <v>25.2</v>
      </c>
      <c r="J250" s="1392"/>
      <c r="K250" s="1399"/>
      <c r="L250" s="1366"/>
    </row>
    <row r="251" spans="1:12" s="1367" customFormat="1" ht="17.2" hidden="1" customHeight="1">
      <c r="A251" s="1398"/>
      <c r="B251" s="1685" t="s">
        <v>3336</v>
      </c>
      <c r="C251" s="1389">
        <v>1</v>
      </c>
      <c r="D251" s="1389" t="s">
        <v>1472</v>
      </c>
      <c r="E251" s="1389">
        <v>2</v>
      </c>
      <c r="F251" s="1392">
        <v>6.1</v>
      </c>
      <c r="G251" s="1392"/>
      <c r="H251" s="1392">
        <v>3</v>
      </c>
      <c r="I251" s="1392">
        <f t="shared" si="16"/>
        <v>36.6</v>
      </c>
      <c r="J251" s="1392"/>
      <c r="K251" s="1399"/>
      <c r="L251" s="1366"/>
    </row>
    <row r="252" spans="1:12" s="1367" customFormat="1" ht="17.2" hidden="1" customHeight="1">
      <c r="A252" s="1398"/>
      <c r="B252" s="1685" t="s">
        <v>3337</v>
      </c>
      <c r="C252" s="1389">
        <v>1</v>
      </c>
      <c r="D252" s="1389" t="s">
        <v>1472</v>
      </c>
      <c r="E252" s="1389">
        <v>2</v>
      </c>
      <c r="F252" s="1392">
        <v>3.65</v>
      </c>
      <c r="G252" s="1392"/>
      <c r="H252" s="1392">
        <v>3</v>
      </c>
      <c r="I252" s="1392">
        <f t="shared" si="16"/>
        <v>21.9</v>
      </c>
      <c r="J252" s="1392"/>
      <c r="K252" s="1399"/>
      <c r="L252" s="1366"/>
    </row>
    <row r="253" spans="1:12" s="1367" customFormat="1" ht="17.2" hidden="1" customHeight="1">
      <c r="A253" s="1398"/>
      <c r="B253" s="1685" t="s">
        <v>3336</v>
      </c>
      <c r="C253" s="1389">
        <v>1</v>
      </c>
      <c r="D253" s="1389" t="s">
        <v>1472</v>
      </c>
      <c r="E253" s="1389">
        <v>2</v>
      </c>
      <c r="F253" s="1392">
        <v>2.31</v>
      </c>
      <c r="G253" s="1392"/>
      <c r="H253" s="1392">
        <v>3</v>
      </c>
      <c r="I253" s="1392">
        <f t="shared" si="16"/>
        <v>13.86</v>
      </c>
      <c r="J253" s="1392"/>
      <c r="K253" s="1399"/>
      <c r="L253" s="1366"/>
    </row>
    <row r="254" spans="1:12" s="1367" customFormat="1" ht="17.2" hidden="1" customHeight="1">
      <c r="A254" s="1398"/>
      <c r="B254" s="1685" t="s">
        <v>3338</v>
      </c>
      <c r="C254" s="1389">
        <v>1</v>
      </c>
      <c r="D254" s="1389" t="s">
        <v>1472</v>
      </c>
      <c r="E254" s="1389">
        <v>2</v>
      </c>
      <c r="F254" s="1392">
        <v>1.22</v>
      </c>
      <c r="G254" s="1392"/>
      <c r="H254" s="1392">
        <v>3</v>
      </c>
      <c r="I254" s="1392">
        <f t="shared" si="16"/>
        <v>7.32</v>
      </c>
      <c r="J254" s="1392"/>
      <c r="K254" s="1399"/>
      <c r="L254" s="1366"/>
    </row>
    <row r="255" spans="1:12" s="1367" customFormat="1" ht="17.2" hidden="1" customHeight="1">
      <c r="A255" s="1398"/>
      <c r="B255" s="1806" t="s">
        <v>3336</v>
      </c>
      <c r="C255" s="1389">
        <v>1</v>
      </c>
      <c r="D255" s="1389" t="s">
        <v>1472</v>
      </c>
      <c r="E255" s="1389">
        <v>1</v>
      </c>
      <c r="F255" s="1392">
        <v>2.13</v>
      </c>
      <c r="G255" s="1392"/>
      <c r="H255" s="1392">
        <v>3</v>
      </c>
      <c r="I255" s="1392">
        <f t="shared" si="16"/>
        <v>6.39</v>
      </c>
      <c r="J255" s="1392"/>
      <c r="K255" s="1399"/>
      <c r="L255" s="1366"/>
    </row>
    <row r="256" spans="1:12" s="1367" customFormat="1" ht="17.2" hidden="1" customHeight="1">
      <c r="A256" s="1398"/>
      <c r="B256" s="1808"/>
      <c r="C256" s="1389">
        <v>1</v>
      </c>
      <c r="D256" s="1389" t="s">
        <v>1472</v>
      </c>
      <c r="E256" s="1389">
        <v>1</v>
      </c>
      <c r="F256" s="1392">
        <v>2.13</v>
      </c>
      <c r="G256" s="1392"/>
      <c r="H256" s="1392">
        <v>2.0499999999999998</v>
      </c>
      <c r="I256" s="1392">
        <f t="shared" si="16"/>
        <v>4.37</v>
      </c>
      <c r="J256" s="1392"/>
      <c r="K256" s="1399"/>
      <c r="L256" s="1366"/>
    </row>
    <row r="257" spans="1:12" s="1367" customFormat="1" ht="17.2" hidden="1" customHeight="1">
      <c r="A257" s="1398"/>
      <c r="B257" s="1808" t="s">
        <v>3339</v>
      </c>
      <c r="C257" s="1389">
        <v>1</v>
      </c>
      <c r="D257" s="1389" t="s">
        <v>1472</v>
      </c>
      <c r="E257" s="1389">
        <v>2</v>
      </c>
      <c r="F257" s="1392">
        <v>2.2599999999999998</v>
      </c>
      <c r="G257" s="1392"/>
      <c r="H257" s="1392">
        <v>3</v>
      </c>
      <c r="I257" s="1392">
        <f t="shared" si="16"/>
        <v>13.56</v>
      </c>
      <c r="J257" s="1392"/>
      <c r="K257" s="1399"/>
      <c r="L257" s="1366"/>
    </row>
    <row r="258" spans="1:12" s="1367" customFormat="1" ht="17.2" hidden="1" customHeight="1">
      <c r="A258" s="1398"/>
      <c r="B258" s="1808" t="s">
        <v>3336</v>
      </c>
      <c r="C258" s="1389">
        <v>1</v>
      </c>
      <c r="D258" s="1389" t="s">
        <v>1472</v>
      </c>
      <c r="E258" s="1389">
        <v>1</v>
      </c>
      <c r="F258" s="1392">
        <v>2.13</v>
      </c>
      <c r="G258" s="1392"/>
      <c r="H258" s="1392">
        <v>3</v>
      </c>
      <c r="I258" s="1392">
        <f t="shared" si="16"/>
        <v>6.39</v>
      </c>
      <c r="J258" s="1392"/>
      <c r="K258" s="1399"/>
      <c r="L258" s="1366"/>
    </row>
    <row r="259" spans="1:12" s="1367" customFormat="1" ht="17.2" hidden="1" customHeight="1">
      <c r="A259" s="1398"/>
      <c r="B259" s="1808"/>
      <c r="C259" s="1389">
        <v>1</v>
      </c>
      <c r="D259" s="1389" t="s">
        <v>1472</v>
      </c>
      <c r="E259" s="1389">
        <v>1</v>
      </c>
      <c r="F259" s="1392">
        <v>2.13</v>
      </c>
      <c r="G259" s="1392"/>
      <c r="H259" s="1392">
        <v>2.0499999999999998</v>
      </c>
      <c r="I259" s="1392">
        <f t="shared" si="16"/>
        <v>4.37</v>
      </c>
      <c r="J259" s="1392"/>
      <c r="K259" s="1399"/>
      <c r="L259" s="1366"/>
    </row>
    <row r="260" spans="1:12" s="1367" customFormat="1" ht="17.2" hidden="1" customHeight="1">
      <c r="A260" s="1398"/>
      <c r="B260" s="1808" t="s">
        <v>3340</v>
      </c>
      <c r="C260" s="1389">
        <v>-1</v>
      </c>
      <c r="D260" s="1389" t="s">
        <v>1472</v>
      </c>
      <c r="E260" s="1389">
        <v>2</v>
      </c>
      <c r="F260" s="1392">
        <v>1.05</v>
      </c>
      <c r="G260" s="1392"/>
      <c r="H260" s="1392">
        <v>2.1</v>
      </c>
      <c r="I260" s="1392">
        <f t="shared" si="16"/>
        <v>-4.41</v>
      </c>
      <c r="J260" s="1392"/>
      <c r="K260" s="1399"/>
      <c r="L260" s="1366"/>
    </row>
    <row r="261" spans="1:12" s="1367" customFormat="1" ht="17.2" hidden="1" customHeight="1">
      <c r="A261" s="1398"/>
      <c r="B261" s="1808" t="s">
        <v>3341</v>
      </c>
      <c r="C261" s="1389">
        <v>-1</v>
      </c>
      <c r="D261" s="1389" t="s">
        <v>1472</v>
      </c>
      <c r="E261" s="1389">
        <v>2</v>
      </c>
      <c r="F261" s="1392">
        <v>0.9</v>
      </c>
      <c r="G261" s="1392"/>
      <c r="H261" s="1392">
        <v>2.1</v>
      </c>
      <c r="I261" s="1392">
        <f t="shared" si="16"/>
        <v>-3.78</v>
      </c>
      <c r="J261" s="1392"/>
      <c r="K261" s="1399"/>
      <c r="L261" s="1366"/>
    </row>
    <row r="262" spans="1:12" s="1367" customFormat="1" ht="17.2" hidden="1" customHeight="1">
      <c r="A262" s="1398"/>
      <c r="B262" s="1808" t="s">
        <v>3342</v>
      </c>
      <c r="C262" s="1389">
        <v>-1</v>
      </c>
      <c r="D262" s="1389" t="s">
        <v>1472</v>
      </c>
      <c r="E262" s="1389">
        <v>1</v>
      </c>
      <c r="F262" s="1392">
        <v>0.9</v>
      </c>
      <c r="G262" s="1392"/>
      <c r="H262" s="1392">
        <v>2.1</v>
      </c>
      <c r="I262" s="1392">
        <f t="shared" si="16"/>
        <v>-1.89</v>
      </c>
      <c r="J262" s="1392"/>
      <c r="K262" s="1399"/>
      <c r="L262" s="1366"/>
    </row>
    <row r="263" spans="1:12" s="1367" customFormat="1" ht="17.2" hidden="1" customHeight="1">
      <c r="A263" s="1398"/>
      <c r="B263" s="1808" t="s">
        <v>3343</v>
      </c>
      <c r="C263" s="1389">
        <v>-1</v>
      </c>
      <c r="D263" s="1389" t="s">
        <v>1472</v>
      </c>
      <c r="E263" s="1389">
        <v>5</v>
      </c>
      <c r="F263" s="1392">
        <v>1.37</v>
      </c>
      <c r="G263" s="1392"/>
      <c r="H263" s="1392">
        <v>1.22</v>
      </c>
      <c r="I263" s="1392">
        <f t="shared" si="16"/>
        <v>-8.36</v>
      </c>
      <c r="J263" s="1392"/>
      <c r="K263" s="1399"/>
      <c r="L263" s="1366"/>
    </row>
    <row r="264" spans="1:12" s="1367" customFormat="1" ht="17.2" hidden="1" customHeight="1">
      <c r="A264" s="1398"/>
      <c r="B264" s="1808" t="s">
        <v>3302</v>
      </c>
      <c r="C264" s="1389">
        <v>-1</v>
      </c>
      <c r="D264" s="1389" t="s">
        <v>1472</v>
      </c>
      <c r="E264" s="1389">
        <v>1</v>
      </c>
      <c r="F264" s="1392">
        <v>0.75</v>
      </c>
      <c r="G264" s="1392"/>
      <c r="H264" s="1392">
        <v>0.9</v>
      </c>
      <c r="I264" s="1392">
        <f t="shared" si="16"/>
        <v>-0.68</v>
      </c>
      <c r="J264" s="1392"/>
      <c r="K264" s="1399"/>
      <c r="L264" s="1366"/>
    </row>
    <row r="265" spans="1:12" s="1367" customFormat="1" ht="17.2" hidden="1" customHeight="1">
      <c r="A265" s="1398"/>
      <c r="B265" s="1808" t="s">
        <v>3344</v>
      </c>
      <c r="C265" s="1389">
        <v>-1</v>
      </c>
      <c r="D265" s="1389" t="s">
        <v>1472</v>
      </c>
      <c r="E265" s="1389">
        <v>7</v>
      </c>
      <c r="F265" s="1392">
        <v>0.6</v>
      </c>
      <c r="G265" s="1392"/>
      <c r="H265" s="1392">
        <v>0.45</v>
      </c>
      <c r="I265" s="1392">
        <f t="shared" si="16"/>
        <v>-1.89</v>
      </c>
      <c r="J265" s="1392"/>
      <c r="K265" s="1399"/>
      <c r="L265" s="1366"/>
    </row>
    <row r="266" spans="1:12" s="1367" customFormat="1" ht="17.2" hidden="1" customHeight="1">
      <c r="A266" s="1398"/>
      <c r="B266" s="1808" t="s">
        <v>3345</v>
      </c>
      <c r="C266" s="1389">
        <v>-1</v>
      </c>
      <c r="D266" s="1389" t="s">
        <v>1472</v>
      </c>
      <c r="E266" s="1389">
        <v>1</v>
      </c>
      <c r="F266" s="1392">
        <v>0.6</v>
      </c>
      <c r="G266" s="1392"/>
      <c r="H266" s="1392">
        <v>0.45</v>
      </c>
      <c r="I266" s="1392">
        <f t="shared" si="16"/>
        <v>-0.27</v>
      </c>
      <c r="J266" s="1392"/>
      <c r="K266" s="1399"/>
      <c r="L266" s="1366"/>
    </row>
    <row r="267" spans="1:12" s="1367" customFormat="1" ht="17.2" hidden="1" customHeight="1">
      <c r="A267" s="1398"/>
      <c r="B267" s="1808" t="s">
        <v>3346</v>
      </c>
      <c r="C267" s="1389">
        <v>1</v>
      </c>
      <c r="D267" s="1389" t="s">
        <v>1472</v>
      </c>
      <c r="E267" s="1389">
        <v>2</v>
      </c>
      <c r="F267" s="1392">
        <v>1.2</v>
      </c>
      <c r="G267" s="1392"/>
      <c r="H267" s="1392">
        <v>2.6</v>
      </c>
      <c r="I267" s="1392">
        <f t="shared" si="16"/>
        <v>6.24</v>
      </c>
      <c r="J267" s="1392"/>
      <c r="K267" s="1399"/>
      <c r="L267" s="1366"/>
    </row>
    <row r="268" spans="1:12" s="1367" customFormat="1" ht="17.2" hidden="1" customHeight="1">
      <c r="A268" s="1398"/>
      <c r="B268" s="1808" t="s">
        <v>3347</v>
      </c>
      <c r="C268" s="1389">
        <v>1</v>
      </c>
      <c r="D268" s="1389" t="s">
        <v>1472</v>
      </c>
      <c r="E268" s="1389">
        <v>2</v>
      </c>
      <c r="F268" s="1392">
        <v>2.1</v>
      </c>
      <c r="G268" s="1392"/>
      <c r="H268" s="1392">
        <f>H267</f>
        <v>2.6</v>
      </c>
      <c r="I268" s="1392">
        <f t="shared" si="16"/>
        <v>10.92</v>
      </c>
      <c r="J268" s="1392"/>
      <c r="K268" s="1399"/>
      <c r="L268" s="1366"/>
    </row>
    <row r="269" spans="1:12" s="1367" customFormat="1" ht="17.2" hidden="1" customHeight="1">
      <c r="A269" s="1398"/>
      <c r="B269" s="1808" t="s">
        <v>3348</v>
      </c>
      <c r="C269" s="1389">
        <v>-1</v>
      </c>
      <c r="D269" s="1389" t="s">
        <v>1472</v>
      </c>
      <c r="E269" s="1389">
        <v>1</v>
      </c>
      <c r="F269" s="1392">
        <v>0.75</v>
      </c>
      <c r="G269" s="1392"/>
      <c r="H269" s="1392">
        <v>2.1</v>
      </c>
      <c r="I269" s="1392">
        <f t="shared" si="16"/>
        <v>-1.58</v>
      </c>
      <c r="J269" s="1392"/>
      <c r="K269" s="1399"/>
      <c r="L269" s="1366"/>
    </row>
    <row r="270" spans="1:12" s="1361" customFormat="1" ht="17.2" hidden="1" customHeight="1">
      <c r="A270" s="1386"/>
      <c r="B270" s="1393"/>
      <c r="C270" s="1386"/>
      <c r="D270" s="1386"/>
      <c r="E270" s="1386"/>
      <c r="F270" s="1394"/>
      <c r="G270" s="1394"/>
      <c r="H270" s="1394"/>
      <c r="I270" s="1394">
        <f>SUM(I250:I269)</f>
        <v>134.25999999999996</v>
      </c>
      <c r="J270" s="1394">
        <f>Datas!E681</f>
        <v>426.68500000000006</v>
      </c>
      <c r="K270" s="1395">
        <f>ROUND(I270*J270,0)</f>
        <v>57287</v>
      </c>
    </row>
    <row r="271" spans="1:12" s="1361" customFormat="1" ht="17.2" hidden="1" customHeight="1">
      <c r="A271" s="1386"/>
      <c r="B271" s="1386"/>
      <c r="C271" s="1386"/>
      <c r="D271" s="1386"/>
      <c r="E271" s="1386"/>
      <c r="F271" s="1386"/>
      <c r="G271" s="1386"/>
      <c r="H271" s="1386"/>
      <c r="I271" s="1386" t="s">
        <v>1478</v>
      </c>
      <c r="J271" s="1386" t="s">
        <v>3134</v>
      </c>
      <c r="K271" s="1396"/>
    </row>
    <row r="272" spans="1:12" s="1365" customFormat="1" ht="108" hidden="1" customHeight="1">
      <c r="A272" s="1397">
        <v>13</v>
      </c>
      <c r="B272" s="2544" t="s">
        <v>3028</v>
      </c>
      <c r="C272" s="2544"/>
      <c r="D272" s="2544"/>
      <c r="E272" s="2544"/>
      <c r="F272" s="2544"/>
      <c r="G272" s="2544"/>
      <c r="H272" s="2544"/>
      <c r="I272" s="2544"/>
      <c r="J272" s="1384"/>
      <c r="K272" s="1385"/>
      <c r="L272" s="1364"/>
    </row>
    <row r="273" spans="1:14" s="1365" customFormat="1" ht="18" hidden="1" customHeight="1">
      <c r="A273" s="1397"/>
      <c r="B273" s="1414" t="s">
        <v>3349</v>
      </c>
      <c r="C273" s="1384"/>
      <c r="D273" s="1384"/>
      <c r="E273" s="1384"/>
      <c r="F273" s="1410"/>
      <c r="G273" s="1410"/>
      <c r="H273" s="1410"/>
      <c r="I273" s="1410"/>
      <c r="J273" s="1384"/>
      <c r="K273" s="1385"/>
      <c r="L273" s="1364"/>
    </row>
    <row r="274" spans="1:14" s="1365" customFormat="1" ht="18" hidden="1" customHeight="1">
      <c r="A274" s="1397"/>
      <c r="B274" s="1385" t="s">
        <v>3350</v>
      </c>
      <c r="C274" s="1389">
        <v>1</v>
      </c>
      <c r="D274" s="1389" t="s">
        <v>1472</v>
      </c>
      <c r="E274" s="1389">
        <v>1</v>
      </c>
      <c r="F274" s="1392">
        <v>5</v>
      </c>
      <c r="G274" s="1392"/>
      <c r="H274" s="1392">
        <v>3</v>
      </c>
      <c r="I274" s="1392">
        <f t="shared" ref="I274:I287" si="17">ROUND(C274*E274*F274*H274,2)</f>
        <v>15</v>
      </c>
      <c r="J274" s="1384"/>
      <c r="K274" s="1385"/>
      <c r="L274" s="1364"/>
    </row>
    <row r="275" spans="1:14" s="1365" customFormat="1" ht="18" hidden="1" customHeight="1">
      <c r="A275" s="1397"/>
      <c r="B275" s="1385" t="s">
        <v>3351</v>
      </c>
      <c r="C275" s="1389">
        <v>1</v>
      </c>
      <c r="D275" s="1389" t="s">
        <v>1472</v>
      </c>
      <c r="E275" s="1389">
        <v>1</v>
      </c>
      <c r="F275" s="1392">
        <v>1.5</v>
      </c>
      <c r="G275" s="1392"/>
      <c r="H275" s="1392">
        <v>1</v>
      </c>
      <c r="I275" s="1392">
        <f t="shared" si="17"/>
        <v>1.5</v>
      </c>
      <c r="J275" s="1384"/>
      <c r="K275" s="1385"/>
      <c r="L275" s="1364"/>
    </row>
    <row r="276" spans="1:14" s="1365" customFormat="1" ht="18" hidden="1" customHeight="1">
      <c r="A276" s="1397"/>
      <c r="B276" s="1414" t="s">
        <v>3352</v>
      </c>
      <c r="C276" s="1389">
        <v>1</v>
      </c>
      <c r="D276" s="1389" t="s">
        <v>1472</v>
      </c>
      <c r="E276" s="1389">
        <v>1</v>
      </c>
      <c r="F276" s="1392">
        <v>1</v>
      </c>
      <c r="G276" s="1392"/>
      <c r="H276" s="1392">
        <v>2</v>
      </c>
      <c r="I276" s="1392">
        <f t="shared" si="17"/>
        <v>2</v>
      </c>
      <c r="J276" s="1384"/>
      <c r="K276" s="1415"/>
      <c r="N276" s="1368"/>
    </row>
    <row r="277" spans="1:14" s="1365" customFormat="1" ht="18" hidden="1" customHeight="1">
      <c r="A277" s="1397"/>
      <c r="B277" s="1385" t="s">
        <v>3353</v>
      </c>
      <c r="C277" s="1389">
        <v>1</v>
      </c>
      <c r="D277" s="1389" t="s">
        <v>1472</v>
      </c>
      <c r="E277" s="1389">
        <v>1</v>
      </c>
      <c r="F277" s="1392">
        <v>3.89</v>
      </c>
      <c r="G277" s="1392"/>
      <c r="H277" s="1392">
        <v>3</v>
      </c>
      <c r="I277" s="1392">
        <f t="shared" si="17"/>
        <v>11.67</v>
      </c>
      <c r="J277" s="1384"/>
      <c r="K277" s="1415"/>
      <c r="N277" s="1368"/>
    </row>
    <row r="278" spans="1:14" s="1365" customFormat="1" ht="18" hidden="1" customHeight="1">
      <c r="A278" s="1397"/>
      <c r="B278" s="1385" t="s">
        <v>3354</v>
      </c>
      <c r="C278" s="1389">
        <v>1</v>
      </c>
      <c r="D278" s="1389" t="s">
        <v>1472</v>
      </c>
      <c r="E278" s="1389">
        <v>1</v>
      </c>
      <c r="F278" s="1392">
        <v>1.53</v>
      </c>
      <c r="G278" s="1392"/>
      <c r="H278" s="1392">
        <v>3</v>
      </c>
      <c r="I278" s="1392">
        <f t="shared" si="17"/>
        <v>4.59</v>
      </c>
      <c r="J278" s="1384"/>
      <c r="K278" s="1415"/>
      <c r="N278" s="1368"/>
    </row>
    <row r="279" spans="1:14" s="1365" customFormat="1" ht="18" hidden="1" customHeight="1">
      <c r="A279" s="1397"/>
      <c r="B279" s="1385" t="s">
        <v>3355</v>
      </c>
      <c r="C279" s="1389">
        <v>1</v>
      </c>
      <c r="D279" s="1389" t="s">
        <v>1472</v>
      </c>
      <c r="E279" s="1389">
        <v>1</v>
      </c>
      <c r="F279" s="1392">
        <v>3.65</v>
      </c>
      <c r="G279" s="1392"/>
      <c r="H279" s="1392">
        <v>1</v>
      </c>
      <c r="I279" s="1392">
        <f t="shared" si="17"/>
        <v>3.65</v>
      </c>
      <c r="J279" s="1384"/>
      <c r="K279" s="1415"/>
      <c r="N279" s="1368"/>
    </row>
    <row r="280" spans="1:14" s="1365" customFormat="1" ht="18" hidden="1" customHeight="1">
      <c r="A280" s="1397"/>
      <c r="B280" s="1385" t="s">
        <v>3356</v>
      </c>
      <c r="C280" s="1389">
        <v>1</v>
      </c>
      <c r="D280" s="1389" t="s">
        <v>1472</v>
      </c>
      <c r="E280" s="1389">
        <v>1</v>
      </c>
      <c r="F280" s="1392">
        <v>1.3</v>
      </c>
      <c r="G280" s="1392"/>
      <c r="H280" s="1392">
        <v>1</v>
      </c>
      <c r="I280" s="1392">
        <f t="shared" si="17"/>
        <v>1.3</v>
      </c>
      <c r="J280" s="1384"/>
      <c r="K280" s="1415"/>
      <c r="N280" s="1368"/>
    </row>
    <row r="281" spans="1:14" s="1365" customFormat="1" ht="18" hidden="1" customHeight="1">
      <c r="A281" s="1397"/>
      <c r="B281" s="1385" t="s">
        <v>3357</v>
      </c>
      <c r="C281" s="1389">
        <v>1</v>
      </c>
      <c r="D281" s="1389" t="s">
        <v>1472</v>
      </c>
      <c r="E281" s="1389">
        <v>1</v>
      </c>
      <c r="F281" s="1392">
        <v>8.65</v>
      </c>
      <c r="G281" s="1392"/>
      <c r="H281" s="1392">
        <v>3.3</v>
      </c>
      <c r="I281" s="1392">
        <f t="shared" si="17"/>
        <v>28.55</v>
      </c>
      <c r="J281" s="1384"/>
      <c r="K281" s="1415"/>
      <c r="N281" s="1368"/>
    </row>
    <row r="282" spans="1:14" s="1365" customFormat="1" ht="18" hidden="1" customHeight="1">
      <c r="A282" s="1397"/>
      <c r="B282" s="1385" t="s">
        <v>3358</v>
      </c>
      <c r="C282" s="1389">
        <v>1</v>
      </c>
      <c r="D282" s="1389" t="s">
        <v>1472</v>
      </c>
      <c r="E282" s="1389">
        <v>1</v>
      </c>
      <c r="F282" s="1392">
        <v>6.5</v>
      </c>
      <c r="G282" s="1392"/>
      <c r="H282" s="1392">
        <v>3.3</v>
      </c>
      <c r="I282" s="1392">
        <f t="shared" si="17"/>
        <v>21.45</v>
      </c>
      <c r="J282" s="1384"/>
      <c r="K282" s="1415"/>
      <c r="N282" s="1368"/>
    </row>
    <row r="283" spans="1:14" s="1365" customFormat="1" ht="18" hidden="1" customHeight="1">
      <c r="A283" s="1397"/>
      <c r="B283" s="1385" t="s">
        <v>3359</v>
      </c>
      <c r="C283" s="1389">
        <v>1</v>
      </c>
      <c r="D283" s="1389" t="s">
        <v>1472</v>
      </c>
      <c r="E283" s="1389">
        <v>1</v>
      </c>
      <c r="F283" s="1392">
        <v>4.7300000000000004</v>
      </c>
      <c r="G283" s="1392"/>
      <c r="H283" s="1392">
        <v>3.3</v>
      </c>
      <c r="I283" s="1392">
        <f t="shared" si="17"/>
        <v>15.61</v>
      </c>
      <c r="J283" s="1384"/>
      <c r="K283" s="1415"/>
      <c r="N283" s="1368"/>
    </row>
    <row r="284" spans="1:14" s="1365" customFormat="1" ht="18" hidden="1" customHeight="1">
      <c r="A284" s="1397"/>
      <c r="B284" s="1385" t="s">
        <v>3360</v>
      </c>
      <c r="C284" s="1389">
        <v>1</v>
      </c>
      <c r="D284" s="1389" t="s">
        <v>1472</v>
      </c>
      <c r="E284" s="1389">
        <v>2</v>
      </c>
      <c r="F284" s="1392">
        <v>8.76</v>
      </c>
      <c r="G284" s="1392"/>
      <c r="H284" s="1392">
        <v>0.45</v>
      </c>
      <c r="I284" s="1392">
        <f t="shared" si="17"/>
        <v>7.88</v>
      </c>
      <c r="J284" s="1384"/>
      <c r="K284" s="1415"/>
      <c r="N284" s="1368"/>
    </row>
    <row r="285" spans="1:14" s="1365" customFormat="1" ht="18" hidden="1" customHeight="1">
      <c r="A285" s="1397"/>
      <c r="B285" s="1385" t="s">
        <v>3361</v>
      </c>
      <c r="C285" s="1389">
        <v>1</v>
      </c>
      <c r="D285" s="1389" t="s">
        <v>1472</v>
      </c>
      <c r="E285" s="1389">
        <v>2</v>
      </c>
      <c r="F285" s="1392">
        <v>6.7</v>
      </c>
      <c r="G285" s="1392"/>
      <c r="H285" s="1392">
        <v>0.45</v>
      </c>
      <c r="I285" s="1392">
        <f t="shared" si="17"/>
        <v>6.03</v>
      </c>
      <c r="J285" s="1384"/>
      <c r="K285" s="1415"/>
      <c r="N285" s="1368"/>
    </row>
    <row r="286" spans="1:14" s="1365" customFormat="1" ht="18" hidden="1" customHeight="1">
      <c r="A286" s="1397"/>
      <c r="B286" s="1385" t="s">
        <v>3362</v>
      </c>
      <c r="C286" s="1389">
        <v>1</v>
      </c>
      <c r="D286" s="1389" t="s">
        <v>1472</v>
      </c>
      <c r="E286" s="1389">
        <v>2</v>
      </c>
      <c r="F286" s="1392">
        <f>1.2+0.46</f>
        <v>1.66</v>
      </c>
      <c r="G286" s="1392"/>
      <c r="H286" s="1392">
        <v>2.6</v>
      </c>
      <c r="I286" s="1392">
        <f t="shared" si="17"/>
        <v>8.6300000000000008</v>
      </c>
      <c r="J286" s="1384"/>
      <c r="K286" s="1415"/>
      <c r="N286" s="1368"/>
    </row>
    <row r="287" spans="1:14" s="1365" customFormat="1" ht="18" hidden="1" customHeight="1">
      <c r="A287" s="1397"/>
      <c r="B287" s="1385"/>
      <c r="C287" s="1389">
        <v>1</v>
      </c>
      <c r="D287" s="1389" t="s">
        <v>1472</v>
      </c>
      <c r="E287" s="1389">
        <v>2</v>
      </c>
      <c r="F287" s="1392">
        <f>2.1+0.46</f>
        <v>2.56</v>
      </c>
      <c r="G287" s="1392"/>
      <c r="H287" s="1392">
        <v>2.6</v>
      </c>
      <c r="I287" s="1392">
        <f t="shared" si="17"/>
        <v>13.31</v>
      </c>
      <c r="J287" s="1384"/>
      <c r="K287" s="1415"/>
      <c r="N287" s="1368"/>
    </row>
    <row r="288" spans="1:14" s="1361" customFormat="1" ht="18" hidden="1" customHeight="1">
      <c r="A288" s="1386"/>
      <c r="B288" s="1393"/>
      <c r="C288" s="1386"/>
      <c r="D288" s="1386"/>
      <c r="E288" s="1386"/>
      <c r="F288" s="1394"/>
      <c r="G288" s="1394"/>
      <c r="H288" s="1394"/>
      <c r="I288" s="1394">
        <f>SUM(I274:I287)</f>
        <v>141.16999999999999</v>
      </c>
      <c r="J288" s="1394">
        <f>Datas!E706</f>
        <v>439.762</v>
      </c>
      <c r="K288" s="1395">
        <f>ROUND(I288*J288,0)</f>
        <v>62081</v>
      </c>
    </row>
    <row r="289" spans="1:14" s="1361" customFormat="1" ht="18" hidden="1" customHeight="1">
      <c r="A289" s="1386"/>
      <c r="B289" s="1386"/>
      <c r="C289" s="1386"/>
      <c r="D289" s="1386"/>
      <c r="E289" s="1386"/>
      <c r="F289" s="1386"/>
      <c r="G289" s="1386"/>
      <c r="H289" s="1386"/>
      <c r="I289" s="1386" t="s">
        <v>1478</v>
      </c>
      <c r="J289" s="1386" t="s">
        <v>3134</v>
      </c>
      <c r="K289" s="1396"/>
    </row>
    <row r="290" spans="1:14" s="1365" customFormat="1" ht="100.5" hidden="1" customHeight="1">
      <c r="A290" s="1397">
        <v>14</v>
      </c>
      <c r="B290" s="2544" t="str">
        <f>Datas!C1174</f>
        <v>Flooring with vitrified tiles of 1st quality, set over base coat of cement mortar (1:8), 12 mm thick over CC bed already laid or RCC roof slab, including neat cement slurry of honey like consistency spread @ 3.3.kgs per sqm &amp; jointed neatly with white cement paste to full depth mixed with pigment of matching shade, including cost of all materials like cement, sand water and tiles etc., complete, including seigniorage charges, etc., complete for finished item of work, but excluding the cost of conveyance of all materials.Makes:Kajaria,RAK,Jhanaran,Bell</v>
      </c>
      <c r="C290" s="2544"/>
      <c r="D290" s="2544"/>
      <c r="E290" s="2544"/>
      <c r="F290" s="2544"/>
      <c r="G290" s="2544"/>
      <c r="H290" s="2544"/>
      <c r="I290" s="2544"/>
      <c r="J290" s="1383"/>
      <c r="K290" s="1411"/>
      <c r="N290" s="1368"/>
    </row>
    <row r="291" spans="1:14" s="1369" customFormat="1" ht="18" hidden="1" customHeight="1">
      <c r="A291" s="1416"/>
      <c r="B291" s="1417" t="s">
        <v>3029</v>
      </c>
      <c r="C291" s="1418"/>
      <c r="D291" s="1418"/>
      <c r="E291" s="1418"/>
      <c r="F291" s="1418"/>
      <c r="G291" s="1418"/>
      <c r="H291" s="1418"/>
      <c r="I291" s="1418"/>
      <c r="J291" s="1419"/>
      <c r="K291" s="1420"/>
      <c r="N291" s="1370"/>
    </row>
    <row r="292" spans="1:14" s="1369" customFormat="1" ht="18" hidden="1" customHeight="1">
      <c r="A292" s="1416"/>
      <c r="B292" s="1421"/>
      <c r="C292" s="1422">
        <f t="shared" ref="C292:E293" si="18">C37</f>
        <v>1</v>
      </c>
      <c r="D292" s="1422" t="str">
        <f t="shared" si="18"/>
        <v>x</v>
      </c>
      <c r="E292" s="1422">
        <f t="shared" si="18"/>
        <v>1</v>
      </c>
      <c r="F292" s="1423">
        <v>4.2699999999999996</v>
      </c>
      <c r="G292" s="1423">
        <v>6.14</v>
      </c>
      <c r="H292" s="1424" t="s">
        <v>3013</v>
      </c>
      <c r="I292" s="1423">
        <f>ROUND(F292*G292*E292*C292,2)</f>
        <v>26.22</v>
      </c>
      <c r="J292" s="1419"/>
      <c r="K292" s="1420"/>
      <c r="N292" s="1370"/>
    </row>
    <row r="293" spans="1:14" s="1369" customFormat="1" ht="18" hidden="1" customHeight="1">
      <c r="A293" s="1416"/>
      <c r="B293" s="1421"/>
      <c r="C293" s="1422">
        <f t="shared" si="18"/>
        <v>1</v>
      </c>
      <c r="D293" s="1422" t="str">
        <f t="shared" si="18"/>
        <v>x</v>
      </c>
      <c r="E293" s="1422">
        <f t="shared" si="18"/>
        <v>1</v>
      </c>
      <c r="F293" s="1423">
        <v>3.65</v>
      </c>
      <c r="G293" s="1423">
        <v>1.3</v>
      </c>
      <c r="H293" s="1424" t="s">
        <v>3013</v>
      </c>
      <c r="I293" s="1423">
        <f t="shared" ref="I293:I295" si="19">ROUND(F293*G293*E293*C293,2)</f>
        <v>4.75</v>
      </c>
      <c r="J293" s="1419"/>
      <c r="K293" s="1420"/>
      <c r="N293" s="1370"/>
    </row>
    <row r="294" spans="1:14" s="1369" customFormat="1" ht="18" hidden="1" customHeight="1">
      <c r="A294" s="1416"/>
      <c r="B294" s="1421"/>
      <c r="C294" s="1422">
        <v>1</v>
      </c>
      <c r="D294" s="1422" t="s">
        <v>1472</v>
      </c>
      <c r="E294" s="1422">
        <v>1</v>
      </c>
      <c r="F294" s="1423">
        <v>3.65</v>
      </c>
      <c r="G294" s="1423">
        <v>2.31</v>
      </c>
      <c r="H294" s="1424" t="s">
        <v>3013</v>
      </c>
      <c r="I294" s="1423">
        <f t="shared" si="19"/>
        <v>8.43</v>
      </c>
      <c r="J294" s="1419"/>
      <c r="K294" s="1420"/>
      <c r="N294" s="1370"/>
    </row>
    <row r="295" spans="1:14" s="1369" customFormat="1" ht="18" hidden="1" customHeight="1">
      <c r="A295" s="1416"/>
      <c r="B295" s="1421"/>
      <c r="C295" s="1422">
        <v>1</v>
      </c>
      <c r="D295" s="1422" t="s">
        <v>1472</v>
      </c>
      <c r="E295" s="1422">
        <v>1</v>
      </c>
      <c r="F295" s="1423">
        <v>3.65</v>
      </c>
      <c r="G295" s="1423">
        <v>2.13</v>
      </c>
      <c r="H295" s="1424" t="s">
        <v>3013</v>
      </c>
      <c r="I295" s="1423">
        <f t="shared" si="19"/>
        <v>7.77</v>
      </c>
      <c r="J295" s="1419"/>
      <c r="K295" s="1420"/>
      <c r="N295" s="1370"/>
    </row>
    <row r="296" spans="1:14" s="1371" customFormat="1" ht="18" hidden="1" customHeight="1">
      <c r="A296" s="1419"/>
      <c r="B296" s="1425"/>
      <c r="C296" s="1419"/>
      <c r="D296" s="1419"/>
      <c r="E296" s="1419"/>
      <c r="F296" s="1426"/>
      <c r="G296" s="1426"/>
      <c r="H296" s="1426"/>
      <c r="I296" s="1426">
        <f>SUM(I292:I295)</f>
        <v>47.17</v>
      </c>
      <c r="J296" s="1426">
        <f>Datas!G1190</f>
        <v>1079.2259999999999</v>
      </c>
      <c r="K296" s="1427">
        <f>ROUND(I296*J296,0)</f>
        <v>50907</v>
      </c>
    </row>
    <row r="297" spans="1:14" s="1371" customFormat="1" ht="18" hidden="1" customHeight="1">
      <c r="A297" s="1419"/>
      <c r="B297" s="1419"/>
      <c r="C297" s="1419"/>
      <c r="D297" s="1419"/>
      <c r="E297" s="1419"/>
      <c r="F297" s="1419"/>
      <c r="G297" s="1419"/>
      <c r="H297" s="1419"/>
      <c r="I297" s="1419" t="s">
        <v>1478</v>
      </c>
      <c r="J297" s="1419" t="s">
        <v>3038</v>
      </c>
      <c r="K297" s="1428"/>
    </row>
    <row r="298" spans="1:14" s="1365" customFormat="1" ht="123.75" hidden="1" customHeight="1">
      <c r="A298" s="1397">
        <v>15</v>
      </c>
      <c r="B298" s="2544" t="str">
        <f>Datas!C809</f>
        <v>Providing skirting to internal walls to 15 cmheight/risers of steps with vitrified tiles length equal to flooring stones, set over base coat of CM (1:5)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 like Kajaria,RAK,Jhanran</v>
      </c>
      <c r="C298" s="2544"/>
      <c r="D298" s="2544"/>
      <c r="E298" s="2544"/>
      <c r="F298" s="2544"/>
      <c r="G298" s="2544"/>
      <c r="H298" s="2544"/>
      <c r="I298" s="2544"/>
      <c r="J298" s="1383"/>
      <c r="K298" s="1411"/>
      <c r="N298" s="1368"/>
    </row>
    <row r="299" spans="1:14" s="1369" customFormat="1" ht="18" hidden="1" customHeight="1">
      <c r="A299" s="1416"/>
      <c r="B299" s="1417" t="s">
        <v>3030</v>
      </c>
      <c r="C299" s="1418"/>
      <c r="D299" s="1418"/>
      <c r="E299" s="1418"/>
      <c r="F299" s="1418"/>
      <c r="G299" s="1418"/>
      <c r="H299" s="1418"/>
      <c r="I299" s="1418"/>
      <c r="J299" s="1419"/>
      <c r="K299" s="1420"/>
      <c r="N299" s="1370"/>
    </row>
    <row r="300" spans="1:14" s="1369" customFormat="1" ht="18" hidden="1" customHeight="1">
      <c r="A300" s="1416"/>
      <c r="B300" s="1421"/>
      <c r="C300" s="1422">
        <f t="shared" ref="C300:D303" si="20">C292</f>
        <v>1</v>
      </c>
      <c r="D300" s="1422" t="str">
        <f t="shared" si="20"/>
        <v>x</v>
      </c>
      <c r="E300" s="1422">
        <v>2</v>
      </c>
      <c r="F300" s="1423">
        <v>4.2699999999999996</v>
      </c>
      <c r="G300" s="1423"/>
      <c r="H300" s="1424">
        <v>0.1</v>
      </c>
      <c r="I300" s="1423">
        <f>ROUND(F300*H300*E300*C300,2)</f>
        <v>0.85</v>
      </c>
      <c r="J300" s="1419"/>
      <c r="K300" s="1420"/>
      <c r="N300" s="1370"/>
    </row>
    <row r="301" spans="1:14" s="1369" customFormat="1" ht="18" hidden="1" customHeight="1">
      <c r="A301" s="1416"/>
      <c r="B301" s="1421"/>
      <c r="C301" s="1422">
        <f t="shared" si="20"/>
        <v>1</v>
      </c>
      <c r="D301" s="1422" t="str">
        <f t="shared" si="20"/>
        <v>x</v>
      </c>
      <c r="E301" s="1422">
        <v>2</v>
      </c>
      <c r="F301" s="1423">
        <v>6.14</v>
      </c>
      <c r="G301" s="1423"/>
      <c r="H301" s="1424">
        <v>0.1</v>
      </c>
      <c r="I301" s="1423">
        <f t="shared" ref="I301:I305" si="21">ROUND(F301*H301*E301*C301,2)</f>
        <v>1.23</v>
      </c>
      <c r="J301" s="1419"/>
      <c r="K301" s="1420"/>
      <c r="N301" s="1370"/>
    </row>
    <row r="302" spans="1:14" s="1369" customFormat="1" ht="18" hidden="1" customHeight="1">
      <c r="A302" s="1416"/>
      <c r="B302" s="1421"/>
      <c r="C302" s="1422">
        <f t="shared" si="20"/>
        <v>1</v>
      </c>
      <c r="D302" s="1422" t="str">
        <f t="shared" si="20"/>
        <v>x</v>
      </c>
      <c r="E302" s="1422">
        <v>2</v>
      </c>
      <c r="F302" s="1423">
        <v>3.65</v>
      </c>
      <c r="G302" s="1423"/>
      <c r="H302" s="1424">
        <v>0.1</v>
      </c>
      <c r="I302" s="1423">
        <f t="shared" si="21"/>
        <v>0.73</v>
      </c>
      <c r="J302" s="1419"/>
      <c r="K302" s="1420"/>
      <c r="N302" s="1370"/>
    </row>
    <row r="303" spans="1:14" s="1369" customFormat="1" ht="18" hidden="1" customHeight="1">
      <c r="A303" s="1416"/>
      <c r="B303" s="1421"/>
      <c r="C303" s="1422">
        <f t="shared" si="20"/>
        <v>1</v>
      </c>
      <c r="D303" s="1422" t="str">
        <f t="shared" si="20"/>
        <v>x</v>
      </c>
      <c r="E303" s="1422">
        <v>2</v>
      </c>
      <c r="F303" s="1423">
        <v>1.3</v>
      </c>
      <c r="G303" s="1423"/>
      <c r="H303" s="1424">
        <v>0.1</v>
      </c>
      <c r="I303" s="1423">
        <f t="shared" si="21"/>
        <v>0.26</v>
      </c>
      <c r="J303" s="1419"/>
      <c r="K303" s="1420"/>
      <c r="N303" s="1370"/>
    </row>
    <row r="304" spans="1:14" s="1369" customFormat="1" ht="18" hidden="1" customHeight="1">
      <c r="A304" s="1416"/>
      <c r="B304" s="1421"/>
      <c r="C304" s="1422">
        <v>1</v>
      </c>
      <c r="D304" s="1422" t="s">
        <v>1472</v>
      </c>
      <c r="E304" s="1422">
        <v>2</v>
      </c>
      <c r="F304" s="1423">
        <v>3.65</v>
      </c>
      <c r="G304" s="1423"/>
      <c r="H304" s="1424">
        <v>0.1</v>
      </c>
      <c r="I304" s="1423">
        <f t="shared" si="21"/>
        <v>0.73</v>
      </c>
      <c r="J304" s="1419"/>
      <c r="K304" s="1420"/>
      <c r="N304" s="1370"/>
    </row>
    <row r="305" spans="1:14" s="1369" customFormat="1" ht="18" hidden="1" customHeight="1">
      <c r="A305" s="1416"/>
      <c r="B305" s="1421"/>
      <c r="C305" s="1422">
        <v>1</v>
      </c>
      <c r="D305" s="1422" t="s">
        <v>1472</v>
      </c>
      <c r="E305" s="1422">
        <v>2</v>
      </c>
      <c r="F305" s="1423">
        <v>2.31</v>
      </c>
      <c r="G305" s="1423"/>
      <c r="H305" s="1424">
        <v>0.1</v>
      </c>
      <c r="I305" s="1423">
        <f t="shared" si="21"/>
        <v>0.46</v>
      </c>
      <c r="J305" s="1419"/>
      <c r="K305" s="1420"/>
      <c r="N305" s="1370"/>
    </row>
    <row r="306" spans="1:14" s="1371" customFormat="1" ht="18" hidden="1" customHeight="1">
      <c r="A306" s="1419"/>
      <c r="B306" s="1425"/>
      <c r="C306" s="1419"/>
      <c r="D306" s="1419"/>
      <c r="E306" s="1419"/>
      <c r="F306" s="1426"/>
      <c r="G306" s="1426"/>
      <c r="H306" s="1426"/>
      <c r="I306" s="1426">
        <f>SUM(I300:I305)</f>
        <v>4.2600000000000007</v>
      </c>
      <c r="J306" s="1426">
        <f>Datas!G826</f>
        <v>814.08</v>
      </c>
      <c r="K306" s="1427">
        <f>ROUND(I306*J306,0)</f>
        <v>3468</v>
      </c>
    </row>
    <row r="307" spans="1:14" s="1371" customFormat="1" ht="18" hidden="1" customHeight="1">
      <c r="A307" s="1419"/>
      <c r="B307" s="1419"/>
      <c r="C307" s="1419"/>
      <c r="D307" s="1419"/>
      <c r="E307" s="1419"/>
      <c r="F307" s="1419"/>
      <c r="G307" s="1419"/>
      <c r="H307" s="1419"/>
      <c r="I307" s="1419" t="s">
        <v>1478</v>
      </c>
      <c r="J307" s="1419" t="s">
        <v>3038</v>
      </c>
      <c r="K307" s="1428"/>
    </row>
    <row r="308" spans="1:14" s="1365" customFormat="1" ht="99" hidden="1" customHeight="1">
      <c r="A308" s="1397">
        <v>16</v>
      </c>
      <c r="B308" s="2544" t="s">
        <v>3174</v>
      </c>
      <c r="C308" s="2544"/>
      <c r="D308" s="2544"/>
      <c r="E308" s="2544"/>
      <c r="F308" s="2544"/>
      <c r="G308" s="2544"/>
      <c r="H308" s="2544"/>
      <c r="I308" s="2544"/>
      <c r="J308" s="1383"/>
      <c r="K308" s="1411"/>
      <c r="N308" s="1368"/>
    </row>
    <row r="309" spans="1:14" s="1367" customFormat="1" ht="18" hidden="1" customHeight="1">
      <c r="A309" s="1398"/>
      <c r="B309" s="1408" t="s">
        <v>3031</v>
      </c>
      <c r="C309" s="1409"/>
      <c r="D309" s="1409"/>
      <c r="E309" s="1409"/>
      <c r="F309" s="1409"/>
      <c r="G309" s="1409"/>
      <c r="H309" s="1409"/>
      <c r="I309" s="1409"/>
      <c r="J309" s="1386"/>
      <c r="K309" s="1399"/>
      <c r="N309" s="1372"/>
    </row>
    <row r="310" spans="1:14" s="1367" customFormat="1" ht="18" hidden="1" customHeight="1">
      <c r="A310" s="1398"/>
      <c r="B310" s="1391" t="s">
        <v>3002</v>
      </c>
      <c r="C310" s="1389">
        <v>1</v>
      </c>
      <c r="D310" s="1389" t="s">
        <v>422</v>
      </c>
      <c r="E310" s="1389">
        <v>1</v>
      </c>
      <c r="F310" s="1392">
        <v>2</v>
      </c>
      <c r="G310" s="1392">
        <v>2.9</v>
      </c>
      <c r="H310" s="1402" t="s">
        <v>3013</v>
      </c>
      <c r="I310" s="1392">
        <f>ROUND(F310*G310*E310*C310,2)</f>
        <v>5.8</v>
      </c>
      <c r="J310" s="1386"/>
      <c r="K310" s="1399"/>
      <c r="N310" s="1372"/>
    </row>
    <row r="311" spans="1:14" s="1361" customFormat="1" ht="18" hidden="1" customHeight="1">
      <c r="A311" s="1386"/>
      <c r="B311" s="1393"/>
      <c r="C311" s="1386"/>
      <c r="D311" s="1386"/>
      <c r="E311" s="1386"/>
      <c r="F311" s="1394"/>
      <c r="G311" s="1394"/>
      <c r="H311" s="1394"/>
      <c r="I311" s="1394">
        <f>SUM(I310:I310)</f>
        <v>5.8</v>
      </c>
      <c r="J311" s="1394">
        <f>Datas!G791</f>
        <v>807.69497999999999</v>
      </c>
      <c r="K311" s="1395">
        <f>ROUND(I311*J311,0)</f>
        <v>4685</v>
      </c>
    </row>
    <row r="312" spans="1:14" s="1361" customFormat="1" ht="18" hidden="1" customHeight="1">
      <c r="A312" s="1386"/>
      <c r="B312" s="1386"/>
      <c r="C312" s="1386"/>
      <c r="D312" s="1386"/>
      <c r="E312" s="1386"/>
      <c r="F312" s="1386"/>
      <c r="G312" s="1386"/>
      <c r="H312" s="1386"/>
      <c r="I312" s="1386" t="s">
        <v>1478</v>
      </c>
      <c r="J312" s="1386" t="s">
        <v>923</v>
      </c>
      <c r="K312" s="1396"/>
    </row>
    <row r="313" spans="1:14" s="1365" customFormat="1" ht="111.75" hidden="1" customHeight="1">
      <c r="A313" s="1397">
        <v>17</v>
      </c>
      <c r="B313" s="2544" t="str">
        <f>Datas!C792</f>
        <v xml:space="preserve">Providing dadooing to walls with glazed full body ceramic tiles of any size and thickness between 5 to 7mm 1st quality conforming to IS: 13711, IS: 13712, IS: 13630(Parts 1 to 15) of any colour and finish in all shades and designs with borders as approved by Engineer-in-Charge  set over base coat of CM(1:5) 12 mm thick using screened sand with cement slurry of honey like consistency spread at the rate of 3.30 kgs per sqm and jointing with white cement paste mixed with pigment of matching shade to full depth, including cost of all materials like tiles, cement, sand and water etc., and overheads &amp; contractors profit complete for finished item of work.                  </v>
      </c>
      <c r="C313" s="2544"/>
      <c r="D313" s="2544"/>
      <c r="E313" s="2544"/>
      <c r="F313" s="2544"/>
      <c r="G313" s="2544"/>
      <c r="H313" s="2544"/>
      <c r="I313" s="2544"/>
      <c r="J313" s="1383"/>
      <c r="K313" s="1411"/>
      <c r="N313" s="1368"/>
    </row>
    <row r="314" spans="1:14" s="1367" customFormat="1" ht="17.2" hidden="1" customHeight="1">
      <c r="A314" s="1398"/>
      <c r="B314" s="1408" t="s">
        <v>3032</v>
      </c>
      <c r="C314" s="1409"/>
      <c r="D314" s="1409"/>
      <c r="E314" s="1409"/>
      <c r="F314" s="1409"/>
      <c r="G314" s="1409"/>
      <c r="H314" s="1409"/>
      <c r="I314" s="1409"/>
      <c r="J314" s="1386"/>
      <c r="K314" s="1399"/>
      <c r="N314" s="1372"/>
    </row>
    <row r="315" spans="1:14" s="1367" customFormat="1" ht="17.2" hidden="1" customHeight="1">
      <c r="A315" s="1398"/>
      <c r="B315" s="1391" t="s">
        <v>3033</v>
      </c>
      <c r="C315" s="1389">
        <v>0</v>
      </c>
      <c r="D315" s="1389" t="s">
        <v>422</v>
      </c>
      <c r="E315" s="1389">
        <v>2</v>
      </c>
      <c r="F315" s="1392">
        <v>2.605</v>
      </c>
      <c r="G315" s="1392"/>
      <c r="H315" s="1402">
        <v>1.5</v>
      </c>
      <c r="I315" s="1392">
        <f>ROUND(F315*H315*E315*C315,2)</f>
        <v>0</v>
      </c>
      <c r="J315" s="1386"/>
      <c r="K315" s="1399"/>
      <c r="N315" s="1372"/>
    </row>
    <row r="316" spans="1:14" s="1367" customFormat="1" ht="17.2" hidden="1" customHeight="1">
      <c r="A316" s="1398"/>
      <c r="B316" s="1391" t="s">
        <v>3000</v>
      </c>
      <c r="C316" s="1389">
        <v>0</v>
      </c>
      <c r="D316" s="1389" t="s">
        <v>422</v>
      </c>
      <c r="E316" s="1389">
        <v>2</v>
      </c>
      <c r="F316" s="1392">
        <v>1.38</v>
      </c>
      <c r="G316" s="1392"/>
      <c r="H316" s="1402">
        <v>1.5</v>
      </c>
      <c r="I316" s="1392">
        <f>ROUND(F316*H316*E316*C316,2)</f>
        <v>0</v>
      </c>
      <c r="J316" s="1386"/>
      <c r="K316" s="1399"/>
      <c r="N316" s="1372"/>
    </row>
    <row r="317" spans="1:14" s="1367" customFormat="1" ht="17.2" hidden="1" customHeight="1">
      <c r="A317" s="1398"/>
      <c r="B317" s="1391" t="s">
        <v>3034</v>
      </c>
      <c r="C317" s="1389">
        <v>0</v>
      </c>
      <c r="D317" s="1389" t="s">
        <v>422</v>
      </c>
      <c r="E317" s="1389">
        <v>1</v>
      </c>
      <c r="F317" s="1392">
        <v>-0.75</v>
      </c>
      <c r="G317" s="1392"/>
      <c r="H317" s="1402">
        <v>1.5</v>
      </c>
      <c r="I317" s="1392">
        <f>ROUND(F317*H317*E317*C317,2)</f>
        <v>0</v>
      </c>
      <c r="J317" s="1386"/>
      <c r="K317" s="1399"/>
      <c r="N317" s="1372"/>
    </row>
    <row r="318" spans="1:14" s="1361" customFormat="1" ht="17.2" hidden="1" customHeight="1">
      <c r="A318" s="1386"/>
      <c r="B318" s="1393"/>
      <c r="C318" s="1386"/>
      <c r="D318" s="1386"/>
      <c r="E318" s="1386"/>
      <c r="F318" s="1394"/>
      <c r="G318" s="1394"/>
      <c r="H318" s="1394"/>
      <c r="I318" s="1394">
        <f>SUM(I315:I317)</f>
        <v>0</v>
      </c>
      <c r="J318" s="1394">
        <f>Datas!G808</f>
        <v>638.54000000000008</v>
      </c>
      <c r="K318" s="1395">
        <f>ROUND(I318*J318,0)</f>
        <v>0</v>
      </c>
    </row>
    <row r="319" spans="1:14" s="1361" customFormat="1" ht="17.2" hidden="1" customHeight="1">
      <c r="A319" s="1386"/>
      <c r="B319" s="1386"/>
      <c r="C319" s="1386"/>
      <c r="D319" s="1386"/>
      <c r="E319" s="1386"/>
      <c r="F319" s="1386"/>
      <c r="G319" s="1386"/>
      <c r="H319" s="1386"/>
      <c r="I319" s="1386" t="s">
        <v>1478</v>
      </c>
      <c r="J319" s="1386" t="s">
        <v>3038</v>
      </c>
      <c r="K319" s="1396"/>
    </row>
    <row r="320" spans="1:14" s="1373" customFormat="1" ht="133.94999999999999" hidden="1" customHeight="1">
      <c r="A320" s="1429">
        <v>18</v>
      </c>
      <c r="B320" s="2541" t="str">
        <f>'data- Doors window- Teak'!C209</f>
        <v xml:space="preserve">Supply and fixing of Medium Teak Wood Door frame double shutter  fully panelled door of size 1.20 x 2.10 M with frame made of well seasoned MediumTeak  Wood scantlings of size 100 x 75 mm and shutter made of side rails 100mm X 32mm, top rail 100 mm 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including side windows of 0.45m wide with full height on both sides                                                                                                </v>
      </c>
      <c r="C320" s="2541"/>
      <c r="D320" s="2541"/>
      <c r="E320" s="2541"/>
      <c r="F320" s="2541"/>
      <c r="G320" s="2541"/>
      <c r="H320" s="2541"/>
      <c r="I320" s="2541"/>
      <c r="J320" s="1430"/>
      <c r="K320" s="1431"/>
      <c r="N320" s="1374"/>
    </row>
    <row r="321" spans="1:14" s="1375" customFormat="1" ht="17.2" hidden="1" customHeight="1">
      <c r="A321" s="1432"/>
      <c r="B321" s="1433" t="s">
        <v>3035</v>
      </c>
      <c r="C321" s="1434">
        <v>0</v>
      </c>
      <c r="D321" s="1434" t="s">
        <v>422</v>
      </c>
      <c r="E321" s="1434">
        <v>0</v>
      </c>
      <c r="F321" s="1435" t="s">
        <v>3013</v>
      </c>
      <c r="G321" s="1435" t="s">
        <v>3013</v>
      </c>
      <c r="H321" s="1435" t="s">
        <v>3013</v>
      </c>
      <c r="I321" s="1436">
        <f>E321</f>
        <v>0</v>
      </c>
      <c r="J321" s="1436">
        <f>'data- Doors window- Teak'!J236</f>
        <v>38298.298047999997</v>
      </c>
      <c r="K321" s="1395">
        <f>ROUND(I321*J321,0)</f>
        <v>0</v>
      </c>
      <c r="N321" s="1376"/>
    </row>
    <row r="322" spans="1:14" s="1375" customFormat="1" ht="17.2" hidden="1" customHeight="1">
      <c r="A322" s="1432"/>
      <c r="B322" s="1437"/>
      <c r="C322" s="1434"/>
      <c r="D322" s="1434"/>
      <c r="E322" s="1434"/>
      <c r="F322" s="1435"/>
      <c r="G322" s="1435"/>
      <c r="H322" s="1435"/>
      <c r="I322" s="1436" t="s">
        <v>3036</v>
      </c>
      <c r="J322" s="1438" t="s">
        <v>856</v>
      </c>
      <c r="K322" s="1439"/>
      <c r="N322" s="1376"/>
    </row>
    <row r="323" spans="1:14" s="1375" customFormat="1" ht="17.2" hidden="1" customHeight="1">
      <c r="A323" s="1432"/>
      <c r="B323" s="1437"/>
      <c r="C323" s="1434"/>
      <c r="D323" s="1434"/>
      <c r="E323" s="1434"/>
      <c r="F323" s="1435"/>
      <c r="G323" s="1435"/>
      <c r="H323" s="1435"/>
      <c r="I323" s="1436"/>
      <c r="J323" s="1438"/>
      <c r="K323" s="1439"/>
      <c r="N323" s="1376"/>
    </row>
    <row r="324" spans="1:14" s="1373" customFormat="1" ht="135.69999999999999" hidden="1" customHeight="1">
      <c r="A324" s="1429">
        <v>19</v>
      </c>
      <c r="B324" s="2541" t="str">
        <f>' data-Doors window- Sal Wood '!C134</f>
        <v xml:space="preserve">Supply and fixing of  Sal wood Door double shutter  fully panelled door of size 1.20 x 2.1mt with frame made of well seasoned Sal Wood scantlings of size 100 x 75mm and shutter made ofmedium teak wood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v>
      </c>
      <c r="C324" s="2541"/>
      <c r="D324" s="2541"/>
      <c r="E324" s="2541"/>
      <c r="F324" s="2541"/>
      <c r="G324" s="2541"/>
      <c r="H324" s="2541"/>
      <c r="I324" s="2541"/>
      <c r="J324" s="1430"/>
      <c r="K324" s="1431"/>
      <c r="N324" s="1374"/>
    </row>
    <row r="325" spans="1:14" s="1375" customFormat="1" ht="17.2" hidden="1" customHeight="1">
      <c r="A325" s="1432"/>
      <c r="B325" s="1433" t="s">
        <v>3046</v>
      </c>
      <c r="C325" s="1434">
        <v>0</v>
      </c>
      <c r="D325" s="1434" t="s">
        <v>422</v>
      </c>
      <c r="E325" s="1434">
        <v>2</v>
      </c>
      <c r="F325" s="1435" t="s">
        <v>3013</v>
      </c>
      <c r="G325" s="1435" t="s">
        <v>3013</v>
      </c>
      <c r="H325" s="1435" t="s">
        <v>3013</v>
      </c>
      <c r="I325" s="1436">
        <f>E325</f>
        <v>2</v>
      </c>
      <c r="J325" s="1436">
        <f>' data-Doors window- Sal Wood '!J157</f>
        <v>15389.399973</v>
      </c>
      <c r="K325" s="1395">
        <f>ROUND(I325*J325,0)</f>
        <v>30779</v>
      </c>
      <c r="N325" s="1376"/>
    </row>
    <row r="326" spans="1:14" s="1375" customFormat="1" ht="17.2" hidden="1" customHeight="1">
      <c r="A326" s="1432"/>
      <c r="B326" s="1437"/>
      <c r="C326" s="1434"/>
      <c r="D326" s="1434"/>
      <c r="E326" s="1434"/>
      <c r="F326" s="1435"/>
      <c r="G326" s="1435"/>
      <c r="H326" s="1435"/>
      <c r="I326" s="1436" t="s">
        <v>3036</v>
      </c>
      <c r="J326" s="1438" t="s">
        <v>856</v>
      </c>
      <c r="K326" s="1439"/>
      <c r="N326" s="1376"/>
    </row>
    <row r="327" spans="1:14" s="1373" customFormat="1" ht="135.69999999999999" hidden="1" customHeight="1">
      <c r="A327" s="1429">
        <v>20</v>
      </c>
      <c r="B327" s="2541" t="str">
        <f>' data-Doors window- Sal Wood '!C62</f>
        <v xml:space="preserve">Supply and fixing of Salwood Door double shutter  fully panelled door of size 0.90 x 2.1mt with frame made of well seasoned Sal Wood scantlings of size 75 x 100 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v>
      </c>
      <c r="C327" s="2541"/>
      <c r="D327" s="2541"/>
      <c r="E327" s="2541"/>
      <c r="F327" s="2541"/>
      <c r="G327" s="2541"/>
      <c r="H327" s="2541"/>
      <c r="I327" s="2541"/>
      <c r="J327" s="1430"/>
      <c r="K327" s="1431"/>
      <c r="N327" s="1374"/>
    </row>
    <row r="328" spans="1:14" s="1375" customFormat="1" ht="17.2" hidden="1" customHeight="1">
      <c r="A328" s="1432"/>
      <c r="B328" s="1433" t="s">
        <v>3047</v>
      </c>
      <c r="C328" s="1434">
        <v>1</v>
      </c>
      <c r="D328" s="1434" t="s">
        <v>422</v>
      </c>
      <c r="E328" s="1434">
        <v>3</v>
      </c>
      <c r="F328" s="1435" t="s">
        <v>3013</v>
      </c>
      <c r="G328" s="1435" t="s">
        <v>3013</v>
      </c>
      <c r="H328" s="1435" t="s">
        <v>3013</v>
      </c>
      <c r="I328" s="1436">
        <f>E328</f>
        <v>3</v>
      </c>
      <c r="J328" s="1436">
        <f>' data-Doors window- Sal Wood '!J85</f>
        <v>12556.041137249998</v>
      </c>
      <c r="K328" s="1395">
        <f>ROUND(I328*J328,0)</f>
        <v>37668</v>
      </c>
      <c r="N328" s="1376"/>
    </row>
    <row r="329" spans="1:14" s="1375" customFormat="1" ht="17.2" hidden="1" customHeight="1">
      <c r="A329" s="1432"/>
      <c r="B329" s="1437"/>
      <c r="C329" s="1434"/>
      <c r="D329" s="1434"/>
      <c r="E329" s="1434"/>
      <c r="F329" s="1435"/>
      <c r="G329" s="1435"/>
      <c r="H329" s="1435"/>
      <c r="I329" s="1436" t="s">
        <v>3036</v>
      </c>
      <c r="J329" s="1438" t="s">
        <v>856</v>
      </c>
      <c r="K329" s="1439"/>
      <c r="N329" s="1376"/>
    </row>
    <row r="330" spans="1:14" s="1375" customFormat="1" ht="17.2" hidden="1" customHeight="1">
      <c r="A330" s="1432"/>
      <c r="B330" s="1437"/>
      <c r="C330" s="1434"/>
      <c r="D330" s="1434"/>
      <c r="E330" s="1434"/>
      <c r="F330" s="1435"/>
      <c r="G330" s="1435"/>
      <c r="H330" s="1435"/>
      <c r="I330" s="1436"/>
      <c r="J330" s="1438"/>
      <c r="K330" s="1439"/>
      <c r="N330" s="1376"/>
    </row>
    <row r="331" spans="1:14" s="1373" customFormat="1" ht="90" hidden="1" customHeight="1">
      <c r="A331" s="1429">
        <v>22</v>
      </c>
      <c r="B331" s="2541" t="str">
        <f>' data-Doors window- Sal Wood '!C488</f>
        <v>Providing and fixing factory made solid Wood Polymer Composite (WPC) single extruded Door Frame section of 100*65 MM with encapsulation of 6 MM rigid layer on all external surfaces. The door frame will have a rebate of 32MM/ 37 MM. The two Vertical members are to be joined together with the horizontal member using 8x75 MM long MS Star full thread screws to be used with reverse forward speed control hand drilling machine.</v>
      </c>
      <c r="C331" s="2541"/>
      <c r="D331" s="2541"/>
      <c r="E331" s="2541"/>
      <c r="F331" s="2541"/>
      <c r="G331" s="2541"/>
      <c r="H331" s="2541"/>
      <c r="I331" s="2541"/>
      <c r="J331" s="1430"/>
      <c r="K331" s="1431"/>
      <c r="N331" s="1374"/>
    </row>
    <row r="332" spans="1:14" s="1373" customFormat="1" ht="19.95" hidden="1" customHeight="1">
      <c r="A332" s="1429"/>
      <c r="B332" s="1433" t="s">
        <v>3037</v>
      </c>
      <c r="C332" s="1434">
        <v>0</v>
      </c>
      <c r="D332" s="1434" t="s">
        <v>422</v>
      </c>
      <c r="E332" s="1434">
        <v>2</v>
      </c>
      <c r="F332" s="2546" t="s">
        <v>3201</v>
      </c>
      <c r="G332" s="2547"/>
      <c r="H332" s="2548"/>
      <c r="I332" s="1436">
        <v>0</v>
      </c>
      <c r="J332" s="1436">
        <f>' data-Doors window- Sal Wood '!J491</f>
        <v>777</v>
      </c>
      <c r="K332" s="1395">
        <f>ROUND(I332*J332,0)</f>
        <v>0</v>
      </c>
      <c r="N332" s="1374"/>
    </row>
    <row r="333" spans="1:14" s="1373" customFormat="1" ht="19.95" hidden="1" customHeight="1">
      <c r="A333" s="1429"/>
      <c r="B333" s="1433" t="s">
        <v>3061</v>
      </c>
      <c r="C333" s="1434"/>
      <c r="D333" s="1434"/>
      <c r="E333" s="1434"/>
      <c r="F333" s="1435"/>
      <c r="G333" s="1435"/>
      <c r="H333" s="1435"/>
      <c r="I333" s="1386" t="s">
        <v>3114</v>
      </c>
      <c r="J333" s="1386" t="s">
        <v>3114</v>
      </c>
      <c r="K333" s="1395"/>
      <c r="N333" s="1374"/>
    </row>
    <row r="334" spans="1:14" s="1373" customFormat="1" ht="160.19999999999999" hidden="1" customHeight="1">
      <c r="A334" s="1429">
        <v>21</v>
      </c>
      <c r="B334" s="2541" t="str">
        <f>' data-Doors window- Sal Wood '!C492</f>
        <v>Supplying and fixing of 28/30 mm thick Wood Plastic Composite (WPC) Door shutter, comprising of 70% virgin polymer, 15% wood powder (fiber), and the remaining 15% additives, comprising of virgin PVC polymer of K value 58-60 (Suspension grade), Calcium carbonate and natural fibers (wood powder) and non toxic additives (maximum toxicity index of 12 for 100 gms) having minimum door density of 650 kg/cum, screw withdrawal strength 1800N (Face) &amp; 900N (Edge), Modulus of Elasticity 900N/mm2 and resistance to spread of flame of Class A category with property of being termite/borer proof, water/moisture proof and fire retardant and fixed in position with stainless steel butt hinges of required size with necessary full body threaded star headed counter sunk SS screws all as per direction of Engineer -in- Charge (SS butt hinges and SS screws shall be paid separately)</v>
      </c>
      <c r="C334" s="2541"/>
      <c r="D334" s="2541"/>
      <c r="E334" s="2541"/>
      <c r="F334" s="2541"/>
      <c r="G334" s="2541"/>
      <c r="H334" s="2541"/>
      <c r="I334" s="2541"/>
      <c r="J334" s="1430"/>
      <c r="K334" s="1431"/>
      <c r="N334" s="1374"/>
    </row>
    <row r="335" spans="1:14" s="1375" customFormat="1" ht="17.2" hidden="1" customHeight="1">
      <c r="A335" s="1432"/>
      <c r="B335" s="1433" t="s">
        <v>3037</v>
      </c>
      <c r="C335" s="1434">
        <v>1</v>
      </c>
      <c r="D335" s="1434" t="s">
        <v>422</v>
      </c>
      <c r="E335" s="1434">
        <v>1</v>
      </c>
      <c r="F335" s="1435" t="s">
        <v>3013</v>
      </c>
      <c r="G335" s="1435" t="s">
        <v>3013</v>
      </c>
      <c r="H335" s="1435" t="s">
        <v>3013</v>
      </c>
      <c r="I335" s="1436">
        <f>E335</f>
        <v>1</v>
      </c>
      <c r="J335" s="1436">
        <f>' data-Doors window- Sal Wood '!H503</f>
        <v>3759.01</v>
      </c>
      <c r="K335" s="1395">
        <f>ROUND(I335*J335,0)</f>
        <v>3759</v>
      </c>
      <c r="N335" s="1376"/>
    </row>
    <row r="336" spans="1:14" s="1375" customFormat="1" ht="17.2" hidden="1" customHeight="1">
      <c r="A336" s="1432"/>
      <c r="B336" s="1437"/>
      <c r="C336" s="1434"/>
      <c r="D336" s="1434"/>
      <c r="E336" s="1434"/>
      <c r="F336" s="1435"/>
      <c r="G336" s="1435"/>
      <c r="H336" s="1435"/>
      <c r="I336" s="1436" t="s">
        <v>3036</v>
      </c>
      <c r="J336" s="1438" t="s">
        <v>856</v>
      </c>
      <c r="K336" s="1439"/>
      <c r="N336" s="1376"/>
    </row>
    <row r="337" spans="1:14" s="1373" customFormat="1" ht="201.7" hidden="1" customHeight="1">
      <c r="A337" s="1429">
        <v>22</v>
      </c>
      <c r="B337" s="2541" t="s">
        <v>2829</v>
      </c>
      <c r="C337" s="2541"/>
      <c r="D337" s="2541"/>
      <c r="E337" s="2541"/>
      <c r="F337" s="2541"/>
      <c r="G337" s="2541"/>
      <c r="H337" s="2541"/>
      <c r="I337" s="2541"/>
      <c r="J337" s="1430"/>
      <c r="K337" s="1431"/>
      <c r="N337" s="1374"/>
    </row>
    <row r="338" spans="1:14" s="1375" customFormat="1" ht="17.2" hidden="1" customHeight="1">
      <c r="A338" s="1432"/>
      <c r="B338" s="1439" t="s">
        <v>3049</v>
      </c>
      <c r="C338" s="1434">
        <v>1</v>
      </c>
      <c r="D338" s="1434" t="s">
        <v>422</v>
      </c>
      <c r="E338" s="1434">
        <v>5</v>
      </c>
      <c r="F338" s="1438">
        <f>F170</f>
        <v>1.37</v>
      </c>
      <c r="G338" s="1438"/>
      <c r="H338" s="1438">
        <f>H170</f>
        <v>1.22</v>
      </c>
      <c r="I338" s="1438">
        <f>ROUND(F338*E338*C338*H338,2)</f>
        <v>8.36</v>
      </c>
      <c r="J338" s="1438"/>
      <c r="K338" s="1439"/>
      <c r="N338" s="1376"/>
    </row>
    <row r="339" spans="1:14" s="1375" customFormat="1" ht="17.2" hidden="1" customHeight="1">
      <c r="A339" s="1432"/>
      <c r="B339" s="1439" t="s">
        <v>3050</v>
      </c>
      <c r="C339" s="1434">
        <v>1</v>
      </c>
      <c r="D339" s="1434" t="s">
        <v>422</v>
      </c>
      <c r="E339" s="1434">
        <v>1</v>
      </c>
      <c r="F339" s="1438">
        <v>0.75</v>
      </c>
      <c r="G339" s="1438"/>
      <c r="H339" s="1438">
        <v>0.9</v>
      </c>
      <c r="I339" s="1438">
        <f>ROUND(F339*E339*C339*H339,2)</f>
        <v>0.68</v>
      </c>
      <c r="J339" s="1438"/>
      <c r="K339" s="1439"/>
      <c r="N339" s="1376"/>
    </row>
    <row r="340" spans="1:14" s="1375" customFormat="1" ht="17.2" hidden="1" customHeight="1">
      <c r="A340" s="1432"/>
      <c r="B340" s="1440" t="s">
        <v>2830</v>
      </c>
      <c r="C340" s="1434"/>
      <c r="D340" s="1434"/>
      <c r="E340" s="1434"/>
      <c r="F340" s="1435"/>
      <c r="G340" s="1435"/>
      <c r="H340" s="1435"/>
      <c r="I340" s="1436">
        <f>SUM(I338:I339)</f>
        <v>9.0399999999999991</v>
      </c>
      <c r="J340" s="1436">
        <v>6396</v>
      </c>
      <c r="K340" s="1395">
        <f>ROUND(I340*J340,0)</f>
        <v>57820</v>
      </c>
      <c r="N340" s="1376"/>
    </row>
    <row r="341" spans="1:14" s="1377" customFormat="1" ht="17.2" hidden="1" customHeight="1">
      <c r="A341" s="1441"/>
      <c r="B341" s="1441"/>
      <c r="C341" s="1441"/>
      <c r="D341" s="1441"/>
      <c r="E341" s="1441"/>
      <c r="F341" s="1441"/>
      <c r="G341" s="1441"/>
      <c r="H341" s="1441"/>
      <c r="I341" s="1441" t="s">
        <v>1478</v>
      </c>
      <c r="J341" s="1441" t="s">
        <v>3038</v>
      </c>
      <c r="K341" s="1442"/>
    </row>
    <row r="342" spans="1:14" s="1377" customFormat="1" ht="17.2" hidden="1" customHeight="1">
      <c r="A342" s="1441"/>
      <c r="B342" s="1441"/>
      <c r="C342" s="1441"/>
      <c r="D342" s="1441"/>
      <c r="E342" s="1441"/>
      <c r="F342" s="1441"/>
      <c r="G342" s="1441"/>
      <c r="H342" s="1441"/>
      <c r="I342" s="1441"/>
      <c r="J342" s="1441"/>
      <c r="K342" s="1442"/>
    </row>
    <row r="343" spans="1:14" s="1373" customFormat="1" ht="53.4" hidden="1" customHeight="1">
      <c r="A343" s="1429">
        <v>25</v>
      </c>
      <c r="B343" s="2541" t="str">
        <f>Datas!C1046</f>
        <v>Supply , manufacture,  making to  specified design andLabour charges for fabricating steel works like Window Grills, Compound Wall Grills, Iron Doors, Windows including cost of welding rods, power charges, excluding cost of fixing in position</v>
      </c>
      <c r="C343" s="2541"/>
      <c r="D343" s="2541"/>
      <c r="E343" s="2541"/>
      <c r="F343" s="2541"/>
      <c r="G343" s="2541"/>
      <c r="H343" s="2541"/>
      <c r="I343" s="2541"/>
      <c r="J343" s="1430"/>
      <c r="K343" s="1431"/>
      <c r="N343" s="1374"/>
    </row>
    <row r="344" spans="1:14" s="1373" customFormat="1" ht="24" hidden="1" customHeight="1">
      <c r="A344" s="1429"/>
      <c r="B344" s="1443" t="s">
        <v>3258</v>
      </c>
      <c r="C344" s="1444"/>
      <c r="D344" s="1444"/>
      <c r="E344" s="1444"/>
      <c r="F344" s="1444"/>
      <c r="G344" s="1444"/>
      <c r="H344" s="1444"/>
      <c r="I344" s="1444"/>
      <c r="J344" s="1430"/>
      <c r="K344" s="1431"/>
      <c r="N344" s="1374"/>
    </row>
    <row r="345" spans="1:14" s="1377" customFormat="1" ht="17.2" hidden="1" customHeight="1">
      <c r="A345" s="1441"/>
      <c r="B345" s="1441" t="s">
        <v>3052</v>
      </c>
      <c r="C345" s="1434">
        <v>1</v>
      </c>
      <c r="D345" s="1434" t="s">
        <v>422</v>
      </c>
      <c r="E345" s="1434">
        <v>6</v>
      </c>
      <c r="F345" s="1438"/>
      <c r="G345" s="1438"/>
      <c r="H345" s="1438"/>
      <c r="I345" s="1438">
        <f>6*1.2*0.3*10.76*3</f>
        <v>69.724799999999988</v>
      </c>
      <c r="J345" s="1441"/>
      <c r="K345" s="1442"/>
    </row>
    <row r="346" spans="1:14" s="1377" customFormat="1" ht="17.2" hidden="1" customHeight="1">
      <c r="A346" s="1441"/>
      <c r="B346" s="1441" t="s">
        <v>3053</v>
      </c>
      <c r="C346" s="1434">
        <v>1</v>
      </c>
      <c r="D346" s="1434" t="s">
        <v>422</v>
      </c>
      <c r="E346" s="1434">
        <v>3</v>
      </c>
      <c r="F346" s="1438"/>
      <c r="G346" s="1438"/>
      <c r="H346" s="1438"/>
      <c r="I346" s="1438">
        <f>3*0.9*0.3*10.76*3</f>
        <v>26.146799999999999</v>
      </c>
      <c r="J346" s="1441"/>
      <c r="K346" s="1442"/>
    </row>
    <row r="347" spans="1:14" s="1377" customFormat="1" ht="17.2" hidden="1" customHeight="1">
      <c r="A347" s="1441"/>
      <c r="B347" s="1445" t="s">
        <v>3056</v>
      </c>
      <c r="C347" s="1434"/>
      <c r="D347" s="1434"/>
      <c r="E347" s="1434"/>
      <c r="F347" s="1438"/>
      <c r="G347" s="1438"/>
      <c r="H347" s="1438"/>
      <c r="I347" s="1438"/>
      <c r="J347" s="1441"/>
      <c r="K347" s="1442"/>
    </row>
    <row r="348" spans="1:14" s="1377" customFormat="1" ht="17.2" hidden="1" customHeight="1">
      <c r="A348" s="1441"/>
      <c r="B348" s="1441" t="s">
        <v>3054</v>
      </c>
      <c r="C348" s="1434">
        <v>1</v>
      </c>
      <c r="D348" s="1434" t="s">
        <v>422</v>
      </c>
      <c r="E348" s="1434">
        <v>7</v>
      </c>
      <c r="F348" s="1438"/>
      <c r="G348" s="1438"/>
      <c r="H348" s="1438"/>
      <c r="I348" s="1438">
        <f>6*1.2*1.35*10.76*3</f>
        <v>313.76159999999993</v>
      </c>
      <c r="J348" s="1441"/>
      <c r="K348" s="1442"/>
    </row>
    <row r="349" spans="1:14" s="1377" customFormat="1" ht="17.2" hidden="1" customHeight="1">
      <c r="A349" s="1441"/>
      <c r="B349" s="1441" t="s">
        <v>3055</v>
      </c>
      <c r="C349" s="1434">
        <v>1</v>
      </c>
      <c r="D349" s="1434" t="s">
        <v>422</v>
      </c>
      <c r="E349" s="1434">
        <v>2</v>
      </c>
      <c r="F349" s="1438"/>
      <c r="G349" s="1438"/>
      <c r="H349" s="1438"/>
      <c r="I349" s="1438">
        <f>3*0.9*1.25*10.76*3</f>
        <v>108.94499999999999</v>
      </c>
      <c r="J349" s="1441"/>
      <c r="K349" s="1442"/>
    </row>
    <row r="350" spans="1:14" s="1377" customFormat="1" ht="17.2" hidden="1" customHeight="1">
      <c r="A350" s="1441"/>
      <c r="B350" s="1441" t="s">
        <v>3132</v>
      </c>
      <c r="C350" s="1434">
        <v>1</v>
      </c>
      <c r="D350" s="1434" t="s">
        <v>422</v>
      </c>
      <c r="E350" s="1434">
        <v>0</v>
      </c>
      <c r="F350" s="1438"/>
      <c r="G350" s="1438"/>
      <c r="H350" s="1438"/>
      <c r="I350" s="1438">
        <f>3*1.5*10.76*4.25*E350</f>
        <v>0</v>
      </c>
      <c r="J350" s="1441"/>
      <c r="K350" s="1442"/>
    </row>
    <row r="351" spans="1:14" s="1377" customFormat="1" ht="17.2" hidden="1" customHeight="1">
      <c r="A351" s="1441"/>
      <c r="B351" s="1441"/>
      <c r="C351" s="1441"/>
      <c r="D351" s="1441"/>
      <c r="E351" s="1441"/>
      <c r="F351" s="1441"/>
      <c r="G351" s="1441"/>
      <c r="H351" s="1441"/>
      <c r="I351" s="1436">
        <v>120</v>
      </c>
      <c r="J351" s="1436">
        <f>Datas!G1054</f>
        <v>116.62</v>
      </c>
      <c r="K351" s="1395">
        <f>ROUND(I351*J351,0)</f>
        <v>13994</v>
      </c>
    </row>
    <row r="352" spans="1:14" s="1377" customFormat="1" ht="17.2" hidden="1" customHeight="1">
      <c r="A352" s="1441"/>
      <c r="B352" s="1441"/>
      <c r="C352" s="1441"/>
      <c r="D352" s="1441"/>
      <c r="E352" s="1441"/>
      <c r="F352" s="1441"/>
      <c r="G352" s="1441"/>
      <c r="H352" s="1441"/>
      <c r="I352" s="1441" t="s">
        <v>1038</v>
      </c>
      <c r="J352" s="1441" t="s">
        <v>347</v>
      </c>
      <c r="K352" s="1442"/>
    </row>
    <row r="353" spans="1:14" s="1373" customFormat="1" ht="139.5" hidden="1" customHeight="1">
      <c r="A353" s="1429">
        <v>26</v>
      </c>
      <c r="B353" s="2543" t="str">
        <f>Datas!C1347</f>
        <v>Supplying and erection of Centurywells or equivalent Prepainted Galvalume Trepezoidal Profile Roof Sheets with 0.50 mm thickness, coating : Alu-Zinc Coating AZ150 GSM. Tensile strength 550 MPA. Paint coating : Regular Modified Polyester painting. Painting thickness (top) 15 to 20 microns (Bottom) : 5 to 7 microns. Sheet width 1.020 mt and length 12 mts with regular range colours with G.I ‘J’ bolts &amp; nuts 8 mm dia with bitumen &amp; G.I limpet washers filled with white lead &amp; including a coat of approved steel primer and two coats of approved paint on over lapping of sheets complete (up to a pitch of 60) and seigniorage charges, etc., complete, excluding the cost of purlins, rafters, trusses &amp; cost of conveyance of all materials</v>
      </c>
      <c r="C353" s="2541"/>
      <c r="D353" s="2541"/>
      <c r="E353" s="2541"/>
      <c r="F353" s="2541"/>
      <c r="G353" s="2541"/>
      <c r="H353" s="2541"/>
      <c r="I353" s="2541"/>
      <c r="J353" s="1430"/>
      <c r="K353" s="1431"/>
      <c r="N353" s="1374"/>
    </row>
    <row r="354" spans="1:14" s="1377" customFormat="1" ht="17.2" hidden="1" customHeight="1">
      <c r="A354" s="1441"/>
      <c r="B354" s="1441" t="s">
        <v>3133</v>
      </c>
      <c r="C354" s="1389">
        <f>C228</f>
        <v>0</v>
      </c>
      <c r="D354" s="1389">
        <f>D228</f>
        <v>0</v>
      </c>
      <c r="E354" s="1389">
        <v>1</v>
      </c>
      <c r="F354" s="1392">
        <f>3.68+0.23+0.6</f>
        <v>4.51</v>
      </c>
      <c r="G354" s="1392">
        <f>0.23+2+0.23</f>
        <v>2.46</v>
      </c>
      <c r="H354" s="1432"/>
      <c r="I354" s="1392">
        <f>ROUND(F354*G354*E354*C354,2)</f>
        <v>0</v>
      </c>
      <c r="J354" s="1441"/>
      <c r="K354" s="1442"/>
    </row>
    <row r="355" spans="1:14" s="1377" customFormat="1" ht="17.2" hidden="1" customHeight="1">
      <c r="A355" s="1441"/>
      <c r="B355" s="1441"/>
      <c r="C355" s="1441"/>
      <c r="D355" s="1441"/>
      <c r="E355" s="1441"/>
      <c r="F355" s="1441"/>
      <c r="G355" s="1441"/>
      <c r="H355" s="1441"/>
      <c r="I355" s="1436">
        <f>SUM(I354)</f>
        <v>0</v>
      </c>
      <c r="J355" s="1436">
        <f>Datas!G1370</f>
        <v>769.38</v>
      </c>
      <c r="K355" s="1395">
        <f>ROUND(I355*J355,0)</f>
        <v>0</v>
      </c>
    </row>
    <row r="356" spans="1:14" s="1377" customFormat="1" ht="17.2" hidden="1" customHeight="1">
      <c r="A356" s="1441"/>
      <c r="B356" s="1441"/>
      <c r="C356" s="1441"/>
      <c r="D356" s="1441"/>
      <c r="E356" s="1441"/>
      <c r="F356" s="1441"/>
      <c r="G356" s="1441"/>
      <c r="H356" s="1441"/>
      <c r="I356" s="1441"/>
      <c r="J356" s="1441" t="s">
        <v>3134</v>
      </c>
      <c r="K356" s="1442"/>
    </row>
    <row r="357" spans="1:14" s="1377" customFormat="1" ht="17.2" hidden="1" customHeight="1">
      <c r="A357" s="1441"/>
      <c r="B357" s="1441"/>
      <c r="C357" s="1441"/>
      <c r="D357" s="1441"/>
      <c r="E357" s="1441"/>
      <c r="F357" s="1441"/>
      <c r="G357" s="1441"/>
      <c r="H357" s="1441"/>
      <c r="I357" s="1441"/>
      <c r="J357" s="1441"/>
      <c r="K357" s="1442"/>
    </row>
    <row r="358" spans="1:14" s="1365" customFormat="1" ht="75.7" hidden="1" customHeight="1">
      <c r="A358" s="1397">
        <v>27</v>
      </c>
      <c r="B358" s="2544" t="str">
        <f>Datas!C984</f>
        <v>Painting to new walls with 2 coats of acrylic emulsion paint of approved brand and shade after thoroughly brushing the surface to remove all dirt and remains of loose powdered materials, including cost and conveyance of all materials to work site and all operational, incidental, labour charges etc. complete for finished item of work as per SS 911 for internal walls  including one Prime coat</v>
      </c>
      <c r="C358" s="2544"/>
      <c r="D358" s="2544"/>
      <c r="E358" s="2544"/>
      <c r="F358" s="2544"/>
      <c r="G358" s="2544"/>
      <c r="H358" s="2544"/>
      <c r="I358" s="2544"/>
      <c r="J358" s="1383"/>
      <c r="K358" s="1411"/>
      <c r="N358" s="1368"/>
    </row>
    <row r="359" spans="1:14" s="1365" customFormat="1" ht="17.2" hidden="1" customHeight="1">
      <c r="A359" s="1397"/>
      <c r="B359" s="1446" t="s">
        <v>3039</v>
      </c>
      <c r="C359" s="1447"/>
      <c r="D359" s="1447"/>
      <c r="E359" s="1447"/>
      <c r="F359" s="1447"/>
      <c r="G359" s="1447"/>
      <c r="H359" s="1447"/>
      <c r="I359" s="1447"/>
      <c r="J359" s="1383"/>
      <c r="K359" s="1411"/>
      <c r="N359" s="1368"/>
    </row>
    <row r="360" spans="1:14" s="1367" customFormat="1" ht="17.2" hidden="1" customHeight="1">
      <c r="A360" s="1398"/>
      <c r="B360" s="1391" t="str">
        <f>B234</f>
        <v>Hall                      ceiling</v>
      </c>
      <c r="C360" s="1389">
        <v>1</v>
      </c>
      <c r="D360" s="1389" t="s">
        <v>1472</v>
      </c>
      <c r="E360" s="1389">
        <v>2</v>
      </c>
      <c r="F360" s="1392">
        <v>4.2</v>
      </c>
      <c r="G360" s="1392"/>
      <c r="H360" s="1392">
        <v>3</v>
      </c>
      <c r="I360" s="1392">
        <f>ROUND(F360*H360*E360*C360,2)</f>
        <v>25.2</v>
      </c>
      <c r="J360" s="1386"/>
      <c r="K360" s="1399"/>
      <c r="N360" s="1372"/>
    </row>
    <row r="361" spans="1:14" s="1367" customFormat="1" ht="17.2" hidden="1" customHeight="1">
      <c r="A361" s="1398"/>
      <c r="B361" s="1391" t="str">
        <f>B235</f>
        <v xml:space="preserve">                           beam sides</v>
      </c>
      <c r="C361" s="1389">
        <v>1</v>
      </c>
      <c r="D361" s="1389" t="s">
        <v>1472</v>
      </c>
      <c r="E361" s="1389">
        <v>2</v>
      </c>
      <c r="F361" s="1392">
        <v>6.1</v>
      </c>
      <c r="G361" s="1392"/>
      <c r="H361" s="1392">
        <v>3</v>
      </c>
      <c r="I361" s="1392">
        <f>ROUND(F361*H361*E361*C361,2)</f>
        <v>36.6</v>
      </c>
      <c r="J361" s="1386"/>
      <c r="K361" s="1399"/>
      <c r="N361" s="1372"/>
    </row>
    <row r="362" spans="1:14" s="1367" customFormat="1" ht="17.2" hidden="1" customHeight="1">
      <c r="A362" s="1398"/>
      <c r="B362" s="1391" t="s">
        <v>3040</v>
      </c>
      <c r="C362" s="1389">
        <v>1</v>
      </c>
      <c r="D362" s="1389" t="s">
        <v>1472</v>
      </c>
      <c r="E362" s="1389">
        <v>2</v>
      </c>
      <c r="F362" s="1392">
        <v>3.65</v>
      </c>
      <c r="G362" s="1392"/>
      <c r="H362" s="1392">
        <v>3</v>
      </c>
      <c r="I362" s="1392">
        <f t="shared" ref="I362:I372" si="22">ROUND(F362*H362*E362*C362,2)</f>
        <v>21.9</v>
      </c>
      <c r="J362" s="1386"/>
      <c r="K362" s="1399"/>
      <c r="N362" s="1372"/>
    </row>
    <row r="363" spans="1:14" s="1367" customFormat="1" ht="17.2" hidden="1" customHeight="1">
      <c r="A363" s="1398"/>
      <c r="B363" s="1391" t="str">
        <f>B236</f>
        <v>Verandah              ceiling</v>
      </c>
      <c r="C363" s="1389">
        <v>1</v>
      </c>
      <c r="D363" s="1389" t="s">
        <v>1472</v>
      </c>
      <c r="E363" s="1389">
        <v>2</v>
      </c>
      <c r="F363" s="1392">
        <v>2.31</v>
      </c>
      <c r="G363" s="1392"/>
      <c r="H363" s="1392">
        <v>3</v>
      </c>
      <c r="I363" s="1392">
        <f t="shared" si="22"/>
        <v>13.86</v>
      </c>
      <c r="J363" s="1386"/>
      <c r="K363" s="1399"/>
      <c r="N363" s="1372"/>
    </row>
    <row r="364" spans="1:14" s="1367" customFormat="1" ht="17.2" hidden="1" customHeight="1">
      <c r="A364" s="1398"/>
      <c r="B364" s="1391" t="str">
        <f>B237</f>
        <v>Nutrition              ceiling</v>
      </c>
      <c r="C364" s="1389">
        <v>1</v>
      </c>
      <c r="D364" s="1389" t="s">
        <v>1472</v>
      </c>
      <c r="E364" s="1389">
        <v>2</v>
      </c>
      <c r="F364" s="1392">
        <v>1.22</v>
      </c>
      <c r="G364" s="1392"/>
      <c r="H364" s="1392">
        <v>3</v>
      </c>
      <c r="I364" s="1392">
        <f t="shared" si="22"/>
        <v>7.32</v>
      </c>
      <c r="J364" s="1386"/>
      <c r="K364" s="1399"/>
      <c r="N364" s="1372"/>
    </row>
    <row r="365" spans="1:14" s="1367" customFormat="1" ht="17.2" hidden="1" customHeight="1">
      <c r="A365" s="1398"/>
      <c r="B365" s="1391" t="s">
        <v>3040</v>
      </c>
      <c r="C365" s="1389">
        <v>1</v>
      </c>
      <c r="D365" s="1389" t="s">
        <v>1472</v>
      </c>
      <c r="E365" s="1389">
        <v>1</v>
      </c>
      <c r="F365" s="1392">
        <v>2.13</v>
      </c>
      <c r="G365" s="1392"/>
      <c r="H365" s="1392">
        <v>3</v>
      </c>
      <c r="I365" s="1392">
        <f t="shared" si="22"/>
        <v>6.39</v>
      </c>
      <c r="J365" s="1386"/>
      <c r="K365" s="1399"/>
      <c r="N365" s="1372"/>
    </row>
    <row r="366" spans="1:14" s="1367" customFormat="1" ht="17.2" hidden="1" customHeight="1">
      <c r="A366" s="1398"/>
      <c r="B366" s="1391" t="str">
        <f>B239</f>
        <v>Slab projection            ceiling    front</v>
      </c>
      <c r="C366" s="1389">
        <v>1</v>
      </c>
      <c r="D366" s="1389" t="s">
        <v>1472</v>
      </c>
      <c r="E366" s="1389">
        <v>1</v>
      </c>
      <c r="F366" s="1392">
        <v>2.13</v>
      </c>
      <c r="G366" s="1392"/>
      <c r="H366" s="1392">
        <v>2.0499999999999998</v>
      </c>
      <c r="I366" s="1392">
        <f t="shared" si="22"/>
        <v>4.37</v>
      </c>
      <c r="J366" s="1386"/>
      <c r="K366" s="1399"/>
      <c r="N366" s="1372"/>
    </row>
    <row r="367" spans="1:14" s="1367" customFormat="1" ht="17.2" hidden="1" customHeight="1">
      <c r="A367" s="1398"/>
      <c r="B367" s="1391" t="str">
        <f>B240</f>
        <v>Slab projection ceiling    rear</v>
      </c>
      <c r="C367" s="1389">
        <v>1</v>
      </c>
      <c r="D367" s="1389" t="s">
        <v>1472</v>
      </c>
      <c r="E367" s="1389">
        <v>2</v>
      </c>
      <c r="F367" s="1392">
        <v>2.2599999999999998</v>
      </c>
      <c r="G367" s="1392"/>
      <c r="H367" s="1392">
        <v>3</v>
      </c>
      <c r="I367" s="1392">
        <f t="shared" si="22"/>
        <v>13.56</v>
      </c>
      <c r="J367" s="1386"/>
      <c r="K367" s="1399"/>
      <c r="N367" s="1372"/>
    </row>
    <row r="368" spans="1:14" s="1367" customFormat="1" ht="17.2" hidden="1" customHeight="1">
      <c r="A368" s="1398"/>
      <c r="B368" s="1391" t="s">
        <v>3040</v>
      </c>
      <c r="C368" s="1389">
        <v>1</v>
      </c>
      <c r="D368" s="1389" t="s">
        <v>1472</v>
      </c>
      <c r="E368" s="1389">
        <v>1</v>
      </c>
      <c r="F368" s="1392">
        <v>2.13</v>
      </c>
      <c r="G368" s="1392"/>
      <c r="H368" s="1392">
        <v>3</v>
      </c>
      <c r="I368" s="1392">
        <f t="shared" si="22"/>
        <v>6.39</v>
      </c>
      <c r="J368" s="1386"/>
      <c r="K368" s="1399"/>
      <c r="N368" s="1372"/>
    </row>
    <row r="369" spans="1:14" s="1367" customFormat="1" ht="17.2" hidden="1" customHeight="1">
      <c r="A369" s="1398"/>
      <c r="B369" s="1391" t="str">
        <f>B241</f>
        <v>Slab projection ceiling    sides</v>
      </c>
      <c r="C369" s="1389">
        <v>1</v>
      </c>
      <c r="D369" s="1389" t="s">
        <v>1472</v>
      </c>
      <c r="E369" s="1389">
        <v>1</v>
      </c>
      <c r="F369" s="1392">
        <v>2.13</v>
      </c>
      <c r="G369" s="1392"/>
      <c r="H369" s="1392">
        <v>2.0499999999999998</v>
      </c>
      <c r="I369" s="1392">
        <f t="shared" si="22"/>
        <v>4.37</v>
      </c>
      <c r="J369" s="1386"/>
      <c r="K369" s="1399"/>
      <c r="N369" s="1372"/>
    </row>
    <row r="370" spans="1:14" s="1367" customFormat="1" ht="17.2" hidden="1" customHeight="1">
      <c r="A370" s="1398"/>
      <c r="B370" s="1391" t="str">
        <f>B242</f>
        <v>Sun shades ceiling    Verandah   front</v>
      </c>
      <c r="C370" s="1389">
        <v>-1</v>
      </c>
      <c r="D370" s="1389" t="s">
        <v>1472</v>
      </c>
      <c r="E370" s="1389">
        <v>2</v>
      </c>
      <c r="F370" s="1392">
        <v>1.05</v>
      </c>
      <c r="G370" s="1392"/>
      <c r="H370" s="1392">
        <v>2.1</v>
      </c>
      <c r="I370" s="1392">
        <f t="shared" si="22"/>
        <v>-4.41</v>
      </c>
      <c r="J370" s="1386"/>
      <c r="K370" s="1399"/>
      <c r="N370" s="1372"/>
    </row>
    <row r="371" spans="1:14" s="1367" customFormat="1" ht="17.2" hidden="1" customHeight="1">
      <c r="A371" s="1398"/>
      <c r="B371" s="1391" t="s">
        <v>3040</v>
      </c>
      <c r="C371" s="1389">
        <v>-1</v>
      </c>
      <c r="D371" s="1389" t="s">
        <v>1472</v>
      </c>
      <c r="E371" s="1389">
        <v>2</v>
      </c>
      <c r="F371" s="1392">
        <v>0.9</v>
      </c>
      <c r="G371" s="1392"/>
      <c r="H371" s="1392">
        <v>2.1</v>
      </c>
      <c r="I371" s="1392">
        <f t="shared" si="22"/>
        <v>-3.78</v>
      </c>
      <c r="J371" s="1386"/>
      <c r="K371" s="1399"/>
      <c r="N371" s="1372"/>
    </row>
    <row r="372" spans="1:14" s="1367" customFormat="1" ht="17.2" hidden="1" customHeight="1">
      <c r="A372" s="1398"/>
      <c r="B372" s="1391" t="str">
        <f>B243</f>
        <v xml:space="preserve">                                            side</v>
      </c>
      <c r="C372" s="1389">
        <v>-1</v>
      </c>
      <c r="D372" s="1389" t="s">
        <v>1472</v>
      </c>
      <c r="E372" s="1389">
        <v>1</v>
      </c>
      <c r="F372" s="1392">
        <v>0.9</v>
      </c>
      <c r="G372" s="1392"/>
      <c r="H372" s="1392">
        <v>2.1</v>
      </c>
      <c r="I372" s="1392">
        <f t="shared" si="22"/>
        <v>-1.89</v>
      </c>
      <c r="J372" s="1386"/>
      <c r="K372" s="1399"/>
      <c r="N372" s="1372"/>
    </row>
    <row r="373" spans="1:14" s="1367" customFormat="1" ht="17.2" hidden="1" customHeight="1">
      <c r="A373" s="1398"/>
      <c r="B373" s="1391" t="str">
        <f>B244</f>
        <v xml:space="preserve">                                 Windows W1</v>
      </c>
      <c r="C373" s="1389">
        <v>-1</v>
      </c>
      <c r="D373" s="1389" t="s">
        <v>1472</v>
      </c>
      <c r="E373" s="1389">
        <v>5</v>
      </c>
      <c r="F373" s="1392">
        <v>1.37</v>
      </c>
      <c r="G373" s="1392"/>
      <c r="H373" s="1392">
        <v>1.22</v>
      </c>
      <c r="I373" s="1392">
        <f>ROUND(F373*H373*E373*C373,2)</f>
        <v>-8.36</v>
      </c>
      <c r="J373" s="1386"/>
      <c r="K373" s="1399"/>
      <c r="N373" s="1372"/>
    </row>
    <row r="374" spans="1:14" s="1367" customFormat="1" ht="17.2" hidden="1" customHeight="1">
      <c r="A374" s="1398"/>
      <c r="B374" s="1391" t="s">
        <v>3040</v>
      </c>
      <c r="C374" s="1389">
        <v>-1</v>
      </c>
      <c r="D374" s="1389" t="s">
        <v>1472</v>
      </c>
      <c r="E374" s="1389">
        <v>1</v>
      </c>
      <c r="F374" s="1392">
        <v>0.75</v>
      </c>
      <c r="G374" s="1392"/>
      <c r="H374" s="1392">
        <v>0.9</v>
      </c>
      <c r="I374" s="1392">
        <f t="shared" ref="I374:I378" si="23">ROUND(F374*H374*E374*C374,2)</f>
        <v>-0.68</v>
      </c>
      <c r="J374" s="1386"/>
      <c r="K374" s="1399"/>
      <c r="N374" s="1372"/>
    </row>
    <row r="375" spans="1:14" s="1367" customFormat="1" ht="17.2" hidden="1" customHeight="1">
      <c r="A375" s="1398"/>
      <c r="B375" s="1391"/>
      <c r="C375" s="1389">
        <v>-1</v>
      </c>
      <c r="D375" s="1389" t="s">
        <v>1472</v>
      </c>
      <c r="E375" s="1389">
        <v>7</v>
      </c>
      <c r="F375" s="1392">
        <v>0.6</v>
      </c>
      <c r="G375" s="1392"/>
      <c r="H375" s="1392">
        <v>0.45</v>
      </c>
      <c r="I375" s="1392">
        <f t="shared" si="23"/>
        <v>-1.89</v>
      </c>
      <c r="J375" s="1386"/>
      <c r="K375" s="1399"/>
      <c r="N375" s="1372"/>
    </row>
    <row r="376" spans="1:14" s="1367" customFormat="1" ht="17.2" hidden="1" customHeight="1">
      <c r="A376" s="1398"/>
      <c r="B376" s="1391"/>
      <c r="C376" s="1389">
        <v>-1</v>
      </c>
      <c r="D376" s="1389" t="s">
        <v>1472</v>
      </c>
      <c r="E376" s="1389">
        <v>1</v>
      </c>
      <c r="F376" s="1392">
        <v>0.6</v>
      </c>
      <c r="G376" s="1392"/>
      <c r="H376" s="1392">
        <v>0.45</v>
      </c>
      <c r="I376" s="1392">
        <f t="shared" si="23"/>
        <v>-0.27</v>
      </c>
      <c r="J376" s="1386"/>
      <c r="K376" s="1399"/>
      <c r="N376" s="1372"/>
    </row>
    <row r="377" spans="1:14" s="1367" customFormat="1" ht="17.2" hidden="1" customHeight="1">
      <c r="A377" s="1398"/>
      <c r="B377" s="1391"/>
      <c r="C377" s="1389">
        <v>1</v>
      </c>
      <c r="D377" s="1389" t="s">
        <v>1472</v>
      </c>
      <c r="E377" s="1389">
        <v>2</v>
      </c>
      <c r="F377" s="1392">
        <v>1.2</v>
      </c>
      <c r="G377" s="1392"/>
      <c r="H377" s="1392">
        <v>2.6</v>
      </c>
      <c r="I377" s="1392">
        <f t="shared" si="23"/>
        <v>6.24</v>
      </c>
      <c r="J377" s="1386"/>
      <c r="K377" s="1399"/>
      <c r="N377" s="1372"/>
    </row>
    <row r="378" spans="1:14" s="1367" customFormat="1" ht="17.2" hidden="1" customHeight="1">
      <c r="A378" s="1398"/>
      <c r="B378" s="1391"/>
      <c r="C378" s="1389">
        <v>1</v>
      </c>
      <c r="D378" s="1389" t="s">
        <v>1472</v>
      </c>
      <c r="E378" s="1389">
        <v>2</v>
      </c>
      <c r="F378" s="1392">
        <v>2.1</v>
      </c>
      <c r="G378" s="1392"/>
      <c r="H378" s="1392">
        <v>2.6</v>
      </c>
      <c r="I378" s="1392">
        <f t="shared" si="23"/>
        <v>10.92</v>
      </c>
      <c r="J378" s="1386"/>
      <c r="K378" s="1399"/>
      <c r="N378" s="1372"/>
    </row>
    <row r="379" spans="1:14" s="1367" customFormat="1" ht="17.2" hidden="1" customHeight="1">
      <c r="A379" s="1398"/>
      <c r="B379" s="1391"/>
      <c r="C379" s="1389">
        <v>-1</v>
      </c>
      <c r="D379" s="1389" t="s">
        <v>1472</v>
      </c>
      <c r="E379" s="1389">
        <v>1</v>
      </c>
      <c r="F379" s="1392">
        <v>0.75</v>
      </c>
      <c r="G379" s="1392"/>
      <c r="H379" s="1392">
        <v>2.1</v>
      </c>
      <c r="I379" s="1392">
        <f>ROUND(F379*H379*E379*C379,2)</f>
        <v>-1.58</v>
      </c>
      <c r="J379" s="1386"/>
      <c r="K379" s="1399"/>
      <c r="N379" s="1372"/>
    </row>
    <row r="380" spans="1:14" s="1361" customFormat="1" ht="17.2" hidden="1" customHeight="1">
      <c r="A380" s="1386"/>
      <c r="B380" s="1393"/>
      <c r="C380" s="1386"/>
      <c r="D380" s="1386"/>
      <c r="E380" s="1386"/>
      <c r="F380" s="1394"/>
      <c r="G380" s="1394"/>
      <c r="H380" s="1394"/>
      <c r="I380" s="1394">
        <f>SUM(I360:I379)</f>
        <v>134.25999999999996</v>
      </c>
      <c r="J380" s="1394">
        <f>Datas!G996</f>
        <v>177.76400000000001</v>
      </c>
      <c r="K380" s="1395">
        <f>ROUND(I380*J380,0)</f>
        <v>23867</v>
      </c>
    </row>
    <row r="381" spans="1:14" s="1361" customFormat="1" ht="17.2" hidden="1" customHeight="1">
      <c r="A381" s="1386"/>
      <c r="B381" s="1386"/>
      <c r="C381" s="1386"/>
      <c r="D381" s="1386"/>
      <c r="E381" s="1386"/>
      <c r="F381" s="1386"/>
      <c r="G381" s="1386"/>
      <c r="H381" s="1386"/>
      <c r="I381" s="1386" t="s">
        <v>1478</v>
      </c>
      <c r="J381" s="1386" t="s">
        <v>3134</v>
      </c>
      <c r="K381" s="1396"/>
    </row>
    <row r="382" spans="1:14" s="1365" customFormat="1" ht="83.4" hidden="1" customHeight="1">
      <c r="A382" s="1397">
        <v>28</v>
      </c>
      <c r="B382" s="2544" t="str">
        <f>Datas!C997</f>
        <v>Painting to new walls with 2 coats of acrylic emulsion paint of approved brand and shade after thoroughly brushing the surface to remove all dirt and remains of loose powdered materials, including cost and conveyance of all materials to work site and all operational, incidental, labour charges etc. complete for finished item of work as per SS 911 for external walls including one Prime coat</v>
      </c>
      <c r="C382" s="2544"/>
      <c r="D382" s="2544"/>
      <c r="E382" s="2544"/>
      <c r="F382" s="2544"/>
      <c r="G382" s="2544"/>
      <c r="H382" s="2544"/>
      <c r="I382" s="2544"/>
      <c r="J382" s="1383"/>
      <c r="K382" s="1411"/>
      <c r="N382" s="1368"/>
    </row>
    <row r="383" spans="1:14" s="1367" customFormat="1" ht="17.2" hidden="1" customHeight="1">
      <c r="A383" s="1398"/>
      <c r="B383" s="1448" t="s">
        <v>3041</v>
      </c>
      <c r="C383" s="1389"/>
      <c r="D383" s="1389"/>
      <c r="E383" s="1389"/>
      <c r="F383" s="1392"/>
      <c r="G383" s="1392"/>
      <c r="H383" s="1392"/>
      <c r="I383" s="1392"/>
      <c r="J383" s="1386"/>
      <c r="K383" s="1399"/>
      <c r="N383" s="1372"/>
    </row>
    <row r="384" spans="1:14" s="1367" customFormat="1" ht="17.2" hidden="1" customHeight="1">
      <c r="A384" s="1398"/>
      <c r="B384" s="1391" t="s">
        <v>3363</v>
      </c>
      <c r="C384" s="1389">
        <v>1</v>
      </c>
      <c r="D384" s="1389" t="s">
        <v>1472</v>
      </c>
      <c r="E384" s="1389">
        <v>1</v>
      </c>
      <c r="F384" s="1392">
        <v>5</v>
      </c>
      <c r="G384" s="1392"/>
      <c r="H384" s="1392">
        <v>3</v>
      </c>
      <c r="I384" s="1392">
        <f>ROUND(PRODUCT(C384:H384),2)</f>
        <v>15</v>
      </c>
      <c r="J384" s="1386"/>
      <c r="K384" s="1399"/>
      <c r="N384" s="1372"/>
    </row>
    <row r="385" spans="1:14" s="1367" customFormat="1" ht="17.2" hidden="1" customHeight="1">
      <c r="A385" s="1398"/>
      <c r="B385" s="1391"/>
      <c r="C385" s="1389">
        <v>1</v>
      </c>
      <c r="D385" s="1389" t="s">
        <v>1472</v>
      </c>
      <c r="E385" s="1389">
        <v>1</v>
      </c>
      <c r="F385" s="1392">
        <v>1.5</v>
      </c>
      <c r="G385" s="1392"/>
      <c r="H385" s="1392">
        <v>1</v>
      </c>
      <c r="I385" s="1392">
        <f t="shared" ref="I385:I397" si="24">ROUND(PRODUCT(C385:H385),2)</f>
        <v>1.5</v>
      </c>
      <c r="J385" s="1386"/>
      <c r="K385" s="1399"/>
      <c r="N385" s="1372"/>
    </row>
    <row r="386" spans="1:14" s="1367" customFormat="1" ht="17.2" hidden="1" customHeight="1">
      <c r="A386" s="1398"/>
      <c r="B386" s="1391"/>
      <c r="C386" s="1389">
        <v>1</v>
      </c>
      <c r="D386" s="1389" t="s">
        <v>1472</v>
      </c>
      <c r="E386" s="1389">
        <v>1</v>
      </c>
      <c r="F386" s="1392">
        <v>1</v>
      </c>
      <c r="G386" s="1392"/>
      <c r="H386" s="1392">
        <v>2</v>
      </c>
      <c r="I386" s="1392">
        <f t="shared" si="24"/>
        <v>2</v>
      </c>
      <c r="J386" s="1386"/>
      <c r="K386" s="1399"/>
      <c r="N386" s="1372"/>
    </row>
    <row r="387" spans="1:14" s="1367" customFormat="1" ht="17.2" hidden="1" customHeight="1">
      <c r="A387" s="1398"/>
      <c r="B387" s="1391"/>
      <c r="C387" s="1389">
        <v>1</v>
      </c>
      <c r="D387" s="1389" t="s">
        <v>1472</v>
      </c>
      <c r="E387" s="1389">
        <v>1</v>
      </c>
      <c r="F387" s="1392">
        <v>3.89</v>
      </c>
      <c r="G387" s="1392"/>
      <c r="H387" s="1392">
        <v>3</v>
      </c>
      <c r="I387" s="1392">
        <f t="shared" si="24"/>
        <v>11.67</v>
      </c>
      <c r="J387" s="1386"/>
      <c r="K387" s="1399"/>
      <c r="N387" s="1372"/>
    </row>
    <row r="388" spans="1:14" s="1367" customFormat="1" ht="17.2" hidden="1" customHeight="1">
      <c r="A388" s="1398"/>
      <c r="B388" s="1391"/>
      <c r="C388" s="1389">
        <v>1</v>
      </c>
      <c r="D388" s="1389" t="s">
        <v>1472</v>
      </c>
      <c r="E388" s="1389">
        <v>1</v>
      </c>
      <c r="F388" s="1392">
        <v>1.53</v>
      </c>
      <c r="G388" s="1392"/>
      <c r="H388" s="1392">
        <v>3</v>
      </c>
      <c r="I388" s="1392">
        <f t="shared" si="24"/>
        <v>4.59</v>
      </c>
      <c r="J388" s="1386"/>
      <c r="K388" s="1399"/>
      <c r="N388" s="1372"/>
    </row>
    <row r="389" spans="1:14" s="1367" customFormat="1" ht="17.2" hidden="1" customHeight="1">
      <c r="A389" s="1398"/>
      <c r="B389" s="1391"/>
      <c r="C389" s="1389">
        <v>1</v>
      </c>
      <c r="D389" s="1389" t="s">
        <v>1472</v>
      </c>
      <c r="E389" s="1389">
        <v>1</v>
      </c>
      <c r="F389" s="1392">
        <v>3.65</v>
      </c>
      <c r="G389" s="1392"/>
      <c r="H389" s="1392">
        <v>1</v>
      </c>
      <c r="I389" s="1392">
        <f t="shared" si="24"/>
        <v>3.65</v>
      </c>
      <c r="J389" s="1386"/>
      <c r="K389" s="1399"/>
      <c r="N389" s="1372"/>
    </row>
    <row r="390" spans="1:14" s="1367" customFormat="1" ht="17.2" hidden="1" customHeight="1">
      <c r="A390" s="1398"/>
      <c r="B390" s="1391"/>
      <c r="C390" s="1389">
        <v>1</v>
      </c>
      <c r="D390" s="1389" t="s">
        <v>1472</v>
      </c>
      <c r="E390" s="1389">
        <v>1</v>
      </c>
      <c r="F390" s="1392">
        <v>1.3</v>
      </c>
      <c r="G390" s="1392"/>
      <c r="H390" s="1392">
        <v>1</v>
      </c>
      <c r="I390" s="1392">
        <f t="shared" si="24"/>
        <v>1.3</v>
      </c>
      <c r="J390" s="1386"/>
      <c r="K390" s="1399"/>
      <c r="N390" s="1372"/>
    </row>
    <row r="391" spans="1:14" s="1367" customFormat="1" ht="17.2" hidden="1" customHeight="1">
      <c r="A391" s="1398"/>
      <c r="B391" s="1391"/>
      <c r="C391" s="1389">
        <v>1</v>
      </c>
      <c r="D391" s="1389" t="s">
        <v>1472</v>
      </c>
      <c r="E391" s="1389">
        <v>1</v>
      </c>
      <c r="F391" s="1392">
        <v>8.65</v>
      </c>
      <c r="G391" s="1392"/>
      <c r="H391" s="1392">
        <v>3.3</v>
      </c>
      <c r="I391" s="1392">
        <f t="shared" si="24"/>
        <v>28.55</v>
      </c>
      <c r="J391" s="1386"/>
      <c r="K391" s="1399"/>
      <c r="N391" s="1372"/>
    </row>
    <row r="392" spans="1:14" s="1367" customFormat="1" ht="17.2" hidden="1" customHeight="1">
      <c r="A392" s="1398"/>
      <c r="B392" s="1391"/>
      <c r="C392" s="1389">
        <v>1</v>
      </c>
      <c r="D392" s="1389" t="s">
        <v>1472</v>
      </c>
      <c r="E392" s="1389">
        <v>1</v>
      </c>
      <c r="F392" s="1392">
        <v>6.5</v>
      </c>
      <c r="G392" s="1392"/>
      <c r="H392" s="1392">
        <v>3.3</v>
      </c>
      <c r="I392" s="1392">
        <f t="shared" si="24"/>
        <v>21.45</v>
      </c>
      <c r="J392" s="1386"/>
      <c r="K392" s="1399"/>
      <c r="N392" s="1372"/>
    </row>
    <row r="393" spans="1:14" s="1367" customFormat="1" ht="17.2" hidden="1" customHeight="1">
      <c r="A393" s="1398"/>
      <c r="B393" s="1391"/>
      <c r="C393" s="1389">
        <v>1</v>
      </c>
      <c r="D393" s="1389" t="s">
        <v>1472</v>
      </c>
      <c r="E393" s="1389">
        <v>1</v>
      </c>
      <c r="F393" s="1392">
        <v>4.7300000000000004</v>
      </c>
      <c r="G393" s="1392"/>
      <c r="H393" s="1392">
        <v>3.3</v>
      </c>
      <c r="I393" s="1392">
        <f t="shared" si="24"/>
        <v>15.61</v>
      </c>
      <c r="J393" s="1386"/>
      <c r="K393" s="1399"/>
      <c r="N393" s="1372"/>
    </row>
    <row r="394" spans="1:14" s="1367" customFormat="1" ht="17.2" hidden="1" customHeight="1">
      <c r="A394" s="1398"/>
      <c r="B394" s="1391"/>
      <c r="C394" s="1389">
        <v>1</v>
      </c>
      <c r="D394" s="1389" t="s">
        <v>1472</v>
      </c>
      <c r="E394" s="1389">
        <v>2</v>
      </c>
      <c r="F394" s="1392">
        <v>8.76</v>
      </c>
      <c r="G394" s="1392"/>
      <c r="H394" s="1392">
        <v>0.45</v>
      </c>
      <c r="I394" s="1392">
        <f t="shared" si="24"/>
        <v>7.88</v>
      </c>
      <c r="J394" s="1386"/>
      <c r="K394" s="1399"/>
      <c r="N394" s="1372"/>
    </row>
    <row r="395" spans="1:14" s="1367" customFormat="1" ht="17.2" hidden="1" customHeight="1">
      <c r="A395" s="1398"/>
      <c r="B395" s="1391"/>
      <c r="C395" s="1389">
        <v>1</v>
      </c>
      <c r="D395" s="1389" t="s">
        <v>1472</v>
      </c>
      <c r="E395" s="1389">
        <v>2</v>
      </c>
      <c r="F395" s="1392">
        <v>6.7</v>
      </c>
      <c r="G395" s="1392"/>
      <c r="H395" s="1392">
        <v>0.45</v>
      </c>
      <c r="I395" s="1392">
        <f t="shared" si="24"/>
        <v>6.03</v>
      </c>
      <c r="J395" s="1386"/>
      <c r="K395" s="1399"/>
      <c r="N395" s="1372"/>
    </row>
    <row r="396" spans="1:14" s="1367" customFormat="1" ht="17.2" hidden="1" customHeight="1">
      <c r="A396" s="1398"/>
      <c r="B396" s="1391"/>
      <c r="C396" s="1389">
        <v>1</v>
      </c>
      <c r="D396" s="1389" t="s">
        <v>1472</v>
      </c>
      <c r="E396" s="1389">
        <v>2</v>
      </c>
      <c r="F396" s="1392">
        <f>1.2+0.46</f>
        <v>1.66</v>
      </c>
      <c r="G396" s="1392"/>
      <c r="H396" s="1392">
        <v>2.6</v>
      </c>
      <c r="I396" s="1392">
        <f t="shared" si="24"/>
        <v>8.6300000000000008</v>
      </c>
      <c r="J396" s="1386"/>
      <c r="K396" s="1399"/>
      <c r="N396" s="1372"/>
    </row>
    <row r="397" spans="1:14" s="1367" customFormat="1" ht="17.2" hidden="1" customHeight="1">
      <c r="A397" s="1398"/>
      <c r="B397" s="1391"/>
      <c r="C397" s="1389">
        <v>1</v>
      </c>
      <c r="D397" s="1389" t="s">
        <v>1472</v>
      </c>
      <c r="E397" s="1389">
        <v>2</v>
      </c>
      <c r="F397" s="1392">
        <f>2.1+0.46</f>
        <v>2.56</v>
      </c>
      <c r="G397" s="1392"/>
      <c r="H397" s="1392">
        <v>2.6</v>
      </c>
      <c r="I397" s="1392">
        <f t="shared" si="24"/>
        <v>13.31</v>
      </c>
      <c r="J397" s="1386"/>
      <c r="K397" s="1399"/>
      <c r="N397" s="1372"/>
    </row>
    <row r="398" spans="1:14" s="1361" customFormat="1" ht="17.2" hidden="1" customHeight="1">
      <c r="A398" s="1386"/>
      <c r="B398" s="1393"/>
      <c r="C398" s="1390"/>
      <c r="D398" s="1390"/>
      <c r="E398" s="1390"/>
      <c r="F398" s="1390"/>
      <c r="G398" s="1390"/>
      <c r="H398" s="1390"/>
      <c r="I398" s="1394">
        <f>SUM(I383:I397)</f>
        <v>141.16999999999999</v>
      </c>
      <c r="J398" s="1394">
        <f>Datas!G1010</f>
        <v>234.94400000000002</v>
      </c>
      <c r="K398" s="1395">
        <f>ROUND(I398*J398,0)</f>
        <v>33167</v>
      </c>
    </row>
    <row r="399" spans="1:14" s="1361" customFormat="1" ht="17.2" hidden="1" customHeight="1">
      <c r="A399" s="1386"/>
      <c r="B399" s="1386"/>
      <c r="C399" s="1386"/>
      <c r="D399" s="1386"/>
      <c r="E399" s="1386"/>
      <c r="F399" s="1386"/>
      <c r="G399" s="1386"/>
      <c r="H399" s="1386"/>
      <c r="I399" s="1386" t="s">
        <v>1478</v>
      </c>
      <c r="J399" s="1386" t="s">
        <v>3038</v>
      </c>
      <c r="K399" s="1396"/>
    </row>
    <row r="400" spans="1:14" s="1361" customFormat="1" ht="91.5" hidden="1" customHeight="1">
      <c r="A400" s="1429">
        <v>29</v>
      </c>
      <c r="B400" s="2545" t="s">
        <v>3042</v>
      </c>
      <c r="C400" s="2545"/>
      <c r="D400" s="2545"/>
      <c r="E400" s="2545"/>
      <c r="F400" s="2545"/>
      <c r="G400" s="2545"/>
      <c r="H400" s="2545"/>
      <c r="I400" s="2545"/>
      <c r="J400" s="1449"/>
      <c r="K400" s="1431"/>
    </row>
    <row r="401" spans="1:11" s="1361" customFormat="1" ht="17.2" hidden="1" customHeight="1">
      <c r="A401" s="1432"/>
      <c r="B401" s="1433" t="s">
        <v>3043</v>
      </c>
      <c r="C401" s="1434">
        <v>1</v>
      </c>
      <c r="D401" s="1434" t="s">
        <v>422</v>
      </c>
      <c r="E401" s="1434">
        <v>2.25</v>
      </c>
      <c r="F401" s="1438">
        <v>1.2</v>
      </c>
      <c r="G401" s="1438"/>
      <c r="H401" s="1438">
        <v>2.1</v>
      </c>
      <c r="I401" s="1436">
        <f>ROUND(H401*F401*E401*C401,2)</f>
        <v>5.67</v>
      </c>
      <c r="J401" s="1438"/>
      <c r="K401" s="1439"/>
    </row>
    <row r="402" spans="1:11" s="1361" customFormat="1" ht="17.2" hidden="1" customHeight="1">
      <c r="A402" s="1429"/>
      <c r="B402" s="1450"/>
      <c r="C402" s="1434">
        <v>1</v>
      </c>
      <c r="D402" s="1434" t="s">
        <v>422</v>
      </c>
      <c r="E402" s="1434">
        <v>2.75</v>
      </c>
      <c r="F402" s="1438">
        <v>0.45</v>
      </c>
      <c r="G402" s="1438"/>
      <c r="H402" s="1438">
        <v>1.35</v>
      </c>
      <c r="I402" s="1436">
        <f>ROUND(H402*F402*E402*C402,2)</f>
        <v>1.67</v>
      </c>
      <c r="J402" s="1449"/>
      <c r="K402" s="1431"/>
    </row>
    <row r="403" spans="1:11" s="1361" customFormat="1" ht="17.2" hidden="1" customHeight="1">
      <c r="A403" s="1432"/>
      <c r="B403" s="1433" t="s">
        <v>3043</v>
      </c>
      <c r="C403" s="1434">
        <v>1</v>
      </c>
      <c r="D403" s="1434" t="s">
        <v>422</v>
      </c>
      <c r="E403" s="1434">
        <v>2.25</v>
      </c>
      <c r="F403" s="1438">
        <v>1.2</v>
      </c>
      <c r="G403" s="1438"/>
      <c r="H403" s="1438">
        <v>2.1</v>
      </c>
      <c r="I403" s="1436">
        <f>ROUND(H403*F403*E403*C403,2)</f>
        <v>5.67</v>
      </c>
      <c r="J403" s="1438"/>
      <c r="K403" s="1439"/>
    </row>
    <row r="404" spans="1:11" s="1361" customFormat="1" ht="17.2" hidden="1" customHeight="1">
      <c r="A404" s="1432"/>
      <c r="B404" s="1433" t="s">
        <v>3048</v>
      </c>
      <c r="C404" s="1434">
        <v>3</v>
      </c>
      <c r="D404" s="1434" t="s">
        <v>422</v>
      </c>
      <c r="E404" s="1434">
        <v>2.25</v>
      </c>
      <c r="F404" s="1438">
        <v>0.9</v>
      </c>
      <c r="G404" s="1438"/>
      <c r="H404" s="1438">
        <v>2.1</v>
      </c>
      <c r="I404" s="1436">
        <f>ROUND(H404*F404*E404*C404,2)</f>
        <v>12.76</v>
      </c>
      <c r="J404" s="1438"/>
      <c r="K404" s="1439"/>
    </row>
    <row r="405" spans="1:11" s="1361" customFormat="1" ht="17.2" hidden="1" customHeight="1">
      <c r="A405" s="1441"/>
      <c r="B405" s="1445"/>
      <c r="C405" s="1441"/>
      <c r="D405" s="1441"/>
      <c r="E405" s="1441"/>
      <c r="F405" s="1436"/>
      <c r="G405" s="1436"/>
      <c r="H405" s="1436"/>
      <c r="I405" s="1436">
        <f>SUM(I401:I404)</f>
        <v>25.77</v>
      </c>
      <c r="J405" s="1436">
        <f>Datas!G925</f>
        <v>113.67999999999999</v>
      </c>
      <c r="K405" s="1451">
        <f>ROUND(I405*J405,0)</f>
        <v>2930</v>
      </c>
    </row>
    <row r="406" spans="1:11" s="1361" customFormat="1" ht="17.2" hidden="1" customHeight="1">
      <c r="A406" s="1441"/>
      <c r="B406" s="1441"/>
      <c r="C406" s="1441"/>
      <c r="D406" s="1441"/>
      <c r="E406" s="1441"/>
      <c r="F406" s="1441"/>
      <c r="G406" s="1441"/>
      <c r="H406" s="1441"/>
      <c r="I406" s="1441" t="s">
        <v>1478</v>
      </c>
      <c r="J406" s="1441" t="s">
        <v>672</v>
      </c>
      <c r="K406" s="1442"/>
    </row>
    <row r="407" spans="1:11" s="1361" customFormat="1" ht="17.2" hidden="1" customHeight="1">
      <c r="A407" s="1441"/>
      <c r="B407" s="1441"/>
      <c r="C407" s="1441"/>
      <c r="D407" s="1441"/>
      <c r="E407" s="1441"/>
      <c r="F407" s="1441"/>
      <c r="G407" s="1441"/>
      <c r="H407" s="1441"/>
      <c r="I407" s="1441"/>
      <c r="J407" s="1441"/>
      <c r="K407" s="1442"/>
    </row>
    <row r="408" spans="1:11" s="1361" customFormat="1" ht="55.5" hidden="1" customHeight="1">
      <c r="A408" s="1429">
        <v>25</v>
      </c>
      <c r="B408" s="2541" t="s">
        <v>3044</v>
      </c>
      <c r="C408" s="2541"/>
      <c r="D408" s="2541"/>
      <c r="E408" s="2541"/>
      <c r="F408" s="2541"/>
      <c r="G408" s="2541"/>
      <c r="H408" s="2541"/>
      <c r="I408" s="2541"/>
      <c r="J408" s="1430"/>
      <c r="K408" s="1431"/>
    </row>
    <row r="409" spans="1:11" s="1361" customFormat="1" ht="17.2" hidden="1" customHeight="1">
      <c r="A409" s="1432"/>
      <c r="B409" s="1433" t="s">
        <v>3045</v>
      </c>
      <c r="C409" s="1434">
        <v>1</v>
      </c>
      <c r="D409" s="1434" t="s">
        <v>422</v>
      </c>
      <c r="E409" s="1434">
        <v>3</v>
      </c>
      <c r="F409" s="1435">
        <v>0.6</v>
      </c>
      <c r="G409" s="1435" t="s">
        <v>3013</v>
      </c>
      <c r="H409" s="1435">
        <v>0.6</v>
      </c>
      <c r="I409" s="1452">
        <f>E409</f>
        <v>3</v>
      </c>
      <c r="J409" s="1436"/>
      <c r="K409" s="1451"/>
    </row>
    <row r="410" spans="1:11" s="1361" customFormat="1" ht="17.2" hidden="1" customHeight="1" thickBot="1">
      <c r="A410" s="1432"/>
      <c r="B410" s="1433"/>
      <c r="C410" s="1434"/>
      <c r="D410" s="1434"/>
      <c r="E410" s="1434"/>
      <c r="F410" s="1435"/>
      <c r="G410" s="1435"/>
      <c r="H410" s="1435"/>
      <c r="I410" s="1436">
        <f>SUM(I406:I409)</f>
        <v>3</v>
      </c>
      <c r="J410" s="1436">
        <v>0</v>
      </c>
      <c r="K410" s="1451">
        <f>ROUND(I410*J410/1,2)</f>
        <v>0</v>
      </c>
    </row>
    <row r="411" spans="1:11" s="1361" customFormat="1" ht="17.2" hidden="1" customHeight="1" thickTop="1">
      <c r="A411" s="1432"/>
      <c r="B411" s="1433"/>
      <c r="C411" s="1434"/>
      <c r="D411" s="1434"/>
      <c r="E411" s="1434"/>
      <c r="F411" s="1435"/>
      <c r="G411" s="1435"/>
      <c r="H411" s="1435"/>
      <c r="I411" s="1441" t="s">
        <v>3036</v>
      </c>
      <c r="J411" s="1441" t="s">
        <v>856</v>
      </c>
      <c r="K411" s="1442"/>
    </row>
    <row r="412" spans="1:11" s="1361" customFormat="1" ht="17.2" hidden="1" customHeight="1">
      <c r="A412" s="1386"/>
      <c r="B412" s="1386"/>
      <c r="C412" s="1386"/>
      <c r="D412" s="1386"/>
      <c r="E412" s="1386"/>
      <c r="F412" s="1386"/>
      <c r="G412" s="1386"/>
      <c r="H412" s="1386"/>
      <c r="I412" s="1386"/>
      <c r="J412" s="1386"/>
      <c r="K412" s="1396"/>
    </row>
    <row r="413" spans="1:11" s="1361" customFormat="1" ht="17.2" customHeight="1">
      <c r="A413" s="1386"/>
      <c r="B413" s="1386"/>
      <c r="C413" s="1386"/>
      <c r="D413" s="1386"/>
      <c r="E413" s="1386"/>
      <c r="F413" s="1386"/>
      <c r="G413" s="1386"/>
      <c r="H413" s="1386"/>
      <c r="I413" s="1386"/>
      <c r="J413" s="1386"/>
      <c r="K413" s="1396"/>
    </row>
    <row r="414" spans="1:11" s="1361" customFormat="1" ht="17.2" customHeight="1">
      <c r="A414" s="1386"/>
      <c r="B414" s="1386"/>
      <c r="C414" s="1386"/>
      <c r="D414" s="1386"/>
      <c r="E414" s="1386"/>
      <c r="F414" s="1386"/>
      <c r="G414" s="1386"/>
      <c r="H414" s="1386"/>
      <c r="I414" s="1386"/>
      <c r="J414" s="1386"/>
      <c r="K414" s="1396"/>
    </row>
    <row r="415" spans="1:11" s="1361" customFormat="1" ht="17.2" customHeight="1">
      <c r="A415" s="1386"/>
      <c r="B415" s="1393"/>
      <c r="C415" s="1386"/>
      <c r="D415" s="1386"/>
      <c r="E415" s="1386"/>
      <c r="F415" s="1394"/>
      <c r="G415" s="1394"/>
      <c r="H415" s="1394"/>
      <c r="I415" s="1394"/>
      <c r="J415" s="1394"/>
      <c r="K415" s="1395">
        <f>SUM(K8:K247)+K413</f>
        <v>787826</v>
      </c>
    </row>
    <row r="416" spans="1:11" s="1361" customFormat="1" ht="17.2" customHeight="1">
      <c r="A416" s="1810"/>
      <c r="B416" s="1811"/>
      <c r="C416" s="1810"/>
      <c r="D416" s="1810"/>
      <c r="E416" s="1810"/>
      <c r="F416" s="1812"/>
      <c r="G416" s="1812"/>
      <c r="H416" s="1812"/>
      <c r="I416" s="1812"/>
      <c r="J416" s="1812"/>
      <c r="K416" s="1813"/>
    </row>
    <row r="417" spans="1:11" s="1369" customFormat="1" ht="17.2" customHeight="1">
      <c r="A417" s="1371"/>
      <c r="C417" s="1453"/>
      <c r="D417" s="1453"/>
      <c r="E417" s="1453"/>
      <c r="F417" s="1453"/>
      <c r="G417" s="1453"/>
      <c r="H417" s="1453"/>
      <c r="I417" s="1453"/>
      <c r="J417" s="1453"/>
      <c r="K417" s="1454"/>
    </row>
    <row r="418" spans="1:11" s="1369" customFormat="1" ht="17.2" customHeight="1">
      <c r="A418" s="1371"/>
      <c r="C418" s="1453"/>
      <c r="D418" s="1453"/>
      <c r="E418" s="1453"/>
      <c r="F418" s="1453"/>
      <c r="G418" s="1453"/>
      <c r="H418" s="1453"/>
      <c r="I418" s="1453"/>
      <c r="J418" s="1453"/>
      <c r="K418" s="1454"/>
    </row>
    <row r="419" spans="1:11" s="1369" customFormat="1" ht="17.2" customHeight="1">
      <c r="A419" s="1371"/>
      <c r="C419" s="1453"/>
      <c r="D419" s="1453"/>
      <c r="E419" s="1453"/>
      <c r="F419" s="1453"/>
      <c r="G419" s="1453"/>
      <c r="H419" s="1453"/>
      <c r="I419" s="1453"/>
      <c r="J419" s="1453"/>
      <c r="K419" s="1454"/>
    </row>
    <row r="420" spans="1:11" s="1369" customFormat="1" ht="17.2" customHeight="1">
      <c r="A420" s="1371"/>
      <c r="C420" s="1453"/>
      <c r="D420" s="1453"/>
      <c r="E420" s="1453"/>
      <c r="F420" s="1453"/>
      <c r="G420" s="1453"/>
      <c r="H420" s="1453"/>
      <c r="I420" s="1453"/>
      <c r="J420" s="1453"/>
      <c r="K420" s="1454"/>
    </row>
    <row r="421" spans="1:11" s="1369" customFormat="1" ht="17.2" customHeight="1">
      <c r="A421" s="1371"/>
      <c r="C421" s="1453"/>
      <c r="D421" s="1453"/>
      <c r="E421" s="1453"/>
      <c r="F421" s="1453"/>
      <c r="G421" s="1453"/>
      <c r="H421" s="1453"/>
      <c r="I421" s="1453"/>
      <c r="J421" s="1453"/>
      <c r="K421" s="1454"/>
    </row>
    <row r="422" spans="1:11" s="1369" customFormat="1" ht="17.2" customHeight="1">
      <c r="A422" s="1371"/>
      <c r="B422" s="1798" t="s">
        <v>3194</v>
      </c>
      <c r="C422" s="1798"/>
      <c r="D422" s="1798"/>
      <c r="E422" s="1798"/>
      <c r="F422" s="1798"/>
      <c r="G422" s="1798"/>
      <c r="H422" s="1798" t="s">
        <v>3195</v>
      </c>
      <c r="I422" s="1798"/>
      <c r="J422" s="1798"/>
      <c r="K422" s="1798"/>
    </row>
    <row r="423" spans="1:11" s="1369" customFormat="1" ht="17.2" customHeight="1">
      <c r="A423" s="1371"/>
      <c r="B423" s="1351" t="str">
        <f>CONCATENATE("PR MPP ",'input sheet'!$C$7)</f>
        <v>PR MPP Kalwakurthy</v>
      </c>
      <c r="C423" s="1798"/>
      <c r="D423" s="1798"/>
      <c r="E423" s="1798"/>
      <c r="F423" s="1798"/>
      <c r="G423" s="1798"/>
      <c r="H423" s="1798" t="str">
        <f>CONCATENATE("PR SD ",'input sheet'!$C$8)</f>
        <v>PR SD Kalwakurthy</v>
      </c>
      <c r="I423" s="1798"/>
      <c r="J423" s="1798"/>
      <c r="K423" s="1798"/>
    </row>
    <row r="424" spans="1:11" s="1369" customFormat="1" ht="17.2" customHeight="1">
      <c r="A424" s="1371"/>
      <c r="B424" s="2542"/>
      <c r="C424" s="2542"/>
      <c r="D424" s="2542"/>
      <c r="E424" s="2542"/>
      <c r="F424" s="2542"/>
      <c r="G424" s="2542"/>
      <c r="H424" s="1453"/>
      <c r="I424" s="1453"/>
      <c r="J424" s="1453"/>
      <c r="K424" s="1454"/>
    </row>
    <row r="425" spans="1:11" s="1365" customFormat="1">
      <c r="A425" s="1455"/>
      <c r="C425" s="1358"/>
      <c r="D425" s="1358"/>
      <c r="E425" s="1358"/>
      <c r="F425" s="1358"/>
      <c r="G425" s="1358"/>
      <c r="H425" s="1358"/>
      <c r="I425" s="1358"/>
      <c r="J425" s="1358"/>
      <c r="K425" s="1456"/>
    </row>
    <row r="426" spans="1:11" s="1365" customFormat="1">
      <c r="A426" s="1455"/>
      <c r="C426" s="1358"/>
      <c r="D426" s="1358"/>
      <c r="E426" s="1358"/>
      <c r="F426" s="1358"/>
      <c r="G426" s="1358"/>
      <c r="H426" s="1358"/>
      <c r="I426" s="1358"/>
      <c r="J426" s="1358"/>
      <c r="K426" s="1456"/>
    </row>
    <row r="427" spans="1:11" s="1365" customFormat="1">
      <c r="A427" s="1455"/>
      <c r="C427" s="1358"/>
      <c r="D427" s="1358"/>
      <c r="E427" s="1358"/>
      <c r="F427" s="1358"/>
      <c r="G427" s="1358"/>
      <c r="H427" s="1358"/>
      <c r="I427" s="1358"/>
      <c r="J427" s="1358"/>
      <c r="K427" s="1456"/>
    </row>
    <row r="428" spans="1:11" s="1365" customFormat="1">
      <c r="A428" s="1455"/>
      <c r="C428" s="1358"/>
      <c r="D428" s="1358"/>
      <c r="E428" s="1358"/>
      <c r="F428" s="1358"/>
      <c r="G428" s="1358"/>
      <c r="H428" s="1358"/>
      <c r="I428" s="1358"/>
      <c r="J428" s="1358"/>
      <c r="K428" s="1456"/>
    </row>
    <row r="429" spans="1:11" s="1365" customFormat="1">
      <c r="A429" s="1455"/>
      <c r="C429" s="1358"/>
      <c r="D429" s="1358"/>
      <c r="E429" s="1358"/>
      <c r="F429" s="1358"/>
      <c r="G429" s="1358"/>
      <c r="H429" s="1358"/>
      <c r="I429" s="1358"/>
      <c r="J429" s="1358"/>
      <c r="K429" s="1456"/>
    </row>
    <row r="430" spans="1:11" s="1365" customFormat="1">
      <c r="A430" s="1455"/>
      <c r="C430" s="1358"/>
      <c r="D430" s="1358"/>
      <c r="E430" s="1358"/>
      <c r="F430" s="1358"/>
      <c r="G430" s="1358"/>
      <c r="H430" s="1358"/>
      <c r="I430" s="1358"/>
      <c r="J430" s="1358"/>
      <c r="K430" s="1456"/>
    </row>
    <row r="431" spans="1:11" s="1365" customFormat="1">
      <c r="A431" s="1455"/>
      <c r="C431" s="1358"/>
      <c r="D431" s="1358"/>
      <c r="E431" s="1358"/>
      <c r="F431" s="1358"/>
      <c r="G431" s="1358"/>
      <c r="H431" s="1358"/>
      <c r="I431" s="1358"/>
      <c r="J431" s="1358"/>
      <c r="K431" s="1456"/>
    </row>
    <row r="432" spans="1:11" s="1365" customFormat="1">
      <c r="A432" s="1455"/>
      <c r="C432" s="1358"/>
      <c r="D432" s="1358"/>
      <c r="E432" s="1358"/>
      <c r="F432" s="1358"/>
      <c r="G432" s="1358"/>
      <c r="H432" s="1358"/>
      <c r="I432" s="1358"/>
      <c r="J432" s="1358"/>
      <c r="K432" s="1456"/>
    </row>
    <row r="433" spans="1:21" s="1365" customFormat="1">
      <c r="A433" s="1455"/>
      <c r="C433" s="1358"/>
      <c r="D433" s="1358"/>
      <c r="E433" s="1358"/>
      <c r="F433" s="1358"/>
      <c r="G433" s="1358"/>
      <c r="H433" s="1358"/>
      <c r="I433" s="1358"/>
      <c r="J433" s="1358"/>
      <c r="K433" s="1456"/>
    </row>
    <row r="434" spans="1:21" s="1365" customFormat="1">
      <c r="A434" s="1455"/>
      <c r="C434" s="1358"/>
      <c r="D434" s="1358"/>
      <c r="E434" s="1358"/>
      <c r="F434" s="1358"/>
      <c r="G434" s="1358"/>
      <c r="H434" s="1358"/>
      <c r="I434" s="1358"/>
      <c r="J434" s="1358"/>
      <c r="K434" s="1456"/>
    </row>
    <row r="435" spans="1:21" s="1365" customFormat="1">
      <c r="A435" s="1455"/>
      <c r="C435" s="1358"/>
      <c r="D435" s="1358"/>
      <c r="E435" s="1358"/>
      <c r="F435" s="1358"/>
      <c r="G435" s="1358"/>
      <c r="H435" s="1358"/>
      <c r="I435" s="1358"/>
      <c r="J435" s="1358"/>
      <c r="K435" s="1456"/>
    </row>
    <row r="436" spans="1:21" s="1365" customFormat="1">
      <c r="A436" s="1455"/>
      <c r="C436" s="1358"/>
      <c r="D436" s="1358"/>
      <c r="E436" s="1358"/>
      <c r="F436" s="1358"/>
      <c r="G436" s="1358"/>
      <c r="H436" s="1358"/>
      <c r="I436" s="1358"/>
      <c r="J436" s="1358"/>
      <c r="K436" s="1456"/>
    </row>
    <row r="437" spans="1:21" s="1365" customFormat="1">
      <c r="A437" s="1455"/>
      <c r="C437" s="1358"/>
      <c r="D437" s="1358"/>
      <c r="E437" s="1358"/>
      <c r="F437" s="1358"/>
      <c r="G437" s="1358"/>
      <c r="H437" s="1358"/>
      <c r="I437" s="1358"/>
      <c r="J437" s="1358"/>
      <c r="K437" s="1456"/>
    </row>
    <row r="438" spans="1:21" s="1365" customFormat="1">
      <c r="A438" s="1455"/>
      <c r="C438" s="1358"/>
      <c r="D438" s="1358"/>
      <c r="E438" s="1358"/>
      <c r="F438" s="1358"/>
      <c r="G438" s="1358"/>
      <c r="H438" s="1358"/>
      <c r="I438" s="1358"/>
      <c r="J438" s="1358"/>
      <c r="K438" s="1456"/>
    </row>
    <row r="439" spans="1:21" s="1365" customFormat="1">
      <c r="A439" s="1455"/>
      <c r="C439" s="1358"/>
      <c r="D439" s="1358"/>
      <c r="E439" s="1358"/>
      <c r="F439" s="1358"/>
      <c r="G439" s="1358"/>
      <c r="H439" s="1358"/>
      <c r="I439" s="1358"/>
      <c r="J439" s="1358"/>
      <c r="K439" s="1456"/>
    </row>
    <row r="440" spans="1:21" s="1365" customFormat="1">
      <c r="A440" s="1455"/>
      <c r="C440" s="1358"/>
      <c r="D440" s="1358"/>
      <c r="E440" s="1358"/>
      <c r="F440" s="1358"/>
      <c r="G440" s="1358"/>
      <c r="H440" s="1358"/>
      <c r="I440" s="1358"/>
      <c r="J440" s="1358"/>
      <c r="K440" s="1456"/>
    </row>
    <row r="441" spans="1:21" s="1365" customFormat="1">
      <c r="A441" s="1455"/>
      <c r="C441" s="1358"/>
      <c r="D441" s="1358"/>
      <c r="E441" s="1358"/>
      <c r="F441" s="1358"/>
      <c r="G441" s="1358"/>
      <c r="H441" s="1358"/>
      <c r="I441" s="1358"/>
      <c r="J441" s="1358"/>
      <c r="K441" s="1456"/>
    </row>
    <row r="442" spans="1:21" s="1365" customFormat="1">
      <c r="A442" s="1455"/>
      <c r="C442" s="1358"/>
      <c r="D442" s="1358"/>
      <c r="E442" s="1358"/>
      <c r="F442" s="1358"/>
      <c r="G442" s="1358"/>
      <c r="H442" s="1358"/>
      <c r="I442" s="1358"/>
      <c r="J442" s="1358"/>
      <c r="K442" s="1456"/>
    </row>
    <row r="443" spans="1:21" s="1378" customFormat="1">
      <c r="A443" s="1457"/>
      <c r="C443" s="1458"/>
      <c r="D443" s="1458"/>
      <c r="E443" s="1458"/>
      <c r="F443" s="1458"/>
      <c r="G443" s="1458"/>
      <c r="H443" s="1458"/>
      <c r="I443" s="1458"/>
      <c r="J443" s="1458"/>
      <c r="K443" s="1459"/>
    </row>
    <row r="444" spans="1:21" s="1378" customFormat="1">
      <c r="A444" s="1457"/>
      <c r="C444" s="1458"/>
      <c r="D444" s="1458"/>
      <c r="E444" s="1458"/>
      <c r="F444" s="1458"/>
      <c r="G444" s="1458"/>
      <c r="H444" s="1458"/>
      <c r="I444" s="1458"/>
      <c r="J444" s="1458"/>
      <c r="K444" s="1459"/>
    </row>
    <row r="445" spans="1:21" s="1378" customFormat="1">
      <c r="A445" s="1457"/>
      <c r="C445" s="1458"/>
      <c r="D445" s="1458"/>
      <c r="E445" s="1458"/>
      <c r="F445" s="1458"/>
      <c r="G445" s="1458"/>
      <c r="H445" s="1458"/>
      <c r="I445" s="1458"/>
      <c r="J445" s="1458"/>
      <c r="K445" s="1459"/>
    </row>
    <row r="446" spans="1:21" s="1378" customFormat="1" ht="21" customHeight="1">
      <c r="A446" s="1457"/>
      <c r="C446" s="1458"/>
      <c r="D446" s="1458"/>
      <c r="E446" s="1458"/>
      <c r="F446" s="1458"/>
      <c r="G446" s="1458"/>
      <c r="H446" s="1458"/>
      <c r="I446" s="1458"/>
      <c r="J446" s="1458"/>
      <c r="K446" s="1459"/>
    </row>
    <row r="447" spans="1:21" s="1380" customFormat="1">
      <c r="A447" s="1457"/>
      <c r="B447" s="1379"/>
      <c r="C447" s="1379"/>
      <c r="D447" s="1379"/>
      <c r="E447" s="1379"/>
      <c r="F447" s="1379"/>
      <c r="G447" s="1379"/>
      <c r="H447" s="1379"/>
      <c r="I447" s="1379"/>
      <c r="J447" s="1379"/>
      <c r="L447" s="1379"/>
      <c r="M447" s="1379"/>
      <c r="N447" s="1379"/>
      <c r="O447" s="1379"/>
      <c r="P447" s="1379"/>
      <c r="Q447" s="1379"/>
      <c r="R447" s="1379"/>
      <c r="S447" s="1379"/>
      <c r="T447" s="1379"/>
      <c r="U447" s="1379"/>
    </row>
    <row r="448" spans="1:21" s="1380" customFormat="1">
      <c r="A448" s="1457"/>
      <c r="B448" s="1379"/>
      <c r="C448" s="1379"/>
      <c r="D448" s="1379"/>
      <c r="E448" s="1379"/>
      <c r="F448" s="1379"/>
      <c r="G448" s="1379"/>
      <c r="H448" s="1379"/>
      <c r="I448" s="1379"/>
      <c r="J448" s="1379"/>
      <c r="L448" s="1379"/>
      <c r="M448" s="1379"/>
      <c r="N448" s="1379"/>
      <c r="O448" s="1379"/>
      <c r="P448" s="1379"/>
      <c r="Q448" s="1379"/>
      <c r="R448" s="1379"/>
      <c r="S448" s="1379"/>
      <c r="T448" s="1379"/>
      <c r="U448" s="1379"/>
    </row>
    <row r="449" spans="1:21" s="1380" customFormat="1">
      <c r="A449" s="1457"/>
      <c r="B449" s="1379"/>
      <c r="C449" s="1379"/>
      <c r="D449" s="1379"/>
      <c r="E449" s="1379"/>
      <c r="F449" s="1379"/>
      <c r="G449" s="1379"/>
      <c r="H449" s="1379"/>
      <c r="I449" s="1379"/>
      <c r="J449" s="1379"/>
      <c r="L449" s="1379"/>
      <c r="M449" s="1379"/>
      <c r="N449" s="1379"/>
      <c r="O449" s="1379"/>
      <c r="P449" s="1379"/>
      <c r="Q449" s="1379"/>
      <c r="R449" s="1379"/>
      <c r="S449" s="1379"/>
      <c r="T449" s="1379"/>
      <c r="U449" s="1379"/>
    </row>
    <row r="450" spans="1:21" s="1380" customFormat="1">
      <c r="A450" s="1457"/>
      <c r="B450" s="1379"/>
      <c r="C450" s="1379"/>
      <c r="D450" s="1379"/>
      <c r="E450" s="1379"/>
      <c r="F450" s="1379"/>
      <c r="G450" s="1379"/>
      <c r="H450" s="1379"/>
      <c r="I450" s="1379"/>
      <c r="J450" s="1379"/>
      <c r="L450" s="1379"/>
      <c r="M450" s="1379"/>
      <c r="N450" s="1379"/>
      <c r="O450" s="1379"/>
      <c r="P450" s="1379"/>
      <c r="Q450" s="1379"/>
      <c r="R450" s="1379"/>
      <c r="S450" s="1379"/>
      <c r="T450" s="1379"/>
      <c r="U450" s="1379"/>
    </row>
    <row r="451" spans="1:21" s="1380" customFormat="1">
      <c r="A451" s="1457"/>
      <c r="B451" s="1379"/>
      <c r="C451" s="1379"/>
      <c r="D451" s="1379"/>
      <c r="E451" s="1379"/>
      <c r="F451" s="1379"/>
      <c r="G451" s="1379"/>
      <c r="H451" s="1379"/>
      <c r="I451" s="1379"/>
      <c r="J451" s="1379"/>
      <c r="L451" s="1379"/>
      <c r="M451" s="1379"/>
      <c r="N451" s="1379"/>
      <c r="O451" s="1379"/>
      <c r="P451" s="1379"/>
      <c r="Q451" s="1379"/>
      <c r="R451" s="1379"/>
      <c r="S451" s="1379"/>
      <c r="T451" s="1379"/>
      <c r="U451" s="1379"/>
    </row>
    <row r="452" spans="1:21" s="1380" customFormat="1">
      <c r="A452" s="1457"/>
      <c r="B452" s="1379"/>
      <c r="C452" s="1379"/>
      <c r="D452" s="1379"/>
      <c r="E452" s="1379"/>
      <c r="F452" s="1379"/>
      <c r="G452" s="1379"/>
      <c r="H452" s="1379"/>
      <c r="I452" s="1379"/>
      <c r="J452" s="1379"/>
      <c r="L452" s="1379"/>
      <c r="M452" s="1379"/>
      <c r="N452" s="1379"/>
      <c r="O452" s="1379"/>
      <c r="P452" s="1379"/>
      <c r="Q452" s="1379"/>
      <c r="R452" s="1379"/>
      <c r="S452" s="1379"/>
      <c r="T452" s="1379"/>
      <c r="U452" s="1379"/>
    </row>
    <row r="453" spans="1:21" s="1380" customFormat="1">
      <c r="A453" s="1457"/>
      <c r="B453" s="1379"/>
      <c r="C453" s="1379"/>
      <c r="D453" s="1379"/>
      <c r="E453" s="1379"/>
      <c r="F453" s="1379"/>
      <c r="G453" s="1379"/>
      <c r="H453" s="1379"/>
      <c r="I453" s="1379"/>
      <c r="J453" s="1379"/>
      <c r="L453" s="1379"/>
      <c r="M453" s="1379"/>
      <c r="N453" s="1379"/>
      <c r="O453" s="1379"/>
      <c r="P453" s="1379"/>
      <c r="Q453" s="1379"/>
      <c r="R453" s="1379"/>
      <c r="S453" s="1379"/>
      <c r="T453" s="1379"/>
      <c r="U453" s="1379"/>
    </row>
    <row r="454" spans="1:21" s="1380" customFormat="1">
      <c r="A454" s="1457"/>
      <c r="B454" s="1379"/>
      <c r="C454" s="1379"/>
      <c r="D454" s="1379"/>
      <c r="E454" s="1379"/>
      <c r="F454" s="1379"/>
      <c r="G454" s="1379"/>
      <c r="H454" s="1379"/>
      <c r="I454" s="1379"/>
      <c r="J454" s="1379"/>
      <c r="L454" s="1379"/>
      <c r="M454" s="1379"/>
      <c r="N454" s="1379"/>
      <c r="O454" s="1379"/>
      <c r="P454" s="1379"/>
      <c r="Q454" s="1379"/>
      <c r="R454" s="1379"/>
      <c r="S454" s="1379"/>
      <c r="T454" s="1379"/>
      <c r="U454" s="1379"/>
    </row>
    <row r="455" spans="1:21" s="1380" customFormat="1">
      <c r="A455" s="1457"/>
      <c r="B455" s="1379"/>
      <c r="C455" s="1379"/>
      <c r="D455" s="1379"/>
      <c r="E455" s="1379"/>
      <c r="F455" s="1379"/>
      <c r="G455" s="1379"/>
      <c r="H455" s="1379"/>
      <c r="I455" s="1379"/>
      <c r="J455" s="1379"/>
      <c r="L455" s="1379"/>
      <c r="M455" s="1379"/>
      <c r="N455" s="1379"/>
      <c r="O455" s="1379"/>
      <c r="P455" s="1379"/>
      <c r="Q455" s="1379"/>
      <c r="R455" s="1379"/>
      <c r="S455" s="1379"/>
      <c r="T455" s="1379"/>
      <c r="U455" s="1379"/>
    </row>
    <row r="456" spans="1:21" s="1380" customFormat="1">
      <c r="A456" s="1457"/>
      <c r="B456" s="1379"/>
      <c r="C456" s="1379"/>
      <c r="D456" s="1379"/>
      <c r="E456" s="1379"/>
      <c r="F456" s="1379"/>
      <c r="G456" s="1379"/>
      <c r="H456" s="1379"/>
      <c r="I456" s="1379"/>
      <c r="J456" s="1379"/>
      <c r="L456" s="1379"/>
      <c r="M456" s="1379"/>
      <c r="N456" s="1379"/>
      <c r="O456" s="1379"/>
      <c r="P456" s="1379"/>
      <c r="Q456" s="1379"/>
      <c r="R456" s="1379"/>
      <c r="S456" s="1379"/>
      <c r="T456" s="1379"/>
      <c r="U456" s="1379"/>
    </row>
    <row r="457" spans="1:21" s="1380" customFormat="1">
      <c r="A457" s="1457"/>
      <c r="B457" s="1379"/>
      <c r="C457" s="1379"/>
      <c r="D457" s="1379"/>
      <c r="E457" s="1379"/>
      <c r="F457" s="1379"/>
      <c r="G457" s="1379"/>
      <c r="H457" s="1379"/>
      <c r="I457" s="1379"/>
      <c r="J457" s="1379"/>
      <c r="L457" s="1379"/>
      <c r="M457" s="1379"/>
      <c r="N457" s="1379"/>
      <c r="O457" s="1379"/>
      <c r="P457" s="1379"/>
      <c r="Q457" s="1379"/>
      <c r="R457" s="1379"/>
      <c r="S457" s="1379"/>
      <c r="T457" s="1379"/>
      <c r="U457" s="1379"/>
    </row>
    <row r="458" spans="1:21" s="1380" customFormat="1">
      <c r="A458" s="1457"/>
      <c r="B458" s="1379"/>
      <c r="C458" s="1379"/>
      <c r="D458" s="1379"/>
      <c r="E458" s="1379"/>
      <c r="F458" s="1379"/>
      <c r="G458" s="1379"/>
      <c r="H458" s="1379"/>
      <c r="I458" s="1379"/>
      <c r="J458" s="1379"/>
      <c r="L458" s="1379"/>
      <c r="M458" s="1379"/>
      <c r="N458" s="1379"/>
      <c r="O458" s="1379"/>
      <c r="P458" s="1379"/>
      <c r="Q458" s="1379"/>
      <c r="R458" s="1379"/>
      <c r="S458" s="1379"/>
      <c r="T458" s="1379"/>
      <c r="U458" s="1379"/>
    </row>
    <row r="459" spans="1:21" s="1380" customFormat="1">
      <c r="A459" s="1457"/>
      <c r="B459" s="1379"/>
      <c r="C459" s="1379"/>
      <c r="D459" s="1379"/>
      <c r="E459" s="1379"/>
      <c r="F459" s="1379"/>
      <c r="G459" s="1379"/>
      <c r="H459" s="1379"/>
      <c r="I459" s="1379"/>
      <c r="J459" s="1379"/>
      <c r="L459" s="1379"/>
      <c r="M459" s="1379"/>
      <c r="N459" s="1379"/>
      <c r="O459" s="1379"/>
      <c r="P459" s="1379"/>
      <c r="Q459" s="1379"/>
      <c r="R459" s="1379"/>
      <c r="S459" s="1379"/>
      <c r="T459" s="1379"/>
      <c r="U459" s="1379"/>
    </row>
    <row r="460" spans="1:21" s="1380" customFormat="1">
      <c r="A460" s="1457"/>
      <c r="B460" s="1379"/>
      <c r="C460" s="1379"/>
      <c r="D460" s="1379"/>
      <c r="E460" s="1379"/>
      <c r="F460" s="1379"/>
      <c r="G460" s="1379"/>
      <c r="H460" s="1379"/>
      <c r="I460" s="1379"/>
      <c r="J460" s="1379"/>
      <c r="L460" s="1379"/>
      <c r="M460" s="1379"/>
      <c r="N460" s="1379"/>
      <c r="O460" s="1379"/>
      <c r="P460" s="1379"/>
      <c r="Q460" s="1379"/>
      <c r="R460" s="1379"/>
      <c r="S460" s="1379"/>
      <c r="T460" s="1379"/>
      <c r="U460" s="1379"/>
    </row>
    <row r="461" spans="1:21" s="1380" customFormat="1">
      <c r="A461" s="1457"/>
      <c r="B461" s="1379"/>
      <c r="C461" s="1379"/>
      <c r="D461" s="1379"/>
      <c r="E461" s="1379"/>
      <c r="F461" s="1379"/>
      <c r="G461" s="1379"/>
      <c r="H461" s="1379"/>
      <c r="I461" s="1379"/>
      <c r="J461" s="1379"/>
      <c r="L461" s="1379"/>
      <c r="M461" s="1379"/>
      <c r="N461" s="1379"/>
      <c r="O461" s="1379"/>
      <c r="P461" s="1379"/>
      <c r="Q461" s="1379"/>
      <c r="R461" s="1379"/>
      <c r="S461" s="1379"/>
      <c r="T461" s="1379"/>
      <c r="U461" s="1379"/>
    </row>
    <row r="462" spans="1:21" s="1380" customFormat="1">
      <c r="A462" s="1457"/>
      <c r="B462" s="1379"/>
      <c r="C462" s="1379"/>
      <c r="D462" s="1379"/>
      <c r="E462" s="1379"/>
      <c r="F462" s="1379"/>
      <c r="G462" s="1379"/>
      <c r="H462" s="1379"/>
      <c r="I462" s="1379"/>
      <c r="J462" s="1379"/>
      <c r="L462" s="1379"/>
      <c r="M462" s="1379"/>
      <c r="N462" s="1379"/>
      <c r="O462" s="1379"/>
      <c r="P462" s="1379"/>
      <c r="Q462" s="1379"/>
      <c r="R462" s="1379"/>
      <c r="S462" s="1379"/>
      <c r="T462" s="1379"/>
      <c r="U462" s="1379"/>
    </row>
    <row r="463" spans="1:21" s="1380" customFormat="1">
      <c r="A463" s="1457"/>
      <c r="B463" s="1379"/>
      <c r="C463" s="1379"/>
      <c r="D463" s="1379"/>
      <c r="E463" s="1379"/>
      <c r="F463" s="1379"/>
      <c r="G463" s="1379"/>
      <c r="H463" s="1379"/>
      <c r="I463" s="1379"/>
      <c r="J463" s="1379"/>
      <c r="L463" s="1379"/>
      <c r="M463" s="1379"/>
      <c r="N463" s="1379"/>
      <c r="O463" s="1379"/>
      <c r="P463" s="1379"/>
      <c r="Q463" s="1379"/>
      <c r="R463" s="1379"/>
      <c r="S463" s="1379"/>
      <c r="T463" s="1379"/>
      <c r="U463" s="1379"/>
    </row>
    <row r="464" spans="1:21" s="1380" customFormat="1">
      <c r="A464" s="1457"/>
      <c r="B464" s="1379"/>
      <c r="C464" s="1379"/>
      <c r="D464" s="1379"/>
      <c r="E464" s="1379"/>
      <c r="F464" s="1379"/>
      <c r="G464" s="1379"/>
      <c r="H464" s="1379"/>
      <c r="I464" s="1379"/>
      <c r="J464" s="1379"/>
      <c r="L464" s="1379"/>
      <c r="M464" s="1379"/>
      <c r="N464" s="1379"/>
      <c r="O464" s="1379"/>
      <c r="P464" s="1379"/>
      <c r="Q464" s="1379"/>
      <c r="R464" s="1379"/>
      <c r="S464" s="1379"/>
      <c r="T464" s="1379"/>
      <c r="U464" s="1379"/>
    </row>
    <row r="465" spans="1:21" s="1380" customFormat="1">
      <c r="A465" s="1457"/>
      <c r="B465" s="1379"/>
      <c r="C465" s="1379"/>
      <c r="D465" s="1379"/>
      <c r="E465" s="1379"/>
      <c r="F465" s="1379"/>
      <c r="G465" s="1379"/>
      <c r="H465" s="1379"/>
      <c r="I465" s="1379"/>
      <c r="J465" s="1379"/>
      <c r="L465" s="1379"/>
      <c r="M465" s="1379"/>
      <c r="N465" s="1379"/>
      <c r="O465" s="1379"/>
      <c r="P465" s="1379"/>
      <c r="Q465" s="1379"/>
      <c r="R465" s="1379"/>
      <c r="S465" s="1379"/>
      <c r="T465" s="1379"/>
      <c r="U465" s="1379"/>
    </row>
    <row r="466" spans="1:21" s="1380" customFormat="1">
      <c r="A466" s="1457"/>
      <c r="B466" s="1379"/>
      <c r="C466" s="1379"/>
      <c r="D466" s="1379"/>
      <c r="E466" s="1379"/>
      <c r="F466" s="1379"/>
      <c r="G466" s="1379"/>
      <c r="H466" s="1379"/>
      <c r="I466" s="1379"/>
      <c r="J466" s="1379"/>
      <c r="L466" s="1379"/>
      <c r="M466" s="1379"/>
      <c r="N466" s="1379"/>
      <c r="O466" s="1379"/>
      <c r="P466" s="1379"/>
      <c r="Q466" s="1379"/>
      <c r="R466" s="1379"/>
      <c r="S466" s="1379"/>
      <c r="T466" s="1379"/>
      <c r="U466" s="1379"/>
    </row>
    <row r="467" spans="1:21" s="1380" customFormat="1">
      <c r="A467" s="1457"/>
      <c r="B467" s="1379"/>
      <c r="C467" s="1379"/>
      <c r="D467" s="1379"/>
      <c r="E467" s="1379"/>
      <c r="F467" s="1379"/>
      <c r="G467" s="1379"/>
      <c r="H467" s="1379"/>
      <c r="I467" s="1379"/>
      <c r="J467" s="1379"/>
      <c r="L467" s="1379"/>
      <c r="M467" s="1379"/>
      <c r="N467" s="1379"/>
      <c r="O467" s="1379"/>
      <c r="P467" s="1379"/>
      <c r="Q467" s="1379"/>
      <c r="R467" s="1379"/>
      <c r="S467" s="1379"/>
      <c r="T467" s="1379"/>
      <c r="U467" s="1379"/>
    </row>
    <row r="468" spans="1:21" s="1380" customFormat="1">
      <c r="A468" s="1457"/>
      <c r="B468" s="1379"/>
      <c r="C468" s="1379"/>
      <c r="D468" s="1379"/>
      <c r="E468" s="1379"/>
      <c r="F468" s="1379"/>
      <c r="G468" s="1379"/>
      <c r="H468" s="1379"/>
      <c r="I468" s="1379"/>
      <c r="J468" s="1379"/>
      <c r="L468" s="1379"/>
      <c r="M468" s="1379"/>
      <c r="N468" s="1379"/>
      <c r="O468" s="1379"/>
      <c r="P468" s="1379"/>
      <c r="Q468" s="1379"/>
      <c r="R468" s="1379"/>
      <c r="S468" s="1379"/>
      <c r="T468" s="1379"/>
      <c r="U468" s="1379"/>
    </row>
    <row r="469" spans="1:21" s="1380" customFormat="1">
      <c r="A469" s="1457"/>
      <c r="B469" s="1379"/>
      <c r="C469" s="1379"/>
      <c r="D469" s="1379"/>
      <c r="E469" s="1379"/>
      <c r="F469" s="1379"/>
      <c r="G469" s="1379"/>
      <c r="H469" s="1379"/>
      <c r="I469" s="1379"/>
      <c r="J469" s="1379"/>
      <c r="L469" s="1379"/>
      <c r="M469" s="1379"/>
      <c r="N469" s="1379"/>
      <c r="O469" s="1379"/>
      <c r="P469" s="1379"/>
      <c r="Q469" s="1379"/>
      <c r="R469" s="1379"/>
      <c r="S469" s="1379"/>
      <c r="T469" s="1379"/>
      <c r="U469" s="1379"/>
    </row>
    <row r="470" spans="1:21" s="1380" customFormat="1">
      <c r="A470" s="1457"/>
      <c r="B470" s="1379"/>
      <c r="C470" s="1379"/>
      <c r="D470" s="1379"/>
      <c r="E470" s="1379"/>
      <c r="F470" s="1379"/>
      <c r="G470" s="1379"/>
      <c r="H470" s="1379"/>
      <c r="I470" s="1379"/>
      <c r="J470" s="1379"/>
      <c r="L470" s="1379"/>
      <c r="M470" s="1379"/>
      <c r="N470" s="1379"/>
      <c r="O470" s="1379"/>
      <c r="P470" s="1379"/>
      <c r="Q470" s="1379"/>
      <c r="R470" s="1379"/>
      <c r="S470" s="1379"/>
      <c r="T470" s="1379"/>
      <c r="U470" s="1379"/>
    </row>
    <row r="471" spans="1:21" s="1380" customFormat="1">
      <c r="A471" s="1457"/>
      <c r="B471" s="1379"/>
      <c r="C471" s="1379"/>
      <c r="D471" s="1379"/>
      <c r="E471" s="1379"/>
      <c r="F471" s="1379"/>
      <c r="G471" s="1379"/>
      <c r="H471" s="1379"/>
      <c r="I471" s="1379"/>
      <c r="J471" s="1379"/>
      <c r="L471" s="1379"/>
      <c r="M471" s="1379"/>
      <c r="N471" s="1379"/>
      <c r="O471" s="1379"/>
      <c r="P471" s="1379"/>
      <c r="Q471" s="1379"/>
      <c r="R471" s="1379"/>
      <c r="S471" s="1379"/>
      <c r="T471" s="1379"/>
      <c r="U471" s="1379"/>
    </row>
    <row r="472" spans="1:21" s="1380" customFormat="1">
      <c r="A472" s="1457"/>
      <c r="B472" s="1379"/>
      <c r="C472" s="1379"/>
      <c r="D472" s="1379"/>
      <c r="E472" s="1379"/>
      <c r="F472" s="1379"/>
      <c r="G472" s="1379"/>
      <c r="H472" s="1379"/>
      <c r="I472" s="1379"/>
      <c r="J472" s="1379"/>
      <c r="L472" s="1379"/>
      <c r="M472" s="1379"/>
      <c r="N472" s="1379"/>
      <c r="O472" s="1379"/>
      <c r="P472" s="1379"/>
      <c r="Q472" s="1379"/>
      <c r="R472" s="1379"/>
      <c r="S472" s="1379"/>
      <c r="T472" s="1379"/>
      <c r="U472" s="1379"/>
    </row>
    <row r="473" spans="1:21" s="1380" customFormat="1">
      <c r="A473" s="1457"/>
      <c r="B473" s="1379"/>
      <c r="C473" s="1379"/>
      <c r="D473" s="1379"/>
      <c r="E473" s="1379"/>
      <c r="F473" s="1379"/>
      <c r="G473" s="1379"/>
      <c r="H473" s="1379"/>
      <c r="I473" s="1379"/>
      <c r="J473" s="1379"/>
      <c r="L473" s="1379"/>
      <c r="M473" s="1379"/>
      <c r="N473" s="1379"/>
      <c r="O473" s="1379"/>
      <c r="P473" s="1379"/>
      <c r="Q473" s="1379"/>
      <c r="R473" s="1379"/>
      <c r="S473" s="1379"/>
      <c r="T473" s="1379"/>
      <c r="U473" s="1379"/>
    </row>
    <row r="474" spans="1:21" s="1380" customFormat="1">
      <c r="A474" s="1457"/>
      <c r="B474" s="1379"/>
      <c r="C474" s="1379"/>
      <c r="D474" s="1379"/>
      <c r="E474" s="1379"/>
      <c r="F474" s="1379"/>
      <c r="G474" s="1379"/>
      <c r="H474" s="1379"/>
      <c r="I474" s="1379"/>
      <c r="J474" s="1379"/>
      <c r="L474" s="1379"/>
      <c r="M474" s="1379"/>
      <c r="N474" s="1379"/>
      <c r="O474" s="1379"/>
      <c r="P474" s="1379"/>
      <c r="Q474" s="1379"/>
      <c r="R474" s="1379"/>
      <c r="S474" s="1379"/>
      <c r="T474" s="1379"/>
      <c r="U474" s="1379"/>
    </row>
    <row r="475" spans="1:21" s="1380" customFormat="1">
      <c r="A475" s="1457"/>
      <c r="B475" s="1379"/>
      <c r="C475" s="1379"/>
      <c r="D475" s="1379"/>
      <c r="E475" s="1379"/>
      <c r="F475" s="1379"/>
      <c r="G475" s="1379"/>
      <c r="H475" s="1379"/>
      <c r="I475" s="1379"/>
      <c r="J475" s="1379"/>
      <c r="L475" s="1379"/>
      <c r="M475" s="1379"/>
      <c r="N475" s="1379"/>
      <c r="O475" s="1379"/>
      <c r="P475" s="1379"/>
      <c r="Q475" s="1379"/>
      <c r="R475" s="1379"/>
      <c r="S475" s="1379"/>
      <c r="T475" s="1379"/>
      <c r="U475" s="1379"/>
    </row>
    <row r="476" spans="1:21" s="1380" customFormat="1">
      <c r="A476" s="1457"/>
      <c r="B476" s="1379"/>
      <c r="C476" s="1379"/>
      <c r="D476" s="1379"/>
      <c r="E476" s="1379"/>
      <c r="F476" s="1379"/>
      <c r="G476" s="1379"/>
      <c r="H476" s="1379"/>
      <c r="I476" s="1379"/>
      <c r="J476" s="1379"/>
      <c r="L476" s="1379"/>
      <c r="M476" s="1379"/>
      <c r="N476" s="1379"/>
      <c r="O476" s="1379"/>
      <c r="P476" s="1379"/>
      <c r="Q476" s="1379"/>
      <c r="R476" s="1379"/>
      <c r="S476" s="1379"/>
      <c r="T476" s="1379"/>
      <c r="U476" s="1379"/>
    </row>
    <row r="477" spans="1:21" s="1380" customFormat="1">
      <c r="A477" s="1457"/>
      <c r="B477" s="1379"/>
      <c r="C477" s="1379"/>
      <c r="D477" s="1379"/>
      <c r="E477" s="1379"/>
      <c r="F477" s="1379"/>
      <c r="G477" s="1379"/>
      <c r="H477" s="1379"/>
      <c r="I477" s="1379"/>
      <c r="J477" s="1379"/>
      <c r="L477" s="1379"/>
      <c r="M477" s="1379"/>
      <c r="N477" s="1379"/>
      <c r="O477" s="1379"/>
      <c r="P477" s="1379"/>
      <c r="Q477" s="1379"/>
      <c r="R477" s="1379"/>
      <c r="S477" s="1379"/>
      <c r="T477" s="1379"/>
      <c r="U477" s="1379"/>
    </row>
    <row r="478" spans="1:21" s="1380" customFormat="1">
      <c r="A478" s="1457"/>
      <c r="B478" s="1379"/>
      <c r="C478" s="1379"/>
      <c r="D478" s="1379"/>
      <c r="E478" s="1379"/>
      <c r="F478" s="1379"/>
      <c r="G478" s="1379"/>
      <c r="H478" s="1379"/>
      <c r="I478" s="1379"/>
      <c r="J478" s="1379"/>
      <c r="L478" s="1379"/>
      <c r="M478" s="1379"/>
      <c r="N478" s="1379"/>
      <c r="O478" s="1379"/>
      <c r="P478" s="1379"/>
      <c r="Q478" s="1379"/>
      <c r="R478" s="1379"/>
      <c r="S478" s="1379"/>
      <c r="T478" s="1379"/>
      <c r="U478" s="1379"/>
    </row>
    <row r="479" spans="1:21" s="1380" customFormat="1">
      <c r="A479" s="1457"/>
      <c r="B479" s="1379"/>
      <c r="C479" s="1379"/>
      <c r="D479" s="1379"/>
      <c r="E479" s="1379"/>
      <c r="F479" s="1379"/>
      <c r="G479" s="1379"/>
      <c r="H479" s="1379"/>
      <c r="I479" s="1379"/>
      <c r="J479" s="1379"/>
      <c r="L479" s="1379"/>
      <c r="M479" s="1379"/>
      <c r="N479" s="1379"/>
      <c r="O479" s="1379"/>
      <c r="P479" s="1379"/>
      <c r="Q479" s="1379"/>
      <c r="R479" s="1379"/>
      <c r="S479" s="1379"/>
      <c r="T479" s="1379"/>
      <c r="U479" s="1379"/>
    </row>
    <row r="480" spans="1:21" s="1380" customFormat="1">
      <c r="A480" s="1457"/>
      <c r="B480" s="1379"/>
      <c r="C480" s="1379"/>
      <c r="D480" s="1379"/>
      <c r="E480" s="1379"/>
      <c r="F480" s="1379"/>
      <c r="G480" s="1379"/>
      <c r="H480" s="1379"/>
      <c r="I480" s="1379"/>
      <c r="J480" s="1379"/>
      <c r="L480" s="1379"/>
      <c r="M480" s="1379"/>
      <c r="N480" s="1379"/>
      <c r="O480" s="1379"/>
      <c r="P480" s="1379"/>
      <c r="Q480" s="1379"/>
      <c r="R480" s="1379"/>
      <c r="S480" s="1379"/>
      <c r="T480" s="1379"/>
      <c r="U480" s="1379"/>
    </row>
    <row r="481" spans="1:21" s="1380" customFormat="1">
      <c r="A481" s="1457"/>
      <c r="B481" s="1379"/>
      <c r="C481" s="1379"/>
      <c r="D481" s="1379"/>
      <c r="E481" s="1379"/>
      <c r="F481" s="1379"/>
      <c r="G481" s="1379"/>
      <c r="H481" s="1379"/>
      <c r="I481" s="1379"/>
      <c r="J481" s="1379"/>
      <c r="L481" s="1379"/>
      <c r="M481" s="1379"/>
      <c r="N481" s="1379"/>
      <c r="O481" s="1379"/>
      <c r="P481" s="1379"/>
      <c r="Q481" s="1379"/>
      <c r="R481" s="1379"/>
      <c r="S481" s="1379"/>
      <c r="T481" s="1379"/>
      <c r="U481" s="1379"/>
    </row>
    <row r="482" spans="1:21" s="1380" customFormat="1">
      <c r="A482" s="1457"/>
      <c r="B482" s="1379"/>
      <c r="C482" s="1379"/>
      <c r="D482" s="1379"/>
      <c r="E482" s="1379"/>
      <c r="F482" s="1379"/>
      <c r="G482" s="1379"/>
      <c r="H482" s="1379"/>
      <c r="I482" s="1379"/>
      <c r="J482" s="1379"/>
      <c r="L482" s="1379"/>
      <c r="M482" s="1379"/>
      <c r="N482" s="1379"/>
      <c r="O482" s="1379"/>
      <c r="P482" s="1379"/>
      <c r="Q482" s="1379"/>
      <c r="R482" s="1379"/>
      <c r="S482" s="1379"/>
      <c r="T482" s="1379"/>
      <c r="U482" s="1379"/>
    </row>
    <row r="483" spans="1:21" s="1380" customFormat="1">
      <c r="A483" s="1457"/>
      <c r="B483" s="1379"/>
      <c r="C483" s="1379"/>
      <c r="D483" s="1379"/>
      <c r="E483" s="1379"/>
      <c r="F483" s="1379"/>
      <c r="G483" s="1379"/>
      <c r="H483" s="1379"/>
      <c r="I483" s="1379"/>
      <c r="J483" s="1379"/>
      <c r="L483" s="1379"/>
      <c r="M483" s="1379"/>
      <c r="N483" s="1379"/>
      <c r="O483" s="1379"/>
      <c r="P483" s="1379"/>
      <c r="Q483" s="1379"/>
      <c r="R483" s="1379"/>
      <c r="S483" s="1379"/>
      <c r="T483" s="1379"/>
      <c r="U483" s="1379"/>
    </row>
    <row r="484" spans="1:21" s="1380" customFormat="1">
      <c r="A484" s="1457"/>
      <c r="B484" s="1379"/>
      <c r="C484" s="1379"/>
      <c r="D484" s="1379"/>
      <c r="E484" s="1379"/>
      <c r="F484" s="1379"/>
      <c r="G484" s="1379"/>
      <c r="H484" s="1379"/>
      <c r="I484" s="1379"/>
      <c r="J484" s="1379"/>
      <c r="L484" s="1379"/>
      <c r="M484" s="1379"/>
      <c r="N484" s="1379"/>
      <c r="O484" s="1379"/>
      <c r="P484" s="1379"/>
      <c r="Q484" s="1379"/>
      <c r="R484" s="1379"/>
      <c r="S484" s="1379"/>
      <c r="T484" s="1379"/>
      <c r="U484" s="1379"/>
    </row>
    <row r="485" spans="1:21" s="1380" customFormat="1">
      <c r="A485" s="1457"/>
      <c r="B485" s="1379"/>
      <c r="C485" s="1379"/>
      <c r="D485" s="1379"/>
      <c r="E485" s="1379"/>
      <c r="F485" s="1379"/>
      <c r="G485" s="1379"/>
      <c r="H485" s="1379"/>
      <c r="I485" s="1379"/>
      <c r="J485" s="1379"/>
      <c r="L485" s="1379"/>
      <c r="M485" s="1379"/>
      <c r="N485" s="1379"/>
      <c r="O485" s="1379"/>
      <c r="P485" s="1379"/>
      <c r="Q485" s="1379"/>
      <c r="R485" s="1379"/>
      <c r="S485" s="1379"/>
      <c r="T485" s="1379"/>
      <c r="U485" s="1379"/>
    </row>
    <row r="486" spans="1:21" s="1380" customFormat="1">
      <c r="A486" s="1457"/>
      <c r="B486" s="1379"/>
      <c r="C486" s="1379"/>
      <c r="D486" s="1379"/>
      <c r="E486" s="1379"/>
      <c r="F486" s="1379"/>
      <c r="G486" s="1379"/>
      <c r="H486" s="1379"/>
      <c r="I486" s="1379"/>
      <c r="J486" s="1379"/>
      <c r="L486" s="1379"/>
      <c r="M486" s="1379"/>
      <c r="N486" s="1379"/>
      <c r="O486" s="1379"/>
      <c r="P486" s="1379"/>
      <c r="Q486" s="1379"/>
      <c r="R486" s="1379"/>
      <c r="S486" s="1379"/>
      <c r="T486" s="1379"/>
      <c r="U486" s="1379"/>
    </row>
    <row r="487" spans="1:21" s="1380" customFormat="1">
      <c r="A487" s="1457"/>
      <c r="B487" s="1379"/>
      <c r="C487" s="1379"/>
      <c r="D487" s="1379"/>
      <c r="E487" s="1379"/>
      <c r="F487" s="1379"/>
      <c r="G487" s="1379"/>
      <c r="H487" s="1379"/>
      <c r="I487" s="1379"/>
      <c r="J487" s="1379"/>
      <c r="L487" s="1379"/>
      <c r="M487" s="1379"/>
      <c r="N487" s="1379"/>
      <c r="O487" s="1379"/>
      <c r="P487" s="1379"/>
      <c r="Q487" s="1379"/>
      <c r="R487" s="1379"/>
      <c r="S487" s="1379"/>
      <c r="T487" s="1379"/>
      <c r="U487" s="1379"/>
    </row>
    <row r="488" spans="1:21" s="1380" customFormat="1">
      <c r="A488" s="1457"/>
      <c r="B488" s="1379"/>
      <c r="C488" s="1379"/>
      <c r="D488" s="1379"/>
      <c r="E488" s="1379"/>
      <c r="F488" s="1379"/>
      <c r="G488" s="1379"/>
      <c r="H488" s="1379"/>
      <c r="I488" s="1379"/>
      <c r="J488" s="1379"/>
      <c r="L488" s="1379"/>
      <c r="M488" s="1379"/>
      <c r="N488" s="1379"/>
      <c r="O488" s="1379"/>
      <c r="P488" s="1379"/>
      <c r="Q488" s="1379"/>
      <c r="R488" s="1379"/>
      <c r="S488" s="1379"/>
      <c r="T488" s="1379"/>
      <c r="U488" s="1379"/>
    </row>
    <row r="489" spans="1:21" s="1380" customFormat="1">
      <c r="A489" s="1457"/>
      <c r="B489" s="1379"/>
      <c r="C489" s="1379"/>
      <c r="D489" s="1379"/>
      <c r="E489" s="1379"/>
      <c r="F489" s="1379"/>
      <c r="G489" s="1379"/>
      <c r="H489" s="1379"/>
      <c r="I489" s="1379"/>
      <c r="J489" s="1379"/>
      <c r="L489" s="1379"/>
      <c r="M489" s="1379"/>
      <c r="N489" s="1379"/>
      <c r="O489" s="1379"/>
      <c r="P489" s="1379"/>
      <c r="Q489" s="1379"/>
      <c r="R489" s="1379"/>
      <c r="S489" s="1379"/>
      <c r="T489" s="1379"/>
      <c r="U489" s="1379"/>
    </row>
    <row r="490" spans="1:21" s="1380" customFormat="1">
      <c r="A490" s="1457"/>
      <c r="B490" s="1379"/>
      <c r="C490" s="1379"/>
      <c r="D490" s="1379"/>
      <c r="E490" s="1379"/>
      <c r="F490" s="1379"/>
      <c r="G490" s="1379"/>
      <c r="H490" s="1379"/>
      <c r="I490" s="1379"/>
      <c r="J490" s="1379"/>
      <c r="L490" s="1379"/>
      <c r="M490" s="1379"/>
      <c r="N490" s="1379"/>
      <c r="O490" s="1379"/>
      <c r="P490" s="1379"/>
      <c r="Q490" s="1379"/>
      <c r="R490" s="1379"/>
      <c r="S490" s="1379"/>
      <c r="T490" s="1379"/>
      <c r="U490" s="1379"/>
    </row>
    <row r="491" spans="1:21" s="1380" customFormat="1">
      <c r="A491" s="1457"/>
      <c r="B491" s="1379"/>
      <c r="C491" s="1379"/>
      <c r="D491" s="1379"/>
      <c r="E491" s="1379"/>
      <c r="F491" s="1379"/>
      <c r="G491" s="1379"/>
      <c r="H491" s="1379"/>
      <c r="I491" s="1379"/>
      <c r="J491" s="1379"/>
      <c r="L491" s="1379"/>
      <c r="M491" s="1379"/>
      <c r="N491" s="1379"/>
      <c r="O491" s="1379"/>
      <c r="P491" s="1379"/>
      <c r="Q491" s="1379"/>
      <c r="R491" s="1379"/>
      <c r="S491" s="1379"/>
      <c r="T491" s="1379"/>
      <c r="U491" s="1379"/>
    </row>
    <row r="492" spans="1:21" s="1380" customFormat="1">
      <c r="A492" s="1457"/>
      <c r="B492" s="1379"/>
      <c r="C492" s="1379"/>
      <c r="D492" s="1379"/>
      <c r="E492" s="1379"/>
      <c r="F492" s="1379"/>
      <c r="G492" s="1379"/>
      <c r="H492" s="1379"/>
      <c r="I492" s="1379"/>
      <c r="J492" s="1379"/>
      <c r="L492" s="1379"/>
      <c r="M492" s="1379"/>
      <c r="N492" s="1379"/>
      <c r="O492" s="1379"/>
      <c r="P492" s="1379"/>
      <c r="Q492" s="1379"/>
      <c r="R492" s="1379"/>
      <c r="S492" s="1379"/>
      <c r="T492" s="1379"/>
      <c r="U492" s="1379"/>
    </row>
    <row r="493" spans="1:21" s="1380" customFormat="1">
      <c r="A493" s="1457"/>
      <c r="B493" s="1379"/>
      <c r="C493" s="1379"/>
      <c r="D493" s="1379"/>
      <c r="E493" s="1379"/>
      <c r="F493" s="1379"/>
      <c r="G493" s="1379"/>
      <c r="H493" s="1379"/>
      <c r="I493" s="1379"/>
      <c r="J493" s="1379"/>
      <c r="L493" s="1379"/>
      <c r="M493" s="1379"/>
      <c r="N493" s="1379"/>
      <c r="O493" s="1379"/>
      <c r="P493" s="1379"/>
      <c r="Q493" s="1379"/>
      <c r="R493" s="1379"/>
      <c r="S493" s="1379"/>
      <c r="T493" s="1379"/>
      <c r="U493" s="1379"/>
    </row>
    <row r="494" spans="1:21" s="1380" customFormat="1">
      <c r="A494" s="1457"/>
      <c r="B494" s="1379"/>
      <c r="C494" s="1379"/>
      <c r="D494" s="1379"/>
      <c r="E494" s="1379"/>
      <c r="F494" s="1379"/>
      <c r="G494" s="1379"/>
      <c r="H494" s="1379"/>
      <c r="I494" s="1379"/>
      <c r="J494" s="1379"/>
      <c r="L494" s="1379"/>
      <c r="M494" s="1379"/>
      <c r="N494" s="1379"/>
      <c r="O494" s="1379"/>
      <c r="P494" s="1379"/>
      <c r="Q494" s="1379"/>
      <c r="R494" s="1379"/>
      <c r="S494" s="1379"/>
      <c r="T494" s="1379"/>
      <c r="U494" s="1379"/>
    </row>
    <row r="495" spans="1:21" s="1380" customFormat="1">
      <c r="A495" s="1457"/>
      <c r="B495" s="1379"/>
      <c r="C495" s="1379"/>
      <c r="D495" s="1379"/>
      <c r="E495" s="1379"/>
      <c r="F495" s="1379"/>
      <c r="G495" s="1379"/>
      <c r="H495" s="1379"/>
      <c r="I495" s="1379"/>
      <c r="J495" s="1379"/>
      <c r="L495" s="1379"/>
      <c r="M495" s="1379"/>
      <c r="N495" s="1379"/>
      <c r="O495" s="1379"/>
      <c r="P495" s="1379"/>
      <c r="Q495" s="1379"/>
      <c r="R495" s="1379"/>
      <c r="S495" s="1379"/>
      <c r="T495" s="1379"/>
      <c r="U495" s="1379"/>
    </row>
    <row r="496" spans="1:21" s="1380" customFormat="1">
      <c r="A496" s="1457"/>
      <c r="B496" s="1379"/>
      <c r="C496" s="1379"/>
      <c r="D496" s="1379"/>
      <c r="E496" s="1379"/>
      <c r="F496" s="1379"/>
      <c r="G496" s="1379"/>
      <c r="H496" s="1379"/>
      <c r="I496" s="1379"/>
      <c r="J496" s="1379"/>
      <c r="L496" s="1379"/>
      <c r="M496" s="1379"/>
      <c r="N496" s="1379"/>
      <c r="O496" s="1379"/>
      <c r="P496" s="1379"/>
      <c r="Q496" s="1379"/>
      <c r="R496" s="1379"/>
      <c r="S496" s="1379"/>
      <c r="T496" s="1379"/>
      <c r="U496" s="1379"/>
    </row>
    <row r="497" spans="1:21" s="1380" customFormat="1">
      <c r="A497" s="1457"/>
      <c r="B497" s="1379"/>
      <c r="C497" s="1379"/>
      <c r="D497" s="1379"/>
      <c r="E497" s="1379"/>
      <c r="F497" s="1379"/>
      <c r="G497" s="1379"/>
      <c r="H497" s="1379"/>
      <c r="I497" s="1379"/>
      <c r="J497" s="1379"/>
      <c r="L497" s="1379"/>
      <c r="M497" s="1379"/>
      <c r="N497" s="1379"/>
      <c r="O497" s="1379"/>
      <c r="P497" s="1379"/>
      <c r="Q497" s="1379"/>
      <c r="R497" s="1379"/>
      <c r="S497" s="1379"/>
      <c r="T497" s="1379"/>
      <c r="U497" s="1379"/>
    </row>
    <row r="498" spans="1:21" s="1380" customFormat="1">
      <c r="A498" s="1457"/>
      <c r="B498" s="1379"/>
      <c r="C498" s="1379"/>
      <c r="D498" s="1379"/>
      <c r="E498" s="1379"/>
      <c r="F498" s="1379"/>
      <c r="G498" s="1379"/>
      <c r="H498" s="1379"/>
      <c r="I498" s="1379"/>
      <c r="J498" s="1379"/>
      <c r="L498" s="1379"/>
      <c r="M498" s="1379"/>
      <c r="N498" s="1379"/>
      <c r="O498" s="1379"/>
      <c r="P498" s="1379"/>
      <c r="Q498" s="1379"/>
      <c r="R498" s="1379"/>
      <c r="S498" s="1379"/>
      <c r="T498" s="1379"/>
      <c r="U498" s="1379"/>
    </row>
    <row r="499" spans="1:21" s="1380" customFormat="1">
      <c r="A499" s="1457"/>
      <c r="B499" s="1379"/>
      <c r="C499" s="1379"/>
      <c r="D499" s="1379"/>
      <c r="E499" s="1379"/>
      <c r="F499" s="1379"/>
      <c r="G499" s="1379"/>
      <c r="H499" s="1379"/>
      <c r="I499" s="1379"/>
      <c r="J499" s="1379"/>
      <c r="L499" s="1379"/>
      <c r="M499" s="1379"/>
      <c r="N499" s="1379"/>
      <c r="O499" s="1379"/>
      <c r="P499" s="1379"/>
      <c r="Q499" s="1379"/>
      <c r="R499" s="1379"/>
      <c r="S499" s="1379"/>
      <c r="T499" s="1379"/>
      <c r="U499" s="1379"/>
    </row>
    <row r="500" spans="1:21" s="1380" customFormat="1">
      <c r="A500" s="1457"/>
      <c r="B500" s="1379"/>
      <c r="C500" s="1379"/>
      <c r="D500" s="1379"/>
      <c r="E500" s="1379"/>
      <c r="F500" s="1379"/>
      <c r="G500" s="1379"/>
      <c r="H500" s="1379"/>
      <c r="I500" s="1379"/>
      <c r="J500" s="1379"/>
      <c r="L500" s="1379"/>
      <c r="M500" s="1379"/>
      <c r="N500" s="1379"/>
      <c r="O500" s="1379"/>
      <c r="P500" s="1379"/>
      <c r="Q500" s="1379"/>
      <c r="R500" s="1379"/>
      <c r="S500" s="1379"/>
      <c r="T500" s="1379"/>
      <c r="U500" s="1379"/>
    </row>
    <row r="501" spans="1:21" s="1380" customFormat="1">
      <c r="A501" s="1457"/>
      <c r="B501" s="1379"/>
      <c r="C501" s="1379"/>
      <c r="D501" s="1379"/>
      <c r="E501" s="1379"/>
      <c r="F501" s="1379"/>
      <c r="G501" s="1379"/>
      <c r="H501" s="1379"/>
      <c r="I501" s="1379"/>
      <c r="J501" s="1379"/>
      <c r="L501" s="1379"/>
      <c r="M501" s="1379"/>
      <c r="N501" s="1379"/>
      <c r="O501" s="1379"/>
      <c r="P501" s="1379"/>
      <c r="Q501" s="1379"/>
      <c r="R501" s="1379"/>
      <c r="S501" s="1379"/>
      <c r="T501" s="1379"/>
      <c r="U501" s="1379"/>
    </row>
    <row r="502" spans="1:21" s="1380" customFormat="1">
      <c r="A502" s="1457"/>
      <c r="B502" s="1379"/>
      <c r="C502" s="1379"/>
      <c r="D502" s="1379"/>
      <c r="E502" s="1379"/>
      <c r="F502" s="1379"/>
      <c r="G502" s="1379"/>
      <c r="H502" s="1379"/>
      <c r="I502" s="1379"/>
      <c r="J502" s="1379"/>
      <c r="L502" s="1379"/>
      <c r="M502" s="1379"/>
      <c r="N502" s="1379"/>
      <c r="O502" s="1379"/>
      <c r="P502" s="1379"/>
      <c r="Q502" s="1379"/>
      <c r="R502" s="1379"/>
      <c r="S502" s="1379"/>
      <c r="T502" s="1379"/>
      <c r="U502" s="1379"/>
    </row>
    <row r="503" spans="1:21" s="1380" customFormat="1">
      <c r="A503" s="1457"/>
      <c r="B503" s="1379"/>
      <c r="C503" s="1379"/>
      <c r="D503" s="1379"/>
      <c r="E503" s="1379"/>
      <c r="F503" s="1379"/>
      <c r="G503" s="1379"/>
      <c r="H503" s="1379"/>
      <c r="I503" s="1379"/>
      <c r="J503" s="1379"/>
      <c r="L503" s="1379"/>
      <c r="M503" s="1379"/>
      <c r="N503" s="1379"/>
      <c r="O503" s="1379"/>
      <c r="P503" s="1379"/>
      <c r="Q503" s="1379"/>
      <c r="R503" s="1379"/>
      <c r="S503" s="1379"/>
      <c r="T503" s="1379"/>
      <c r="U503" s="1379"/>
    </row>
    <row r="504" spans="1:21" s="1380" customFormat="1">
      <c r="A504" s="1457"/>
      <c r="B504" s="1379"/>
      <c r="C504" s="1379"/>
      <c r="D504" s="1379"/>
      <c r="E504" s="1379"/>
      <c r="F504" s="1379"/>
      <c r="G504" s="1379"/>
      <c r="H504" s="1379"/>
      <c r="I504" s="1379"/>
      <c r="J504" s="1379"/>
      <c r="L504" s="1379"/>
      <c r="M504" s="1379"/>
      <c r="N504" s="1379"/>
      <c r="O504" s="1379"/>
      <c r="P504" s="1379"/>
      <c r="Q504" s="1379"/>
      <c r="R504" s="1379"/>
      <c r="S504" s="1379"/>
      <c r="T504" s="1379"/>
      <c r="U504" s="1379"/>
    </row>
    <row r="505" spans="1:21" s="1380" customFormat="1">
      <c r="A505" s="1457"/>
      <c r="B505" s="1379"/>
      <c r="C505" s="1379"/>
      <c r="D505" s="1379"/>
      <c r="E505" s="1379"/>
      <c r="F505" s="1379"/>
      <c r="G505" s="1379"/>
      <c r="H505" s="1379"/>
      <c r="I505" s="1379"/>
      <c r="J505" s="1379"/>
      <c r="L505" s="1379"/>
      <c r="M505" s="1379"/>
      <c r="N505" s="1379"/>
      <c r="O505" s="1379"/>
      <c r="P505" s="1379"/>
      <c r="Q505" s="1379"/>
      <c r="R505" s="1379"/>
      <c r="S505" s="1379"/>
      <c r="T505" s="1379"/>
      <c r="U505" s="1379"/>
    </row>
    <row r="506" spans="1:21" s="1380" customFormat="1">
      <c r="A506" s="1457"/>
      <c r="B506" s="1379"/>
      <c r="C506" s="1379"/>
      <c r="D506" s="1379"/>
      <c r="E506" s="1379"/>
      <c r="F506" s="1379"/>
      <c r="G506" s="1379"/>
      <c r="H506" s="1379"/>
      <c r="I506" s="1379"/>
      <c r="J506" s="1379"/>
      <c r="L506" s="1379"/>
      <c r="M506" s="1379"/>
      <c r="N506" s="1379"/>
      <c r="O506" s="1379"/>
      <c r="P506" s="1379"/>
      <c r="Q506" s="1379"/>
      <c r="R506" s="1379"/>
      <c r="S506" s="1379"/>
      <c r="T506" s="1379"/>
      <c r="U506" s="1379"/>
    </row>
    <row r="507" spans="1:21" s="1380" customFormat="1">
      <c r="A507" s="1457"/>
      <c r="B507" s="1379"/>
      <c r="C507" s="1379"/>
      <c r="D507" s="1379"/>
      <c r="E507" s="1379"/>
      <c r="F507" s="1379"/>
      <c r="G507" s="1379"/>
      <c r="H507" s="1379"/>
      <c r="I507" s="1379"/>
      <c r="J507" s="1379"/>
      <c r="L507" s="1379"/>
      <c r="M507" s="1379"/>
      <c r="N507" s="1379"/>
      <c r="O507" s="1379"/>
      <c r="P507" s="1379"/>
      <c r="Q507" s="1379"/>
      <c r="R507" s="1379"/>
      <c r="S507" s="1379"/>
      <c r="T507" s="1379"/>
      <c r="U507" s="1379"/>
    </row>
    <row r="508" spans="1:21" s="1380" customFormat="1">
      <c r="A508" s="1457"/>
      <c r="B508" s="1379"/>
      <c r="C508" s="1379"/>
      <c r="D508" s="1379"/>
      <c r="E508" s="1379"/>
      <c r="F508" s="1379"/>
      <c r="G508" s="1379"/>
      <c r="H508" s="1379"/>
      <c r="I508" s="1379"/>
      <c r="J508" s="1379"/>
      <c r="L508" s="1379"/>
      <c r="M508" s="1379"/>
      <c r="N508" s="1379"/>
      <c r="O508" s="1379"/>
      <c r="P508" s="1379"/>
      <c r="Q508" s="1379"/>
      <c r="R508" s="1379"/>
      <c r="S508" s="1379"/>
      <c r="T508" s="1379"/>
      <c r="U508" s="1379"/>
    </row>
    <row r="509" spans="1:21" s="1380" customFormat="1">
      <c r="A509" s="1457"/>
      <c r="B509" s="1379"/>
      <c r="C509" s="1379"/>
      <c r="D509" s="1379"/>
      <c r="E509" s="1379"/>
      <c r="F509" s="1379"/>
      <c r="G509" s="1379"/>
      <c r="H509" s="1379"/>
      <c r="I509" s="1379"/>
      <c r="J509" s="1379"/>
      <c r="L509" s="1379"/>
      <c r="M509" s="1379"/>
      <c r="N509" s="1379"/>
      <c r="O509" s="1379"/>
      <c r="P509" s="1379"/>
      <c r="Q509" s="1379"/>
      <c r="R509" s="1379"/>
      <c r="S509" s="1379"/>
      <c r="T509" s="1379"/>
      <c r="U509" s="1379"/>
    </row>
    <row r="510" spans="1:21" s="1380" customFormat="1">
      <c r="A510" s="1457"/>
      <c r="B510" s="1379"/>
      <c r="C510" s="1379"/>
      <c r="D510" s="1379"/>
      <c r="E510" s="1379"/>
      <c r="F510" s="1379"/>
      <c r="G510" s="1379"/>
      <c r="H510" s="1379"/>
      <c r="I510" s="1379"/>
      <c r="J510" s="1379"/>
      <c r="L510" s="1379"/>
      <c r="M510" s="1379"/>
      <c r="N510" s="1379"/>
      <c r="O510" s="1379"/>
      <c r="P510" s="1379"/>
      <c r="Q510" s="1379"/>
      <c r="R510" s="1379"/>
      <c r="S510" s="1379"/>
      <c r="T510" s="1379"/>
      <c r="U510" s="1379"/>
    </row>
    <row r="511" spans="1:21" s="1380" customFormat="1">
      <c r="A511" s="1457"/>
      <c r="B511" s="1379"/>
      <c r="C511" s="1379"/>
      <c r="D511" s="1379"/>
      <c r="E511" s="1379"/>
      <c r="F511" s="1379"/>
      <c r="G511" s="1379"/>
      <c r="H511" s="1379"/>
      <c r="I511" s="1379"/>
      <c r="J511" s="1379"/>
      <c r="L511" s="1379"/>
      <c r="M511" s="1379"/>
      <c r="N511" s="1379"/>
      <c r="O511" s="1379"/>
      <c r="P511" s="1379"/>
      <c r="Q511" s="1379"/>
      <c r="R511" s="1379"/>
      <c r="S511" s="1379"/>
      <c r="T511" s="1379"/>
      <c r="U511" s="1379"/>
    </row>
    <row r="512" spans="1:21" s="1380" customFormat="1">
      <c r="A512" s="1457"/>
      <c r="B512" s="1379"/>
      <c r="C512" s="1379"/>
      <c r="D512" s="1379"/>
      <c r="E512" s="1379"/>
      <c r="F512" s="1379"/>
      <c r="G512" s="1379"/>
      <c r="H512" s="1379"/>
      <c r="I512" s="1379"/>
      <c r="J512" s="1379"/>
      <c r="L512" s="1379"/>
      <c r="M512" s="1379"/>
      <c r="N512" s="1379"/>
      <c r="O512" s="1379"/>
      <c r="P512" s="1379"/>
      <c r="Q512" s="1379"/>
      <c r="R512" s="1379"/>
      <c r="S512" s="1379"/>
      <c r="T512" s="1379"/>
      <c r="U512" s="1379"/>
    </row>
    <row r="513" spans="1:21" s="1380" customFormat="1">
      <c r="A513" s="1457"/>
      <c r="B513" s="1379"/>
      <c r="C513" s="1379"/>
      <c r="D513" s="1379"/>
      <c r="E513" s="1379"/>
      <c r="F513" s="1379"/>
      <c r="G513" s="1379"/>
      <c r="H513" s="1379"/>
      <c r="I513" s="1379"/>
      <c r="J513" s="1379"/>
      <c r="L513" s="1379"/>
      <c r="M513" s="1379"/>
      <c r="N513" s="1379"/>
      <c r="O513" s="1379"/>
      <c r="P513" s="1379"/>
      <c r="Q513" s="1379"/>
      <c r="R513" s="1379"/>
      <c r="S513" s="1379"/>
      <c r="T513" s="1379"/>
      <c r="U513" s="1379"/>
    </row>
    <row r="514" spans="1:21" s="1380" customFormat="1">
      <c r="A514" s="1457"/>
      <c r="B514" s="1379"/>
      <c r="C514" s="1379"/>
      <c r="D514" s="1379"/>
      <c r="E514" s="1379"/>
      <c r="F514" s="1379"/>
      <c r="G514" s="1379"/>
      <c r="H514" s="1379"/>
      <c r="I514" s="1379"/>
      <c r="J514" s="1379"/>
      <c r="L514" s="1379"/>
      <c r="M514" s="1379"/>
      <c r="N514" s="1379"/>
      <c r="O514" s="1379"/>
      <c r="P514" s="1379"/>
      <c r="Q514" s="1379"/>
      <c r="R514" s="1379"/>
      <c r="S514" s="1379"/>
      <c r="T514" s="1379"/>
      <c r="U514" s="1379"/>
    </row>
    <row r="515" spans="1:21" s="1380" customFormat="1">
      <c r="A515" s="1457"/>
      <c r="B515" s="1379"/>
      <c r="C515" s="1379"/>
      <c r="D515" s="1379"/>
      <c r="E515" s="1379"/>
      <c r="F515" s="1379"/>
      <c r="G515" s="1379"/>
      <c r="H515" s="1379"/>
      <c r="I515" s="1379"/>
      <c r="J515" s="1379"/>
      <c r="L515" s="1379"/>
      <c r="M515" s="1379"/>
      <c r="N515" s="1379"/>
      <c r="O515" s="1379"/>
      <c r="P515" s="1379"/>
      <c r="Q515" s="1379"/>
      <c r="R515" s="1379"/>
      <c r="S515" s="1379"/>
      <c r="T515" s="1379"/>
      <c r="U515" s="1379"/>
    </row>
    <row r="516" spans="1:21" s="1380" customFormat="1">
      <c r="A516" s="1457"/>
      <c r="B516" s="1379"/>
      <c r="C516" s="1379"/>
      <c r="D516" s="1379"/>
      <c r="E516" s="1379"/>
      <c r="F516" s="1379"/>
      <c r="G516" s="1379"/>
      <c r="H516" s="1379"/>
      <c r="I516" s="1379"/>
      <c r="J516" s="1379"/>
      <c r="L516" s="1379"/>
      <c r="M516" s="1379"/>
      <c r="N516" s="1379"/>
      <c r="O516" s="1379"/>
      <c r="P516" s="1379"/>
      <c r="Q516" s="1379"/>
      <c r="R516" s="1379"/>
      <c r="S516" s="1379"/>
      <c r="T516" s="1379"/>
      <c r="U516" s="1379"/>
    </row>
    <row r="517" spans="1:21" s="1380" customFormat="1">
      <c r="A517" s="1457"/>
      <c r="B517" s="1379"/>
      <c r="C517" s="1379"/>
      <c r="D517" s="1379"/>
      <c r="E517" s="1379"/>
      <c r="F517" s="1379"/>
      <c r="G517" s="1379"/>
      <c r="H517" s="1379"/>
      <c r="I517" s="1379"/>
      <c r="J517" s="1379"/>
      <c r="L517" s="1379"/>
      <c r="M517" s="1379"/>
      <c r="N517" s="1379"/>
      <c r="O517" s="1379"/>
      <c r="P517" s="1379"/>
      <c r="Q517" s="1379"/>
      <c r="R517" s="1379"/>
      <c r="S517" s="1379"/>
      <c r="T517" s="1379"/>
      <c r="U517" s="1379"/>
    </row>
    <row r="518" spans="1:21" s="1380" customFormat="1">
      <c r="A518" s="1457"/>
      <c r="B518" s="1379"/>
      <c r="C518" s="1379"/>
      <c r="D518" s="1379"/>
      <c r="E518" s="1379"/>
      <c r="F518" s="1379"/>
      <c r="G518" s="1379"/>
      <c r="H518" s="1379"/>
      <c r="I518" s="1379"/>
      <c r="J518" s="1379"/>
      <c r="L518" s="1379"/>
      <c r="M518" s="1379"/>
      <c r="N518" s="1379"/>
      <c r="O518" s="1379"/>
      <c r="P518" s="1379"/>
      <c r="Q518" s="1379"/>
      <c r="R518" s="1379"/>
      <c r="S518" s="1379"/>
      <c r="T518" s="1379"/>
      <c r="U518" s="1379"/>
    </row>
    <row r="519" spans="1:21" s="1380" customFormat="1">
      <c r="A519" s="1457"/>
      <c r="B519" s="1379"/>
      <c r="C519" s="1379"/>
      <c r="D519" s="1379"/>
      <c r="E519" s="1379"/>
      <c r="F519" s="1379"/>
      <c r="G519" s="1379"/>
      <c r="H519" s="1379"/>
      <c r="I519" s="1379"/>
      <c r="J519" s="1379"/>
      <c r="L519" s="1379"/>
      <c r="M519" s="1379"/>
      <c r="N519" s="1379"/>
      <c r="O519" s="1379"/>
      <c r="P519" s="1379"/>
      <c r="Q519" s="1379"/>
      <c r="R519" s="1379"/>
      <c r="S519" s="1379"/>
      <c r="T519" s="1379"/>
      <c r="U519" s="1379"/>
    </row>
    <row r="520" spans="1:21" s="1380" customFormat="1">
      <c r="A520" s="1457"/>
      <c r="B520" s="1379"/>
      <c r="C520" s="1379"/>
      <c r="D520" s="1379"/>
      <c r="E520" s="1379"/>
      <c r="F520" s="1379"/>
      <c r="G520" s="1379"/>
      <c r="H520" s="1379"/>
      <c r="I520" s="1379"/>
      <c r="J520" s="1379"/>
      <c r="L520" s="1379"/>
      <c r="M520" s="1379"/>
      <c r="N520" s="1379"/>
      <c r="O520" s="1379"/>
      <c r="P520" s="1379"/>
      <c r="Q520" s="1379"/>
      <c r="R520" s="1379"/>
      <c r="S520" s="1379"/>
      <c r="T520" s="1379"/>
      <c r="U520" s="1379"/>
    </row>
    <row r="521" spans="1:21" s="1380" customFormat="1">
      <c r="A521" s="1457"/>
      <c r="B521" s="1379"/>
      <c r="C521" s="1379"/>
      <c r="D521" s="1379"/>
      <c r="E521" s="1379"/>
      <c r="F521" s="1379"/>
      <c r="G521" s="1379"/>
      <c r="H521" s="1379"/>
      <c r="I521" s="1379"/>
      <c r="J521" s="1379"/>
      <c r="L521" s="1379"/>
      <c r="M521" s="1379"/>
      <c r="N521" s="1379"/>
      <c r="O521" s="1379"/>
      <c r="P521" s="1379"/>
      <c r="Q521" s="1379"/>
      <c r="R521" s="1379"/>
      <c r="S521" s="1379"/>
      <c r="T521" s="1379"/>
      <c r="U521" s="1379"/>
    </row>
    <row r="522" spans="1:21" s="1380" customFormat="1">
      <c r="A522" s="1457"/>
      <c r="B522" s="1379"/>
      <c r="C522" s="1379"/>
      <c r="D522" s="1379"/>
      <c r="E522" s="1379"/>
      <c r="F522" s="1379"/>
      <c r="G522" s="1379"/>
      <c r="H522" s="1379"/>
      <c r="I522" s="1379"/>
      <c r="J522" s="1379"/>
      <c r="L522" s="1379"/>
      <c r="M522" s="1379"/>
      <c r="N522" s="1379"/>
      <c r="O522" s="1379"/>
      <c r="P522" s="1379"/>
      <c r="Q522" s="1379"/>
      <c r="R522" s="1379"/>
      <c r="S522" s="1379"/>
      <c r="T522" s="1379"/>
      <c r="U522" s="1379"/>
    </row>
    <row r="523" spans="1:21" s="1380" customFormat="1">
      <c r="A523" s="1457"/>
      <c r="B523" s="1379"/>
      <c r="C523" s="1379"/>
      <c r="D523" s="1379"/>
      <c r="E523" s="1379"/>
      <c r="F523" s="1379"/>
      <c r="G523" s="1379"/>
      <c r="H523" s="1379"/>
      <c r="I523" s="1379"/>
      <c r="J523" s="1379"/>
      <c r="L523" s="1379"/>
      <c r="M523" s="1379"/>
      <c r="N523" s="1379"/>
      <c r="O523" s="1379"/>
      <c r="P523" s="1379"/>
      <c r="Q523" s="1379"/>
      <c r="R523" s="1379"/>
      <c r="S523" s="1379"/>
      <c r="T523" s="1379"/>
      <c r="U523" s="1379"/>
    </row>
    <row r="524" spans="1:21" s="1380" customFormat="1">
      <c r="A524" s="1457"/>
      <c r="B524" s="1379"/>
      <c r="C524" s="1379"/>
      <c r="D524" s="1379"/>
      <c r="E524" s="1379"/>
      <c r="F524" s="1379"/>
      <c r="G524" s="1379"/>
      <c r="H524" s="1379"/>
      <c r="I524" s="1379"/>
      <c r="J524" s="1379"/>
      <c r="L524" s="1379"/>
      <c r="M524" s="1379"/>
      <c r="N524" s="1379"/>
      <c r="O524" s="1379"/>
      <c r="P524" s="1379"/>
      <c r="Q524" s="1379"/>
      <c r="R524" s="1379"/>
      <c r="S524" s="1379"/>
      <c r="T524" s="1379"/>
      <c r="U524" s="1379"/>
    </row>
    <row r="525" spans="1:21" s="1380" customFormat="1">
      <c r="A525" s="1457"/>
      <c r="B525" s="1379"/>
      <c r="C525" s="1379"/>
      <c r="D525" s="1379"/>
      <c r="E525" s="1379"/>
      <c r="F525" s="1379"/>
      <c r="G525" s="1379"/>
      <c r="H525" s="1379"/>
      <c r="I525" s="1379"/>
      <c r="J525" s="1379"/>
      <c r="L525" s="1379"/>
      <c r="M525" s="1379"/>
      <c r="N525" s="1379"/>
      <c r="O525" s="1379"/>
      <c r="P525" s="1379"/>
      <c r="Q525" s="1379"/>
      <c r="R525" s="1379"/>
      <c r="S525" s="1379"/>
      <c r="T525" s="1379"/>
      <c r="U525" s="1379"/>
    </row>
    <row r="526" spans="1:21" s="1380" customFormat="1">
      <c r="A526" s="1457"/>
      <c r="B526" s="1379"/>
      <c r="C526" s="1379"/>
      <c r="D526" s="1379"/>
      <c r="E526" s="1379"/>
      <c r="F526" s="1379"/>
      <c r="G526" s="1379"/>
      <c r="H526" s="1379"/>
      <c r="I526" s="1379"/>
      <c r="J526" s="1379"/>
      <c r="L526" s="1379"/>
      <c r="M526" s="1379"/>
      <c r="N526" s="1379"/>
      <c r="O526" s="1379"/>
      <c r="P526" s="1379"/>
      <c r="Q526" s="1379"/>
      <c r="R526" s="1379"/>
      <c r="S526" s="1379"/>
      <c r="T526" s="1379"/>
      <c r="U526" s="1379"/>
    </row>
    <row r="527" spans="1:21" s="1380" customFormat="1">
      <c r="A527" s="1457"/>
      <c r="B527" s="1379"/>
      <c r="C527" s="1379"/>
      <c r="D527" s="1379"/>
      <c r="E527" s="1379"/>
      <c r="F527" s="1379"/>
      <c r="G527" s="1379"/>
      <c r="H527" s="1379"/>
      <c r="I527" s="1379"/>
      <c r="J527" s="1379"/>
      <c r="L527" s="1379"/>
      <c r="M527" s="1379"/>
      <c r="N527" s="1379"/>
      <c r="O527" s="1379"/>
      <c r="P527" s="1379"/>
      <c r="Q527" s="1379"/>
      <c r="R527" s="1379"/>
      <c r="S527" s="1379"/>
      <c r="T527" s="1379"/>
      <c r="U527" s="1379"/>
    </row>
    <row r="528" spans="1:21" s="1380" customFormat="1">
      <c r="A528" s="1457"/>
      <c r="B528" s="1379"/>
      <c r="C528" s="1379"/>
      <c r="D528" s="1379"/>
      <c r="E528" s="1379"/>
      <c r="F528" s="1379"/>
      <c r="G528" s="1379"/>
      <c r="H528" s="1379"/>
      <c r="I528" s="1379"/>
      <c r="J528" s="1379"/>
      <c r="L528" s="1379"/>
      <c r="M528" s="1379"/>
      <c r="N528" s="1379"/>
      <c r="O528" s="1379"/>
      <c r="P528" s="1379"/>
      <c r="Q528" s="1379"/>
      <c r="R528" s="1379"/>
      <c r="S528" s="1379"/>
      <c r="T528" s="1379"/>
      <c r="U528" s="1379"/>
    </row>
    <row r="529" spans="1:21" s="1380" customFormat="1">
      <c r="A529" s="1457"/>
      <c r="B529" s="1379"/>
      <c r="C529" s="1379"/>
      <c r="D529" s="1379"/>
      <c r="E529" s="1379"/>
      <c r="F529" s="1379"/>
      <c r="G529" s="1379"/>
      <c r="H529" s="1379"/>
      <c r="I529" s="1379"/>
      <c r="J529" s="1379"/>
      <c r="L529" s="1379"/>
      <c r="M529" s="1379"/>
      <c r="N529" s="1379"/>
      <c r="O529" s="1379"/>
      <c r="P529" s="1379"/>
      <c r="Q529" s="1379"/>
      <c r="R529" s="1379"/>
      <c r="S529" s="1379"/>
      <c r="T529" s="1379"/>
      <c r="U529" s="1379"/>
    </row>
    <row r="530" spans="1:21" s="1380" customFormat="1">
      <c r="A530" s="1457"/>
      <c r="B530" s="1379"/>
      <c r="C530" s="1379"/>
      <c r="D530" s="1379"/>
      <c r="E530" s="1379"/>
      <c r="F530" s="1379"/>
      <c r="G530" s="1379"/>
      <c r="H530" s="1379"/>
      <c r="I530" s="1379"/>
      <c r="J530" s="1379"/>
      <c r="L530" s="1379"/>
      <c r="M530" s="1379"/>
      <c r="N530" s="1379"/>
      <c r="O530" s="1379"/>
      <c r="P530" s="1379"/>
      <c r="Q530" s="1379"/>
      <c r="R530" s="1379"/>
      <c r="S530" s="1379"/>
      <c r="T530" s="1379"/>
      <c r="U530" s="1379"/>
    </row>
    <row r="531" spans="1:21" s="1380" customFormat="1">
      <c r="A531" s="1457"/>
      <c r="B531" s="1379"/>
      <c r="C531" s="1379"/>
      <c r="D531" s="1379"/>
      <c r="E531" s="1379"/>
      <c r="F531" s="1379"/>
      <c r="G531" s="1379"/>
      <c r="H531" s="1379"/>
      <c r="I531" s="1379"/>
      <c r="J531" s="1379"/>
      <c r="L531" s="1379"/>
      <c r="M531" s="1379"/>
      <c r="N531" s="1379"/>
      <c r="O531" s="1379"/>
      <c r="P531" s="1379"/>
      <c r="Q531" s="1379"/>
      <c r="R531" s="1379"/>
      <c r="S531" s="1379"/>
      <c r="T531" s="1379"/>
      <c r="U531" s="1379"/>
    </row>
    <row r="532" spans="1:21" s="1380" customFormat="1">
      <c r="A532" s="1457"/>
      <c r="B532" s="1379"/>
      <c r="C532" s="1379"/>
      <c r="D532" s="1379"/>
      <c r="E532" s="1379"/>
      <c r="F532" s="1379"/>
      <c r="G532" s="1379"/>
      <c r="H532" s="1379"/>
      <c r="I532" s="1379"/>
      <c r="J532" s="1379"/>
      <c r="L532" s="1379"/>
      <c r="M532" s="1379"/>
      <c r="N532" s="1379"/>
      <c r="O532" s="1379"/>
      <c r="P532" s="1379"/>
      <c r="Q532" s="1379"/>
      <c r="R532" s="1379"/>
      <c r="S532" s="1379"/>
      <c r="T532" s="1379"/>
      <c r="U532" s="1379"/>
    </row>
    <row r="533" spans="1:21" s="1380" customFormat="1">
      <c r="A533" s="1457"/>
      <c r="B533" s="1379"/>
      <c r="C533" s="1379"/>
      <c r="D533" s="1379"/>
      <c r="E533" s="1379"/>
      <c r="F533" s="1379"/>
      <c r="G533" s="1379"/>
      <c r="H533" s="1379"/>
      <c r="I533" s="1379"/>
      <c r="J533" s="1379"/>
      <c r="L533" s="1379"/>
      <c r="M533" s="1379"/>
      <c r="N533" s="1379"/>
      <c r="O533" s="1379"/>
      <c r="P533" s="1379"/>
      <c r="Q533" s="1379"/>
      <c r="R533" s="1379"/>
      <c r="S533" s="1379"/>
      <c r="T533" s="1379"/>
      <c r="U533" s="1379"/>
    </row>
    <row r="534" spans="1:21" s="1380" customFormat="1">
      <c r="A534" s="1457"/>
      <c r="B534" s="1379"/>
      <c r="C534" s="1379"/>
      <c r="D534" s="1379"/>
      <c r="E534" s="1379"/>
      <c r="F534" s="1379"/>
      <c r="G534" s="1379"/>
      <c r="H534" s="1379"/>
      <c r="I534" s="1379"/>
      <c r="J534" s="1379"/>
      <c r="L534" s="1379"/>
      <c r="M534" s="1379"/>
      <c r="N534" s="1379"/>
      <c r="O534" s="1379"/>
      <c r="P534" s="1379"/>
      <c r="Q534" s="1379"/>
      <c r="R534" s="1379"/>
      <c r="S534" s="1379"/>
      <c r="T534" s="1379"/>
      <c r="U534" s="1379"/>
    </row>
    <row r="535" spans="1:21" s="1380" customFormat="1">
      <c r="A535" s="1457"/>
      <c r="B535" s="1379"/>
      <c r="C535" s="1379"/>
      <c r="D535" s="1379"/>
      <c r="E535" s="1379"/>
      <c r="F535" s="1379"/>
      <c r="G535" s="1379"/>
      <c r="H535" s="1379"/>
      <c r="I535" s="1379"/>
      <c r="J535" s="1379"/>
      <c r="L535" s="1379"/>
      <c r="M535" s="1379"/>
      <c r="N535" s="1379"/>
      <c r="O535" s="1379"/>
      <c r="P535" s="1379"/>
      <c r="Q535" s="1379"/>
      <c r="R535" s="1379"/>
      <c r="S535" s="1379"/>
      <c r="T535" s="1379"/>
      <c r="U535" s="1379"/>
    </row>
    <row r="536" spans="1:21" s="1380" customFormat="1">
      <c r="A536" s="1457"/>
      <c r="B536" s="1379"/>
      <c r="C536" s="1379"/>
      <c r="D536" s="1379"/>
      <c r="E536" s="1379"/>
      <c r="F536" s="1379"/>
      <c r="G536" s="1379"/>
      <c r="H536" s="1379"/>
      <c r="I536" s="1379"/>
      <c r="J536" s="1379"/>
      <c r="L536" s="1379"/>
      <c r="M536" s="1379"/>
      <c r="N536" s="1379"/>
      <c r="O536" s="1379"/>
      <c r="P536" s="1379"/>
      <c r="Q536" s="1379"/>
      <c r="R536" s="1379"/>
      <c r="S536" s="1379"/>
      <c r="T536" s="1379"/>
      <c r="U536" s="1379"/>
    </row>
    <row r="537" spans="1:21" s="1380" customFormat="1">
      <c r="A537" s="1457"/>
      <c r="B537" s="1379"/>
      <c r="C537" s="1379"/>
      <c r="D537" s="1379"/>
      <c r="E537" s="1379"/>
      <c r="F537" s="1379"/>
      <c r="G537" s="1379"/>
      <c r="H537" s="1379"/>
      <c r="I537" s="1379"/>
      <c r="J537" s="1379"/>
      <c r="L537" s="1379"/>
      <c r="M537" s="1379"/>
      <c r="N537" s="1379"/>
      <c r="O537" s="1379"/>
      <c r="P537" s="1379"/>
      <c r="Q537" s="1379"/>
      <c r="R537" s="1379"/>
      <c r="S537" s="1379"/>
      <c r="T537" s="1379"/>
      <c r="U537" s="1379"/>
    </row>
    <row r="538" spans="1:21" s="1380" customFormat="1">
      <c r="A538" s="1457"/>
      <c r="B538" s="1379"/>
      <c r="C538" s="1379"/>
      <c r="D538" s="1379"/>
      <c r="E538" s="1379"/>
      <c r="F538" s="1379"/>
      <c r="G538" s="1379"/>
      <c r="H538" s="1379"/>
      <c r="I538" s="1379"/>
      <c r="J538" s="1379"/>
      <c r="L538" s="1379"/>
      <c r="M538" s="1379"/>
      <c r="N538" s="1379"/>
      <c r="O538" s="1379"/>
      <c r="P538" s="1379"/>
      <c r="Q538" s="1379"/>
      <c r="R538" s="1379"/>
      <c r="S538" s="1379"/>
      <c r="T538" s="1379"/>
      <c r="U538" s="1379"/>
    </row>
    <row r="539" spans="1:21" s="1380" customFormat="1">
      <c r="A539" s="1457"/>
      <c r="B539" s="1379"/>
      <c r="C539" s="1379"/>
      <c r="D539" s="1379"/>
      <c r="E539" s="1379"/>
      <c r="F539" s="1379"/>
      <c r="G539" s="1379"/>
      <c r="H539" s="1379"/>
      <c r="I539" s="1379"/>
      <c r="J539" s="1379"/>
      <c r="L539" s="1379"/>
      <c r="M539" s="1379"/>
      <c r="N539" s="1379"/>
      <c r="O539" s="1379"/>
      <c r="P539" s="1379"/>
      <c r="Q539" s="1379"/>
      <c r="R539" s="1379"/>
      <c r="S539" s="1379"/>
      <c r="T539" s="1379"/>
      <c r="U539" s="1379"/>
    </row>
    <row r="540" spans="1:21" s="1380" customFormat="1">
      <c r="A540" s="1457"/>
      <c r="B540" s="1379"/>
      <c r="C540" s="1379"/>
      <c r="D540" s="1379"/>
      <c r="E540" s="1379"/>
      <c r="F540" s="1379"/>
      <c r="G540" s="1379"/>
      <c r="H540" s="1379"/>
      <c r="I540" s="1379"/>
      <c r="J540" s="1379"/>
      <c r="L540" s="1379"/>
      <c r="M540" s="1379"/>
      <c r="N540" s="1379"/>
      <c r="O540" s="1379"/>
      <c r="P540" s="1379"/>
      <c r="Q540" s="1379"/>
      <c r="R540" s="1379"/>
      <c r="S540" s="1379"/>
      <c r="T540" s="1379"/>
      <c r="U540" s="1379"/>
    </row>
    <row r="541" spans="1:21" s="1380" customFormat="1">
      <c r="A541" s="1457"/>
      <c r="B541" s="1379"/>
      <c r="C541" s="1379"/>
      <c r="D541" s="1379"/>
      <c r="E541" s="1379"/>
      <c r="F541" s="1379"/>
      <c r="G541" s="1379"/>
      <c r="H541" s="1379"/>
      <c r="I541" s="1379"/>
      <c r="J541" s="1379"/>
      <c r="L541" s="1379"/>
      <c r="M541" s="1379"/>
      <c r="N541" s="1379"/>
      <c r="O541" s="1379"/>
      <c r="P541" s="1379"/>
      <c r="Q541" s="1379"/>
      <c r="R541" s="1379"/>
      <c r="S541" s="1379"/>
      <c r="T541" s="1379"/>
      <c r="U541" s="1379"/>
    </row>
    <row r="542" spans="1:21" s="1380" customFormat="1">
      <c r="A542" s="1457"/>
      <c r="B542" s="1379"/>
      <c r="C542" s="1379"/>
      <c r="D542" s="1379"/>
      <c r="E542" s="1379"/>
      <c r="F542" s="1379"/>
      <c r="G542" s="1379"/>
      <c r="H542" s="1379"/>
      <c r="I542" s="1379"/>
      <c r="J542" s="1379"/>
      <c r="L542" s="1379"/>
      <c r="M542" s="1379"/>
      <c r="N542" s="1379"/>
      <c r="O542" s="1379"/>
      <c r="P542" s="1379"/>
      <c r="Q542" s="1379"/>
      <c r="R542" s="1379"/>
      <c r="S542" s="1379"/>
      <c r="T542" s="1379"/>
      <c r="U542" s="1379"/>
    </row>
    <row r="543" spans="1:21" s="1380" customFormat="1">
      <c r="A543" s="1457"/>
      <c r="B543" s="1379"/>
      <c r="C543" s="1379"/>
      <c r="D543" s="1379"/>
      <c r="E543" s="1379"/>
      <c r="F543" s="1379"/>
      <c r="G543" s="1379"/>
      <c r="H543" s="1379"/>
      <c r="I543" s="1379"/>
      <c r="J543" s="1379"/>
      <c r="L543" s="1379"/>
      <c r="M543" s="1379"/>
      <c r="N543" s="1379"/>
      <c r="O543" s="1379"/>
      <c r="P543" s="1379"/>
      <c r="Q543" s="1379"/>
      <c r="R543" s="1379"/>
      <c r="S543" s="1379"/>
      <c r="T543" s="1379"/>
      <c r="U543" s="1379"/>
    </row>
    <row r="544" spans="1:21" s="1380" customFormat="1">
      <c r="A544" s="1457"/>
      <c r="B544" s="1379"/>
      <c r="C544" s="1379"/>
      <c r="D544" s="1379"/>
      <c r="E544" s="1379"/>
      <c r="F544" s="1379"/>
      <c r="G544" s="1379"/>
      <c r="H544" s="1379"/>
      <c r="I544" s="1379"/>
      <c r="J544" s="1379"/>
      <c r="L544" s="1379"/>
      <c r="M544" s="1379"/>
      <c r="N544" s="1379"/>
      <c r="O544" s="1379"/>
      <c r="P544" s="1379"/>
      <c r="Q544" s="1379"/>
      <c r="R544" s="1379"/>
      <c r="S544" s="1379"/>
      <c r="T544" s="1379"/>
      <c r="U544" s="1379"/>
    </row>
    <row r="545" spans="1:21" s="1380" customFormat="1">
      <c r="A545" s="1457"/>
      <c r="B545" s="1379"/>
      <c r="C545" s="1379"/>
      <c r="D545" s="1379"/>
      <c r="E545" s="1379"/>
      <c r="F545" s="1379"/>
      <c r="G545" s="1379"/>
      <c r="H545" s="1379"/>
      <c r="I545" s="1379"/>
      <c r="J545" s="1379"/>
      <c r="L545" s="1379"/>
      <c r="M545" s="1379"/>
      <c r="N545" s="1379"/>
      <c r="O545" s="1379"/>
      <c r="P545" s="1379"/>
      <c r="Q545" s="1379"/>
      <c r="R545" s="1379"/>
      <c r="S545" s="1379"/>
      <c r="T545" s="1379"/>
      <c r="U545" s="1379"/>
    </row>
    <row r="546" spans="1:21" s="1380" customFormat="1">
      <c r="A546" s="1457"/>
      <c r="B546" s="1379"/>
      <c r="C546" s="1379"/>
      <c r="D546" s="1379"/>
      <c r="E546" s="1379"/>
      <c r="F546" s="1379"/>
      <c r="G546" s="1379"/>
      <c r="H546" s="1379"/>
      <c r="I546" s="1379"/>
      <c r="J546" s="1379"/>
      <c r="L546" s="1379"/>
      <c r="M546" s="1379"/>
      <c r="N546" s="1379"/>
      <c r="O546" s="1379"/>
      <c r="P546" s="1379"/>
      <c r="Q546" s="1379"/>
      <c r="R546" s="1379"/>
      <c r="S546" s="1379"/>
      <c r="T546" s="1379"/>
      <c r="U546" s="1379"/>
    </row>
    <row r="547" spans="1:21" s="1380" customFormat="1">
      <c r="A547" s="1457"/>
      <c r="B547" s="1379"/>
      <c r="C547" s="1379"/>
      <c r="D547" s="1379"/>
      <c r="E547" s="1379"/>
      <c r="F547" s="1379"/>
      <c r="G547" s="1379"/>
      <c r="H547" s="1379"/>
      <c r="I547" s="1379"/>
      <c r="J547" s="1379"/>
      <c r="L547" s="1379"/>
      <c r="M547" s="1379"/>
      <c r="N547" s="1379"/>
      <c r="O547" s="1379"/>
      <c r="P547" s="1379"/>
      <c r="Q547" s="1379"/>
      <c r="R547" s="1379"/>
      <c r="S547" s="1379"/>
      <c r="T547" s="1379"/>
      <c r="U547" s="1379"/>
    </row>
    <row r="548" spans="1:21" s="1380" customFormat="1">
      <c r="A548" s="1457"/>
      <c r="B548" s="1379"/>
      <c r="C548" s="1379"/>
      <c r="D548" s="1379"/>
      <c r="E548" s="1379"/>
      <c r="F548" s="1379"/>
      <c r="G548" s="1379"/>
      <c r="H548" s="1379"/>
      <c r="I548" s="1379"/>
      <c r="J548" s="1379"/>
      <c r="L548" s="1379"/>
      <c r="M548" s="1379"/>
      <c r="N548" s="1379"/>
      <c r="O548" s="1379"/>
      <c r="P548" s="1379"/>
      <c r="Q548" s="1379"/>
      <c r="R548" s="1379"/>
      <c r="S548" s="1379"/>
      <c r="T548" s="1379"/>
      <c r="U548" s="1379"/>
    </row>
    <row r="549" spans="1:21" s="1380" customFormat="1">
      <c r="A549" s="1457"/>
      <c r="B549" s="1379"/>
      <c r="C549" s="1379"/>
      <c r="D549" s="1379"/>
      <c r="E549" s="1379"/>
      <c r="F549" s="1379"/>
      <c r="G549" s="1379"/>
      <c r="H549" s="1379"/>
      <c r="I549" s="1379"/>
      <c r="J549" s="1379"/>
      <c r="L549" s="1379"/>
      <c r="M549" s="1379"/>
      <c r="N549" s="1379"/>
      <c r="O549" s="1379"/>
      <c r="P549" s="1379"/>
      <c r="Q549" s="1379"/>
      <c r="R549" s="1379"/>
      <c r="S549" s="1379"/>
      <c r="T549" s="1379"/>
      <c r="U549" s="1379"/>
    </row>
    <row r="550" spans="1:21" s="1380" customFormat="1">
      <c r="A550" s="1457"/>
      <c r="B550" s="1379"/>
      <c r="C550" s="1379"/>
      <c r="D550" s="1379"/>
      <c r="E550" s="1379"/>
      <c r="F550" s="1379"/>
      <c r="G550" s="1379"/>
      <c r="H550" s="1379"/>
      <c r="I550" s="1379"/>
      <c r="J550" s="1379"/>
      <c r="L550" s="1379"/>
      <c r="M550" s="1379"/>
      <c r="N550" s="1379"/>
      <c r="O550" s="1379"/>
      <c r="P550" s="1379"/>
      <c r="Q550" s="1379"/>
      <c r="R550" s="1379"/>
      <c r="S550" s="1379"/>
      <c r="T550" s="1379"/>
      <c r="U550" s="1379"/>
    </row>
    <row r="551" spans="1:21" s="1380" customFormat="1">
      <c r="A551" s="1457"/>
      <c r="B551" s="1379"/>
      <c r="C551" s="1379"/>
      <c r="D551" s="1379"/>
      <c r="E551" s="1379"/>
      <c r="F551" s="1379"/>
      <c r="G551" s="1379"/>
      <c r="H551" s="1379"/>
      <c r="I551" s="1379"/>
      <c r="J551" s="1379"/>
      <c r="L551" s="1379"/>
      <c r="M551" s="1379"/>
      <c r="N551" s="1379"/>
      <c r="O551" s="1379"/>
      <c r="P551" s="1379"/>
      <c r="Q551" s="1379"/>
      <c r="R551" s="1379"/>
      <c r="S551" s="1379"/>
      <c r="T551" s="1379"/>
      <c r="U551" s="1379"/>
    </row>
    <row r="552" spans="1:21" s="1380" customFormat="1">
      <c r="A552" s="1457"/>
      <c r="B552" s="1379"/>
      <c r="C552" s="1379"/>
      <c r="D552" s="1379"/>
      <c r="E552" s="1379"/>
      <c r="F552" s="1379"/>
      <c r="G552" s="1379"/>
      <c r="H552" s="1379"/>
      <c r="I552" s="1379"/>
      <c r="J552" s="1379"/>
      <c r="L552" s="1379"/>
      <c r="M552" s="1379"/>
      <c r="N552" s="1379"/>
      <c r="O552" s="1379"/>
      <c r="P552" s="1379"/>
      <c r="Q552" s="1379"/>
      <c r="R552" s="1379"/>
      <c r="S552" s="1379"/>
      <c r="T552" s="1379"/>
      <c r="U552" s="1379"/>
    </row>
    <row r="553" spans="1:21" s="1380" customFormat="1">
      <c r="A553" s="1457"/>
      <c r="B553" s="1379"/>
      <c r="C553" s="1379"/>
      <c r="D553" s="1379"/>
      <c r="E553" s="1379"/>
      <c r="F553" s="1379"/>
      <c r="G553" s="1379"/>
      <c r="H553" s="1379"/>
      <c r="I553" s="1379"/>
      <c r="J553" s="1379"/>
      <c r="L553" s="1379"/>
      <c r="M553" s="1379"/>
      <c r="N553" s="1379"/>
      <c r="O553" s="1379"/>
      <c r="P553" s="1379"/>
      <c r="Q553" s="1379"/>
      <c r="R553" s="1379"/>
      <c r="S553" s="1379"/>
      <c r="T553" s="1379"/>
      <c r="U553" s="1379"/>
    </row>
    <row r="554" spans="1:21" s="1380" customFormat="1">
      <c r="A554" s="1457"/>
      <c r="B554" s="1379"/>
      <c r="C554" s="1379"/>
      <c r="D554" s="1379"/>
      <c r="E554" s="1379"/>
      <c r="F554" s="1379"/>
      <c r="G554" s="1379"/>
      <c r="H554" s="1379"/>
      <c r="I554" s="1379"/>
      <c r="J554" s="1379"/>
      <c r="L554" s="1379"/>
      <c r="M554" s="1379"/>
      <c r="N554" s="1379"/>
      <c r="O554" s="1379"/>
      <c r="P554" s="1379"/>
      <c r="Q554" s="1379"/>
      <c r="R554" s="1379"/>
      <c r="S554" s="1379"/>
      <c r="T554" s="1379"/>
      <c r="U554" s="1379"/>
    </row>
    <row r="555" spans="1:21" s="1380" customFormat="1">
      <c r="A555" s="1457"/>
      <c r="B555" s="1379"/>
      <c r="C555" s="1379"/>
      <c r="D555" s="1379"/>
      <c r="E555" s="1379"/>
      <c r="F555" s="1379"/>
      <c r="G555" s="1379"/>
      <c r="H555" s="1379"/>
      <c r="I555" s="1379"/>
      <c r="J555" s="1379"/>
      <c r="L555" s="1379"/>
      <c r="M555" s="1379"/>
      <c r="N555" s="1379"/>
      <c r="O555" s="1379"/>
      <c r="P555" s="1379"/>
      <c r="Q555" s="1379"/>
      <c r="R555" s="1379"/>
      <c r="S555" s="1379"/>
      <c r="T555" s="1379"/>
      <c r="U555" s="1379"/>
    </row>
    <row r="556" spans="1:21" s="1380" customFormat="1">
      <c r="A556" s="1457"/>
      <c r="B556" s="1379"/>
      <c r="C556" s="1379"/>
      <c r="D556" s="1379"/>
      <c r="E556" s="1379"/>
      <c r="F556" s="1379"/>
      <c r="G556" s="1379"/>
      <c r="H556" s="1379"/>
      <c r="I556" s="1379"/>
      <c r="J556" s="1379"/>
      <c r="L556" s="1379"/>
      <c r="M556" s="1379"/>
      <c r="N556" s="1379"/>
      <c r="O556" s="1379"/>
      <c r="P556" s="1379"/>
      <c r="Q556" s="1379"/>
      <c r="R556" s="1379"/>
      <c r="S556" s="1379"/>
      <c r="T556" s="1379"/>
      <c r="U556" s="1379"/>
    </row>
    <row r="557" spans="1:21" s="1380" customFormat="1">
      <c r="A557" s="1457"/>
      <c r="B557" s="1379"/>
      <c r="C557" s="1379"/>
      <c r="D557" s="1379"/>
      <c r="E557" s="1379"/>
      <c r="F557" s="1379"/>
      <c r="G557" s="1379"/>
      <c r="H557" s="1379"/>
      <c r="I557" s="1379"/>
      <c r="J557" s="1379"/>
      <c r="L557" s="1379"/>
      <c r="M557" s="1379"/>
      <c r="N557" s="1379"/>
      <c r="O557" s="1379"/>
      <c r="P557" s="1379"/>
      <c r="Q557" s="1379"/>
      <c r="R557" s="1379"/>
      <c r="S557" s="1379"/>
      <c r="T557" s="1379"/>
      <c r="U557" s="1379"/>
    </row>
    <row r="558" spans="1:21" s="1380" customFormat="1">
      <c r="A558" s="1457"/>
      <c r="B558" s="1379"/>
      <c r="C558" s="1379"/>
      <c r="D558" s="1379"/>
      <c r="E558" s="1379"/>
      <c r="F558" s="1379"/>
      <c r="G558" s="1379"/>
      <c r="H558" s="1379"/>
      <c r="I558" s="1379"/>
      <c r="J558" s="1379"/>
      <c r="L558" s="1379"/>
      <c r="M558" s="1379"/>
      <c r="N558" s="1379"/>
      <c r="O558" s="1379"/>
      <c r="P558" s="1379"/>
      <c r="Q558" s="1379"/>
      <c r="R558" s="1379"/>
      <c r="S558" s="1379"/>
      <c r="T558" s="1379"/>
      <c r="U558" s="1379"/>
    </row>
    <row r="559" spans="1:21" s="1380" customFormat="1">
      <c r="A559" s="1457"/>
      <c r="B559" s="1379"/>
      <c r="C559" s="1379"/>
      <c r="D559" s="1379"/>
      <c r="E559" s="1379"/>
      <c r="F559" s="1379"/>
      <c r="G559" s="1379"/>
      <c r="H559" s="1379"/>
      <c r="I559" s="1379"/>
      <c r="J559" s="1379"/>
      <c r="L559" s="1379"/>
      <c r="M559" s="1379"/>
      <c r="N559" s="1379"/>
      <c r="O559" s="1379"/>
      <c r="P559" s="1379"/>
      <c r="Q559" s="1379"/>
      <c r="R559" s="1379"/>
      <c r="S559" s="1379"/>
      <c r="T559" s="1379"/>
      <c r="U559" s="1379"/>
    </row>
    <row r="560" spans="1:21" s="1380" customFormat="1">
      <c r="A560" s="1457"/>
      <c r="B560" s="1379"/>
      <c r="C560" s="1379"/>
      <c r="D560" s="1379"/>
      <c r="E560" s="1379"/>
      <c r="F560" s="1379"/>
      <c r="G560" s="1379"/>
      <c r="H560" s="1379"/>
      <c r="I560" s="1379"/>
      <c r="J560" s="1379"/>
      <c r="L560" s="1379"/>
      <c r="M560" s="1379"/>
      <c r="N560" s="1379"/>
      <c r="O560" s="1379"/>
      <c r="P560" s="1379"/>
      <c r="Q560" s="1379"/>
      <c r="R560" s="1379"/>
      <c r="S560" s="1379"/>
      <c r="T560" s="1379"/>
      <c r="U560" s="1379"/>
    </row>
    <row r="561" spans="1:21" s="1380" customFormat="1">
      <c r="A561" s="1457"/>
      <c r="B561" s="1379"/>
      <c r="C561" s="1379"/>
      <c r="D561" s="1379"/>
      <c r="E561" s="1379"/>
      <c r="F561" s="1379"/>
      <c r="G561" s="1379"/>
      <c r="H561" s="1379"/>
      <c r="I561" s="1379"/>
      <c r="J561" s="1379"/>
      <c r="L561" s="1379"/>
      <c r="M561" s="1379"/>
      <c r="N561" s="1379"/>
      <c r="O561" s="1379"/>
      <c r="P561" s="1379"/>
      <c r="Q561" s="1379"/>
      <c r="R561" s="1379"/>
      <c r="S561" s="1379"/>
      <c r="T561" s="1379"/>
      <c r="U561" s="1379"/>
    </row>
    <row r="562" spans="1:21" s="1380" customFormat="1">
      <c r="A562" s="1457"/>
      <c r="B562" s="1379"/>
      <c r="C562" s="1379"/>
      <c r="D562" s="1379"/>
      <c r="E562" s="1379"/>
      <c r="F562" s="1379"/>
      <c r="G562" s="1379"/>
      <c r="H562" s="1379"/>
      <c r="I562" s="1379"/>
      <c r="J562" s="1379"/>
      <c r="L562" s="1379"/>
      <c r="M562" s="1379"/>
      <c r="N562" s="1379"/>
      <c r="O562" s="1379"/>
      <c r="P562" s="1379"/>
      <c r="Q562" s="1379"/>
      <c r="R562" s="1379"/>
      <c r="S562" s="1379"/>
      <c r="T562" s="1379"/>
      <c r="U562" s="1379"/>
    </row>
    <row r="563" spans="1:21" s="1380" customFormat="1">
      <c r="A563" s="1457"/>
      <c r="B563" s="1379"/>
      <c r="C563" s="1379"/>
      <c r="D563" s="1379"/>
      <c r="E563" s="1379"/>
      <c r="F563" s="1379"/>
      <c r="G563" s="1379"/>
      <c r="H563" s="1379"/>
      <c r="I563" s="1379"/>
      <c r="J563" s="1379"/>
      <c r="L563" s="1379"/>
      <c r="M563" s="1379"/>
      <c r="N563" s="1379"/>
      <c r="O563" s="1379"/>
      <c r="P563" s="1379"/>
      <c r="Q563" s="1379"/>
      <c r="R563" s="1379"/>
      <c r="S563" s="1379"/>
      <c r="T563" s="1379"/>
      <c r="U563" s="1379"/>
    </row>
    <row r="564" spans="1:21" s="1380" customFormat="1">
      <c r="A564" s="1457"/>
      <c r="B564" s="1379"/>
      <c r="C564" s="1379"/>
      <c r="D564" s="1379"/>
      <c r="E564" s="1379"/>
      <c r="F564" s="1379"/>
      <c r="G564" s="1379"/>
      <c r="H564" s="1379"/>
      <c r="I564" s="1379"/>
      <c r="J564" s="1379"/>
      <c r="L564" s="1379"/>
      <c r="M564" s="1379"/>
      <c r="N564" s="1379"/>
      <c r="O564" s="1379"/>
      <c r="P564" s="1379"/>
      <c r="Q564" s="1379"/>
      <c r="R564" s="1379"/>
      <c r="S564" s="1379"/>
      <c r="T564" s="1379"/>
      <c r="U564" s="1379"/>
    </row>
    <row r="565" spans="1:21" s="1380" customFormat="1">
      <c r="A565" s="1457"/>
      <c r="B565" s="1379"/>
      <c r="C565" s="1379"/>
      <c r="D565" s="1379"/>
      <c r="E565" s="1379"/>
      <c r="F565" s="1379"/>
      <c r="G565" s="1379"/>
      <c r="H565" s="1379"/>
      <c r="I565" s="1379"/>
      <c r="J565" s="1379"/>
      <c r="L565" s="1379"/>
      <c r="M565" s="1379"/>
      <c r="N565" s="1379"/>
      <c r="O565" s="1379"/>
      <c r="P565" s="1379"/>
      <c r="Q565" s="1379"/>
      <c r="R565" s="1379"/>
      <c r="S565" s="1379"/>
      <c r="T565" s="1379"/>
      <c r="U565" s="1379"/>
    </row>
    <row r="566" spans="1:21" s="1380" customFormat="1">
      <c r="A566" s="1457"/>
      <c r="B566" s="1379"/>
      <c r="C566" s="1379"/>
      <c r="D566" s="1379"/>
      <c r="E566" s="1379"/>
      <c r="F566" s="1379"/>
      <c r="G566" s="1379"/>
      <c r="H566" s="1379"/>
      <c r="I566" s="1379"/>
      <c r="J566" s="1379"/>
      <c r="L566" s="1379"/>
      <c r="M566" s="1379"/>
      <c r="N566" s="1379"/>
      <c r="O566" s="1379"/>
      <c r="P566" s="1379"/>
      <c r="Q566" s="1379"/>
      <c r="R566" s="1379"/>
      <c r="S566" s="1379"/>
      <c r="T566" s="1379"/>
      <c r="U566" s="1379"/>
    </row>
    <row r="567" spans="1:21" s="1380" customFormat="1">
      <c r="A567" s="1457"/>
      <c r="B567" s="1379"/>
      <c r="C567" s="1379"/>
      <c r="D567" s="1379"/>
      <c r="E567" s="1379"/>
      <c r="F567" s="1379"/>
      <c r="G567" s="1379"/>
      <c r="H567" s="1379"/>
      <c r="I567" s="1379"/>
      <c r="J567" s="1379"/>
      <c r="L567" s="1379"/>
      <c r="M567" s="1379"/>
      <c r="N567" s="1379"/>
      <c r="O567" s="1379"/>
      <c r="P567" s="1379"/>
      <c r="Q567" s="1379"/>
      <c r="R567" s="1379"/>
      <c r="S567" s="1379"/>
      <c r="T567" s="1379"/>
      <c r="U567" s="1379"/>
    </row>
    <row r="568" spans="1:21" s="1380" customFormat="1">
      <c r="A568" s="1457"/>
      <c r="B568" s="1379"/>
      <c r="C568" s="1379"/>
      <c r="D568" s="1379"/>
      <c r="E568" s="1379"/>
      <c r="F568" s="1379"/>
      <c r="G568" s="1379"/>
      <c r="H568" s="1379"/>
      <c r="I568" s="1379"/>
      <c r="J568" s="1379"/>
      <c r="L568" s="1379"/>
      <c r="M568" s="1379"/>
      <c r="N568" s="1379"/>
      <c r="O568" s="1379"/>
      <c r="P568" s="1379"/>
      <c r="Q568" s="1379"/>
      <c r="R568" s="1379"/>
      <c r="S568" s="1379"/>
      <c r="T568" s="1379"/>
      <c r="U568" s="1379"/>
    </row>
    <row r="569" spans="1:21" s="1380" customFormat="1">
      <c r="A569" s="1457"/>
      <c r="B569" s="1379"/>
      <c r="C569" s="1379"/>
      <c r="D569" s="1379"/>
      <c r="E569" s="1379"/>
      <c r="F569" s="1379"/>
      <c r="G569" s="1379"/>
      <c r="H569" s="1379"/>
      <c r="I569" s="1379"/>
      <c r="J569" s="1379"/>
      <c r="L569" s="1379"/>
      <c r="M569" s="1379"/>
      <c r="N569" s="1379"/>
      <c r="O569" s="1379"/>
      <c r="P569" s="1379"/>
      <c r="Q569" s="1379"/>
      <c r="R569" s="1379"/>
      <c r="S569" s="1379"/>
      <c r="T569" s="1379"/>
      <c r="U569" s="1379"/>
    </row>
    <row r="570" spans="1:21" s="1380" customFormat="1">
      <c r="A570" s="1457"/>
      <c r="B570" s="1379"/>
      <c r="C570" s="1379"/>
      <c r="D570" s="1379"/>
      <c r="E570" s="1379"/>
      <c r="F570" s="1379"/>
      <c r="G570" s="1379"/>
      <c r="H570" s="1379"/>
      <c r="I570" s="1379"/>
      <c r="J570" s="1379"/>
      <c r="L570" s="1379"/>
      <c r="M570" s="1379"/>
      <c r="N570" s="1379"/>
      <c r="O570" s="1379"/>
      <c r="P570" s="1379"/>
      <c r="Q570" s="1379"/>
      <c r="R570" s="1379"/>
      <c r="S570" s="1379"/>
      <c r="T570" s="1379"/>
      <c r="U570" s="1379"/>
    </row>
    <row r="571" spans="1:21" s="1380" customFormat="1">
      <c r="A571" s="1457"/>
      <c r="B571" s="1379"/>
      <c r="C571" s="1379"/>
      <c r="D571" s="1379"/>
      <c r="E571" s="1379"/>
      <c r="F571" s="1379"/>
      <c r="G571" s="1379"/>
      <c r="H571" s="1379"/>
      <c r="I571" s="1379"/>
      <c r="J571" s="1379"/>
      <c r="L571" s="1379"/>
      <c r="M571" s="1379"/>
      <c r="N571" s="1379"/>
      <c r="O571" s="1379"/>
      <c r="P571" s="1379"/>
      <c r="Q571" s="1379"/>
      <c r="R571" s="1379"/>
      <c r="S571" s="1379"/>
      <c r="T571" s="1379"/>
      <c r="U571" s="1379"/>
    </row>
    <row r="572" spans="1:21" s="1380" customFormat="1">
      <c r="A572" s="1457"/>
      <c r="B572" s="1379"/>
      <c r="C572" s="1379"/>
      <c r="D572" s="1379"/>
      <c r="E572" s="1379"/>
      <c r="F572" s="1379"/>
      <c r="G572" s="1379"/>
      <c r="H572" s="1379"/>
      <c r="I572" s="1379"/>
      <c r="J572" s="1379"/>
      <c r="L572" s="1379"/>
      <c r="M572" s="1379"/>
      <c r="N572" s="1379"/>
      <c r="O572" s="1379"/>
      <c r="P572" s="1379"/>
      <c r="Q572" s="1379"/>
      <c r="R572" s="1379"/>
      <c r="S572" s="1379"/>
      <c r="T572" s="1379"/>
      <c r="U572" s="1379"/>
    </row>
    <row r="573" spans="1:21" s="1380" customFormat="1">
      <c r="A573" s="1457"/>
      <c r="B573" s="1379"/>
      <c r="C573" s="1379"/>
      <c r="D573" s="1379"/>
      <c r="E573" s="1379"/>
      <c r="F573" s="1379"/>
      <c r="G573" s="1379"/>
      <c r="H573" s="1379"/>
      <c r="I573" s="1379"/>
      <c r="J573" s="1379"/>
      <c r="L573" s="1379"/>
      <c r="M573" s="1379"/>
      <c r="N573" s="1379"/>
      <c r="O573" s="1379"/>
      <c r="P573" s="1379"/>
      <c r="Q573" s="1379"/>
      <c r="R573" s="1379"/>
      <c r="S573" s="1379"/>
      <c r="T573" s="1379"/>
      <c r="U573" s="1379"/>
    </row>
    <row r="574" spans="1:21" s="1380" customFormat="1">
      <c r="A574" s="1457"/>
      <c r="B574" s="1379"/>
      <c r="C574" s="1379"/>
      <c r="D574" s="1379"/>
      <c r="E574" s="1379"/>
      <c r="F574" s="1379"/>
      <c r="G574" s="1379"/>
      <c r="H574" s="1379"/>
      <c r="I574" s="1379"/>
      <c r="J574" s="1379"/>
      <c r="L574" s="1379"/>
      <c r="M574" s="1379"/>
      <c r="N574" s="1379"/>
      <c r="O574" s="1379"/>
      <c r="P574" s="1379"/>
      <c r="Q574" s="1379"/>
      <c r="R574" s="1379"/>
      <c r="S574" s="1379"/>
      <c r="T574" s="1379"/>
      <c r="U574" s="1379"/>
    </row>
    <row r="575" spans="1:21" s="1380" customFormat="1">
      <c r="A575" s="1457"/>
      <c r="B575" s="1379"/>
      <c r="C575" s="1379"/>
      <c r="D575" s="1379"/>
      <c r="E575" s="1379"/>
      <c r="F575" s="1379"/>
      <c r="G575" s="1379"/>
      <c r="H575" s="1379"/>
      <c r="I575" s="1379"/>
      <c r="J575" s="1379"/>
      <c r="L575" s="1379"/>
      <c r="M575" s="1379"/>
      <c r="N575" s="1379"/>
      <c r="O575" s="1379"/>
      <c r="P575" s="1379"/>
      <c r="Q575" s="1379"/>
      <c r="R575" s="1379"/>
      <c r="S575" s="1379"/>
      <c r="T575" s="1379"/>
      <c r="U575" s="1379"/>
    </row>
    <row r="576" spans="1:21" s="1380" customFormat="1">
      <c r="A576" s="1457"/>
      <c r="B576" s="1379"/>
      <c r="C576" s="1379"/>
      <c r="D576" s="1379"/>
      <c r="E576" s="1379"/>
      <c r="F576" s="1379"/>
      <c r="G576" s="1379"/>
      <c r="H576" s="1379"/>
      <c r="I576" s="1379"/>
      <c r="J576" s="1379"/>
      <c r="L576" s="1379"/>
      <c r="M576" s="1379"/>
      <c r="N576" s="1379"/>
      <c r="O576" s="1379"/>
      <c r="P576" s="1379"/>
      <c r="Q576" s="1379"/>
      <c r="R576" s="1379"/>
      <c r="S576" s="1379"/>
      <c r="T576" s="1379"/>
      <c r="U576" s="1379"/>
    </row>
    <row r="577" spans="1:21" s="1380" customFormat="1">
      <c r="A577" s="1457"/>
      <c r="B577" s="1379"/>
      <c r="C577" s="1379"/>
      <c r="D577" s="1379"/>
      <c r="E577" s="1379"/>
      <c r="F577" s="1379"/>
      <c r="G577" s="1379"/>
      <c r="H577" s="1379"/>
      <c r="I577" s="1379"/>
      <c r="J577" s="1379"/>
      <c r="L577" s="1379"/>
      <c r="M577" s="1379"/>
      <c r="N577" s="1379"/>
      <c r="O577" s="1379"/>
      <c r="P577" s="1379"/>
      <c r="Q577" s="1379"/>
      <c r="R577" s="1379"/>
      <c r="S577" s="1379"/>
      <c r="T577" s="1379"/>
      <c r="U577" s="1379"/>
    </row>
    <row r="578" spans="1:21" s="1380" customFormat="1">
      <c r="A578" s="1457"/>
      <c r="B578" s="1379"/>
      <c r="C578" s="1379"/>
      <c r="D578" s="1379"/>
      <c r="E578" s="1379"/>
      <c r="F578" s="1379"/>
      <c r="G578" s="1379"/>
      <c r="H578" s="1379"/>
      <c r="I578" s="1379"/>
      <c r="J578" s="1379"/>
      <c r="L578" s="1379"/>
      <c r="M578" s="1379"/>
      <c r="N578" s="1379"/>
      <c r="O578" s="1379"/>
      <c r="P578" s="1379"/>
      <c r="Q578" s="1379"/>
      <c r="R578" s="1379"/>
      <c r="S578" s="1379"/>
      <c r="T578" s="1379"/>
      <c r="U578" s="1379"/>
    </row>
    <row r="579" spans="1:21" s="1380" customFormat="1">
      <c r="A579" s="1457"/>
      <c r="B579" s="1379"/>
      <c r="C579" s="1379"/>
      <c r="D579" s="1379"/>
      <c r="E579" s="1379"/>
      <c r="F579" s="1379"/>
      <c r="G579" s="1379"/>
      <c r="H579" s="1379"/>
      <c r="I579" s="1379"/>
      <c r="J579" s="1379"/>
      <c r="L579" s="1379"/>
      <c r="M579" s="1379"/>
      <c r="N579" s="1379"/>
      <c r="O579" s="1379"/>
      <c r="P579" s="1379"/>
      <c r="Q579" s="1379"/>
      <c r="R579" s="1379"/>
      <c r="S579" s="1379"/>
      <c r="T579" s="1379"/>
      <c r="U579" s="1379"/>
    </row>
    <row r="580" spans="1:21" s="1380" customFormat="1">
      <c r="A580" s="1457"/>
      <c r="B580" s="1379"/>
      <c r="C580" s="1379"/>
      <c r="D580" s="1379"/>
      <c r="E580" s="1379"/>
      <c r="F580" s="1379"/>
      <c r="G580" s="1379"/>
      <c r="H580" s="1379"/>
      <c r="I580" s="1379"/>
      <c r="J580" s="1379"/>
      <c r="L580" s="1379"/>
      <c r="M580" s="1379"/>
      <c r="N580" s="1379"/>
      <c r="O580" s="1379"/>
      <c r="P580" s="1379"/>
      <c r="Q580" s="1379"/>
      <c r="R580" s="1379"/>
      <c r="S580" s="1379"/>
      <c r="T580" s="1379"/>
      <c r="U580" s="1379"/>
    </row>
    <row r="581" spans="1:21" s="1380" customFormat="1">
      <c r="A581" s="1457"/>
      <c r="B581" s="1379"/>
      <c r="C581" s="1379"/>
      <c r="D581" s="1379"/>
      <c r="E581" s="1379"/>
      <c r="F581" s="1379"/>
      <c r="G581" s="1379"/>
      <c r="H581" s="1379"/>
      <c r="I581" s="1379"/>
      <c r="J581" s="1379"/>
      <c r="L581" s="1379"/>
      <c r="M581" s="1379"/>
      <c r="N581" s="1379"/>
      <c r="O581" s="1379"/>
      <c r="P581" s="1379"/>
      <c r="Q581" s="1379"/>
      <c r="R581" s="1379"/>
      <c r="S581" s="1379"/>
      <c r="T581" s="1379"/>
      <c r="U581" s="1379"/>
    </row>
    <row r="582" spans="1:21" s="1380" customFormat="1">
      <c r="A582" s="1457"/>
      <c r="B582" s="1379"/>
      <c r="C582" s="1379"/>
      <c r="D582" s="1379"/>
      <c r="E582" s="1379"/>
      <c r="F582" s="1379"/>
      <c r="G582" s="1379"/>
      <c r="H582" s="1379"/>
      <c r="I582" s="1379"/>
      <c r="J582" s="1379"/>
      <c r="L582" s="1379"/>
      <c r="M582" s="1379"/>
      <c r="N582" s="1379"/>
      <c r="O582" s="1379"/>
      <c r="P582" s="1379"/>
      <c r="Q582" s="1379"/>
      <c r="R582" s="1379"/>
      <c r="S582" s="1379"/>
      <c r="T582" s="1379"/>
      <c r="U582" s="1379"/>
    </row>
    <row r="583" spans="1:21" s="1380" customFormat="1">
      <c r="A583" s="1457"/>
      <c r="B583" s="1379"/>
      <c r="C583" s="1379"/>
      <c r="D583" s="1379"/>
      <c r="E583" s="1379"/>
      <c r="F583" s="1379"/>
      <c r="G583" s="1379"/>
      <c r="H583" s="1379"/>
      <c r="I583" s="1379"/>
      <c r="J583" s="1379"/>
      <c r="L583" s="1379"/>
      <c r="M583" s="1379"/>
      <c r="N583" s="1379"/>
      <c r="O583" s="1379"/>
      <c r="P583" s="1379"/>
      <c r="Q583" s="1379"/>
      <c r="R583" s="1379"/>
      <c r="S583" s="1379"/>
      <c r="T583" s="1379"/>
      <c r="U583" s="1379"/>
    </row>
    <row r="584" spans="1:21" s="1380" customFormat="1">
      <c r="A584" s="1457"/>
      <c r="B584" s="1379"/>
      <c r="C584" s="1379"/>
      <c r="D584" s="1379"/>
      <c r="E584" s="1379"/>
      <c r="F584" s="1379"/>
      <c r="G584" s="1379"/>
      <c r="H584" s="1379"/>
      <c r="I584" s="1379"/>
      <c r="J584" s="1379"/>
      <c r="L584" s="1379"/>
      <c r="M584" s="1379"/>
      <c r="N584" s="1379"/>
      <c r="O584" s="1379"/>
      <c r="P584" s="1379"/>
      <c r="Q584" s="1379"/>
      <c r="R584" s="1379"/>
      <c r="S584" s="1379"/>
      <c r="T584" s="1379"/>
      <c r="U584" s="1379"/>
    </row>
    <row r="585" spans="1:21" s="1380" customFormat="1">
      <c r="A585" s="1457"/>
      <c r="B585" s="1379"/>
      <c r="C585" s="1379"/>
      <c r="D585" s="1379"/>
      <c r="E585" s="1379"/>
      <c r="F585" s="1379"/>
      <c r="G585" s="1379"/>
      <c r="H585" s="1379"/>
      <c r="I585" s="1379"/>
      <c r="J585" s="1379"/>
      <c r="L585" s="1379"/>
      <c r="M585" s="1379"/>
      <c r="N585" s="1379"/>
      <c r="O585" s="1379"/>
      <c r="P585" s="1379"/>
      <c r="Q585" s="1379"/>
      <c r="R585" s="1379"/>
      <c r="S585" s="1379"/>
      <c r="T585" s="1379"/>
      <c r="U585" s="1379"/>
    </row>
    <row r="586" spans="1:21" s="1380" customFormat="1">
      <c r="A586" s="1457"/>
      <c r="B586" s="1379"/>
      <c r="C586" s="1379"/>
      <c r="D586" s="1379"/>
      <c r="E586" s="1379"/>
      <c r="F586" s="1379"/>
      <c r="G586" s="1379"/>
      <c r="H586" s="1379"/>
      <c r="I586" s="1379"/>
      <c r="J586" s="1379"/>
      <c r="L586" s="1379"/>
      <c r="M586" s="1379"/>
      <c r="N586" s="1379"/>
      <c r="O586" s="1379"/>
      <c r="P586" s="1379"/>
      <c r="Q586" s="1379"/>
      <c r="R586" s="1379"/>
      <c r="S586" s="1379"/>
      <c r="T586" s="1379"/>
      <c r="U586" s="1379"/>
    </row>
    <row r="587" spans="1:21" s="1380" customFormat="1">
      <c r="A587" s="1457"/>
      <c r="B587" s="1379"/>
      <c r="C587" s="1379"/>
      <c r="D587" s="1379"/>
      <c r="E587" s="1379"/>
      <c r="F587" s="1379"/>
      <c r="G587" s="1379"/>
      <c r="H587" s="1379"/>
      <c r="I587" s="1379"/>
      <c r="J587" s="1379"/>
      <c r="L587" s="1379"/>
      <c r="M587" s="1379"/>
      <c r="N587" s="1379"/>
      <c r="O587" s="1379"/>
      <c r="P587" s="1379"/>
      <c r="Q587" s="1379"/>
      <c r="R587" s="1379"/>
      <c r="S587" s="1379"/>
      <c r="T587" s="1379"/>
      <c r="U587" s="1379"/>
    </row>
    <row r="588" spans="1:21" s="1380" customFormat="1">
      <c r="A588" s="1457"/>
      <c r="B588" s="1379"/>
      <c r="C588" s="1379"/>
      <c r="D588" s="1379"/>
      <c r="E588" s="1379"/>
      <c r="F588" s="1379"/>
      <c r="G588" s="1379"/>
      <c r="H588" s="1379"/>
      <c r="I588" s="1379"/>
      <c r="J588" s="1379"/>
      <c r="L588" s="1379"/>
      <c r="M588" s="1379"/>
      <c r="N588" s="1379"/>
      <c r="O588" s="1379"/>
      <c r="P588" s="1379"/>
      <c r="Q588" s="1379"/>
      <c r="R588" s="1379"/>
      <c r="S588" s="1379"/>
      <c r="T588" s="1379"/>
      <c r="U588" s="1379"/>
    </row>
    <row r="589" spans="1:21" s="1380" customFormat="1">
      <c r="A589" s="1457"/>
      <c r="B589" s="1379"/>
      <c r="C589" s="1379"/>
      <c r="D589" s="1379"/>
      <c r="E589" s="1379"/>
      <c r="F589" s="1379"/>
      <c r="G589" s="1379"/>
      <c r="H589" s="1379"/>
      <c r="I589" s="1379"/>
      <c r="J589" s="1379"/>
      <c r="L589" s="1379"/>
      <c r="M589" s="1379"/>
      <c r="N589" s="1379"/>
      <c r="O589" s="1379"/>
      <c r="P589" s="1379"/>
      <c r="Q589" s="1379"/>
      <c r="R589" s="1379"/>
      <c r="S589" s="1379"/>
      <c r="T589" s="1379"/>
      <c r="U589" s="1379"/>
    </row>
    <row r="590" spans="1:21" s="1380" customFormat="1">
      <c r="A590" s="1457"/>
      <c r="B590" s="1379"/>
      <c r="C590" s="1379"/>
      <c r="D590" s="1379"/>
      <c r="E590" s="1379"/>
      <c r="F590" s="1379"/>
      <c r="G590" s="1379"/>
      <c r="H590" s="1379"/>
      <c r="I590" s="1379"/>
      <c r="J590" s="1379"/>
      <c r="L590" s="1379"/>
      <c r="M590" s="1379"/>
      <c r="N590" s="1379"/>
      <c r="O590" s="1379"/>
      <c r="P590" s="1379"/>
      <c r="Q590" s="1379"/>
      <c r="R590" s="1379"/>
      <c r="S590" s="1379"/>
      <c r="T590" s="1379"/>
      <c r="U590" s="1379"/>
    </row>
    <row r="591" spans="1:21" s="1380" customFormat="1">
      <c r="A591" s="1457"/>
      <c r="B591" s="1379"/>
      <c r="C591" s="1379"/>
      <c r="D591" s="1379"/>
      <c r="E591" s="1379"/>
      <c r="F591" s="1379"/>
      <c r="G591" s="1379"/>
      <c r="H591" s="1379"/>
      <c r="I591" s="1379"/>
      <c r="J591" s="1379"/>
      <c r="L591" s="1379"/>
      <c r="M591" s="1379"/>
      <c r="N591" s="1379"/>
      <c r="O591" s="1379"/>
      <c r="P591" s="1379"/>
      <c r="Q591" s="1379"/>
      <c r="R591" s="1379"/>
      <c r="S591" s="1379"/>
      <c r="T591" s="1379"/>
      <c r="U591" s="1379"/>
    </row>
    <row r="592" spans="1:21" s="1380" customFormat="1">
      <c r="A592" s="1457"/>
      <c r="B592" s="1379"/>
      <c r="C592" s="1379"/>
      <c r="D592" s="1379"/>
      <c r="E592" s="1379"/>
      <c r="F592" s="1379"/>
      <c r="G592" s="1379"/>
      <c r="H592" s="1379"/>
      <c r="I592" s="1379"/>
      <c r="J592" s="1379"/>
      <c r="L592" s="1379"/>
      <c r="M592" s="1379"/>
      <c r="N592" s="1379"/>
      <c r="O592" s="1379"/>
      <c r="P592" s="1379"/>
      <c r="Q592" s="1379"/>
      <c r="R592" s="1379"/>
      <c r="S592" s="1379"/>
      <c r="T592" s="1379"/>
      <c r="U592" s="1379"/>
    </row>
    <row r="593" spans="1:21" s="1380" customFormat="1">
      <c r="A593" s="1457"/>
      <c r="B593" s="1379"/>
      <c r="C593" s="1379"/>
      <c r="D593" s="1379"/>
      <c r="E593" s="1379"/>
      <c r="F593" s="1379"/>
      <c r="G593" s="1379"/>
      <c r="H593" s="1379"/>
      <c r="I593" s="1379"/>
      <c r="J593" s="1379"/>
      <c r="L593" s="1379"/>
      <c r="M593" s="1379"/>
      <c r="N593" s="1379"/>
      <c r="O593" s="1379"/>
      <c r="P593" s="1379"/>
      <c r="Q593" s="1379"/>
      <c r="R593" s="1379"/>
      <c r="S593" s="1379"/>
      <c r="T593" s="1379"/>
      <c r="U593" s="1379"/>
    </row>
    <row r="594" spans="1:21" s="1380" customFormat="1">
      <c r="A594" s="1457"/>
      <c r="B594" s="1379"/>
      <c r="C594" s="1379"/>
      <c r="D594" s="1379"/>
      <c r="E594" s="1379"/>
      <c r="F594" s="1379"/>
      <c r="G594" s="1379"/>
      <c r="H594" s="1379"/>
      <c r="I594" s="1379"/>
      <c r="J594" s="1379"/>
      <c r="L594" s="1379"/>
      <c r="M594" s="1379"/>
      <c r="N594" s="1379"/>
      <c r="O594" s="1379"/>
      <c r="P594" s="1379"/>
      <c r="Q594" s="1379"/>
      <c r="R594" s="1379"/>
      <c r="S594" s="1379"/>
      <c r="T594" s="1379"/>
      <c r="U594" s="1379"/>
    </row>
    <row r="595" spans="1:21" s="1380" customFormat="1">
      <c r="A595" s="1457"/>
      <c r="B595" s="1379"/>
      <c r="C595" s="1379"/>
      <c r="D595" s="1379"/>
      <c r="E595" s="1379"/>
      <c r="F595" s="1379"/>
      <c r="G595" s="1379"/>
      <c r="H595" s="1379"/>
      <c r="I595" s="1379"/>
      <c r="J595" s="1379"/>
      <c r="L595" s="1379"/>
      <c r="M595" s="1379"/>
      <c r="N595" s="1379"/>
      <c r="O595" s="1379"/>
      <c r="P595" s="1379"/>
      <c r="Q595" s="1379"/>
      <c r="R595" s="1379"/>
      <c r="S595" s="1379"/>
      <c r="T595" s="1379"/>
      <c r="U595" s="1379"/>
    </row>
    <row r="596" spans="1:21" s="1380" customFormat="1">
      <c r="A596" s="1457"/>
      <c r="B596" s="1379"/>
      <c r="C596" s="1379"/>
      <c r="D596" s="1379"/>
      <c r="E596" s="1379"/>
      <c r="F596" s="1379"/>
      <c r="G596" s="1379"/>
      <c r="H596" s="1379"/>
      <c r="I596" s="1379"/>
      <c r="J596" s="1379"/>
      <c r="L596" s="1379"/>
      <c r="M596" s="1379"/>
      <c r="N596" s="1379"/>
      <c r="O596" s="1379"/>
      <c r="P596" s="1379"/>
      <c r="Q596" s="1379"/>
      <c r="R596" s="1379"/>
      <c r="S596" s="1379"/>
      <c r="T596" s="1379"/>
      <c r="U596" s="1379"/>
    </row>
    <row r="597" spans="1:21" s="1380" customFormat="1">
      <c r="A597" s="1457"/>
      <c r="B597" s="1379"/>
      <c r="C597" s="1379"/>
      <c r="D597" s="1379"/>
      <c r="E597" s="1379"/>
      <c r="F597" s="1379"/>
      <c r="G597" s="1379"/>
      <c r="H597" s="1379"/>
      <c r="I597" s="1379"/>
      <c r="J597" s="1379"/>
      <c r="L597" s="1379"/>
      <c r="M597" s="1379"/>
      <c r="N597" s="1379"/>
      <c r="O597" s="1379"/>
      <c r="P597" s="1379"/>
      <c r="Q597" s="1379"/>
      <c r="R597" s="1379"/>
      <c r="S597" s="1379"/>
      <c r="T597" s="1379"/>
      <c r="U597" s="1379"/>
    </row>
    <row r="598" spans="1:21" s="1380" customFormat="1">
      <c r="A598" s="1457"/>
      <c r="B598" s="1379"/>
      <c r="C598" s="1379"/>
      <c r="D598" s="1379"/>
      <c r="E598" s="1379"/>
      <c r="F598" s="1379"/>
      <c r="G598" s="1379"/>
      <c r="H598" s="1379"/>
      <c r="I598" s="1379"/>
      <c r="J598" s="1379"/>
      <c r="L598" s="1379"/>
      <c r="M598" s="1379"/>
      <c r="N598" s="1379"/>
      <c r="O598" s="1379"/>
      <c r="P598" s="1379"/>
      <c r="Q598" s="1379"/>
      <c r="R598" s="1379"/>
      <c r="S598" s="1379"/>
      <c r="T598" s="1379"/>
      <c r="U598" s="1379"/>
    </row>
    <row r="599" spans="1:21" s="1380" customFormat="1">
      <c r="A599" s="1457"/>
      <c r="B599" s="1379"/>
      <c r="C599" s="1379"/>
      <c r="D599" s="1379"/>
      <c r="E599" s="1379"/>
      <c r="F599" s="1379"/>
      <c r="G599" s="1379"/>
      <c r="H599" s="1379"/>
      <c r="I599" s="1379"/>
      <c r="J599" s="1379"/>
      <c r="L599" s="1379"/>
      <c r="M599" s="1379"/>
      <c r="N599" s="1379"/>
      <c r="O599" s="1379"/>
      <c r="P599" s="1379"/>
      <c r="Q599" s="1379"/>
      <c r="R599" s="1379"/>
      <c r="S599" s="1379"/>
      <c r="T599" s="1379"/>
      <c r="U599" s="1379"/>
    </row>
    <row r="600" spans="1:21" s="1380" customFormat="1">
      <c r="A600" s="1457"/>
      <c r="B600" s="1379"/>
      <c r="C600" s="1379"/>
      <c r="D600" s="1379"/>
      <c r="E600" s="1379"/>
      <c r="F600" s="1379"/>
      <c r="G600" s="1379"/>
      <c r="H600" s="1379"/>
      <c r="I600" s="1379"/>
      <c r="J600" s="1379"/>
      <c r="L600" s="1379"/>
      <c r="M600" s="1379"/>
      <c r="N600" s="1379"/>
      <c r="O600" s="1379"/>
      <c r="P600" s="1379"/>
      <c r="Q600" s="1379"/>
      <c r="R600" s="1379"/>
      <c r="S600" s="1379"/>
      <c r="T600" s="1379"/>
      <c r="U600" s="1379"/>
    </row>
    <row r="601" spans="1:21" s="1380" customFormat="1">
      <c r="A601" s="1457"/>
      <c r="B601" s="1379"/>
      <c r="C601" s="1379"/>
      <c r="D601" s="1379"/>
      <c r="E601" s="1379"/>
      <c r="F601" s="1379"/>
      <c r="G601" s="1379"/>
      <c r="H601" s="1379"/>
      <c r="I601" s="1379"/>
      <c r="J601" s="1379"/>
      <c r="L601" s="1379"/>
      <c r="M601" s="1379"/>
      <c r="N601" s="1379"/>
      <c r="O601" s="1379"/>
      <c r="P601" s="1379"/>
      <c r="Q601" s="1379"/>
      <c r="R601" s="1379"/>
      <c r="S601" s="1379"/>
      <c r="T601" s="1379"/>
      <c r="U601" s="1379"/>
    </row>
    <row r="602" spans="1:21" s="1380" customFormat="1">
      <c r="A602" s="1457"/>
      <c r="B602" s="1379"/>
      <c r="C602" s="1379"/>
      <c r="D602" s="1379"/>
      <c r="E602" s="1379"/>
      <c r="F602" s="1379"/>
      <c r="G602" s="1379"/>
      <c r="H602" s="1379"/>
      <c r="I602" s="1379"/>
      <c r="J602" s="1379"/>
      <c r="L602" s="1379"/>
      <c r="M602" s="1379"/>
      <c r="N602" s="1379"/>
      <c r="O602" s="1379"/>
      <c r="P602" s="1379"/>
      <c r="Q602" s="1379"/>
      <c r="R602" s="1379"/>
      <c r="S602" s="1379"/>
      <c r="T602" s="1379"/>
      <c r="U602" s="1379"/>
    </row>
    <row r="603" spans="1:21" s="1380" customFormat="1">
      <c r="A603" s="1457"/>
      <c r="B603" s="1379"/>
      <c r="C603" s="1379"/>
      <c r="D603" s="1379"/>
      <c r="E603" s="1379"/>
      <c r="F603" s="1379"/>
      <c r="G603" s="1379"/>
      <c r="H603" s="1379"/>
      <c r="I603" s="1379"/>
      <c r="J603" s="1379"/>
      <c r="L603" s="1379"/>
      <c r="M603" s="1379"/>
      <c r="N603" s="1379"/>
      <c r="O603" s="1379"/>
      <c r="P603" s="1379"/>
      <c r="Q603" s="1379"/>
      <c r="R603" s="1379"/>
      <c r="S603" s="1379"/>
      <c r="T603" s="1379"/>
      <c r="U603" s="1379"/>
    </row>
    <row r="604" spans="1:21" s="1380" customFormat="1">
      <c r="A604" s="1457"/>
      <c r="B604" s="1379"/>
      <c r="C604" s="1379"/>
      <c r="D604" s="1379"/>
      <c r="E604" s="1379"/>
      <c r="F604" s="1379"/>
      <c r="G604" s="1379"/>
      <c r="H604" s="1379"/>
      <c r="I604" s="1379"/>
      <c r="J604" s="1379"/>
      <c r="L604" s="1379"/>
      <c r="M604" s="1379"/>
      <c r="N604" s="1379"/>
      <c r="O604" s="1379"/>
      <c r="P604" s="1379"/>
      <c r="Q604" s="1379"/>
      <c r="R604" s="1379"/>
      <c r="S604" s="1379"/>
      <c r="T604" s="1379"/>
      <c r="U604" s="1379"/>
    </row>
    <row r="605" spans="1:21" s="1380" customFormat="1">
      <c r="A605" s="1457"/>
      <c r="B605" s="1379"/>
      <c r="C605" s="1379"/>
      <c r="D605" s="1379"/>
      <c r="E605" s="1379"/>
      <c r="F605" s="1379"/>
      <c r="G605" s="1379"/>
      <c r="H605" s="1379"/>
      <c r="I605" s="1379"/>
      <c r="J605" s="1379"/>
      <c r="L605" s="1379"/>
      <c r="M605" s="1379"/>
      <c r="N605" s="1379"/>
      <c r="O605" s="1379"/>
      <c r="P605" s="1379"/>
      <c r="Q605" s="1379"/>
      <c r="R605" s="1379"/>
      <c r="S605" s="1379"/>
      <c r="T605" s="1379"/>
      <c r="U605" s="1379"/>
    </row>
    <row r="606" spans="1:21" s="1380" customFormat="1">
      <c r="A606" s="1457"/>
      <c r="B606" s="1379"/>
      <c r="C606" s="1379"/>
      <c r="D606" s="1379"/>
      <c r="E606" s="1379"/>
      <c r="F606" s="1379"/>
      <c r="G606" s="1379"/>
      <c r="H606" s="1379"/>
      <c r="I606" s="1379"/>
      <c r="J606" s="1379"/>
      <c r="L606" s="1379"/>
      <c r="M606" s="1379"/>
      <c r="N606" s="1379"/>
      <c r="O606" s="1379"/>
      <c r="P606" s="1379"/>
      <c r="Q606" s="1379"/>
      <c r="R606" s="1379"/>
      <c r="S606" s="1379"/>
      <c r="T606" s="1379"/>
      <c r="U606" s="1379"/>
    </row>
    <row r="607" spans="1:21" s="1380" customFormat="1">
      <c r="A607" s="1457"/>
      <c r="B607" s="1379"/>
      <c r="C607" s="1379"/>
      <c r="D607" s="1379"/>
      <c r="E607" s="1379"/>
      <c r="F607" s="1379"/>
      <c r="G607" s="1379"/>
      <c r="H607" s="1379"/>
      <c r="I607" s="1379"/>
      <c r="J607" s="1379"/>
      <c r="L607" s="1379"/>
      <c r="M607" s="1379"/>
      <c r="N607" s="1379"/>
      <c r="O607" s="1379"/>
      <c r="P607" s="1379"/>
      <c r="Q607" s="1379"/>
      <c r="R607" s="1379"/>
      <c r="S607" s="1379"/>
      <c r="T607" s="1379"/>
      <c r="U607" s="1379"/>
    </row>
    <row r="608" spans="1:21" s="1380" customFormat="1">
      <c r="A608" s="1457"/>
      <c r="B608" s="1379"/>
      <c r="C608" s="1379"/>
      <c r="D608" s="1379"/>
      <c r="E608" s="1379"/>
      <c r="F608" s="1379"/>
      <c r="G608" s="1379"/>
      <c r="H608" s="1379"/>
      <c r="I608" s="1379"/>
      <c r="J608" s="1379"/>
      <c r="L608" s="1379"/>
      <c r="M608" s="1379"/>
      <c r="N608" s="1379"/>
      <c r="O608" s="1379"/>
      <c r="P608" s="1379"/>
      <c r="Q608" s="1379"/>
      <c r="R608" s="1379"/>
      <c r="S608" s="1379"/>
      <c r="T608" s="1379"/>
      <c r="U608" s="1379"/>
    </row>
    <row r="609" spans="1:21" s="1380" customFormat="1">
      <c r="A609" s="1457"/>
      <c r="B609" s="1379"/>
      <c r="C609" s="1379"/>
      <c r="D609" s="1379"/>
      <c r="E609" s="1379"/>
      <c r="F609" s="1379"/>
      <c r="G609" s="1379"/>
      <c r="H609" s="1379"/>
      <c r="I609" s="1379"/>
      <c r="J609" s="1379"/>
      <c r="L609" s="1379"/>
      <c r="M609" s="1379"/>
      <c r="N609" s="1379"/>
      <c r="O609" s="1379"/>
      <c r="P609" s="1379"/>
      <c r="Q609" s="1379"/>
      <c r="R609" s="1379"/>
      <c r="S609" s="1379"/>
      <c r="T609" s="1379"/>
      <c r="U609" s="1379"/>
    </row>
    <row r="610" spans="1:21" s="1380" customFormat="1">
      <c r="A610" s="1457"/>
      <c r="B610" s="1379"/>
      <c r="C610" s="1379"/>
      <c r="D610" s="1379"/>
      <c r="E610" s="1379"/>
      <c r="F610" s="1379"/>
      <c r="G610" s="1379"/>
      <c r="H610" s="1379"/>
      <c r="I610" s="1379"/>
      <c r="J610" s="1379"/>
      <c r="L610" s="1379"/>
      <c r="M610" s="1379"/>
      <c r="N610" s="1379"/>
      <c r="O610" s="1379"/>
      <c r="P610" s="1379"/>
      <c r="Q610" s="1379"/>
      <c r="R610" s="1379"/>
      <c r="S610" s="1379"/>
      <c r="T610" s="1379"/>
      <c r="U610" s="1379"/>
    </row>
    <row r="611" spans="1:21" s="1380" customFormat="1">
      <c r="A611" s="1457"/>
      <c r="B611" s="1379"/>
      <c r="C611" s="1379"/>
      <c r="D611" s="1379"/>
      <c r="E611" s="1379"/>
      <c r="F611" s="1379"/>
      <c r="G611" s="1379"/>
      <c r="H611" s="1379"/>
      <c r="I611" s="1379"/>
      <c r="J611" s="1379"/>
      <c r="L611" s="1379"/>
      <c r="M611" s="1379"/>
      <c r="N611" s="1379"/>
      <c r="O611" s="1379"/>
      <c r="P611" s="1379"/>
      <c r="Q611" s="1379"/>
      <c r="R611" s="1379"/>
      <c r="S611" s="1379"/>
      <c r="T611" s="1379"/>
      <c r="U611" s="1379"/>
    </row>
    <row r="612" spans="1:21" s="1380" customFormat="1">
      <c r="A612" s="1457"/>
      <c r="B612" s="1379"/>
      <c r="C612" s="1379"/>
      <c r="D612" s="1379"/>
      <c r="E612" s="1379"/>
      <c r="F612" s="1379"/>
      <c r="G612" s="1379"/>
      <c r="H612" s="1379"/>
      <c r="I612" s="1379"/>
      <c r="J612" s="1379"/>
      <c r="L612" s="1379"/>
      <c r="M612" s="1379"/>
      <c r="N612" s="1379"/>
      <c r="O612" s="1379"/>
      <c r="P612" s="1379"/>
      <c r="Q612" s="1379"/>
      <c r="R612" s="1379"/>
      <c r="S612" s="1379"/>
      <c r="T612" s="1379"/>
      <c r="U612" s="1379"/>
    </row>
    <row r="613" spans="1:21" s="1380" customFormat="1">
      <c r="A613" s="1457"/>
      <c r="B613" s="1379"/>
      <c r="C613" s="1379"/>
      <c r="D613" s="1379"/>
      <c r="E613" s="1379"/>
      <c r="F613" s="1379"/>
      <c r="G613" s="1379"/>
      <c r="H613" s="1379"/>
      <c r="I613" s="1379"/>
      <c r="J613" s="1379"/>
      <c r="L613" s="1379"/>
      <c r="M613" s="1379"/>
      <c r="N613" s="1379"/>
      <c r="O613" s="1379"/>
      <c r="P613" s="1379"/>
      <c r="Q613" s="1379"/>
      <c r="R613" s="1379"/>
      <c r="S613" s="1379"/>
      <c r="T613" s="1379"/>
      <c r="U613" s="1379"/>
    </row>
    <row r="614" spans="1:21" s="1380" customFormat="1">
      <c r="A614" s="1457"/>
      <c r="B614" s="1379"/>
      <c r="C614" s="1379"/>
      <c r="D614" s="1379"/>
      <c r="E614" s="1379"/>
      <c r="F614" s="1379"/>
      <c r="G614" s="1379"/>
      <c r="H614" s="1379"/>
      <c r="I614" s="1379"/>
      <c r="J614" s="1379"/>
      <c r="L614" s="1379"/>
      <c r="M614" s="1379"/>
      <c r="N614" s="1379"/>
      <c r="O614" s="1379"/>
      <c r="P614" s="1379"/>
      <c r="Q614" s="1379"/>
      <c r="R614" s="1379"/>
      <c r="S614" s="1379"/>
      <c r="T614" s="1379"/>
      <c r="U614" s="1379"/>
    </row>
    <row r="615" spans="1:21" s="1380" customFormat="1">
      <c r="A615" s="1457"/>
      <c r="B615" s="1379"/>
      <c r="C615" s="1379"/>
      <c r="D615" s="1379"/>
      <c r="E615" s="1379"/>
      <c r="F615" s="1379"/>
      <c r="G615" s="1379"/>
      <c r="H615" s="1379"/>
      <c r="I615" s="1379"/>
      <c r="J615" s="1379"/>
      <c r="L615" s="1379"/>
      <c r="M615" s="1379"/>
      <c r="N615" s="1379"/>
      <c r="O615" s="1379"/>
      <c r="P615" s="1379"/>
      <c r="Q615" s="1379"/>
      <c r="R615" s="1379"/>
      <c r="S615" s="1379"/>
      <c r="T615" s="1379"/>
      <c r="U615" s="1379"/>
    </row>
    <row r="616" spans="1:21" s="1380" customFormat="1">
      <c r="A616" s="1457"/>
      <c r="B616" s="1379"/>
      <c r="C616" s="1379"/>
      <c r="D616" s="1379"/>
      <c r="E616" s="1379"/>
      <c r="F616" s="1379"/>
      <c r="G616" s="1379"/>
      <c r="H616" s="1379"/>
      <c r="I616" s="1379"/>
      <c r="J616" s="1379"/>
      <c r="L616" s="1379"/>
      <c r="M616" s="1379"/>
      <c r="N616" s="1379"/>
      <c r="O616" s="1379"/>
      <c r="P616" s="1379"/>
      <c r="Q616" s="1379"/>
      <c r="R616" s="1379"/>
      <c r="S616" s="1379"/>
      <c r="T616" s="1379"/>
      <c r="U616" s="1379"/>
    </row>
    <row r="617" spans="1:21" s="1380" customFormat="1">
      <c r="A617" s="1457"/>
      <c r="B617" s="1379"/>
      <c r="C617" s="1379"/>
      <c r="D617" s="1379"/>
      <c r="E617" s="1379"/>
      <c r="F617" s="1379"/>
      <c r="G617" s="1379"/>
      <c r="H617" s="1379"/>
      <c r="I617" s="1379"/>
      <c r="J617" s="1379"/>
      <c r="L617" s="1379"/>
      <c r="M617" s="1379"/>
      <c r="N617" s="1379"/>
      <c r="O617" s="1379"/>
      <c r="P617" s="1379"/>
      <c r="Q617" s="1379"/>
      <c r="R617" s="1379"/>
      <c r="S617" s="1379"/>
      <c r="T617" s="1379"/>
      <c r="U617" s="1379"/>
    </row>
    <row r="618" spans="1:21" s="1380" customFormat="1">
      <c r="A618" s="1457"/>
      <c r="B618" s="1379"/>
      <c r="C618" s="1379"/>
      <c r="D618" s="1379"/>
      <c r="E618" s="1379"/>
      <c r="F618" s="1379"/>
      <c r="G618" s="1379"/>
      <c r="H618" s="1379"/>
      <c r="I618" s="1379"/>
      <c r="J618" s="1379"/>
      <c r="L618" s="1379"/>
      <c r="M618" s="1379"/>
      <c r="N618" s="1379"/>
      <c r="O618" s="1379"/>
      <c r="P618" s="1379"/>
      <c r="Q618" s="1379"/>
      <c r="R618" s="1379"/>
      <c r="S618" s="1379"/>
      <c r="T618" s="1379"/>
      <c r="U618" s="1379"/>
    </row>
    <row r="619" spans="1:21" s="1380" customFormat="1">
      <c r="A619" s="1457"/>
      <c r="B619" s="1379"/>
      <c r="C619" s="1379"/>
      <c r="D619" s="1379"/>
      <c r="E619" s="1379"/>
      <c r="F619" s="1379"/>
      <c r="G619" s="1379"/>
      <c r="H619" s="1379"/>
      <c r="I619" s="1379"/>
      <c r="J619" s="1379"/>
      <c r="L619" s="1379"/>
      <c r="M619" s="1379"/>
      <c r="N619" s="1379"/>
      <c r="O619" s="1379"/>
      <c r="P619" s="1379"/>
      <c r="Q619" s="1379"/>
      <c r="R619" s="1379"/>
      <c r="S619" s="1379"/>
      <c r="T619" s="1379"/>
      <c r="U619" s="1379"/>
    </row>
    <row r="620" spans="1:21" s="1380" customFormat="1">
      <c r="A620" s="1457"/>
      <c r="B620" s="1379"/>
      <c r="C620" s="1379"/>
      <c r="D620" s="1379"/>
      <c r="E620" s="1379"/>
      <c r="F620" s="1379"/>
      <c r="G620" s="1379"/>
      <c r="H620" s="1379"/>
      <c r="I620" s="1379"/>
      <c r="J620" s="1379"/>
      <c r="L620" s="1379"/>
      <c r="M620" s="1379"/>
      <c r="N620" s="1379"/>
      <c r="O620" s="1379"/>
      <c r="P620" s="1379"/>
      <c r="Q620" s="1379"/>
      <c r="R620" s="1379"/>
      <c r="S620" s="1379"/>
      <c r="T620" s="1379"/>
      <c r="U620" s="1379"/>
    </row>
    <row r="621" spans="1:21" s="1380" customFormat="1">
      <c r="A621" s="1457"/>
      <c r="B621" s="1379"/>
      <c r="C621" s="1379"/>
      <c r="D621" s="1379"/>
      <c r="E621" s="1379"/>
      <c r="F621" s="1379"/>
      <c r="G621" s="1379"/>
      <c r="H621" s="1379"/>
      <c r="I621" s="1379"/>
      <c r="J621" s="1379"/>
      <c r="L621" s="1379"/>
      <c r="M621" s="1379"/>
      <c r="N621" s="1379"/>
      <c r="O621" s="1379"/>
      <c r="P621" s="1379"/>
      <c r="Q621" s="1379"/>
      <c r="R621" s="1379"/>
      <c r="S621" s="1379"/>
      <c r="T621" s="1379"/>
      <c r="U621" s="1379"/>
    </row>
    <row r="622" spans="1:21" s="1380" customFormat="1">
      <c r="A622" s="1457"/>
      <c r="B622" s="1379"/>
      <c r="C622" s="1379"/>
      <c r="D622" s="1379"/>
      <c r="E622" s="1379"/>
      <c r="F622" s="1379"/>
      <c r="G622" s="1379"/>
      <c r="H622" s="1379"/>
      <c r="I622" s="1379"/>
      <c r="J622" s="1379"/>
      <c r="L622" s="1379"/>
      <c r="M622" s="1379"/>
      <c r="N622" s="1379"/>
      <c r="O622" s="1379"/>
      <c r="P622" s="1379"/>
      <c r="Q622" s="1379"/>
      <c r="R622" s="1379"/>
      <c r="S622" s="1379"/>
      <c r="T622" s="1379"/>
      <c r="U622" s="1379"/>
    </row>
    <row r="623" spans="1:21" s="1380" customFormat="1">
      <c r="A623" s="1457"/>
      <c r="B623" s="1379"/>
      <c r="C623" s="1379"/>
      <c r="D623" s="1379"/>
      <c r="E623" s="1379"/>
      <c r="F623" s="1379"/>
      <c r="G623" s="1379"/>
      <c r="H623" s="1379"/>
      <c r="I623" s="1379"/>
      <c r="J623" s="1379"/>
      <c r="L623" s="1379"/>
      <c r="M623" s="1379"/>
      <c r="N623" s="1379"/>
      <c r="O623" s="1379"/>
      <c r="P623" s="1379"/>
      <c r="Q623" s="1379"/>
      <c r="R623" s="1379"/>
      <c r="S623" s="1379"/>
      <c r="T623" s="1379"/>
      <c r="U623" s="1379"/>
    </row>
    <row r="624" spans="1:21" s="1380" customFormat="1">
      <c r="A624" s="1457"/>
      <c r="B624" s="1379"/>
      <c r="C624" s="1379"/>
      <c r="D624" s="1379"/>
      <c r="E624" s="1379"/>
      <c r="F624" s="1379"/>
      <c r="G624" s="1379"/>
      <c r="H624" s="1379"/>
      <c r="I624" s="1379"/>
      <c r="J624" s="1379"/>
      <c r="L624" s="1379"/>
      <c r="M624" s="1379"/>
      <c r="N624" s="1379"/>
      <c r="O624" s="1379"/>
      <c r="P624" s="1379"/>
      <c r="Q624" s="1379"/>
      <c r="R624" s="1379"/>
      <c r="S624" s="1379"/>
      <c r="T624" s="1379"/>
      <c r="U624" s="1379"/>
    </row>
    <row r="625" spans="1:21" s="1380" customFormat="1">
      <c r="A625" s="1457"/>
      <c r="B625" s="1379"/>
      <c r="C625" s="1379"/>
      <c r="D625" s="1379"/>
      <c r="E625" s="1379"/>
      <c r="F625" s="1379"/>
      <c r="G625" s="1379"/>
      <c r="H625" s="1379"/>
      <c r="I625" s="1379"/>
      <c r="J625" s="1379"/>
      <c r="L625" s="1379"/>
      <c r="M625" s="1379"/>
      <c r="N625" s="1379"/>
      <c r="O625" s="1379"/>
      <c r="P625" s="1379"/>
      <c r="Q625" s="1379"/>
      <c r="R625" s="1379"/>
      <c r="S625" s="1379"/>
      <c r="T625" s="1379"/>
      <c r="U625" s="1379"/>
    </row>
    <row r="626" spans="1:21" s="1380" customFormat="1">
      <c r="A626" s="1457"/>
      <c r="B626" s="1379"/>
      <c r="C626" s="1379"/>
      <c r="D626" s="1379"/>
      <c r="E626" s="1379"/>
      <c r="F626" s="1379"/>
      <c r="G626" s="1379"/>
      <c r="H626" s="1379"/>
      <c r="I626" s="1379"/>
      <c r="J626" s="1379"/>
      <c r="L626" s="1379"/>
      <c r="M626" s="1379"/>
      <c r="N626" s="1379"/>
      <c r="O626" s="1379"/>
      <c r="P626" s="1379"/>
      <c r="Q626" s="1379"/>
      <c r="R626" s="1379"/>
      <c r="S626" s="1379"/>
      <c r="T626" s="1379"/>
      <c r="U626" s="1379"/>
    </row>
    <row r="627" spans="1:21" s="1380" customFormat="1">
      <c r="A627" s="1457"/>
      <c r="B627" s="1379"/>
      <c r="C627" s="1379"/>
      <c r="D627" s="1379"/>
      <c r="E627" s="1379"/>
      <c r="F627" s="1379"/>
      <c r="G627" s="1379"/>
      <c r="H627" s="1379"/>
      <c r="I627" s="1379"/>
      <c r="J627" s="1379"/>
      <c r="L627" s="1379"/>
      <c r="M627" s="1379"/>
      <c r="N627" s="1379"/>
      <c r="O627" s="1379"/>
      <c r="P627" s="1379"/>
      <c r="Q627" s="1379"/>
      <c r="R627" s="1379"/>
      <c r="S627" s="1379"/>
      <c r="T627" s="1379"/>
      <c r="U627" s="1379"/>
    </row>
    <row r="628" spans="1:21" s="1380" customFormat="1">
      <c r="A628" s="1457"/>
      <c r="B628" s="1379"/>
      <c r="C628" s="1379"/>
      <c r="D628" s="1379"/>
      <c r="E628" s="1379"/>
      <c r="F628" s="1379"/>
      <c r="G628" s="1379"/>
      <c r="H628" s="1379"/>
      <c r="I628" s="1379"/>
      <c r="J628" s="1379"/>
      <c r="L628" s="1379"/>
      <c r="M628" s="1379"/>
      <c r="N628" s="1379"/>
      <c r="O628" s="1379"/>
      <c r="P628" s="1379"/>
      <c r="Q628" s="1379"/>
      <c r="R628" s="1379"/>
      <c r="S628" s="1379"/>
      <c r="T628" s="1379"/>
      <c r="U628" s="1379"/>
    </row>
    <row r="629" spans="1:21" s="1380" customFormat="1">
      <c r="A629" s="1457"/>
      <c r="B629" s="1379"/>
      <c r="C629" s="1379"/>
      <c r="D629" s="1379"/>
      <c r="E629" s="1379"/>
      <c r="F629" s="1379"/>
      <c r="G629" s="1379"/>
      <c r="H629" s="1379"/>
      <c r="I629" s="1379"/>
      <c r="J629" s="1379"/>
      <c r="L629" s="1379"/>
      <c r="M629" s="1379"/>
      <c r="N629" s="1379"/>
      <c r="O629" s="1379"/>
      <c r="P629" s="1379"/>
      <c r="Q629" s="1379"/>
      <c r="R629" s="1379"/>
      <c r="S629" s="1379"/>
      <c r="T629" s="1379"/>
      <c r="U629" s="1379"/>
    </row>
    <row r="630" spans="1:21" s="1380" customFormat="1">
      <c r="A630" s="1457"/>
      <c r="B630" s="1379"/>
      <c r="C630" s="1379"/>
      <c r="D630" s="1379"/>
      <c r="E630" s="1379"/>
      <c r="F630" s="1379"/>
      <c r="G630" s="1379"/>
      <c r="H630" s="1379"/>
      <c r="I630" s="1379"/>
      <c r="J630" s="1379"/>
      <c r="L630" s="1379"/>
      <c r="M630" s="1379"/>
      <c r="N630" s="1379"/>
      <c r="O630" s="1379"/>
      <c r="P630" s="1379"/>
      <c r="Q630" s="1379"/>
      <c r="R630" s="1379"/>
      <c r="S630" s="1379"/>
      <c r="T630" s="1379"/>
      <c r="U630" s="1379"/>
    </row>
    <row r="631" spans="1:21" s="1380" customFormat="1">
      <c r="A631" s="1457"/>
      <c r="B631" s="1379"/>
      <c r="C631" s="1379"/>
      <c r="D631" s="1379"/>
      <c r="E631" s="1379"/>
      <c r="F631" s="1379"/>
      <c r="G631" s="1379"/>
      <c r="H631" s="1379"/>
      <c r="I631" s="1379"/>
      <c r="J631" s="1379"/>
      <c r="L631" s="1379"/>
      <c r="M631" s="1379"/>
      <c r="N631" s="1379"/>
      <c r="O631" s="1379"/>
      <c r="P631" s="1379"/>
      <c r="Q631" s="1379"/>
      <c r="R631" s="1379"/>
      <c r="S631" s="1379"/>
      <c r="T631" s="1379"/>
      <c r="U631" s="1379"/>
    </row>
    <row r="632" spans="1:21" s="1380" customFormat="1">
      <c r="A632" s="1457"/>
      <c r="B632" s="1379"/>
      <c r="C632" s="1379"/>
      <c r="D632" s="1379"/>
      <c r="E632" s="1379"/>
      <c r="F632" s="1379"/>
      <c r="G632" s="1379"/>
      <c r="H632" s="1379"/>
      <c r="I632" s="1379"/>
      <c r="J632" s="1379"/>
      <c r="L632" s="1379"/>
      <c r="M632" s="1379"/>
      <c r="N632" s="1379"/>
      <c r="O632" s="1379"/>
      <c r="P632" s="1379"/>
      <c r="Q632" s="1379"/>
      <c r="R632" s="1379"/>
      <c r="S632" s="1379"/>
      <c r="T632" s="1379"/>
      <c r="U632" s="1379"/>
    </row>
    <row r="633" spans="1:21" s="1380" customFormat="1">
      <c r="A633" s="1457"/>
      <c r="B633" s="1379"/>
      <c r="C633" s="1379"/>
      <c r="D633" s="1379"/>
      <c r="E633" s="1379"/>
      <c r="F633" s="1379"/>
      <c r="G633" s="1379"/>
      <c r="H633" s="1379"/>
      <c r="I633" s="1379"/>
      <c r="J633" s="1379"/>
      <c r="L633" s="1379"/>
      <c r="M633" s="1379"/>
      <c r="N633" s="1379"/>
      <c r="O633" s="1379"/>
      <c r="P633" s="1379"/>
      <c r="Q633" s="1379"/>
      <c r="R633" s="1379"/>
      <c r="S633" s="1379"/>
      <c r="T633" s="1379"/>
      <c r="U633" s="1379"/>
    </row>
    <row r="634" spans="1:21" s="1380" customFormat="1">
      <c r="A634" s="1457"/>
      <c r="B634" s="1379"/>
      <c r="C634" s="1379"/>
      <c r="D634" s="1379"/>
      <c r="E634" s="1379"/>
      <c r="F634" s="1379"/>
      <c r="G634" s="1379"/>
      <c r="H634" s="1379"/>
      <c r="I634" s="1379"/>
      <c r="J634" s="1379"/>
      <c r="L634" s="1379"/>
      <c r="M634" s="1379"/>
      <c r="N634" s="1379"/>
      <c r="O634" s="1379"/>
      <c r="P634" s="1379"/>
      <c r="Q634" s="1379"/>
      <c r="R634" s="1379"/>
      <c r="S634" s="1379"/>
      <c r="T634" s="1379"/>
      <c r="U634" s="1379"/>
    </row>
    <row r="635" spans="1:21" s="1380" customFormat="1">
      <c r="A635" s="1457"/>
      <c r="B635" s="1379"/>
      <c r="C635" s="1379"/>
      <c r="D635" s="1379"/>
      <c r="E635" s="1379"/>
      <c r="F635" s="1379"/>
      <c r="G635" s="1379"/>
      <c r="H635" s="1379"/>
      <c r="I635" s="1379"/>
      <c r="J635" s="1379"/>
      <c r="L635" s="1379"/>
      <c r="M635" s="1379"/>
      <c r="N635" s="1379"/>
      <c r="O635" s="1379"/>
      <c r="P635" s="1379"/>
      <c r="Q635" s="1379"/>
      <c r="R635" s="1379"/>
      <c r="S635" s="1379"/>
      <c r="T635" s="1379"/>
      <c r="U635" s="1379"/>
    </row>
    <row r="636" spans="1:21" s="1380" customFormat="1">
      <c r="A636" s="1457"/>
      <c r="B636" s="1379"/>
      <c r="C636" s="1379"/>
      <c r="D636" s="1379"/>
      <c r="E636" s="1379"/>
      <c r="F636" s="1379"/>
      <c r="G636" s="1379"/>
      <c r="H636" s="1379"/>
      <c r="I636" s="1379"/>
      <c r="J636" s="1379"/>
      <c r="L636" s="1379"/>
      <c r="M636" s="1379"/>
      <c r="N636" s="1379"/>
      <c r="O636" s="1379"/>
      <c r="P636" s="1379"/>
      <c r="Q636" s="1379"/>
      <c r="R636" s="1379"/>
      <c r="S636" s="1379"/>
      <c r="T636" s="1379"/>
      <c r="U636" s="1379"/>
    </row>
    <row r="637" spans="1:21" s="1380" customFormat="1">
      <c r="A637" s="1457"/>
      <c r="B637" s="1379"/>
      <c r="C637" s="1379"/>
      <c r="D637" s="1379"/>
      <c r="E637" s="1379"/>
      <c r="F637" s="1379"/>
      <c r="G637" s="1379"/>
      <c r="H637" s="1379"/>
      <c r="I637" s="1379"/>
      <c r="J637" s="1379"/>
      <c r="L637" s="1379"/>
      <c r="M637" s="1379"/>
      <c r="N637" s="1379"/>
      <c r="O637" s="1379"/>
      <c r="P637" s="1379"/>
      <c r="Q637" s="1379"/>
      <c r="R637" s="1379"/>
      <c r="S637" s="1379"/>
      <c r="T637" s="1379"/>
      <c r="U637" s="1379"/>
    </row>
    <row r="638" spans="1:21" s="1380" customFormat="1">
      <c r="A638" s="1457"/>
      <c r="B638" s="1379"/>
      <c r="C638" s="1379"/>
      <c r="D638" s="1379"/>
      <c r="E638" s="1379"/>
      <c r="F638" s="1379"/>
      <c r="G638" s="1379"/>
      <c r="H638" s="1379"/>
      <c r="I638" s="1379"/>
      <c r="J638" s="1379"/>
      <c r="L638" s="1379"/>
      <c r="M638" s="1379"/>
      <c r="N638" s="1379"/>
      <c r="O638" s="1379"/>
      <c r="P638" s="1379"/>
      <c r="Q638" s="1379"/>
      <c r="R638" s="1379"/>
      <c r="S638" s="1379"/>
      <c r="T638" s="1379"/>
      <c r="U638" s="1379"/>
    </row>
    <row r="639" spans="1:21" s="1380" customFormat="1">
      <c r="A639" s="1457"/>
      <c r="B639" s="1379"/>
      <c r="C639" s="1379"/>
      <c r="D639" s="1379"/>
      <c r="E639" s="1379"/>
      <c r="F639" s="1379"/>
      <c r="G639" s="1379"/>
      <c r="H639" s="1379"/>
      <c r="I639" s="1379"/>
      <c r="J639" s="1379"/>
      <c r="L639" s="1379"/>
      <c r="M639" s="1379"/>
      <c r="N639" s="1379"/>
      <c r="O639" s="1379"/>
      <c r="P639" s="1379"/>
      <c r="Q639" s="1379"/>
      <c r="R639" s="1379"/>
      <c r="S639" s="1379"/>
      <c r="T639" s="1379"/>
      <c r="U639" s="1379"/>
    </row>
    <row r="640" spans="1:21" s="1380" customFormat="1">
      <c r="A640" s="1457"/>
      <c r="B640" s="1379"/>
      <c r="C640" s="1379"/>
      <c r="D640" s="1379"/>
      <c r="E640" s="1379"/>
      <c r="F640" s="1379"/>
      <c r="G640" s="1379"/>
      <c r="H640" s="1379"/>
      <c r="I640" s="1379"/>
      <c r="J640" s="1379"/>
      <c r="L640" s="1379"/>
      <c r="M640" s="1379"/>
      <c r="N640" s="1379"/>
      <c r="O640" s="1379"/>
      <c r="P640" s="1379"/>
      <c r="Q640" s="1379"/>
      <c r="R640" s="1379"/>
      <c r="S640" s="1379"/>
      <c r="T640" s="1379"/>
      <c r="U640" s="1379"/>
    </row>
    <row r="641" spans="1:21" s="1380" customFormat="1">
      <c r="A641" s="1457"/>
      <c r="B641" s="1379"/>
      <c r="C641" s="1379"/>
      <c r="D641" s="1379"/>
      <c r="E641" s="1379"/>
      <c r="F641" s="1379"/>
      <c r="G641" s="1379"/>
      <c r="H641" s="1379"/>
      <c r="I641" s="1379"/>
      <c r="J641" s="1379"/>
      <c r="L641" s="1379"/>
      <c r="M641" s="1379"/>
      <c r="N641" s="1379"/>
      <c r="O641" s="1379"/>
      <c r="P641" s="1379"/>
      <c r="Q641" s="1379"/>
      <c r="R641" s="1379"/>
      <c r="S641" s="1379"/>
      <c r="T641" s="1379"/>
      <c r="U641" s="1379"/>
    </row>
    <row r="642" spans="1:21" s="1380" customFormat="1">
      <c r="A642" s="1457"/>
      <c r="B642" s="1379"/>
      <c r="C642" s="1379"/>
      <c r="D642" s="1379"/>
      <c r="E642" s="1379"/>
      <c r="F642" s="1379"/>
      <c r="G642" s="1379"/>
      <c r="H642" s="1379"/>
      <c r="I642" s="1379"/>
      <c r="J642" s="1379"/>
      <c r="L642" s="1379"/>
      <c r="M642" s="1379"/>
      <c r="N642" s="1379"/>
      <c r="O642" s="1379"/>
      <c r="P642" s="1379"/>
      <c r="Q642" s="1379"/>
      <c r="R642" s="1379"/>
      <c r="S642" s="1379"/>
      <c r="T642" s="1379"/>
      <c r="U642" s="1379"/>
    </row>
    <row r="643" spans="1:21" s="1380" customFormat="1">
      <c r="A643" s="1457"/>
      <c r="B643" s="1379"/>
      <c r="C643" s="1379"/>
      <c r="D643" s="1379"/>
      <c r="E643" s="1379"/>
      <c r="F643" s="1379"/>
      <c r="G643" s="1379"/>
      <c r="H643" s="1379"/>
      <c r="I643" s="1379"/>
      <c r="J643" s="1379"/>
      <c r="L643" s="1379"/>
      <c r="M643" s="1379"/>
      <c r="N643" s="1379"/>
      <c r="O643" s="1379"/>
      <c r="P643" s="1379"/>
      <c r="Q643" s="1379"/>
      <c r="R643" s="1379"/>
      <c r="S643" s="1379"/>
      <c r="T643" s="1379"/>
      <c r="U643" s="1379"/>
    </row>
    <row r="644" spans="1:21" s="1380" customFormat="1">
      <c r="A644" s="1457"/>
      <c r="B644" s="1379"/>
      <c r="C644" s="1379"/>
      <c r="D644" s="1379"/>
      <c r="E644" s="1379"/>
      <c r="F644" s="1379"/>
      <c r="G644" s="1379"/>
      <c r="H644" s="1379"/>
      <c r="I644" s="1379"/>
      <c r="J644" s="1379"/>
      <c r="L644" s="1379"/>
      <c r="M644" s="1379"/>
      <c r="N644" s="1379"/>
      <c r="O644" s="1379"/>
      <c r="P644" s="1379"/>
      <c r="Q644" s="1379"/>
      <c r="R644" s="1379"/>
      <c r="S644" s="1379"/>
      <c r="T644" s="1379"/>
      <c r="U644" s="1379"/>
    </row>
    <row r="645" spans="1:21" s="1380" customFormat="1">
      <c r="A645" s="1457"/>
      <c r="B645" s="1379"/>
      <c r="C645" s="1379"/>
      <c r="D645" s="1379"/>
      <c r="E645" s="1379"/>
      <c r="F645" s="1379"/>
      <c r="G645" s="1379"/>
      <c r="H645" s="1379"/>
      <c r="I645" s="1379"/>
      <c r="J645" s="1379"/>
      <c r="L645" s="1379"/>
      <c r="M645" s="1379"/>
      <c r="N645" s="1379"/>
      <c r="O645" s="1379"/>
      <c r="P645" s="1379"/>
      <c r="Q645" s="1379"/>
      <c r="R645" s="1379"/>
      <c r="S645" s="1379"/>
      <c r="T645" s="1379"/>
      <c r="U645" s="1379"/>
    </row>
    <row r="646" spans="1:21" s="1380" customFormat="1">
      <c r="A646" s="1457"/>
      <c r="B646" s="1379"/>
      <c r="C646" s="1379"/>
      <c r="D646" s="1379"/>
      <c r="E646" s="1379"/>
      <c r="F646" s="1379"/>
      <c r="G646" s="1379"/>
      <c r="H646" s="1379"/>
      <c r="I646" s="1379"/>
      <c r="J646" s="1379"/>
      <c r="L646" s="1379"/>
      <c r="M646" s="1379"/>
      <c r="N646" s="1379"/>
      <c r="O646" s="1379"/>
      <c r="P646" s="1379"/>
      <c r="Q646" s="1379"/>
      <c r="R646" s="1379"/>
      <c r="S646" s="1379"/>
      <c r="T646" s="1379"/>
      <c r="U646" s="1379"/>
    </row>
    <row r="647" spans="1:21" s="1380" customFormat="1">
      <c r="A647" s="1457"/>
      <c r="B647" s="1379"/>
      <c r="C647" s="1379"/>
      <c r="D647" s="1379"/>
      <c r="E647" s="1379"/>
      <c r="F647" s="1379"/>
      <c r="G647" s="1379"/>
      <c r="H647" s="1379"/>
      <c r="I647" s="1379"/>
      <c r="J647" s="1379"/>
      <c r="L647" s="1379"/>
      <c r="M647" s="1379"/>
      <c r="N647" s="1379"/>
      <c r="O647" s="1379"/>
      <c r="P647" s="1379"/>
      <c r="Q647" s="1379"/>
      <c r="R647" s="1379"/>
      <c r="S647" s="1379"/>
      <c r="T647" s="1379"/>
      <c r="U647" s="1379"/>
    </row>
    <row r="648" spans="1:21" s="1380" customFormat="1">
      <c r="A648" s="1457"/>
      <c r="B648" s="1379"/>
      <c r="C648" s="1379"/>
      <c r="D648" s="1379"/>
      <c r="E648" s="1379"/>
      <c r="F648" s="1379"/>
      <c r="G648" s="1379"/>
      <c r="H648" s="1379"/>
      <c r="I648" s="1379"/>
      <c r="J648" s="1379"/>
      <c r="L648" s="1379"/>
      <c r="M648" s="1379"/>
      <c r="N648" s="1379"/>
      <c r="O648" s="1379"/>
      <c r="P648" s="1379"/>
      <c r="Q648" s="1379"/>
      <c r="R648" s="1379"/>
      <c r="S648" s="1379"/>
      <c r="T648" s="1379"/>
      <c r="U648" s="1379"/>
    </row>
    <row r="649" spans="1:21" s="1380" customFormat="1">
      <c r="A649" s="1457"/>
      <c r="B649" s="1379"/>
      <c r="C649" s="1379"/>
      <c r="D649" s="1379"/>
      <c r="E649" s="1379"/>
      <c r="F649" s="1379"/>
      <c r="G649" s="1379"/>
      <c r="H649" s="1379"/>
      <c r="I649" s="1379"/>
      <c r="J649" s="1379"/>
      <c r="L649" s="1379"/>
      <c r="M649" s="1379"/>
      <c r="N649" s="1379"/>
      <c r="O649" s="1379"/>
      <c r="P649" s="1379"/>
      <c r="Q649" s="1379"/>
      <c r="R649" s="1379"/>
      <c r="S649" s="1379"/>
      <c r="T649" s="1379"/>
      <c r="U649" s="1379"/>
    </row>
    <row r="650" spans="1:21" s="1380" customFormat="1">
      <c r="A650" s="1457"/>
      <c r="B650" s="1379"/>
      <c r="C650" s="1379"/>
      <c r="D650" s="1379"/>
      <c r="E650" s="1379"/>
      <c r="F650" s="1379"/>
      <c r="G650" s="1379"/>
      <c r="H650" s="1379"/>
      <c r="I650" s="1379"/>
      <c r="J650" s="1379"/>
      <c r="L650" s="1379"/>
      <c r="M650" s="1379"/>
      <c r="N650" s="1379"/>
      <c r="O650" s="1379"/>
      <c r="P650" s="1379"/>
      <c r="Q650" s="1379"/>
      <c r="R650" s="1379"/>
      <c r="S650" s="1379"/>
      <c r="T650" s="1379"/>
      <c r="U650" s="1379"/>
    </row>
    <row r="651" spans="1:21" s="1380" customFormat="1">
      <c r="A651" s="1457"/>
      <c r="B651" s="1379"/>
      <c r="C651" s="1379"/>
      <c r="D651" s="1379"/>
      <c r="E651" s="1379"/>
      <c r="F651" s="1379"/>
      <c r="G651" s="1379"/>
      <c r="H651" s="1379"/>
      <c r="I651" s="1379"/>
      <c r="J651" s="1379"/>
      <c r="L651" s="1379"/>
      <c r="M651" s="1379"/>
      <c r="N651" s="1379"/>
      <c r="O651" s="1379"/>
      <c r="P651" s="1379"/>
      <c r="Q651" s="1379"/>
      <c r="R651" s="1379"/>
      <c r="S651" s="1379"/>
      <c r="T651" s="1379"/>
      <c r="U651" s="1379"/>
    </row>
    <row r="652" spans="1:21" s="1380" customFormat="1">
      <c r="A652" s="1457"/>
      <c r="B652" s="1379"/>
      <c r="C652" s="1379"/>
      <c r="D652" s="1379"/>
      <c r="E652" s="1379"/>
      <c r="F652" s="1379"/>
      <c r="G652" s="1379"/>
      <c r="H652" s="1379"/>
      <c r="I652" s="1379"/>
      <c r="J652" s="1379"/>
      <c r="L652" s="1379"/>
      <c r="M652" s="1379"/>
      <c r="N652" s="1379"/>
      <c r="O652" s="1379"/>
      <c r="P652" s="1379"/>
      <c r="Q652" s="1379"/>
      <c r="R652" s="1379"/>
      <c r="S652" s="1379"/>
      <c r="T652" s="1379"/>
      <c r="U652" s="1379"/>
    </row>
    <row r="653" spans="1:21" s="1380" customFormat="1">
      <c r="A653" s="1457"/>
      <c r="B653" s="1379"/>
      <c r="C653" s="1379"/>
      <c r="D653" s="1379"/>
      <c r="E653" s="1379"/>
      <c r="F653" s="1379"/>
      <c r="G653" s="1379"/>
      <c r="H653" s="1379"/>
      <c r="I653" s="1379"/>
      <c r="J653" s="1379"/>
      <c r="L653" s="1379"/>
      <c r="M653" s="1379"/>
      <c r="N653" s="1379"/>
      <c r="O653" s="1379"/>
      <c r="P653" s="1379"/>
      <c r="Q653" s="1379"/>
      <c r="R653" s="1379"/>
      <c r="S653" s="1379"/>
      <c r="T653" s="1379"/>
      <c r="U653" s="1379"/>
    </row>
    <row r="654" spans="1:21" s="1380" customFormat="1">
      <c r="A654" s="1457"/>
      <c r="B654" s="1379"/>
      <c r="C654" s="1379"/>
      <c r="D654" s="1379"/>
      <c r="E654" s="1379"/>
      <c r="F654" s="1379"/>
      <c r="G654" s="1379"/>
      <c r="H654" s="1379"/>
      <c r="I654" s="1379"/>
      <c r="J654" s="1379"/>
      <c r="L654" s="1379"/>
      <c r="M654" s="1379"/>
      <c r="N654" s="1379"/>
      <c r="O654" s="1379"/>
      <c r="P654" s="1379"/>
      <c r="Q654" s="1379"/>
      <c r="R654" s="1379"/>
      <c r="S654" s="1379"/>
      <c r="T654" s="1379"/>
      <c r="U654" s="1379"/>
    </row>
    <row r="655" spans="1:21" s="1380" customFormat="1">
      <c r="A655" s="1457"/>
      <c r="B655" s="1379"/>
      <c r="C655" s="1379"/>
      <c r="D655" s="1379"/>
      <c r="E655" s="1379"/>
      <c r="F655" s="1379"/>
      <c r="G655" s="1379"/>
      <c r="H655" s="1379"/>
      <c r="I655" s="1379"/>
      <c r="J655" s="1379"/>
      <c r="L655" s="1379"/>
      <c r="M655" s="1379"/>
      <c r="N655" s="1379"/>
      <c r="O655" s="1379"/>
      <c r="P655" s="1379"/>
      <c r="Q655" s="1379"/>
      <c r="R655" s="1379"/>
      <c r="S655" s="1379"/>
      <c r="T655" s="1379"/>
      <c r="U655" s="1379"/>
    </row>
    <row r="656" spans="1:21" s="1380" customFormat="1">
      <c r="A656" s="1457"/>
      <c r="B656" s="1379"/>
      <c r="C656" s="1379"/>
      <c r="D656" s="1379"/>
      <c r="E656" s="1379"/>
      <c r="F656" s="1379"/>
      <c r="G656" s="1379"/>
      <c r="H656" s="1379"/>
      <c r="I656" s="1379"/>
      <c r="J656" s="1379"/>
      <c r="L656" s="1379"/>
      <c r="M656" s="1379"/>
      <c r="N656" s="1379"/>
      <c r="O656" s="1379"/>
      <c r="P656" s="1379"/>
      <c r="Q656" s="1379"/>
      <c r="R656" s="1379"/>
      <c r="S656" s="1379"/>
      <c r="T656" s="1379"/>
      <c r="U656" s="1379"/>
    </row>
    <row r="657" spans="1:21" s="1380" customFormat="1">
      <c r="A657" s="1457"/>
      <c r="B657" s="1379"/>
      <c r="C657" s="1379"/>
      <c r="D657" s="1379"/>
      <c r="E657" s="1379"/>
      <c r="F657" s="1379"/>
      <c r="G657" s="1379"/>
      <c r="H657" s="1379"/>
      <c r="I657" s="1379"/>
      <c r="J657" s="1379"/>
      <c r="L657" s="1379"/>
      <c r="M657" s="1379"/>
      <c r="N657" s="1379"/>
      <c r="O657" s="1379"/>
      <c r="P657" s="1379"/>
      <c r="Q657" s="1379"/>
      <c r="R657" s="1379"/>
      <c r="S657" s="1379"/>
      <c r="T657" s="1379"/>
      <c r="U657" s="1379"/>
    </row>
    <row r="658" spans="1:21" s="1380" customFormat="1">
      <c r="A658" s="1457"/>
      <c r="B658" s="1379"/>
      <c r="C658" s="1379"/>
      <c r="D658" s="1379"/>
      <c r="E658" s="1379"/>
      <c r="F658" s="1379"/>
      <c r="G658" s="1379"/>
      <c r="H658" s="1379"/>
      <c r="I658" s="1379"/>
      <c r="J658" s="1379"/>
      <c r="L658" s="1379"/>
      <c r="M658" s="1379"/>
      <c r="N658" s="1379"/>
      <c r="O658" s="1379"/>
      <c r="P658" s="1379"/>
      <c r="Q658" s="1379"/>
      <c r="R658" s="1379"/>
      <c r="S658" s="1379"/>
      <c r="T658" s="1379"/>
      <c r="U658" s="1379"/>
    </row>
    <row r="659" spans="1:21" s="1380" customFormat="1">
      <c r="A659" s="1457"/>
      <c r="B659" s="1379"/>
      <c r="C659" s="1379"/>
      <c r="D659" s="1379"/>
      <c r="E659" s="1379"/>
      <c r="F659" s="1379"/>
      <c r="G659" s="1379"/>
      <c r="H659" s="1379"/>
      <c r="I659" s="1379"/>
      <c r="J659" s="1379"/>
      <c r="L659" s="1379"/>
      <c r="M659" s="1379"/>
      <c r="N659" s="1379"/>
      <c r="O659" s="1379"/>
      <c r="P659" s="1379"/>
      <c r="Q659" s="1379"/>
      <c r="R659" s="1379"/>
      <c r="S659" s="1379"/>
      <c r="T659" s="1379"/>
      <c r="U659" s="1379"/>
    </row>
    <row r="660" spans="1:21" s="1380" customFormat="1">
      <c r="A660" s="1457"/>
      <c r="B660" s="1379"/>
      <c r="C660" s="1379"/>
      <c r="D660" s="1379"/>
      <c r="E660" s="1379"/>
      <c r="F660" s="1379"/>
      <c r="G660" s="1379"/>
      <c r="H660" s="1379"/>
      <c r="I660" s="1379"/>
      <c r="J660" s="1379"/>
      <c r="L660" s="1379"/>
      <c r="M660" s="1379"/>
      <c r="N660" s="1379"/>
      <c r="O660" s="1379"/>
      <c r="P660" s="1379"/>
      <c r="Q660" s="1379"/>
      <c r="R660" s="1379"/>
      <c r="S660" s="1379"/>
      <c r="T660" s="1379"/>
      <c r="U660" s="1379"/>
    </row>
    <row r="661" spans="1:21" s="1380" customFormat="1">
      <c r="A661" s="1457"/>
      <c r="B661" s="1379"/>
      <c r="C661" s="1379"/>
      <c r="D661" s="1379"/>
      <c r="E661" s="1379"/>
      <c r="F661" s="1379"/>
      <c r="G661" s="1379"/>
      <c r="H661" s="1379"/>
      <c r="I661" s="1379"/>
      <c r="J661" s="1379"/>
      <c r="L661" s="1379"/>
      <c r="M661" s="1379"/>
      <c r="N661" s="1379"/>
      <c r="O661" s="1379"/>
      <c r="P661" s="1379"/>
      <c r="Q661" s="1379"/>
      <c r="R661" s="1379"/>
      <c r="S661" s="1379"/>
      <c r="T661" s="1379"/>
      <c r="U661" s="1379"/>
    </row>
    <row r="662" spans="1:21" s="1380" customFormat="1">
      <c r="A662" s="1457"/>
      <c r="B662" s="1379"/>
      <c r="C662" s="1379"/>
      <c r="D662" s="1379"/>
      <c r="E662" s="1379"/>
      <c r="F662" s="1379"/>
      <c r="G662" s="1379"/>
      <c r="H662" s="1379"/>
      <c r="I662" s="1379"/>
      <c r="J662" s="1379"/>
      <c r="L662" s="1379"/>
      <c r="M662" s="1379"/>
      <c r="N662" s="1379"/>
      <c r="O662" s="1379"/>
      <c r="P662" s="1379"/>
      <c r="Q662" s="1379"/>
      <c r="R662" s="1379"/>
      <c r="S662" s="1379"/>
      <c r="T662" s="1379"/>
      <c r="U662" s="1379"/>
    </row>
    <row r="663" spans="1:21" s="1380" customFormat="1">
      <c r="A663" s="1457"/>
      <c r="B663" s="1379"/>
      <c r="C663" s="1379"/>
      <c r="D663" s="1379"/>
      <c r="E663" s="1379"/>
      <c r="F663" s="1379"/>
      <c r="G663" s="1379"/>
      <c r="H663" s="1379"/>
      <c r="I663" s="1379"/>
      <c r="J663" s="1379"/>
      <c r="L663" s="1379"/>
      <c r="M663" s="1379"/>
      <c r="N663" s="1379"/>
      <c r="O663" s="1379"/>
      <c r="P663" s="1379"/>
      <c r="Q663" s="1379"/>
      <c r="R663" s="1379"/>
      <c r="S663" s="1379"/>
      <c r="T663" s="1379"/>
      <c r="U663" s="1379"/>
    </row>
    <row r="664" spans="1:21" s="1380" customFormat="1">
      <c r="A664" s="1457"/>
      <c r="B664" s="1379"/>
      <c r="C664" s="1379"/>
      <c r="D664" s="1379"/>
      <c r="E664" s="1379"/>
      <c r="F664" s="1379"/>
      <c r="G664" s="1379"/>
      <c r="H664" s="1379"/>
      <c r="I664" s="1379"/>
      <c r="J664" s="1379"/>
      <c r="L664" s="1379"/>
      <c r="M664" s="1379"/>
      <c r="N664" s="1379"/>
      <c r="O664" s="1379"/>
      <c r="P664" s="1379"/>
      <c r="Q664" s="1379"/>
      <c r="R664" s="1379"/>
      <c r="S664" s="1379"/>
      <c r="T664" s="1379"/>
      <c r="U664" s="1379"/>
    </row>
    <row r="665" spans="1:21" s="1380" customFormat="1">
      <c r="A665" s="1457"/>
      <c r="B665" s="1379"/>
      <c r="C665" s="1379"/>
      <c r="D665" s="1379"/>
      <c r="E665" s="1379"/>
      <c r="F665" s="1379"/>
      <c r="G665" s="1379"/>
      <c r="H665" s="1379"/>
      <c r="I665" s="1379"/>
      <c r="J665" s="1379"/>
      <c r="L665" s="1379"/>
      <c r="M665" s="1379"/>
      <c r="N665" s="1379"/>
      <c r="O665" s="1379"/>
      <c r="P665" s="1379"/>
      <c r="Q665" s="1379"/>
      <c r="R665" s="1379"/>
      <c r="S665" s="1379"/>
      <c r="T665" s="1379"/>
      <c r="U665" s="1379"/>
    </row>
    <row r="666" spans="1:21" s="1380" customFormat="1">
      <c r="A666" s="1457"/>
      <c r="B666" s="1379"/>
      <c r="C666" s="1379"/>
      <c r="D666" s="1379"/>
      <c r="E666" s="1379"/>
      <c r="F666" s="1379"/>
      <c r="G666" s="1379"/>
      <c r="H666" s="1379"/>
      <c r="I666" s="1379"/>
      <c r="J666" s="1379"/>
      <c r="L666" s="1379"/>
      <c r="M666" s="1379"/>
      <c r="N666" s="1379"/>
      <c r="O666" s="1379"/>
      <c r="P666" s="1379"/>
      <c r="Q666" s="1379"/>
      <c r="R666" s="1379"/>
      <c r="S666" s="1379"/>
      <c r="T666" s="1379"/>
      <c r="U666" s="1379"/>
    </row>
    <row r="667" spans="1:21" s="1380" customFormat="1">
      <c r="A667" s="1457"/>
      <c r="B667" s="1379"/>
      <c r="C667" s="1379"/>
      <c r="D667" s="1379"/>
      <c r="E667" s="1379"/>
      <c r="F667" s="1379"/>
      <c r="G667" s="1379"/>
      <c r="H667" s="1379"/>
      <c r="I667" s="1379"/>
      <c r="J667" s="1379"/>
      <c r="L667" s="1379"/>
      <c r="M667" s="1379"/>
      <c r="N667" s="1379"/>
      <c r="O667" s="1379"/>
      <c r="P667" s="1379"/>
      <c r="Q667" s="1379"/>
      <c r="R667" s="1379"/>
      <c r="S667" s="1379"/>
      <c r="T667" s="1379"/>
      <c r="U667" s="1379"/>
    </row>
    <row r="668" spans="1:21" s="1380" customFormat="1">
      <c r="A668" s="1457"/>
      <c r="B668" s="1379"/>
      <c r="C668" s="1379"/>
      <c r="D668" s="1379"/>
      <c r="E668" s="1379"/>
      <c r="F668" s="1379"/>
      <c r="G668" s="1379"/>
      <c r="H668" s="1379"/>
      <c r="I668" s="1379"/>
      <c r="J668" s="1379"/>
      <c r="L668" s="1379"/>
      <c r="M668" s="1379"/>
      <c r="N668" s="1379"/>
      <c r="O668" s="1379"/>
      <c r="P668" s="1379"/>
      <c r="Q668" s="1379"/>
      <c r="R668" s="1379"/>
      <c r="S668" s="1379"/>
      <c r="T668" s="1379"/>
      <c r="U668" s="1379"/>
    </row>
    <row r="669" spans="1:21" s="1380" customFormat="1">
      <c r="A669" s="1457"/>
      <c r="B669" s="1379"/>
      <c r="C669" s="1379"/>
      <c r="D669" s="1379"/>
      <c r="E669" s="1379"/>
      <c r="F669" s="1379"/>
      <c r="G669" s="1379"/>
      <c r="H669" s="1379"/>
      <c r="I669" s="1379"/>
      <c r="J669" s="1379"/>
      <c r="L669" s="1379"/>
      <c r="M669" s="1379"/>
      <c r="N669" s="1379"/>
      <c r="O669" s="1379"/>
      <c r="P669" s="1379"/>
      <c r="Q669" s="1379"/>
      <c r="R669" s="1379"/>
      <c r="S669" s="1379"/>
      <c r="T669" s="1379"/>
      <c r="U669" s="1379"/>
    </row>
    <row r="670" spans="1:21" s="1380" customFormat="1">
      <c r="A670" s="1457"/>
      <c r="B670" s="1379"/>
      <c r="C670" s="1379"/>
      <c r="D670" s="1379"/>
      <c r="E670" s="1379"/>
      <c r="F670" s="1379"/>
      <c r="G670" s="1379"/>
      <c r="H670" s="1379"/>
      <c r="I670" s="1379"/>
      <c r="J670" s="1379"/>
      <c r="L670" s="1379"/>
      <c r="M670" s="1379"/>
      <c r="N670" s="1379"/>
      <c r="O670" s="1379"/>
      <c r="P670" s="1379"/>
      <c r="Q670" s="1379"/>
      <c r="R670" s="1379"/>
      <c r="S670" s="1379"/>
      <c r="T670" s="1379"/>
      <c r="U670" s="1379"/>
    </row>
    <row r="671" spans="1:21" s="1380" customFormat="1">
      <c r="A671" s="1457"/>
      <c r="B671" s="1379"/>
      <c r="C671" s="1379"/>
      <c r="D671" s="1379"/>
      <c r="E671" s="1379"/>
      <c r="F671" s="1379"/>
      <c r="G671" s="1379"/>
      <c r="H671" s="1379"/>
      <c r="I671" s="1379"/>
      <c r="J671" s="1379"/>
      <c r="L671" s="1379"/>
      <c r="M671" s="1379"/>
      <c r="N671" s="1379"/>
      <c r="O671" s="1379"/>
      <c r="P671" s="1379"/>
      <c r="Q671" s="1379"/>
      <c r="R671" s="1379"/>
      <c r="S671" s="1379"/>
      <c r="T671" s="1379"/>
      <c r="U671" s="1379"/>
    </row>
    <row r="672" spans="1:21" s="1380" customFormat="1">
      <c r="A672" s="1457"/>
      <c r="B672" s="1379"/>
      <c r="C672" s="1379"/>
      <c r="D672" s="1379"/>
      <c r="E672" s="1379"/>
      <c r="F672" s="1379"/>
      <c r="G672" s="1379"/>
      <c r="H672" s="1379"/>
      <c r="I672" s="1379"/>
      <c r="J672" s="1379"/>
      <c r="L672" s="1379"/>
      <c r="M672" s="1379"/>
      <c r="N672" s="1379"/>
      <c r="O672" s="1379"/>
      <c r="P672" s="1379"/>
      <c r="Q672" s="1379"/>
      <c r="R672" s="1379"/>
      <c r="S672" s="1379"/>
      <c r="T672" s="1379"/>
      <c r="U672" s="1379"/>
    </row>
    <row r="673" spans="1:21" s="1380" customFormat="1">
      <c r="A673" s="1457"/>
      <c r="B673" s="1379"/>
      <c r="C673" s="1379"/>
      <c r="D673" s="1379"/>
      <c r="E673" s="1379"/>
      <c r="F673" s="1379"/>
      <c r="G673" s="1379"/>
      <c r="H673" s="1379"/>
      <c r="I673" s="1379"/>
      <c r="J673" s="1379"/>
      <c r="L673" s="1379"/>
      <c r="M673" s="1379"/>
      <c r="N673" s="1379"/>
      <c r="O673" s="1379"/>
      <c r="P673" s="1379"/>
      <c r="Q673" s="1379"/>
      <c r="R673" s="1379"/>
      <c r="S673" s="1379"/>
      <c r="T673" s="1379"/>
      <c r="U673" s="1379"/>
    </row>
    <row r="674" spans="1:21" s="1380" customFormat="1">
      <c r="A674" s="1457"/>
      <c r="B674" s="1379"/>
      <c r="C674" s="1379"/>
      <c r="D674" s="1379"/>
      <c r="E674" s="1379"/>
      <c r="F674" s="1379"/>
      <c r="G674" s="1379"/>
      <c r="H674" s="1379"/>
      <c r="I674" s="1379"/>
      <c r="J674" s="1379"/>
      <c r="L674" s="1379"/>
      <c r="M674" s="1379"/>
      <c r="N674" s="1379"/>
      <c r="O674" s="1379"/>
      <c r="P674" s="1379"/>
      <c r="Q674" s="1379"/>
      <c r="R674" s="1379"/>
      <c r="S674" s="1379"/>
      <c r="T674" s="1379"/>
      <c r="U674" s="1379"/>
    </row>
    <row r="675" spans="1:21" s="1380" customFormat="1">
      <c r="A675" s="1457"/>
      <c r="B675" s="1379"/>
      <c r="C675" s="1379"/>
      <c r="D675" s="1379"/>
      <c r="E675" s="1379"/>
      <c r="F675" s="1379"/>
      <c r="G675" s="1379"/>
      <c r="H675" s="1379"/>
      <c r="I675" s="1379"/>
      <c r="J675" s="1379"/>
      <c r="L675" s="1379"/>
      <c r="M675" s="1379"/>
      <c r="N675" s="1379"/>
      <c r="O675" s="1379"/>
      <c r="P675" s="1379"/>
      <c r="Q675" s="1379"/>
      <c r="R675" s="1379"/>
      <c r="S675" s="1379"/>
      <c r="T675" s="1379"/>
      <c r="U675" s="1379"/>
    </row>
    <row r="676" spans="1:21" s="1380" customFormat="1">
      <c r="A676" s="1457"/>
      <c r="B676" s="1379"/>
      <c r="C676" s="1379"/>
      <c r="D676" s="1379"/>
      <c r="E676" s="1379"/>
      <c r="F676" s="1379"/>
      <c r="G676" s="1379"/>
      <c r="H676" s="1379"/>
      <c r="I676" s="1379"/>
      <c r="J676" s="1379"/>
      <c r="L676" s="1379"/>
      <c r="M676" s="1379"/>
      <c r="N676" s="1379"/>
      <c r="O676" s="1379"/>
      <c r="P676" s="1379"/>
      <c r="Q676" s="1379"/>
      <c r="R676" s="1379"/>
      <c r="S676" s="1379"/>
      <c r="T676" s="1379"/>
      <c r="U676" s="1379"/>
    </row>
    <row r="677" spans="1:21" s="1380" customFormat="1">
      <c r="A677" s="1457"/>
      <c r="B677" s="1379"/>
      <c r="C677" s="1379"/>
      <c r="D677" s="1379"/>
      <c r="E677" s="1379"/>
      <c r="F677" s="1379"/>
      <c r="G677" s="1379"/>
      <c r="H677" s="1379"/>
      <c r="I677" s="1379"/>
      <c r="J677" s="1379"/>
      <c r="L677" s="1379"/>
      <c r="M677" s="1379"/>
      <c r="N677" s="1379"/>
      <c r="O677" s="1379"/>
      <c r="P677" s="1379"/>
      <c r="Q677" s="1379"/>
      <c r="R677" s="1379"/>
      <c r="S677" s="1379"/>
      <c r="T677" s="1379"/>
      <c r="U677" s="1379"/>
    </row>
    <row r="678" spans="1:21" s="1380" customFormat="1">
      <c r="A678" s="1457"/>
      <c r="B678" s="1379"/>
      <c r="C678" s="1379"/>
      <c r="D678" s="1379"/>
      <c r="E678" s="1379"/>
      <c r="F678" s="1379"/>
      <c r="G678" s="1379"/>
      <c r="H678" s="1379"/>
      <c r="I678" s="1379"/>
      <c r="J678" s="1379"/>
      <c r="L678" s="1379"/>
      <c r="M678" s="1379"/>
      <c r="N678" s="1379"/>
      <c r="O678" s="1379"/>
      <c r="P678" s="1379"/>
      <c r="Q678" s="1379"/>
      <c r="R678" s="1379"/>
      <c r="S678" s="1379"/>
      <c r="T678" s="1379"/>
      <c r="U678" s="1379"/>
    </row>
    <row r="679" spans="1:21" s="1380" customFormat="1">
      <c r="A679" s="1457"/>
      <c r="B679" s="1379"/>
      <c r="C679" s="1379"/>
      <c r="D679" s="1379"/>
      <c r="E679" s="1379"/>
      <c r="F679" s="1379"/>
      <c r="G679" s="1379"/>
      <c r="H679" s="1379"/>
      <c r="I679" s="1379"/>
      <c r="J679" s="1379"/>
      <c r="L679" s="1379"/>
      <c r="M679" s="1379"/>
      <c r="N679" s="1379"/>
      <c r="O679" s="1379"/>
      <c r="P679" s="1379"/>
      <c r="Q679" s="1379"/>
      <c r="R679" s="1379"/>
      <c r="S679" s="1379"/>
      <c r="T679" s="1379"/>
      <c r="U679" s="1379"/>
    </row>
    <row r="680" spans="1:21" s="1380" customFormat="1">
      <c r="A680" s="1457"/>
      <c r="B680" s="1379"/>
      <c r="C680" s="1379"/>
      <c r="D680" s="1379"/>
      <c r="E680" s="1379"/>
      <c r="F680" s="1379"/>
      <c r="G680" s="1379"/>
      <c r="H680" s="1379"/>
      <c r="I680" s="1379"/>
      <c r="J680" s="1379"/>
      <c r="L680" s="1379"/>
      <c r="M680" s="1379"/>
      <c r="N680" s="1379"/>
      <c r="O680" s="1379"/>
      <c r="P680" s="1379"/>
      <c r="Q680" s="1379"/>
      <c r="R680" s="1379"/>
      <c r="S680" s="1379"/>
      <c r="T680" s="1379"/>
      <c r="U680" s="1379"/>
    </row>
    <row r="681" spans="1:21" s="1380" customFormat="1">
      <c r="A681" s="1457"/>
      <c r="B681" s="1379"/>
      <c r="C681" s="1379"/>
      <c r="D681" s="1379"/>
      <c r="E681" s="1379"/>
      <c r="F681" s="1379"/>
      <c r="G681" s="1379"/>
      <c r="H681" s="1379"/>
      <c r="I681" s="1379"/>
      <c r="J681" s="1379"/>
      <c r="L681" s="1379"/>
      <c r="M681" s="1379"/>
      <c r="N681" s="1379"/>
      <c r="O681" s="1379"/>
      <c r="P681" s="1379"/>
      <c r="Q681" s="1379"/>
      <c r="R681" s="1379"/>
      <c r="S681" s="1379"/>
      <c r="T681" s="1379"/>
      <c r="U681" s="1379"/>
    </row>
    <row r="682" spans="1:21" s="1380" customFormat="1">
      <c r="A682" s="1457"/>
      <c r="B682" s="1379"/>
      <c r="C682" s="1379"/>
      <c r="D682" s="1379"/>
      <c r="E682" s="1379"/>
      <c r="F682" s="1379"/>
      <c r="G682" s="1379"/>
      <c r="H682" s="1379"/>
      <c r="I682" s="1379"/>
      <c r="J682" s="1379"/>
      <c r="L682" s="1379"/>
      <c r="M682" s="1379"/>
      <c r="N682" s="1379"/>
      <c r="O682" s="1379"/>
      <c r="P682" s="1379"/>
      <c r="Q682" s="1379"/>
      <c r="R682" s="1379"/>
      <c r="S682" s="1379"/>
      <c r="T682" s="1379"/>
      <c r="U682" s="1379"/>
    </row>
    <row r="683" spans="1:21" s="1380" customFormat="1">
      <c r="A683" s="1457"/>
      <c r="B683" s="1379"/>
      <c r="C683" s="1379"/>
      <c r="D683" s="1379"/>
      <c r="E683" s="1379"/>
      <c r="F683" s="1379"/>
      <c r="G683" s="1379"/>
      <c r="H683" s="1379"/>
      <c r="I683" s="1379"/>
      <c r="J683" s="1379"/>
      <c r="L683" s="1379"/>
      <c r="M683" s="1379"/>
      <c r="N683" s="1379"/>
      <c r="O683" s="1379"/>
      <c r="P683" s="1379"/>
      <c r="Q683" s="1379"/>
      <c r="R683" s="1379"/>
      <c r="S683" s="1379"/>
      <c r="T683" s="1379"/>
      <c r="U683" s="1379"/>
    </row>
    <row r="684" spans="1:21" s="1380" customFormat="1">
      <c r="A684" s="1457"/>
      <c r="B684" s="1379"/>
      <c r="C684" s="1379"/>
      <c r="D684" s="1379"/>
      <c r="E684" s="1379"/>
      <c r="F684" s="1379"/>
      <c r="G684" s="1379"/>
      <c r="H684" s="1379"/>
      <c r="I684" s="1379"/>
      <c r="J684" s="1379"/>
      <c r="L684" s="1379"/>
      <c r="M684" s="1379"/>
      <c r="N684" s="1379"/>
      <c r="O684" s="1379"/>
      <c r="P684" s="1379"/>
      <c r="Q684" s="1379"/>
      <c r="R684" s="1379"/>
      <c r="S684" s="1379"/>
      <c r="T684" s="1379"/>
      <c r="U684" s="1379"/>
    </row>
    <row r="685" spans="1:21" s="1380" customFormat="1">
      <c r="A685" s="1457"/>
      <c r="B685" s="1379"/>
      <c r="C685" s="1379"/>
      <c r="D685" s="1379"/>
      <c r="E685" s="1379"/>
      <c r="F685" s="1379"/>
      <c r="G685" s="1379"/>
      <c r="H685" s="1379"/>
      <c r="I685" s="1379"/>
      <c r="J685" s="1379"/>
      <c r="L685" s="1379"/>
      <c r="M685" s="1379"/>
      <c r="N685" s="1379"/>
      <c r="O685" s="1379"/>
      <c r="P685" s="1379"/>
      <c r="Q685" s="1379"/>
      <c r="R685" s="1379"/>
      <c r="S685" s="1379"/>
      <c r="T685" s="1379"/>
      <c r="U685" s="1379"/>
    </row>
    <row r="686" spans="1:21" s="1380" customFormat="1">
      <c r="A686" s="1457"/>
      <c r="B686" s="1379"/>
      <c r="C686" s="1379"/>
      <c r="D686" s="1379"/>
      <c r="E686" s="1379"/>
      <c r="F686" s="1379"/>
      <c r="G686" s="1379"/>
      <c r="H686" s="1379"/>
      <c r="I686" s="1379"/>
      <c r="J686" s="1379"/>
      <c r="L686" s="1379"/>
      <c r="M686" s="1379"/>
      <c r="N686" s="1379"/>
      <c r="O686" s="1379"/>
      <c r="P686" s="1379"/>
      <c r="Q686" s="1379"/>
      <c r="R686" s="1379"/>
      <c r="S686" s="1379"/>
      <c r="T686" s="1379"/>
      <c r="U686" s="1379"/>
    </row>
    <row r="687" spans="1:21" s="1380" customFormat="1">
      <c r="A687" s="1457"/>
      <c r="B687" s="1379"/>
      <c r="C687" s="1379"/>
      <c r="D687" s="1379"/>
      <c r="E687" s="1379"/>
      <c r="F687" s="1379"/>
      <c r="G687" s="1379"/>
      <c r="H687" s="1379"/>
      <c r="I687" s="1379"/>
      <c r="J687" s="1379"/>
      <c r="L687" s="1379"/>
      <c r="M687" s="1379"/>
      <c r="N687" s="1379"/>
      <c r="O687" s="1379"/>
      <c r="P687" s="1379"/>
      <c r="Q687" s="1379"/>
      <c r="R687" s="1379"/>
      <c r="S687" s="1379"/>
      <c r="T687" s="1379"/>
      <c r="U687" s="1379"/>
    </row>
    <row r="688" spans="1:21" s="1380" customFormat="1">
      <c r="A688" s="1457"/>
      <c r="B688" s="1379"/>
      <c r="C688" s="1379"/>
      <c r="D688" s="1379"/>
      <c r="E688" s="1379"/>
      <c r="F688" s="1379"/>
      <c r="G688" s="1379"/>
      <c r="H688" s="1379"/>
      <c r="I688" s="1379"/>
      <c r="J688" s="1379"/>
      <c r="L688" s="1379"/>
      <c r="M688" s="1379"/>
      <c r="N688" s="1379"/>
      <c r="O688" s="1379"/>
      <c r="P688" s="1379"/>
      <c r="Q688" s="1379"/>
      <c r="R688" s="1379"/>
      <c r="S688" s="1379"/>
      <c r="T688" s="1379"/>
      <c r="U688" s="1379"/>
    </row>
    <row r="689" spans="1:21" s="1380" customFormat="1">
      <c r="A689" s="1457"/>
      <c r="B689" s="1379"/>
      <c r="C689" s="1379"/>
      <c r="D689" s="1379"/>
      <c r="E689" s="1379"/>
      <c r="F689" s="1379"/>
      <c r="G689" s="1379"/>
      <c r="H689" s="1379"/>
      <c r="I689" s="1379"/>
      <c r="J689" s="1379"/>
      <c r="L689" s="1379"/>
      <c r="M689" s="1379"/>
      <c r="N689" s="1379"/>
      <c r="O689" s="1379"/>
      <c r="P689" s="1379"/>
      <c r="Q689" s="1379"/>
      <c r="R689" s="1379"/>
      <c r="S689" s="1379"/>
      <c r="T689" s="1379"/>
      <c r="U689" s="1379"/>
    </row>
    <row r="690" spans="1:21" s="1380" customFormat="1">
      <c r="A690" s="1457"/>
      <c r="B690" s="1379"/>
      <c r="C690" s="1379"/>
      <c r="D690" s="1379"/>
      <c r="E690" s="1379"/>
      <c r="F690" s="1379"/>
      <c r="G690" s="1379"/>
      <c r="H690" s="1379"/>
      <c r="I690" s="1379"/>
      <c r="J690" s="1379"/>
      <c r="L690" s="1379"/>
      <c r="M690" s="1379"/>
      <c r="N690" s="1379"/>
      <c r="O690" s="1379"/>
      <c r="P690" s="1379"/>
      <c r="Q690" s="1379"/>
      <c r="R690" s="1379"/>
      <c r="S690" s="1379"/>
      <c r="T690" s="1379"/>
      <c r="U690" s="1379"/>
    </row>
    <row r="691" spans="1:21" s="1380" customFormat="1">
      <c r="A691" s="1457"/>
      <c r="B691" s="1379"/>
      <c r="C691" s="1379"/>
      <c r="D691" s="1379"/>
      <c r="E691" s="1379"/>
      <c r="F691" s="1379"/>
      <c r="G691" s="1379"/>
      <c r="H691" s="1379"/>
      <c r="I691" s="1379"/>
      <c r="J691" s="1379"/>
      <c r="L691" s="1379"/>
      <c r="M691" s="1379"/>
      <c r="N691" s="1379"/>
      <c r="O691" s="1379"/>
      <c r="P691" s="1379"/>
      <c r="Q691" s="1379"/>
      <c r="R691" s="1379"/>
      <c r="S691" s="1379"/>
      <c r="T691" s="1379"/>
      <c r="U691" s="1379"/>
    </row>
    <row r="692" spans="1:21" s="1380" customFormat="1">
      <c r="A692" s="1457"/>
      <c r="B692" s="1379"/>
      <c r="C692" s="1379"/>
      <c r="D692" s="1379"/>
      <c r="E692" s="1379"/>
      <c r="F692" s="1379"/>
      <c r="G692" s="1379"/>
      <c r="H692" s="1379"/>
      <c r="I692" s="1379"/>
      <c r="J692" s="1379"/>
      <c r="L692" s="1379"/>
      <c r="M692" s="1379"/>
      <c r="N692" s="1379"/>
      <c r="O692" s="1379"/>
      <c r="P692" s="1379"/>
      <c r="Q692" s="1379"/>
      <c r="R692" s="1379"/>
      <c r="S692" s="1379"/>
      <c r="T692" s="1379"/>
      <c r="U692" s="1379"/>
    </row>
    <row r="693" spans="1:21" s="1380" customFormat="1">
      <c r="A693" s="1457"/>
      <c r="B693" s="1379"/>
      <c r="C693" s="1379"/>
      <c r="D693" s="1379"/>
      <c r="E693" s="1379"/>
      <c r="F693" s="1379"/>
      <c r="G693" s="1379"/>
      <c r="H693" s="1379"/>
      <c r="I693" s="1379"/>
      <c r="J693" s="1379"/>
      <c r="L693" s="1379"/>
      <c r="M693" s="1379"/>
      <c r="N693" s="1379"/>
      <c r="O693" s="1379"/>
      <c r="P693" s="1379"/>
      <c r="Q693" s="1379"/>
      <c r="R693" s="1379"/>
      <c r="S693" s="1379"/>
      <c r="T693" s="1379"/>
      <c r="U693" s="1379"/>
    </row>
    <row r="694" spans="1:21" s="1380" customFormat="1">
      <c r="A694" s="1457"/>
      <c r="B694" s="1379"/>
      <c r="C694" s="1379"/>
      <c r="D694" s="1379"/>
      <c r="E694" s="1379"/>
      <c r="F694" s="1379"/>
      <c r="G694" s="1379"/>
      <c r="H694" s="1379"/>
      <c r="I694" s="1379"/>
      <c r="J694" s="1379"/>
      <c r="L694" s="1379"/>
      <c r="M694" s="1379"/>
      <c r="N694" s="1379"/>
      <c r="O694" s="1379"/>
      <c r="P694" s="1379"/>
      <c r="Q694" s="1379"/>
      <c r="R694" s="1379"/>
      <c r="S694" s="1379"/>
      <c r="T694" s="1379"/>
      <c r="U694" s="1379"/>
    </row>
    <row r="695" spans="1:21" s="1380" customFormat="1">
      <c r="A695" s="1457"/>
      <c r="B695" s="1379"/>
      <c r="C695" s="1379"/>
      <c r="D695" s="1379"/>
      <c r="E695" s="1379"/>
      <c r="F695" s="1379"/>
      <c r="G695" s="1379"/>
      <c r="H695" s="1379"/>
      <c r="I695" s="1379"/>
      <c r="J695" s="1379"/>
      <c r="L695" s="1379"/>
      <c r="M695" s="1379"/>
      <c r="N695" s="1379"/>
      <c r="O695" s="1379"/>
      <c r="P695" s="1379"/>
      <c r="Q695" s="1379"/>
      <c r="R695" s="1379"/>
      <c r="S695" s="1379"/>
      <c r="T695" s="1379"/>
      <c r="U695" s="1379"/>
    </row>
    <row r="696" spans="1:21" s="1380" customFormat="1">
      <c r="A696" s="1457"/>
      <c r="B696" s="1379"/>
      <c r="C696" s="1379"/>
      <c r="D696" s="1379"/>
      <c r="E696" s="1379"/>
      <c r="F696" s="1379"/>
      <c r="G696" s="1379"/>
      <c r="H696" s="1379"/>
      <c r="I696" s="1379"/>
      <c r="J696" s="1379"/>
      <c r="L696" s="1379"/>
      <c r="M696" s="1379"/>
      <c r="N696" s="1379"/>
      <c r="O696" s="1379"/>
      <c r="P696" s="1379"/>
      <c r="Q696" s="1379"/>
      <c r="R696" s="1379"/>
      <c r="S696" s="1379"/>
      <c r="T696" s="1379"/>
      <c r="U696" s="1379"/>
    </row>
    <row r="697" spans="1:21" s="1380" customFormat="1">
      <c r="A697" s="1457"/>
      <c r="B697" s="1379"/>
      <c r="C697" s="1379"/>
      <c r="D697" s="1379"/>
      <c r="E697" s="1379"/>
      <c r="F697" s="1379"/>
      <c r="G697" s="1379"/>
      <c r="H697" s="1379"/>
      <c r="I697" s="1379"/>
      <c r="J697" s="1379"/>
      <c r="L697" s="1379"/>
      <c r="M697" s="1379"/>
      <c r="N697" s="1379"/>
      <c r="O697" s="1379"/>
      <c r="P697" s="1379"/>
      <c r="Q697" s="1379"/>
      <c r="R697" s="1379"/>
      <c r="S697" s="1379"/>
      <c r="T697" s="1379"/>
      <c r="U697" s="1379"/>
    </row>
    <row r="698" spans="1:21" s="1380" customFormat="1">
      <c r="A698" s="1457"/>
      <c r="B698" s="1379"/>
      <c r="C698" s="1379"/>
      <c r="D698" s="1379"/>
      <c r="E698" s="1379"/>
      <c r="F698" s="1379"/>
      <c r="G698" s="1379"/>
      <c r="H698" s="1379"/>
      <c r="I698" s="1379"/>
      <c r="J698" s="1379"/>
      <c r="L698" s="1379"/>
      <c r="M698" s="1379"/>
      <c r="N698" s="1379"/>
      <c r="O698" s="1379"/>
      <c r="P698" s="1379"/>
      <c r="Q698" s="1379"/>
      <c r="R698" s="1379"/>
      <c r="S698" s="1379"/>
      <c r="T698" s="1379"/>
      <c r="U698" s="1379"/>
    </row>
    <row r="699" spans="1:21" s="1380" customFormat="1">
      <c r="A699" s="1457"/>
      <c r="B699" s="1379"/>
      <c r="C699" s="1379"/>
      <c r="D699" s="1379"/>
      <c r="E699" s="1379"/>
      <c r="F699" s="1379"/>
      <c r="G699" s="1379"/>
      <c r="H699" s="1379"/>
      <c r="I699" s="1379"/>
      <c r="J699" s="1379"/>
      <c r="L699" s="1379"/>
      <c r="M699" s="1379"/>
      <c r="N699" s="1379"/>
      <c r="O699" s="1379"/>
      <c r="P699" s="1379"/>
      <c r="Q699" s="1379"/>
      <c r="R699" s="1379"/>
      <c r="S699" s="1379"/>
      <c r="T699" s="1379"/>
      <c r="U699" s="1379"/>
    </row>
    <row r="700" spans="1:21" s="1380" customFormat="1">
      <c r="A700" s="1457"/>
      <c r="B700" s="1379"/>
      <c r="C700" s="1379"/>
      <c r="D700" s="1379"/>
      <c r="E700" s="1379"/>
      <c r="F700" s="1379"/>
      <c r="G700" s="1379"/>
      <c r="H700" s="1379"/>
      <c r="I700" s="1379"/>
      <c r="J700" s="1379"/>
      <c r="L700" s="1379"/>
      <c r="M700" s="1379"/>
      <c r="N700" s="1379"/>
      <c r="O700" s="1379"/>
      <c r="P700" s="1379"/>
      <c r="Q700" s="1379"/>
      <c r="R700" s="1379"/>
      <c r="S700" s="1379"/>
      <c r="T700" s="1379"/>
      <c r="U700" s="1379"/>
    </row>
    <row r="701" spans="1:21" s="1380" customFormat="1">
      <c r="A701" s="1457"/>
      <c r="B701" s="1379"/>
      <c r="C701" s="1379"/>
      <c r="D701" s="1379"/>
      <c r="E701" s="1379"/>
      <c r="F701" s="1379"/>
      <c r="G701" s="1379"/>
      <c r="H701" s="1379"/>
      <c r="I701" s="1379"/>
      <c r="J701" s="1379"/>
      <c r="L701" s="1379"/>
      <c r="M701" s="1379"/>
      <c r="N701" s="1379"/>
      <c r="O701" s="1379"/>
      <c r="P701" s="1379"/>
      <c r="Q701" s="1379"/>
      <c r="R701" s="1379"/>
      <c r="S701" s="1379"/>
      <c r="T701" s="1379"/>
      <c r="U701" s="1379"/>
    </row>
    <row r="702" spans="1:21" s="1380" customFormat="1">
      <c r="A702" s="1457"/>
      <c r="B702" s="1379"/>
      <c r="C702" s="1379"/>
      <c r="D702" s="1379"/>
      <c r="E702" s="1379"/>
      <c r="F702" s="1379"/>
      <c r="G702" s="1379"/>
      <c r="H702" s="1379"/>
      <c r="I702" s="1379"/>
      <c r="J702" s="1379"/>
      <c r="L702" s="1379"/>
      <c r="M702" s="1379"/>
      <c r="N702" s="1379"/>
      <c r="O702" s="1379"/>
      <c r="P702" s="1379"/>
      <c r="Q702" s="1379"/>
      <c r="R702" s="1379"/>
      <c r="S702" s="1379"/>
      <c r="T702" s="1379"/>
      <c r="U702" s="1379"/>
    </row>
    <row r="703" spans="1:21" s="1380" customFormat="1">
      <c r="A703" s="1457"/>
      <c r="B703" s="1379"/>
      <c r="C703" s="1379"/>
      <c r="D703" s="1379"/>
      <c r="E703" s="1379"/>
      <c r="F703" s="1379"/>
      <c r="G703" s="1379"/>
      <c r="H703" s="1379"/>
      <c r="I703" s="1379"/>
      <c r="J703" s="1379"/>
      <c r="L703" s="1379"/>
      <c r="M703" s="1379"/>
      <c r="N703" s="1379"/>
      <c r="O703" s="1379"/>
      <c r="P703" s="1379"/>
      <c r="Q703" s="1379"/>
      <c r="R703" s="1379"/>
      <c r="S703" s="1379"/>
      <c r="T703" s="1379"/>
      <c r="U703" s="1379"/>
    </row>
    <row r="704" spans="1:21" s="1380" customFormat="1">
      <c r="A704" s="1457"/>
      <c r="B704" s="1379"/>
      <c r="C704" s="1379"/>
      <c r="D704" s="1379"/>
      <c r="E704" s="1379"/>
      <c r="F704" s="1379"/>
      <c r="G704" s="1379"/>
      <c r="H704" s="1379"/>
      <c r="I704" s="1379"/>
      <c r="J704" s="1379"/>
      <c r="L704" s="1379"/>
      <c r="M704" s="1379"/>
      <c r="N704" s="1379"/>
      <c r="O704" s="1379"/>
      <c r="P704" s="1379"/>
      <c r="Q704" s="1379"/>
      <c r="R704" s="1379"/>
      <c r="S704" s="1379"/>
      <c r="T704" s="1379"/>
      <c r="U704" s="1379"/>
    </row>
    <row r="705" spans="1:21" s="1380" customFormat="1">
      <c r="A705" s="1457"/>
      <c r="B705" s="1379"/>
      <c r="C705" s="1379"/>
      <c r="D705" s="1379"/>
      <c r="E705" s="1379"/>
      <c r="F705" s="1379"/>
      <c r="G705" s="1379"/>
      <c r="H705" s="1379"/>
      <c r="I705" s="1379"/>
      <c r="J705" s="1379"/>
      <c r="L705" s="1379"/>
      <c r="M705" s="1379"/>
      <c r="N705" s="1379"/>
      <c r="O705" s="1379"/>
      <c r="P705" s="1379"/>
      <c r="Q705" s="1379"/>
      <c r="R705" s="1379"/>
      <c r="S705" s="1379"/>
      <c r="T705" s="1379"/>
      <c r="U705" s="1379"/>
    </row>
    <row r="706" spans="1:21" s="1380" customFormat="1">
      <c r="A706" s="1457"/>
      <c r="B706" s="1379"/>
      <c r="C706" s="1379"/>
      <c r="D706" s="1379"/>
      <c r="E706" s="1379"/>
      <c r="F706" s="1379"/>
      <c r="G706" s="1379"/>
      <c r="H706" s="1379"/>
      <c r="I706" s="1379"/>
      <c r="J706" s="1379"/>
      <c r="L706" s="1379"/>
      <c r="M706" s="1379"/>
      <c r="N706" s="1379"/>
      <c r="O706" s="1379"/>
      <c r="P706" s="1379"/>
      <c r="Q706" s="1379"/>
      <c r="R706" s="1379"/>
      <c r="S706" s="1379"/>
      <c r="T706" s="1379"/>
      <c r="U706" s="1379"/>
    </row>
    <row r="707" spans="1:21" s="1380" customFormat="1">
      <c r="A707" s="1457"/>
      <c r="B707" s="1379"/>
      <c r="C707" s="1379"/>
      <c r="D707" s="1379"/>
      <c r="E707" s="1379"/>
      <c r="F707" s="1379"/>
      <c r="G707" s="1379"/>
      <c r="H707" s="1379"/>
      <c r="I707" s="1379"/>
      <c r="J707" s="1379"/>
      <c r="L707" s="1379"/>
      <c r="M707" s="1379"/>
      <c r="N707" s="1379"/>
      <c r="O707" s="1379"/>
      <c r="P707" s="1379"/>
      <c r="Q707" s="1379"/>
      <c r="R707" s="1379"/>
      <c r="S707" s="1379"/>
      <c r="T707" s="1379"/>
      <c r="U707" s="1379"/>
    </row>
    <row r="708" spans="1:21" s="1380" customFormat="1">
      <c r="A708" s="1457"/>
      <c r="B708" s="1379"/>
      <c r="C708" s="1379"/>
      <c r="D708" s="1379"/>
      <c r="E708" s="1379"/>
      <c r="F708" s="1379"/>
      <c r="G708" s="1379"/>
      <c r="H708" s="1379"/>
      <c r="I708" s="1379"/>
      <c r="J708" s="1379"/>
      <c r="L708" s="1379"/>
      <c r="M708" s="1379"/>
      <c r="N708" s="1379"/>
      <c r="O708" s="1379"/>
      <c r="P708" s="1379"/>
      <c r="Q708" s="1379"/>
      <c r="R708" s="1379"/>
      <c r="S708" s="1379"/>
      <c r="T708" s="1379"/>
      <c r="U708" s="1379"/>
    </row>
    <row r="709" spans="1:21" s="1380" customFormat="1">
      <c r="A709" s="1457"/>
      <c r="B709" s="1379"/>
      <c r="C709" s="1379"/>
      <c r="D709" s="1379"/>
      <c r="E709" s="1379"/>
      <c r="F709" s="1379"/>
      <c r="G709" s="1379"/>
      <c r="H709" s="1379"/>
      <c r="I709" s="1379"/>
      <c r="J709" s="1379"/>
      <c r="L709" s="1379"/>
      <c r="M709" s="1379"/>
      <c r="N709" s="1379"/>
      <c r="O709" s="1379"/>
      <c r="P709" s="1379"/>
      <c r="Q709" s="1379"/>
      <c r="R709" s="1379"/>
      <c r="S709" s="1379"/>
      <c r="T709" s="1379"/>
      <c r="U709" s="1379"/>
    </row>
    <row r="710" spans="1:21" s="1380" customFormat="1">
      <c r="A710" s="1457"/>
      <c r="B710" s="1379"/>
      <c r="C710" s="1379"/>
      <c r="D710" s="1379"/>
      <c r="E710" s="1379"/>
      <c r="F710" s="1379"/>
      <c r="G710" s="1379"/>
      <c r="H710" s="1379"/>
      <c r="I710" s="1379"/>
      <c r="J710" s="1379"/>
      <c r="L710" s="1379"/>
      <c r="M710" s="1379"/>
      <c r="N710" s="1379"/>
      <c r="O710" s="1379"/>
      <c r="P710" s="1379"/>
      <c r="Q710" s="1379"/>
      <c r="R710" s="1379"/>
      <c r="S710" s="1379"/>
      <c r="T710" s="1379"/>
      <c r="U710" s="1379"/>
    </row>
    <row r="711" spans="1:21" s="1380" customFormat="1">
      <c r="A711" s="1457"/>
      <c r="B711" s="1379"/>
      <c r="C711" s="1379"/>
      <c r="D711" s="1379"/>
      <c r="E711" s="1379"/>
      <c r="F711" s="1379"/>
      <c r="G711" s="1379"/>
      <c r="H711" s="1379"/>
      <c r="I711" s="1379"/>
      <c r="J711" s="1379"/>
      <c r="L711" s="1379"/>
      <c r="M711" s="1379"/>
      <c r="N711" s="1379"/>
      <c r="O711" s="1379"/>
      <c r="P711" s="1379"/>
      <c r="Q711" s="1379"/>
      <c r="R711" s="1379"/>
      <c r="S711" s="1379"/>
      <c r="T711" s="1379"/>
      <c r="U711" s="1379"/>
    </row>
    <row r="712" spans="1:21" s="1380" customFormat="1">
      <c r="A712" s="1457"/>
      <c r="B712" s="1379"/>
      <c r="C712" s="1379"/>
      <c r="D712" s="1379"/>
      <c r="E712" s="1379"/>
      <c r="F712" s="1379"/>
      <c r="G712" s="1379"/>
      <c r="H712" s="1379"/>
      <c r="I712" s="1379"/>
      <c r="J712" s="1379"/>
      <c r="L712" s="1379"/>
      <c r="M712" s="1379"/>
      <c r="N712" s="1379"/>
      <c r="O712" s="1379"/>
      <c r="P712" s="1379"/>
      <c r="Q712" s="1379"/>
      <c r="R712" s="1379"/>
      <c r="S712" s="1379"/>
      <c r="T712" s="1379"/>
      <c r="U712" s="1379"/>
    </row>
    <row r="713" spans="1:21" s="1380" customFormat="1">
      <c r="A713" s="1457"/>
      <c r="B713" s="1379"/>
      <c r="C713" s="1379"/>
      <c r="D713" s="1379"/>
      <c r="E713" s="1379"/>
      <c r="F713" s="1379"/>
      <c r="G713" s="1379"/>
      <c r="H713" s="1379"/>
      <c r="I713" s="1379"/>
      <c r="J713" s="1379"/>
      <c r="L713" s="1379"/>
      <c r="M713" s="1379"/>
      <c r="N713" s="1379"/>
      <c r="O713" s="1379"/>
      <c r="P713" s="1379"/>
      <c r="Q713" s="1379"/>
      <c r="R713" s="1379"/>
      <c r="S713" s="1379"/>
      <c r="T713" s="1379"/>
      <c r="U713" s="1379"/>
    </row>
    <row r="714" spans="1:21" s="1380" customFormat="1">
      <c r="A714" s="1457"/>
      <c r="B714" s="1379"/>
      <c r="C714" s="1379"/>
      <c r="D714" s="1379"/>
      <c r="E714" s="1379"/>
      <c r="F714" s="1379"/>
      <c r="G714" s="1379"/>
      <c r="H714" s="1379"/>
      <c r="I714" s="1379"/>
      <c r="J714" s="1379"/>
      <c r="L714" s="1379"/>
      <c r="M714" s="1379"/>
      <c r="N714" s="1379"/>
      <c r="O714" s="1379"/>
      <c r="P714" s="1379"/>
      <c r="Q714" s="1379"/>
      <c r="R714" s="1379"/>
      <c r="S714" s="1379"/>
      <c r="T714" s="1379"/>
      <c r="U714" s="1379"/>
    </row>
    <row r="715" spans="1:21" s="1380" customFormat="1">
      <c r="A715" s="1457"/>
      <c r="B715" s="1379"/>
      <c r="C715" s="1379"/>
      <c r="D715" s="1379"/>
      <c r="E715" s="1379"/>
      <c r="F715" s="1379"/>
      <c r="G715" s="1379"/>
      <c r="H715" s="1379"/>
      <c r="I715" s="1379"/>
      <c r="J715" s="1379"/>
      <c r="L715" s="1379"/>
      <c r="M715" s="1379"/>
      <c r="N715" s="1379"/>
      <c r="O715" s="1379"/>
      <c r="P715" s="1379"/>
      <c r="Q715" s="1379"/>
      <c r="R715" s="1379"/>
      <c r="S715" s="1379"/>
      <c r="T715" s="1379"/>
      <c r="U715" s="1379"/>
    </row>
    <row r="716" spans="1:21" s="1380" customFormat="1">
      <c r="A716" s="1457"/>
      <c r="B716" s="1379"/>
      <c r="C716" s="1379"/>
      <c r="D716" s="1379"/>
      <c r="E716" s="1379"/>
      <c r="F716" s="1379"/>
      <c r="G716" s="1379"/>
      <c r="H716" s="1379"/>
      <c r="I716" s="1379"/>
      <c r="J716" s="1379"/>
      <c r="L716" s="1379"/>
      <c r="M716" s="1379"/>
      <c r="N716" s="1379"/>
      <c r="O716" s="1379"/>
      <c r="P716" s="1379"/>
      <c r="Q716" s="1379"/>
      <c r="R716" s="1379"/>
      <c r="S716" s="1379"/>
      <c r="T716" s="1379"/>
      <c r="U716" s="1379"/>
    </row>
    <row r="717" spans="1:21" s="1380" customFormat="1">
      <c r="A717" s="1457"/>
      <c r="B717" s="1379"/>
      <c r="C717" s="1379"/>
      <c r="D717" s="1379"/>
      <c r="E717" s="1379"/>
      <c r="F717" s="1379"/>
      <c r="G717" s="1379"/>
      <c r="H717" s="1379"/>
      <c r="I717" s="1379"/>
      <c r="J717" s="1379"/>
      <c r="L717" s="1379"/>
      <c r="M717" s="1379"/>
      <c r="N717" s="1379"/>
      <c r="O717" s="1379"/>
      <c r="P717" s="1379"/>
      <c r="Q717" s="1379"/>
      <c r="R717" s="1379"/>
      <c r="S717" s="1379"/>
      <c r="T717" s="1379"/>
      <c r="U717" s="1379"/>
    </row>
    <row r="718" spans="1:21" s="1380" customFormat="1">
      <c r="A718" s="1457"/>
      <c r="B718" s="1379"/>
      <c r="C718" s="1379"/>
      <c r="D718" s="1379"/>
      <c r="E718" s="1379"/>
      <c r="F718" s="1379"/>
      <c r="G718" s="1379"/>
      <c r="H718" s="1379"/>
      <c r="I718" s="1379"/>
      <c r="J718" s="1379"/>
      <c r="L718" s="1379"/>
      <c r="M718" s="1379"/>
      <c r="N718" s="1379"/>
      <c r="O718" s="1379"/>
      <c r="P718" s="1379"/>
      <c r="Q718" s="1379"/>
      <c r="R718" s="1379"/>
      <c r="S718" s="1379"/>
      <c r="T718" s="1379"/>
      <c r="U718" s="1379"/>
    </row>
    <row r="719" spans="1:21" s="1380" customFormat="1">
      <c r="A719" s="1457"/>
      <c r="B719" s="1379"/>
      <c r="C719" s="1379"/>
      <c r="D719" s="1379"/>
      <c r="E719" s="1379"/>
      <c r="F719" s="1379"/>
      <c r="G719" s="1379"/>
      <c r="H719" s="1379"/>
      <c r="I719" s="1379"/>
      <c r="J719" s="1379"/>
      <c r="L719" s="1379"/>
      <c r="M719" s="1379"/>
      <c r="N719" s="1379"/>
      <c r="O719" s="1379"/>
      <c r="P719" s="1379"/>
      <c r="Q719" s="1379"/>
      <c r="R719" s="1379"/>
      <c r="S719" s="1379"/>
      <c r="T719" s="1379"/>
      <c r="U719" s="1379"/>
    </row>
    <row r="720" spans="1:21" s="1380" customFormat="1">
      <c r="A720" s="1457"/>
      <c r="B720" s="1379"/>
      <c r="C720" s="1379"/>
      <c r="D720" s="1379"/>
      <c r="E720" s="1379"/>
      <c r="F720" s="1379"/>
      <c r="G720" s="1379"/>
      <c r="H720" s="1379"/>
      <c r="I720" s="1379"/>
      <c r="J720" s="1379"/>
      <c r="L720" s="1379"/>
      <c r="M720" s="1379"/>
      <c r="N720" s="1379"/>
      <c r="O720" s="1379"/>
      <c r="P720" s="1379"/>
      <c r="Q720" s="1379"/>
      <c r="R720" s="1379"/>
      <c r="S720" s="1379"/>
      <c r="T720" s="1379"/>
      <c r="U720" s="1379"/>
    </row>
    <row r="721" spans="1:21" s="1380" customFormat="1">
      <c r="A721" s="1457"/>
      <c r="B721" s="1379"/>
      <c r="C721" s="1379"/>
      <c r="D721" s="1379"/>
      <c r="E721" s="1379"/>
      <c r="F721" s="1379"/>
      <c r="G721" s="1379"/>
      <c r="H721" s="1379"/>
      <c r="I721" s="1379"/>
      <c r="J721" s="1379"/>
      <c r="L721" s="1379"/>
      <c r="M721" s="1379"/>
      <c r="N721" s="1379"/>
      <c r="O721" s="1379"/>
      <c r="P721" s="1379"/>
      <c r="Q721" s="1379"/>
      <c r="R721" s="1379"/>
      <c r="S721" s="1379"/>
      <c r="T721" s="1379"/>
      <c r="U721" s="1379"/>
    </row>
    <row r="722" spans="1:21" s="1380" customFormat="1">
      <c r="A722" s="1457"/>
      <c r="B722" s="1379"/>
      <c r="C722" s="1379"/>
      <c r="D722" s="1379"/>
      <c r="E722" s="1379"/>
      <c r="F722" s="1379"/>
      <c r="G722" s="1379"/>
      <c r="H722" s="1379"/>
      <c r="I722" s="1379"/>
      <c r="J722" s="1379"/>
      <c r="L722" s="1379"/>
      <c r="M722" s="1379"/>
      <c r="N722" s="1379"/>
      <c r="O722" s="1379"/>
      <c r="P722" s="1379"/>
      <c r="Q722" s="1379"/>
      <c r="R722" s="1379"/>
      <c r="S722" s="1379"/>
      <c r="T722" s="1379"/>
      <c r="U722" s="1379"/>
    </row>
    <row r="723" spans="1:21" s="1380" customFormat="1">
      <c r="A723" s="1457"/>
      <c r="B723" s="1379"/>
      <c r="C723" s="1379"/>
      <c r="D723" s="1379"/>
      <c r="E723" s="1379"/>
      <c r="F723" s="1379"/>
      <c r="G723" s="1379"/>
      <c r="H723" s="1379"/>
      <c r="I723" s="1379"/>
      <c r="J723" s="1379"/>
      <c r="L723" s="1379"/>
      <c r="M723" s="1379"/>
      <c r="N723" s="1379"/>
      <c r="O723" s="1379"/>
      <c r="P723" s="1379"/>
      <c r="Q723" s="1379"/>
      <c r="R723" s="1379"/>
      <c r="S723" s="1379"/>
      <c r="T723" s="1379"/>
      <c r="U723" s="1379"/>
    </row>
    <row r="724" spans="1:21" s="1380" customFormat="1">
      <c r="A724" s="1457"/>
      <c r="B724" s="1379"/>
      <c r="C724" s="1379"/>
      <c r="D724" s="1379"/>
      <c r="E724" s="1379"/>
      <c r="F724" s="1379"/>
      <c r="G724" s="1379"/>
      <c r="H724" s="1379"/>
      <c r="I724" s="1379"/>
      <c r="J724" s="1379"/>
      <c r="L724" s="1379"/>
      <c r="M724" s="1379"/>
      <c r="N724" s="1379"/>
      <c r="O724" s="1379"/>
      <c r="P724" s="1379"/>
      <c r="Q724" s="1379"/>
      <c r="R724" s="1379"/>
      <c r="S724" s="1379"/>
      <c r="T724" s="1379"/>
      <c r="U724" s="1379"/>
    </row>
    <row r="725" spans="1:21" s="1380" customFormat="1">
      <c r="A725" s="1457"/>
      <c r="B725" s="1379"/>
      <c r="C725" s="1379"/>
      <c r="D725" s="1379"/>
      <c r="E725" s="1379"/>
      <c r="F725" s="1379"/>
      <c r="G725" s="1379"/>
      <c r="H725" s="1379"/>
      <c r="I725" s="1379"/>
      <c r="J725" s="1379"/>
      <c r="L725" s="1379"/>
      <c r="M725" s="1379"/>
      <c r="N725" s="1379"/>
      <c r="O725" s="1379"/>
      <c r="P725" s="1379"/>
      <c r="Q725" s="1379"/>
      <c r="R725" s="1379"/>
      <c r="S725" s="1379"/>
      <c r="T725" s="1379"/>
      <c r="U725" s="1379"/>
    </row>
    <row r="726" spans="1:21" s="1380" customFormat="1">
      <c r="A726" s="1457"/>
      <c r="B726" s="1379"/>
      <c r="C726" s="1379"/>
      <c r="D726" s="1379"/>
      <c r="E726" s="1379"/>
      <c r="F726" s="1379"/>
      <c r="G726" s="1379"/>
      <c r="H726" s="1379"/>
      <c r="I726" s="1379"/>
      <c r="J726" s="1379"/>
      <c r="L726" s="1379"/>
      <c r="M726" s="1379"/>
      <c r="N726" s="1379"/>
      <c r="O726" s="1379"/>
      <c r="P726" s="1379"/>
      <c r="Q726" s="1379"/>
      <c r="R726" s="1379"/>
      <c r="S726" s="1379"/>
      <c r="T726" s="1379"/>
      <c r="U726" s="1379"/>
    </row>
    <row r="727" spans="1:21" s="1380" customFormat="1">
      <c r="A727" s="1457"/>
      <c r="B727" s="1379"/>
      <c r="C727" s="1379"/>
      <c r="D727" s="1379"/>
      <c r="E727" s="1379"/>
      <c r="F727" s="1379"/>
      <c r="G727" s="1379"/>
      <c r="H727" s="1379"/>
      <c r="I727" s="1379"/>
      <c r="J727" s="1379"/>
      <c r="L727" s="1379"/>
      <c r="M727" s="1379"/>
      <c r="N727" s="1379"/>
      <c r="O727" s="1379"/>
      <c r="P727" s="1379"/>
      <c r="Q727" s="1379"/>
      <c r="R727" s="1379"/>
      <c r="S727" s="1379"/>
      <c r="T727" s="1379"/>
      <c r="U727" s="1379"/>
    </row>
    <row r="728" spans="1:21" s="1380" customFormat="1">
      <c r="A728" s="1457"/>
      <c r="B728" s="1379"/>
      <c r="C728" s="1379"/>
      <c r="D728" s="1379"/>
      <c r="E728" s="1379"/>
      <c r="F728" s="1379"/>
      <c r="G728" s="1379"/>
      <c r="H728" s="1379"/>
      <c r="I728" s="1379"/>
      <c r="J728" s="1379"/>
      <c r="L728" s="1379"/>
      <c r="M728" s="1379"/>
      <c r="N728" s="1379"/>
      <c r="O728" s="1379"/>
      <c r="P728" s="1379"/>
      <c r="Q728" s="1379"/>
      <c r="R728" s="1379"/>
      <c r="S728" s="1379"/>
      <c r="T728" s="1379"/>
      <c r="U728" s="1379"/>
    </row>
    <row r="729" spans="1:21" s="1380" customFormat="1">
      <c r="A729" s="1457"/>
      <c r="B729" s="1379"/>
      <c r="C729" s="1379"/>
      <c r="D729" s="1379"/>
      <c r="E729" s="1379"/>
      <c r="F729" s="1379"/>
      <c r="G729" s="1379"/>
      <c r="H729" s="1379"/>
      <c r="I729" s="1379"/>
      <c r="J729" s="1379"/>
      <c r="L729" s="1379"/>
      <c r="M729" s="1379"/>
      <c r="N729" s="1379"/>
      <c r="O729" s="1379"/>
      <c r="P729" s="1379"/>
      <c r="Q729" s="1379"/>
      <c r="R729" s="1379"/>
      <c r="S729" s="1379"/>
      <c r="T729" s="1379"/>
      <c r="U729" s="1379"/>
    </row>
    <row r="730" spans="1:21" s="1380" customFormat="1">
      <c r="A730" s="1457"/>
      <c r="B730" s="1379"/>
      <c r="C730" s="1379"/>
      <c r="D730" s="1379"/>
      <c r="E730" s="1379"/>
      <c r="F730" s="1379"/>
      <c r="G730" s="1379"/>
      <c r="H730" s="1379"/>
      <c r="I730" s="1379"/>
      <c r="J730" s="1379"/>
      <c r="L730" s="1379"/>
      <c r="M730" s="1379"/>
      <c r="N730" s="1379"/>
      <c r="O730" s="1379"/>
      <c r="P730" s="1379"/>
      <c r="Q730" s="1379"/>
      <c r="R730" s="1379"/>
      <c r="S730" s="1379"/>
      <c r="T730" s="1379"/>
      <c r="U730" s="1379"/>
    </row>
    <row r="731" spans="1:21" s="1380" customFormat="1">
      <c r="A731" s="1457"/>
      <c r="B731" s="1379"/>
      <c r="C731" s="1379"/>
      <c r="D731" s="1379"/>
      <c r="E731" s="1379"/>
      <c r="F731" s="1379"/>
      <c r="G731" s="1379"/>
      <c r="H731" s="1379"/>
      <c r="I731" s="1379"/>
      <c r="J731" s="1379"/>
      <c r="L731" s="1379"/>
      <c r="M731" s="1379"/>
      <c r="N731" s="1379"/>
      <c r="O731" s="1379"/>
      <c r="P731" s="1379"/>
      <c r="Q731" s="1379"/>
      <c r="R731" s="1379"/>
      <c r="S731" s="1379"/>
      <c r="T731" s="1379"/>
      <c r="U731" s="1379"/>
    </row>
    <row r="732" spans="1:21" s="1380" customFormat="1">
      <c r="A732" s="1457"/>
      <c r="B732" s="1379"/>
      <c r="C732" s="1379"/>
      <c r="D732" s="1379"/>
      <c r="E732" s="1379"/>
      <c r="F732" s="1379"/>
      <c r="G732" s="1379"/>
      <c r="H732" s="1379"/>
      <c r="I732" s="1379"/>
      <c r="J732" s="1379"/>
      <c r="L732" s="1379"/>
      <c r="M732" s="1379"/>
      <c r="N732" s="1379"/>
      <c r="O732" s="1379"/>
      <c r="P732" s="1379"/>
      <c r="Q732" s="1379"/>
      <c r="R732" s="1379"/>
      <c r="S732" s="1379"/>
      <c r="T732" s="1379"/>
      <c r="U732" s="1379"/>
    </row>
    <row r="733" spans="1:21" s="1380" customFormat="1">
      <c r="A733" s="1457"/>
      <c r="B733" s="1379"/>
      <c r="C733" s="1379"/>
      <c r="D733" s="1379"/>
      <c r="E733" s="1379"/>
      <c r="F733" s="1379"/>
      <c r="G733" s="1379"/>
      <c r="H733" s="1379"/>
      <c r="I733" s="1379"/>
      <c r="J733" s="1379"/>
      <c r="L733" s="1379"/>
      <c r="M733" s="1379"/>
      <c r="N733" s="1379"/>
      <c r="O733" s="1379"/>
      <c r="P733" s="1379"/>
      <c r="Q733" s="1379"/>
      <c r="R733" s="1379"/>
      <c r="S733" s="1379"/>
      <c r="T733" s="1379"/>
      <c r="U733" s="1379"/>
    </row>
    <row r="734" spans="1:21" s="1380" customFormat="1">
      <c r="A734" s="1457"/>
      <c r="B734" s="1379"/>
      <c r="C734" s="1379"/>
      <c r="D734" s="1379"/>
      <c r="E734" s="1379"/>
      <c r="F734" s="1379"/>
      <c r="G734" s="1379"/>
      <c r="H734" s="1379"/>
      <c r="I734" s="1379"/>
      <c r="J734" s="1379"/>
      <c r="L734" s="1379"/>
      <c r="M734" s="1379"/>
      <c r="N734" s="1379"/>
      <c r="O734" s="1379"/>
      <c r="P734" s="1379"/>
      <c r="Q734" s="1379"/>
      <c r="R734" s="1379"/>
      <c r="S734" s="1379"/>
      <c r="T734" s="1379"/>
      <c r="U734" s="1379"/>
    </row>
    <row r="735" spans="1:21" s="1380" customFormat="1">
      <c r="A735" s="1457"/>
      <c r="B735" s="1379"/>
      <c r="C735" s="1379"/>
      <c r="D735" s="1379"/>
      <c r="E735" s="1379"/>
      <c r="F735" s="1379"/>
      <c r="G735" s="1379"/>
      <c r="H735" s="1379"/>
      <c r="I735" s="1379"/>
      <c r="J735" s="1379"/>
      <c r="L735" s="1379"/>
      <c r="M735" s="1379"/>
      <c r="N735" s="1379"/>
      <c r="O735" s="1379"/>
      <c r="P735" s="1379"/>
      <c r="Q735" s="1379"/>
      <c r="R735" s="1379"/>
      <c r="S735" s="1379"/>
      <c r="T735" s="1379"/>
      <c r="U735" s="1379"/>
    </row>
    <row r="736" spans="1:21" s="1380" customFormat="1">
      <c r="A736" s="1457"/>
      <c r="B736" s="1379"/>
      <c r="C736" s="1379"/>
      <c r="D736" s="1379"/>
      <c r="E736" s="1379"/>
      <c r="F736" s="1379"/>
      <c r="G736" s="1379"/>
      <c r="H736" s="1379"/>
      <c r="I736" s="1379"/>
      <c r="J736" s="1379"/>
      <c r="L736" s="1379"/>
      <c r="M736" s="1379"/>
      <c r="N736" s="1379"/>
      <c r="O736" s="1379"/>
      <c r="P736" s="1379"/>
      <c r="Q736" s="1379"/>
      <c r="R736" s="1379"/>
      <c r="S736" s="1379"/>
      <c r="T736" s="1379"/>
      <c r="U736" s="1379"/>
    </row>
    <row r="737" spans="1:21" s="1380" customFormat="1">
      <c r="A737" s="1457"/>
      <c r="B737" s="1379"/>
      <c r="C737" s="1379"/>
      <c r="D737" s="1379"/>
      <c r="E737" s="1379"/>
      <c r="F737" s="1379"/>
      <c r="G737" s="1379"/>
      <c r="H737" s="1379"/>
      <c r="I737" s="1379"/>
      <c r="J737" s="1379"/>
      <c r="L737" s="1379"/>
      <c r="M737" s="1379"/>
      <c r="N737" s="1379"/>
      <c r="O737" s="1379"/>
      <c r="P737" s="1379"/>
      <c r="Q737" s="1379"/>
      <c r="R737" s="1379"/>
      <c r="S737" s="1379"/>
      <c r="T737" s="1379"/>
      <c r="U737" s="1379"/>
    </row>
    <row r="738" spans="1:21" s="1380" customFormat="1">
      <c r="A738" s="1457"/>
      <c r="B738" s="1379"/>
      <c r="C738" s="1379"/>
      <c r="D738" s="1379"/>
      <c r="E738" s="1379"/>
      <c r="F738" s="1379"/>
      <c r="G738" s="1379"/>
      <c r="H738" s="1379"/>
      <c r="I738" s="1379"/>
      <c r="J738" s="1379"/>
      <c r="L738" s="1379"/>
      <c r="M738" s="1379"/>
      <c r="N738" s="1379"/>
      <c r="O738" s="1379"/>
      <c r="P738" s="1379"/>
      <c r="Q738" s="1379"/>
      <c r="R738" s="1379"/>
      <c r="S738" s="1379"/>
      <c r="T738" s="1379"/>
      <c r="U738" s="1379"/>
    </row>
    <row r="739" spans="1:21" s="1380" customFormat="1">
      <c r="A739" s="1457"/>
      <c r="B739" s="1379"/>
      <c r="C739" s="1379"/>
      <c r="D739" s="1379"/>
      <c r="E739" s="1379"/>
      <c r="F739" s="1379"/>
      <c r="G739" s="1379"/>
      <c r="H739" s="1379"/>
      <c r="I739" s="1379"/>
      <c r="J739" s="1379"/>
      <c r="L739" s="1379"/>
      <c r="M739" s="1379"/>
      <c r="N739" s="1379"/>
      <c r="O739" s="1379"/>
      <c r="P739" s="1379"/>
      <c r="Q739" s="1379"/>
      <c r="R739" s="1379"/>
      <c r="S739" s="1379"/>
      <c r="T739" s="1379"/>
      <c r="U739" s="1379"/>
    </row>
    <row r="740" spans="1:21" s="1380" customFormat="1">
      <c r="A740" s="1457"/>
      <c r="B740" s="1379"/>
      <c r="C740" s="1379"/>
      <c r="D740" s="1379"/>
      <c r="E740" s="1379"/>
      <c r="F740" s="1379"/>
      <c r="G740" s="1379"/>
      <c r="H740" s="1379"/>
      <c r="I740" s="1379"/>
      <c r="J740" s="1379"/>
      <c r="L740" s="1379"/>
      <c r="M740" s="1379"/>
      <c r="N740" s="1379"/>
      <c r="O740" s="1379"/>
      <c r="P740" s="1379"/>
      <c r="Q740" s="1379"/>
      <c r="R740" s="1379"/>
      <c r="S740" s="1379"/>
      <c r="T740" s="1379"/>
      <c r="U740" s="1379"/>
    </row>
    <row r="741" spans="1:21" s="1380" customFormat="1">
      <c r="A741" s="1457"/>
      <c r="B741" s="1379"/>
      <c r="C741" s="1379"/>
      <c r="D741" s="1379"/>
      <c r="E741" s="1379"/>
      <c r="F741" s="1379"/>
      <c r="G741" s="1379"/>
      <c r="H741" s="1379"/>
      <c r="I741" s="1379"/>
      <c r="J741" s="1379"/>
      <c r="L741" s="1379"/>
      <c r="M741" s="1379"/>
      <c r="N741" s="1379"/>
      <c r="O741" s="1379"/>
      <c r="P741" s="1379"/>
      <c r="Q741" s="1379"/>
      <c r="R741" s="1379"/>
      <c r="S741" s="1379"/>
      <c r="T741" s="1379"/>
      <c r="U741" s="1379"/>
    </row>
    <row r="742" spans="1:21" s="1380" customFormat="1">
      <c r="A742" s="1457"/>
      <c r="B742" s="1379"/>
      <c r="C742" s="1379"/>
      <c r="D742" s="1379"/>
      <c r="E742" s="1379"/>
      <c r="F742" s="1379"/>
      <c r="G742" s="1379"/>
      <c r="H742" s="1379"/>
      <c r="I742" s="1379"/>
      <c r="J742" s="1379"/>
      <c r="L742" s="1379"/>
      <c r="M742" s="1379"/>
      <c r="N742" s="1379"/>
      <c r="O742" s="1379"/>
      <c r="P742" s="1379"/>
      <c r="Q742" s="1379"/>
      <c r="R742" s="1379"/>
      <c r="S742" s="1379"/>
      <c r="T742" s="1379"/>
      <c r="U742" s="1379"/>
    </row>
    <row r="743" spans="1:21" s="1380" customFormat="1">
      <c r="A743" s="1457"/>
      <c r="B743" s="1379"/>
      <c r="C743" s="1379"/>
      <c r="D743" s="1379"/>
      <c r="E743" s="1379"/>
      <c r="F743" s="1379"/>
      <c r="G743" s="1379"/>
      <c r="H743" s="1379"/>
      <c r="I743" s="1379"/>
      <c r="J743" s="1379"/>
      <c r="L743" s="1379"/>
      <c r="M743" s="1379"/>
      <c r="N743" s="1379"/>
      <c r="O743" s="1379"/>
      <c r="P743" s="1379"/>
      <c r="Q743" s="1379"/>
      <c r="R743" s="1379"/>
      <c r="S743" s="1379"/>
      <c r="T743" s="1379"/>
      <c r="U743" s="1379"/>
    </row>
    <row r="744" spans="1:21" s="1380" customFormat="1">
      <c r="A744" s="1457"/>
      <c r="B744" s="1379"/>
      <c r="C744" s="1379"/>
      <c r="D744" s="1379"/>
      <c r="E744" s="1379"/>
      <c r="F744" s="1379"/>
      <c r="G744" s="1379"/>
      <c r="H744" s="1379"/>
      <c r="I744" s="1379"/>
      <c r="J744" s="1379"/>
      <c r="L744" s="1379"/>
      <c r="M744" s="1379"/>
      <c r="N744" s="1379"/>
      <c r="O744" s="1379"/>
      <c r="P744" s="1379"/>
      <c r="Q744" s="1379"/>
      <c r="R744" s="1379"/>
      <c r="S744" s="1379"/>
      <c r="T744" s="1379"/>
      <c r="U744" s="1379"/>
    </row>
    <row r="745" spans="1:21" s="1380" customFormat="1">
      <c r="A745" s="1457"/>
      <c r="B745" s="1379"/>
      <c r="C745" s="1379"/>
      <c r="D745" s="1379"/>
      <c r="E745" s="1379"/>
      <c r="F745" s="1379"/>
      <c r="G745" s="1379"/>
      <c r="H745" s="1379"/>
      <c r="I745" s="1379"/>
      <c r="J745" s="1379"/>
      <c r="L745" s="1379"/>
      <c r="M745" s="1379"/>
      <c r="N745" s="1379"/>
      <c r="O745" s="1379"/>
      <c r="P745" s="1379"/>
      <c r="Q745" s="1379"/>
      <c r="R745" s="1379"/>
      <c r="S745" s="1379"/>
      <c r="T745" s="1379"/>
      <c r="U745" s="1379"/>
    </row>
    <row r="746" spans="1:21" s="1380" customFormat="1">
      <c r="A746" s="1457"/>
      <c r="B746" s="1379"/>
      <c r="C746" s="1379"/>
      <c r="D746" s="1379"/>
      <c r="E746" s="1379"/>
      <c r="F746" s="1379"/>
      <c r="G746" s="1379"/>
      <c r="H746" s="1379"/>
      <c r="I746" s="1379"/>
      <c r="J746" s="1379"/>
      <c r="L746" s="1379"/>
      <c r="M746" s="1379"/>
      <c r="N746" s="1379"/>
      <c r="O746" s="1379"/>
      <c r="P746" s="1379"/>
      <c r="Q746" s="1379"/>
      <c r="R746" s="1379"/>
      <c r="S746" s="1379"/>
      <c r="T746" s="1379"/>
      <c r="U746" s="1379"/>
    </row>
    <row r="747" spans="1:21" s="1380" customFormat="1">
      <c r="A747" s="1457"/>
      <c r="B747" s="1379"/>
      <c r="C747" s="1379"/>
      <c r="D747" s="1379"/>
      <c r="E747" s="1379"/>
      <c r="F747" s="1379"/>
      <c r="G747" s="1379"/>
      <c r="H747" s="1379"/>
      <c r="I747" s="1379"/>
      <c r="J747" s="1379"/>
      <c r="L747" s="1379"/>
      <c r="M747" s="1379"/>
      <c r="N747" s="1379"/>
      <c r="O747" s="1379"/>
      <c r="P747" s="1379"/>
      <c r="Q747" s="1379"/>
      <c r="R747" s="1379"/>
      <c r="S747" s="1379"/>
      <c r="T747" s="1379"/>
      <c r="U747" s="1379"/>
    </row>
    <row r="748" spans="1:21" s="1380" customFormat="1">
      <c r="A748" s="1457"/>
      <c r="B748" s="1379"/>
      <c r="C748" s="1379"/>
      <c r="D748" s="1379"/>
      <c r="E748" s="1379"/>
      <c r="F748" s="1379"/>
      <c r="G748" s="1379"/>
      <c r="H748" s="1379"/>
      <c r="I748" s="1379"/>
      <c r="J748" s="1379"/>
      <c r="L748" s="1379"/>
      <c r="M748" s="1379"/>
      <c r="N748" s="1379"/>
      <c r="O748" s="1379"/>
      <c r="P748" s="1379"/>
      <c r="Q748" s="1379"/>
      <c r="R748" s="1379"/>
      <c r="S748" s="1379"/>
      <c r="T748" s="1379"/>
      <c r="U748" s="1379"/>
    </row>
    <row r="749" spans="1:21" s="1380" customFormat="1">
      <c r="A749" s="1457"/>
      <c r="B749" s="1379"/>
      <c r="C749" s="1379"/>
      <c r="D749" s="1379"/>
      <c r="E749" s="1379"/>
      <c r="F749" s="1379"/>
      <c r="G749" s="1379"/>
      <c r="H749" s="1379"/>
      <c r="I749" s="1379"/>
      <c r="J749" s="1379"/>
      <c r="L749" s="1379"/>
      <c r="M749" s="1379"/>
      <c r="N749" s="1379"/>
      <c r="O749" s="1379"/>
      <c r="P749" s="1379"/>
      <c r="Q749" s="1379"/>
      <c r="R749" s="1379"/>
      <c r="S749" s="1379"/>
      <c r="T749" s="1379"/>
      <c r="U749" s="1379"/>
    </row>
    <row r="750" spans="1:21" s="1380" customFormat="1">
      <c r="A750" s="1457"/>
      <c r="B750" s="1379"/>
      <c r="C750" s="1379"/>
      <c r="D750" s="1379"/>
      <c r="E750" s="1379"/>
      <c r="F750" s="1379"/>
      <c r="G750" s="1379"/>
      <c r="H750" s="1379"/>
      <c r="I750" s="1379"/>
      <c r="J750" s="1379"/>
      <c r="L750" s="1379"/>
      <c r="M750" s="1379"/>
      <c r="N750" s="1379"/>
      <c r="O750" s="1379"/>
      <c r="P750" s="1379"/>
      <c r="Q750" s="1379"/>
      <c r="R750" s="1379"/>
      <c r="S750" s="1379"/>
      <c r="T750" s="1379"/>
      <c r="U750" s="1379"/>
    </row>
    <row r="751" spans="1:21" s="1380" customFormat="1">
      <c r="A751" s="1457"/>
      <c r="B751" s="1379"/>
      <c r="C751" s="1379"/>
      <c r="D751" s="1379"/>
      <c r="E751" s="1379"/>
      <c r="F751" s="1379"/>
      <c r="G751" s="1379"/>
      <c r="H751" s="1379"/>
      <c r="I751" s="1379"/>
      <c r="J751" s="1379"/>
      <c r="L751" s="1379"/>
      <c r="M751" s="1379"/>
      <c r="N751" s="1379"/>
      <c r="O751" s="1379"/>
      <c r="P751" s="1379"/>
      <c r="Q751" s="1379"/>
      <c r="R751" s="1379"/>
      <c r="S751" s="1379"/>
      <c r="T751" s="1379"/>
      <c r="U751" s="1379"/>
    </row>
    <row r="752" spans="1:21" s="1380" customFormat="1">
      <c r="A752" s="1457"/>
      <c r="B752" s="1379"/>
      <c r="C752" s="1379"/>
      <c r="D752" s="1379"/>
      <c r="E752" s="1379"/>
      <c r="F752" s="1379"/>
      <c r="G752" s="1379"/>
      <c r="H752" s="1379"/>
      <c r="I752" s="1379"/>
      <c r="J752" s="1379"/>
      <c r="L752" s="1379"/>
      <c r="M752" s="1379"/>
      <c r="N752" s="1379"/>
      <c r="O752" s="1379"/>
      <c r="P752" s="1379"/>
      <c r="Q752" s="1379"/>
      <c r="R752" s="1379"/>
      <c r="S752" s="1379"/>
      <c r="T752" s="1379"/>
      <c r="U752" s="1379"/>
    </row>
    <row r="753" spans="1:21" s="1380" customFormat="1">
      <c r="A753" s="1457"/>
      <c r="B753" s="1379"/>
      <c r="C753" s="1379"/>
      <c r="D753" s="1379"/>
      <c r="E753" s="1379"/>
      <c r="F753" s="1379"/>
      <c r="G753" s="1379"/>
      <c r="H753" s="1379"/>
      <c r="I753" s="1379"/>
      <c r="J753" s="1379"/>
      <c r="L753" s="1379"/>
      <c r="M753" s="1379"/>
      <c r="N753" s="1379"/>
      <c r="O753" s="1379"/>
      <c r="P753" s="1379"/>
      <c r="Q753" s="1379"/>
      <c r="R753" s="1379"/>
      <c r="S753" s="1379"/>
      <c r="T753" s="1379"/>
      <c r="U753" s="1379"/>
    </row>
    <row r="754" spans="1:21" s="1380" customFormat="1">
      <c r="A754" s="1457"/>
      <c r="B754" s="1379"/>
      <c r="C754" s="1379"/>
      <c r="D754" s="1379"/>
      <c r="E754" s="1379"/>
      <c r="F754" s="1379"/>
      <c r="G754" s="1379"/>
      <c r="H754" s="1379"/>
      <c r="I754" s="1379"/>
      <c r="J754" s="1379"/>
      <c r="L754" s="1379"/>
      <c r="M754" s="1379"/>
      <c r="N754" s="1379"/>
      <c r="O754" s="1379"/>
      <c r="P754" s="1379"/>
      <c r="Q754" s="1379"/>
      <c r="R754" s="1379"/>
      <c r="S754" s="1379"/>
      <c r="T754" s="1379"/>
      <c r="U754" s="1379"/>
    </row>
    <row r="755" spans="1:21" s="1380" customFormat="1">
      <c r="A755" s="1457"/>
      <c r="B755" s="1379"/>
      <c r="C755" s="1379"/>
      <c r="D755" s="1379"/>
      <c r="E755" s="1379"/>
      <c r="F755" s="1379"/>
      <c r="G755" s="1379"/>
      <c r="H755" s="1379"/>
      <c r="I755" s="1379"/>
      <c r="J755" s="1379"/>
      <c r="L755" s="1379"/>
      <c r="M755" s="1379"/>
      <c r="N755" s="1379"/>
      <c r="O755" s="1379"/>
      <c r="P755" s="1379"/>
      <c r="Q755" s="1379"/>
      <c r="R755" s="1379"/>
      <c r="S755" s="1379"/>
      <c r="T755" s="1379"/>
      <c r="U755" s="1379"/>
    </row>
    <row r="756" spans="1:21" s="1380" customFormat="1">
      <c r="A756" s="1457"/>
      <c r="B756" s="1379"/>
      <c r="C756" s="1379"/>
      <c r="D756" s="1379"/>
      <c r="E756" s="1379"/>
      <c r="F756" s="1379"/>
      <c r="G756" s="1379"/>
      <c r="H756" s="1379"/>
      <c r="I756" s="1379"/>
      <c r="J756" s="1379"/>
      <c r="L756" s="1379"/>
      <c r="M756" s="1379"/>
      <c r="N756" s="1379"/>
      <c r="O756" s="1379"/>
      <c r="P756" s="1379"/>
      <c r="Q756" s="1379"/>
      <c r="R756" s="1379"/>
      <c r="S756" s="1379"/>
      <c r="T756" s="1379"/>
      <c r="U756" s="1379"/>
    </row>
    <row r="757" spans="1:21" s="1380" customFormat="1">
      <c r="A757" s="1457"/>
      <c r="B757" s="1379"/>
      <c r="C757" s="1379"/>
      <c r="D757" s="1379"/>
      <c r="E757" s="1379"/>
      <c r="F757" s="1379"/>
      <c r="G757" s="1379"/>
      <c r="H757" s="1379"/>
      <c r="I757" s="1379"/>
      <c r="J757" s="1379"/>
      <c r="L757" s="1379"/>
      <c r="M757" s="1379"/>
      <c r="N757" s="1379"/>
      <c r="O757" s="1379"/>
      <c r="P757" s="1379"/>
      <c r="Q757" s="1379"/>
      <c r="R757" s="1379"/>
      <c r="S757" s="1379"/>
      <c r="T757" s="1379"/>
      <c r="U757" s="1379"/>
    </row>
    <row r="758" spans="1:21" s="1380" customFormat="1">
      <c r="A758" s="1457"/>
      <c r="B758" s="1379"/>
      <c r="C758" s="1379"/>
      <c r="D758" s="1379"/>
      <c r="E758" s="1379"/>
      <c r="F758" s="1379"/>
      <c r="G758" s="1379"/>
      <c r="H758" s="1379"/>
      <c r="I758" s="1379"/>
      <c r="J758" s="1379"/>
      <c r="L758" s="1379"/>
      <c r="M758" s="1379"/>
      <c r="N758" s="1379"/>
      <c r="O758" s="1379"/>
      <c r="P758" s="1379"/>
      <c r="Q758" s="1379"/>
      <c r="R758" s="1379"/>
      <c r="S758" s="1379"/>
      <c r="T758" s="1379"/>
      <c r="U758" s="1379"/>
    </row>
    <row r="759" spans="1:21" s="1380" customFormat="1">
      <c r="A759" s="1457"/>
      <c r="B759" s="1379"/>
      <c r="C759" s="1379"/>
      <c r="D759" s="1379"/>
      <c r="E759" s="1379"/>
      <c r="F759" s="1379"/>
      <c r="G759" s="1379"/>
      <c r="H759" s="1379"/>
      <c r="I759" s="1379"/>
      <c r="J759" s="1379"/>
      <c r="L759" s="1379"/>
      <c r="M759" s="1379"/>
      <c r="N759" s="1379"/>
      <c r="O759" s="1379"/>
      <c r="P759" s="1379"/>
      <c r="Q759" s="1379"/>
      <c r="R759" s="1379"/>
      <c r="S759" s="1379"/>
      <c r="T759" s="1379"/>
      <c r="U759" s="1379"/>
    </row>
    <row r="760" spans="1:21" s="1380" customFormat="1">
      <c r="A760" s="1457"/>
      <c r="B760" s="1379"/>
      <c r="C760" s="1379"/>
      <c r="D760" s="1379"/>
      <c r="E760" s="1379"/>
      <c r="F760" s="1379"/>
      <c r="G760" s="1379"/>
      <c r="H760" s="1379"/>
      <c r="I760" s="1379"/>
      <c r="J760" s="1379"/>
      <c r="L760" s="1379"/>
      <c r="M760" s="1379"/>
      <c r="N760" s="1379"/>
      <c r="O760" s="1379"/>
      <c r="P760" s="1379"/>
      <c r="Q760" s="1379"/>
      <c r="R760" s="1379"/>
      <c r="S760" s="1379"/>
      <c r="T760" s="1379"/>
      <c r="U760" s="1379"/>
    </row>
    <row r="761" spans="1:21" s="1380" customFormat="1">
      <c r="A761" s="1457"/>
      <c r="B761" s="1379"/>
      <c r="C761" s="1379"/>
      <c r="D761" s="1379"/>
      <c r="E761" s="1379"/>
      <c r="F761" s="1379"/>
      <c r="G761" s="1379"/>
      <c r="H761" s="1379"/>
      <c r="I761" s="1379"/>
      <c r="J761" s="1379"/>
      <c r="L761" s="1379"/>
      <c r="M761" s="1379"/>
      <c r="N761" s="1379"/>
      <c r="O761" s="1379"/>
      <c r="P761" s="1379"/>
      <c r="Q761" s="1379"/>
      <c r="R761" s="1379"/>
      <c r="S761" s="1379"/>
      <c r="T761" s="1379"/>
      <c r="U761" s="1379"/>
    </row>
    <row r="762" spans="1:21" s="1380" customFormat="1">
      <c r="A762" s="1457"/>
      <c r="B762" s="1379"/>
      <c r="C762" s="1379"/>
      <c r="D762" s="1379"/>
      <c r="E762" s="1379"/>
      <c r="F762" s="1379"/>
      <c r="G762" s="1379"/>
      <c r="H762" s="1379"/>
      <c r="I762" s="1379"/>
      <c r="J762" s="1379"/>
      <c r="L762" s="1379"/>
      <c r="M762" s="1379"/>
      <c r="N762" s="1379"/>
      <c r="O762" s="1379"/>
      <c r="P762" s="1379"/>
      <c r="Q762" s="1379"/>
      <c r="R762" s="1379"/>
      <c r="S762" s="1379"/>
      <c r="T762" s="1379"/>
      <c r="U762" s="1379"/>
    </row>
    <row r="763" spans="1:21" s="1380" customFormat="1">
      <c r="A763" s="1457"/>
      <c r="B763" s="1379"/>
      <c r="C763" s="1379"/>
      <c r="D763" s="1379"/>
      <c r="E763" s="1379"/>
      <c r="F763" s="1379"/>
      <c r="G763" s="1379"/>
      <c r="H763" s="1379"/>
      <c r="I763" s="1379"/>
      <c r="J763" s="1379"/>
      <c r="L763" s="1379"/>
      <c r="M763" s="1379"/>
      <c r="N763" s="1379"/>
      <c r="O763" s="1379"/>
      <c r="P763" s="1379"/>
      <c r="Q763" s="1379"/>
      <c r="R763" s="1379"/>
      <c r="S763" s="1379"/>
      <c r="T763" s="1379"/>
      <c r="U763" s="1379"/>
    </row>
    <row r="764" spans="1:21" s="1380" customFormat="1">
      <c r="A764" s="1457"/>
      <c r="B764" s="1379"/>
      <c r="C764" s="1379"/>
      <c r="D764" s="1379"/>
      <c r="E764" s="1379"/>
      <c r="F764" s="1379"/>
      <c r="G764" s="1379"/>
      <c r="H764" s="1379"/>
      <c r="I764" s="1379"/>
      <c r="J764" s="1379"/>
      <c r="L764" s="1379"/>
      <c r="M764" s="1379"/>
      <c r="N764" s="1379"/>
      <c r="O764" s="1379"/>
      <c r="P764" s="1379"/>
      <c r="Q764" s="1379"/>
      <c r="R764" s="1379"/>
      <c r="S764" s="1379"/>
      <c r="T764" s="1379"/>
      <c r="U764" s="1379"/>
    </row>
    <row r="765" spans="1:21" s="1380" customFormat="1">
      <c r="A765" s="1457"/>
      <c r="B765" s="1379"/>
      <c r="C765" s="1379"/>
      <c r="D765" s="1379"/>
      <c r="E765" s="1379"/>
      <c r="F765" s="1379"/>
      <c r="G765" s="1379"/>
      <c r="H765" s="1379"/>
      <c r="I765" s="1379"/>
      <c r="J765" s="1379"/>
      <c r="L765" s="1379"/>
      <c r="M765" s="1379"/>
      <c r="N765" s="1379"/>
      <c r="O765" s="1379"/>
      <c r="P765" s="1379"/>
      <c r="Q765" s="1379"/>
      <c r="R765" s="1379"/>
      <c r="S765" s="1379"/>
      <c r="T765" s="1379"/>
      <c r="U765" s="1379"/>
    </row>
    <row r="766" spans="1:21" s="1380" customFormat="1">
      <c r="A766" s="1457"/>
      <c r="B766" s="1379"/>
      <c r="C766" s="1379"/>
      <c r="D766" s="1379"/>
      <c r="E766" s="1379"/>
      <c r="F766" s="1379"/>
      <c r="G766" s="1379"/>
      <c r="H766" s="1379"/>
      <c r="I766" s="1379"/>
      <c r="J766" s="1379"/>
      <c r="L766" s="1379"/>
      <c r="M766" s="1379"/>
      <c r="N766" s="1379"/>
      <c r="O766" s="1379"/>
      <c r="P766" s="1379"/>
      <c r="Q766" s="1379"/>
      <c r="R766" s="1379"/>
      <c r="S766" s="1379"/>
      <c r="T766" s="1379"/>
      <c r="U766" s="1379"/>
    </row>
    <row r="767" spans="1:21" s="1380" customFormat="1">
      <c r="A767" s="1457"/>
      <c r="B767" s="1379"/>
      <c r="C767" s="1379"/>
      <c r="D767" s="1379"/>
      <c r="E767" s="1379"/>
      <c r="F767" s="1379"/>
      <c r="G767" s="1379"/>
      <c r="H767" s="1379"/>
      <c r="I767" s="1379"/>
      <c r="J767" s="1379"/>
      <c r="L767" s="1379"/>
      <c r="M767" s="1379"/>
      <c r="N767" s="1379"/>
      <c r="O767" s="1379"/>
      <c r="P767" s="1379"/>
      <c r="Q767" s="1379"/>
      <c r="R767" s="1379"/>
      <c r="S767" s="1379"/>
      <c r="T767" s="1379"/>
      <c r="U767" s="1379"/>
    </row>
    <row r="768" spans="1:21" s="1380" customFormat="1">
      <c r="A768" s="1457"/>
      <c r="B768" s="1379"/>
      <c r="C768" s="1379"/>
      <c r="D768" s="1379"/>
      <c r="E768" s="1379"/>
      <c r="F768" s="1379"/>
      <c r="G768" s="1379"/>
      <c r="H768" s="1379"/>
      <c r="I768" s="1379"/>
      <c r="J768" s="1379"/>
      <c r="L768" s="1379"/>
      <c r="M768" s="1379"/>
      <c r="N768" s="1379"/>
      <c r="O768" s="1379"/>
      <c r="P768" s="1379"/>
      <c r="Q768" s="1379"/>
      <c r="R768" s="1379"/>
      <c r="S768" s="1379"/>
      <c r="T768" s="1379"/>
      <c r="U768" s="1379"/>
    </row>
    <row r="769" spans="1:21" s="1380" customFormat="1">
      <c r="A769" s="1457"/>
      <c r="B769" s="1379"/>
      <c r="C769" s="1379"/>
      <c r="D769" s="1379"/>
      <c r="E769" s="1379"/>
      <c r="F769" s="1379"/>
      <c r="G769" s="1379"/>
      <c r="H769" s="1379"/>
      <c r="I769" s="1379"/>
      <c r="J769" s="1379"/>
      <c r="L769" s="1379"/>
      <c r="M769" s="1379"/>
      <c r="N769" s="1379"/>
      <c r="O769" s="1379"/>
      <c r="P769" s="1379"/>
      <c r="Q769" s="1379"/>
      <c r="R769" s="1379"/>
      <c r="S769" s="1379"/>
      <c r="T769" s="1379"/>
      <c r="U769" s="1379"/>
    </row>
    <row r="770" spans="1:21" s="1380" customFormat="1">
      <c r="A770" s="1457"/>
      <c r="B770" s="1379"/>
      <c r="C770" s="1379"/>
      <c r="D770" s="1379"/>
      <c r="E770" s="1379"/>
      <c r="F770" s="1379"/>
      <c r="G770" s="1379"/>
      <c r="H770" s="1379"/>
      <c r="I770" s="1379"/>
      <c r="J770" s="1379"/>
      <c r="L770" s="1379"/>
      <c r="M770" s="1379"/>
      <c r="N770" s="1379"/>
      <c r="O770" s="1379"/>
      <c r="P770" s="1379"/>
      <c r="Q770" s="1379"/>
      <c r="R770" s="1379"/>
      <c r="S770" s="1379"/>
      <c r="T770" s="1379"/>
      <c r="U770" s="1379"/>
    </row>
    <row r="771" spans="1:21" s="1380" customFormat="1">
      <c r="A771" s="1457"/>
      <c r="B771" s="1379"/>
      <c r="C771" s="1379"/>
      <c r="D771" s="1379"/>
      <c r="E771" s="1379"/>
      <c r="F771" s="1379"/>
      <c r="G771" s="1379"/>
      <c r="H771" s="1379"/>
      <c r="I771" s="1379"/>
      <c r="J771" s="1379"/>
      <c r="L771" s="1379"/>
      <c r="M771" s="1379"/>
      <c r="N771" s="1379"/>
      <c r="O771" s="1379"/>
      <c r="P771" s="1379"/>
      <c r="Q771" s="1379"/>
      <c r="R771" s="1379"/>
      <c r="S771" s="1379"/>
      <c r="T771" s="1379"/>
      <c r="U771" s="1379"/>
    </row>
    <row r="772" spans="1:21" s="1380" customFormat="1">
      <c r="A772" s="1457"/>
      <c r="B772" s="1379"/>
      <c r="C772" s="1379"/>
      <c r="D772" s="1379"/>
      <c r="E772" s="1379"/>
      <c r="F772" s="1379"/>
      <c r="G772" s="1379"/>
      <c r="H772" s="1379"/>
      <c r="I772" s="1379"/>
      <c r="J772" s="1379"/>
      <c r="L772" s="1379"/>
      <c r="M772" s="1379"/>
      <c r="N772" s="1379"/>
      <c r="O772" s="1379"/>
      <c r="P772" s="1379"/>
      <c r="Q772" s="1379"/>
      <c r="R772" s="1379"/>
      <c r="S772" s="1379"/>
      <c r="T772" s="1379"/>
      <c r="U772" s="1379"/>
    </row>
    <row r="773" spans="1:21" s="1380" customFormat="1">
      <c r="A773" s="1457"/>
      <c r="B773" s="1379"/>
      <c r="C773" s="1379"/>
      <c r="D773" s="1379"/>
      <c r="E773" s="1379"/>
      <c r="F773" s="1379"/>
      <c r="G773" s="1379"/>
      <c r="H773" s="1379"/>
      <c r="I773" s="1379"/>
      <c r="J773" s="1379"/>
      <c r="L773" s="1379"/>
      <c r="M773" s="1379"/>
      <c r="N773" s="1379"/>
      <c r="O773" s="1379"/>
      <c r="P773" s="1379"/>
      <c r="Q773" s="1379"/>
      <c r="R773" s="1379"/>
      <c r="S773" s="1379"/>
      <c r="T773" s="1379"/>
      <c r="U773" s="1379"/>
    </row>
    <row r="774" spans="1:21" s="1380" customFormat="1">
      <c r="A774" s="1457"/>
      <c r="B774" s="1379"/>
      <c r="C774" s="1379"/>
      <c r="D774" s="1379"/>
      <c r="E774" s="1379"/>
      <c r="F774" s="1379"/>
      <c r="G774" s="1379"/>
      <c r="H774" s="1379"/>
      <c r="I774" s="1379"/>
      <c r="J774" s="1379"/>
      <c r="L774" s="1379"/>
      <c r="M774" s="1379"/>
      <c r="N774" s="1379"/>
      <c r="O774" s="1379"/>
      <c r="P774" s="1379"/>
      <c r="Q774" s="1379"/>
      <c r="R774" s="1379"/>
      <c r="S774" s="1379"/>
      <c r="T774" s="1379"/>
      <c r="U774" s="1379"/>
    </row>
    <row r="775" spans="1:21" s="1380" customFormat="1">
      <c r="A775" s="1457"/>
      <c r="B775" s="1379"/>
      <c r="C775" s="1379"/>
      <c r="D775" s="1379"/>
      <c r="E775" s="1379"/>
      <c r="F775" s="1379"/>
      <c r="G775" s="1379"/>
      <c r="H775" s="1379"/>
      <c r="I775" s="1379"/>
      <c r="J775" s="1379"/>
      <c r="L775" s="1379"/>
      <c r="M775" s="1379"/>
      <c r="N775" s="1379"/>
      <c r="O775" s="1379"/>
      <c r="P775" s="1379"/>
      <c r="Q775" s="1379"/>
      <c r="R775" s="1379"/>
      <c r="S775" s="1379"/>
      <c r="T775" s="1379"/>
      <c r="U775" s="1379"/>
    </row>
    <row r="776" spans="1:21" s="1380" customFormat="1">
      <c r="A776" s="1457"/>
      <c r="B776" s="1379"/>
      <c r="C776" s="1379"/>
      <c r="D776" s="1379"/>
      <c r="E776" s="1379"/>
      <c r="F776" s="1379"/>
      <c r="G776" s="1379"/>
      <c r="H776" s="1379"/>
      <c r="I776" s="1379"/>
      <c r="J776" s="1379"/>
      <c r="L776" s="1379"/>
      <c r="M776" s="1379"/>
      <c r="N776" s="1379"/>
      <c r="O776" s="1379"/>
      <c r="P776" s="1379"/>
      <c r="Q776" s="1379"/>
      <c r="R776" s="1379"/>
      <c r="S776" s="1379"/>
      <c r="T776" s="1379"/>
      <c r="U776" s="1379"/>
    </row>
    <row r="777" spans="1:21" s="1380" customFormat="1">
      <c r="A777" s="1457"/>
      <c r="B777" s="1379"/>
      <c r="C777" s="1379"/>
      <c r="D777" s="1379"/>
      <c r="E777" s="1379"/>
      <c r="F777" s="1379"/>
      <c r="G777" s="1379"/>
      <c r="H777" s="1379"/>
      <c r="I777" s="1379"/>
      <c r="J777" s="1379"/>
      <c r="L777" s="1379"/>
      <c r="M777" s="1379"/>
      <c r="N777" s="1379"/>
      <c r="O777" s="1379"/>
      <c r="P777" s="1379"/>
      <c r="Q777" s="1379"/>
      <c r="R777" s="1379"/>
      <c r="S777" s="1379"/>
      <c r="T777" s="1379"/>
      <c r="U777" s="1379"/>
    </row>
    <row r="778" spans="1:21" s="1380" customFormat="1">
      <c r="A778" s="1457"/>
      <c r="B778" s="1379"/>
      <c r="C778" s="1379"/>
      <c r="D778" s="1379"/>
      <c r="E778" s="1379"/>
      <c r="F778" s="1379"/>
      <c r="G778" s="1379"/>
      <c r="H778" s="1379"/>
      <c r="I778" s="1379"/>
      <c r="J778" s="1379"/>
      <c r="L778" s="1379"/>
      <c r="M778" s="1379"/>
      <c r="N778" s="1379"/>
      <c r="O778" s="1379"/>
      <c r="P778" s="1379"/>
      <c r="Q778" s="1379"/>
      <c r="R778" s="1379"/>
      <c r="S778" s="1379"/>
      <c r="T778" s="1379"/>
      <c r="U778" s="1379"/>
    </row>
    <row r="779" spans="1:21" s="1380" customFormat="1">
      <c r="A779" s="1457"/>
      <c r="B779" s="1379"/>
      <c r="C779" s="1379"/>
      <c r="D779" s="1379"/>
      <c r="E779" s="1379"/>
      <c r="F779" s="1379"/>
      <c r="G779" s="1379"/>
      <c r="H779" s="1379"/>
      <c r="I779" s="1379"/>
      <c r="J779" s="1379"/>
      <c r="L779" s="1379"/>
      <c r="M779" s="1379"/>
      <c r="N779" s="1379"/>
      <c r="O779" s="1379"/>
      <c r="P779" s="1379"/>
      <c r="Q779" s="1379"/>
      <c r="R779" s="1379"/>
      <c r="S779" s="1379"/>
      <c r="T779" s="1379"/>
      <c r="U779" s="1379"/>
    </row>
    <row r="780" spans="1:21" s="1380" customFormat="1">
      <c r="A780" s="1457"/>
      <c r="B780" s="1379"/>
      <c r="C780" s="1379"/>
      <c r="D780" s="1379"/>
      <c r="E780" s="1379"/>
      <c r="F780" s="1379"/>
      <c r="G780" s="1379"/>
      <c r="H780" s="1379"/>
      <c r="I780" s="1379"/>
      <c r="J780" s="1379"/>
      <c r="L780" s="1379"/>
      <c r="M780" s="1379"/>
      <c r="N780" s="1379"/>
      <c r="O780" s="1379"/>
      <c r="P780" s="1379"/>
      <c r="Q780" s="1379"/>
      <c r="R780" s="1379"/>
      <c r="S780" s="1379"/>
      <c r="T780" s="1379"/>
      <c r="U780" s="1379"/>
    </row>
    <row r="781" spans="1:21" s="1380" customFormat="1">
      <c r="A781" s="1457"/>
      <c r="B781" s="1379"/>
      <c r="C781" s="1379"/>
      <c r="D781" s="1379"/>
      <c r="E781" s="1379"/>
      <c r="F781" s="1379"/>
      <c r="G781" s="1379"/>
      <c r="H781" s="1379"/>
      <c r="I781" s="1379"/>
      <c r="J781" s="1379"/>
      <c r="L781" s="1379"/>
      <c r="M781" s="1379"/>
      <c r="N781" s="1379"/>
      <c r="O781" s="1379"/>
      <c r="P781" s="1379"/>
      <c r="Q781" s="1379"/>
      <c r="R781" s="1379"/>
      <c r="S781" s="1379"/>
      <c r="T781" s="1379"/>
      <c r="U781" s="1379"/>
    </row>
    <row r="782" spans="1:21" s="1380" customFormat="1">
      <c r="A782" s="1457"/>
      <c r="B782" s="1379"/>
      <c r="C782" s="1379"/>
      <c r="D782" s="1379"/>
      <c r="E782" s="1379"/>
      <c r="F782" s="1379"/>
      <c r="G782" s="1379"/>
      <c r="H782" s="1379"/>
      <c r="I782" s="1379"/>
      <c r="J782" s="1379"/>
      <c r="L782" s="1379"/>
      <c r="M782" s="1379"/>
      <c r="N782" s="1379"/>
      <c r="O782" s="1379"/>
      <c r="P782" s="1379"/>
      <c r="Q782" s="1379"/>
      <c r="R782" s="1379"/>
      <c r="S782" s="1379"/>
      <c r="T782" s="1379"/>
      <c r="U782" s="1379"/>
    </row>
    <row r="783" spans="1:21" s="1380" customFormat="1">
      <c r="A783" s="1457"/>
      <c r="B783" s="1379"/>
      <c r="C783" s="1379"/>
      <c r="D783" s="1379"/>
      <c r="E783" s="1379"/>
      <c r="F783" s="1379"/>
      <c r="G783" s="1379"/>
      <c r="H783" s="1379"/>
      <c r="I783" s="1379"/>
      <c r="J783" s="1379"/>
      <c r="L783" s="1379"/>
      <c r="M783" s="1379"/>
      <c r="N783" s="1379"/>
      <c r="O783" s="1379"/>
      <c r="P783" s="1379"/>
      <c r="Q783" s="1379"/>
      <c r="R783" s="1379"/>
      <c r="S783" s="1379"/>
      <c r="T783" s="1379"/>
      <c r="U783" s="1379"/>
    </row>
    <row r="784" spans="1:21" s="1380" customFormat="1">
      <c r="A784" s="1457"/>
      <c r="B784" s="1379"/>
      <c r="C784" s="1379"/>
      <c r="D784" s="1379"/>
      <c r="E784" s="1379"/>
      <c r="F784" s="1379"/>
      <c r="G784" s="1379"/>
      <c r="H784" s="1379"/>
      <c r="I784" s="1379"/>
      <c r="J784" s="1379"/>
      <c r="L784" s="1379"/>
      <c r="M784" s="1379"/>
      <c r="N784" s="1379"/>
      <c r="O784" s="1379"/>
      <c r="P784" s="1379"/>
      <c r="Q784" s="1379"/>
      <c r="R784" s="1379"/>
      <c r="S784" s="1379"/>
      <c r="T784" s="1379"/>
      <c r="U784" s="1379"/>
    </row>
    <row r="785" spans="1:21" s="1380" customFormat="1">
      <c r="A785" s="1457"/>
      <c r="B785" s="1379"/>
      <c r="C785" s="1379"/>
      <c r="D785" s="1379"/>
      <c r="E785" s="1379"/>
      <c r="F785" s="1379"/>
      <c r="G785" s="1379"/>
      <c r="H785" s="1379"/>
      <c r="I785" s="1379"/>
      <c r="J785" s="1379"/>
      <c r="L785" s="1379"/>
      <c r="M785" s="1379"/>
      <c r="N785" s="1379"/>
      <c r="O785" s="1379"/>
      <c r="P785" s="1379"/>
      <c r="Q785" s="1379"/>
      <c r="R785" s="1379"/>
      <c r="S785" s="1379"/>
      <c r="T785" s="1379"/>
      <c r="U785" s="1379"/>
    </row>
    <row r="786" spans="1:21" s="1380" customFormat="1">
      <c r="A786" s="1457"/>
      <c r="B786" s="1379"/>
      <c r="C786" s="1379"/>
      <c r="D786" s="1379"/>
      <c r="E786" s="1379"/>
      <c r="F786" s="1379"/>
      <c r="G786" s="1379"/>
      <c r="H786" s="1379"/>
      <c r="I786" s="1379"/>
      <c r="J786" s="1379"/>
      <c r="L786" s="1379"/>
      <c r="M786" s="1379"/>
      <c r="N786" s="1379"/>
      <c r="O786" s="1379"/>
      <c r="P786" s="1379"/>
      <c r="Q786" s="1379"/>
      <c r="R786" s="1379"/>
      <c r="S786" s="1379"/>
      <c r="T786" s="1379"/>
      <c r="U786" s="1379"/>
    </row>
    <row r="787" spans="1:21" s="1380" customFormat="1">
      <c r="A787" s="1457"/>
      <c r="B787" s="1379"/>
      <c r="C787" s="1379"/>
      <c r="D787" s="1379"/>
      <c r="E787" s="1379"/>
      <c r="F787" s="1379"/>
      <c r="G787" s="1379"/>
      <c r="H787" s="1379"/>
      <c r="I787" s="1379"/>
      <c r="J787" s="1379"/>
      <c r="L787" s="1379"/>
      <c r="M787" s="1379"/>
      <c r="N787" s="1379"/>
      <c r="O787" s="1379"/>
      <c r="P787" s="1379"/>
      <c r="Q787" s="1379"/>
      <c r="R787" s="1379"/>
      <c r="S787" s="1379"/>
      <c r="T787" s="1379"/>
      <c r="U787" s="1379"/>
    </row>
    <row r="788" spans="1:21" s="1380" customFormat="1">
      <c r="A788" s="1457"/>
      <c r="B788" s="1379"/>
      <c r="C788" s="1379"/>
      <c r="D788" s="1379"/>
      <c r="E788" s="1379"/>
      <c r="F788" s="1379"/>
      <c r="G788" s="1379"/>
      <c r="H788" s="1379"/>
      <c r="I788" s="1379"/>
      <c r="J788" s="1379"/>
      <c r="L788" s="1379"/>
      <c r="M788" s="1379"/>
      <c r="N788" s="1379"/>
      <c r="O788" s="1379"/>
      <c r="P788" s="1379"/>
      <c r="Q788" s="1379"/>
      <c r="R788" s="1379"/>
      <c r="S788" s="1379"/>
      <c r="T788" s="1379"/>
      <c r="U788" s="1379"/>
    </row>
    <row r="789" spans="1:21" s="1380" customFormat="1">
      <c r="A789" s="1457"/>
      <c r="B789" s="1379"/>
      <c r="C789" s="1379"/>
      <c r="D789" s="1379"/>
      <c r="E789" s="1379"/>
      <c r="F789" s="1379"/>
      <c r="G789" s="1379"/>
      <c r="H789" s="1379"/>
      <c r="I789" s="1379"/>
      <c r="J789" s="1379"/>
      <c r="L789" s="1379"/>
      <c r="M789" s="1379"/>
      <c r="N789" s="1379"/>
      <c r="O789" s="1379"/>
      <c r="P789" s="1379"/>
      <c r="Q789" s="1379"/>
      <c r="R789" s="1379"/>
      <c r="S789" s="1379"/>
      <c r="T789" s="1379"/>
      <c r="U789" s="1379"/>
    </row>
    <row r="790" spans="1:21" s="1380" customFormat="1">
      <c r="A790" s="1457"/>
      <c r="B790" s="1379"/>
      <c r="C790" s="1379"/>
      <c r="D790" s="1379"/>
      <c r="E790" s="1379"/>
      <c r="F790" s="1379"/>
      <c r="G790" s="1379"/>
      <c r="H790" s="1379"/>
      <c r="I790" s="1379"/>
      <c r="J790" s="1379"/>
      <c r="L790" s="1379"/>
      <c r="M790" s="1379"/>
      <c r="N790" s="1379"/>
      <c r="O790" s="1379"/>
      <c r="P790" s="1379"/>
      <c r="Q790" s="1379"/>
      <c r="R790" s="1379"/>
      <c r="S790" s="1379"/>
      <c r="T790" s="1379"/>
      <c r="U790" s="1379"/>
    </row>
    <row r="791" spans="1:21" s="1380" customFormat="1">
      <c r="A791" s="1457"/>
      <c r="B791" s="1379"/>
      <c r="C791" s="1379"/>
      <c r="D791" s="1379"/>
      <c r="E791" s="1379"/>
      <c r="F791" s="1379"/>
      <c r="G791" s="1379"/>
      <c r="H791" s="1379"/>
      <c r="I791" s="1379"/>
      <c r="J791" s="1379"/>
      <c r="L791" s="1379"/>
      <c r="M791" s="1379"/>
      <c r="N791" s="1379"/>
      <c r="O791" s="1379"/>
      <c r="P791" s="1379"/>
      <c r="Q791" s="1379"/>
      <c r="R791" s="1379"/>
      <c r="S791" s="1379"/>
      <c r="T791" s="1379"/>
      <c r="U791" s="1379"/>
    </row>
    <row r="792" spans="1:21" s="1380" customFormat="1">
      <c r="A792" s="1457"/>
      <c r="B792" s="1379"/>
      <c r="C792" s="1379"/>
      <c r="D792" s="1379"/>
      <c r="E792" s="1379"/>
      <c r="F792" s="1379"/>
      <c r="G792" s="1379"/>
      <c r="H792" s="1379"/>
      <c r="I792" s="1379"/>
      <c r="J792" s="1379"/>
      <c r="L792" s="1379"/>
      <c r="M792" s="1379"/>
      <c r="N792" s="1379"/>
      <c r="O792" s="1379"/>
      <c r="P792" s="1379"/>
      <c r="Q792" s="1379"/>
      <c r="R792" s="1379"/>
      <c r="S792" s="1379"/>
      <c r="T792" s="1379"/>
      <c r="U792" s="1379"/>
    </row>
    <row r="793" spans="1:21" s="1380" customFormat="1">
      <c r="A793" s="1457"/>
      <c r="B793" s="1379"/>
      <c r="C793" s="1379"/>
      <c r="D793" s="1379"/>
      <c r="E793" s="1379"/>
      <c r="F793" s="1379"/>
      <c r="G793" s="1379"/>
      <c r="H793" s="1379"/>
      <c r="I793" s="1379"/>
      <c r="J793" s="1379"/>
      <c r="L793" s="1379"/>
      <c r="M793" s="1379"/>
      <c r="N793" s="1379"/>
      <c r="O793" s="1379"/>
      <c r="P793" s="1379"/>
      <c r="Q793" s="1379"/>
      <c r="R793" s="1379"/>
      <c r="S793" s="1379"/>
      <c r="T793" s="1379"/>
      <c r="U793" s="1379"/>
    </row>
    <row r="794" spans="1:21" s="1380" customFormat="1">
      <c r="A794" s="1457"/>
      <c r="B794" s="1379"/>
      <c r="C794" s="1379"/>
      <c r="D794" s="1379"/>
      <c r="E794" s="1379"/>
      <c r="F794" s="1379"/>
      <c r="G794" s="1379"/>
      <c r="H794" s="1379"/>
      <c r="I794" s="1379"/>
      <c r="J794" s="1379"/>
      <c r="L794" s="1379"/>
      <c r="M794" s="1379"/>
      <c r="N794" s="1379"/>
      <c r="O794" s="1379"/>
      <c r="P794" s="1379"/>
      <c r="Q794" s="1379"/>
      <c r="R794" s="1379"/>
      <c r="S794" s="1379"/>
      <c r="T794" s="1379"/>
      <c r="U794" s="1379"/>
    </row>
    <row r="795" spans="1:21" s="1380" customFormat="1">
      <c r="A795" s="1457"/>
      <c r="B795" s="1379"/>
      <c r="C795" s="1379"/>
      <c r="D795" s="1379"/>
      <c r="E795" s="1379"/>
      <c r="F795" s="1379"/>
      <c r="G795" s="1379"/>
      <c r="H795" s="1379"/>
      <c r="I795" s="1379"/>
      <c r="J795" s="1379"/>
      <c r="L795" s="1379"/>
      <c r="M795" s="1379"/>
      <c r="N795" s="1379"/>
      <c r="O795" s="1379"/>
      <c r="P795" s="1379"/>
      <c r="Q795" s="1379"/>
      <c r="R795" s="1379"/>
      <c r="S795" s="1379"/>
      <c r="T795" s="1379"/>
      <c r="U795" s="1379"/>
    </row>
    <row r="796" spans="1:21" s="1380" customFormat="1">
      <c r="A796" s="1457"/>
      <c r="B796" s="1379"/>
      <c r="C796" s="1379"/>
      <c r="D796" s="1379"/>
      <c r="E796" s="1379"/>
      <c r="F796" s="1379"/>
      <c r="G796" s="1379"/>
      <c r="H796" s="1379"/>
      <c r="I796" s="1379"/>
      <c r="J796" s="1379"/>
      <c r="L796" s="1379"/>
      <c r="M796" s="1379"/>
      <c r="N796" s="1379"/>
      <c r="O796" s="1379"/>
      <c r="P796" s="1379"/>
      <c r="Q796" s="1379"/>
      <c r="R796" s="1379"/>
      <c r="S796" s="1379"/>
      <c r="T796" s="1379"/>
      <c r="U796" s="1379"/>
    </row>
    <row r="797" spans="1:21" s="1380" customFormat="1">
      <c r="A797" s="1457"/>
      <c r="B797" s="1379"/>
      <c r="C797" s="1379"/>
      <c r="D797" s="1379"/>
      <c r="E797" s="1379"/>
      <c r="F797" s="1379"/>
      <c r="G797" s="1379"/>
      <c r="H797" s="1379"/>
      <c r="I797" s="1379"/>
      <c r="J797" s="1379"/>
      <c r="L797" s="1379"/>
      <c r="M797" s="1379"/>
      <c r="N797" s="1379"/>
      <c r="O797" s="1379"/>
      <c r="P797" s="1379"/>
      <c r="Q797" s="1379"/>
      <c r="R797" s="1379"/>
      <c r="S797" s="1379"/>
      <c r="T797" s="1379"/>
      <c r="U797" s="1379"/>
    </row>
    <row r="798" spans="1:21" s="1380" customFormat="1">
      <c r="A798" s="1457"/>
      <c r="B798" s="1379"/>
      <c r="C798" s="1379"/>
      <c r="D798" s="1379"/>
      <c r="E798" s="1379"/>
      <c r="F798" s="1379"/>
      <c r="G798" s="1379"/>
      <c r="H798" s="1379"/>
      <c r="I798" s="1379"/>
      <c r="J798" s="1379"/>
      <c r="L798" s="1379"/>
      <c r="M798" s="1379"/>
      <c r="N798" s="1379"/>
      <c r="O798" s="1379"/>
      <c r="P798" s="1379"/>
      <c r="Q798" s="1379"/>
      <c r="R798" s="1379"/>
      <c r="S798" s="1379"/>
      <c r="T798" s="1379"/>
      <c r="U798" s="1379"/>
    </row>
    <row r="799" spans="1:21" s="1380" customFormat="1">
      <c r="A799" s="1457"/>
      <c r="B799" s="1379"/>
      <c r="C799" s="1379"/>
      <c r="D799" s="1379"/>
      <c r="E799" s="1379"/>
      <c r="F799" s="1379"/>
      <c r="G799" s="1379"/>
      <c r="H799" s="1379"/>
      <c r="I799" s="1379"/>
      <c r="J799" s="1379"/>
      <c r="L799" s="1379"/>
      <c r="M799" s="1379"/>
      <c r="N799" s="1379"/>
      <c r="O799" s="1379"/>
      <c r="P799" s="1379"/>
      <c r="Q799" s="1379"/>
      <c r="R799" s="1379"/>
      <c r="S799" s="1379"/>
      <c r="T799" s="1379"/>
      <c r="U799" s="1379"/>
    </row>
    <row r="800" spans="1:21" s="1380" customFormat="1">
      <c r="A800" s="1457"/>
      <c r="B800" s="1379"/>
      <c r="C800" s="1379"/>
      <c r="D800" s="1379"/>
      <c r="E800" s="1379"/>
      <c r="F800" s="1379"/>
      <c r="G800" s="1379"/>
      <c r="H800" s="1379"/>
      <c r="I800" s="1379"/>
      <c r="J800" s="1379"/>
      <c r="L800" s="1379"/>
      <c r="M800" s="1379"/>
      <c r="N800" s="1379"/>
      <c r="O800" s="1379"/>
      <c r="P800" s="1379"/>
      <c r="Q800" s="1379"/>
      <c r="R800" s="1379"/>
      <c r="S800" s="1379"/>
      <c r="T800" s="1379"/>
      <c r="U800" s="1379"/>
    </row>
    <row r="801" spans="1:21" s="1380" customFormat="1">
      <c r="A801" s="1457"/>
      <c r="B801" s="1379"/>
      <c r="C801" s="1379"/>
      <c r="D801" s="1379"/>
      <c r="E801" s="1379"/>
      <c r="F801" s="1379"/>
      <c r="G801" s="1379"/>
      <c r="H801" s="1379"/>
      <c r="I801" s="1379"/>
      <c r="J801" s="1379"/>
      <c r="L801" s="1379"/>
      <c r="M801" s="1379"/>
      <c r="N801" s="1379"/>
      <c r="O801" s="1379"/>
      <c r="P801" s="1379"/>
      <c r="Q801" s="1379"/>
      <c r="R801" s="1379"/>
      <c r="S801" s="1379"/>
      <c r="T801" s="1379"/>
      <c r="U801" s="1379"/>
    </row>
    <row r="802" spans="1:21" s="1380" customFormat="1">
      <c r="A802" s="1457"/>
      <c r="B802" s="1379"/>
      <c r="C802" s="1379"/>
      <c r="D802" s="1379"/>
      <c r="E802" s="1379"/>
      <c r="F802" s="1379"/>
      <c r="G802" s="1379"/>
      <c r="H802" s="1379"/>
      <c r="I802" s="1379"/>
      <c r="J802" s="1379"/>
      <c r="L802" s="1379"/>
      <c r="M802" s="1379"/>
      <c r="N802" s="1379"/>
      <c r="O802" s="1379"/>
      <c r="P802" s="1379"/>
      <c r="Q802" s="1379"/>
      <c r="R802" s="1379"/>
      <c r="S802" s="1379"/>
      <c r="T802" s="1379"/>
      <c r="U802" s="1379"/>
    </row>
    <row r="803" spans="1:21" s="1380" customFormat="1">
      <c r="A803" s="1457"/>
      <c r="B803" s="1379"/>
      <c r="C803" s="1379"/>
      <c r="D803" s="1379"/>
      <c r="E803" s="1379"/>
      <c r="F803" s="1379"/>
      <c r="G803" s="1379"/>
      <c r="H803" s="1379"/>
      <c r="I803" s="1379"/>
      <c r="J803" s="1379"/>
      <c r="L803" s="1379"/>
      <c r="M803" s="1379"/>
      <c r="N803" s="1379"/>
      <c r="O803" s="1379"/>
      <c r="P803" s="1379"/>
      <c r="Q803" s="1379"/>
      <c r="R803" s="1379"/>
      <c r="S803" s="1379"/>
      <c r="T803" s="1379"/>
      <c r="U803" s="1379"/>
    </row>
    <row r="804" spans="1:21" s="1380" customFormat="1">
      <c r="A804" s="1457"/>
      <c r="B804" s="1379"/>
      <c r="C804" s="1379"/>
      <c r="D804" s="1379"/>
      <c r="E804" s="1379"/>
      <c r="F804" s="1379"/>
      <c r="G804" s="1379"/>
      <c r="H804" s="1379"/>
      <c r="I804" s="1379"/>
      <c r="J804" s="1379"/>
      <c r="L804" s="1379"/>
      <c r="M804" s="1379"/>
      <c r="N804" s="1379"/>
      <c r="O804" s="1379"/>
      <c r="P804" s="1379"/>
      <c r="Q804" s="1379"/>
      <c r="R804" s="1379"/>
      <c r="S804" s="1379"/>
      <c r="T804" s="1379"/>
      <c r="U804" s="1379"/>
    </row>
    <row r="805" spans="1:21" s="1380" customFormat="1">
      <c r="A805" s="1457"/>
      <c r="B805" s="1379"/>
      <c r="C805" s="1379"/>
      <c r="D805" s="1379"/>
      <c r="E805" s="1379"/>
      <c r="F805" s="1379"/>
      <c r="G805" s="1379"/>
      <c r="H805" s="1379"/>
      <c r="I805" s="1379"/>
      <c r="J805" s="1379"/>
      <c r="L805" s="1379"/>
      <c r="M805" s="1379"/>
      <c r="N805" s="1379"/>
      <c r="O805" s="1379"/>
      <c r="P805" s="1379"/>
      <c r="Q805" s="1379"/>
      <c r="R805" s="1379"/>
      <c r="S805" s="1379"/>
      <c r="T805" s="1379"/>
      <c r="U805" s="1379"/>
    </row>
    <row r="806" spans="1:21" s="1380" customFormat="1">
      <c r="A806" s="1457"/>
      <c r="B806" s="1379"/>
      <c r="C806" s="1379"/>
      <c r="D806" s="1379"/>
      <c r="E806" s="1379"/>
      <c r="F806" s="1379"/>
      <c r="G806" s="1379"/>
      <c r="H806" s="1379"/>
      <c r="I806" s="1379"/>
      <c r="J806" s="1379"/>
      <c r="L806" s="1379"/>
      <c r="M806" s="1379"/>
      <c r="N806" s="1379"/>
      <c r="O806" s="1379"/>
      <c r="P806" s="1379"/>
      <c r="Q806" s="1379"/>
      <c r="R806" s="1379"/>
      <c r="S806" s="1379"/>
      <c r="T806" s="1379"/>
      <c r="U806" s="1379"/>
    </row>
    <row r="807" spans="1:21" s="1380" customFormat="1">
      <c r="A807" s="1457"/>
      <c r="B807" s="1379"/>
      <c r="C807" s="1379"/>
      <c r="D807" s="1379"/>
      <c r="E807" s="1379"/>
      <c r="F807" s="1379"/>
      <c r="G807" s="1379"/>
      <c r="H807" s="1379"/>
      <c r="I807" s="1379"/>
      <c r="J807" s="1379"/>
      <c r="L807" s="1379"/>
      <c r="M807" s="1379"/>
      <c r="N807" s="1379"/>
      <c r="O807" s="1379"/>
      <c r="P807" s="1379"/>
      <c r="Q807" s="1379"/>
      <c r="R807" s="1379"/>
      <c r="S807" s="1379"/>
      <c r="T807" s="1379"/>
      <c r="U807" s="1379"/>
    </row>
    <row r="808" spans="1:21" s="1380" customFormat="1">
      <c r="A808" s="1457"/>
      <c r="B808" s="1379"/>
      <c r="C808" s="1379"/>
      <c r="D808" s="1379"/>
      <c r="E808" s="1379"/>
      <c r="F808" s="1379"/>
      <c r="G808" s="1379"/>
      <c r="H808" s="1379"/>
      <c r="I808" s="1379"/>
      <c r="J808" s="1379"/>
      <c r="L808" s="1379"/>
      <c r="M808" s="1379"/>
      <c r="N808" s="1379"/>
      <c r="O808" s="1379"/>
      <c r="P808" s="1379"/>
      <c r="Q808" s="1379"/>
      <c r="R808" s="1379"/>
      <c r="S808" s="1379"/>
      <c r="T808" s="1379"/>
      <c r="U808" s="1379"/>
    </row>
    <row r="809" spans="1:21" s="1380" customFormat="1">
      <c r="A809" s="1457"/>
      <c r="B809" s="1379"/>
      <c r="C809" s="1379"/>
      <c r="D809" s="1379"/>
      <c r="E809" s="1379"/>
      <c r="F809" s="1379"/>
      <c r="G809" s="1379"/>
      <c r="H809" s="1379"/>
      <c r="I809" s="1379"/>
      <c r="J809" s="1379"/>
      <c r="L809" s="1379"/>
      <c r="M809" s="1379"/>
      <c r="N809" s="1379"/>
      <c r="O809" s="1379"/>
      <c r="P809" s="1379"/>
      <c r="Q809" s="1379"/>
      <c r="R809" s="1379"/>
      <c r="S809" s="1379"/>
      <c r="T809" s="1379"/>
      <c r="U809" s="1379"/>
    </row>
    <row r="810" spans="1:21" s="1380" customFormat="1">
      <c r="A810" s="1457"/>
      <c r="B810" s="1379"/>
      <c r="C810" s="1379"/>
      <c r="D810" s="1379"/>
      <c r="E810" s="1379"/>
      <c r="F810" s="1379"/>
      <c r="G810" s="1379"/>
      <c r="H810" s="1379"/>
      <c r="I810" s="1379"/>
      <c r="J810" s="1379"/>
      <c r="L810" s="1379"/>
      <c r="M810" s="1379"/>
      <c r="N810" s="1379"/>
      <c r="O810" s="1379"/>
      <c r="P810" s="1379"/>
      <c r="Q810" s="1379"/>
      <c r="R810" s="1379"/>
      <c r="S810" s="1379"/>
      <c r="T810" s="1379"/>
      <c r="U810" s="1379"/>
    </row>
    <row r="811" spans="1:21" s="1380" customFormat="1">
      <c r="A811" s="1457"/>
      <c r="B811" s="1379"/>
      <c r="C811" s="1379"/>
      <c r="D811" s="1379"/>
      <c r="E811" s="1379"/>
      <c r="F811" s="1379"/>
      <c r="G811" s="1379"/>
      <c r="H811" s="1379"/>
      <c r="I811" s="1379"/>
      <c r="J811" s="1379"/>
      <c r="L811" s="1379"/>
      <c r="M811" s="1379"/>
      <c r="N811" s="1379"/>
      <c r="O811" s="1379"/>
      <c r="P811" s="1379"/>
      <c r="Q811" s="1379"/>
      <c r="R811" s="1379"/>
      <c r="S811" s="1379"/>
      <c r="T811" s="1379"/>
      <c r="U811" s="1379"/>
    </row>
    <row r="812" spans="1:21" s="1380" customFormat="1">
      <c r="A812" s="1457"/>
      <c r="B812" s="1379"/>
      <c r="C812" s="1379"/>
      <c r="D812" s="1379"/>
      <c r="E812" s="1379"/>
      <c r="F812" s="1379"/>
      <c r="G812" s="1379"/>
      <c r="H812" s="1379"/>
      <c r="I812" s="1379"/>
      <c r="J812" s="1379"/>
      <c r="L812" s="1379"/>
      <c r="M812" s="1379"/>
      <c r="N812" s="1379"/>
      <c r="O812" s="1379"/>
      <c r="P812" s="1379"/>
      <c r="Q812" s="1379"/>
      <c r="R812" s="1379"/>
      <c r="S812" s="1379"/>
      <c r="T812" s="1379"/>
      <c r="U812" s="1379"/>
    </row>
    <row r="813" spans="1:21" s="1380" customFormat="1">
      <c r="A813" s="1457"/>
      <c r="B813" s="1379"/>
      <c r="C813" s="1379"/>
      <c r="D813" s="1379"/>
      <c r="E813" s="1379"/>
      <c r="F813" s="1379"/>
      <c r="G813" s="1379"/>
      <c r="H813" s="1379"/>
      <c r="I813" s="1379"/>
      <c r="J813" s="1379"/>
      <c r="L813" s="1379"/>
      <c r="M813" s="1379"/>
      <c r="N813" s="1379"/>
      <c r="O813" s="1379"/>
      <c r="P813" s="1379"/>
      <c r="Q813" s="1379"/>
      <c r="R813" s="1379"/>
      <c r="S813" s="1379"/>
      <c r="T813" s="1379"/>
      <c r="U813" s="1379"/>
    </row>
    <row r="814" spans="1:21" s="1380" customFormat="1">
      <c r="A814" s="1457"/>
      <c r="B814" s="1379"/>
      <c r="C814" s="1379"/>
      <c r="D814" s="1379"/>
      <c r="E814" s="1379"/>
      <c r="F814" s="1379"/>
      <c r="G814" s="1379"/>
      <c r="H814" s="1379"/>
      <c r="I814" s="1379"/>
      <c r="J814" s="1379"/>
      <c r="L814" s="1379"/>
      <c r="M814" s="1379"/>
      <c r="N814" s="1379"/>
      <c r="O814" s="1379"/>
      <c r="P814" s="1379"/>
      <c r="Q814" s="1379"/>
      <c r="R814" s="1379"/>
      <c r="S814" s="1379"/>
      <c r="T814" s="1379"/>
      <c r="U814" s="1379"/>
    </row>
    <row r="815" spans="1:21" s="1380" customFormat="1">
      <c r="A815" s="1457"/>
      <c r="B815" s="1379"/>
      <c r="C815" s="1379"/>
      <c r="D815" s="1379"/>
      <c r="E815" s="1379"/>
      <c r="F815" s="1379"/>
      <c r="G815" s="1379"/>
      <c r="H815" s="1379"/>
      <c r="I815" s="1379"/>
      <c r="J815" s="1379"/>
      <c r="L815" s="1379"/>
      <c r="M815" s="1379"/>
      <c r="N815" s="1379"/>
      <c r="O815" s="1379"/>
      <c r="P815" s="1379"/>
      <c r="Q815" s="1379"/>
      <c r="R815" s="1379"/>
      <c r="S815" s="1379"/>
      <c r="T815" s="1379"/>
      <c r="U815" s="1379"/>
    </row>
    <row r="816" spans="1:21" s="1380" customFormat="1">
      <c r="A816" s="1457"/>
      <c r="B816" s="1379"/>
      <c r="C816" s="1379"/>
      <c r="D816" s="1379"/>
      <c r="E816" s="1379"/>
      <c r="F816" s="1379"/>
      <c r="G816" s="1379"/>
      <c r="H816" s="1379"/>
      <c r="I816" s="1379"/>
      <c r="J816" s="1379"/>
      <c r="L816" s="1379"/>
      <c r="M816" s="1379"/>
      <c r="N816" s="1379"/>
      <c r="O816" s="1379"/>
      <c r="P816" s="1379"/>
      <c r="Q816" s="1379"/>
      <c r="R816" s="1379"/>
      <c r="S816" s="1379"/>
      <c r="T816" s="1379"/>
      <c r="U816" s="1379"/>
    </row>
    <row r="817" spans="1:21" s="1380" customFormat="1">
      <c r="A817" s="1457"/>
      <c r="B817" s="1379"/>
      <c r="C817" s="1379"/>
      <c r="D817" s="1379"/>
      <c r="E817" s="1379"/>
      <c r="F817" s="1379"/>
      <c r="G817" s="1379"/>
      <c r="H817" s="1379"/>
      <c r="I817" s="1379"/>
      <c r="J817" s="1379"/>
      <c r="L817" s="1379"/>
      <c r="M817" s="1379"/>
      <c r="N817" s="1379"/>
      <c r="O817" s="1379"/>
      <c r="P817" s="1379"/>
      <c r="Q817" s="1379"/>
      <c r="R817" s="1379"/>
      <c r="S817" s="1379"/>
      <c r="T817" s="1379"/>
      <c r="U817" s="1379"/>
    </row>
    <row r="818" spans="1:21" s="1380" customFormat="1">
      <c r="A818" s="1457"/>
      <c r="B818" s="1379"/>
      <c r="C818" s="1379"/>
      <c r="D818" s="1379"/>
      <c r="E818" s="1379"/>
      <c r="F818" s="1379"/>
      <c r="G818" s="1379"/>
      <c r="H818" s="1379"/>
      <c r="I818" s="1379"/>
      <c r="J818" s="1379"/>
      <c r="L818" s="1379"/>
      <c r="M818" s="1379"/>
      <c r="N818" s="1379"/>
      <c r="O818" s="1379"/>
      <c r="P818" s="1379"/>
      <c r="Q818" s="1379"/>
      <c r="R818" s="1379"/>
      <c r="S818" s="1379"/>
      <c r="T818" s="1379"/>
      <c r="U818" s="1379"/>
    </row>
    <row r="819" spans="1:21" s="1380" customFormat="1">
      <c r="A819" s="1457"/>
      <c r="B819" s="1379"/>
      <c r="C819" s="1379"/>
      <c r="D819" s="1379"/>
      <c r="E819" s="1379"/>
      <c r="F819" s="1379"/>
      <c r="G819" s="1379"/>
      <c r="H819" s="1379"/>
      <c r="I819" s="1379"/>
      <c r="J819" s="1379"/>
      <c r="L819" s="1379"/>
      <c r="M819" s="1379"/>
      <c r="N819" s="1379"/>
      <c r="O819" s="1379"/>
      <c r="P819" s="1379"/>
      <c r="Q819" s="1379"/>
      <c r="R819" s="1379"/>
      <c r="S819" s="1379"/>
      <c r="T819" s="1379"/>
      <c r="U819" s="1379"/>
    </row>
    <row r="820" spans="1:21" s="1380" customFormat="1">
      <c r="A820" s="1457"/>
      <c r="B820" s="1379"/>
      <c r="C820" s="1379"/>
      <c r="D820" s="1379"/>
      <c r="E820" s="1379"/>
      <c r="F820" s="1379"/>
      <c r="G820" s="1379"/>
      <c r="H820" s="1379"/>
      <c r="I820" s="1379"/>
      <c r="J820" s="1379"/>
      <c r="L820" s="1379"/>
      <c r="M820" s="1379"/>
      <c r="N820" s="1379"/>
      <c r="O820" s="1379"/>
      <c r="P820" s="1379"/>
      <c r="Q820" s="1379"/>
      <c r="R820" s="1379"/>
      <c r="S820" s="1379"/>
      <c r="T820" s="1379"/>
      <c r="U820" s="1379"/>
    </row>
    <row r="821" spans="1:21" s="1380" customFormat="1">
      <c r="A821" s="1457"/>
      <c r="B821" s="1379"/>
      <c r="C821" s="1379"/>
      <c r="D821" s="1379"/>
      <c r="E821" s="1379"/>
      <c r="F821" s="1379"/>
      <c r="G821" s="1379"/>
      <c r="H821" s="1379"/>
      <c r="I821" s="1379"/>
      <c r="J821" s="1379"/>
      <c r="L821" s="1379"/>
      <c r="M821" s="1379"/>
      <c r="N821" s="1379"/>
      <c r="O821" s="1379"/>
      <c r="P821" s="1379"/>
      <c r="Q821" s="1379"/>
      <c r="R821" s="1379"/>
      <c r="S821" s="1379"/>
      <c r="T821" s="1379"/>
      <c r="U821" s="1379"/>
    </row>
    <row r="822" spans="1:21" s="1380" customFormat="1">
      <c r="A822" s="1457"/>
      <c r="B822" s="1379"/>
      <c r="C822" s="1379"/>
      <c r="D822" s="1379"/>
      <c r="E822" s="1379"/>
      <c r="F822" s="1379"/>
      <c r="G822" s="1379"/>
      <c r="H822" s="1379"/>
      <c r="I822" s="1379"/>
      <c r="J822" s="1379"/>
      <c r="L822" s="1379"/>
      <c r="M822" s="1379"/>
      <c r="N822" s="1379"/>
      <c r="O822" s="1379"/>
      <c r="P822" s="1379"/>
      <c r="Q822" s="1379"/>
      <c r="R822" s="1379"/>
      <c r="S822" s="1379"/>
      <c r="T822" s="1379"/>
      <c r="U822" s="1379"/>
    </row>
    <row r="823" spans="1:21" s="1380" customFormat="1">
      <c r="A823" s="1457"/>
      <c r="B823" s="1379"/>
      <c r="C823" s="1379"/>
      <c r="D823" s="1379"/>
      <c r="E823" s="1379"/>
      <c r="F823" s="1379"/>
      <c r="G823" s="1379"/>
      <c r="H823" s="1379"/>
      <c r="I823" s="1379"/>
      <c r="J823" s="1379"/>
      <c r="L823" s="1379"/>
      <c r="M823" s="1379"/>
      <c r="N823" s="1379"/>
      <c r="O823" s="1379"/>
      <c r="P823" s="1379"/>
      <c r="Q823" s="1379"/>
      <c r="R823" s="1379"/>
      <c r="S823" s="1379"/>
      <c r="T823" s="1379"/>
      <c r="U823" s="1379"/>
    </row>
    <row r="824" spans="1:21" s="1380" customFormat="1">
      <c r="A824" s="1457"/>
      <c r="B824" s="1379"/>
      <c r="C824" s="1379"/>
      <c r="D824" s="1379"/>
      <c r="E824" s="1379"/>
      <c r="F824" s="1379"/>
      <c r="G824" s="1379"/>
      <c r="H824" s="1379"/>
      <c r="I824" s="1379"/>
      <c r="J824" s="1379"/>
      <c r="L824" s="1379"/>
      <c r="M824" s="1379"/>
      <c r="N824" s="1379"/>
      <c r="O824" s="1379"/>
      <c r="P824" s="1379"/>
      <c r="Q824" s="1379"/>
      <c r="R824" s="1379"/>
      <c r="S824" s="1379"/>
      <c r="T824" s="1379"/>
      <c r="U824" s="1379"/>
    </row>
    <row r="825" spans="1:21" s="1380" customFormat="1">
      <c r="A825" s="1457"/>
      <c r="B825" s="1379"/>
      <c r="C825" s="1379"/>
      <c r="D825" s="1379"/>
      <c r="E825" s="1379"/>
      <c r="F825" s="1379"/>
      <c r="G825" s="1379"/>
      <c r="H825" s="1379"/>
      <c r="I825" s="1379"/>
      <c r="J825" s="1379"/>
      <c r="L825" s="1379"/>
      <c r="M825" s="1379"/>
      <c r="N825" s="1379"/>
      <c r="O825" s="1379"/>
      <c r="P825" s="1379"/>
      <c r="Q825" s="1379"/>
      <c r="R825" s="1379"/>
      <c r="S825" s="1379"/>
      <c r="T825" s="1379"/>
      <c r="U825" s="1379"/>
    </row>
    <row r="826" spans="1:21" s="1380" customFormat="1">
      <c r="A826" s="1457"/>
      <c r="B826" s="1379"/>
      <c r="C826" s="1379"/>
      <c r="D826" s="1379"/>
      <c r="E826" s="1379"/>
      <c r="F826" s="1379"/>
      <c r="G826" s="1379"/>
      <c r="H826" s="1379"/>
      <c r="I826" s="1379"/>
      <c r="J826" s="1379"/>
      <c r="L826" s="1379"/>
      <c r="M826" s="1379"/>
      <c r="N826" s="1379"/>
      <c r="O826" s="1379"/>
      <c r="P826" s="1379"/>
      <c r="Q826" s="1379"/>
      <c r="R826" s="1379"/>
      <c r="S826" s="1379"/>
      <c r="T826" s="1379"/>
      <c r="U826" s="1379"/>
    </row>
    <row r="827" spans="1:21" s="1380" customFormat="1">
      <c r="A827" s="1457"/>
      <c r="B827" s="1379"/>
      <c r="C827" s="1379"/>
      <c r="D827" s="1379"/>
      <c r="E827" s="1379"/>
      <c r="F827" s="1379"/>
      <c r="G827" s="1379"/>
      <c r="H827" s="1379"/>
      <c r="I827" s="1379"/>
      <c r="J827" s="1379"/>
      <c r="L827" s="1379"/>
      <c r="M827" s="1379"/>
      <c r="N827" s="1379"/>
      <c r="O827" s="1379"/>
      <c r="P827" s="1379"/>
      <c r="Q827" s="1379"/>
      <c r="R827" s="1379"/>
      <c r="S827" s="1379"/>
      <c r="T827" s="1379"/>
      <c r="U827" s="1379"/>
    </row>
    <row r="828" spans="1:21" s="1380" customFormat="1">
      <c r="A828" s="1457"/>
      <c r="B828" s="1379"/>
      <c r="C828" s="1379"/>
      <c r="D828" s="1379"/>
      <c r="E828" s="1379"/>
      <c r="F828" s="1379"/>
      <c r="G828" s="1379"/>
      <c r="H828" s="1379"/>
      <c r="I828" s="1379"/>
      <c r="J828" s="1379"/>
      <c r="L828" s="1379"/>
      <c r="M828" s="1379"/>
      <c r="N828" s="1379"/>
      <c r="O828" s="1379"/>
      <c r="P828" s="1379"/>
      <c r="Q828" s="1379"/>
      <c r="R828" s="1379"/>
      <c r="S828" s="1379"/>
      <c r="T828" s="1379"/>
      <c r="U828" s="1379"/>
    </row>
    <row r="829" spans="1:21" s="1380" customFormat="1">
      <c r="A829" s="1457"/>
      <c r="B829" s="1379"/>
      <c r="C829" s="1379"/>
      <c r="D829" s="1379"/>
      <c r="E829" s="1379"/>
      <c r="F829" s="1379"/>
      <c r="G829" s="1379"/>
      <c r="H829" s="1379"/>
      <c r="I829" s="1379"/>
      <c r="J829" s="1379"/>
      <c r="L829" s="1379"/>
      <c r="M829" s="1379"/>
      <c r="N829" s="1379"/>
      <c r="O829" s="1379"/>
      <c r="P829" s="1379"/>
      <c r="Q829" s="1379"/>
      <c r="R829" s="1379"/>
      <c r="S829" s="1379"/>
      <c r="T829" s="1379"/>
      <c r="U829" s="1379"/>
    </row>
    <row r="830" spans="1:21" s="1380" customFormat="1">
      <c r="A830" s="1457"/>
      <c r="B830" s="1379"/>
      <c r="C830" s="1379"/>
      <c r="D830" s="1379"/>
      <c r="E830" s="1379"/>
      <c r="F830" s="1379"/>
      <c r="G830" s="1379"/>
      <c r="H830" s="1379"/>
      <c r="I830" s="1379"/>
      <c r="J830" s="1379"/>
      <c r="L830" s="1379"/>
      <c r="M830" s="1379"/>
      <c r="N830" s="1379"/>
      <c r="O830" s="1379"/>
      <c r="P830" s="1379"/>
      <c r="Q830" s="1379"/>
      <c r="R830" s="1379"/>
      <c r="S830" s="1379"/>
      <c r="T830" s="1379"/>
      <c r="U830" s="1379"/>
    </row>
    <row r="831" spans="1:21" s="1380" customFormat="1">
      <c r="A831" s="1457"/>
      <c r="B831" s="1379"/>
      <c r="C831" s="1379"/>
      <c r="D831" s="1379"/>
      <c r="E831" s="1379"/>
      <c r="F831" s="1379"/>
      <c r="G831" s="1379"/>
      <c r="H831" s="1379"/>
      <c r="I831" s="1379"/>
      <c r="J831" s="1379"/>
      <c r="L831" s="1379"/>
      <c r="M831" s="1379"/>
      <c r="N831" s="1379"/>
      <c r="O831" s="1379"/>
      <c r="P831" s="1379"/>
      <c r="Q831" s="1379"/>
      <c r="R831" s="1379"/>
      <c r="S831" s="1379"/>
      <c r="T831" s="1379"/>
      <c r="U831" s="1379"/>
    </row>
    <row r="832" spans="1:21" s="1380" customFormat="1">
      <c r="A832" s="1457"/>
      <c r="B832" s="1379"/>
      <c r="C832" s="1379"/>
      <c r="D832" s="1379"/>
      <c r="E832" s="1379"/>
      <c r="F832" s="1379"/>
      <c r="G832" s="1379"/>
      <c r="H832" s="1379"/>
      <c r="I832" s="1379"/>
      <c r="J832" s="1379"/>
      <c r="L832" s="1379"/>
      <c r="M832" s="1379"/>
      <c r="N832" s="1379"/>
      <c r="O832" s="1379"/>
      <c r="P832" s="1379"/>
      <c r="Q832" s="1379"/>
      <c r="R832" s="1379"/>
      <c r="S832" s="1379"/>
      <c r="T832" s="1379"/>
      <c r="U832" s="1379"/>
    </row>
    <row r="833" spans="1:21" s="1380" customFormat="1">
      <c r="A833" s="1457"/>
      <c r="B833" s="1379"/>
      <c r="C833" s="1379"/>
      <c r="D833" s="1379"/>
      <c r="E833" s="1379"/>
      <c r="F833" s="1379"/>
      <c r="G833" s="1379"/>
      <c r="H833" s="1379"/>
      <c r="I833" s="1379"/>
      <c r="J833" s="1379"/>
      <c r="L833" s="1379"/>
      <c r="M833" s="1379"/>
      <c r="N833" s="1379"/>
      <c r="O833" s="1379"/>
      <c r="P833" s="1379"/>
      <c r="Q833" s="1379"/>
      <c r="R833" s="1379"/>
      <c r="S833" s="1379"/>
      <c r="T833" s="1379"/>
      <c r="U833" s="1379"/>
    </row>
    <row r="834" spans="1:21" s="1380" customFormat="1">
      <c r="A834" s="1457"/>
      <c r="B834" s="1379"/>
      <c r="C834" s="1379"/>
      <c r="D834" s="1379"/>
      <c r="E834" s="1379"/>
      <c r="F834" s="1379"/>
      <c r="G834" s="1379"/>
      <c r="H834" s="1379"/>
      <c r="I834" s="1379"/>
      <c r="J834" s="1379"/>
      <c r="L834" s="1379"/>
      <c r="M834" s="1379"/>
      <c r="N834" s="1379"/>
      <c r="O834" s="1379"/>
      <c r="P834" s="1379"/>
      <c r="Q834" s="1379"/>
      <c r="R834" s="1379"/>
      <c r="S834" s="1379"/>
      <c r="T834" s="1379"/>
      <c r="U834" s="1379"/>
    </row>
    <row r="835" spans="1:21" s="1380" customFormat="1">
      <c r="A835" s="1457"/>
      <c r="B835" s="1379"/>
      <c r="C835" s="1379"/>
      <c r="D835" s="1379"/>
      <c r="E835" s="1379"/>
      <c r="F835" s="1379"/>
      <c r="G835" s="1379"/>
      <c r="H835" s="1379"/>
      <c r="I835" s="1379"/>
      <c r="J835" s="1379"/>
      <c r="L835" s="1379"/>
      <c r="M835" s="1379"/>
      <c r="N835" s="1379"/>
      <c r="O835" s="1379"/>
      <c r="P835" s="1379"/>
      <c r="Q835" s="1379"/>
      <c r="R835" s="1379"/>
      <c r="S835" s="1379"/>
      <c r="T835" s="1379"/>
      <c r="U835" s="1379"/>
    </row>
    <row r="836" spans="1:21" s="1380" customFormat="1">
      <c r="A836" s="1457"/>
      <c r="B836" s="1379"/>
      <c r="C836" s="1379"/>
      <c r="D836" s="1379"/>
      <c r="E836" s="1379"/>
      <c r="F836" s="1379"/>
      <c r="G836" s="1379"/>
      <c r="H836" s="1379"/>
      <c r="I836" s="1379"/>
      <c r="J836" s="1379"/>
      <c r="L836" s="1379"/>
      <c r="M836" s="1379"/>
      <c r="N836" s="1379"/>
      <c r="O836" s="1379"/>
      <c r="P836" s="1379"/>
      <c r="Q836" s="1379"/>
      <c r="R836" s="1379"/>
      <c r="S836" s="1379"/>
      <c r="T836" s="1379"/>
      <c r="U836" s="1379"/>
    </row>
    <row r="837" spans="1:21" s="1380" customFormat="1">
      <c r="A837" s="1457"/>
      <c r="B837" s="1379"/>
      <c r="C837" s="1379"/>
      <c r="D837" s="1379"/>
      <c r="E837" s="1379"/>
      <c r="F837" s="1379"/>
      <c r="G837" s="1379"/>
      <c r="H837" s="1379"/>
      <c r="I837" s="1379"/>
      <c r="J837" s="1379"/>
      <c r="L837" s="1379"/>
      <c r="M837" s="1379"/>
      <c r="N837" s="1379"/>
      <c r="O837" s="1379"/>
      <c r="P837" s="1379"/>
      <c r="Q837" s="1379"/>
      <c r="R837" s="1379"/>
      <c r="S837" s="1379"/>
      <c r="T837" s="1379"/>
      <c r="U837" s="1379"/>
    </row>
    <row r="838" spans="1:21" s="1380" customFormat="1">
      <c r="A838" s="1457"/>
      <c r="B838" s="1379"/>
      <c r="C838" s="1379"/>
      <c r="D838" s="1379"/>
      <c r="E838" s="1379"/>
      <c r="F838" s="1379"/>
      <c r="G838" s="1379"/>
      <c r="H838" s="1379"/>
      <c r="I838" s="1379"/>
      <c r="J838" s="1379"/>
      <c r="L838" s="1379"/>
      <c r="M838" s="1379"/>
      <c r="N838" s="1379"/>
      <c r="O838" s="1379"/>
      <c r="P838" s="1379"/>
      <c r="Q838" s="1379"/>
      <c r="R838" s="1379"/>
      <c r="S838" s="1379"/>
      <c r="T838" s="1379"/>
      <c r="U838" s="1379"/>
    </row>
    <row r="839" spans="1:21" s="1380" customFormat="1">
      <c r="A839" s="1457"/>
      <c r="B839" s="1379"/>
      <c r="C839" s="1379"/>
      <c r="D839" s="1379"/>
      <c r="E839" s="1379"/>
      <c r="F839" s="1379"/>
      <c r="G839" s="1379"/>
      <c r="H839" s="1379"/>
      <c r="I839" s="1379"/>
      <c r="J839" s="1379"/>
      <c r="L839" s="1379"/>
      <c r="M839" s="1379"/>
      <c r="N839" s="1379"/>
      <c r="O839" s="1379"/>
      <c r="P839" s="1379"/>
      <c r="Q839" s="1379"/>
      <c r="R839" s="1379"/>
      <c r="S839" s="1379"/>
      <c r="T839" s="1379"/>
      <c r="U839" s="1379"/>
    </row>
    <row r="840" spans="1:21" s="1380" customFormat="1">
      <c r="A840" s="1457"/>
      <c r="B840" s="1379"/>
      <c r="C840" s="1379"/>
      <c r="D840" s="1379"/>
      <c r="E840" s="1379"/>
      <c r="F840" s="1379"/>
      <c r="G840" s="1379"/>
      <c r="H840" s="1379"/>
      <c r="I840" s="1379"/>
      <c r="J840" s="1379"/>
      <c r="L840" s="1379"/>
      <c r="M840" s="1379"/>
      <c r="N840" s="1379"/>
      <c r="O840" s="1379"/>
      <c r="P840" s="1379"/>
      <c r="Q840" s="1379"/>
      <c r="R840" s="1379"/>
      <c r="S840" s="1379"/>
      <c r="T840" s="1379"/>
      <c r="U840" s="1379"/>
    </row>
    <row r="841" spans="1:21" s="1380" customFormat="1">
      <c r="A841" s="1457"/>
      <c r="B841" s="1379"/>
      <c r="C841" s="1379"/>
      <c r="D841" s="1379"/>
      <c r="E841" s="1379"/>
      <c r="F841" s="1379"/>
      <c r="G841" s="1379"/>
      <c r="H841" s="1379"/>
      <c r="I841" s="1379"/>
      <c r="J841" s="1379"/>
      <c r="L841" s="1379"/>
      <c r="M841" s="1379"/>
      <c r="N841" s="1379"/>
      <c r="O841" s="1379"/>
      <c r="P841" s="1379"/>
      <c r="Q841" s="1379"/>
      <c r="R841" s="1379"/>
      <c r="S841" s="1379"/>
      <c r="T841" s="1379"/>
      <c r="U841" s="1379"/>
    </row>
    <row r="842" spans="1:21" s="1380" customFormat="1">
      <c r="A842" s="1457"/>
      <c r="B842" s="1379"/>
      <c r="C842" s="1379"/>
      <c r="D842" s="1379"/>
      <c r="E842" s="1379"/>
      <c r="F842" s="1379"/>
      <c r="G842" s="1379"/>
      <c r="H842" s="1379"/>
      <c r="I842" s="1379"/>
      <c r="J842" s="1379"/>
      <c r="L842" s="1379"/>
      <c r="M842" s="1379"/>
      <c r="N842" s="1379"/>
      <c r="O842" s="1379"/>
      <c r="P842" s="1379"/>
      <c r="Q842" s="1379"/>
      <c r="R842" s="1379"/>
      <c r="S842" s="1379"/>
      <c r="T842" s="1379"/>
      <c r="U842" s="1379"/>
    </row>
    <row r="843" spans="1:21" s="1380" customFormat="1">
      <c r="A843" s="1457"/>
      <c r="B843" s="1379"/>
      <c r="C843" s="1379"/>
      <c r="D843" s="1379"/>
      <c r="E843" s="1379"/>
      <c r="F843" s="1379"/>
      <c r="G843" s="1379"/>
      <c r="H843" s="1379"/>
      <c r="I843" s="1379"/>
      <c r="J843" s="1379"/>
      <c r="L843" s="1379"/>
      <c r="M843" s="1379"/>
      <c r="N843" s="1379"/>
      <c r="O843" s="1379"/>
      <c r="P843" s="1379"/>
      <c r="Q843" s="1379"/>
      <c r="R843" s="1379"/>
      <c r="S843" s="1379"/>
      <c r="T843" s="1379"/>
      <c r="U843" s="1379"/>
    </row>
    <row r="844" spans="1:21" s="1380" customFormat="1">
      <c r="A844" s="1457"/>
      <c r="B844" s="1379"/>
      <c r="C844" s="1379"/>
      <c r="D844" s="1379"/>
      <c r="E844" s="1379"/>
      <c r="F844" s="1379"/>
      <c r="G844" s="1379"/>
      <c r="H844" s="1379"/>
      <c r="I844" s="1379"/>
      <c r="J844" s="1379"/>
      <c r="L844" s="1379"/>
      <c r="M844" s="1379"/>
      <c r="N844" s="1379"/>
      <c r="O844" s="1379"/>
      <c r="P844" s="1379"/>
      <c r="Q844" s="1379"/>
      <c r="R844" s="1379"/>
      <c r="S844" s="1379"/>
      <c r="T844" s="1379"/>
      <c r="U844" s="1379"/>
    </row>
    <row r="845" spans="1:21" s="1380" customFormat="1">
      <c r="A845" s="1457"/>
      <c r="B845" s="1379"/>
      <c r="C845" s="1379"/>
      <c r="D845" s="1379"/>
      <c r="E845" s="1379"/>
      <c r="F845" s="1379"/>
      <c r="G845" s="1379"/>
      <c r="H845" s="1379"/>
      <c r="I845" s="1379"/>
      <c r="J845" s="1379"/>
      <c r="L845" s="1379"/>
      <c r="M845" s="1379"/>
      <c r="N845" s="1379"/>
      <c r="O845" s="1379"/>
      <c r="P845" s="1379"/>
      <c r="Q845" s="1379"/>
      <c r="R845" s="1379"/>
      <c r="S845" s="1379"/>
      <c r="T845" s="1379"/>
      <c r="U845" s="1379"/>
    </row>
    <row r="846" spans="1:21" s="1380" customFormat="1">
      <c r="A846" s="1457"/>
      <c r="B846" s="1379"/>
      <c r="C846" s="1379"/>
      <c r="D846" s="1379"/>
      <c r="E846" s="1379"/>
      <c r="F846" s="1379"/>
      <c r="G846" s="1379"/>
      <c r="H846" s="1379"/>
      <c r="I846" s="1379"/>
      <c r="J846" s="1379"/>
      <c r="L846" s="1379"/>
      <c r="M846" s="1379"/>
      <c r="N846" s="1379"/>
      <c r="O846" s="1379"/>
      <c r="P846" s="1379"/>
      <c r="Q846" s="1379"/>
      <c r="R846" s="1379"/>
      <c r="S846" s="1379"/>
      <c r="T846" s="1379"/>
      <c r="U846" s="1379"/>
    </row>
    <row r="847" spans="1:21" s="1380" customFormat="1">
      <c r="A847" s="1457"/>
      <c r="B847" s="1379"/>
      <c r="C847" s="1379"/>
      <c r="D847" s="1379"/>
      <c r="E847" s="1379"/>
      <c r="F847" s="1379"/>
      <c r="G847" s="1379"/>
      <c r="H847" s="1379"/>
      <c r="I847" s="1379"/>
      <c r="J847" s="1379"/>
      <c r="L847" s="1379"/>
      <c r="M847" s="1379"/>
      <c r="N847" s="1379"/>
      <c r="O847" s="1379"/>
      <c r="P847" s="1379"/>
      <c r="Q847" s="1379"/>
      <c r="R847" s="1379"/>
      <c r="S847" s="1379"/>
      <c r="T847" s="1379"/>
      <c r="U847" s="1379"/>
    </row>
    <row r="848" spans="1:21" s="1380" customFormat="1">
      <c r="A848" s="1457"/>
      <c r="B848" s="1379"/>
      <c r="C848" s="1379"/>
      <c r="D848" s="1379"/>
      <c r="E848" s="1379"/>
      <c r="F848" s="1379"/>
      <c r="G848" s="1379"/>
      <c r="H848" s="1379"/>
      <c r="I848" s="1379"/>
      <c r="J848" s="1379"/>
      <c r="L848" s="1379"/>
      <c r="M848" s="1379"/>
      <c r="N848" s="1379"/>
      <c r="O848" s="1379"/>
      <c r="P848" s="1379"/>
      <c r="Q848" s="1379"/>
      <c r="R848" s="1379"/>
      <c r="S848" s="1379"/>
      <c r="T848" s="1379"/>
      <c r="U848" s="1379"/>
    </row>
    <row r="849" spans="1:21" s="1380" customFormat="1">
      <c r="A849" s="1457"/>
      <c r="B849" s="1379"/>
      <c r="C849" s="1379"/>
      <c r="D849" s="1379"/>
      <c r="E849" s="1379"/>
      <c r="F849" s="1379"/>
      <c r="G849" s="1379"/>
      <c r="H849" s="1379"/>
      <c r="I849" s="1379"/>
      <c r="J849" s="1379"/>
      <c r="L849" s="1379"/>
      <c r="M849" s="1379"/>
      <c r="N849" s="1379"/>
      <c r="O849" s="1379"/>
      <c r="P849" s="1379"/>
      <c r="Q849" s="1379"/>
      <c r="R849" s="1379"/>
      <c r="S849" s="1379"/>
      <c r="T849" s="1379"/>
      <c r="U849" s="1379"/>
    </row>
    <row r="850" spans="1:21" s="1380" customFormat="1">
      <c r="A850" s="1457"/>
      <c r="B850" s="1379"/>
      <c r="C850" s="1379"/>
      <c r="D850" s="1379"/>
      <c r="E850" s="1379"/>
      <c r="F850" s="1379"/>
      <c r="G850" s="1379"/>
      <c r="H850" s="1379"/>
      <c r="I850" s="1379"/>
      <c r="J850" s="1379"/>
      <c r="L850" s="1379"/>
      <c r="M850" s="1379"/>
      <c r="N850" s="1379"/>
      <c r="O850" s="1379"/>
      <c r="P850" s="1379"/>
      <c r="Q850" s="1379"/>
      <c r="R850" s="1379"/>
      <c r="S850" s="1379"/>
      <c r="T850" s="1379"/>
      <c r="U850" s="1379"/>
    </row>
    <row r="851" spans="1:21" s="1380" customFormat="1">
      <c r="A851" s="1457"/>
      <c r="B851" s="1379"/>
      <c r="C851" s="1379"/>
      <c r="D851" s="1379"/>
      <c r="E851" s="1379"/>
      <c r="F851" s="1379"/>
      <c r="G851" s="1379"/>
      <c r="H851" s="1379"/>
      <c r="I851" s="1379"/>
      <c r="J851" s="1379"/>
      <c r="L851" s="1379"/>
      <c r="M851" s="1379"/>
      <c r="N851" s="1379"/>
      <c r="O851" s="1379"/>
      <c r="P851" s="1379"/>
      <c r="Q851" s="1379"/>
      <c r="R851" s="1379"/>
      <c r="S851" s="1379"/>
      <c r="T851" s="1379"/>
      <c r="U851" s="1379"/>
    </row>
    <row r="852" spans="1:21" s="1380" customFormat="1">
      <c r="A852" s="1457"/>
      <c r="B852" s="1379"/>
      <c r="C852" s="1379"/>
      <c r="D852" s="1379"/>
      <c r="E852" s="1379"/>
      <c r="F852" s="1379"/>
      <c r="G852" s="1379"/>
      <c r="H852" s="1379"/>
      <c r="I852" s="1379"/>
      <c r="J852" s="1379"/>
      <c r="L852" s="1379"/>
      <c r="M852" s="1379"/>
      <c r="N852" s="1379"/>
      <c r="O852" s="1379"/>
      <c r="P852" s="1379"/>
      <c r="Q852" s="1379"/>
      <c r="R852" s="1379"/>
      <c r="S852" s="1379"/>
      <c r="T852" s="1379"/>
      <c r="U852" s="1379"/>
    </row>
    <row r="853" spans="1:21" s="1380" customFormat="1">
      <c r="A853" s="1457"/>
      <c r="B853" s="1379"/>
      <c r="C853" s="1379"/>
      <c r="D853" s="1379"/>
      <c r="E853" s="1379"/>
      <c r="F853" s="1379"/>
      <c r="G853" s="1379"/>
      <c r="H853" s="1379"/>
      <c r="I853" s="1379"/>
      <c r="J853" s="1379"/>
      <c r="L853" s="1379"/>
      <c r="M853" s="1379"/>
      <c r="N853" s="1379"/>
      <c r="O853" s="1379"/>
      <c r="P853" s="1379"/>
      <c r="Q853" s="1379"/>
      <c r="R853" s="1379"/>
      <c r="S853" s="1379"/>
      <c r="T853" s="1379"/>
      <c r="U853" s="1379"/>
    </row>
    <row r="854" spans="1:21" s="1380" customFormat="1">
      <c r="A854" s="1457"/>
      <c r="B854" s="1379"/>
      <c r="C854" s="1379"/>
      <c r="D854" s="1379"/>
      <c r="E854" s="1379"/>
      <c r="F854" s="1379"/>
      <c r="G854" s="1379"/>
      <c r="H854" s="1379"/>
      <c r="I854" s="1379"/>
      <c r="J854" s="1379"/>
      <c r="L854" s="1379"/>
      <c r="M854" s="1379"/>
      <c r="N854" s="1379"/>
      <c r="O854" s="1379"/>
      <c r="P854" s="1379"/>
      <c r="Q854" s="1379"/>
      <c r="R854" s="1379"/>
      <c r="S854" s="1379"/>
      <c r="T854" s="1379"/>
      <c r="U854" s="1379"/>
    </row>
    <row r="855" spans="1:21" s="1380" customFormat="1">
      <c r="A855" s="1457"/>
      <c r="B855" s="1379"/>
      <c r="C855" s="1379"/>
      <c r="D855" s="1379"/>
      <c r="E855" s="1379"/>
      <c r="F855" s="1379"/>
      <c r="G855" s="1379"/>
      <c r="H855" s="1379"/>
      <c r="I855" s="1379"/>
      <c r="J855" s="1379"/>
      <c r="L855" s="1379"/>
      <c r="M855" s="1379"/>
      <c r="N855" s="1379"/>
      <c r="O855" s="1379"/>
      <c r="P855" s="1379"/>
      <c r="Q855" s="1379"/>
      <c r="R855" s="1379"/>
      <c r="S855" s="1379"/>
      <c r="T855" s="1379"/>
      <c r="U855" s="1379"/>
    </row>
    <row r="856" spans="1:21" s="1380" customFormat="1">
      <c r="A856" s="1457"/>
      <c r="B856" s="1379"/>
      <c r="C856" s="1379"/>
      <c r="D856" s="1379"/>
      <c r="E856" s="1379"/>
      <c r="F856" s="1379"/>
      <c r="G856" s="1379"/>
      <c r="H856" s="1379"/>
      <c r="I856" s="1379"/>
      <c r="J856" s="1379"/>
      <c r="L856" s="1379"/>
      <c r="M856" s="1379"/>
      <c r="N856" s="1379"/>
      <c r="O856" s="1379"/>
      <c r="P856" s="1379"/>
      <c r="Q856" s="1379"/>
      <c r="R856" s="1379"/>
      <c r="S856" s="1379"/>
      <c r="T856" s="1379"/>
      <c r="U856" s="1379"/>
    </row>
    <row r="857" spans="1:21" s="1380" customFormat="1">
      <c r="A857" s="1457"/>
      <c r="B857" s="1379"/>
      <c r="C857" s="1379"/>
      <c r="D857" s="1379"/>
      <c r="E857" s="1379"/>
      <c r="F857" s="1379"/>
      <c r="G857" s="1379"/>
      <c r="H857" s="1379"/>
      <c r="I857" s="1379"/>
      <c r="J857" s="1379"/>
      <c r="L857" s="1379"/>
      <c r="M857" s="1379"/>
      <c r="N857" s="1379"/>
      <c r="O857" s="1379"/>
      <c r="P857" s="1379"/>
      <c r="Q857" s="1379"/>
      <c r="R857" s="1379"/>
      <c r="S857" s="1379"/>
      <c r="T857" s="1379"/>
      <c r="U857" s="1379"/>
    </row>
    <row r="858" spans="1:21" s="1380" customFormat="1">
      <c r="A858" s="1457"/>
      <c r="B858" s="1379"/>
      <c r="C858" s="1379"/>
      <c r="D858" s="1379"/>
      <c r="E858" s="1379"/>
      <c r="F858" s="1379"/>
      <c r="G858" s="1379"/>
      <c r="H858" s="1379"/>
      <c r="I858" s="1379"/>
      <c r="J858" s="1379"/>
      <c r="L858" s="1379"/>
      <c r="M858" s="1379"/>
      <c r="N858" s="1379"/>
      <c r="O858" s="1379"/>
      <c r="P858" s="1379"/>
      <c r="Q858" s="1379"/>
      <c r="R858" s="1379"/>
      <c r="S858" s="1379"/>
      <c r="T858" s="1379"/>
      <c r="U858" s="1379"/>
    </row>
    <row r="859" spans="1:21" s="1380" customFormat="1">
      <c r="A859" s="1457"/>
      <c r="B859" s="1379"/>
      <c r="C859" s="1379"/>
      <c r="D859" s="1379"/>
      <c r="E859" s="1379"/>
      <c r="F859" s="1379"/>
      <c r="G859" s="1379"/>
      <c r="H859" s="1379"/>
      <c r="I859" s="1379"/>
      <c r="J859" s="1379"/>
      <c r="L859" s="1379"/>
      <c r="M859" s="1379"/>
      <c r="N859" s="1379"/>
      <c r="O859" s="1379"/>
      <c r="P859" s="1379"/>
      <c r="Q859" s="1379"/>
      <c r="R859" s="1379"/>
      <c r="S859" s="1379"/>
      <c r="T859" s="1379"/>
      <c r="U859" s="1379"/>
    </row>
    <row r="860" spans="1:21" s="1380" customFormat="1">
      <c r="A860" s="1457"/>
      <c r="B860" s="1379"/>
      <c r="C860" s="1379"/>
      <c r="D860" s="1379"/>
      <c r="E860" s="1379"/>
      <c r="F860" s="1379"/>
      <c r="G860" s="1379"/>
      <c r="H860" s="1379"/>
      <c r="I860" s="1379"/>
      <c r="J860" s="1379"/>
      <c r="L860" s="1379"/>
      <c r="M860" s="1379"/>
      <c r="N860" s="1379"/>
      <c r="O860" s="1379"/>
      <c r="P860" s="1379"/>
      <c r="Q860" s="1379"/>
      <c r="R860" s="1379"/>
      <c r="S860" s="1379"/>
      <c r="T860" s="1379"/>
      <c r="U860" s="1379"/>
    </row>
    <row r="861" spans="1:21" s="1380" customFormat="1">
      <c r="A861" s="1457"/>
      <c r="B861" s="1379"/>
      <c r="C861" s="1379"/>
      <c r="D861" s="1379"/>
      <c r="E861" s="1379"/>
      <c r="F861" s="1379"/>
      <c r="G861" s="1379"/>
      <c r="H861" s="1379"/>
      <c r="I861" s="1379"/>
      <c r="J861" s="1379"/>
      <c r="L861" s="1379"/>
      <c r="M861" s="1379"/>
      <c r="N861" s="1379"/>
      <c r="O861" s="1379"/>
      <c r="P861" s="1379"/>
      <c r="Q861" s="1379"/>
      <c r="R861" s="1379"/>
      <c r="S861" s="1379"/>
      <c r="T861" s="1379"/>
      <c r="U861" s="1379"/>
    </row>
    <row r="862" spans="1:21" s="1380" customFormat="1">
      <c r="A862" s="1457"/>
      <c r="B862" s="1379"/>
      <c r="C862" s="1379"/>
      <c r="D862" s="1379"/>
      <c r="E862" s="1379"/>
      <c r="F862" s="1379"/>
      <c r="G862" s="1379"/>
      <c r="H862" s="1379"/>
      <c r="I862" s="1379"/>
      <c r="J862" s="1379"/>
      <c r="L862" s="1379"/>
      <c r="M862" s="1379"/>
      <c r="N862" s="1379"/>
      <c r="O862" s="1379"/>
      <c r="P862" s="1379"/>
      <c r="Q862" s="1379"/>
      <c r="R862" s="1379"/>
      <c r="S862" s="1379"/>
      <c r="T862" s="1379"/>
      <c r="U862" s="1379"/>
    </row>
    <row r="863" spans="1:21" s="1380" customFormat="1">
      <c r="A863" s="1457"/>
      <c r="B863" s="1379"/>
      <c r="C863" s="1379"/>
      <c r="D863" s="1379"/>
      <c r="E863" s="1379"/>
      <c r="F863" s="1379"/>
      <c r="G863" s="1379"/>
      <c r="H863" s="1379"/>
      <c r="I863" s="1379"/>
      <c r="J863" s="1379"/>
      <c r="L863" s="1379"/>
      <c r="M863" s="1379"/>
      <c r="N863" s="1379"/>
      <c r="O863" s="1379"/>
      <c r="P863" s="1379"/>
      <c r="Q863" s="1379"/>
      <c r="R863" s="1379"/>
      <c r="S863" s="1379"/>
      <c r="T863" s="1379"/>
      <c r="U863" s="1379"/>
    </row>
    <row r="864" spans="1:21" s="1380" customFormat="1">
      <c r="A864" s="1457"/>
      <c r="B864" s="1379"/>
      <c r="C864" s="1379"/>
      <c r="D864" s="1379"/>
      <c r="E864" s="1379"/>
      <c r="F864" s="1379"/>
      <c r="G864" s="1379"/>
      <c r="H864" s="1379"/>
      <c r="I864" s="1379"/>
      <c r="J864" s="1379"/>
      <c r="L864" s="1379"/>
      <c r="M864" s="1379"/>
      <c r="N864" s="1379"/>
      <c r="O864" s="1379"/>
      <c r="P864" s="1379"/>
      <c r="Q864" s="1379"/>
      <c r="R864" s="1379"/>
      <c r="S864" s="1379"/>
      <c r="T864" s="1379"/>
      <c r="U864" s="1379"/>
    </row>
    <row r="865" spans="1:21" s="1380" customFormat="1">
      <c r="A865" s="1457"/>
      <c r="B865" s="1379"/>
      <c r="C865" s="1379"/>
      <c r="D865" s="1379"/>
      <c r="E865" s="1379"/>
      <c r="F865" s="1379"/>
      <c r="G865" s="1379"/>
      <c r="H865" s="1379"/>
      <c r="I865" s="1379"/>
      <c r="J865" s="1379"/>
      <c r="L865" s="1379"/>
      <c r="M865" s="1379"/>
      <c r="N865" s="1379"/>
      <c r="O865" s="1379"/>
      <c r="P865" s="1379"/>
      <c r="Q865" s="1379"/>
      <c r="R865" s="1379"/>
      <c r="S865" s="1379"/>
      <c r="T865" s="1379"/>
      <c r="U865" s="1379"/>
    </row>
    <row r="866" spans="1:21" s="1380" customFormat="1">
      <c r="A866" s="1457"/>
      <c r="B866" s="1379"/>
      <c r="C866" s="1379"/>
      <c r="D866" s="1379"/>
      <c r="E866" s="1379"/>
      <c r="F866" s="1379"/>
      <c r="G866" s="1379"/>
      <c r="H866" s="1379"/>
      <c r="I866" s="1379"/>
      <c r="J866" s="1379"/>
      <c r="L866" s="1379"/>
      <c r="M866" s="1379"/>
      <c r="N866" s="1379"/>
      <c r="O866" s="1379"/>
      <c r="P866" s="1379"/>
      <c r="Q866" s="1379"/>
      <c r="R866" s="1379"/>
      <c r="S866" s="1379"/>
      <c r="T866" s="1379"/>
      <c r="U866" s="1379"/>
    </row>
    <row r="867" spans="1:21" s="1380" customFormat="1">
      <c r="A867" s="1457"/>
      <c r="B867" s="1379"/>
      <c r="C867" s="1379"/>
      <c r="D867" s="1379"/>
      <c r="E867" s="1379"/>
      <c r="F867" s="1379"/>
      <c r="G867" s="1379"/>
      <c r="H867" s="1379"/>
      <c r="I867" s="1379"/>
      <c r="J867" s="1379"/>
      <c r="L867" s="1379"/>
      <c r="M867" s="1379"/>
      <c r="N867" s="1379"/>
      <c r="O867" s="1379"/>
      <c r="P867" s="1379"/>
      <c r="Q867" s="1379"/>
      <c r="R867" s="1379"/>
      <c r="S867" s="1379"/>
      <c r="T867" s="1379"/>
      <c r="U867" s="1379"/>
    </row>
    <row r="868" spans="1:21" s="1380" customFormat="1">
      <c r="A868" s="1457"/>
      <c r="B868" s="1379"/>
      <c r="C868" s="1379"/>
      <c r="D868" s="1379"/>
      <c r="E868" s="1379"/>
      <c r="F868" s="1379"/>
      <c r="G868" s="1379"/>
      <c r="H868" s="1379"/>
      <c r="I868" s="1379"/>
      <c r="J868" s="1379"/>
      <c r="L868" s="1379"/>
      <c r="M868" s="1379"/>
      <c r="N868" s="1379"/>
      <c r="O868" s="1379"/>
      <c r="P868" s="1379"/>
      <c r="Q868" s="1379"/>
      <c r="R868" s="1379"/>
      <c r="S868" s="1379"/>
      <c r="T868" s="1379"/>
      <c r="U868" s="1379"/>
    </row>
    <row r="869" spans="1:21" s="1380" customFormat="1">
      <c r="A869" s="1457"/>
      <c r="B869" s="1379"/>
      <c r="C869" s="1379"/>
      <c r="D869" s="1379"/>
      <c r="E869" s="1379"/>
      <c r="F869" s="1379"/>
      <c r="G869" s="1379"/>
      <c r="H869" s="1379"/>
      <c r="I869" s="1379"/>
      <c r="J869" s="1379"/>
      <c r="L869" s="1379"/>
      <c r="M869" s="1379"/>
      <c r="N869" s="1379"/>
      <c r="O869" s="1379"/>
      <c r="P869" s="1379"/>
      <c r="Q869" s="1379"/>
      <c r="R869" s="1379"/>
      <c r="S869" s="1379"/>
      <c r="T869" s="1379"/>
      <c r="U869" s="1379"/>
    </row>
    <row r="870" spans="1:21" s="1380" customFormat="1">
      <c r="A870" s="1457"/>
      <c r="B870" s="1379"/>
      <c r="C870" s="1379"/>
      <c r="D870" s="1379"/>
      <c r="E870" s="1379"/>
      <c r="F870" s="1379"/>
      <c r="G870" s="1379"/>
      <c r="H870" s="1379"/>
      <c r="I870" s="1379"/>
      <c r="J870" s="1379"/>
      <c r="L870" s="1379"/>
      <c r="M870" s="1379"/>
      <c r="N870" s="1379"/>
      <c r="O870" s="1379"/>
      <c r="P870" s="1379"/>
      <c r="Q870" s="1379"/>
      <c r="R870" s="1379"/>
      <c r="S870" s="1379"/>
      <c r="T870" s="1379"/>
      <c r="U870" s="1379"/>
    </row>
    <row r="871" spans="1:21" s="1380" customFormat="1">
      <c r="A871" s="1457"/>
      <c r="B871" s="1379"/>
      <c r="C871" s="1379"/>
      <c r="D871" s="1379"/>
      <c r="E871" s="1379"/>
      <c r="F871" s="1379"/>
      <c r="G871" s="1379"/>
      <c r="H871" s="1379"/>
      <c r="I871" s="1379"/>
      <c r="J871" s="1379"/>
      <c r="L871" s="1379"/>
      <c r="M871" s="1379"/>
      <c r="N871" s="1379"/>
      <c r="O871" s="1379"/>
      <c r="P871" s="1379"/>
      <c r="Q871" s="1379"/>
      <c r="R871" s="1379"/>
      <c r="S871" s="1379"/>
      <c r="T871" s="1379"/>
      <c r="U871" s="1379"/>
    </row>
    <row r="872" spans="1:21" s="1380" customFormat="1">
      <c r="A872" s="1457"/>
      <c r="B872" s="1379"/>
      <c r="C872" s="1379"/>
      <c r="D872" s="1379"/>
      <c r="E872" s="1379"/>
      <c r="F872" s="1379"/>
      <c r="G872" s="1379"/>
      <c r="H872" s="1379"/>
      <c r="I872" s="1379"/>
      <c r="J872" s="1379"/>
      <c r="L872" s="1379"/>
      <c r="M872" s="1379"/>
      <c r="N872" s="1379"/>
      <c r="O872" s="1379"/>
      <c r="P872" s="1379"/>
      <c r="Q872" s="1379"/>
      <c r="R872" s="1379"/>
      <c r="S872" s="1379"/>
      <c r="T872" s="1379"/>
      <c r="U872" s="1379"/>
    </row>
    <row r="873" spans="1:21" s="1380" customFormat="1">
      <c r="A873" s="1457"/>
      <c r="B873" s="1379"/>
      <c r="C873" s="1379"/>
      <c r="D873" s="1379"/>
      <c r="E873" s="1379"/>
      <c r="F873" s="1379"/>
      <c r="G873" s="1379"/>
      <c r="H873" s="1379"/>
      <c r="I873" s="1379"/>
      <c r="J873" s="1379"/>
      <c r="L873" s="1379"/>
      <c r="M873" s="1379"/>
      <c r="N873" s="1379"/>
      <c r="O873" s="1379"/>
      <c r="P873" s="1379"/>
      <c r="Q873" s="1379"/>
      <c r="R873" s="1379"/>
      <c r="S873" s="1379"/>
      <c r="T873" s="1379"/>
      <c r="U873" s="1379"/>
    </row>
    <row r="874" spans="1:21" s="1380" customFormat="1">
      <c r="A874" s="1457"/>
      <c r="B874" s="1379"/>
      <c r="C874" s="1379"/>
      <c r="D874" s="1379"/>
      <c r="E874" s="1379"/>
      <c r="F874" s="1379"/>
      <c r="G874" s="1379"/>
      <c r="H874" s="1379"/>
      <c r="I874" s="1379"/>
      <c r="J874" s="1379"/>
      <c r="L874" s="1379"/>
      <c r="M874" s="1379"/>
      <c r="N874" s="1379"/>
      <c r="O874" s="1379"/>
      <c r="P874" s="1379"/>
      <c r="Q874" s="1379"/>
      <c r="R874" s="1379"/>
      <c r="S874" s="1379"/>
      <c r="T874" s="1379"/>
      <c r="U874" s="1379"/>
    </row>
    <row r="875" spans="1:21" s="1380" customFormat="1">
      <c r="A875" s="1457"/>
      <c r="B875" s="1379"/>
      <c r="C875" s="1379"/>
      <c r="D875" s="1379"/>
      <c r="E875" s="1379"/>
      <c r="F875" s="1379"/>
      <c r="G875" s="1379"/>
      <c r="H875" s="1379"/>
      <c r="I875" s="1379"/>
      <c r="J875" s="1379"/>
      <c r="L875" s="1379"/>
      <c r="M875" s="1379"/>
      <c r="N875" s="1379"/>
      <c r="O875" s="1379"/>
      <c r="P875" s="1379"/>
      <c r="Q875" s="1379"/>
      <c r="R875" s="1379"/>
      <c r="S875" s="1379"/>
      <c r="T875" s="1379"/>
      <c r="U875" s="1379"/>
    </row>
    <row r="876" spans="1:21" s="1380" customFormat="1">
      <c r="A876" s="1457"/>
      <c r="B876" s="1379"/>
      <c r="C876" s="1379"/>
      <c r="D876" s="1379"/>
      <c r="E876" s="1379"/>
      <c r="F876" s="1379"/>
      <c r="G876" s="1379"/>
      <c r="H876" s="1379"/>
      <c r="I876" s="1379"/>
      <c r="J876" s="1379"/>
      <c r="L876" s="1379"/>
      <c r="M876" s="1379"/>
      <c r="N876" s="1379"/>
      <c r="O876" s="1379"/>
      <c r="P876" s="1379"/>
      <c r="Q876" s="1379"/>
      <c r="R876" s="1379"/>
      <c r="S876" s="1379"/>
      <c r="T876" s="1379"/>
      <c r="U876" s="1379"/>
    </row>
    <row r="877" spans="1:21" s="1380" customFormat="1">
      <c r="A877" s="1457"/>
      <c r="B877" s="1379"/>
      <c r="C877" s="1379"/>
      <c r="D877" s="1379"/>
      <c r="E877" s="1379"/>
      <c r="F877" s="1379"/>
      <c r="G877" s="1379"/>
      <c r="H877" s="1379"/>
      <c r="I877" s="1379"/>
      <c r="J877" s="1379"/>
      <c r="L877" s="1379"/>
      <c r="M877" s="1379"/>
      <c r="N877" s="1379"/>
      <c r="O877" s="1379"/>
      <c r="P877" s="1379"/>
      <c r="Q877" s="1379"/>
      <c r="R877" s="1379"/>
      <c r="S877" s="1379"/>
      <c r="T877" s="1379"/>
      <c r="U877" s="1379"/>
    </row>
    <row r="878" spans="1:21" s="1380" customFormat="1">
      <c r="A878" s="1457"/>
      <c r="B878" s="1379"/>
      <c r="C878" s="1379"/>
      <c r="D878" s="1379"/>
      <c r="E878" s="1379"/>
      <c r="F878" s="1379"/>
      <c r="G878" s="1379"/>
      <c r="H878" s="1379"/>
      <c r="I878" s="1379"/>
      <c r="J878" s="1379"/>
      <c r="L878" s="1379"/>
      <c r="M878" s="1379"/>
      <c r="N878" s="1379"/>
      <c r="O878" s="1379"/>
      <c r="P878" s="1379"/>
      <c r="Q878" s="1379"/>
      <c r="R878" s="1379"/>
      <c r="S878" s="1379"/>
      <c r="T878" s="1379"/>
      <c r="U878" s="1379"/>
    </row>
    <row r="879" spans="1:21" s="1380" customFormat="1">
      <c r="A879" s="1457"/>
      <c r="B879" s="1379"/>
      <c r="C879" s="1379"/>
      <c r="D879" s="1379"/>
      <c r="E879" s="1379"/>
      <c r="F879" s="1379"/>
      <c r="G879" s="1379"/>
      <c r="H879" s="1379"/>
      <c r="I879" s="1379"/>
      <c r="J879" s="1379"/>
      <c r="L879" s="1379"/>
      <c r="M879" s="1379"/>
      <c r="N879" s="1379"/>
      <c r="O879" s="1379"/>
      <c r="P879" s="1379"/>
      <c r="Q879" s="1379"/>
      <c r="R879" s="1379"/>
      <c r="S879" s="1379"/>
      <c r="T879" s="1379"/>
      <c r="U879" s="1379"/>
    </row>
    <row r="880" spans="1:21" s="1380" customFormat="1">
      <c r="A880" s="1457"/>
      <c r="B880" s="1379"/>
      <c r="C880" s="1379"/>
      <c r="D880" s="1379"/>
      <c r="E880" s="1379"/>
      <c r="F880" s="1379"/>
      <c r="G880" s="1379"/>
      <c r="H880" s="1379"/>
      <c r="I880" s="1379"/>
      <c r="J880" s="1379"/>
      <c r="L880" s="1379"/>
      <c r="M880" s="1379"/>
      <c r="N880" s="1379"/>
      <c r="O880" s="1379"/>
      <c r="P880" s="1379"/>
      <c r="Q880" s="1379"/>
      <c r="R880" s="1379"/>
      <c r="S880" s="1379"/>
      <c r="T880" s="1379"/>
      <c r="U880" s="1379"/>
    </row>
    <row r="881" spans="1:21" s="1380" customFormat="1">
      <c r="A881" s="1457"/>
      <c r="B881" s="1379"/>
      <c r="C881" s="1379"/>
      <c r="D881" s="1379"/>
      <c r="E881" s="1379"/>
      <c r="F881" s="1379"/>
      <c r="G881" s="1379"/>
      <c r="H881" s="1379"/>
      <c r="I881" s="1379"/>
      <c r="J881" s="1379"/>
      <c r="L881" s="1379"/>
      <c r="M881" s="1379"/>
      <c r="N881" s="1379"/>
      <c r="O881" s="1379"/>
      <c r="P881" s="1379"/>
      <c r="Q881" s="1379"/>
      <c r="R881" s="1379"/>
      <c r="S881" s="1379"/>
      <c r="T881" s="1379"/>
      <c r="U881" s="1379"/>
    </row>
    <row r="882" spans="1:21" s="1380" customFormat="1">
      <c r="A882" s="1457"/>
      <c r="B882" s="1379"/>
      <c r="C882" s="1379"/>
      <c r="D882" s="1379"/>
      <c r="E882" s="1379"/>
      <c r="F882" s="1379"/>
      <c r="G882" s="1379"/>
      <c r="H882" s="1379"/>
      <c r="I882" s="1379"/>
      <c r="J882" s="1379"/>
      <c r="L882" s="1379"/>
      <c r="M882" s="1379"/>
      <c r="N882" s="1379"/>
      <c r="O882" s="1379"/>
      <c r="P882" s="1379"/>
      <c r="Q882" s="1379"/>
      <c r="R882" s="1379"/>
      <c r="S882" s="1379"/>
      <c r="T882" s="1379"/>
      <c r="U882" s="1379"/>
    </row>
    <row r="883" spans="1:21" s="1380" customFormat="1">
      <c r="A883" s="1457"/>
      <c r="B883" s="1379"/>
      <c r="C883" s="1379"/>
      <c r="D883" s="1379"/>
      <c r="E883" s="1379"/>
      <c r="F883" s="1379"/>
      <c r="G883" s="1379"/>
      <c r="H883" s="1379"/>
      <c r="I883" s="1379"/>
      <c r="J883" s="1379"/>
      <c r="L883" s="1379"/>
      <c r="M883" s="1379"/>
      <c r="N883" s="1379"/>
      <c r="O883" s="1379"/>
      <c r="P883" s="1379"/>
      <c r="Q883" s="1379"/>
      <c r="R883" s="1379"/>
      <c r="S883" s="1379"/>
      <c r="T883" s="1379"/>
      <c r="U883" s="1379"/>
    </row>
    <row r="884" spans="1:21" s="1380" customFormat="1">
      <c r="A884" s="1457"/>
      <c r="B884" s="1379"/>
      <c r="C884" s="1379"/>
      <c r="D884" s="1379"/>
      <c r="E884" s="1379"/>
      <c r="F884" s="1379"/>
      <c r="G884" s="1379"/>
      <c r="H884" s="1379"/>
      <c r="I884" s="1379"/>
      <c r="J884" s="1379"/>
      <c r="L884" s="1379"/>
      <c r="M884" s="1379"/>
      <c r="N884" s="1379"/>
      <c r="O884" s="1379"/>
      <c r="P884" s="1379"/>
      <c r="Q884" s="1379"/>
      <c r="R884" s="1379"/>
      <c r="S884" s="1379"/>
      <c r="T884" s="1379"/>
      <c r="U884" s="1379"/>
    </row>
    <row r="885" spans="1:21" s="1380" customFormat="1">
      <c r="A885" s="1457"/>
      <c r="B885" s="1379"/>
      <c r="C885" s="1379"/>
      <c r="D885" s="1379"/>
      <c r="E885" s="1379"/>
      <c r="F885" s="1379"/>
      <c r="G885" s="1379"/>
      <c r="H885" s="1379"/>
      <c r="I885" s="1379"/>
      <c r="J885" s="1379"/>
      <c r="L885" s="1379"/>
      <c r="M885" s="1379"/>
      <c r="N885" s="1379"/>
      <c r="O885" s="1379"/>
      <c r="P885" s="1379"/>
      <c r="Q885" s="1379"/>
      <c r="R885" s="1379"/>
      <c r="S885" s="1379"/>
      <c r="T885" s="1379"/>
      <c r="U885" s="1379"/>
    </row>
    <row r="886" spans="1:21" s="1380" customFormat="1">
      <c r="A886" s="1457"/>
      <c r="B886" s="1379"/>
      <c r="C886" s="1379"/>
      <c r="D886" s="1379"/>
      <c r="E886" s="1379"/>
      <c r="F886" s="1379"/>
      <c r="G886" s="1379"/>
      <c r="H886" s="1379"/>
      <c r="I886" s="1379"/>
      <c r="J886" s="1379"/>
      <c r="L886" s="1379"/>
      <c r="M886" s="1379"/>
      <c r="N886" s="1379"/>
      <c r="O886" s="1379"/>
      <c r="P886" s="1379"/>
      <c r="Q886" s="1379"/>
      <c r="R886" s="1379"/>
      <c r="S886" s="1379"/>
      <c r="T886" s="1379"/>
      <c r="U886" s="1379"/>
    </row>
    <row r="887" spans="1:21" s="1380" customFormat="1">
      <c r="A887" s="1457"/>
      <c r="B887" s="1379"/>
      <c r="C887" s="1379"/>
      <c r="D887" s="1379"/>
      <c r="E887" s="1379"/>
      <c r="F887" s="1379"/>
      <c r="G887" s="1379"/>
      <c r="H887" s="1379"/>
      <c r="I887" s="1379"/>
      <c r="J887" s="1379"/>
      <c r="L887" s="1379"/>
      <c r="M887" s="1379"/>
      <c r="N887" s="1379"/>
      <c r="O887" s="1379"/>
      <c r="P887" s="1379"/>
      <c r="Q887" s="1379"/>
      <c r="R887" s="1379"/>
      <c r="S887" s="1379"/>
      <c r="T887" s="1379"/>
      <c r="U887" s="1379"/>
    </row>
    <row r="888" spans="1:21" s="1380" customFormat="1">
      <c r="A888" s="1457"/>
      <c r="B888" s="1379"/>
      <c r="C888" s="1379"/>
      <c r="D888" s="1379"/>
      <c r="E888" s="1379"/>
      <c r="F888" s="1379"/>
      <c r="G888" s="1379"/>
      <c r="H888" s="1379"/>
      <c r="I888" s="1379"/>
      <c r="J888" s="1379"/>
      <c r="L888" s="1379"/>
      <c r="M888" s="1379"/>
      <c r="N888" s="1379"/>
      <c r="O888" s="1379"/>
      <c r="P888" s="1379"/>
      <c r="Q888" s="1379"/>
      <c r="R888" s="1379"/>
      <c r="S888" s="1379"/>
      <c r="T888" s="1379"/>
      <c r="U888" s="1379"/>
    </row>
    <row r="889" spans="1:21" s="1380" customFormat="1">
      <c r="A889" s="1457"/>
      <c r="B889" s="1379"/>
      <c r="C889" s="1379"/>
      <c r="D889" s="1379"/>
      <c r="E889" s="1379"/>
      <c r="F889" s="1379"/>
      <c r="G889" s="1379"/>
      <c r="H889" s="1379"/>
      <c r="I889" s="1379"/>
      <c r="J889" s="1379"/>
      <c r="L889" s="1379"/>
      <c r="M889" s="1379"/>
      <c r="N889" s="1379"/>
      <c r="O889" s="1379"/>
      <c r="P889" s="1379"/>
      <c r="Q889" s="1379"/>
      <c r="R889" s="1379"/>
      <c r="S889" s="1379"/>
      <c r="T889" s="1379"/>
      <c r="U889" s="1379"/>
    </row>
    <row r="890" spans="1:21" s="1380" customFormat="1">
      <c r="A890" s="1457"/>
      <c r="B890" s="1379"/>
      <c r="C890" s="1379"/>
      <c r="D890" s="1379"/>
      <c r="E890" s="1379"/>
      <c r="F890" s="1379"/>
      <c r="G890" s="1379"/>
      <c r="H890" s="1379"/>
      <c r="I890" s="1379"/>
      <c r="J890" s="1379"/>
      <c r="L890" s="1379"/>
      <c r="M890" s="1379"/>
      <c r="N890" s="1379"/>
      <c r="O890" s="1379"/>
      <c r="P890" s="1379"/>
      <c r="Q890" s="1379"/>
      <c r="R890" s="1379"/>
      <c r="S890" s="1379"/>
      <c r="T890" s="1379"/>
      <c r="U890" s="1379"/>
    </row>
    <row r="891" spans="1:21" s="1380" customFormat="1">
      <c r="A891" s="1457"/>
      <c r="B891" s="1379"/>
      <c r="C891" s="1379"/>
      <c r="D891" s="1379"/>
      <c r="E891" s="1379"/>
      <c r="F891" s="1379"/>
      <c r="G891" s="1379"/>
      <c r="H891" s="1379"/>
      <c r="I891" s="1379"/>
      <c r="J891" s="1379"/>
      <c r="L891" s="1379"/>
      <c r="M891" s="1379"/>
      <c r="N891" s="1379"/>
      <c r="O891" s="1379"/>
      <c r="P891" s="1379"/>
      <c r="Q891" s="1379"/>
      <c r="R891" s="1379"/>
      <c r="S891" s="1379"/>
      <c r="T891" s="1379"/>
      <c r="U891" s="1379"/>
    </row>
    <row r="892" spans="1:21" s="1380" customFormat="1">
      <c r="A892" s="1457"/>
      <c r="B892" s="1379"/>
      <c r="C892" s="1379"/>
      <c r="D892" s="1379"/>
      <c r="E892" s="1379"/>
      <c r="F892" s="1379"/>
      <c r="G892" s="1379"/>
      <c r="H892" s="1379"/>
      <c r="I892" s="1379"/>
      <c r="J892" s="1379"/>
      <c r="L892" s="1379"/>
      <c r="M892" s="1379"/>
      <c r="N892" s="1379"/>
      <c r="O892" s="1379"/>
      <c r="P892" s="1379"/>
      <c r="Q892" s="1379"/>
      <c r="R892" s="1379"/>
      <c r="S892" s="1379"/>
      <c r="T892" s="1379"/>
      <c r="U892" s="1379"/>
    </row>
    <row r="893" spans="1:21" s="1380" customFormat="1">
      <c r="A893" s="1457"/>
      <c r="B893" s="1379"/>
      <c r="C893" s="1379"/>
      <c r="D893" s="1379"/>
      <c r="E893" s="1379"/>
      <c r="F893" s="1379"/>
      <c r="G893" s="1379"/>
      <c r="H893" s="1379"/>
      <c r="I893" s="1379"/>
      <c r="J893" s="1379"/>
      <c r="L893" s="1379"/>
      <c r="M893" s="1379"/>
      <c r="N893" s="1379"/>
      <c r="O893" s="1379"/>
      <c r="P893" s="1379"/>
      <c r="Q893" s="1379"/>
      <c r="R893" s="1379"/>
      <c r="S893" s="1379"/>
      <c r="T893" s="1379"/>
      <c r="U893" s="1379"/>
    </row>
    <row r="894" spans="1:21" s="1380" customFormat="1">
      <c r="A894" s="1457"/>
      <c r="B894" s="1379"/>
      <c r="C894" s="1379"/>
      <c r="D894" s="1379"/>
      <c r="E894" s="1379"/>
      <c r="F894" s="1379"/>
      <c r="G894" s="1379"/>
      <c r="H894" s="1379"/>
      <c r="I894" s="1379"/>
      <c r="J894" s="1379"/>
      <c r="L894" s="1379"/>
      <c r="M894" s="1379"/>
      <c r="N894" s="1379"/>
      <c r="O894" s="1379"/>
      <c r="P894" s="1379"/>
      <c r="Q894" s="1379"/>
      <c r="R894" s="1379"/>
      <c r="S894" s="1379"/>
      <c r="T894" s="1379"/>
      <c r="U894" s="1379"/>
    </row>
    <row r="895" spans="1:21" s="1380" customFormat="1">
      <c r="A895" s="1457"/>
      <c r="B895" s="1379"/>
      <c r="C895" s="1379"/>
      <c r="D895" s="1379"/>
      <c r="E895" s="1379"/>
      <c r="F895" s="1379"/>
      <c r="G895" s="1379"/>
      <c r="H895" s="1379"/>
      <c r="I895" s="1379"/>
      <c r="J895" s="1379"/>
      <c r="L895" s="1379"/>
      <c r="M895" s="1379"/>
      <c r="N895" s="1379"/>
      <c r="O895" s="1379"/>
      <c r="P895" s="1379"/>
      <c r="Q895" s="1379"/>
      <c r="R895" s="1379"/>
      <c r="S895" s="1379"/>
      <c r="T895" s="1379"/>
      <c r="U895" s="1379"/>
    </row>
    <row r="896" spans="1:21" s="1380" customFormat="1">
      <c r="A896" s="1457"/>
      <c r="B896" s="1379"/>
      <c r="C896" s="1379"/>
      <c r="D896" s="1379"/>
      <c r="E896" s="1379"/>
      <c r="F896" s="1379"/>
      <c r="G896" s="1379"/>
      <c r="H896" s="1379"/>
      <c r="I896" s="1379"/>
      <c r="J896" s="1379"/>
      <c r="L896" s="1379"/>
      <c r="M896" s="1379"/>
      <c r="N896" s="1379"/>
      <c r="O896" s="1379"/>
      <c r="P896" s="1379"/>
      <c r="Q896" s="1379"/>
      <c r="R896" s="1379"/>
      <c r="S896" s="1379"/>
      <c r="T896" s="1379"/>
      <c r="U896" s="1379"/>
    </row>
    <row r="897" spans="1:21" s="1380" customFormat="1">
      <c r="A897" s="1457"/>
      <c r="B897" s="1379"/>
      <c r="C897" s="1379"/>
      <c r="D897" s="1379"/>
      <c r="E897" s="1379"/>
      <c r="F897" s="1379"/>
      <c r="G897" s="1379"/>
      <c r="H897" s="1379"/>
      <c r="I897" s="1379"/>
      <c r="J897" s="1379"/>
      <c r="L897" s="1379"/>
      <c r="M897" s="1379"/>
      <c r="N897" s="1379"/>
      <c r="O897" s="1379"/>
      <c r="P897" s="1379"/>
      <c r="Q897" s="1379"/>
      <c r="R897" s="1379"/>
      <c r="S897" s="1379"/>
      <c r="T897" s="1379"/>
      <c r="U897" s="1379"/>
    </row>
    <row r="898" spans="1:21" s="1380" customFormat="1">
      <c r="A898" s="1457"/>
      <c r="B898" s="1379"/>
      <c r="C898" s="1379"/>
      <c r="D898" s="1379"/>
      <c r="E898" s="1379"/>
      <c r="F898" s="1379"/>
      <c r="G898" s="1379"/>
      <c r="H898" s="1379"/>
      <c r="I898" s="1379"/>
      <c r="J898" s="1379"/>
      <c r="L898" s="1379"/>
      <c r="M898" s="1379"/>
      <c r="N898" s="1379"/>
      <c r="O898" s="1379"/>
      <c r="P898" s="1379"/>
      <c r="Q898" s="1379"/>
      <c r="R898" s="1379"/>
      <c r="S898" s="1379"/>
      <c r="T898" s="1379"/>
      <c r="U898" s="1379"/>
    </row>
    <row r="899" spans="1:21" s="1380" customFormat="1">
      <c r="A899" s="1457"/>
      <c r="B899" s="1379"/>
      <c r="C899" s="1379"/>
      <c r="D899" s="1379"/>
      <c r="E899" s="1379"/>
      <c r="F899" s="1379"/>
      <c r="G899" s="1379"/>
      <c r="H899" s="1379"/>
      <c r="I899" s="1379"/>
      <c r="J899" s="1379"/>
      <c r="L899" s="1379"/>
      <c r="M899" s="1379"/>
      <c r="N899" s="1379"/>
      <c r="O899" s="1379"/>
      <c r="P899" s="1379"/>
      <c r="Q899" s="1379"/>
      <c r="R899" s="1379"/>
      <c r="S899" s="1379"/>
      <c r="T899" s="1379"/>
      <c r="U899" s="1379"/>
    </row>
    <row r="900" spans="1:21" s="1380" customFormat="1">
      <c r="A900" s="1457"/>
      <c r="B900" s="1379"/>
      <c r="C900" s="1379"/>
      <c r="D900" s="1379"/>
      <c r="E900" s="1379"/>
      <c r="F900" s="1379"/>
      <c r="G900" s="1379"/>
      <c r="H900" s="1379"/>
      <c r="I900" s="1379"/>
      <c r="J900" s="1379"/>
      <c r="L900" s="1379"/>
      <c r="M900" s="1379"/>
      <c r="N900" s="1379"/>
      <c r="O900" s="1379"/>
      <c r="P900" s="1379"/>
      <c r="Q900" s="1379"/>
      <c r="R900" s="1379"/>
      <c r="S900" s="1379"/>
      <c r="T900" s="1379"/>
      <c r="U900" s="1379"/>
    </row>
    <row r="901" spans="1:21" s="1380" customFormat="1">
      <c r="A901" s="1457"/>
      <c r="B901" s="1379"/>
      <c r="C901" s="1379"/>
      <c r="D901" s="1379"/>
      <c r="E901" s="1379"/>
      <c r="F901" s="1379"/>
      <c r="G901" s="1379"/>
      <c r="H901" s="1379"/>
      <c r="I901" s="1379"/>
      <c r="J901" s="1379"/>
      <c r="L901" s="1379"/>
      <c r="M901" s="1379"/>
      <c r="N901" s="1379"/>
      <c r="O901" s="1379"/>
      <c r="P901" s="1379"/>
      <c r="Q901" s="1379"/>
      <c r="R901" s="1379"/>
      <c r="S901" s="1379"/>
      <c r="T901" s="1379"/>
      <c r="U901" s="1379"/>
    </row>
    <row r="902" spans="1:21" s="1380" customFormat="1">
      <c r="A902" s="1457"/>
      <c r="B902" s="1379"/>
      <c r="C902" s="1379"/>
      <c r="D902" s="1379"/>
      <c r="E902" s="1379"/>
      <c r="F902" s="1379"/>
      <c r="G902" s="1379"/>
      <c r="H902" s="1379"/>
      <c r="I902" s="1379"/>
      <c r="J902" s="1379"/>
      <c r="L902" s="1379"/>
      <c r="M902" s="1379"/>
      <c r="N902" s="1379"/>
      <c r="O902" s="1379"/>
      <c r="P902" s="1379"/>
      <c r="Q902" s="1379"/>
      <c r="R902" s="1379"/>
      <c r="S902" s="1379"/>
      <c r="T902" s="1379"/>
      <c r="U902" s="1379"/>
    </row>
    <row r="903" spans="1:21" s="1380" customFormat="1">
      <c r="A903" s="1457"/>
      <c r="B903" s="1379"/>
      <c r="C903" s="1379"/>
      <c r="D903" s="1379"/>
      <c r="E903" s="1379"/>
      <c r="F903" s="1379"/>
      <c r="G903" s="1379"/>
      <c r="H903" s="1379"/>
      <c r="I903" s="1379"/>
      <c r="J903" s="1379"/>
      <c r="L903" s="1379"/>
      <c r="M903" s="1379"/>
      <c r="N903" s="1379"/>
      <c r="O903" s="1379"/>
      <c r="P903" s="1379"/>
      <c r="Q903" s="1379"/>
      <c r="R903" s="1379"/>
      <c r="S903" s="1379"/>
      <c r="T903" s="1379"/>
      <c r="U903" s="1379"/>
    </row>
    <row r="904" spans="1:21" s="1380" customFormat="1">
      <c r="A904" s="1457"/>
      <c r="B904" s="1379"/>
      <c r="C904" s="1379"/>
      <c r="D904" s="1379"/>
      <c r="E904" s="1379"/>
      <c r="F904" s="1379"/>
      <c r="G904" s="1379"/>
      <c r="H904" s="1379"/>
      <c r="I904" s="1379"/>
      <c r="J904" s="1379"/>
      <c r="L904" s="1379"/>
      <c r="M904" s="1379"/>
      <c r="N904" s="1379"/>
      <c r="O904" s="1379"/>
      <c r="P904" s="1379"/>
      <c r="Q904" s="1379"/>
      <c r="R904" s="1379"/>
      <c r="S904" s="1379"/>
      <c r="T904" s="1379"/>
      <c r="U904" s="1379"/>
    </row>
    <row r="905" spans="1:21" s="1380" customFormat="1">
      <c r="A905" s="1457"/>
      <c r="B905" s="1379"/>
      <c r="C905" s="1379"/>
      <c r="D905" s="1379"/>
      <c r="E905" s="1379"/>
      <c r="F905" s="1379"/>
      <c r="G905" s="1379"/>
      <c r="H905" s="1379"/>
      <c r="I905" s="1379"/>
      <c r="J905" s="1379"/>
      <c r="L905" s="1379"/>
      <c r="M905" s="1379"/>
      <c r="N905" s="1379"/>
      <c r="O905" s="1379"/>
      <c r="P905" s="1379"/>
      <c r="Q905" s="1379"/>
      <c r="R905" s="1379"/>
      <c r="S905" s="1379"/>
      <c r="T905" s="1379"/>
      <c r="U905" s="1379"/>
    </row>
    <row r="906" spans="1:21" s="1380" customFormat="1">
      <c r="A906" s="1457"/>
      <c r="B906" s="1379"/>
      <c r="C906" s="1379"/>
      <c r="D906" s="1379"/>
      <c r="E906" s="1379"/>
      <c r="F906" s="1379"/>
      <c r="G906" s="1379"/>
      <c r="H906" s="1379"/>
      <c r="I906" s="1379"/>
      <c r="J906" s="1379"/>
      <c r="L906" s="1379"/>
      <c r="M906" s="1379"/>
      <c r="N906" s="1379"/>
      <c r="O906" s="1379"/>
      <c r="P906" s="1379"/>
      <c r="Q906" s="1379"/>
      <c r="R906" s="1379"/>
      <c r="S906" s="1379"/>
      <c r="T906" s="1379"/>
      <c r="U906" s="1379"/>
    </row>
    <row r="907" spans="1:21" s="1380" customFormat="1">
      <c r="A907" s="1457"/>
      <c r="B907" s="1379"/>
      <c r="C907" s="1379"/>
      <c r="D907" s="1379"/>
      <c r="E907" s="1379"/>
      <c r="F907" s="1379"/>
      <c r="G907" s="1379"/>
      <c r="H907" s="1379"/>
      <c r="I907" s="1379"/>
      <c r="J907" s="1379"/>
      <c r="L907" s="1379"/>
      <c r="M907" s="1379"/>
      <c r="N907" s="1379"/>
      <c r="O907" s="1379"/>
      <c r="P907" s="1379"/>
      <c r="Q907" s="1379"/>
      <c r="R907" s="1379"/>
      <c r="S907" s="1379"/>
      <c r="T907" s="1379"/>
      <c r="U907" s="1379"/>
    </row>
    <row r="908" spans="1:21" s="1380" customFormat="1">
      <c r="A908" s="1457"/>
      <c r="B908" s="1379"/>
      <c r="C908" s="1379"/>
      <c r="D908" s="1379"/>
      <c r="E908" s="1379"/>
      <c r="F908" s="1379"/>
      <c r="G908" s="1379"/>
      <c r="H908" s="1379"/>
      <c r="I908" s="1379"/>
      <c r="J908" s="1379"/>
      <c r="L908" s="1379"/>
      <c r="M908" s="1379"/>
      <c r="N908" s="1379"/>
      <c r="O908" s="1379"/>
      <c r="P908" s="1379"/>
      <c r="Q908" s="1379"/>
      <c r="R908" s="1379"/>
      <c r="S908" s="1379"/>
      <c r="T908" s="1379"/>
      <c r="U908" s="1379"/>
    </row>
    <row r="909" spans="1:21" s="1380" customFormat="1">
      <c r="A909" s="1457"/>
      <c r="B909" s="1379"/>
      <c r="C909" s="1379"/>
      <c r="D909" s="1379"/>
      <c r="E909" s="1379"/>
      <c r="F909" s="1379"/>
      <c r="G909" s="1379"/>
      <c r="H909" s="1379"/>
      <c r="I909" s="1379"/>
      <c r="J909" s="1379"/>
      <c r="L909" s="1379"/>
      <c r="M909" s="1379"/>
      <c r="N909" s="1379"/>
      <c r="O909" s="1379"/>
      <c r="P909" s="1379"/>
      <c r="Q909" s="1379"/>
      <c r="R909" s="1379"/>
      <c r="S909" s="1379"/>
      <c r="T909" s="1379"/>
      <c r="U909" s="1379"/>
    </row>
    <row r="910" spans="1:21" s="1380" customFormat="1">
      <c r="A910" s="1457"/>
      <c r="B910" s="1379"/>
      <c r="C910" s="1379"/>
      <c r="D910" s="1379"/>
      <c r="E910" s="1379"/>
      <c r="F910" s="1379"/>
      <c r="G910" s="1379"/>
      <c r="H910" s="1379"/>
      <c r="I910" s="1379"/>
      <c r="J910" s="1379"/>
      <c r="L910" s="1379"/>
      <c r="M910" s="1379"/>
      <c r="N910" s="1379"/>
      <c r="O910" s="1379"/>
      <c r="P910" s="1379"/>
      <c r="Q910" s="1379"/>
      <c r="R910" s="1379"/>
      <c r="S910" s="1379"/>
      <c r="T910" s="1379"/>
      <c r="U910" s="1379"/>
    </row>
    <row r="911" spans="1:21" s="1380" customFormat="1">
      <c r="A911" s="1457"/>
      <c r="B911" s="1379"/>
      <c r="C911" s="1379"/>
      <c r="D911" s="1379"/>
      <c r="E911" s="1379"/>
      <c r="F911" s="1379"/>
      <c r="G911" s="1379"/>
      <c r="H911" s="1379"/>
      <c r="I911" s="1379"/>
      <c r="J911" s="1379"/>
      <c r="L911" s="1379"/>
      <c r="M911" s="1379"/>
      <c r="N911" s="1379"/>
      <c r="O911" s="1379"/>
      <c r="P911" s="1379"/>
      <c r="Q911" s="1379"/>
      <c r="R911" s="1379"/>
      <c r="S911" s="1379"/>
      <c r="T911" s="1379"/>
      <c r="U911" s="1379"/>
    </row>
    <row r="912" spans="1:21" s="1380" customFormat="1">
      <c r="A912" s="1457"/>
      <c r="B912" s="1379"/>
      <c r="C912" s="1379"/>
      <c r="D912" s="1379"/>
      <c r="E912" s="1379"/>
      <c r="F912" s="1379"/>
      <c r="G912" s="1379"/>
      <c r="H912" s="1379"/>
      <c r="I912" s="1379"/>
      <c r="J912" s="1379"/>
      <c r="L912" s="1379"/>
      <c r="M912" s="1379"/>
      <c r="N912" s="1379"/>
      <c r="O912" s="1379"/>
      <c r="P912" s="1379"/>
      <c r="Q912" s="1379"/>
      <c r="R912" s="1379"/>
      <c r="S912" s="1379"/>
      <c r="T912" s="1379"/>
      <c r="U912" s="1379"/>
    </row>
    <row r="913" spans="1:21" s="1380" customFormat="1">
      <c r="A913" s="1457"/>
      <c r="B913" s="1379"/>
      <c r="C913" s="1379"/>
      <c r="D913" s="1379"/>
      <c r="E913" s="1379"/>
      <c r="F913" s="1379"/>
      <c r="G913" s="1379"/>
      <c r="H913" s="1379"/>
      <c r="I913" s="1379"/>
      <c r="J913" s="1379"/>
      <c r="L913" s="1379"/>
      <c r="M913" s="1379"/>
      <c r="N913" s="1379"/>
      <c r="O913" s="1379"/>
      <c r="P913" s="1379"/>
      <c r="Q913" s="1379"/>
      <c r="R913" s="1379"/>
      <c r="S913" s="1379"/>
      <c r="T913" s="1379"/>
      <c r="U913" s="1379"/>
    </row>
    <row r="914" spans="1:21" s="1380" customFormat="1">
      <c r="A914" s="1457"/>
      <c r="B914" s="1379"/>
      <c r="C914" s="1379"/>
      <c r="D914" s="1379"/>
      <c r="E914" s="1379"/>
      <c r="F914" s="1379"/>
      <c r="G914" s="1379"/>
      <c r="H914" s="1379"/>
      <c r="I914" s="1379"/>
      <c r="J914" s="1379"/>
      <c r="L914" s="1379"/>
      <c r="M914" s="1379"/>
      <c r="N914" s="1379"/>
      <c r="O914" s="1379"/>
      <c r="P914" s="1379"/>
      <c r="Q914" s="1379"/>
      <c r="R914" s="1379"/>
      <c r="S914" s="1379"/>
      <c r="T914" s="1379"/>
      <c r="U914" s="1379"/>
    </row>
    <row r="915" spans="1:21" s="1380" customFormat="1">
      <c r="A915" s="1457"/>
      <c r="B915" s="1379"/>
      <c r="C915" s="1379"/>
      <c r="D915" s="1379"/>
      <c r="E915" s="1379"/>
      <c r="F915" s="1379"/>
      <c r="G915" s="1379"/>
      <c r="H915" s="1379"/>
      <c r="I915" s="1379"/>
      <c r="J915" s="1379"/>
      <c r="L915" s="1379"/>
      <c r="M915" s="1379"/>
      <c r="N915" s="1379"/>
      <c r="O915" s="1379"/>
      <c r="P915" s="1379"/>
      <c r="Q915" s="1379"/>
      <c r="R915" s="1379"/>
      <c r="S915" s="1379"/>
      <c r="T915" s="1379"/>
      <c r="U915" s="1379"/>
    </row>
    <row r="916" spans="1:21" s="1380" customFormat="1">
      <c r="A916" s="1457"/>
      <c r="B916" s="1379"/>
      <c r="C916" s="1379"/>
      <c r="D916" s="1379"/>
      <c r="E916" s="1379"/>
      <c r="F916" s="1379"/>
      <c r="G916" s="1379"/>
      <c r="H916" s="1379"/>
      <c r="I916" s="1379"/>
      <c r="J916" s="1379"/>
      <c r="L916" s="1379"/>
      <c r="M916" s="1379"/>
      <c r="N916" s="1379"/>
      <c r="O916" s="1379"/>
      <c r="P916" s="1379"/>
      <c r="Q916" s="1379"/>
      <c r="R916" s="1379"/>
      <c r="S916" s="1379"/>
      <c r="T916" s="1379"/>
      <c r="U916" s="1379"/>
    </row>
    <row r="917" spans="1:21" s="1380" customFormat="1">
      <c r="A917" s="1457"/>
      <c r="B917" s="1379"/>
      <c r="C917" s="1379"/>
      <c r="D917" s="1379"/>
      <c r="E917" s="1379"/>
      <c r="F917" s="1379"/>
      <c r="G917" s="1379"/>
      <c r="H917" s="1379"/>
      <c r="I917" s="1379"/>
      <c r="J917" s="1379"/>
      <c r="L917" s="1379"/>
      <c r="M917" s="1379"/>
      <c r="N917" s="1379"/>
      <c r="O917" s="1379"/>
      <c r="P917" s="1379"/>
      <c r="Q917" s="1379"/>
      <c r="R917" s="1379"/>
      <c r="S917" s="1379"/>
      <c r="T917" s="1379"/>
      <c r="U917" s="1379"/>
    </row>
    <row r="918" spans="1:21" s="1380" customFormat="1">
      <c r="A918" s="1457"/>
      <c r="B918" s="1379"/>
      <c r="C918" s="1379"/>
      <c r="D918" s="1379"/>
      <c r="E918" s="1379"/>
      <c r="F918" s="1379"/>
      <c r="G918" s="1379"/>
      <c r="H918" s="1379"/>
      <c r="I918" s="1379"/>
      <c r="J918" s="1379"/>
      <c r="L918" s="1379"/>
      <c r="M918" s="1379"/>
      <c r="N918" s="1379"/>
      <c r="O918" s="1379"/>
      <c r="P918" s="1379"/>
      <c r="Q918" s="1379"/>
      <c r="R918" s="1379"/>
      <c r="S918" s="1379"/>
      <c r="T918" s="1379"/>
      <c r="U918" s="1379"/>
    </row>
    <row r="919" spans="1:21" s="1380" customFormat="1">
      <c r="A919" s="1457"/>
      <c r="B919" s="1379"/>
      <c r="C919" s="1379"/>
      <c r="D919" s="1379"/>
      <c r="E919" s="1379"/>
      <c r="F919" s="1379"/>
      <c r="G919" s="1379"/>
      <c r="H919" s="1379"/>
      <c r="I919" s="1379"/>
      <c r="J919" s="1379"/>
      <c r="L919" s="1379"/>
      <c r="M919" s="1379"/>
      <c r="N919" s="1379"/>
      <c r="O919" s="1379"/>
      <c r="P919" s="1379"/>
      <c r="Q919" s="1379"/>
      <c r="R919" s="1379"/>
      <c r="S919" s="1379"/>
      <c r="T919" s="1379"/>
      <c r="U919" s="1379"/>
    </row>
    <row r="920" spans="1:21" s="1380" customFormat="1">
      <c r="A920" s="1457"/>
      <c r="B920" s="1379"/>
      <c r="C920" s="1379"/>
      <c r="D920" s="1379"/>
      <c r="E920" s="1379"/>
      <c r="F920" s="1379"/>
      <c r="G920" s="1379"/>
      <c r="H920" s="1379"/>
      <c r="I920" s="1379"/>
      <c r="J920" s="1379"/>
      <c r="L920" s="1379"/>
      <c r="M920" s="1379"/>
      <c r="N920" s="1379"/>
      <c r="O920" s="1379"/>
      <c r="P920" s="1379"/>
      <c r="Q920" s="1379"/>
      <c r="R920" s="1379"/>
      <c r="S920" s="1379"/>
      <c r="T920" s="1379"/>
      <c r="U920" s="1379"/>
    </row>
    <row r="921" spans="1:21" s="1380" customFormat="1">
      <c r="A921" s="1457"/>
      <c r="B921" s="1379"/>
      <c r="C921" s="1379"/>
      <c r="D921" s="1379"/>
      <c r="E921" s="1379"/>
      <c r="F921" s="1379"/>
      <c r="G921" s="1379"/>
      <c r="H921" s="1379"/>
      <c r="I921" s="1379"/>
      <c r="J921" s="1379"/>
      <c r="L921" s="1379"/>
      <c r="M921" s="1379"/>
      <c r="N921" s="1379"/>
      <c r="O921" s="1379"/>
      <c r="P921" s="1379"/>
      <c r="Q921" s="1379"/>
      <c r="R921" s="1379"/>
      <c r="S921" s="1379"/>
      <c r="T921" s="1379"/>
      <c r="U921" s="1379"/>
    </row>
    <row r="922" spans="1:21" s="1380" customFormat="1">
      <c r="A922" s="1457"/>
      <c r="B922" s="1379"/>
      <c r="C922" s="1379"/>
      <c r="D922" s="1379"/>
      <c r="E922" s="1379"/>
      <c r="F922" s="1379"/>
      <c r="G922" s="1379"/>
      <c r="H922" s="1379"/>
      <c r="I922" s="1379"/>
      <c r="J922" s="1379"/>
      <c r="L922" s="1379"/>
      <c r="M922" s="1379"/>
      <c r="N922" s="1379"/>
      <c r="O922" s="1379"/>
      <c r="P922" s="1379"/>
      <c r="Q922" s="1379"/>
      <c r="R922" s="1379"/>
      <c r="S922" s="1379"/>
      <c r="T922" s="1379"/>
      <c r="U922" s="1379"/>
    </row>
    <row r="923" spans="1:21" s="1380" customFormat="1">
      <c r="A923" s="1457"/>
      <c r="B923" s="1379"/>
      <c r="C923" s="1379"/>
      <c r="D923" s="1379"/>
      <c r="E923" s="1379"/>
      <c r="F923" s="1379"/>
      <c r="G923" s="1379"/>
      <c r="H923" s="1379"/>
      <c r="I923" s="1379"/>
      <c r="J923" s="1379"/>
      <c r="L923" s="1379"/>
      <c r="M923" s="1379"/>
      <c r="N923" s="1379"/>
      <c r="O923" s="1379"/>
      <c r="P923" s="1379"/>
      <c r="Q923" s="1379"/>
      <c r="R923" s="1379"/>
      <c r="S923" s="1379"/>
      <c r="T923" s="1379"/>
      <c r="U923" s="1379"/>
    </row>
    <row r="924" spans="1:21" s="1380" customFormat="1">
      <c r="A924" s="1457"/>
      <c r="B924" s="1379"/>
      <c r="C924" s="1379"/>
      <c r="D924" s="1379"/>
      <c r="E924" s="1379"/>
      <c r="F924" s="1379"/>
      <c r="G924" s="1379"/>
      <c r="H924" s="1379"/>
      <c r="I924" s="1379"/>
      <c r="J924" s="1379"/>
      <c r="L924" s="1379"/>
      <c r="M924" s="1379"/>
      <c r="N924" s="1379"/>
      <c r="O924" s="1379"/>
      <c r="P924" s="1379"/>
      <c r="Q924" s="1379"/>
      <c r="R924" s="1379"/>
      <c r="S924" s="1379"/>
      <c r="T924" s="1379"/>
      <c r="U924" s="1379"/>
    </row>
    <row r="925" spans="1:21" s="1380" customFormat="1">
      <c r="A925" s="1457"/>
      <c r="B925" s="1379"/>
      <c r="C925" s="1379"/>
      <c r="D925" s="1379"/>
      <c r="E925" s="1379"/>
      <c r="F925" s="1379"/>
      <c r="G925" s="1379"/>
      <c r="H925" s="1379"/>
      <c r="I925" s="1379"/>
      <c r="J925" s="1379"/>
      <c r="L925" s="1379"/>
      <c r="M925" s="1379"/>
      <c r="N925" s="1379"/>
      <c r="O925" s="1379"/>
      <c r="P925" s="1379"/>
      <c r="Q925" s="1379"/>
      <c r="R925" s="1379"/>
      <c r="S925" s="1379"/>
      <c r="T925" s="1379"/>
      <c r="U925" s="1379"/>
    </row>
    <row r="926" spans="1:21" s="1380" customFormat="1">
      <c r="A926" s="1457"/>
      <c r="B926" s="1379"/>
      <c r="C926" s="1379"/>
      <c r="D926" s="1379"/>
      <c r="E926" s="1379"/>
      <c r="F926" s="1379"/>
      <c r="G926" s="1379"/>
      <c r="H926" s="1379"/>
      <c r="I926" s="1379"/>
      <c r="J926" s="1379"/>
      <c r="L926" s="1379"/>
      <c r="M926" s="1379"/>
      <c r="N926" s="1379"/>
      <c r="O926" s="1379"/>
      <c r="P926" s="1379"/>
      <c r="Q926" s="1379"/>
      <c r="R926" s="1379"/>
      <c r="S926" s="1379"/>
      <c r="T926" s="1379"/>
      <c r="U926" s="1379"/>
    </row>
    <row r="927" spans="1:21" s="1380" customFormat="1">
      <c r="A927" s="1457"/>
      <c r="B927" s="1379"/>
      <c r="C927" s="1379"/>
      <c r="D927" s="1379"/>
      <c r="E927" s="1379"/>
      <c r="F927" s="1379"/>
      <c r="G927" s="1379"/>
      <c r="H927" s="1379"/>
      <c r="I927" s="1379"/>
      <c r="J927" s="1379"/>
      <c r="L927" s="1379"/>
      <c r="M927" s="1379"/>
      <c r="N927" s="1379"/>
      <c r="O927" s="1379"/>
      <c r="P927" s="1379"/>
      <c r="Q927" s="1379"/>
      <c r="R927" s="1379"/>
      <c r="S927" s="1379"/>
      <c r="T927" s="1379"/>
      <c r="U927" s="1379"/>
    </row>
    <row r="928" spans="1:21" s="1380" customFormat="1">
      <c r="A928" s="1457"/>
      <c r="B928" s="1379"/>
      <c r="C928" s="1379"/>
      <c r="D928" s="1379"/>
      <c r="E928" s="1379"/>
      <c r="F928" s="1379"/>
      <c r="G928" s="1379"/>
      <c r="H928" s="1379"/>
      <c r="I928" s="1379"/>
      <c r="J928" s="1379"/>
      <c r="L928" s="1379"/>
      <c r="M928" s="1379"/>
      <c r="N928" s="1379"/>
      <c r="O928" s="1379"/>
      <c r="P928" s="1379"/>
      <c r="Q928" s="1379"/>
      <c r="R928" s="1379"/>
      <c r="S928" s="1379"/>
      <c r="T928" s="1379"/>
      <c r="U928" s="1379"/>
    </row>
    <row r="929" spans="1:21" s="1380" customFormat="1">
      <c r="A929" s="1457"/>
      <c r="B929" s="1379"/>
      <c r="C929" s="1379"/>
      <c r="D929" s="1379"/>
      <c r="E929" s="1379"/>
      <c r="F929" s="1379"/>
      <c r="G929" s="1379"/>
      <c r="H929" s="1379"/>
      <c r="I929" s="1379"/>
      <c r="J929" s="1379"/>
      <c r="L929" s="1379"/>
      <c r="M929" s="1379"/>
      <c r="N929" s="1379"/>
      <c r="O929" s="1379"/>
      <c r="P929" s="1379"/>
      <c r="Q929" s="1379"/>
      <c r="R929" s="1379"/>
      <c r="S929" s="1379"/>
      <c r="T929" s="1379"/>
      <c r="U929" s="1379"/>
    </row>
    <row r="930" spans="1:21" s="1380" customFormat="1">
      <c r="A930" s="1457"/>
      <c r="B930" s="1379"/>
      <c r="C930" s="1379"/>
      <c r="D930" s="1379"/>
      <c r="E930" s="1379"/>
      <c r="F930" s="1379"/>
      <c r="G930" s="1379"/>
      <c r="H930" s="1379"/>
      <c r="I930" s="1379"/>
      <c r="J930" s="1379"/>
      <c r="L930" s="1379"/>
      <c r="M930" s="1379"/>
      <c r="N930" s="1379"/>
      <c r="O930" s="1379"/>
      <c r="P930" s="1379"/>
      <c r="Q930" s="1379"/>
      <c r="R930" s="1379"/>
      <c r="S930" s="1379"/>
      <c r="T930" s="1379"/>
      <c r="U930" s="1379"/>
    </row>
    <row r="931" spans="1:21" s="1380" customFormat="1">
      <c r="A931" s="1457"/>
      <c r="B931" s="1379"/>
      <c r="C931" s="1379"/>
      <c r="D931" s="1379"/>
      <c r="E931" s="1379"/>
      <c r="F931" s="1379"/>
      <c r="G931" s="1379"/>
      <c r="H931" s="1379"/>
      <c r="I931" s="1379"/>
      <c r="J931" s="1379"/>
      <c r="L931" s="1379"/>
      <c r="M931" s="1379"/>
      <c r="N931" s="1379"/>
      <c r="O931" s="1379"/>
      <c r="P931" s="1379"/>
      <c r="Q931" s="1379"/>
      <c r="R931" s="1379"/>
      <c r="S931" s="1379"/>
      <c r="T931" s="1379"/>
      <c r="U931" s="1379"/>
    </row>
    <row r="932" spans="1:21" s="1380" customFormat="1">
      <c r="A932" s="1457"/>
      <c r="B932" s="1379"/>
      <c r="C932" s="1379"/>
      <c r="D932" s="1379"/>
      <c r="E932" s="1379"/>
      <c r="F932" s="1379"/>
      <c r="G932" s="1379"/>
      <c r="H932" s="1379"/>
      <c r="I932" s="1379"/>
      <c r="J932" s="1379"/>
      <c r="L932" s="1379"/>
      <c r="M932" s="1379"/>
      <c r="N932" s="1379"/>
      <c r="O932" s="1379"/>
      <c r="P932" s="1379"/>
      <c r="Q932" s="1379"/>
      <c r="R932" s="1379"/>
      <c r="S932" s="1379"/>
      <c r="T932" s="1379"/>
      <c r="U932" s="1379"/>
    </row>
    <row r="933" spans="1:21" s="1380" customFormat="1">
      <c r="A933" s="1457"/>
      <c r="B933" s="1379"/>
      <c r="C933" s="1379"/>
      <c r="D933" s="1379"/>
      <c r="E933" s="1379"/>
      <c r="F933" s="1379"/>
      <c r="G933" s="1379"/>
      <c r="H933" s="1379"/>
      <c r="I933" s="1379"/>
      <c r="J933" s="1379"/>
      <c r="L933" s="1379"/>
      <c r="M933" s="1379"/>
      <c r="N933" s="1379"/>
      <c r="O933" s="1379"/>
      <c r="P933" s="1379"/>
      <c r="Q933" s="1379"/>
      <c r="R933" s="1379"/>
      <c r="S933" s="1379"/>
      <c r="T933" s="1379"/>
      <c r="U933" s="1379"/>
    </row>
    <row r="934" spans="1:21" s="1380" customFormat="1">
      <c r="A934" s="1457"/>
      <c r="B934" s="1379"/>
      <c r="C934" s="1379"/>
      <c r="D934" s="1379"/>
      <c r="E934" s="1379"/>
      <c r="F934" s="1379"/>
      <c r="G934" s="1379"/>
      <c r="H934" s="1379"/>
      <c r="I934" s="1379"/>
      <c r="J934" s="1379"/>
      <c r="L934" s="1379"/>
      <c r="M934" s="1379"/>
      <c r="N934" s="1379"/>
      <c r="O934" s="1379"/>
      <c r="P934" s="1379"/>
      <c r="Q934" s="1379"/>
      <c r="R934" s="1379"/>
      <c r="S934" s="1379"/>
      <c r="T934" s="1379"/>
      <c r="U934" s="1379"/>
    </row>
    <row r="935" spans="1:21" s="1380" customFormat="1">
      <c r="A935" s="1457"/>
      <c r="B935" s="1379"/>
      <c r="C935" s="1379"/>
      <c r="D935" s="1379"/>
      <c r="E935" s="1379"/>
      <c r="F935" s="1379"/>
      <c r="G935" s="1379"/>
      <c r="H935" s="1379"/>
      <c r="I935" s="1379"/>
      <c r="J935" s="1379"/>
      <c r="L935" s="1379"/>
      <c r="M935" s="1379"/>
      <c r="N935" s="1379"/>
      <c r="O935" s="1379"/>
      <c r="P935" s="1379"/>
      <c r="Q935" s="1379"/>
      <c r="R935" s="1379"/>
      <c r="S935" s="1379"/>
      <c r="T935" s="1379"/>
      <c r="U935" s="1379"/>
    </row>
    <row r="936" spans="1:21" s="1380" customFormat="1">
      <c r="A936" s="1457"/>
      <c r="B936" s="1379"/>
      <c r="C936" s="1379"/>
      <c r="D936" s="1379"/>
      <c r="E936" s="1379"/>
      <c r="F936" s="1379"/>
      <c r="G936" s="1379"/>
      <c r="H936" s="1379"/>
      <c r="I936" s="1379"/>
      <c r="J936" s="1379"/>
      <c r="L936" s="1379"/>
      <c r="M936" s="1379"/>
      <c r="N936" s="1379"/>
      <c r="O936" s="1379"/>
      <c r="P936" s="1379"/>
      <c r="Q936" s="1379"/>
      <c r="R936" s="1379"/>
      <c r="S936" s="1379"/>
      <c r="T936" s="1379"/>
      <c r="U936" s="1379"/>
    </row>
    <row r="937" spans="1:21" s="1380" customFormat="1">
      <c r="A937" s="1457"/>
      <c r="B937" s="1379"/>
      <c r="C937" s="1379"/>
      <c r="D937" s="1379"/>
      <c r="E937" s="1379"/>
      <c r="F937" s="1379"/>
      <c r="G937" s="1379"/>
      <c r="H937" s="1379"/>
      <c r="I937" s="1379"/>
      <c r="J937" s="1379"/>
      <c r="L937" s="1379"/>
      <c r="M937" s="1379"/>
      <c r="N937" s="1379"/>
      <c r="O937" s="1379"/>
      <c r="P937" s="1379"/>
      <c r="Q937" s="1379"/>
      <c r="R937" s="1379"/>
      <c r="S937" s="1379"/>
      <c r="T937" s="1379"/>
      <c r="U937" s="1379"/>
    </row>
    <row r="938" spans="1:21" s="1380" customFormat="1">
      <c r="A938" s="1457"/>
      <c r="B938" s="1379"/>
      <c r="C938" s="1379"/>
      <c r="D938" s="1379"/>
      <c r="E938" s="1379"/>
      <c r="F938" s="1379"/>
      <c r="G938" s="1379"/>
      <c r="H938" s="1379"/>
      <c r="I938" s="1379"/>
      <c r="J938" s="1379"/>
      <c r="L938" s="1379"/>
      <c r="M938" s="1379"/>
      <c r="N938" s="1379"/>
      <c r="O938" s="1379"/>
      <c r="P938" s="1379"/>
      <c r="Q938" s="1379"/>
      <c r="R938" s="1379"/>
      <c r="S938" s="1379"/>
      <c r="T938" s="1379"/>
      <c r="U938" s="1379"/>
    </row>
    <row r="939" spans="1:21" s="1380" customFormat="1">
      <c r="A939" s="1457"/>
      <c r="B939" s="1379"/>
      <c r="C939" s="1379"/>
      <c r="D939" s="1379"/>
      <c r="E939" s="1379"/>
      <c r="F939" s="1379"/>
      <c r="G939" s="1379"/>
      <c r="H939" s="1379"/>
      <c r="I939" s="1379"/>
      <c r="J939" s="1379"/>
      <c r="L939" s="1379"/>
      <c r="M939" s="1379"/>
      <c r="N939" s="1379"/>
      <c r="O939" s="1379"/>
      <c r="P939" s="1379"/>
      <c r="Q939" s="1379"/>
      <c r="R939" s="1379"/>
      <c r="S939" s="1379"/>
      <c r="T939" s="1379"/>
      <c r="U939" s="1379"/>
    </row>
    <row r="940" spans="1:21" s="1380" customFormat="1">
      <c r="A940" s="1457"/>
      <c r="B940" s="1379"/>
      <c r="C940" s="1379"/>
      <c r="D940" s="1379"/>
      <c r="E940" s="1379"/>
      <c r="F940" s="1379"/>
      <c r="G940" s="1379"/>
      <c r="H940" s="1379"/>
      <c r="I940" s="1379"/>
      <c r="J940" s="1379"/>
      <c r="L940" s="1379"/>
      <c r="M940" s="1379"/>
      <c r="N940" s="1379"/>
      <c r="O940" s="1379"/>
      <c r="P940" s="1379"/>
      <c r="Q940" s="1379"/>
      <c r="R940" s="1379"/>
      <c r="S940" s="1379"/>
      <c r="T940" s="1379"/>
      <c r="U940" s="1379"/>
    </row>
    <row r="941" spans="1:21" s="1380" customFormat="1">
      <c r="A941" s="1457"/>
      <c r="B941" s="1379"/>
      <c r="C941" s="1379"/>
      <c r="D941" s="1379"/>
      <c r="E941" s="1379"/>
      <c r="F941" s="1379"/>
      <c r="G941" s="1379"/>
      <c r="H941" s="1379"/>
      <c r="I941" s="1379"/>
      <c r="J941" s="1379"/>
      <c r="L941" s="1379"/>
      <c r="M941" s="1379"/>
      <c r="N941" s="1379"/>
      <c r="O941" s="1379"/>
      <c r="P941" s="1379"/>
      <c r="Q941" s="1379"/>
      <c r="R941" s="1379"/>
      <c r="S941" s="1379"/>
      <c r="T941" s="1379"/>
      <c r="U941" s="1379"/>
    </row>
    <row r="942" spans="1:21" s="1380" customFormat="1">
      <c r="A942" s="1457"/>
      <c r="B942" s="1379"/>
      <c r="C942" s="1379"/>
      <c r="D942" s="1379"/>
      <c r="E942" s="1379"/>
      <c r="F942" s="1379"/>
      <c r="G942" s="1379"/>
      <c r="H942" s="1379"/>
      <c r="I942" s="1379"/>
      <c r="J942" s="1379"/>
      <c r="L942" s="1379"/>
      <c r="M942" s="1379"/>
      <c r="N942" s="1379"/>
      <c r="O942" s="1379"/>
      <c r="P942" s="1379"/>
      <c r="Q942" s="1379"/>
      <c r="R942" s="1379"/>
      <c r="S942" s="1379"/>
      <c r="T942" s="1379"/>
      <c r="U942" s="1379"/>
    </row>
    <row r="943" spans="1:21" s="1380" customFormat="1">
      <c r="A943" s="1457"/>
      <c r="B943" s="1379"/>
      <c r="C943" s="1379"/>
      <c r="D943" s="1379"/>
      <c r="E943" s="1379"/>
      <c r="F943" s="1379"/>
      <c r="G943" s="1379"/>
      <c r="H943" s="1379"/>
      <c r="I943" s="1379"/>
      <c r="J943" s="1379"/>
      <c r="L943" s="1379"/>
      <c r="M943" s="1379"/>
      <c r="N943" s="1379"/>
      <c r="O943" s="1379"/>
      <c r="P943" s="1379"/>
      <c r="Q943" s="1379"/>
      <c r="R943" s="1379"/>
      <c r="S943" s="1379"/>
      <c r="T943" s="1379"/>
      <c r="U943" s="1379"/>
    </row>
    <row r="944" spans="1:21" s="1380" customFormat="1">
      <c r="A944" s="1457"/>
      <c r="B944" s="1379"/>
      <c r="C944" s="1379"/>
      <c r="D944" s="1379"/>
      <c r="E944" s="1379"/>
      <c r="F944" s="1379"/>
      <c r="G944" s="1379"/>
      <c r="H944" s="1379"/>
      <c r="I944" s="1379"/>
      <c r="J944" s="1379"/>
      <c r="L944" s="1379"/>
      <c r="M944" s="1379"/>
      <c r="N944" s="1379"/>
      <c r="O944" s="1379"/>
      <c r="P944" s="1379"/>
      <c r="Q944" s="1379"/>
      <c r="R944" s="1379"/>
      <c r="S944" s="1379"/>
      <c r="T944" s="1379"/>
      <c r="U944" s="1379"/>
    </row>
    <row r="945" spans="1:21" s="1380" customFormat="1">
      <c r="A945" s="1457"/>
      <c r="B945" s="1379"/>
      <c r="C945" s="1379"/>
      <c r="D945" s="1379"/>
      <c r="E945" s="1379"/>
      <c r="F945" s="1379"/>
      <c r="G945" s="1379"/>
      <c r="H945" s="1379"/>
      <c r="I945" s="1379"/>
      <c r="J945" s="1379"/>
      <c r="L945" s="1379"/>
      <c r="M945" s="1379"/>
      <c r="N945" s="1379"/>
      <c r="O945" s="1379"/>
      <c r="P945" s="1379"/>
      <c r="Q945" s="1379"/>
      <c r="R945" s="1379"/>
      <c r="S945" s="1379"/>
      <c r="T945" s="1379"/>
      <c r="U945" s="1379"/>
    </row>
    <row r="946" spans="1:21" s="1380" customFormat="1">
      <c r="A946" s="1457"/>
      <c r="B946" s="1379"/>
      <c r="C946" s="1379"/>
      <c r="D946" s="1379"/>
      <c r="E946" s="1379"/>
      <c r="F946" s="1379"/>
      <c r="G946" s="1379"/>
      <c r="H946" s="1379"/>
      <c r="I946" s="1379"/>
      <c r="J946" s="1379"/>
      <c r="L946" s="1379"/>
      <c r="M946" s="1379"/>
      <c r="N946" s="1379"/>
      <c r="O946" s="1379"/>
      <c r="P946" s="1379"/>
      <c r="Q946" s="1379"/>
      <c r="R946" s="1379"/>
      <c r="S946" s="1379"/>
      <c r="T946" s="1379"/>
      <c r="U946" s="1379"/>
    </row>
    <row r="947" spans="1:21" s="1380" customFormat="1">
      <c r="A947" s="1457"/>
      <c r="B947" s="1379"/>
      <c r="C947" s="1379"/>
      <c r="D947" s="1379"/>
      <c r="E947" s="1379"/>
      <c r="F947" s="1379"/>
      <c r="G947" s="1379"/>
      <c r="H947" s="1379"/>
      <c r="I947" s="1379"/>
      <c r="J947" s="1379"/>
      <c r="L947" s="1379"/>
      <c r="M947" s="1379"/>
      <c r="N947" s="1379"/>
      <c r="O947" s="1379"/>
      <c r="P947" s="1379"/>
      <c r="Q947" s="1379"/>
      <c r="R947" s="1379"/>
      <c r="S947" s="1379"/>
      <c r="T947" s="1379"/>
      <c r="U947" s="1379"/>
    </row>
    <row r="948" spans="1:21" s="1380" customFormat="1">
      <c r="A948" s="1457"/>
      <c r="B948" s="1379"/>
      <c r="C948" s="1379"/>
      <c r="D948" s="1379"/>
      <c r="E948" s="1379"/>
      <c r="F948" s="1379"/>
      <c r="G948" s="1379"/>
      <c r="H948" s="1379"/>
      <c r="I948" s="1379"/>
      <c r="J948" s="1379"/>
      <c r="L948" s="1379"/>
      <c r="M948" s="1379"/>
      <c r="N948" s="1379"/>
      <c r="O948" s="1379"/>
      <c r="P948" s="1379"/>
      <c r="Q948" s="1379"/>
      <c r="R948" s="1379"/>
      <c r="S948" s="1379"/>
      <c r="T948" s="1379"/>
      <c r="U948" s="1379"/>
    </row>
    <row r="949" spans="1:21" s="1380" customFormat="1">
      <c r="A949" s="1457"/>
      <c r="B949" s="1379"/>
      <c r="C949" s="1379"/>
      <c r="D949" s="1379"/>
      <c r="E949" s="1379"/>
      <c r="F949" s="1379"/>
      <c r="G949" s="1379"/>
      <c r="H949" s="1379"/>
      <c r="I949" s="1379"/>
      <c r="J949" s="1379"/>
      <c r="L949" s="1379"/>
      <c r="M949" s="1379"/>
      <c r="N949" s="1379"/>
      <c r="O949" s="1379"/>
      <c r="P949" s="1379"/>
      <c r="Q949" s="1379"/>
      <c r="R949" s="1379"/>
      <c r="S949" s="1379"/>
      <c r="T949" s="1379"/>
      <c r="U949" s="1379"/>
    </row>
    <row r="950" spans="1:21" s="1380" customFormat="1">
      <c r="A950" s="1457"/>
      <c r="B950" s="1379"/>
      <c r="C950" s="1379"/>
      <c r="D950" s="1379"/>
      <c r="E950" s="1379"/>
      <c r="F950" s="1379"/>
      <c r="G950" s="1379"/>
      <c r="H950" s="1379"/>
      <c r="I950" s="1379"/>
      <c r="J950" s="1379"/>
      <c r="L950" s="1379"/>
      <c r="M950" s="1379"/>
      <c r="N950" s="1379"/>
      <c r="O950" s="1379"/>
      <c r="P950" s="1379"/>
      <c r="Q950" s="1379"/>
      <c r="R950" s="1379"/>
      <c r="S950" s="1379"/>
      <c r="T950" s="1379"/>
      <c r="U950" s="1379"/>
    </row>
    <row r="951" spans="1:21" s="1380" customFormat="1">
      <c r="A951" s="1457"/>
      <c r="B951" s="1379"/>
      <c r="C951" s="1379"/>
      <c r="D951" s="1379"/>
      <c r="E951" s="1379"/>
      <c r="F951" s="1379"/>
      <c r="G951" s="1379"/>
      <c r="H951" s="1379"/>
      <c r="I951" s="1379"/>
      <c r="J951" s="1379"/>
      <c r="L951" s="1379"/>
      <c r="M951" s="1379"/>
      <c r="N951" s="1379"/>
      <c r="O951" s="1379"/>
      <c r="P951" s="1379"/>
      <c r="Q951" s="1379"/>
      <c r="R951" s="1379"/>
      <c r="S951" s="1379"/>
      <c r="T951" s="1379"/>
      <c r="U951" s="1379"/>
    </row>
    <row r="952" spans="1:21" s="1380" customFormat="1">
      <c r="A952" s="1457"/>
      <c r="B952" s="1379"/>
      <c r="C952" s="1379"/>
      <c r="D952" s="1379"/>
      <c r="E952" s="1379"/>
      <c r="F952" s="1379"/>
      <c r="G952" s="1379"/>
      <c r="H952" s="1379"/>
      <c r="I952" s="1379"/>
      <c r="J952" s="1379"/>
      <c r="L952" s="1379"/>
      <c r="M952" s="1379"/>
      <c r="N952" s="1379"/>
      <c r="O952" s="1379"/>
      <c r="P952" s="1379"/>
      <c r="Q952" s="1379"/>
      <c r="R952" s="1379"/>
      <c r="S952" s="1379"/>
      <c r="T952" s="1379"/>
      <c r="U952" s="1379"/>
    </row>
    <row r="953" spans="1:21" s="1380" customFormat="1">
      <c r="A953" s="1457"/>
      <c r="B953" s="1379"/>
      <c r="C953" s="1379"/>
      <c r="D953" s="1379"/>
      <c r="E953" s="1379"/>
      <c r="F953" s="1379"/>
      <c r="G953" s="1379"/>
      <c r="H953" s="1379"/>
      <c r="I953" s="1379"/>
      <c r="J953" s="1379"/>
      <c r="L953" s="1379"/>
      <c r="M953" s="1379"/>
      <c r="N953" s="1379"/>
      <c r="O953" s="1379"/>
      <c r="P953" s="1379"/>
      <c r="Q953" s="1379"/>
      <c r="R953" s="1379"/>
      <c r="S953" s="1379"/>
      <c r="T953" s="1379"/>
      <c r="U953" s="1379"/>
    </row>
    <row r="954" spans="1:21" s="1380" customFormat="1">
      <c r="A954" s="1457"/>
      <c r="B954" s="1379"/>
      <c r="C954" s="1379"/>
      <c r="D954" s="1379"/>
      <c r="E954" s="1379"/>
      <c r="F954" s="1379"/>
      <c r="G954" s="1379"/>
      <c r="H954" s="1379"/>
      <c r="I954" s="1379"/>
      <c r="J954" s="1379"/>
      <c r="L954" s="1379"/>
      <c r="M954" s="1379"/>
      <c r="N954" s="1379"/>
      <c r="O954" s="1379"/>
      <c r="P954" s="1379"/>
      <c r="Q954" s="1379"/>
      <c r="R954" s="1379"/>
      <c r="S954" s="1379"/>
      <c r="T954" s="1379"/>
      <c r="U954" s="1379"/>
    </row>
    <row r="955" spans="1:21" s="1380" customFormat="1">
      <c r="A955" s="1457"/>
      <c r="B955" s="1379"/>
      <c r="C955" s="1379"/>
      <c r="D955" s="1379"/>
      <c r="E955" s="1379"/>
      <c r="F955" s="1379"/>
      <c r="G955" s="1379"/>
      <c r="H955" s="1379"/>
      <c r="I955" s="1379"/>
      <c r="J955" s="1379"/>
      <c r="L955" s="1379"/>
      <c r="M955" s="1379"/>
      <c r="N955" s="1379"/>
      <c r="O955" s="1379"/>
      <c r="P955" s="1379"/>
      <c r="Q955" s="1379"/>
      <c r="R955" s="1379"/>
      <c r="S955" s="1379"/>
      <c r="T955" s="1379"/>
      <c r="U955" s="1379"/>
    </row>
    <row r="956" spans="1:21" s="1380" customFormat="1">
      <c r="A956" s="1457"/>
      <c r="B956" s="1379"/>
      <c r="C956" s="1379"/>
      <c r="D956" s="1379"/>
      <c r="E956" s="1379"/>
      <c r="F956" s="1379"/>
      <c r="G956" s="1379"/>
      <c r="H956" s="1379"/>
      <c r="I956" s="1379"/>
      <c r="J956" s="1379"/>
      <c r="L956" s="1379"/>
      <c r="M956" s="1379"/>
      <c r="N956" s="1379"/>
      <c r="O956" s="1379"/>
      <c r="P956" s="1379"/>
      <c r="Q956" s="1379"/>
      <c r="R956" s="1379"/>
      <c r="S956" s="1379"/>
      <c r="T956" s="1379"/>
      <c r="U956" s="1379"/>
    </row>
    <row r="957" spans="1:21" s="1380" customFormat="1">
      <c r="A957" s="1457"/>
      <c r="B957" s="1379"/>
      <c r="C957" s="1379"/>
      <c r="D957" s="1379"/>
      <c r="E957" s="1379"/>
      <c r="F957" s="1379"/>
      <c r="G957" s="1379"/>
      <c r="H957" s="1379"/>
      <c r="I957" s="1379"/>
      <c r="J957" s="1379"/>
      <c r="L957" s="1379"/>
      <c r="M957" s="1379"/>
      <c r="N957" s="1379"/>
      <c r="O957" s="1379"/>
      <c r="P957" s="1379"/>
      <c r="Q957" s="1379"/>
      <c r="R957" s="1379"/>
      <c r="S957" s="1379"/>
      <c r="T957" s="1379"/>
      <c r="U957" s="1379"/>
    </row>
    <row r="958" spans="1:21" s="1380" customFormat="1">
      <c r="A958" s="1457"/>
      <c r="B958" s="1379"/>
      <c r="C958" s="1379"/>
      <c r="D958" s="1379"/>
      <c r="E958" s="1379"/>
      <c r="F958" s="1379"/>
      <c r="G958" s="1379"/>
      <c r="H958" s="1379"/>
      <c r="I958" s="1379"/>
      <c r="J958" s="1379"/>
      <c r="L958" s="1379"/>
      <c r="M958" s="1379"/>
      <c r="N958" s="1379"/>
      <c r="O958" s="1379"/>
      <c r="P958" s="1379"/>
      <c r="Q958" s="1379"/>
      <c r="R958" s="1379"/>
      <c r="S958" s="1379"/>
      <c r="T958" s="1379"/>
      <c r="U958" s="1379"/>
    </row>
    <row r="959" spans="1:21" s="1380" customFormat="1">
      <c r="A959" s="1457"/>
      <c r="B959" s="1379"/>
      <c r="C959" s="1379"/>
      <c r="D959" s="1379"/>
      <c r="E959" s="1379"/>
      <c r="F959" s="1379"/>
      <c r="G959" s="1379"/>
      <c r="H959" s="1379"/>
      <c r="I959" s="1379"/>
      <c r="J959" s="1379"/>
      <c r="L959" s="1379"/>
      <c r="M959" s="1379"/>
      <c r="N959" s="1379"/>
      <c r="O959" s="1379"/>
      <c r="P959" s="1379"/>
      <c r="Q959" s="1379"/>
      <c r="R959" s="1379"/>
      <c r="S959" s="1379"/>
      <c r="T959" s="1379"/>
      <c r="U959" s="1379"/>
    </row>
    <row r="960" spans="1:21" s="1380" customFormat="1">
      <c r="A960" s="1457"/>
      <c r="B960" s="1379"/>
      <c r="C960" s="1379"/>
      <c r="D960" s="1379"/>
      <c r="E960" s="1379"/>
      <c r="F960" s="1379"/>
      <c r="G960" s="1379"/>
      <c r="H960" s="1379"/>
      <c r="I960" s="1379"/>
      <c r="J960" s="1379"/>
      <c r="L960" s="1379"/>
      <c r="M960" s="1379"/>
      <c r="N960" s="1379"/>
      <c r="O960" s="1379"/>
      <c r="P960" s="1379"/>
      <c r="Q960" s="1379"/>
      <c r="R960" s="1379"/>
      <c r="S960" s="1379"/>
      <c r="T960" s="1379"/>
      <c r="U960" s="1379"/>
    </row>
    <row r="961" spans="1:21" s="1380" customFormat="1">
      <c r="A961" s="1457"/>
      <c r="B961" s="1379"/>
      <c r="C961" s="1379"/>
      <c r="D961" s="1379"/>
      <c r="E961" s="1379"/>
      <c r="F961" s="1379"/>
      <c r="G961" s="1379"/>
      <c r="H961" s="1379"/>
      <c r="I961" s="1379"/>
      <c r="J961" s="1379"/>
      <c r="L961" s="1379"/>
      <c r="M961" s="1379"/>
      <c r="N961" s="1379"/>
      <c r="O961" s="1379"/>
      <c r="P961" s="1379"/>
      <c r="Q961" s="1379"/>
      <c r="R961" s="1379"/>
      <c r="S961" s="1379"/>
      <c r="T961" s="1379"/>
      <c r="U961" s="1379"/>
    </row>
    <row r="962" spans="1:21" s="1380" customFormat="1">
      <c r="A962" s="1457"/>
      <c r="B962" s="1379"/>
      <c r="C962" s="1379"/>
      <c r="D962" s="1379"/>
      <c r="E962" s="1379"/>
      <c r="F962" s="1379"/>
      <c r="G962" s="1379"/>
      <c r="H962" s="1379"/>
      <c r="I962" s="1379"/>
      <c r="J962" s="1379"/>
      <c r="L962" s="1379"/>
      <c r="M962" s="1379"/>
      <c r="N962" s="1379"/>
      <c r="O962" s="1379"/>
      <c r="P962" s="1379"/>
      <c r="Q962" s="1379"/>
      <c r="R962" s="1379"/>
      <c r="S962" s="1379"/>
      <c r="T962" s="1379"/>
      <c r="U962" s="1379"/>
    </row>
    <row r="963" spans="1:21" s="1380" customFormat="1">
      <c r="A963" s="1457"/>
      <c r="B963" s="1379"/>
      <c r="C963" s="1379"/>
      <c r="D963" s="1379"/>
      <c r="E963" s="1379"/>
      <c r="F963" s="1379"/>
      <c r="G963" s="1379"/>
      <c r="H963" s="1379"/>
      <c r="I963" s="1379"/>
      <c r="J963" s="1379"/>
      <c r="L963" s="1379"/>
      <c r="M963" s="1379"/>
      <c r="N963" s="1379"/>
      <c r="O963" s="1379"/>
      <c r="P963" s="1379"/>
      <c r="Q963" s="1379"/>
      <c r="R963" s="1379"/>
      <c r="S963" s="1379"/>
      <c r="T963" s="1379"/>
      <c r="U963" s="1379"/>
    </row>
    <row r="964" spans="1:21" s="1380" customFormat="1">
      <c r="A964" s="1457"/>
      <c r="B964" s="1379"/>
      <c r="C964" s="1379"/>
      <c r="D964" s="1379"/>
      <c r="E964" s="1379"/>
      <c r="F964" s="1379"/>
      <c r="G964" s="1379"/>
      <c r="H964" s="1379"/>
      <c r="I964" s="1379"/>
      <c r="J964" s="1379"/>
      <c r="L964" s="1379"/>
      <c r="M964" s="1379"/>
      <c r="N964" s="1379"/>
      <c r="O964" s="1379"/>
      <c r="P964" s="1379"/>
      <c r="Q964" s="1379"/>
      <c r="R964" s="1379"/>
      <c r="S964" s="1379"/>
      <c r="T964" s="1379"/>
      <c r="U964" s="1379"/>
    </row>
    <row r="965" spans="1:21" s="1380" customFormat="1">
      <c r="A965" s="1457"/>
      <c r="B965" s="1379"/>
      <c r="C965" s="1379"/>
      <c r="D965" s="1379"/>
      <c r="E965" s="1379"/>
      <c r="F965" s="1379"/>
      <c r="G965" s="1379"/>
      <c r="H965" s="1379"/>
      <c r="I965" s="1379"/>
      <c r="J965" s="1379"/>
      <c r="L965" s="1379"/>
      <c r="M965" s="1379"/>
      <c r="N965" s="1379"/>
      <c r="O965" s="1379"/>
      <c r="P965" s="1379"/>
      <c r="Q965" s="1379"/>
      <c r="R965" s="1379"/>
      <c r="S965" s="1379"/>
      <c r="T965" s="1379"/>
      <c r="U965" s="1379"/>
    </row>
    <row r="966" spans="1:21" s="1380" customFormat="1">
      <c r="A966" s="1457"/>
      <c r="B966" s="1379"/>
      <c r="C966" s="1379"/>
      <c r="D966" s="1379"/>
      <c r="E966" s="1379"/>
      <c r="F966" s="1379"/>
      <c r="G966" s="1379"/>
      <c r="H966" s="1379"/>
      <c r="I966" s="1379"/>
      <c r="J966" s="1379"/>
      <c r="L966" s="1379"/>
      <c r="M966" s="1379"/>
      <c r="N966" s="1379"/>
      <c r="O966" s="1379"/>
      <c r="P966" s="1379"/>
      <c r="Q966" s="1379"/>
      <c r="R966" s="1379"/>
      <c r="S966" s="1379"/>
      <c r="T966" s="1379"/>
      <c r="U966" s="1379"/>
    </row>
    <row r="967" spans="1:21" s="1380" customFormat="1">
      <c r="A967" s="1457"/>
      <c r="B967" s="1379"/>
      <c r="C967" s="1379"/>
      <c r="D967" s="1379"/>
      <c r="E967" s="1379"/>
      <c r="F967" s="1379"/>
      <c r="G967" s="1379"/>
      <c r="H967" s="1379"/>
      <c r="I967" s="1379"/>
      <c r="J967" s="1379"/>
      <c r="L967" s="1379"/>
      <c r="M967" s="1379"/>
      <c r="N967" s="1379"/>
      <c r="O967" s="1379"/>
      <c r="P967" s="1379"/>
      <c r="Q967" s="1379"/>
      <c r="R967" s="1379"/>
      <c r="S967" s="1379"/>
      <c r="T967" s="1379"/>
      <c r="U967" s="1379"/>
    </row>
    <row r="968" spans="1:21" s="1380" customFormat="1">
      <c r="A968" s="1457"/>
      <c r="B968" s="1379"/>
      <c r="C968" s="1379"/>
      <c r="D968" s="1379"/>
      <c r="E968" s="1379"/>
      <c r="F968" s="1379"/>
      <c r="G968" s="1379"/>
      <c r="H968" s="1379"/>
      <c r="I968" s="1379"/>
      <c r="J968" s="1379"/>
      <c r="L968" s="1379"/>
      <c r="M968" s="1379"/>
      <c r="N968" s="1379"/>
      <c r="O968" s="1379"/>
      <c r="P968" s="1379"/>
      <c r="Q968" s="1379"/>
      <c r="R968" s="1379"/>
      <c r="S968" s="1379"/>
      <c r="T968" s="1379"/>
      <c r="U968" s="1379"/>
    </row>
    <row r="969" spans="1:21" s="1380" customFormat="1">
      <c r="A969" s="1457"/>
      <c r="B969" s="1379"/>
      <c r="C969" s="1379"/>
      <c r="D969" s="1379"/>
      <c r="E969" s="1379"/>
      <c r="F969" s="1379"/>
      <c r="G969" s="1379"/>
      <c r="H969" s="1379"/>
      <c r="I969" s="1379"/>
      <c r="J969" s="1379"/>
      <c r="L969" s="1379"/>
      <c r="M969" s="1379"/>
      <c r="N969" s="1379"/>
      <c r="O969" s="1379"/>
      <c r="P969" s="1379"/>
      <c r="Q969" s="1379"/>
      <c r="R969" s="1379"/>
      <c r="S969" s="1379"/>
      <c r="T969" s="1379"/>
      <c r="U969" s="1379"/>
    </row>
    <row r="970" spans="1:21" s="1380" customFormat="1">
      <c r="A970" s="1457"/>
      <c r="B970" s="1379"/>
      <c r="C970" s="1379"/>
      <c r="D970" s="1379"/>
      <c r="E970" s="1379"/>
      <c r="F970" s="1379"/>
      <c r="G970" s="1379"/>
      <c r="H970" s="1379"/>
      <c r="I970" s="1379"/>
      <c r="J970" s="1379"/>
      <c r="L970" s="1379"/>
      <c r="M970" s="1379"/>
      <c r="N970" s="1379"/>
      <c r="O970" s="1379"/>
      <c r="P970" s="1379"/>
      <c r="Q970" s="1379"/>
      <c r="R970" s="1379"/>
      <c r="S970" s="1379"/>
      <c r="T970" s="1379"/>
      <c r="U970" s="1379"/>
    </row>
    <row r="971" spans="1:21" s="1380" customFormat="1">
      <c r="A971" s="1457"/>
      <c r="B971" s="1379"/>
      <c r="C971" s="1379"/>
      <c r="D971" s="1379"/>
      <c r="E971" s="1379"/>
      <c r="F971" s="1379"/>
      <c r="G971" s="1379"/>
      <c r="H971" s="1379"/>
      <c r="I971" s="1379"/>
      <c r="J971" s="1379"/>
      <c r="L971" s="1379"/>
      <c r="M971" s="1379"/>
      <c r="N971" s="1379"/>
      <c r="O971" s="1379"/>
      <c r="P971" s="1379"/>
      <c r="Q971" s="1379"/>
      <c r="R971" s="1379"/>
      <c r="S971" s="1379"/>
      <c r="T971" s="1379"/>
      <c r="U971" s="1379"/>
    </row>
    <row r="972" spans="1:21" s="1380" customFormat="1">
      <c r="A972" s="1457"/>
      <c r="B972" s="1379"/>
      <c r="C972" s="1379"/>
      <c r="D972" s="1379"/>
      <c r="E972" s="1379"/>
      <c r="F972" s="1379"/>
      <c r="G972" s="1379"/>
      <c r="H972" s="1379"/>
      <c r="I972" s="1379"/>
      <c r="J972" s="1379"/>
      <c r="L972" s="1379"/>
      <c r="M972" s="1379"/>
      <c r="N972" s="1379"/>
      <c r="O972" s="1379"/>
      <c r="P972" s="1379"/>
      <c r="Q972" s="1379"/>
      <c r="R972" s="1379"/>
      <c r="S972" s="1379"/>
      <c r="T972" s="1379"/>
      <c r="U972" s="1379"/>
    </row>
    <row r="973" spans="1:21" s="1380" customFormat="1">
      <c r="A973" s="1457"/>
      <c r="B973" s="1379"/>
      <c r="C973" s="1379"/>
      <c r="D973" s="1379"/>
      <c r="E973" s="1379"/>
      <c r="F973" s="1379"/>
      <c r="G973" s="1379"/>
      <c r="H973" s="1379"/>
      <c r="I973" s="1379"/>
      <c r="J973" s="1379"/>
      <c r="L973" s="1379"/>
      <c r="M973" s="1379"/>
      <c r="N973" s="1379"/>
      <c r="O973" s="1379"/>
      <c r="P973" s="1379"/>
      <c r="Q973" s="1379"/>
      <c r="R973" s="1379"/>
      <c r="S973" s="1379"/>
      <c r="T973" s="1379"/>
      <c r="U973" s="1379"/>
    </row>
    <row r="974" spans="1:21" s="1380" customFormat="1">
      <c r="A974" s="1457"/>
      <c r="B974" s="1379"/>
      <c r="C974" s="1379"/>
      <c r="D974" s="1379"/>
      <c r="E974" s="1379"/>
      <c r="F974" s="1379"/>
      <c r="G974" s="1379"/>
      <c r="H974" s="1379"/>
      <c r="I974" s="1379"/>
      <c r="J974" s="1379"/>
      <c r="L974" s="1379"/>
      <c r="M974" s="1379"/>
      <c r="N974" s="1379"/>
      <c r="O974" s="1379"/>
      <c r="P974" s="1379"/>
      <c r="Q974" s="1379"/>
      <c r="R974" s="1379"/>
      <c r="S974" s="1379"/>
      <c r="T974" s="1379"/>
      <c r="U974" s="1379"/>
    </row>
    <row r="975" spans="1:21" s="1380" customFormat="1">
      <c r="A975" s="1457"/>
      <c r="B975" s="1379"/>
      <c r="C975" s="1379"/>
      <c r="D975" s="1379"/>
      <c r="E975" s="1379"/>
      <c r="F975" s="1379"/>
      <c r="G975" s="1379"/>
      <c r="H975" s="1379"/>
      <c r="I975" s="1379"/>
      <c r="J975" s="1379"/>
      <c r="L975" s="1379"/>
      <c r="M975" s="1379"/>
      <c r="N975" s="1379"/>
      <c r="O975" s="1379"/>
      <c r="P975" s="1379"/>
      <c r="Q975" s="1379"/>
      <c r="R975" s="1379"/>
      <c r="S975" s="1379"/>
      <c r="T975" s="1379"/>
      <c r="U975" s="1379"/>
    </row>
    <row r="976" spans="1:21" s="1380" customFormat="1">
      <c r="A976" s="1457"/>
      <c r="B976" s="1379"/>
      <c r="C976" s="1379"/>
      <c r="D976" s="1379"/>
      <c r="E976" s="1379"/>
      <c r="F976" s="1379"/>
      <c r="G976" s="1379"/>
      <c r="H976" s="1379"/>
      <c r="I976" s="1379"/>
      <c r="J976" s="1379"/>
      <c r="L976" s="1379"/>
      <c r="M976" s="1379"/>
      <c r="N976" s="1379"/>
      <c r="O976" s="1379"/>
      <c r="P976" s="1379"/>
      <c r="Q976" s="1379"/>
      <c r="R976" s="1379"/>
      <c r="S976" s="1379"/>
      <c r="T976" s="1379"/>
      <c r="U976" s="1379"/>
    </row>
    <row r="977" spans="1:21" s="1380" customFormat="1">
      <c r="A977" s="1457"/>
      <c r="B977" s="1379"/>
      <c r="C977" s="1379"/>
      <c r="D977" s="1379"/>
      <c r="E977" s="1379"/>
      <c r="F977" s="1379"/>
      <c r="G977" s="1379"/>
      <c r="H977" s="1379"/>
      <c r="I977" s="1379"/>
      <c r="J977" s="1379"/>
      <c r="L977" s="1379"/>
      <c r="M977" s="1379"/>
      <c r="N977" s="1379"/>
      <c r="O977" s="1379"/>
      <c r="P977" s="1379"/>
      <c r="Q977" s="1379"/>
      <c r="R977" s="1379"/>
      <c r="S977" s="1379"/>
      <c r="T977" s="1379"/>
      <c r="U977" s="1379"/>
    </row>
    <row r="978" spans="1:21" s="1380" customFormat="1">
      <c r="A978" s="1457"/>
      <c r="B978" s="1379"/>
      <c r="C978" s="1379"/>
      <c r="D978" s="1379"/>
      <c r="E978" s="1379"/>
      <c r="F978" s="1379"/>
      <c r="G978" s="1379"/>
      <c r="H978" s="1379"/>
      <c r="I978" s="1379"/>
      <c r="J978" s="1379"/>
      <c r="L978" s="1379"/>
      <c r="M978" s="1379"/>
      <c r="N978" s="1379"/>
      <c r="O978" s="1379"/>
      <c r="P978" s="1379"/>
      <c r="Q978" s="1379"/>
      <c r="R978" s="1379"/>
      <c r="S978" s="1379"/>
      <c r="T978" s="1379"/>
      <c r="U978" s="1379"/>
    </row>
    <row r="979" spans="1:21" s="1380" customFormat="1">
      <c r="A979" s="1457"/>
      <c r="B979" s="1379"/>
      <c r="C979" s="1379"/>
      <c r="D979" s="1379"/>
      <c r="E979" s="1379"/>
      <c r="F979" s="1379"/>
      <c r="G979" s="1379"/>
      <c r="H979" s="1379"/>
      <c r="I979" s="1379"/>
      <c r="J979" s="1379"/>
      <c r="L979" s="1379"/>
      <c r="M979" s="1379"/>
      <c r="N979" s="1379"/>
      <c r="O979" s="1379"/>
      <c r="P979" s="1379"/>
      <c r="Q979" s="1379"/>
      <c r="R979" s="1379"/>
      <c r="S979" s="1379"/>
      <c r="T979" s="1379"/>
      <c r="U979" s="1379"/>
    </row>
    <row r="980" spans="1:21" s="1380" customFormat="1">
      <c r="A980" s="1457"/>
      <c r="B980" s="1379"/>
      <c r="C980" s="1379"/>
      <c r="D980" s="1379"/>
      <c r="E980" s="1379"/>
      <c r="F980" s="1379"/>
      <c r="G980" s="1379"/>
      <c r="H980" s="1379"/>
      <c r="I980" s="1379"/>
      <c r="J980" s="1379"/>
      <c r="L980" s="1379"/>
      <c r="M980" s="1379"/>
      <c r="N980" s="1379"/>
      <c r="O980" s="1379"/>
      <c r="P980" s="1379"/>
      <c r="Q980" s="1379"/>
      <c r="R980" s="1379"/>
      <c r="S980" s="1379"/>
      <c r="T980" s="1379"/>
      <c r="U980" s="1379"/>
    </row>
    <row r="981" spans="1:21" s="1380" customFormat="1">
      <c r="A981" s="1457"/>
      <c r="B981" s="1379"/>
      <c r="C981" s="1379"/>
      <c r="D981" s="1379"/>
      <c r="E981" s="1379"/>
      <c r="F981" s="1379"/>
      <c r="G981" s="1379"/>
      <c r="H981" s="1379"/>
      <c r="I981" s="1379"/>
      <c r="J981" s="1379"/>
      <c r="L981" s="1379"/>
      <c r="M981" s="1379"/>
      <c r="N981" s="1379"/>
      <c r="O981" s="1379"/>
      <c r="P981" s="1379"/>
      <c r="Q981" s="1379"/>
      <c r="R981" s="1379"/>
      <c r="S981" s="1379"/>
      <c r="T981" s="1379"/>
      <c r="U981" s="1379"/>
    </row>
    <row r="982" spans="1:21" s="1380" customFormat="1">
      <c r="A982" s="1457"/>
      <c r="B982" s="1379"/>
      <c r="C982" s="1379"/>
      <c r="D982" s="1379"/>
      <c r="E982" s="1379"/>
      <c r="F982" s="1379"/>
      <c r="G982" s="1379"/>
      <c r="H982" s="1379"/>
      <c r="I982" s="1379"/>
      <c r="J982" s="1379"/>
      <c r="L982" s="1379"/>
      <c r="M982" s="1379"/>
      <c r="N982" s="1379"/>
      <c r="O982" s="1379"/>
      <c r="P982" s="1379"/>
      <c r="Q982" s="1379"/>
      <c r="R982" s="1379"/>
      <c r="S982" s="1379"/>
      <c r="T982" s="1379"/>
      <c r="U982" s="1379"/>
    </row>
    <row r="983" spans="1:21" s="1380" customFormat="1">
      <c r="A983" s="1457"/>
      <c r="B983" s="1379"/>
      <c r="C983" s="1379"/>
      <c r="D983" s="1379"/>
      <c r="E983" s="1379"/>
      <c r="F983" s="1379"/>
      <c r="G983" s="1379"/>
      <c r="H983" s="1379"/>
      <c r="I983" s="1379"/>
      <c r="J983" s="1379"/>
      <c r="L983" s="1379"/>
      <c r="M983" s="1379"/>
      <c r="N983" s="1379"/>
      <c r="O983" s="1379"/>
      <c r="P983" s="1379"/>
      <c r="Q983" s="1379"/>
      <c r="R983" s="1379"/>
      <c r="S983" s="1379"/>
      <c r="T983" s="1379"/>
      <c r="U983" s="1379"/>
    </row>
    <row r="984" spans="1:21" s="1380" customFormat="1">
      <c r="A984" s="1457"/>
      <c r="B984" s="1379"/>
      <c r="C984" s="1379"/>
      <c r="D984" s="1379"/>
      <c r="E984" s="1379"/>
      <c r="F984" s="1379"/>
      <c r="G984" s="1379"/>
      <c r="H984" s="1379"/>
      <c r="I984" s="1379"/>
      <c r="J984" s="1379"/>
      <c r="L984" s="1379"/>
      <c r="M984" s="1379"/>
      <c r="N984" s="1379"/>
      <c r="O984" s="1379"/>
      <c r="P984" s="1379"/>
      <c r="Q984" s="1379"/>
      <c r="R984" s="1379"/>
      <c r="S984" s="1379"/>
      <c r="T984" s="1379"/>
      <c r="U984" s="1379"/>
    </row>
    <row r="985" spans="1:21" s="1380" customFormat="1">
      <c r="A985" s="1457"/>
      <c r="B985" s="1379"/>
      <c r="C985" s="1379"/>
      <c r="D985" s="1379"/>
      <c r="E985" s="1379"/>
      <c r="F985" s="1379"/>
      <c r="G985" s="1379"/>
      <c r="H985" s="1379"/>
      <c r="I985" s="1379"/>
      <c r="J985" s="1379"/>
      <c r="L985" s="1379"/>
      <c r="M985" s="1379"/>
      <c r="N985" s="1379"/>
      <c r="O985" s="1379"/>
      <c r="P985" s="1379"/>
      <c r="Q985" s="1379"/>
      <c r="R985" s="1379"/>
      <c r="S985" s="1379"/>
      <c r="T985" s="1379"/>
      <c r="U985" s="1379"/>
    </row>
    <row r="986" spans="1:21" s="1380" customFormat="1">
      <c r="A986" s="1457"/>
      <c r="B986" s="1379"/>
      <c r="C986" s="1379"/>
      <c r="D986" s="1379"/>
      <c r="E986" s="1379"/>
      <c r="F986" s="1379"/>
      <c r="G986" s="1379"/>
      <c r="H986" s="1379"/>
      <c r="I986" s="1379"/>
      <c r="J986" s="1379"/>
      <c r="L986" s="1379"/>
      <c r="M986" s="1379"/>
      <c r="N986" s="1379"/>
      <c r="O986" s="1379"/>
      <c r="P986" s="1379"/>
      <c r="Q986" s="1379"/>
      <c r="R986" s="1379"/>
      <c r="S986" s="1379"/>
      <c r="T986" s="1379"/>
      <c r="U986" s="1379"/>
    </row>
    <row r="987" spans="1:21" s="1380" customFormat="1">
      <c r="A987" s="1457"/>
      <c r="B987" s="1379"/>
      <c r="C987" s="1379"/>
      <c r="D987" s="1379"/>
      <c r="E987" s="1379"/>
      <c r="F987" s="1379"/>
      <c r="G987" s="1379"/>
      <c r="H987" s="1379"/>
      <c r="I987" s="1379"/>
      <c r="J987" s="1379"/>
      <c r="L987" s="1379"/>
      <c r="M987" s="1379"/>
      <c r="N987" s="1379"/>
      <c r="O987" s="1379"/>
      <c r="P987" s="1379"/>
      <c r="Q987" s="1379"/>
      <c r="R987" s="1379"/>
      <c r="S987" s="1379"/>
      <c r="T987" s="1379"/>
      <c r="U987" s="1379"/>
    </row>
    <row r="988" spans="1:21" s="1380" customFormat="1">
      <c r="A988" s="1457"/>
      <c r="B988" s="1379"/>
      <c r="C988" s="1379"/>
      <c r="D988" s="1379"/>
      <c r="E988" s="1379"/>
      <c r="F988" s="1379"/>
      <c r="G988" s="1379"/>
      <c r="H988" s="1379"/>
      <c r="I988" s="1379"/>
      <c r="J988" s="1379"/>
      <c r="L988" s="1379"/>
      <c r="M988" s="1379"/>
      <c r="N988" s="1379"/>
      <c r="O988" s="1379"/>
      <c r="P988" s="1379"/>
      <c r="Q988" s="1379"/>
      <c r="R988" s="1379"/>
      <c r="S988" s="1379"/>
      <c r="T988" s="1379"/>
      <c r="U988" s="1379"/>
    </row>
    <row r="989" spans="1:21" s="1380" customFormat="1">
      <c r="A989" s="1457"/>
      <c r="B989" s="1379"/>
      <c r="C989" s="1379"/>
      <c r="D989" s="1379"/>
      <c r="E989" s="1379"/>
      <c r="F989" s="1379"/>
      <c r="G989" s="1379"/>
      <c r="H989" s="1379"/>
      <c r="I989" s="1379"/>
      <c r="J989" s="1379"/>
      <c r="L989" s="1379"/>
      <c r="M989" s="1379"/>
      <c r="N989" s="1379"/>
      <c r="O989" s="1379"/>
      <c r="P989" s="1379"/>
      <c r="Q989" s="1379"/>
      <c r="R989" s="1379"/>
      <c r="S989" s="1379"/>
      <c r="T989" s="1379"/>
      <c r="U989" s="1379"/>
    </row>
    <row r="990" spans="1:21" s="1380" customFormat="1">
      <c r="A990" s="1457"/>
      <c r="B990" s="1379"/>
      <c r="C990" s="1379"/>
      <c r="D990" s="1379"/>
      <c r="E990" s="1379"/>
      <c r="F990" s="1379"/>
      <c r="G990" s="1379"/>
      <c r="H990" s="1379"/>
      <c r="I990" s="1379"/>
      <c r="J990" s="1379"/>
      <c r="L990" s="1379"/>
      <c r="M990" s="1379"/>
      <c r="N990" s="1379"/>
      <c r="O990" s="1379"/>
      <c r="P990" s="1379"/>
      <c r="Q990" s="1379"/>
      <c r="R990" s="1379"/>
      <c r="S990" s="1379"/>
      <c r="T990" s="1379"/>
      <c r="U990" s="1379"/>
    </row>
    <row r="991" spans="1:21" s="1380" customFormat="1">
      <c r="A991" s="1457"/>
      <c r="B991" s="1379"/>
      <c r="C991" s="1379"/>
      <c r="D991" s="1379"/>
      <c r="E991" s="1379"/>
      <c r="F991" s="1379"/>
      <c r="G991" s="1379"/>
      <c r="H991" s="1379"/>
      <c r="I991" s="1379"/>
      <c r="J991" s="1379"/>
      <c r="L991" s="1379"/>
      <c r="M991" s="1379"/>
      <c r="N991" s="1379"/>
      <c r="O991" s="1379"/>
      <c r="P991" s="1379"/>
      <c r="Q991" s="1379"/>
      <c r="R991" s="1379"/>
      <c r="S991" s="1379"/>
      <c r="T991" s="1379"/>
      <c r="U991" s="1379"/>
    </row>
    <row r="992" spans="1:21" s="1380" customFormat="1">
      <c r="A992" s="1457"/>
      <c r="B992" s="1379"/>
      <c r="C992" s="1379"/>
      <c r="D992" s="1379"/>
      <c r="E992" s="1379"/>
      <c r="F992" s="1379"/>
      <c r="G992" s="1379"/>
      <c r="H992" s="1379"/>
      <c r="I992" s="1379"/>
      <c r="J992" s="1379"/>
      <c r="L992" s="1379"/>
      <c r="M992" s="1379"/>
      <c r="N992" s="1379"/>
      <c r="O992" s="1379"/>
      <c r="P992" s="1379"/>
      <c r="Q992" s="1379"/>
      <c r="R992" s="1379"/>
      <c r="S992" s="1379"/>
      <c r="T992" s="1379"/>
      <c r="U992" s="1379"/>
    </row>
    <row r="993" spans="1:21" s="1380" customFormat="1">
      <c r="A993" s="1457"/>
      <c r="B993" s="1379"/>
      <c r="C993" s="1379"/>
      <c r="D993" s="1379"/>
      <c r="E993" s="1379"/>
      <c r="F993" s="1379"/>
      <c r="G993" s="1379"/>
      <c r="H993" s="1379"/>
      <c r="I993" s="1379"/>
      <c r="J993" s="1379"/>
      <c r="L993" s="1379"/>
      <c r="M993" s="1379"/>
      <c r="N993" s="1379"/>
      <c r="O993" s="1379"/>
      <c r="P993" s="1379"/>
      <c r="Q993" s="1379"/>
      <c r="R993" s="1379"/>
      <c r="S993" s="1379"/>
      <c r="T993" s="1379"/>
      <c r="U993" s="1379"/>
    </row>
    <row r="994" spans="1:21" s="1380" customFormat="1">
      <c r="A994" s="1457"/>
      <c r="B994" s="1379"/>
      <c r="C994" s="1379"/>
      <c r="D994" s="1379"/>
      <c r="E994" s="1379"/>
      <c r="F994" s="1379"/>
      <c r="G994" s="1379"/>
      <c r="H994" s="1379"/>
      <c r="I994" s="1379"/>
      <c r="J994" s="1379"/>
      <c r="L994" s="1379"/>
      <c r="M994" s="1379"/>
      <c r="N994" s="1379"/>
      <c r="O994" s="1379"/>
      <c r="P994" s="1379"/>
      <c r="Q994" s="1379"/>
      <c r="R994" s="1379"/>
      <c r="S994" s="1379"/>
      <c r="T994" s="1379"/>
      <c r="U994" s="1379"/>
    </row>
    <row r="995" spans="1:21" s="1380" customFormat="1">
      <c r="A995" s="1457"/>
      <c r="B995" s="1379"/>
      <c r="C995" s="1379"/>
      <c r="D995" s="1379"/>
      <c r="E995" s="1379"/>
      <c r="F995" s="1379"/>
      <c r="G995" s="1379"/>
      <c r="H995" s="1379"/>
      <c r="I995" s="1379"/>
      <c r="J995" s="1379"/>
      <c r="L995" s="1379"/>
      <c r="M995" s="1379"/>
      <c r="N995" s="1379"/>
      <c r="O995" s="1379"/>
      <c r="P995" s="1379"/>
      <c r="Q995" s="1379"/>
      <c r="R995" s="1379"/>
      <c r="S995" s="1379"/>
      <c r="T995" s="1379"/>
      <c r="U995" s="1379"/>
    </row>
    <row r="996" spans="1:21" s="1380" customFormat="1">
      <c r="A996" s="1457"/>
      <c r="B996" s="1379"/>
      <c r="C996" s="1379"/>
      <c r="D996" s="1379"/>
      <c r="E996" s="1379"/>
      <c r="F996" s="1379"/>
      <c r="G996" s="1379"/>
      <c r="H996" s="1379"/>
      <c r="I996" s="1379"/>
      <c r="J996" s="1379"/>
      <c r="L996" s="1379"/>
      <c r="M996" s="1379"/>
      <c r="N996" s="1379"/>
      <c r="O996" s="1379"/>
      <c r="P996" s="1379"/>
      <c r="Q996" s="1379"/>
      <c r="R996" s="1379"/>
      <c r="S996" s="1379"/>
      <c r="T996" s="1379"/>
      <c r="U996" s="1379"/>
    </row>
    <row r="997" spans="1:21" s="1380" customFormat="1">
      <c r="A997" s="1457"/>
      <c r="B997" s="1379"/>
      <c r="C997" s="1379"/>
      <c r="D997" s="1379"/>
      <c r="E997" s="1379"/>
      <c r="F997" s="1379"/>
      <c r="G997" s="1379"/>
      <c r="H997" s="1379"/>
      <c r="I997" s="1379"/>
      <c r="J997" s="1379"/>
      <c r="L997" s="1379"/>
      <c r="M997" s="1379"/>
      <c r="N997" s="1379"/>
      <c r="O997" s="1379"/>
      <c r="P997" s="1379"/>
      <c r="Q997" s="1379"/>
      <c r="R997" s="1379"/>
      <c r="S997" s="1379"/>
      <c r="T997" s="1379"/>
      <c r="U997" s="1379"/>
    </row>
    <row r="998" spans="1:21" s="1380" customFormat="1">
      <c r="A998" s="1457"/>
      <c r="B998" s="1379"/>
      <c r="C998" s="1379"/>
      <c r="D998" s="1379"/>
      <c r="E998" s="1379"/>
      <c r="F998" s="1379"/>
      <c r="G998" s="1379"/>
      <c r="H998" s="1379"/>
      <c r="I998" s="1379"/>
      <c r="J998" s="1379"/>
      <c r="L998" s="1379"/>
      <c r="M998" s="1379"/>
      <c r="N998" s="1379"/>
      <c r="O998" s="1379"/>
      <c r="P998" s="1379"/>
      <c r="Q998" s="1379"/>
      <c r="R998" s="1379"/>
      <c r="S998" s="1379"/>
      <c r="T998" s="1379"/>
      <c r="U998" s="1379"/>
    </row>
    <row r="999" spans="1:21" s="1380" customFormat="1">
      <c r="A999" s="1457"/>
      <c r="B999" s="1379"/>
      <c r="C999" s="1379"/>
      <c r="D999" s="1379"/>
      <c r="E999" s="1379"/>
      <c r="F999" s="1379"/>
      <c r="G999" s="1379"/>
      <c r="H999" s="1379"/>
      <c r="I999" s="1379"/>
      <c r="J999" s="1379"/>
      <c r="L999" s="1379"/>
      <c r="M999" s="1379"/>
      <c r="N999" s="1379"/>
      <c r="O999" s="1379"/>
      <c r="P999" s="1379"/>
      <c r="Q999" s="1379"/>
      <c r="R999" s="1379"/>
      <c r="S999" s="1379"/>
      <c r="T999" s="1379"/>
      <c r="U999" s="1379"/>
    </row>
    <row r="1000" spans="1:21" s="1380" customFormat="1">
      <c r="A1000" s="1457"/>
      <c r="B1000" s="1379"/>
      <c r="C1000" s="1379"/>
      <c r="D1000" s="1379"/>
      <c r="E1000" s="1379"/>
      <c r="F1000" s="1379"/>
      <c r="G1000" s="1379"/>
      <c r="H1000" s="1379"/>
      <c r="I1000" s="1379"/>
      <c r="J1000" s="1379"/>
      <c r="L1000" s="1379"/>
      <c r="M1000" s="1379"/>
      <c r="N1000" s="1379"/>
      <c r="O1000" s="1379"/>
      <c r="P1000" s="1379"/>
      <c r="Q1000" s="1379"/>
      <c r="R1000" s="1379"/>
      <c r="S1000" s="1379"/>
      <c r="T1000" s="1379"/>
      <c r="U1000" s="1379"/>
    </row>
    <row r="1001" spans="1:21" s="1380" customFormat="1">
      <c r="A1001" s="1457"/>
      <c r="B1001" s="1379"/>
      <c r="C1001" s="1379"/>
      <c r="D1001" s="1379"/>
      <c r="E1001" s="1379"/>
      <c r="F1001" s="1379"/>
      <c r="G1001" s="1379"/>
      <c r="H1001" s="1379"/>
      <c r="I1001" s="1379"/>
      <c r="J1001" s="1379"/>
      <c r="L1001" s="1379"/>
      <c r="M1001" s="1379"/>
      <c r="N1001" s="1379"/>
      <c r="O1001" s="1379"/>
      <c r="P1001" s="1379"/>
      <c r="Q1001" s="1379"/>
      <c r="R1001" s="1379"/>
      <c r="S1001" s="1379"/>
      <c r="T1001" s="1379"/>
      <c r="U1001" s="1379"/>
    </row>
    <row r="1002" spans="1:21" s="1380" customFormat="1">
      <c r="A1002" s="1457"/>
      <c r="B1002" s="1379"/>
      <c r="C1002" s="1379"/>
      <c r="D1002" s="1379"/>
      <c r="E1002" s="1379"/>
      <c r="F1002" s="1379"/>
      <c r="G1002" s="1379"/>
      <c r="H1002" s="1379"/>
      <c r="I1002" s="1379"/>
      <c r="J1002" s="1379"/>
      <c r="L1002" s="1379"/>
      <c r="M1002" s="1379"/>
      <c r="N1002" s="1379"/>
      <c r="O1002" s="1379"/>
      <c r="P1002" s="1379"/>
      <c r="Q1002" s="1379"/>
      <c r="R1002" s="1379"/>
      <c r="S1002" s="1379"/>
      <c r="T1002" s="1379"/>
      <c r="U1002" s="1379"/>
    </row>
    <row r="1003" spans="1:21" s="1380" customFormat="1">
      <c r="A1003" s="1457"/>
      <c r="B1003" s="1379"/>
      <c r="C1003" s="1379"/>
      <c r="D1003" s="1379"/>
      <c r="E1003" s="1379"/>
      <c r="F1003" s="1379"/>
      <c r="G1003" s="1379"/>
      <c r="H1003" s="1379"/>
      <c r="I1003" s="1379"/>
      <c r="J1003" s="1379"/>
      <c r="L1003" s="1379"/>
      <c r="M1003" s="1379"/>
      <c r="N1003" s="1379"/>
      <c r="O1003" s="1379"/>
      <c r="P1003" s="1379"/>
      <c r="Q1003" s="1379"/>
      <c r="R1003" s="1379"/>
      <c r="S1003" s="1379"/>
      <c r="T1003" s="1379"/>
      <c r="U1003" s="1379"/>
    </row>
    <row r="1004" spans="1:21" s="1380" customFormat="1">
      <c r="A1004" s="1457"/>
      <c r="B1004" s="1379"/>
      <c r="C1004" s="1379"/>
      <c r="D1004" s="1379"/>
      <c r="E1004" s="1379"/>
      <c r="F1004" s="1379"/>
      <c r="G1004" s="1379"/>
      <c r="H1004" s="1379"/>
      <c r="I1004" s="1379"/>
      <c r="J1004" s="1379"/>
      <c r="L1004" s="1379"/>
      <c r="M1004" s="1379"/>
      <c r="N1004" s="1379"/>
      <c r="O1004" s="1379"/>
      <c r="P1004" s="1379"/>
      <c r="Q1004" s="1379"/>
      <c r="R1004" s="1379"/>
      <c r="S1004" s="1379"/>
      <c r="T1004" s="1379"/>
      <c r="U1004" s="1379"/>
    </row>
    <row r="1005" spans="1:21" s="1380" customFormat="1">
      <c r="A1005" s="1457"/>
      <c r="B1005" s="1379"/>
      <c r="C1005" s="1379"/>
      <c r="D1005" s="1379"/>
      <c r="E1005" s="1379"/>
      <c r="F1005" s="1379"/>
      <c r="G1005" s="1379"/>
      <c r="H1005" s="1379"/>
      <c r="I1005" s="1379"/>
      <c r="J1005" s="1379"/>
      <c r="L1005" s="1379"/>
      <c r="M1005" s="1379"/>
      <c r="N1005" s="1379"/>
      <c r="O1005" s="1379"/>
      <c r="P1005" s="1379"/>
      <c r="Q1005" s="1379"/>
      <c r="R1005" s="1379"/>
      <c r="S1005" s="1379"/>
      <c r="T1005" s="1379"/>
      <c r="U1005" s="1379"/>
    </row>
    <row r="1006" spans="1:21" s="1380" customFormat="1">
      <c r="A1006" s="1457"/>
      <c r="B1006" s="1379"/>
      <c r="C1006" s="1379"/>
      <c r="D1006" s="1379"/>
      <c r="E1006" s="1379"/>
      <c r="F1006" s="1379"/>
      <c r="G1006" s="1379"/>
      <c r="H1006" s="1379"/>
      <c r="I1006" s="1379"/>
      <c r="J1006" s="1379"/>
      <c r="L1006" s="1379"/>
      <c r="M1006" s="1379"/>
      <c r="N1006" s="1379"/>
      <c r="O1006" s="1379"/>
      <c r="P1006" s="1379"/>
      <c r="Q1006" s="1379"/>
      <c r="R1006" s="1379"/>
      <c r="S1006" s="1379"/>
      <c r="T1006" s="1379"/>
      <c r="U1006" s="1379"/>
    </row>
    <row r="1007" spans="1:21" s="1380" customFormat="1">
      <c r="A1007" s="1457"/>
      <c r="B1007" s="1379"/>
      <c r="C1007" s="1379"/>
      <c r="D1007" s="1379"/>
      <c r="E1007" s="1379"/>
      <c r="F1007" s="1379"/>
      <c r="G1007" s="1379"/>
      <c r="H1007" s="1379"/>
      <c r="I1007" s="1379"/>
      <c r="J1007" s="1379"/>
      <c r="L1007" s="1379"/>
      <c r="M1007" s="1379"/>
      <c r="N1007" s="1379"/>
      <c r="O1007" s="1379"/>
      <c r="P1007" s="1379"/>
      <c r="Q1007" s="1379"/>
      <c r="R1007" s="1379"/>
      <c r="S1007" s="1379"/>
      <c r="T1007" s="1379"/>
      <c r="U1007" s="1379"/>
    </row>
    <row r="1008" spans="1:21" s="1380" customFormat="1">
      <c r="A1008" s="1457"/>
      <c r="B1008" s="1379"/>
      <c r="C1008" s="1379"/>
      <c r="D1008" s="1379"/>
      <c r="E1008" s="1379"/>
      <c r="F1008" s="1379"/>
      <c r="G1008" s="1379"/>
      <c r="H1008" s="1379"/>
      <c r="I1008" s="1379"/>
      <c r="J1008" s="1379"/>
      <c r="L1008" s="1379"/>
      <c r="M1008" s="1379"/>
      <c r="N1008" s="1379"/>
      <c r="O1008" s="1379"/>
      <c r="P1008" s="1379"/>
      <c r="Q1008" s="1379"/>
      <c r="R1008" s="1379"/>
      <c r="S1008" s="1379"/>
      <c r="T1008" s="1379"/>
      <c r="U1008" s="1379"/>
    </row>
    <row r="1009" spans="1:21" s="1380" customFormat="1">
      <c r="A1009" s="1457"/>
      <c r="B1009" s="1379"/>
      <c r="C1009" s="1379"/>
      <c r="D1009" s="1379"/>
      <c r="E1009" s="1379"/>
      <c r="F1009" s="1379"/>
      <c r="G1009" s="1379"/>
      <c r="H1009" s="1379"/>
      <c r="I1009" s="1379"/>
      <c r="J1009" s="1379"/>
      <c r="L1009" s="1379"/>
      <c r="M1009" s="1379"/>
      <c r="N1009" s="1379"/>
      <c r="O1009" s="1379"/>
      <c r="P1009" s="1379"/>
      <c r="Q1009" s="1379"/>
      <c r="R1009" s="1379"/>
      <c r="S1009" s="1379"/>
      <c r="T1009" s="1379"/>
      <c r="U1009" s="1379"/>
    </row>
    <row r="1010" spans="1:21" s="1380" customFormat="1">
      <c r="A1010" s="1457"/>
      <c r="B1010" s="1379"/>
      <c r="C1010" s="1379"/>
      <c r="D1010" s="1379"/>
      <c r="E1010" s="1379"/>
      <c r="F1010" s="1379"/>
      <c r="G1010" s="1379"/>
      <c r="H1010" s="1379"/>
      <c r="I1010" s="1379"/>
      <c r="J1010" s="1379"/>
      <c r="L1010" s="1379"/>
      <c r="M1010" s="1379"/>
      <c r="N1010" s="1379"/>
      <c r="O1010" s="1379"/>
      <c r="P1010" s="1379"/>
      <c r="Q1010" s="1379"/>
      <c r="R1010" s="1379"/>
      <c r="S1010" s="1379"/>
      <c r="T1010" s="1379"/>
      <c r="U1010" s="1379"/>
    </row>
    <row r="1011" spans="1:21" s="1380" customFormat="1">
      <c r="A1011" s="1457"/>
      <c r="B1011" s="1379"/>
      <c r="C1011" s="1379"/>
      <c r="D1011" s="1379"/>
      <c r="E1011" s="1379"/>
      <c r="F1011" s="1379"/>
      <c r="G1011" s="1379"/>
      <c r="H1011" s="1379"/>
      <c r="I1011" s="1379"/>
      <c r="J1011" s="1379"/>
      <c r="L1011" s="1379"/>
      <c r="M1011" s="1379"/>
      <c r="N1011" s="1379"/>
      <c r="O1011" s="1379"/>
      <c r="P1011" s="1379"/>
      <c r="Q1011" s="1379"/>
      <c r="R1011" s="1379"/>
      <c r="S1011" s="1379"/>
      <c r="T1011" s="1379"/>
      <c r="U1011" s="1379"/>
    </row>
    <row r="1012" spans="1:21" s="1380" customFormat="1">
      <c r="A1012" s="1457"/>
      <c r="B1012" s="1379"/>
      <c r="C1012" s="1379"/>
      <c r="D1012" s="1379"/>
      <c r="E1012" s="1379"/>
      <c r="F1012" s="1379"/>
      <c r="G1012" s="1379"/>
      <c r="H1012" s="1379"/>
      <c r="I1012" s="1379"/>
      <c r="J1012" s="1379"/>
      <c r="L1012" s="1379"/>
      <c r="M1012" s="1379"/>
      <c r="N1012" s="1379"/>
      <c r="O1012" s="1379"/>
      <c r="P1012" s="1379"/>
      <c r="Q1012" s="1379"/>
      <c r="R1012" s="1379"/>
      <c r="S1012" s="1379"/>
      <c r="T1012" s="1379"/>
      <c r="U1012" s="1379"/>
    </row>
    <row r="1013" spans="1:21" s="1380" customFormat="1">
      <c r="A1013" s="1457"/>
      <c r="B1013" s="1379"/>
      <c r="C1013" s="1379"/>
      <c r="D1013" s="1379"/>
      <c r="E1013" s="1379"/>
      <c r="F1013" s="1379"/>
      <c r="G1013" s="1379"/>
      <c r="H1013" s="1379"/>
      <c r="I1013" s="1379"/>
      <c r="J1013" s="1379"/>
      <c r="L1013" s="1379"/>
      <c r="M1013" s="1379"/>
      <c r="N1013" s="1379"/>
      <c r="O1013" s="1379"/>
      <c r="P1013" s="1379"/>
      <c r="Q1013" s="1379"/>
      <c r="R1013" s="1379"/>
      <c r="S1013" s="1379"/>
      <c r="T1013" s="1379"/>
      <c r="U1013" s="1379"/>
    </row>
    <row r="1014" spans="1:21" s="1380" customFormat="1">
      <c r="A1014" s="1457"/>
      <c r="B1014" s="1379"/>
      <c r="C1014" s="1379"/>
      <c r="D1014" s="1379"/>
      <c r="E1014" s="1379"/>
      <c r="F1014" s="1379"/>
      <c r="G1014" s="1379"/>
      <c r="H1014" s="1379"/>
      <c r="I1014" s="1379"/>
      <c r="J1014" s="1379"/>
      <c r="L1014" s="1379"/>
      <c r="M1014" s="1379"/>
      <c r="N1014" s="1379"/>
      <c r="O1014" s="1379"/>
      <c r="P1014" s="1379"/>
      <c r="Q1014" s="1379"/>
      <c r="R1014" s="1379"/>
      <c r="S1014" s="1379"/>
      <c r="T1014" s="1379"/>
      <c r="U1014" s="1379"/>
    </row>
    <row r="1015" spans="1:21" s="1380" customFormat="1">
      <c r="A1015" s="1457"/>
      <c r="B1015" s="1379"/>
      <c r="C1015" s="1379"/>
      <c r="D1015" s="1379"/>
      <c r="E1015" s="1379"/>
      <c r="F1015" s="1379"/>
      <c r="G1015" s="1379"/>
      <c r="H1015" s="1379"/>
      <c r="I1015" s="1379"/>
      <c r="J1015" s="1379"/>
      <c r="L1015" s="1379"/>
      <c r="M1015" s="1379"/>
      <c r="N1015" s="1379"/>
      <c r="O1015" s="1379"/>
      <c r="P1015" s="1379"/>
      <c r="Q1015" s="1379"/>
      <c r="R1015" s="1379"/>
      <c r="S1015" s="1379"/>
      <c r="T1015" s="1379"/>
      <c r="U1015" s="1379"/>
    </row>
    <row r="1016" spans="1:21" s="1380" customFormat="1">
      <c r="A1016" s="1457"/>
      <c r="B1016" s="1379"/>
      <c r="C1016" s="1379"/>
      <c r="D1016" s="1379"/>
      <c r="E1016" s="1379"/>
      <c r="F1016" s="1379"/>
      <c r="G1016" s="1379"/>
      <c r="H1016" s="1379"/>
      <c r="I1016" s="1379"/>
      <c r="J1016" s="1379"/>
      <c r="L1016" s="1379"/>
      <c r="M1016" s="1379"/>
      <c r="N1016" s="1379"/>
      <c r="O1016" s="1379"/>
      <c r="P1016" s="1379"/>
      <c r="Q1016" s="1379"/>
      <c r="R1016" s="1379"/>
      <c r="S1016" s="1379"/>
      <c r="T1016" s="1379"/>
      <c r="U1016" s="1379"/>
    </row>
    <row r="1017" spans="1:21" s="1380" customFormat="1">
      <c r="A1017" s="1457"/>
      <c r="B1017" s="1379"/>
      <c r="C1017" s="1379"/>
      <c r="D1017" s="1379"/>
      <c r="E1017" s="1379"/>
      <c r="F1017" s="1379"/>
      <c r="G1017" s="1379"/>
      <c r="H1017" s="1379"/>
      <c r="I1017" s="1379"/>
      <c r="J1017" s="1379"/>
      <c r="L1017" s="1379"/>
      <c r="M1017" s="1379"/>
      <c r="N1017" s="1379"/>
      <c r="O1017" s="1379"/>
      <c r="P1017" s="1379"/>
      <c r="Q1017" s="1379"/>
      <c r="R1017" s="1379"/>
      <c r="S1017" s="1379"/>
      <c r="T1017" s="1379"/>
      <c r="U1017" s="1379"/>
    </row>
    <row r="1018" spans="1:21" s="1380" customFormat="1">
      <c r="A1018" s="1457"/>
      <c r="B1018" s="1379"/>
      <c r="C1018" s="1379"/>
      <c r="D1018" s="1379"/>
      <c r="E1018" s="1379"/>
      <c r="F1018" s="1379"/>
      <c r="G1018" s="1379"/>
      <c r="H1018" s="1379"/>
      <c r="I1018" s="1379"/>
      <c r="J1018" s="1379"/>
      <c r="L1018" s="1379"/>
      <c r="M1018" s="1379"/>
      <c r="N1018" s="1379"/>
      <c r="O1018" s="1379"/>
      <c r="P1018" s="1379"/>
      <c r="Q1018" s="1379"/>
      <c r="R1018" s="1379"/>
      <c r="S1018" s="1379"/>
      <c r="T1018" s="1379"/>
      <c r="U1018" s="1379"/>
    </row>
    <row r="1019" spans="1:21" s="1380" customFormat="1">
      <c r="A1019" s="1457"/>
      <c r="B1019" s="1379"/>
      <c r="C1019" s="1379"/>
      <c r="D1019" s="1379"/>
      <c r="E1019" s="1379"/>
      <c r="F1019" s="1379"/>
      <c r="G1019" s="1379"/>
      <c r="H1019" s="1379"/>
      <c r="I1019" s="1379"/>
      <c r="J1019" s="1379"/>
      <c r="L1019" s="1379"/>
      <c r="M1019" s="1379"/>
      <c r="N1019" s="1379"/>
      <c r="O1019" s="1379"/>
      <c r="P1019" s="1379"/>
      <c r="Q1019" s="1379"/>
      <c r="R1019" s="1379"/>
      <c r="S1019" s="1379"/>
      <c r="T1019" s="1379"/>
      <c r="U1019" s="1379"/>
    </row>
    <row r="1020" spans="1:21" s="1380" customFormat="1">
      <c r="A1020" s="1457"/>
      <c r="B1020" s="1379"/>
      <c r="C1020" s="1379"/>
      <c r="D1020" s="1379"/>
      <c r="E1020" s="1379"/>
      <c r="F1020" s="1379"/>
      <c r="G1020" s="1379"/>
      <c r="H1020" s="1379"/>
      <c r="I1020" s="1379"/>
      <c r="J1020" s="1379"/>
      <c r="L1020" s="1379"/>
      <c r="M1020" s="1379"/>
      <c r="N1020" s="1379"/>
      <c r="O1020" s="1379"/>
      <c r="P1020" s="1379"/>
      <c r="Q1020" s="1379"/>
      <c r="R1020" s="1379"/>
      <c r="S1020" s="1379"/>
      <c r="T1020" s="1379"/>
      <c r="U1020" s="1379"/>
    </row>
    <row r="1021" spans="1:21" s="1380" customFormat="1">
      <c r="A1021" s="1457"/>
      <c r="B1021" s="1379"/>
      <c r="C1021" s="1379"/>
      <c r="D1021" s="1379"/>
      <c r="E1021" s="1379"/>
      <c r="F1021" s="1379"/>
      <c r="G1021" s="1379"/>
      <c r="H1021" s="1379"/>
      <c r="I1021" s="1379"/>
      <c r="J1021" s="1379"/>
      <c r="L1021" s="1379"/>
      <c r="M1021" s="1379"/>
      <c r="N1021" s="1379"/>
      <c r="O1021" s="1379"/>
      <c r="P1021" s="1379"/>
      <c r="Q1021" s="1379"/>
      <c r="R1021" s="1379"/>
      <c r="S1021" s="1379"/>
      <c r="T1021" s="1379"/>
      <c r="U1021" s="1379"/>
    </row>
    <row r="1022" spans="1:21" s="1380" customFormat="1">
      <c r="A1022" s="1457"/>
      <c r="B1022" s="1379"/>
      <c r="C1022" s="1379"/>
      <c r="D1022" s="1379"/>
      <c r="E1022" s="1379"/>
      <c r="F1022" s="1379"/>
      <c r="G1022" s="1379"/>
      <c r="H1022" s="1379"/>
      <c r="I1022" s="1379"/>
      <c r="J1022" s="1379"/>
      <c r="L1022" s="1379"/>
      <c r="M1022" s="1379"/>
      <c r="N1022" s="1379"/>
      <c r="O1022" s="1379"/>
      <c r="P1022" s="1379"/>
      <c r="Q1022" s="1379"/>
      <c r="R1022" s="1379"/>
      <c r="S1022" s="1379"/>
      <c r="T1022" s="1379"/>
      <c r="U1022" s="1379"/>
    </row>
    <row r="1023" spans="1:21" s="1380" customFormat="1">
      <c r="A1023" s="1457"/>
      <c r="B1023" s="1379"/>
      <c r="C1023" s="1379"/>
      <c r="D1023" s="1379"/>
      <c r="E1023" s="1379"/>
      <c r="F1023" s="1379"/>
      <c r="G1023" s="1379"/>
      <c r="H1023" s="1379"/>
      <c r="I1023" s="1379"/>
      <c r="J1023" s="1379"/>
      <c r="L1023" s="1379"/>
      <c r="M1023" s="1379"/>
      <c r="N1023" s="1379"/>
      <c r="O1023" s="1379"/>
      <c r="P1023" s="1379"/>
      <c r="Q1023" s="1379"/>
      <c r="R1023" s="1379"/>
      <c r="S1023" s="1379"/>
      <c r="T1023" s="1379"/>
      <c r="U1023" s="1379"/>
    </row>
    <row r="1024" spans="1:21" s="1380" customFormat="1">
      <c r="A1024" s="1457"/>
      <c r="B1024" s="1379"/>
      <c r="C1024" s="1379"/>
      <c r="D1024" s="1379"/>
      <c r="E1024" s="1379"/>
      <c r="F1024" s="1379"/>
      <c r="G1024" s="1379"/>
      <c r="H1024" s="1379"/>
      <c r="I1024" s="1379"/>
      <c r="J1024" s="1379"/>
      <c r="L1024" s="1379"/>
      <c r="M1024" s="1379"/>
      <c r="N1024" s="1379"/>
      <c r="O1024" s="1379"/>
      <c r="P1024" s="1379"/>
      <c r="Q1024" s="1379"/>
      <c r="R1024" s="1379"/>
      <c r="S1024" s="1379"/>
      <c r="T1024" s="1379"/>
      <c r="U1024" s="1379"/>
    </row>
    <row r="1025" spans="1:21" s="1380" customFormat="1">
      <c r="A1025" s="1457"/>
      <c r="B1025" s="1379"/>
      <c r="C1025" s="1379"/>
      <c r="D1025" s="1379"/>
      <c r="E1025" s="1379"/>
      <c r="F1025" s="1379"/>
      <c r="G1025" s="1379"/>
      <c r="H1025" s="1379"/>
      <c r="I1025" s="1379"/>
      <c r="J1025" s="1379"/>
      <c r="L1025" s="1379"/>
      <c r="M1025" s="1379"/>
      <c r="N1025" s="1379"/>
      <c r="O1025" s="1379"/>
      <c r="P1025" s="1379"/>
      <c r="Q1025" s="1379"/>
      <c r="R1025" s="1379"/>
      <c r="S1025" s="1379"/>
      <c r="T1025" s="1379"/>
      <c r="U1025" s="1379"/>
    </row>
    <row r="1026" spans="1:21" s="1380" customFormat="1">
      <c r="A1026" s="1457"/>
      <c r="B1026" s="1379"/>
      <c r="C1026" s="1379"/>
      <c r="D1026" s="1379"/>
      <c r="E1026" s="1379"/>
      <c r="F1026" s="1379"/>
      <c r="G1026" s="1379"/>
      <c r="H1026" s="1379"/>
      <c r="I1026" s="1379"/>
      <c r="J1026" s="1379"/>
      <c r="L1026" s="1379"/>
      <c r="M1026" s="1379"/>
      <c r="N1026" s="1379"/>
      <c r="O1026" s="1379"/>
      <c r="P1026" s="1379"/>
      <c r="Q1026" s="1379"/>
      <c r="R1026" s="1379"/>
      <c r="S1026" s="1379"/>
      <c r="T1026" s="1379"/>
      <c r="U1026" s="1379"/>
    </row>
    <row r="1027" spans="1:21" s="1380" customFormat="1">
      <c r="A1027" s="1457"/>
      <c r="B1027" s="1379"/>
      <c r="C1027" s="1379"/>
      <c r="D1027" s="1379"/>
      <c r="E1027" s="1379"/>
      <c r="F1027" s="1379"/>
      <c r="G1027" s="1379"/>
      <c r="H1027" s="1379"/>
      <c r="I1027" s="1379"/>
      <c r="J1027" s="1379"/>
      <c r="L1027" s="1379"/>
      <c r="M1027" s="1379"/>
      <c r="N1027" s="1379"/>
      <c r="O1027" s="1379"/>
      <c r="P1027" s="1379"/>
      <c r="Q1027" s="1379"/>
      <c r="R1027" s="1379"/>
      <c r="S1027" s="1379"/>
      <c r="T1027" s="1379"/>
      <c r="U1027" s="1379"/>
    </row>
    <row r="1028" spans="1:21" s="1380" customFormat="1">
      <c r="A1028" s="1457"/>
      <c r="B1028" s="1379"/>
      <c r="C1028" s="1379"/>
      <c r="D1028" s="1379"/>
      <c r="E1028" s="1379"/>
      <c r="F1028" s="1379"/>
      <c r="G1028" s="1379"/>
      <c r="H1028" s="1379"/>
      <c r="I1028" s="1379"/>
      <c r="J1028" s="1379"/>
      <c r="L1028" s="1379"/>
      <c r="M1028" s="1379"/>
      <c r="N1028" s="1379"/>
      <c r="O1028" s="1379"/>
      <c r="P1028" s="1379"/>
      <c r="Q1028" s="1379"/>
      <c r="R1028" s="1379"/>
      <c r="S1028" s="1379"/>
      <c r="T1028" s="1379"/>
      <c r="U1028" s="1379"/>
    </row>
    <row r="1029" spans="1:21" s="1380" customFormat="1">
      <c r="A1029" s="1457"/>
      <c r="B1029" s="1379"/>
      <c r="C1029" s="1379"/>
      <c r="D1029" s="1379"/>
      <c r="E1029" s="1379"/>
      <c r="F1029" s="1379"/>
      <c r="G1029" s="1379"/>
      <c r="H1029" s="1379"/>
      <c r="I1029" s="1379"/>
      <c r="J1029" s="1379"/>
      <c r="L1029" s="1379"/>
      <c r="M1029" s="1379"/>
      <c r="N1029" s="1379"/>
      <c r="O1029" s="1379"/>
      <c r="P1029" s="1379"/>
      <c r="Q1029" s="1379"/>
      <c r="R1029" s="1379"/>
      <c r="S1029" s="1379"/>
      <c r="T1029" s="1379"/>
      <c r="U1029" s="1379"/>
    </row>
    <row r="1030" spans="1:21" s="1380" customFormat="1">
      <c r="A1030" s="1457"/>
      <c r="B1030" s="1379"/>
      <c r="C1030" s="1379"/>
      <c r="D1030" s="1379"/>
      <c r="E1030" s="1379"/>
      <c r="F1030" s="1379"/>
      <c r="G1030" s="1379"/>
      <c r="H1030" s="1379"/>
      <c r="I1030" s="1379"/>
      <c r="J1030" s="1379"/>
      <c r="L1030" s="1379"/>
      <c r="M1030" s="1379"/>
      <c r="N1030" s="1379"/>
      <c r="O1030" s="1379"/>
      <c r="P1030" s="1379"/>
      <c r="Q1030" s="1379"/>
      <c r="R1030" s="1379"/>
      <c r="S1030" s="1379"/>
      <c r="T1030" s="1379"/>
      <c r="U1030" s="1379"/>
    </row>
    <row r="1031" spans="1:21" s="1380" customFormat="1">
      <c r="A1031" s="1457"/>
      <c r="B1031" s="1379"/>
      <c r="C1031" s="1379"/>
      <c r="D1031" s="1379"/>
      <c r="E1031" s="1379"/>
      <c r="F1031" s="1379"/>
      <c r="G1031" s="1379"/>
      <c r="H1031" s="1379"/>
      <c r="I1031" s="1379"/>
      <c r="J1031" s="1379"/>
      <c r="L1031" s="1379"/>
      <c r="M1031" s="1379"/>
      <c r="N1031" s="1379"/>
      <c r="O1031" s="1379"/>
      <c r="P1031" s="1379"/>
      <c r="Q1031" s="1379"/>
      <c r="R1031" s="1379"/>
      <c r="S1031" s="1379"/>
      <c r="T1031" s="1379"/>
      <c r="U1031" s="1379"/>
    </row>
    <row r="1032" spans="1:21" s="1380" customFormat="1">
      <c r="A1032" s="1457"/>
      <c r="B1032" s="1379"/>
      <c r="C1032" s="1379"/>
      <c r="D1032" s="1379"/>
      <c r="E1032" s="1379"/>
      <c r="F1032" s="1379"/>
      <c r="G1032" s="1379"/>
      <c r="H1032" s="1379"/>
      <c r="I1032" s="1379"/>
      <c r="J1032" s="1379"/>
      <c r="L1032" s="1379"/>
      <c r="M1032" s="1379"/>
      <c r="N1032" s="1379"/>
      <c r="O1032" s="1379"/>
      <c r="P1032" s="1379"/>
      <c r="Q1032" s="1379"/>
      <c r="R1032" s="1379"/>
      <c r="S1032" s="1379"/>
      <c r="T1032" s="1379"/>
      <c r="U1032" s="1379"/>
    </row>
    <row r="1033" spans="1:21" s="1380" customFormat="1">
      <c r="A1033" s="1457"/>
      <c r="B1033" s="1379"/>
      <c r="C1033" s="1379"/>
      <c r="D1033" s="1379"/>
      <c r="E1033" s="1379"/>
      <c r="F1033" s="1379"/>
      <c r="G1033" s="1379"/>
      <c r="H1033" s="1379"/>
      <c r="I1033" s="1379"/>
      <c r="J1033" s="1379"/>
      <c r="L1033" s="1379"/>
      <c r="M1033" s="1379"/>
      <c r="N1033" s="1379"/>
      <c r="O1033" s="1379"/>
      <c r="P1033" s="1379"/>
      <c r="Q1033" s="1379"/>
      <c r="R1033" s="1379"/>
      <c r="S1033" s="1379"/>
      <c r="T1033" s="1379"/>
      <c r="U1033" s="1379"/>
    </row>
    <row r="1034" spans="1:21" s="1380" customFormat="1">
      <c r="A1034" s="1457"/>
      <c r="B1034" s="1379"/>
      <c r="C1034" s="1379"/>
      <c r="D1034" s="1379"/>
      <c r="E1034" s="1379"/>
      <c r="F1034" s="1379"/>
      <c r="G1034" s="1379"/>
      <c r="H1034" s="1379"/>
      <c r="I1034" s="1379"/>
      <c r="J1034" s="1379"/>
      <c r="L1034" s="1379"/>
      <c r="M1034" s="1379"/>
      <c r="N1034" s="1379"/>
      <c r="O1034" s="1379"/>
      <c r="P1034" s="1379"/>
      <c r="Q1034" s="1379"/>
      <c r="R1034" s="1379"/>
      <c r="S1034" s="1379"/>
      <c r="T1034" s="1379"/>
      <c r="U1034" s="1379"/>
    </row>
    <row r="1035" spans="1:21" s="1380" customFormat="1">
      <c r="A1035" s="1457"/>
      <c r="B1035" s="1379"/>
      <c r="C1035" s="1379"/>
      <c r="D1035" s="1379"/>
      <c r="E1035" s="1379"/>
      <c r="F1035" s="1379"/>
      <c r="G1035" s="1379"/>
      <c r="H1035" s="1379"/>
      <c r="I1035" s="1379"/>
      <c r="J1035" s="1379"/>
      <c r="L1035" s="1379"/>
      <c r="M1035" s="1379"/>
      <c r="N1035" s="1379"/>
      <c r="O1035" s="1379"/>
      <c r="P1035" s="1379"/>
      <c r="Q1035" s="1379"/>
      <c r="R1035" s="1379"/>
      <c r="S1035" s="1379"/>
      <c r="T1035" s="1379"/>
      <c r="U1035" s="1379"/>
    </row>
    <row r="1036" spans="1:21" s="1380" customFormat="1">
      <c r="A1036" s="1457"/>
      <c r="B1036" s="1379"/>
      <c r="C1036" s="1379"/>
      <c r="D1036" s="1379"/>
      <c r="E1036" s="1379"/>
      <c r="F1036" s="1379"/>
      <c r="G1036" s="1379"/>
      <c r="H1036" s="1379"/>
      <c r="I1036" s="1379"/>
      <c r="J1036" s="1379"/>
      <c r="L1036" s="1379"/>
      <c r="M1036" s="1379"/>
      <c r="N1036" s="1379"/>
      <c r="O1036" s="1379"/>
      <c r="P1036" s="1379"/>
      <c r="Q1036" s="1379"/>
      <c r="R1036" s="1379"/>
      <c r="S1036" s="1379"/>
      <c r="T1036" s="1379"/>
      <c r="U1036" s="1379"/>
    </row>
    <row r="1037" spans="1:21" s="1380" customFormat="1">
      <c r="A1037" s="1457"/>
      <c r="B1037" s="1379"/>
      <c r="C1037" s="1379"/>
      <c r="D1037" s="1379"/>
      <c r="E1037" s="1379"/>
      <c r="F1037" s="1379"/>
      <c r="G1037" s="1379"/>
      <c r="H1037" s="1379"/>
      <c r="I1037" s="1379"/>
      <c r="J1037" s="1379"/>
      <c r="L1037" s="1379"/>
      <c r="M1037" s="1379"/>
      <c r="N1037" s="1379"/>
      <c r="O1037" s="1379"/>
      <c r="P1037" s="1379"/>
      <c r="Q1037" s="1379"/>
      <c r="R1037" s="1379"/>
      <c r="S1037" s="1379"/>
      <c r="T1037" s="1379"/>
      <c r="U1037" s="1379"/>
    </row>
    <row r="1038" spans="1:21" s="1380" customFormat="1">
      <c r="A1038" s="1457"/>
      <c r="B1038" s="1379"/>
      <c r="C1038" s="1379"/>
      <c r="D1038" s="1379"/>
      <c r="E1038" s="1379"/>
      <c r="F1038" s="1379"/>
      <c r="G1038" s="1379"/>
      <c r="H1038" s="1379"/>
      <c r="I1038" s="1379"/>
      <c r="J1038" s="1379"/>
      <c r="L1038" s="1379"/>
      <c r="M1038" s="1379"/>
      <c r="N1038" s="1379"/>
      <c r="O1038" s="1379"/>
      <c r="P1038" s="1379"/>
      <c r="Q1038" s="1379"/>
      <c r="R1038" s="1379"/>
      <c r="S1038" s="1379"/>
      <c r="T1038" s="1379"/>
      <c r="U1038" s="1379"/>
    </row>
    <row r="1039" spans="1:21" s="1380" customFormat="1">
      <c r="A1039" s="1457"/>
      <c r="B1039" s="1379"/>
      <c r="C1039" s="1379"/>
      <c r="D1039" s="1379"/>
      <c r="E1039" s="1379"/>
      <c r="F1039" s="1379"/>
      <c r="G1039" s="1379"/>
      <c r="H1039" s="1379"/>
      <c r="I1039" s="1379"/>
      <c r="J1039" s="1379"/>
      <c r="L1039" s="1379"/>
      <c r="M1039" s="1379"/>
      <c r="N1039" s="1379"/>
      <c r="O1039" s="1379"/>
      <c r="P1039" s="1379"/>
      <c r="Q1039" s="1379"/>
      <c r="R1039" s="1379"/>
      <c r="S1039" s="1379"/>
      <c r="T1039" s="1379"/>
      <c r="U1039" s="1379"/>
    </row>
    <row r="1040" spans="1:21" s="1380" customFormat="1">
      <c r="A1040" s="1457"/>
      <c r="B1040" s="1379"/>
      <c r="C1040" s="1379"/>
      <c r="D1040" s="1379"/>
      <c r="E1040" s="1379"/>
      <c r="F1040" s="1379"/>
      <c r="G1040" s="1379"/>
      <c r="H1040" s="1379"/>
      <c r="I1040" s="1379"/>
      <c r="J1040" s="1379"/>
      <c r="L1040" s="1379"/>
      <c r="M1040" s="1379"/>
      <c r="N1040" s="1379"/>
      <c r="O1040" s="1379"/>
      <c r="P1040" s="1379"/>
      <c r="Q1040" s="1379"/>
      <c r="R1040" s="1379"/>
      <c r="S1040" s="1379"/>
      <c r="T1040" s="1379"/>
      <c r="U1040" s="1379"/>
    </row>
    <row r="1041" spans="1:21" s="1380" customFormat="1">
      <c r="A1041" s="1457"/>
      <c r="B1041" s="1379"/>
      <c r="C1041" s="1379"/>
      <c r="D1041" s="1379"/>
      <c r="E1041" s="1379"/>
      <c r="F1041" s="1379"/>
      <c r="G1041" s="1379"/>
      <c r="H1041" s="1379"/>
      <c r="I1041" s="1379"/>
      <c r="J1041" s="1379"/>
      <c r="L1041" s="1379"/>
      <c r="M1041" s="1379"/>
      <c r="N1041" s="1379"/>
      <c r="O1041" s="1379"/>
      <c r="P1041" s="1379"/>
      <c r="Q1041" s="1379"/>
      <c r="R1041" s="1379"/>
      <c r="S1041" s="1379"/>
      <c r="T1041" s="1379"/>
      <c r="U1041" s="1379"/>
    </row>
    <row r="1042" spans="1:21" s="1380" customFormat="1">
      <c r="A1042" s="1457"/>
      <c r="B1042" s="1379"/>
      <c r="C1042" s="1379"/>
      <c r="D1042" s="1379"/>
      <c r="E1042" s="1379"/>
      <c r="F1042" s="1379"/>
      <c r="G1042" s="1379"/>
      <c r="H1042" s="1379"/>
      <c r="I1042" s="1379"/>
      <c r="J1042" s="1379"/>
      <c r="L1042" s="1379"/>
      <c r="M1042" s="1379"/>
      <c r="N1042" s="1379"/>
      <c r="O1042" s="1379"/>
      <c r="P1042" s="1379"/>
      <c r="Q1042" s="1379"/>
      <c r="R1042" s="1379"/>
      <c r="S1042" s="1379"/>
      <c r="T1042" s="1379"/>
      <c r="U1042" s="1379"/>
    </row>
    <row r="1043" spans="1:21" s="1380" customFormat="1">
      <c r="A1043" s="1457"/>
      <c r="B1043" s="1379"/>
      <c r="C1043" s="1379"/>
      <c r="D1043" s="1379"/>
      <c r="E1043" s="1379"/>
      <c r="F1043" s="1379"/>
      <c r="G1043" s="1379"/>
      <c r="H1043" s="1379"/>
      <c r="I1043" s="1379"/>
      <c r="J1043" s="1379"/>
      <c r="L1043" s="1379"/>
      <c r="M1043" s="1379"/>
      <c r="N1043" s="1379"/>
      <c r="O1043" s="1379"/>
      <c r="P1043" s="1379"/>
      <c r="Q1043" s="1379"/>
      <c r="R1043" s="1379"/>
      <c r="S1043" s="1379"/>
      <c r="T1043" s="1379"/>
      <c r="U1043" s="1379"/>
    </row>
    <row r="1044" spans="1:21" s="1380" customFormat="1">
      <c r="A1044" s="1457"/>
      <c r="B1044" s="1379"/>
      <c r="C1044" s="1379"/>
      <c r="D1044" s="1379"/>
      <c r="E1044" s="1379"/>
      <c r="F1044" s="1379"/>
      <c r="G1044" s="1379"/>
      <c r="H1044" s="1379"/>
      <c r="I1044" s="1379"/>
      <c r="J1044" s="1379"/>
      <c r="L1044" s="1379"/>
      <c r="M1044" s="1379"/>
      <c r="N1044" s="1379"/>
      <c r="O1044" s="1379"/>
      <c r="P1044" s="1379"/>
      <c r="Q1044" s="1379"/>
      <c r="R1044" s="1379"/>
      <c r="S1044" s="1379"/>
      <c r="T1044" s="1379"/>
      <c r="U1044" s="1379"/>
    </row>
    <row r="1045" spans="1:21" s="1380" customFormat="1">
      <c r="A1045" s="1457"/>
      <c r="B1045" s="1379"/>
      <c r="C1045" s="1379"/>
      <c r="D1045" s="1379"/>
      <c r="E1045" s="1379"/>
      <c r="F1045" s="1379"/>
      <c r="G1045" s="1379"/>
      <c r="H1045" s="1379"/>
      <c r="I1045" s="1379"/>
      <c r="J1045" s="1379"/>
      <c r="L1045" s="1379"/>
      <c r="M1045" s="1379"/>
      <c r="N1045" s="1379"/>
      <c r="O1045" s="1379"/>
      <c r="P1045" s="1379"/>
      <c r="Q1045" s="1379"/>
      <c r="R1045" s="1379"/>
      <c r="S1045" s="1379"/>
      <c r="T1045" s="1379"/>
      <c r="U1045" s="1379"/>
    </row>
    <row r="1046" spans="1:21" s="1380" customFormat="1">
      <c r="A1046" s="1457"/>
      <c r="B1046" s="1379"/>
      <c r="C1046" s="1379"/>
      <c r="D1046" s="1379"/>
      <c r="E1046" s="1379"/>
      <c r="F1046" s="1379"/>
      <c r="G1046" s="1379"/>
      <c r="H1046" s="1379"/>
      <c r="I1046" s="1379"/>
      <c r="J1046" s="1379"/>
      <c r="L1046" s="1379"/>
      <c r="M1046" s="1379"/>
      <c r="N1046" s="1379"/>
      <c r="O1046" s="1379"/>
      <c r="P1046" s="1379"/>
      <c r="Q1046" s="1379"/>
      <c r="R1046" s="1379"/>
      <c r="S1046" s="1379"/>
      <c r="T1046" s="1379"/>
      <c r="U1046" s="1379"/>
    </row>
    <row r="1047" spans="1:21" s="1380" customFormat="1">
      <c r="A1047" s="1457"/>
      <c r="B1047" s="1379"/>
      <c r="C1047" s="1379"/>
      <c r="D1047" s="1379"/>
      <c r="E1047" s="1379"/>
      <c r="F1047" s="1379"/>
      <c r="G1047" s="1379"/>
      <c r="H1047" s="1379"/>
      <c r="I1047" s="1379"/>
      <c r="J1047" s="1379"/>
      <c r="L1047" s="1379"/>
      <c r="M1047" s="1379"/>
      <c r="N1047" s="1379"/>
      <c r="O1047" s="1379"/>
      <c r="P1047" s="1379"/>
      <c r="Q1047" s="1379"/>
      <c r="R1047" s="1379"/>
      <c r="S1047" s="1379"/>
      <c r="T1047" s="1379"/>
      <c r="U1047" s="1379"/>
    </row>
    <row r="1048" spans="1:21" s="1380" customFormat="1">
      <c r="A1048" s="1457"/>
      <c r="B1048" s="1379"/>
      <c r="C1048" s="1379"/>
      <c r="D1048" s="1379"/>
      <c r="E1048" s="1379"/>
      <c r="F1048" s="1379"/>
      <c r="G1048" s="1379"/>
      <c r="H1048" s="1379"/>
      <c r="I1048" s="1379"/>
      <c r="J1048" s="1379"/>
      <c r="L1048" s="1379"/>
      <c r="M1048" s="1379"/>
      <c r="N1048" s="1379"/>
      <c r="O1048" s="1379"/>
      <c r="P1048" s="1379"/>
      <c r="Q1048" s="1379"/>
      <c r="R1048" s="1379"/>
      <c r="S1048" s="1379"/>
      <c r="T1048" s="1379"/>
      <c r="U1048" s="1379"/>
    </row>
    <row r="1049" spans="1:21" s="1380" customFormat="1">
      <c r="A1049" s="1457"/>
      <c r="B1049" s="1379"/>
      <c r="C1049" s="1379"/>
      <c r="D1049" s="1379"/>
      <c r="E1049" s="1379"/>
      <c r="F1049" s="1379"/>
      <c r="G1049" s="1379"/>
      <c r="H1049" s="1379"/>
      <c r="I1049" s="1379"/>
      <c r="J1049" s="1379"/>
      <c r="L1049" s="1379"/>
      <c r="M1049" s="1379"/>
      <c r="N1049" s="1379"/>
      <c r="O1049" s="1379"/>
      <c r="P1049" s="1379"/>
      <c r="Q1049" s="1379"/>
      <c r="R1049" s="1379"/>
      <c r="S1049" s="1379"/>
      <c r="T1049" s="1379"/>
      <c r="U1049" s="1379"/>
    </row>
    <row r="1050" spans="1:21" s="1380" customFormat="1">
      <c r="A1050" s="1457"/>
      <c r="B1050" s="1379"/>
      <c r="C1050" s="1379"/>
      <c r="D1050" s="1379"/>
      <c r="E1050" s="1379"/>
      <c r="F1050" s="1379"/>
      <c r="G1050" s="1379"/>
      <c r="H1050" s="1379"/>
      <c r="I1050" s="1379"/>
      <c r="J1050" s="1379"/>
      <c r="L1050" s="1379"/>
      <c r="M1050" s="1379"/>
      <c r="N1050" s="1379"/>
      <c r="O1050" s="1379"/>
      <c r="P1050" s="1379"/>
      <c r="Q1050" s="1379"/>
      <c r="R1050" s="1379"/>
      <c r="S1050" s="1379"/>
      <c r="T1050" s="1379"/>
      <c r="U1050" s="1379"/>
    </row>
    <row r="1051" spans="1:21" s="1380" customFormat="1">
      <c r="A1051" s="1457"/>
      <c r="B1051" s="1379"/>
      <c r="C1051" s="1379"/>
      <c r="D1051" s="1379"/>
      <c r="E1051" s="1379"/>
      <c r="F1051" s="1379"/>
      <c r="G1051" s="1379"/>
      <c r="H1051" s="1379"/>
      <c r="I1051" s="1379"/>
      <c r="J1051" s="1379"/>
      <c r="L1051" s="1379"/>
      <c r="M1051" s="1379"/>
      <c r="N1051" s="1379"/>
      <c r="O1051" s="1379"/>
      <c r="P1051" s="1379"/>
      <c r="Q1051" s="1379"/>
      <c r="R1051" s="1379"/>
      <c r="S1051" s="1379"/>
      <c r="T1051" s="1379"/>
      <c r="U1051" s="1379"/>
    </row>
    <row r="1052" spans="1:21" s="1380" customFormat="1">
      <c r="A1052" s="1457"/>
      <c r="B1052" s="1379"/>
      <c r="C1052" s="1379"/>
      <c r="D1052" s="1379"/>
      <c r="E1052" s="1379"/>
      <c r="F1052" s="1379"/>
      <c r="G1052" s="1379"/>
      <c r="H1052" s="1379"/>
      <c r="I1052" s="1379"/>
      <c r="J1052" s="1379"/>
      <c r="L1052" s="1379"/>
      <c r="M1052" s="1379"/>
      <c r="N1052" s="1379"/>
      <c r="O1052" s="1379"/>
      <c r="P1052" s="1379"/>
      <c r="Q1052" s="1379"/>
      <c r="R1052" s="1379"/>
      <c r="S1052" s="1379"/>
      <c r="T1052" s="1379"/>
      <c r="U1052" s="1379"/>
    </row>
    <row r="1053" spans="1:21" s="1380" customFormat="1">
      <c r="A1053" s="1457"/>
      <c r="B1053" s="1379"/>
      <c r="C1053" s="1379"/>
      <c r="D1053" s="1379"/>
      <c r="E1053" s="1379"/>
      <c r="F1053" s="1379"/>
      <c r="G1053" s="1379"/>
      <c r="H1053" s="1379"/>
      <c r="I1053" s="1379"/>
      <c r="J1053" s="1379"/>
      <c r="L1053" s="1379"/>
      <c r="M1053" s="1379"/>
      <c r="N1053" s="1379"/>
      <c r="O1053" s="1379"/>
      <c r="P1053" s="1379"/>
      <c r="Q1053" s="1379"/>
      <c r="R1053" s="1379"/>
      <c r="S1053" s="1379"/>
      <c r="T1053" s="1379"/>
      <c r="U1053" s="1379"/>
    </row>
    <row r="1054" spans="1:21" s="1380" customFormat="1">
      <c r="A1054" s="1457"/>
      <c r="B1054" s="1379"/>
      <c r="C1054" s="1379"/>
      <c r="D1054" s="1379"/>
      <c r="E1054" s="1379"/>
      <c r="F1054" s="1379"/>
      <c r="G1054" s="1379"/>
      <c r="H1054" s="1379"/>
      <c r="I1054" s="1379"/>
      <c r="J1054" s="1379"/>
      <c r="L1054" s="1379"/>
      <c r="M1054" s="1379"/>
      <c r="N1054" s="1379"/>
      <c r="O1054" s="1379"/>
      <c r="P1054" s="1379"/>
      <c r="Q1054" s="1379"/>
      <c r="R1054" s="1379"/>
      <c r="S1054" s="1379"/>
      <c r="T1054" s="1379"/>
      <c r="U1054" s="1379"/>
    </row>
    <row r="1055" spans="1:21" s="1380" customFormat="1">
      <c r="A1055" s="1457"/>
      <c r="B1055" s="1379"/>
      <c r="C1055" s="1379"/>
      <c r="D1055" s="1379"/>
      <c r="E1055" s="1379"/>
      <c r="F1055" s="1379"/>
      <c r="G1055" s="1379"/>
      <c r="H1055" s="1379"/>
      <c r="I1055" s="1379"/>
      <c r="J1055" s="1379"/>
      <c r="L1055" s="1379"/>
      <c r="M1055" s="1379"/>
      <c r="N1055" s="1379"/>
      <c r="O1055" s="1379"/>
      <c r="P1055" s="1379"/>
      <c r="Q1055" s="1379"/>
      <c r="R1055" s="1379"/>
      <c r="S1055" s="1379"/>
      <c r="T1055" s="1379"/>
      <c r="U1055" s="1379"/>
    </row>
    <row r="1056" spans="1:21" s="1380" customFormat="1">
      <c r="A1056" s="1457"/>
      <c r="B1056" s="1379"/>
      <c r="C1056" s="1379"/>
      <c r="D1056" s="1379"/>
      <c r="E1056" s="1379"/>
      <c r="F1056" s="1379"/>
      <c r="G1056" s="1379"/>
      <c r="H1056" s="1379"/>
      <c r="I1056" s="1379"/>
      <c r="J1056" s="1379"/>
      <c r="L1056" s="1379"/>
      <c r="M1056" s="1379"/>
      <c r="N1056" s="1379"/>
      <c r="O1056" s="1379"/>
      <c r="P1056" s="1379"/>
      <c r="Q1056" s="1379"/>
      <c r="R1056" s="1379"/>
      <c r="S1056" s="1379"/>
      <c r="T1056" s="1379"/>
      <c r="U1056" s="1379"/>
    </row>
    <row r="1057" spans="1:21" s="1380" customFormat="1">
      <c r="A1057" s="1457"/>
      <c r="B1057" s="1379"/>
      <c r="C1057" s="1379"/>
      <c r="D1057" s="1379"/>
      <c r="E1057" s="1379"/>
      <c r="F1057" s="1379"/>
      <c r="G1057" s="1379"/>
      <c r="H1057" s="1379"/>
      <c r="I1057" s="1379"/>
      <c r="J1057" s="1379"/>
      <c r="L1057" s="1379"/>
      <c r="M1057" s="1379"/>
      <c r="N1057" s="1379"/>
      <c r="O1057" s="1379"/>
      <c r="P1057" s="1379"/>
      <c r="Q1057" s="1379"/>
      <c r="R1057" s="1379"/>
      <c r="S1057" s="1379"/>
      <c r="T1057" s="1379"/>
      <c r="U1057" s="1379"/>
    </row>
    <row r="1058" spans="1:21" s="1380" customFormat="1">
      <c r="A1058" s="1457"/>
      <c r="B1058" s="1379"/>
      <c r="C1058" s="1379"/>
      <c r="D1058" s="1379"/>
      <c r="E1058" s="1379"/>
      <c r="F1058" s="1379"/>
      <c r="G1058" s="1379"/>
      <c r="H1058" s="1379"/>
      <c r="I1058" s="1379"/>
      <c r="J1058" s="1379"/>
      <c r="L1058" s="1379"/>
      <c r="M1058" s="1379"/>
      <c r="N1058" s="1379"/>
      <c r="O1058" s="1379"/>
      <c r="P1058" s="1379"/>
      <c r="Q1058" s="1379"/>
      <c r="R1058" s="1379"/>
      <c r="S1058" s="1379"/>
      <c r="T1058" s="1379"/>
      <c r="U1058" s="1379"/>
    </row>
    <row r="1059" spans="1:21" s="1380" customFormat="1">
      <c r="A1059" s="1457"/>
      <c r="B1059" s="1379"/>
      <c r="C1059" s="1379"/>
      <c r="D1059" s="1379"/>
      <c r="E1059" s="1379"/>
      <c r="F1059" s="1379"/>
      <c r="G1059" s="1379"/>
      <c r="H1059" s="1379"/>
      <c r="I1059" s="1379"/>
      <c r="J1059" s="1379"/>
      <c r="L1059" s="1379"/>
      <c r="M1059" s="1379"/>
      <c r="N1059" s="1379"/>
      <c r="O1059" s="1379"/>
      <c r="P1059" s="1379"/>
      <c r="Q1059" s="1379"/>
      <c r="R1059" s="1379"/>
      <c r="S1059" s="1379"/>
      <c r="T1059" s="1379"/>
      <c r="U1059" s="1379"/>
    </row>
    <row r="1060" spans="1:21" s="1380" customFormat="1">
      <c r="A1060" s="1457"/>
      <c r="B1060" s="1379"/>
      <c r="C1060" s="1379"/>
      <c r="D1060" s="1379"/>
      <c r="E1060" s="1379"/>
      <c r="F1060" s="1379"/>
      <c r="G1060" s="1379"/>
      <c r="H1060" s="1379"/>
      <c r="I1060" s="1379"/>
      <c r="J1060" s="1379"/>
      <c r="L1060" s="1379"/>
      <c r="M1060" s="1379"/>
      <c r="N1060" s="1379"/>
      <c r="O1060" s="1379"/>
      <c r="P1060" s="1379"/>
      <c r="Q1060" s="1379"/>
      <c r="R1060" s="1379"/>
      <c r="S1060" s="1379"/>
      <c r="T1060" s="1379"/>
      <c r="U1060" s="1379"/>
    </row>
    <row r="1061" spans="1:21" s="1380" customFormat="1">
      <c r="A1061" s="1457"/>
      <c r="B1061" s="1379"/>
      <c r="C1061" s="1379"/>
      <c r="D1061" s="1379"/>
      <c r="E1061" s="1379"/>
      <c r="F1061" s="1379"/>
      <c r="G1061" s="1379"/>
      <c r="H1061" s="1379"/>
      <c r="I1061" s="1379"/>
      <c r="J1061" s="1379"/>
      <c r="L1061" s="1379"/>
      <c r="M1061" s="1379"/>
      <c r="N1061" s="1379"/>
      <c r="O1061" s="1379"/>
      <c r="P1061" s="1379"/>
      <c r="Q1061" s="1379"/>
      <c r="R1061" s="1379"/>
      <c r="S1061" s="1379"/>
      <c r="T1061" s="1379"/>
      <c r="U1061" s="1379"/>
    </row>
    <row r="1062" spans="1:21" s="1380" customFormat="1">
      <c r="A1062" s="1457"/>
      <c r="B1062" s="1379"/>
      <c r="C1062" s="1379"/>
      <c r="D1062" s="1379"/>
      <c r="E1062" s="1379"/>
      <c r="F1062" s="1379"/>
      <c r="G1062" s="1379"/>
      <c r="H1062" s="1379"/>
      <c r="I1062" s="1379"/>
      <c r="J1062" s="1379"/>
      <c r="L1062" s="1379"/>
      <c r="M1062" s="1379"/>
      <c r="N1062" s="1379"/>
      <c r="O1062" s="1379"/>
      <c r="P1062" s="1379"/>
      <c r="Q1062" s="1379"/>
      <c r="R1062" s="1379"/>
      <c r="S1062" s="1379"/>
      <c r="T1062" s="1379"/>
      <c r="U1062" s="1379"/>
    </row>
    <row r="1063" spans="1:21" s="1380" customFormat="1">
      <c r="A1063" s="1457"/>
      <c r="B1063" s="1379"/>
      <c r="C1063" s="1379"/>
      <c r="D1063" s="1379"/>
      <c r="E1063" s="1379"/>
      <c r="F1063" s="1379"/>
      <c r="G1063" s="1379"/>
      <c r="H1063" s="1379"/>
      <c r="I1063" s="1379"/>
      <c r="J1063" s="1379"/>
      <c r="L1063" s="1379"/>
      <c r="M1063" s="1379"/>
      <c r="N1063" s="1379"/>
      <c r="O1063" s="1379"/>
      <c r="P1063" s="1379"/>
      <c r="Q1063" s="1379"/>
      <c r="R1063" s="1379"/>
      <c r="S1063" s="1379"/>
      <c r="T1063" s="1379"/>
      <c r="U1063" s="1379"/>
    </row>
    <row r="1064" spans="1:21" s="1380" customFormat="1">
      <c r="A1064" s="1457"/>
      <c r="B1064" s="1379"/>
      <c r="C1064" s="1379"/>
      <c r="D1064" s="1379"/>
      <c r="E1064" s="1379"/>
      <c r="F1064" s="1379"/>
      <c r="G1064" s="1379"/>
      <c r="H1064" s="1379"/>
      <c r="I1064" s="1379"/>
      <c r="J1064" s="1379"/>
      <c r="L1064" s="1379"/>
      <c r="M1064" s="1379"/>
      <c r="N1064" s="1379"/>
      <c r="O1064" s="1379"/>
      <c r="P1064" s="1379"/>
      <c r="Q1064" s="1379"/>
      <c r="R1064" s="1379"/>
      <c r="S1064" s="1379"/>
      <c r="T1064" s="1379"/>
      <c r="U1064" s="1379"/>
    </row>
    <row r="1065" spans="1:21" s="1380" customFormat="1">
      <c r="A1065" s="1457"/>
      <c r="B1065" s="1379"/>
      <c r="C1065" s="1379"/>
      <c r="D1065" s="1379"/>
      <c r="E1065" s="1379"/>
      <c r="F1065" s="1379"/>
      <c r="G1065" s="1379"/>
      <c r="H1065" s="1379"/>
      <c r="I1065" s="1379"/>
      <c r="J1065" s="1379"/>
      <c r="L1065" s="1379"/>
      <c r="M1065" s="1379"/>
      <c r="N1065" s="1379"/>
      <c r="O1065" s="1379"/>
      <c r="P1065" s="1379"/>
      <c r="Q1065" s="1379"/>
      <c r="R1065" s="1379"/>
      <c r="S1065" s="1379"/>
      <c r="T1065" s="1379"/>
      <c r="U1065" s="1379"/>
    </row>
    <row r="1066" spans="1:21" s="1380" customFormat="1">
      <c r="A1066" s="1457"/>
      <c r="B1066" s="1379"/>
      <c r="C1066" s="1379"/>
      <c r="D1066" s="1379"/>
      <c r="E1066" s="1379"/>
      <c r="F1066" s="1379"/>
      <c r="G1066" s="1379"/>
      <c r="H1066" s="1379"/>
      <c r="I1066" s="1379"/>
      <c r="J1066" s="1379"/>
      <c r="L1066" s="1379"/>
      <c r="M1066" s="1379"/>
      <c r="N1066" s="1379"/>
      <c r="O1066" s="1379"/>
      <c r="P1066" s="1379"/>
      <c r="Q1066" s="1379"/>
      <c r="R1066" s="1379"/>
      <c r="S1066" s="1379"/>
      <c r="T1066" s="1379"/>
      <c r="U1066" s="1379"/>
    </row>
    <row r="1067" spans="1:21" s="1380" customFormat="1">
      <c r="A1067" s="1457"/>
      <c r="B1067" s="1379"/>
      <c r="C1067" s="1379"/>
      <c r="D1067" s="1379"/>
      <c r="E1067" s="1379"/>
      <c r="F1067" s="1379"/>
      <c r="G1067" s="1379"/>
      <c r="H1067" s="1379"/>
      <c r="I1067" s="1379"/>
      <c r="J1067" s="1379"/>
      <c r="L1067" s="1379"/>
      <c r="M1067" s="1379"/>
      <c r="N1067" s="1379"/>
      <c r="O1067" s="1379"/>
      <c r="P1067" s="1379"/>
      <c r="Q1067" s="1379"/>
      <c r="R1067" s="1379"/>
      <c r="S1067" s="1379"/>
      <c r="T1067" s="1379"/>
      <c r="U1067" s="1379"/>
    </row>
    <row r="1068" spans="1:21" s="1380" customFormat="1">
      <c r="A1068" s="1457"/>
      <c r="B1068" s="1379"/>
      <c r="C1068" s="1379"/>
      <c r="D1068" s="1379"/>
      <c r="E1068" s="1379"/>
      <c r="F1068" s="1379"/>
      <c r="G1068" s="1379"/>
      <c r="H1068" s="1379"/>
      <c r="I1068" s="1379"/>
      <c r="J1068" s="1379"/>
      <c r="L1068" s="1379"/>
      <c r="M1068" s="1379"/>
      <c r="N1068" s="1379"/>
      <c r="O1068" s="1379"/>
      <c r="P1068" s="1379"/>
      <c r="Q1068" s="1379"/>
      <c r="R1068" s="1379"/>
      <c r="S1068" s="1379"/>
      <c r="T1068" s="1379"/>
      <c r="U1068" s="1379"/>
    </row>
    <row r="1069" spans="1:21" s="1380" customFormat="1">
      <c r="A1069" s="1457"/>
      <c r="B1069" s="1379"/>
      <c r="C1069" s="1379"/>
      <c r="D1069" s="1379"/>
      <c r="E1069" s="1379"/>
      <c r="F1069" s="1379"/>
      <c r="G1069" s="1379"/>
      <c r="H1069" s="1379"/>
      <c r="I1069" s="1379"/>
      <c r="J1069" s="1379"/>
      <c r="L1069" s="1379"/>
      <c r="M1069" s="1379"/>
      <c r="N1069" s="1379"/>
      <c r="O1069" s="1379"/>
      <c r="P1069" s="1379"/>
      <c r="Q1069" s="1379"/>
      <c r="R1069" s="1379"/>
      <c r="S1069" s="1379"/>
      <c r="T1069" s="1379"/>
      <c r="U1069" s="1379"/>
    </row>
    <row r="1070" spans="1:21" s="1380" customFormat="1">
      <c r="A1070" s="1457"/>
      <c r="B1070" s="1379"/>
      <c r="C1070" s="1379"/>
      <c r="D1070" s="1379"/>
      <c r="E1070" s="1379"/>
      <c r="F1070" s="1379"/>
      <c r="G1070" s="1379"/>
      <c r="H1070" s="1379"/>
      <c r="I1070" s="1379"/>
      <c r="J1070" s="1379"/>
      <c r="L1070" s="1379"/>
      <c r="M1070" s="1379"/>
      <c r="N1070" s="1379"/>
      <c r="O1070" s="1379"/>
      <c r="P1070" s="1379"/>
      <c r="Q1070" s="1379"/>
      <c r="R1070" s="1379"/>
      <c r="S1070" s="1379"/>
      <c r="T1070" s="1379"/>
      <c r="U1070" s="1379"/>
    </row>
    <row r="1071" spans="1:21" s="1380" customFormat="1">
      <c r="A1071" s="1457"/>
      <c r="B1071" s="1379"/>
      <c r="C1071" s="1379"/>
      <c r="D1071" s="1379"/>
      <c r="E1071" s="1379"/>
      <c r="F1071" s="1379"/>
      <c r="G1071" s="1379"/>
      <c r="H1071" s="1379"/>
      <c r="I1071" s="1379"/>
      <c r="J1071" s="1379"/>
      <c r="L1071" s="1379"/>
      <c r="M1071" s="1379"/>
      <c r="N1071" s="1379"/>
      <c r="O1071" s="1379"/>
      <c r="P1071" s="1379"/>
      <c r="Q1071" s="1379"/>
      <c r="R1071" s="1379"/>
      <c r="S1071" s="1379"/>
      <c r="T1071" s="1379"/>
      <c r="U1071" s="1379"/>
    </row>
    <row r="1072" spans="1:21" s="1380" customFormat="1">
      <c r="A1072" s="1457"/>
      <c r="B1072" s="1379"/>
      <c r="C1072" s="1379"/>
      <c r="D1072" s="1379"/>
      <c r="E1072" s="1379"/>
      <c r="F1072" s="1379"/>
      <c r="G1072" s="1379"/>
      <c r="H1072" s="1379"/>
      <c r="I1072" s="1379"/>
      <c r="J1072" s="1379"/>
      <c r="L1072" s="1379"/>
      <c r="M1072" s="1379"/>
      <c r="N1072" s="1379"/>
      <c r="O1072" s="1379"/>
      <c r="P1072" s="1379"/>
      <c r="Q1072" s="1379"/>
      <c r="R1072" s="1379"/>
      <c r="S1072" s="1379"/>
      <c r="T1072" s="1379"/>
      <c r="U1072" s="1379"/>
    </row>
    <row r="1073" spans="1:21" s="1380" customFormat="1">
      <c r="A1073" s="1457"/>
      <c r="B1073" s="1379"/>
      <c r="C1073" s="1379"/>
      <c r="D1073" s="1379"/>
      <c r="E1073" s="1379"/>
      <c r="F1073" s="1379"/>
      <c r="G1073" s="1379"/>
      <c r="H1073" s="1379"/>
      <c r="I1073" s="1379"/>
      <c r="J1073" s="1379"/>
      <c r="L1073" s="1379"/>
      <c r="M1073" s="1379"/>
      <c r="N1073" s="1379"/>
      <c r="O1073" s="1379"/>
      <c r="P1073" s="1379"/>
      <c r="Q1073" s="1379"/>
      <c r="R1073" s="1379"/>
      <c r="S1073" s="1379"/>
      <c r="T1073" s="1379"/>
      <c r="U1073" s="1379"/>
    </row>
    <row r="1074" spans="1:21" s="1380" customFormat="1">
      <c r="A1074" s="1457"/>
      <c r="B1074" s="1379"/>
      <c r="C1074" s="1379"/>
      <c r="D1074" s="1379"/>
      <c r="E1074" s="1379"/>
      <c r="F1074" s="1379"/>
      <c r="G1074" s="1379"/>
      <c r="H1074" s="1379"/>
      <c r="I1074" s="1379"/>
      <c r="J1074" s="1379"/>
      <c r="L1074" s="1379"/>
      <c r="M1074" s="1379"/>
      <c r="N1074" s="1379"/>
      <c r="O1074" s="1379"/>
      <c r="P1074" s="1379"/>
      <c r="Q1074" s="1379"/>
      <c r="R1074" s="1379"/>
      <c r="S1074" s="1379"/>
      <c r="T1074" s="1379"/>
      <c r="U1074" s="1379"/>
    </row>
    <row r="1075" spans="1:21" s="1380" customFormat="1">
      <c r="A1075" s="1457"/>
      <c r="B1075" s="1379"/>
      <c r="C1075" s="1379"/>
      <c r="D1075" s="1379"/>
      <c r="E1075" s="1379"/>
      <c r="F1075" s="1379"/>
      <c r="G1075" s="1379"/>
      <c r="H1075" s="1379"/>
      <c r="I1075" s="1379"/>
      <c r="J1075" s="1379"/>
      <c r="L1075" s="1379"/>
      <c r="M1075" s="1379"/>
      <c r="N1075" s="1379"/>
      <c r="O1075" s="1379"/>
      <c r="P1075" s="1379"/>
      <c r="Q1075" s="1379"/>
      <c r="R1075" s="1379"/>
      <c r="S1075" s="1379"/>
      <c r="T1075" s="1379"/>
      <c r="U1075" s="1379"/>
    </row>
    <row r="1076" spans="1:21" s="1380" customFormat="1">
      <c r="A1076" s="1457"/>
      <c r="B1076" s="1379"/>
      <c r="C1076" s="1379"/>
      <c r="D1076" s="1379"/>
      <c r="E1076" s="1379"/>
      <c r="F1076" s="1379"/>
      <c r="G1076" s="1379"/>
      <c r="H1076" s="1379"/>
      <c r="I1076" s="1379"/>
      <c r="J1076" s="1379"/>
      <c r="L1076" s="1379"/>
      <c r="M1076" s="1379"/>
      <c r="N1076" s="1379"/>
      <c r="O1076" s="1379"/>
      <c r="P1076" s="1379"/>
      <c r="Q1076" s="1379"/>
      <c r="R1076" s="1379"/>
      <c r="S1076" s="1379"/>
      <c r="T1076" s="1379"/>
      <c r="U1076" s="1379"/>
    </row>
    <row r="1077" spans="1:21" s="1380" customFormat="1">
      <c r="A1077" s="1457"/>
      <c r="B1077" s="1379"/>
      <c r="C1077" s="1379"/>
      <c r="D1077" s="1379"/>
      <c r="E1077" s="1379"/>
      <c r="F1077" s="1379"/>
      <c r="G1077" s="1379"/>
      <c r="H1077" s="1379"/>
      <c r="I1077" s="1379"/>
      <c r="J1077" s="1379"/>
      <c r="L1077" s="1379"/>
      <c r="M1077" s="1379"/>
      <c r="N1077" s="1379"/>
      <c r="O1077" s="1379"/>
      <c r="P1077" s="1379"/>
      <c r="Q1077" s="1379"/>
      <c r="R1077" s="1379"/>
      <c r="S1077" s="1379"/>
      <c r="T1077" s="1379"/>
      <c r="U1077" s="1379"/>
    </row>
    <row r="1078" spans="1:21" s="1380" customFormat="1">
      <c r="A1078" s="1457"/>
      <c r="B1078" s="1379"/>
      <c r="C1078" s="1379"/>
      <c r="D1078" s="1379"/>
      <c r="E1078" s="1379"/>
      <c r="F1078" s="1379"/>
      <c r="G1078" s="1379"/>
      <c r="H1078" s="1379"/>
      <c r="I1078" s="1379"/>
      <c r="J1078" s="1379"/>
      <c r="L1078" s="1379"/>
      <c r="M1078" s="1379"/>
      <c r="N1078" s="1379"/>
      <c r="O1078" s="1379"/>
      <c r="P1078" s="1379"/>
      <c r="Q1078" s="1379"/>
      <c r="R1078" s="1379"/>
      <c r="S1078" s="1379"/>
      <c r="T1078" s="1379"/>
      <c r="U1078" s="1379"/>
    </row>
    <row r="1079" spans="1:21" s="1380" customFormat="1">
      <c r="A1079" s="1457"/>
      <c r="B1079" s="1379"/>
      <c r="C1079" s="1379"/>
      <c r="D1079" s="1379"/>
      <c r="E1079" s="1379"/>
      <c r="F1079" s="1379"/>
      <c r="G1079" s="1379"/>
      <c r="H1079" s="1379"/>
      <c r="I1079" s="1379"/>
      <c r="J1079" s="1379"/>
      <c r="L1079" s="1379"/>
      <c r="M1079" s="1379"/>
      <c r="N1079" s="1379"/>
      <c r="O1079" s="1379"/>
      <c r="P1079" s="1379"/>
      <c r="Q1079" s="1379"/>
      <c r="R1079" s="1379"/>
      <c r="S1079" s="1379"/>
      <c r="T1079" s="1379"/>
      <c r="U1079" s="1379"/>
    </row>
    <row r="1080" spans="1:21" s="1380" customFormat="1">
      <c r="A1080" s="1457"/>
      <c r="B1080" s="1379"/>
      <c r="C1080" s="1379"/>
      <c r="D1080" s="1379"/>
      <c r="E1080" s="1379"/>
      <c r="F1080" s="1379"/>
      <c r="G1080" s="1379"/>
      <c r="H1080" s="1379"/>
      <c r="I1080" s="1379"/>
      <c r="J1080" s="1379"/>
      <c r="L1080" s="1379"/>
      <c r="M1080" s="1379"/>
      <c r="N1080" s="1379"/>
      <c r="O1080" s="1379"/>
      <c r="P1080" s="1379"/>
      <c r="Q1080" s="1379"/>
      <c r="R1080" s="1379"/>
      <c r="S1080" s="1379"/>
      <c r="T1080" s="1379"/>
      <c r="U1080" s="1379"/>
    </row>
    <row r="1081" spans="1:21" s="1380" customFormat="1">
      <c r="A1081" s="1457"/>
      <c r="B1081" s="1379"/>
      <c r="C1081" s="1379"/>
      <c r="D1081" s="1379"/>
      <c r="E1081" s="1379"/>
      <c r="F1081" s="1379"/>
      <c r="G1081" s="1379"/>
      <c r="H1081" s="1379"/>
      <c r="I1081" s="1379"/>
      <c r="J1081" s="1379"/>
      <c r="L1081" s="1379"/>
      <c r="M1081" s="1379"/>
      <c r="N1081" s="1379"/>
      <c r="O1081" s="1379"/>
      <c r="P1081" s="1379"/>
      <c r="Q1081" s="1379"/>
      <c r="R1081" s="1379"/>
      <c r="S1081" s="1379"/>
      <c r="T1081" s="1379"/>
      <c r="U1081" s="1379"/>
    </row>
    <row r="1082" spans="1:21" s="1380" customFormat="1">
      <c r="A1082" s="1457"/>
      <c r="B1082" s="1379"/>
      <c r="C1082" s="1379"/>
      <c r="D1082" s="1379"/>
      <c r="E1082" s="1379"/>
      <c r="F1082" s="1379"/>
      <c r="G1082" s="1379"/>
      <c r="H1082" s="1379"/>
      <c r="I1082" s="1379"/>
      <c r="J1082" s="1379"/>
      <c r="L1082" s="1379"/>
      <c r="M1082" s="1379"/>
      <c r="N1082" s="1379"/>
      <c r="O1082" s="1379"/>
      <c r="P1082" s="1379"/>
      <c r="Q1082" s="1379"/>
      <c r="R1082" s="1379"/>
      <c r="S1082" s="1379"/>
      <c r="T1082" s="1379"/>
      <c r="U1082" s="1379"/>
    </row>
    <row r="1083" spans="1:21" s="1380" customFormat="1">
      <c r="A1083" s="1457"/>
      <c r="B1083" s="1379"/>
      <c r="C1083" s="1379"/>
      <c r="D1083" s="1379"/>
      <c r="E1083" s="1379"/>
      <c r="F1083" s="1379"/>
      <c r="G1083" s="1379"/>
      <c r="H1083" s="1379"/>
      <c r="I1083" s="1379"/>
      <c r="J1083" s="1379"/>
      <c r="L1083" s="1379"/>
      <c r="M1083" s="1379"/>
      <c r="N1083" s="1379"/>
      <c r="O1083" s="1379"/>
      <c r="P1083" s="1379"/>
      <c r="Q1083" s="1379"/>
      <c r="R1083" s="1379"/>
      <c r="S1083" s="1379"/>
      <c r="T1083" s="1379"/>
      <c r="U1083" s="1379"/>
    </row>
    <row r="1084" spans="1:21" s="1380" customFormat="1">
      <c r="A1084" s="1457"/>
      <c r="B1084" s="1379"/>
      <c r="C1084" s="1379"/>
      <c r="D1084" s="1379"/>
      <c r="E1084" s="1379"/>
      <c r="F1084" s="1379"/>
      <c r="G1084" s="1379"/>
      <c r="H1084" s="1379"/>
      <c r="I1084" s="1379"/>
      <c r="J1084" s="1379"/>
      <c r="L1084" s="1379"/>
      <c r="M1084" s="1379"/>
      <c r="N1084" s="1379"/>
      <c r="O1084" s="1379"/>
      <c r="P1084" s="1379"/>
      <c r="Q1084" s="1379"/>
      <c r="R1084" s="1379"/>
      <c r="S1084" s="1379"/>
      <c r="T1084" s="1379"/>
      <c r="U1084" s="1379"/>
    </row>
    <row r="1085" spans="1:21" s="1380" customFormat="1">
      <c r="A1085" s="1457"/>
      <c r="B1085" s="1379"/>
      <c r="C1085" s="1379"/>
      <c r="D1085" s="1379"/>
      <c r="E1085" s="1379"/>
      <c r="F1085" s="1379"/>
      <c r="G1085" s="1379"/>
      <c r="H1085" s="1379"/>
      <c r="I1085" s="1379"/>
      <c r="J1085" s="1379"/>
      <c r="L1085" s="1379"/>
      <c r="M1085" s="1379"/>
      <c r="N1085" s="1379"/>
      <c r="O1085" s="1379"/>
      <c r="P1085" s="1379"/>
      <c r="Q1085" s="1379"/>
      <c r="R1085" s="1379"/>
      <c r="S1085" s="1379"/>
      <c r="T1085" s="1379"/>
      <c r="U1085" s="1379"/>
    </row>
    <row r="1086" spans="1:21" s="1380" customFormat="1">
      <c r="A1086" s="1457"/>
      <c r="B1086" s="1379"/>
      <c r="C1086" s="1379"/>
      <c r="D1086" s="1379"/>
      <c r="E1086" s="1379"/>
      <c r="F1086" s="1379"/>
      <c r="G1086" s="1379"/>
      <c r="H1086" s="1379"/>
      <c r="I1086" s="1379"/>
      <c r="J1086" s="1379"/>
      <c r="L1086" s="1379"/>
      <c r="M1086" s="1379"/>
      <c r="N1086" s="1379"/>
      <c r="O1086" s="1379"/>
      <c r="P1086" s="1379"/>
      <c r="Q1086" s="1379"/>
      <c r="R1086" s="1379"/>
      <c r="S1086" s="1379"/>
      <c r="T1086" s="1379"/>
      <c r="U1086" s="1379"/>
    </row>
    <row r="1087" spans="1:21" s="1380" customFormat="1">
      <c r="A1087" s="1457"/>
      <c r="B1087" s="1379"/>
      <c r="C1087" s="1379"/>
      <c r="D1087" s="1379"/>
      <c r="E1087" s="1379"/>
      <c r="F1087" s="1379"/>
      <c r="G1087" s="1379"/>
      <c r="H1087" s="1379"/>
      <c r="I1087" s="1379"/>
      <c r="J1087" s="1379"/>
      <c r="L1087" s="1379"/>
      <c r="M1087" s="1379"/>
      <c r="N1087" s="1379"/>
      <c r="O1087" s="1379"/>
      <c r="P1087" s="1379"/>
      <c r="Q1087" s="1379"/>
      <c r="R1087" s="1379"/>
      <c r="S1087" s="1379"/>
      <c r="T1087" s="1379"/>
      <c r="U1087" s="1379"/>
    </row>
    <row r="1088" spans="1:21" s="1380" customFormat="1">
      <c r="A1088" s="1457"/>
      <c r="B1088" s="1379"/>
      <c r="C1088" s="1379"/>
      <c r="D1088" s="1379"/>
      <c r="E1088" s="1379"/>
      <c r="F1088" s="1379"/>
      <c r="G1088" s="1379"/>
      <c r="H1088" s="1379"/>
      <c r="I1088" s="1379"/>
      <c r="J1088" s="1379"/>
      <c r="L1088" s="1379"/>
      <c r="M1088" s="1379"/>
      <c r="N1088" s="1379"/>
      <c r="O1088" s="1379"/>
      <c r="P1088" s="1379"/>
      <c r="Q1088" s="1379"/>
      <c r="R1088" s="1379"/>
      <c r="S1088" s="1379"/>
      <c r="T1088" s="1379"/>
      <c r="U1088" s="1379"/>
    </row>
    <row r="1089" spans="1:21" s="1380" customFormat="1">
      <c r="A1089" s="1457"/>
      <c r="B1089" s="1379"/>
      <c r="C1089" s="1379"/>
      <c r="D1089" s="1379"/>
      <c r="E1089" s="1379"/>
      <c r="F1089" s="1379"/>
      <c r="G1089" s="1379"/>
      <c r="H1089" s="1379"/>
      <c r="I1089" s="1379"/>
      <c r="J1089" s="1379"/>
      <c r="L1089" s="1379"/>
      <c r="M1089" s="1379"/>
      <c r="N1089" s="1379"/>
      <c r="O1089" s="1379"/>
      <c r="P1089" s="1379"/>
      <c r="Q1089" s="1379"/>
      <c r="R1089" s="1379"/>
      <c r="S1089" s="1379"/>
      <c r="T1089" s="1379"/>
      <c r="U1089" s="1379"/>
    </row>
    <row r="1090" spans="1:21" s="1380" customFormat="1">
      <c r="A1090" s="1457"/>
      <c r="B1090" s="1379"/>
      <c r="C1090" s="1379"/>
      <c r="D1090" s="1379"/>
      <c r="E1090" s="1379"/>
      <c r="F1090" s="1379"/>
      <c r="G1090" s="1379"/>
      <c r="H1090" s="1379"/>
      <c r="I1090" s="1379"/>
      <c r="J1090" s="1379"/>
      <c r="L1090" s="1379"/>
      <c r="M1090" s="1379"/>
      <c r="N1090" s="1379"/>
      <c r="O1090" s="1379"/>
      <c r="P1090" s="1379"/>
      <c r="Q1090" s="1379"/>
      <c r="R1090" s="1379"/>
      <c r="S1090" s="1379"/>
      <c r="T1090" s="1379"/>
      <c r="U1090" s="1379"/>
    </row>
    <row r="1091" spans="1:21" s="1380" customFormat="1">
      <c r="A1091" s="1457"/>
      <c r="B1091" s="1379"/>
      <c r="C1091" s="1379"/>
      <c r="D1091" s="1379"/>
      <c r="E1091" s="1379"/>
      <c r="F1091" s="1379"/>
      <c r="G1091" s="1379"/>
      <c r="H1091" s="1379"/>
      <c r="I1091" s="1379"/>
      <c r="J1091" s="1379"/>
      <c r="L1091" s="1379"/>
      <c r="M1091" s="1379"/>
      <c r="N1091" s="1379"/>
      <c r="O1091" s="1379"/>
      <c r="P1091" s="1379"/>
      <c r="Q1091" s="1379"/>
      <c r="R1091" s="1379"/>
      <c r="S1091" s="1379"/>
      <c r="T1091" s="1379"/>
      <c r="U1091" s="1379"/>
    </row>
    <row r="1092" spans="1:21" s="1380" customFormat="1">
      <c r="A1092" s="1457"/>
      <c r="B1092" s="1379"/>
      <c r="C1092" s="1379"/>
      <c r="D1092" s="1379"/>
      <c r="E1092" s="1379"/>
      <c r="F1092" s="1379"/>
      <c r="G1092" s="1379"/>
      <c r="H1092" s="1379"/>
      <c r="I1092" s="1379"/>
      <c r="J1092" s="1379"/>
      <c r="L1092" s="1379"/>
      <c r="M1092" s="1379"/>
      <c r="N1092" s="1379"/>
      <c r="O1092" s="1379"/>
      <c r="P1092" s="1379"/>
      <c r="Q1092" s="1379"/>
      <c r="R1092" s="1379"/>
      <c r="S1092" s="1379"/>
      <c r="T1092" s="1379"/>
      <c r="U1092" s="1379"/>
    </row>
    <row r="1093" spans="1:21" s="1380" customFormat="1">
      <c r="A1093" s="1457"/>
      <c r="B1093" s="1379"/>
      <c r="C1093" s="1379"/>
      <c r="D1093" s="1379"/>
      <c r="E1093" s="1379"/>
      <c r="F1093" s="1379"/>
      <c r="G1093" s="1379"/>
      <c r="H1093" s="1379"/>
      <c r="I1093" s="1379"/>
      <c r="J1093" s="1379"/>
      <c r="L1093" s="1379"/>
      <c r="M1093" s="1379"/>
      <c r="N1093" s="1379"/>
      <c r="O1093" s="1379"/>
      <c r="P1093" s="1379"/>
      <c r="Q1093" s="1379"/>
      <c r="R1093" s="1379"/>
      <c r="S1093" s="1379"/>
      <c r="T1093" s="1379"/>
      <c r="U1093" s="1379"/>
    </row>
    <row r="1094" spans="1:21" s="1380" customFormat="1">
      <c r="A1094" s="1457"/>
      <c r="B1094" s="1379"/>
      <c r="C1094" s="1379"/>
      <c r="D1094" s="1379"/>
      <c r="E1094" s="1379"/>
      <c r="F1094" s="1379"/>
      <c r="G1094" s="1379"/>
      <c r="H1094" s="1379"/>
      <c r="I1094" s="1379"/>
      <c r="J1094" s="1379"/>
      <c r="L1094" s="1379"/>
      <c r="M1094" s="1379"/>
      <c r="N1094" s="1379"/>
      <c r="O1094" s="1379"/>
      <c r="P1094" s="1379"/>
      <c r="Q1094" s="1379"/>
      <c r="R1094" s="1379"/>
      <c r="S1094" s="1379"/>
      <c r="T1094" s="1379"/>
      <c r="U1094" s="1379"/>
    </row>
    <row r="1095" spans="1:21" s="1380" customFormat="1">
      <c r="A1095" s="1457"/>
      <c r="B1095" s="1379"/>
      <c r="C1095" s="1379"/>
      <c r="D1095" s="1379"/>
      <c r="E1095" s="1379"/>
      <c r="F1095" s="1379"/>
      <c r="G1095" s="1379"/>
      <c r="H1095" s="1379"/>
      <c r="I1095" s="1379"/>
      <c r="J1095" s="1379"/>
      <c r="L1095" s="1379"/>
      <c r="M1095" s="1379"/>
      <c r="N1095" s="1379"/>
      <c r="O1095" s="1379"/>
      <c r="P1095" s="1379"/>
      <c r="Q1095" s="1379"/>
      <c r="R1095" s="1379"/>
      <c r="S1095" s="1379"/>
      <c r="T1095" s="1379"/>
      <c r="U1095" s="1379"/>
    </row>
    <row r="1096" spans="1:21" s="1380" customFormat="1">
      <c r="A1096" s="1457"/>
      <c r="B1096" s="1379"/>
      <c r="C1096" s="1379"/>
      <c r="D1096" s="1379"/>
      <c r="E1096" s="1379"/>
      <c r="F1096" s="1379"/>
      <c r="G1096" s="1379"/>
      <c r="H1096" s="1379"/>
      <c r="I1096" s="1379"/>
      <c r="J1096" s="1379"/>
      <c r="L1096" s="1379"/>
      <c r="M1096" s="1379"/>
      <c r="N1096" s="1379"/>
      <c r="O1096" s="1379"/>
      <c r="P1096" s="1379"/>
      <c r="Q1096" s="1379"/>
      <c r="R1096" s="1379"/>
      <c r="S1096" s="1379"/>
      <c r="T1096" s="1379"/>
      <c r="U1096" s="1379"/>
    </row>
    <row r="1097" spans="1:21" s="1380" customFormat="1">
      <c r="A1097" s="1457"/>
      <c r="B1097" s="1379"/>
      <c r="C1097" s="1379"/>
      <c r="D1097" s="1379"/>
      <c r="E1097" s="1379"/>
      <c r="F1097" s="1379"/>
      <c r="G1097" s="1379"/>
      <c r="H1097" s="1379"/>
      <c r="I1097" s="1379"/>
      <c r="J1097" s="1379"/>
      <c r="L1097" s="1379"/>
      <c r="M1097" s="1379"/>
      <c r="N1097" s="1379"/>
      <c r="O1097" s="1379"/>
      <c r="P1097" s="1379"/>
      <c r="Q1097" s="1379"/>
      <c r="R1097" s="1379"/>
      <c r="S1097" s="1379"/>
      <c r="T1097" s="1379"/>
      <c r="U1097" s="1379"/>
    </row>
    <row r="1098" spans="1:21" s="1380" customFormat="1">
      <c r="A1098" s="1457"/>
      <c r="B1098" s="1379"/>
      <c r="C1098" s="1379"/>
      <c r="D1098" s="1379"/>
      <c r="E1098" s="1379"/>
      <c r="F1098" s="1379"/>
      <c r="G1098" s="1379"/>
      <c r="H1098" s="1379"/>
      <c r="I1098" s="1379"/>
      <c r="J1098" s="1379"/>
      <c r="L1098" s="1379"/>
      <c r="M1098" s="1379"/>
      <c r="N1098" s="1379"/>
      <c r="O1098" s="1379"/>
      <c r="P1098" s="1379"/>
      <c r="Q1098" s="1379"/>
      <c r="R1098" s="1379"/>
      <c r="S1098" s="1379"/>
      <c r="T1098" s="1379"/>
      <c r="U1098" s="1379"/>
    </row>
    <row r="1099" spans="1:21" s="1380" customFormat="1">
      <c r="A1099" s="1457"/>
      <c r="B1099" s="1379"/>
      <c r="C1099" s="1379"/>
      <c r="D1099" s="1379"/>
      <c r="E1099" s="1379"/>
      <c r="F1099" s="1379"/>
      <c r="G1099" s="1379"/>
      <c r="H1099" s="1379"/>
      <c r="I1099" s="1379"/>
      <c r="J1099" s="1379"/>
      <c r="L1099" s="1379"/>
      <c r="M1099" s="1379"/>
      <c r="N1099" s="1379"/>
      <c r="O1099" s="1379"/>
      <c r="P1099" s="1379"/>
      <c r="Q1099" s="1379"/>
      <c r="R1099" s="1379"/>
      <c r="S1099" s="1379"/>
      <c r="T1099" s="1379"/>
      <c r="U1099" s="1379"/>
    </row>
    <row r="1100" spans="1:21" s="1380" customFormat="1">
      <c r="A1100" s="1457"/>
      <c r="B1100" s="1379"/>
      <c r="C1100" s="1379"/>
      <c r="D1100" s="1379"/>
      <c r="E1100" s="1379"/>
      <c r="F1100" s="1379"/>
      <c r="G1100" s="1379"/>
      <c r="H1100" s="1379"/>
      <c r="I1100" s="1379"/>
      <c r="J1100" s="1379"/>
      <c r="L1100" s="1379"/>
      <c r="M1100" s="1379"/>
      <c r="N1100" s="1379"/>
      <c r="O1100" s="1379"/>
      <c r="P1100" s="1379"/>
      <c r="Q1100" s="1379"/>
      <c r="R1100" s="1379"/>
      <c r="S1100" s="1379"/>
      <c r="T1100" s="1379"/>
      <c r="U1100" s="1379"/>
    </row>
    <row r="1101" spans="1:21" s="1380" customFormat="1">
      <c r="A1101" s="1457"/>
      <c r="B1101" s="1379"/>
      <c r="C1101" s="1379"/>
      <c r="D1101" s="1379"/>
      <c r="E1101" s="1379"/>
      <c r="F1101" s="1379"/>
      <c r="G1101" s="1379"/>
      <c r="H1101" s="1379"/>
      <c r="I1101" s="1379"/>
      <c r="J1101" s="1379"/>
      <c r="L1101" s="1379"/>
      <c r="M1101" s="1379"/>
      <c r="N1101" s="1379"/>
      <c r="O1101" s="1379"/>
      <c r="P1101" s="1379"/>
      <c r="Q1101" s="1379"/>
      <c r="R1101" s="1379"/>
      <c r="S1101" s="1379"/>
      <c r="T1101" s="1379"/>
      <c r="U1101" s="1379"/>
    </row>
    <row r="1102" spans="1:21" s="1380" customFormat="1">
      <c r="A1102" s="1457"/>
      <c r="B1102" s="1379"/>
      <c r="C1102" s="1379"/>
      <c r="D1102" s="1379"/>
      <c r="E1102" s="1379"/>
      <c r="F1102" s="1379"/>
      <c r="G1102" s="1379"/>
      <c r="H1102" s="1379"/>
      <c r="I1102" s="1379"/>
      <c r="J1102" s="1379"/>
      <c r="L1102" s="1379"/>
      <c r="M1102" s="1379"/>
      <c r="N1102" s="1379"/>
      <c r="O1102" s="1379"/>
      <c r="P1102" s="1379"/>
      <c r="Q1102" s="1379"/>
      <c r="R1102" s="1379"/>
      <c r="S1102" s="1379"/>
      <c r="T1102" s="1379"/>
      <c r="U1102" s="1379"/>
    </row>
    <row r="1103" spans="1:21" s="1380" customFormat="1">
      <c r="A1103" s="1457"/>
      <c r="B1103" s="1379"/>
      <c r="C1103" s="1379"/>
      <c r="D1103" s="1379"/>
      <c r="E1103" s="1379"/>
      <c r="F1103" s="1379"/>
      <c r="G1103" s="1379"/>
      <c r="H1103" s="1379"/>
      <c r="I1103" s="1379"/>
      <c r="J1103" s="1379"/>
      <c r="L1103" s="1379"/>
      <c r="M1103" s="1379"/>
      <c r="N1103" s="1379"/>
      <c r="O1103" s="1379"/>
      <c r="P1103" s="1379"/>
      <c r="Q1103" s="1379"/>
      <c r="R1103" s="1379"/>
      <c r="S1103" s="1379"/>
      <c r="T1103" s="1379"/>
      <c r="U1103" s="1379"/>
    </row>
    <row r="1104" spans="1:21" s="1380" customFormat="1">
      <c r="A1104" s="1457"/>
      <c r="B1104" s="1379"/>
      <c r="C1104" s="1379"/>
      <c r="D1104" s="1379"/>
      <c r="E1104" s="1379"/>
      <c r="F1104" s="1379"/>
      <c r="G1104" s="1379"/>
      <c r="H1104" s="1379"/>
      <c r="I1104" s="1379"/>
      <c r="J1104" s="1379"/>
      <c r="L1104" s="1379"/>
      <c r="M1104" s="1379"/>
      <c r="N1104" s="1379"/>
      <c r="O1104" s="1379"/>
      <c r="P1104" s="1379"/>
      <c r="Q1104" s="1379"/>
      <c r="R1104" s="1379"/>
      <c r="S1104" s="1379"/>
      <c r="T1104" s="1379"/>
      <c r="U1104" s="1379"/>
    </row>
    <row r="1105" spans="1:21" s="1380" customFormat="1">
      <c r="A1105" s="1457"/>
      <c r="B1105" s="1379"/>
      <c r="C1105" s="1379"/>
      <c r="D1105" s="1379"/>
      <c r="E1105" s="1379"/>
      <c r="F1105" s="1379"/>
      <c r="G1105" s="1379"/>
      <c r="H1105" s="1379"/>
      <c r="I1105" s="1379"/>
      <c r="J1105" s="1379"/>
      <c r="L1105" s="1379"/>
      <c r="M1105" s="1379"/>
      <c r="N1105" s="1379"/>
      <c r="O1105" s="1379"/>
      <c r="P1105" s="1379"/>
      <c r="Q1105" s="1379"/>
      <c r="R1105" s="1379"/>
      <c r="S1105" s="1379"/>
      <c r="T1105" s="1379"/>
      <c r="U1105" s="1379"/>
    </row>
    <row r="1106" spans="1:21" s="1380" customFormat="1">
      <c r="A1106" s="1457"/>
      <c r="B1106" s="1379"/>
      <c r="C1106" s="1379"/>
      <c r="D1106" s="1379"/>
      <c r="E1106" s="1379"/>
      <c r="F1106" s="1379"/>
      <c r="G1106" s="1379"/>
      <c r="H1106" s="1379"/>
      <c r="I1106" s="1379"/>
      <c r="J1106" s="1379"/>
      <c r="L1106" s="1379"/>
      <c r="M1106" s="1379"/>
      <c r="N1106" s="1379"/>
      <c r="O1106" s="1379"/>
      <c r="P1106" s="1379"/>
      <c r="Q1106" s="1379"/>
      <c r="R1106" s="1379"/>
      <c r="S1106" s="1379"/>
      <c r="T1106" s="1379"/>
      <c r="U1106" s="1379"/>
    </row>
    <row r="1107" spans="1:21" s="1380" customFormat="1">
      <c r="A1107" s="1457"/>
      <c r="B1107" s="1379"/>
      <c r="C1107" s="1379"/>
      <c r="D1107" s="1379"/>
      <c r="E1107" s="1379"/>
      <c r="F1107" s="1379"/>
      <c r="G1107" s="1379"/>
      <c r="H1107" s="1379"/>
      <c r="I1107" s="1379"/>
      <c r="J1107" s="1379"/>
      <c r="L1107" s="1379"/>
      <c r="M1107" s="1379"/>
      <c r="N1107" s="1379"/>
      <c r="O1107" s="1379"/>
      <c r="P1107" s="1379"/>
      <c r="Q1107" s="1379"/>
      <c r="R1107" s="1379"/>
      <c r="S1107" s="1379"/>
      <c r="T1107" s="1379"/>
      <c r="U1107" s="1379"/>
    </row>
    <row r="1108" spans="1:21" s="1380" customFormat="1">
      <c r="A1108" s="1457"/>
      <c r="B1108" s="1379"/>
      <c r="C1108" s="1379"/>
      <c r="D1108" s="1379"/>
      <c r="E1108" s="1379"/>
      <c r="F1108" s="1379"/>
      <c r="G1108" s="1379"/>
      <c r="H1108" s="1379"/>
      <c r="I1108" s="1379"/>
      <c r="J1108" s="1379"/>
      <c r="L1108" s="1379"/>
      <c r="M1108" s="1379"/>
      <c r="N1108" s="1379"/>
      <c r="O1108" s="1379"/>
      <c r="P1108" s="1379"/>
      <c r="Q1108" s="1379"/>
      <c r="R1108" s="1379"/>
      <c r="S1108" s="1379"/>
      <c r="T1108" s="1379"/>
      <c r="U1108" s="1379"/>
    </row>
    <row r="1109" spans="1:21" s="1380" customFormat="1">
      <c r="A1109" s="1457"/>
      <c r="B1109" s="1379"/>
      <c r="C1109" s="1379"/>
      <c r="D1109" s="1379"/>
      <c r="E1109" s="1379"/>
      <c r="F1109" s="1379"/>
      <c r="G1109" s="1379"/>
      <c r="H1109" s="1379"/>
      <c r="I1109" s="1379"/>
      <c r="J1109" s="1379"/>
      <c r="L1109" s="1379"/>
      <c r="M1109" s="1379"/>
      <c r="N1109" s="1379"/>
      <c r="O1109" s="1379"/>
      <c r="P1109" s="1379"/>
      <c r="Q1109" s="1379"/>
      <c r="R1109" s="1379"/>
      <c r="S1109" s="1379"/>
      <c r="T1109" s="1379"/>
      <c r="U1109" s="1379"/>
    </row>
    <row r="1110" spans="1:21" s="1380" customFormat="1">
      <c r="A1110" s="1457"/>
      <c r="B1110" s="1379"/>
      <c r="C1110" s="1379"/>
      <c r="D1110" s="1379"/>
      <c r="E1110" s="1379"/>
      <c r="F1110" s="1379"/>
      <c r="G1110" s="1379"/>
      <c r="H1110" s="1379"/>
      <c r="I1110" s="1379"/>
      <c r="J1110" s="1379"/>
      <c r="L1110" s="1379"/>
      <c r="M1110" s="1379"/>
      <c r="N1110" s="1379"/>
      <c r="O1110" s="1379"/>
      <c r="P1110" s="1379"/>
      <c r="Q1110" s="1379"/>
      <c r="R1110" s="1379"/>
      <c r="S1110" s="1379"/>
      <c r="T1110" s="1379"/>
      <c r="U1110" s="1379"/>
    </row>
    <row r="1111" spans="1:21" s="1380" customFormat="1">
      <c r="A1111" s="1457"/>
      <c r="B1111" s="1379"/>
      <c r="C1111" s="1379"/>
      <c r="D1111" s="1379"/>
      <c r="E1111" s="1379"/>
      <c r="F1111" s="1379"/>
      <c r="G1111" s="1379"/>
      <c r="H1111" s="1379"/>
      <c r="I1111" s="1379"/>
      <c r="J1111" s="1379"/>
      <c r="L1111" s="1379"/>
      <c r="M1111" s="1379"/>
      <c r="N1111" s="1379"/>
      <c r="O1111" s="1379"/>
      <c r="P1111" s="1379"/>
      <c r="Q1111" s="1379"/>
      <c r="R1111" s="1379"/>
      <c r="S1111" s="1379"/>
      <c r="T1111" s="1379"/>
      <c r="U1111" s="1379"/>
    </row>
    <row r="1112" spans="1:21" s="1380" customFormat="1">
      <c r="A1112" s="1457"/>
      <c r="B1112" s="1379"/>
      <c r="C1112" s="1379"/>
      <c r="D1112" s="1379"/>
      <c r="E1112" s="1379"/>
      <c r="F1112" s="1379"/>
      <c r="G1112" s="1379"/>
      <c r="H1112" s="1379"/>
      <c r="I1112" s="1379"/>
      <c r="J1112" s="1379"/>
      <c r="L1112" s="1379"/>
      <c r="M1112" s="1379"/>
      <c r="N1112" s="1379"/>
      <c r="O1112" s="1379"/>
      <c r="P1112" s="1379"/>
      <c r="Q1112" s="1379"/>
      <c r="R1112" s="1379"/>
      <c r="S1112" s="1379"/>
      <c r="T1112" s="1379"/>
      <c r="U1112" s="1379"/>
    </row>
    <row r="1113" spans="1:21" s="1380" customFormat="1">
      <c r="A1113" s="1457"/>
      <c r="B1113" s="1379"/>
      <c r="C1113" s="1379"/>
      <c r="D1113" s="1379"/>
      <c r="E1113" s="1379"/>
      <c r="F1113" s="1379"/>
      <c r="G1113" s="1379"/>
      <c r="H1113" s="1379"/>
      <c r="I1113" s="1379"/>
      <c r="J1113" s="1379"/>
      <c r="L1113" s="1379"/>
      <c r="M1113" s="1379"/>
      <c r="N1113" s="1379"/>
      <c r="O1113" s="1379"/>
      <c r="P1113" s="1379"/>
      <c r="Q1113" s="1379"/>
      <c r="R1113" s="1379"/>
      <c r="S1113" s="1379"/>
      <c r="T1113" s="1379"/>
      <c r="U1113" s="1379"/>
    </row>
    <row r="1114" spans="1:21" s="1380" customFormat="1">
      <c r="A1114" s="1457"/>
      <c r="B1114" s="1379"/>
      <c r="C1114" s="1379"/>
      <c r="D1114" s="1379"/>
      <c r="E1114" s="1379"/>
      <c r="F1114" s="1379"/>
      <c r="G1114" s="1379"/>
      <c r="H1114" s="1379"/>
      <c r="I1114" s="1379"/>
      <c r="J1114" s="1379"/>
      <c r="L1114" s="1379"/>
      <c r="M1114" s="1379"/>
      <c r="N1114" s="1379"/>
      <c r="O1114" s="1379"/>
      <c r="P1114" s="1379"/>
      <c r="Q1114" s="1379"/>
      <c r="R1114" s="1379"/>
      <c r="S1114" s="1379"/>
      <c r="T1114" s="1379"/>
      <c r="U1114" s="1379"/>
    </row>
    <row r="1115" spans="1:21" s="1380" customFormat="1">
      <c r="A1115" s="1457"/>
      <c r="B1115" s="1379"/>
      <c r="C1115" s="1379"/>
      <c r="D1115" s="1379"/>
      <c r="E1115" s="1379"/>
      <c r="F1115" s="1379"/>
      <c r="G1115" s="1379"/>
      <c r="H1115" s="1379"/>
      <c r="I1115" s="1379"/>
      <c r="J1115" s="1379"/>
      <c r="L1115" s="1379"/>
      <c r="M1115" s="1379"/>
      <c r="N1115" s="1379"/>
      <c r="O1115" s="1379"/>
      <c r="P1115" s="1379"/>
      <c r="Q1115" s="1379"/>
      <c r="R1115" s="1379"/>
      <c r="S1115" s="1379"/>
      <c r="T1115" s="1379"/>
      <c r="U1115" s="1379"/>
    </row>
    <row r="1116" spans="1:21" s="1380" customFormat="1">
      <c r="A1116" s="1457"/>
      <c r="B1116" s="1379"/>
      <c r="C1116" s="1379"/>
      <c r="D1116" s="1379"/>
      <c r="E1116" s="1379"/>
      <c r="F1116" s="1379"/>
      <c r="G1116" s="1379"/>
      <c r="H1116" s="1379"/>
      <c r="I1116" s="1379"/>
      <c r="J1116" s="1379"/>
      <c r="L1116" s="1379"/>
      <c r="M1116" s="1379"/>
      <c r="N1116" s="1379"/>
      <c r="O1116" s="1379"/>
      <c r="P1116" s="1379"/>
      <c r="Q1116" s="1379"/>
      <c r="R1116" s="1379"/>
      <c r="S1116" s="1379"/>
      <c r="T1116" s="1379"/>
      <c r="U1116" s="1379"/>
    </row>
    <row r="1117" spans="1:21" s="1380" customFormat="1">
      <c r="A1117" s="1457"/>
      <c r="B1117" s="1379"/>
      <c r="C1117" s="1379"/>
      <c r="D1117" s="1379"/>
      <c r="E1117" s="1379"/>
      <c r="F1117" s="1379"/>
      <c r="G1117" s="1379"/>
      <c r="H1117" s="1379"/>
      <c r="I1117" s="1379"/>
      <c r="J1117" s="1379"/>
      <c r="L1117" s="1379"/>
      <c r="M1117" s="1379"/>
      <c r="N1117" s="1379"/>
      <c r="O1117" s="1379"/>
      <c r="P1117" s="1379"/>
      <c r="Q1117" s="1379"/>
      <c r="R1117" s="1379"/>
      <c r="S1117" s="1379"/>
      <c r="T1117" s="1379"/>
      <c r="U1117" s="1379"/>
    </row>
    <row r="1118" spans="1:21" s="1380" customFormat="1">
      <c r="A1118" s="1457"/>
      <c r="B1118" s="1379"/>
      <c r="C1118" s="1379"/>
      <c r="D1118" s="1379"/>
      <c r="E1118" s="1379"/>
      <c r="F1118" s="1379"/>
      <c r="G1118" s="1379"/>
      <c r="H1118" s="1379"/>
      <c r="I1118" s="1379"/>
      <c r="J1118" s="1379"/>
      <c r="L1118" s="1379"/>
      <c r="M1118" s="1379"/>
      <c r="N1118" s="1379"/>
      <c r="O1118" s="1379"/>
      <c r="P1118" s="1379"/>
      <c r="Q1118" s="1379"/>
      <c r="R1118" s="1379"/>
      <c r="S1118" s="1379"/>
      <c r="T1118" s="1379"/>
      <c r="U1118" s="1379"/>
    </row>
    <row r="1119" spans="1:21" s="1380" customFormat="1">
      <c r="A1119" s="1457"/>
      <c r="B1119" s="1379"/>
      <c r="C1119" s="1379"/>
      <c r="D1119" s="1379"/>
      <c r="E1119" s="1379"/>
      <c r="F1119" s="1379"/>
      <c r="G1119" s="1379"/>
      <c r="H1119" s="1379"/>
      <c r="I1119" s="1379"/>
      <c r="J1119" s="1379"/>
      <c r="L1119" s="1379"/>
      <c r="M1119" s="1379"/>
      <c r="N1119" s="1379"/>
      <c r="O1119" s="1379"/>
      <c r="P1119" s="1379"/>
      <c r="Q1119" s="1379"/>
      <c r="R1119" s="1379"/>
      <c r="S1119" s="1379"/>
      <c r="T1119" s="1379"/>
      <c r="U1119" s="1379"/>
    </row>
    <row r="1120" spans="1:21" s="1380" customFormat="1">
      <c r="A1120" s="1457"/>
      <c r="B1120" s="1379"/>
      <c r="C1120" s="1379"/>
      <c r="D1120" s="1379"/>
      <c r="E1120" s="1379"/>
      <c r="F1120" s="1379"/>
      <c r="G1120" s="1379"/>
      <c r="H1120" s="1379"/>
      <c r="I1120" s="1379"/>
      <c r="J1120" s="1379"/>
      <c r="L1120" s="1379"/>
      <c r="M1120" s="1379"/>
      <c r="N1120" s="1379"/>
      <c r="O1120" s="1379"/>
      <c r="P1120" s="1379"/>
      <c r="Q1120" s="1379"/>
      <c r="R1120" s="1379"/>
      <c r="S1120" s="1379"/>
      <c r="T1120" s="1379"/>
      <c r="U1120" s="1379"/>
    </row>
    <row r="1121" spans="1:21" s="1380" customFormat="1">
      <c r="A1121" s="1457"/>
      <c r="B1121" s="1379"/>
      <c r="C1121" s="1379"/>
      <c r="D1121" s="1379"/>
      <c r="E1121" s="1379"/>
      <c r="F1121" s="1379"/>
      <c r="G1121" s="1379"/>
      <c r="H1121" s="1379"/>
      <c r="I1121" s="1379"/>
      <c r="J1121" s="1379"/>
      <c r="L1121" s="1379"/>
      <c r="M1121" s="1379"/>
      <c r="N1121" s="1379"/>
      <c r="O1121" s="1379"/>
      <c r="P1121" s="1379"/>
      <c r="Q1121" s="1379"/>
      <c r="R1121" s="1379"/>
      <c r="S1121" s="1379"/>
      <c r="T1121" s="1379"/>
      <c r="U1121" s="1379"/>
    </row>
    <row r="1122" spans="1:21" s="1380" customFormat="1">
      <c r="A1122" s="1457"/>
      <c r="B1122" s="1379"/>
      <c r="C1122" s="1379"/>
      <c r="D1122" s="1379"/>
      <c r="E1122" s="1379"/>
      <c r="F1122" s="1379"/>
      <c r="G1122" s="1379"/>
      <c r="H1122" s="1379"/>
      <c r="I1122" s="1379"/>
      <c r="J1122" s="1379"/>
      <c r="L1122" s="1379"/>
      <c r="M1122" s="1379"/>
      <c r="N1122" s="1379"/>
      <c r="O1122" s="1379"/>
      <c r="P1122" s="1379"/>
      <c r="Q1122" s="1379"/>
      <c r="R1122" s="1379"/>
      <c r="S1122" s="1379"/>
      <c r="T1122" s="1379"/>
      <c r="U1122" s="1379"/>
    </row>
    <row r="1123" spans="1:21" s="1380" customFormat="1">
      <c r="A1123" s="1457"/>
      <c r="B1123" s="1379"/>
      <c r="C1123" s="1379"/>
      <c r="D1123" s="1379"/>
      <c r="E1123" s="1379"/>
      <c r="F1123" s="1379"/>
      <c r="G1123" s="1379"/>
      <c r="H1123" s="1379"/>
      <c r="I1123" s="1379"/>
      <c r="J1123" s="1379"/>
      <c r="L1123" s="1379"/>
      <c r="M1123" s="1379"/>
      <c r="N1123" s="1379"/>
      <c r="O1123" s="1379"/>
      <c r="P1123" s="1379"/>
      <c r="Q1123" s="1379"/>
      <c r="R1123" s="1379"/>
      <c r="S1123" s="1379"/>
      <c r="T1123" s="1379"/>
      <c r="U1123" s="1379"/>
    </row>
    <row r="1124" spans="1:21" s="1380" customFormat="1">
      <c r="A1124" s="1457"/>
      <c r="B1124" s="1379"/>
      <c r="C1124" s="1379"/>
      <c r="D1124" s="1379"/>
      <c r="E1124" s="1379"/>
      <c r="F1124" s="1379"/>
      <c r="G1124" s="1379"/>
      <c r="H1124" s="1379"/>
      <c r="I1124" s="1379"/>
      <c r="J1124" s="1379"/>
      <c r="L1124" s="1379"/>
      <c r="M1124" s="1379"/>
      <c r="N1124" s="1379"/>
      <c r="O1124" s="1379"/>
      <c r="P1124" s="1379"/>
      <c r="Q1124" s="1379"/>
      <c r="R1124" s="1379"/>
      <c r="S1124" s="1379"/>
      <c r="T1124" s="1379"/>
      <c r="U1124" s="1379"/>
    </row>
    <row r="1125" spans="1:21" s="1380" customFormat="1">
      <c r="A1125" s="1457"/>
      <c r="B1125" s="1379"/>
      <c r="C1125" s="1379"/>
      <c r="D1125" s="1379"/>
      <c r="E1125" s="1379"/>
      <c r="F1125" s="1379"/>
      <c r="G1125" s="1379"/>
      <c r="H1125" s="1379"/>
      <c r="I1125" s="1379"/>
      <c r="J1125" s="1379"/>
      <c r="L1125" s="1379"/>
      <c r="M1125" s="1379"/>
      <c r="N1125" s="1379"/>
      <c r="O1125" s="1379"/>
      <c r="P1125" s="1379"/>
      <c r="Q1125" s="1379"/>
      <c r="R1125" s="1379"/>
      <c r="S1125" s="1379"/>
      <c r="T1125" s="1379"/>
      <c r="U1125" s="1379"/>
    </row>
    <row r="1126" spans="1:21" s="1380" customFormat="1">
      <c r="A1126" s="1457"/>
      <c r="B1126" s="1379"/>
      <c r="C1126" s="1379"/>
      <c r="D1126" s="1379"/>
      <c r="E1126" s="1379"/>
      <c r="F1126" s="1379"/>
      <c r="G1126" s="1379"/>
      <c r="H1126" s="1379"/>
      <c r="I1126" s="1379"/>
      <c r="J1126" s="1379"/>
      <c r="L1126" s="1379"/>
      <c r="M1126" s="1379"/>
      <c r="N1126" s="1379"/>
      <c r="O1126" s="1379"/>
      <c r="P1126" s="1379"/>
      <c r="Q1126" s="1379"/>
      <c r="R1126" s="1379"/>
      <c r="S1126" s="1379"/>
      <c r="T1126" s="1379"/>
      <c r="U1126" s="1379"/>
    </row>
    <row r="1127" spans="1:21" s="1380" customFormat="1">
      <c r="A1127" s="1457"/>
      <c r="B1127" s="1379"/>
      <c r="C1127" s="1379"/>
      <c r="D1127" s="1379"/>
      <c r="E1127" s="1379"/>
      <c r="F1127" s="1379"/>
      <c r="G1127" s="1379"/>
      <c r="H1127" s="1379"/>
      <c r="I1127" s="1379"/>
      <c r="J1127" s="1379"/>
      <c r="L1127" s="1379"/>
      <c r="M1127" s="1379"/>
      <c r="N1127" s="1379"/>
      <c r="O1127" s="1379"/>
      <c r="P1127" s="1379"/>
      <c r="Q1127" s="1379"/>
      <c r="R1127" s="1379"/>
      <c r="S1127" s="1379"/>
      <c r="T1127" s="1379"/>
      <c r="U1127" s="1379"/>
    </row>
    <row r="1128" spans="1:21" s="1380" customFormat="1">
      <c r="A1128" s="1457"/>
      <c r="B1128" s="1379"/>
      <c r="C1128" s="1379"/>
      <c r="D1128" s="1379"/>
      <c r="E1128" s="1379"/>
      <c r="F1128" s="1379"/>
      <c r="G1128" s="1379"/>
      <c r="H1128" s="1379"/>
      <c r="I1128" s="1379"/>
      <c r="J1128" s="1379"/>
      <c r="L1128" s="1379"/>
      <c r="M1128" s="1379"/>
      <c r="N1128" s="1379"/>
      <c r="O1128" s="1379"/>
      <c r="P1128" s="1379"/>
      <c r="Q1128" s="1379"/>
      <c r="R1128" s="1379"/>
      <c r="S1128" s="1379"/>
      <c r="T1128" s="1379"/>
      <c r="U1128" s="1379"/>
    </row>
    <row r="1129" spans="1:21" s="1380" customFormat="1">
      <c r="A1129" s="1457"/>
      <c r="B1129" s="1379"/>
      <c r="C1129" s="1379"/>
      <c r="D1129" s="1379"/>
      <c r="E1129" s="1379"/>
      <c r="F1129" s="1379"/>
      <c r="G1129" s="1379"/>
      <c r="H1129" s="1379"/>
      <c r="I1129" s="1379"/>
      <c r="J1129" s="1379"/>
      <c r="L1129" s="1379"/>
      <c r="M1129" s="1379"/>
      <c r="N1129" s="1379"/>
      <c r="O1129" s="1379"/>
      <c r="P1129" s="1379"/>
      <c r="Q1129" s="1379"/>
      <c r="R1129" s="1379"/>
      <c r="S1129" s="1379"/>
      <c r="T1129" s="1379"/>
      <c r="U1129" s="1379"/>
    </row>
    <row r="1130" spans="1:21" s="1380" customFormat="1">
      <c r="A1130" s="1457"/>
      <c r="B1130" s="1379"/>
      <c r="C1130" s="1379"/>
      <c r="D1130" s="1379"/>
      <c r="E1130" s="1379"/>
      <c r="F1130" s="1379"/>
      <c r="G1130" s="1379"/>
      <c r="H1130" s="1379"/>
      <c r="I1130" s="1379"/>
      <c r="J1130" s="1379"/>
      <c r="L1130" s="1379"/>
      <c r="M1130" s="1379"/>
      <c r="N1130" s="1379"/>
      <c r="O1130" s="1379"/>
      <c r="P1130" s="1379"/>
      <c r="Q1130" s="1379"/>
      <c r="R1130" s="1379"/>
      <c r="S1130" s="1379"/>
      <c r="T1130" s="1379"/>
      <c r="U1130" s="1379"/>
    </row>
    <row r="1131" spans="1:21" s="1380" customFormat="1">
      <c r="A1131" s="1457"/>
      <c r="B1131" s="1379"/>
      <c r="C1131" s="1379"/>
      <c r="D1131" s="1379"/>
      <c r="E1131" s="1379"/>
      <c r="F1131" s="1379"/>
      <c r="G1131" s="1379"/>
      <c r="H1131" s="1379"/>
      <c r="I1131" s="1379"/>
      <c r="J1131" s="1379"/>
      <c r="L1131" s="1379"/>
      <c r="M1131" s="1379"/>
      <c r="N1131" s="1379"/>
      <c r="O1131" s="1379"/>
      <c r="P1131" s="1379"/>
      <c r="Q1131" s="1379"/>
      <c r="R1131" s="1379"/>
      <c r="S1131" s="1379"/>
      <c r="T1131" s="1379"/>
      <c r="U1131" s="1379"/>
    </row>
    <row r="1132" spans="1:21" s="1380" customFormat="1">
      <c r="A1132" s="1457"/>
      <c r="B1132" s="1379"/>
      <c r="C1132" s="1379"/>
      <c r="D1132" s="1379"/>
      <c r="E1132" s="1379"/>
      <c r="F1132" s="1379"/>
      <c r="G1132" s="1379"/>
      <c r="H1132" s="1379"/>
      <c r="I1132" s="1379"/>
      <c r="J1132" s="1379"/>
      <c r="L1132" s="1379"/>
      <c r="M1132" s="1379"/>
      <c r="N1132" s="1379"/>
      <c r="O1132" s="1379"/>
      <c r="P1132" s="1379"/>
      <c r="Q1132" s="1379"/>
      <c r="R1132" s="1379"/>
      <c r="S1132" s="1379"/>
      <c r="T1132" s="1379"/>
      <c r="U1132" s="1379"/>
    </row>
    <row r="1133" spans="1:21" s="1380" customFormat="1">
      <c r="A1133" s="1457"/>
      <c r="B1133" s="1379"/>
      <c r="C1133" s="1379"/>
      <c r="D1133" s="1379"/>
      <c r="E1133" s="1379"/>
      <c r="F1133" s="1379"/>
      <c r="G1133" s="1379"/>
      <c r="H1133" s="1379"/>
      <c r="I1133" s="1379"/>
      <c r="J1133" s="1379"/>
      <c r="L1133" s="1379"/>
      <c r="M1133" s="1379"/>
      <c r="N1133" s="1379"/>
      <c r="O1133" s="1379"/>
      <c r="P1133" s="1379"/>
      <c r="Q1133" s="1379"/>
      <c r="R1133" s="1379"/>
      <c r="S1133" s="1379"/>
      <c r="T1133" s="1379"/>
      <c r="U1133" s="1379"/>
    </row>
    <row r="1134" spans="1:21" s="1380" customFormat="1">
      <c r="A1134" s="1457"/>
      <c r="B1134" s="1379"/>
      <c r="C1134" s="1379"/>
      <c r="D1134" s="1379"/>
      <c r="E1134" s="1379"/>
      <c r="F1134" s="1379"/>
      <c r="G1134" s="1379"/>
      <c r="H1134" s="1379"/>
      <c r="I1134" s="1379"/>
      <c r="J1134" s="1379"/>
      <c r="L1134" s="1379"/>
      <c r="M1134" s="1379"/>
      <c r="N1134" s="1379"/>
      <c r="O1134" s="1379"/>
      <c r="P1134" s="1379"/>
      <c r="Q1134" s="1379"/>
      <c r="R1134" s="1379"/>
      <c r="S1134" s="1379"/>
      <c r="T1134" s="1379"/>
      <c r="U1134" s="1379"/>
    </row>
    <row r="1135" spans="1:21" s="1380" customFormat="1">
      <c r="A1135" s="1457"/>
      <c r="B1135" s="1379"/>
      <c r="C1135" s="1379"/>
      <c r="D1135" s="1379"/>
      <c r="E1135" s="1379"/>
      <c r="F1135" s="1379"/>
      <c r="G1135" s="1379"/>
      <c r="H1135" s="1379"/>
      <c r="I1135" s="1379"/>
      <c r="J1135" s="1379"/>
      <c r="L1135" s="1379"/>
      <c r="M1135" s="1379"/>
      <c r="N1135" s="1379"/>
      <c r="O1135" s="1379"/>
      <c r="P1135" s="1379"/>
      <c r="Q1135" s="1379"/>
      <c r="R1135" s="1379"/>
      <c r="S1135" s="1379"/>
      <c r="T1135" s="1379"/>
      <c r="U1135" s="1379"/>
    </row>
    <row r="1136" spans="1:21" s="1380" customFormat="1">
      <c r="A1136" s="1457"/>
      <c r="B1136" s="1379"/>
      <c r="C1136" s="1379"/>
      <c r="D1136" s="1379"/>
      <c r="E1136" s="1379"/>
      <c r="F1136" s="1379"/>
      <c r="G1136" s="1379"/>
      <c r="H1136" s="1379"/>
      <c r="I1136" s="1379"/>
      <c r="J1136" s="1379"/>
      <c r="L1136" s="1379"/>
      <c r="M1136" s="1379"/>
      <c r="N1136" s="1379"/>
      <c r="O1136" s="1379"/>
      <c r="P1136" s="1379"/>
      <c r="Q1136" s="1379"/>
      <c r="R1136" s="1379"/>
      <c r="S1136" s="1379"/>
      <c r="T1136" s="1379"/>
      <c r="U1136" s="1379"/>
    </row>
    <row r="1137" spans="1:21" s="1380" customFormat="1">
      <c r="A1137" s="1457"/>
      <c r="B1137" s="1379"/>
      <c r="C1137" s="1379"/>
      <c r="D1137" s="1379"/>
      <c r="E1137" s="1379"/>
      <c r="F1137" s="1379"/>
      <c r="G1137" s="1379"/>
      <c r="H1137" s="1379"/>
      <c r="I1137" s="1379"/>
      <c r="J1137" s="1379"/>
      <c r="L1137" s="1379"/>
      <c r="M1137" s="1379"/>
      <c r="N1137" s="1379"/>
      <c r="O1137" s="1379"/>
      <c r="P1137" s="1379"/>
      <c r="Q1137" s="1379"/>
      <c r="R1137" s="1379"/>
      <c r="S1137" s="1379"/>
      <c r="T1137" s="1379"/>
      <c r="U1137" s="1379"/>
    </row>
    <row r="1138" spans="1:21" s="1380" customFormat="1">
      <c r="A1138" s="1457"/>
      <c r="B1138" s="1379"/>
      <c r="C1138" s="1379"/>
      <c r="D1138" s="1379"/>
      <c r="E1138" s="1379"/>
      <c r="F1138" s="1379"/>
      <c r="G1138" s="1379"/>
      <c r="H1138" s="1379"/>
      <c r="I1138" s="1379"/>
      <c r="J1138" s="1379"/>
      <c r="L1138" s="1379"/>
      <c r="M1138" s="1379"/>
      <c r="N1138" s="1379"/>
      <c r="O1138" s="1379"/>
      <c r="P1138" s="1379"/>
      <c r="Q1138" s="1379"/>
      <c r="R1138" s="1379"/>
      <c r="S1138" s="1379"/>
      <c r="T1138" s="1379"/>
      <c r="U1138" s="1379"/>
    </row>
    <row r="1139" spans="1:21" s="1380" customFormat="1">
      <c r="A1139" s="1457"/>
      <c r="B1139" s="1379"/>
      <c r="C1139" s="1379"/>
      <c r="D1139" s="1379"/>
      <c r="E1139" s="1379"/>
      <c r="F1139" s="1379"/>
      <c r="G1139" s="1379"/>
      <c r="H1139" s="1379"/>
      <c r="I1139" s="1379"/>
      <c r="J1139" s="1379"/>
      <c r="L1139" s="1379"/>
      <c r="M1139" s="1379"/>
      <c r="N1139" s="1379"/>
      <c r="O1139" s="1379"/>
      <c r="P1139" s="1379"/>
      <c r="Q1139" s="1379"/>
      <c r="R1139" s="1379"/>
      <c r="S1139" s="1379"/>
      <c r="T1139" s="1379"/>
      <c r="U1139" s="1379"/>
    </row>
    <row r="1140" spans="1:21" s="1380" customFormat="1">
      <c r="A1140" s="1457"/>
      <c r="B1140" s="1379"/>
      <c r="C1140" s="1379"/>
      <c r="D1140" s="1379"/>
      <c r="E1140" s="1379"/>
      <c r="F1140" s="1379"/>
      <c r="G1140" s="1379"/>
      <c r="H1140" s="1379"/>
      <c r="I1140" s="1379"/>
      <c r="J1140" s="1379"/>
      <c r="L1140" s="1379"/>
      <c r="M1140" s="1379"/>
      <c r="N1140" s="1379"/>
      <c r="O1140" s="1379"/>
      <c r="P1140" s="1379"/>
      <c r="Q1140" s="1379"/>
      <c r="R1140" s="1379"/>
      <c r="S1140" s="1379"/>
      <c r="T1140" s="1379"/>
      <c r="U1140" s="1379"/>
    </row>
    <row r="1141" spans="1:21" s="1380" customFormat="1">
      <c r="A1141" s="1457"/>
      <c r="B1141" s="1379"/>
      <c r="C1141" s="1379"/>
      <c r="D1141" s="1379"/>
      <c r="E1141" s="1379"/>
      <c r="F1141" s="1379"/>
      <c r="G1141" s="1379"/>
      <c r="H1141" s="1379"/>
      <c r="I1141" s="1379"/>
      <c r="J1141" s="1379"/>
      <c r="L1141" s="1379"/>
      <c r="M1141" s="1379"/>
      <c r="N1141" s="1379"/>
      <c r="O1141" s="1379"/>
      <c r="P1141" s="1379"/>
      <c r="Q1141" s="1379"/>
      <c r="R1141" s="1379"/>
      <c r="S1141" s="1379"/>
      <c r="T1141" s="1379"/>
      <c r="U1141" s="1379"/>
    </row>
    <row r="1142" spans="1:21" s="1380" customFormat="1">
      <c r="A1142" s="1457"/>
      <c r="B1142" s="1379"/>
      <c r="C1142" s="1379"/>
      <c r="D1142" s="1379"/>
      <c r="E1142" s="1379"/>
      <c r="F1142" s="1379"/>
      <c r="G1142" s="1379"/>
      <c r="H1142" s="1379"/>
      <c r="I1142" s="1379"/>
      <c r="J1142" s="1379"/>
      <c r="L1142" s="1379"/>
      <c r="M1142" s="1379"/>
      <c r="N1142" s="1379"/>
      <c r="O1142" s="1379"/>
      <c r="P1142" s="1379"/>
      <c r="Q1142" s="1379"/>
      <c r="R1142" s="1379"/>
      <c r="S1142" s="1379"/>
      <c r="T1142" s="1379"/>
      <c r="U1142" s="1379"/>
    </row>
    <row r="1143" spans="1:21" s="1380" customFormat="1">
      <c r="A1143" s="1457"/>
      <c r="B1143" s="1379"/>
      <c r="C1143" s="1379"/>
      <c r="D1143" s="1379"/>
      <c r="E1143" s="1379"/>
      <c r="F1143" s="1379"/>
      <c r="G1143" s="1379"/>
      <c r="H1143" s="1379"/>
      <c r="I1143" s="1379"/>
      <c r="J1143" s="1379"/>
      <c r="L1143" s="1379"/>
      <c r="M1143" s="1379"/>
      <c r="N1143" s="1379"/>
      <c r="O1143" s="1379"/>
      <c r="P1143" s="1379"/>
      <c r="Q1143" s="1379"/>
      <c r="R1143" s="1379"/>
      <c r="S1143" s="1379"/>
      <c r="T1143" s="1379"/>
      <c r="U1143" s="1379"/>
    </row>
    <row r="1144" spans="1:21" s="1380" customFormat="1">
      <c r="A1144" s="1457"/>
      <c r="B1144" s="1379"/>
      <c r="C1144" s="1379"/>
      <c r="D1144" s="1379"/>
      <c r="E1144" s="1379"/>
      <c r="F1144" s="1379"/>
      <c r="G1144" s="1379"/>
      <c r="H1144" s="1379"/>
      <c r="I1144" s="1379"/>
      <c r="J1144" s="1379"/>
      <c r="L1144" s="1379"/>
      <c r="M1144" s="1379"/>
      <c r="N1144" s="1379"/>
      <c r="O1144" s="1379"/>
      <c r="P1144" s="1379"/>
      <c r="Q1144" s="1379"/>
      <c r="R1144" s="1379"/>
      <c r="S1144" s="1379"/>
      <c r="T1144" s="1379"/>
      <c r="U1144" s="1379"/>
    </row>
    <row r="1145" spans="1:21" s="1380" customFormat="1">
      <c r="A1145" s="1457"/>
      <c r="B1145" s="1379"/>
      <c r="C1145" s="1379"/>
      <c r="D1145" s="1379"/>
      <c r="E1145" s="1379"/>
      <c r="F1145" s="1379"/>
      <c r="G1145" s="1379"/>
      <c r="H1145" s="1379"/>
      <c r="I1145" s="1379"/>
      <c r="J1145" s="1379"/>
      <c r="L1145" s="1379"/>
      <c r="M1145" s="1379"/>
      <c r="N1145" s="1379"/>
      <c r="O1145" s="1379"/>
      <c r="P1145" s="1379"/>
      <c r="Q1145" s="1379"/>
      <c r="R1145" s="1379"/>
      <c r="S1145" s="1379"/>
      <c r="T1145" s="1379"/>
      <c r="U1145" s="1379"/>
    </row>
    <row r="1146" spans="1:21" s="1380" customFormat="1">
      <c r="A1146" s="1457"/>
      <c r="B1146" s="1379"/>
      <c r="C1146" s="1379"/>
      <c r="D1146" s="1379"/>
      <c r="E1146" s="1379"/>
      <c r="F1146" s="1379"/>
      <c r="G1146" s="1379"/>
      <c r="H1146" s="1379"/>
      <c r="I1146" s="1379"/>
      <c r="J1146" s="1379"/>
      <c r="L1146" s="1379"/>
      <c r="M1146" s="1379"/>
      <c r="N1146" s="1379"/>
      <c r="O1146" s="1379"/>
      <c r="P1146" s="1379"/>
      <c r="Q1146" s="1379"/>
      <c r="R1146" s="1379"/>
      <c r="S1146" s="1379"/>
      <c r="T1146" s="1379"/>
      <c r="U1146" s="1379"/>
    </row>
    <row r="1147" spans="1:21" s="1380" customFormat="1">
      <c r="A1147" s="1457"/>
      <c r="B1147" s="1379"/>
      <c r="C1147" s="1379"/>
      <c r="D1147" s="1379"/>
      <c r="E1147" s="1379"/>
      <c r="F1147" s="1379"/>
      <c r="G1147" s="1379"/>
      <c r="H1147" s="1379"/>
      <c r="I1147" s="1379"/>
      <c r="J1147" s="1379"/>
      <c r="L1147" s="1379"/>
      <c r="M1147" s="1379"/>
      <c r="N1147" s="1379"/>
      <c r="O1147" s="1379"/>
      <c r="P1147" s="1379"/>
      <c r="Q1147" s="1379"/>
      <c r="R1147" s="1379"/>
      <c r="S1147" s="1379"/>
      <c r="T1147" s="1379"/>
      <c r="U1147" s="1379"/>
    </row>
    <row r="1148" spans="1:21" s="1380" customFormat="1">
      <c r="A1148" s="1457"/>
      <c r="B1148" s="1379"/>
      <c r="C1148" s="1379"/>
      <c r="D1148" s="1379"/>
      <c r="E1148" s="1379"/>
      <c r="F1148" s="1379"/>
      <c r="G1148" s="1379"/>
      <c r="H1148" s="1379"/>
      <c r="I1148" s="1379"/>
      <c r="J1148" s="1379"/>
      <c r="L1148" s="1379"/>
      <c r="M1148" s="1379"/>
      <c r="N1148" s="1379"/>
      <c r="O1148" s="1379"/>
      <c r="P1148" s="1379"/>
      <c r="Q1148" s="1379"/>
      <c r="R1148" s="1379"/>
      <c r="S1148" s="1379"/>
      <c r="T1148" s="1379"/>
      <c r="U1148" s="1379"/>
    </row>
    <row r="1149" spans="1:21" s="1380" customFormat="1">
      <c r="A1149" s="1457"/>
      <c r="B1149" s="1379"/>
      <c r="C1149" s="1379"/>
      <c r="D1149" s="1379"/>
      <c r="E1149" s="1379"/>
      <c r="F1149" s="1379"/>
      <c r="G1149" s="1379"/>
      <c r="H1149" s="1379"/>
      <c r="I1149" s="1379"/>
      <c r="J1149" s="1379"/>
      <c r="L1149" s="1379"/>
      <c r="M1149" s="1379"/>
      <c r="N1149" s="1379"/>
      <c r="O1149" s="1379"/>
      <c r="P1149" s="1379"/>
      <c r="Q1149" s="1379"/>
      <c r="R1149" s="1379"/>
      <c r="S1149" s="1379"/>
      <c r="T1149" s="1379"/>
      <c r="U1149" s="1379"/>
    </row>
    <row r="1150" spans="1:21" s="1380" customFormat="1">
      <c r="A1150" s="1457"/>
      <c r="B1150" s="1379"/>
      <c r="C1150" s="1379"/>
      <c r="D1150" s="1379"/>
      <c r="E1150" s="1379"/>
      <c r="F1150" s="1379"/>
      <c r="G1150" s="1379"/>
      <c r="H1150" s="1379"/>
      <c r="I1150" s="1379"/>
      <c r="J1150" s="1379"/>
      <c r="L1150" s="1379"/>
      <c r="M1150" s="1379"/>
      <c r="N1150" s="1379"/>
      <c r="O1150" s="1379"/>
      <c r="P1150" s="1379"/>
      <c r="Q1150" s="1379"/>
      <c r="R1150" s="1379"/>
      <c r="S1150" s="1379"/>
      <c r="T1150" s="1379"/>
      <c r="U1150" s="1379"/>
    </row>
    <row r="1151" spans="1:21" s="1380" customFormat="1">
      <c r="A1151" s="1457"/>
      <c r="B1151" s="1379"/>
      <c r="C1151" s="1379"/>
      <c r="D1151" s="1379"/>
      <c r="E1151" s="1379"/>
      <c r="F1151" s="1379"/>
      <c r="G1151" s="1379"/>
      <c r="H1151" s="1379"/>
      <c r="I1151" s="1379"/>
      <c r="J1151" s="1379"/>
      <c r="L1151" s="1379"/>
      <c r="M1151" s="1379"/>
      <c r="N1151" s="1379"/>
      <c r="O1151" s="1379"/>
      <c r="P1151" s="1379"/>
      <c r="Q1151" s="1379"/>
      <c r="R1151" s="1379"/>
      <c r="S1151" s="1379"/>
      <c r="T1151" s="1379"/>
      <c r="U1151" s="1379"/>
    </row>
    <row r="1152" spans="1:21" s="1380" customFormat="1">
      <c r="A1152" s="1457"/>
      <c r="B1152" s="1379"/>
      <c r="C1152" s="1379"/>
      <c r="D1152" s="1379"/>
      <c r="E1152" s="1379"/>
      <c r="F1152" s="1379"/>
      <c r="G1152" s="1379"/>
      <c r="H1152" s="1379"/>
      <c r="I1152" s="1379"/>
      <c r="J1152" s="1379"/>
      <c r="L1152" s="1379"/>
      <c r="M1152" s="1379"/>
      <c r="N1152" s="1379"/>
      <c r="O1152" s="1379"/>
      <c r="P1152" s="1379"/>
      <c r="Q1152" s="1379"/>
      <c r="R1152" s="1379"/>
      <c r="S1152" s="1379"/>
      <c r="T1152" s="1379"/>
      <c r="U1152" s="1379"/>
    </row>
    <row r="1153" spans="1:21" s="1380" customFormat="1">
      <c r="A1153" s="1457"/>
      <c r="B1153" s="1379"/>
      <c r="C1153" s="1379"/>
      <c r="D1153" s="1379"/>
      <c r="E1153" s="1379"/>
      <c r="F1153" s="1379"/>
      <c r="G1153" s="1379"/>
      <c r="H1153" s="1379"/>
      <c r="I1153" s="1379"/>
      <c r="J1153" s="1379"/>
      <c r="L1153" s="1379"/>
      <c r="M1153" s="1379"/>
      <c r="N1153" s="1379"/>
      <c r="O1153" s="1379"/>
      <c r="P1153" s="1379"/>
      <c r="Q1153" s="1379"/>
      <c r="R1153" s="1379"/>
      <c r="S1153" s="1379"/>
      <c r="T1153" s="1379"/>
      <c r="U1153" s="1379"/>
    </row>
    <row r="1154" spans="1:21" s="1380" customFormat="1">
      <c r="A1154" s="1457"/>
      <c r="B1154" s="1379"/>
      <c r="C1154" s="1379"/>
      <c r="D1154" s="1379"/>
      <c r="E1154" s="1379"/>
      <c r="F1154" s="1379"/>
      <c r="G1154" s="1379"/>
      <c r="H1154" s="1379"/>
      <c r="I1154" s="1379"/>
      <c r="J1154" s="1379"/>
      <c r="L1154" s="1379"/>
      <c r="M1154" s="1379"/>
      <c r="N1154" s="1379"/>
      <c r="O1154" s="1379"/>
      <c r="P1154" s="1379"/>
      <c r="Q1154" s="1379"/>
      <c r="R1154" s="1379"/>
      <c r="S1154" s="1379"/>
      <c r="T1154" s="1379"/>
      <c r="U1154" s="1379"/>
    </row>
    <row r="1155" spans="1:21" s="1380" customFormat="1">
      <c r="A1155" s="1457"/>
      <c r="B1155" s="1379"/>
      <c r="C1155" s="1379"/>
      <c r="D1155" s="1379"/>
      <c r="E1155" s="1379"/>
      <c r="F1155" s="1379"/>
      <c r="G1155" s="1379"/>
      <c r="H1155" s="1379"/>
      <c r="I1155" s="1379"/>
      <c r="J1155" s="1379"/>
      <c r="L1155" s="1379"/>
      <c r="M1155" s="1379"/>
      <c r="N1155" s="1379"/>
      <c r="O1155" s="1379"/>
      <c r="P1155" s="1379"/>
      <c r="Q1155" s="1379"/>
      <c r="R1155" s="1379"/>
      <c r="S1155" s="1379"/>
      <c r="T1155" s="1379"/>
      <c r="U1155" s="1379"/>
    </row>
    <row r="1156" spans="1:21" s="1380" customFormat="1">
      <c r="A1156" s="1457"/>
      <c r="B1156" s="1379"/>
      <c r="C1156" s="1379"/>
      <c r="D1156" s="1379"/>
      <c r="E1156" s="1379"/>
      <c r="F1156" s="1379"/>
      <c r="G1156" s="1379"/>
      <c r="H1156" s="1379"/>
      <c r="I1156" s="1379"/>
      <c r="J1156" s="1379"/>
      <c r="L1156" s="1379"/>
      <c r="M1156" s="1379"/>
      <c r="N1156" s="1379"/>
      <c r="O1156" s="1379"/>
      <c r="P1156" s="1379"/>
      <c r="Q1156" s="1379"/>
      <c r="R1156" s="1379"/>
      <c r="S1156" s="1379"/>
      <c r="T1156" s="1379"/>
      <c r="U1156" s="1379"/>
    </row>
    <row r="1157" spans="1:21" s="1380" customFormat="1">
      <c r="A1157" s="1457"/>
      <c r="B1157" s="1379"/>
      <c r="C1157" s="1379"/>
      <c r="D1157" s="1379"/>
      <c r="E1157" s="1379"/>
      <c r="F1157" s="1379"/>
      <c r="G1157" s="1379"/>
      <c r="H1157" s="1379"/>
      <c r="I1157" s="1379"/>
      <c r="J1157" s="1379"/>
      <c r="L1157" s="1379"/>
      <c r="M1157" s="1379"/>
      <c r="N1157" s="1379"/>
      <c r="O1157" s="1379"/>
      <c r="P1157" s="1379"/>
      <c r="Q1157" s="1379"/>
      <c r="R1157" s="1379"/>
      <c r="S1157" s="1379"/>
      <c r="T1157" s="1379"/>
      <c r="U1157" s="1379"/>
    </row>
    <row r="1158" spans="1:21" s="1380" customFormat="1">
      <c r="A1158" s="1457"/>
      <c r="B1158" s="1379"/>
      <c r="C1158" s="1379"/>
      <c r="D1158" s="1379"/>
      <c r="E1158" s="1379"/>
      <c r="F1158" s="1379"/>
      <c r="G1158" s="1379"/>
      <c r="H1158" s="1379"/>
      <c r="I1158" s="1379"/>
      <c r="J1158" s="1379"/>
      <c r="L1158" s="1379"/>
      <c r="M1158" s="1379"/>
      <c r="N1158" s="1379"/>
      <c r="O1158" s="1379"/>
      <c r="P1158" s="1379"/>
      <c r="Q1158" s="1379"/>
      <c r="R1158" s="1379"/>
      <c r="S1158" s="1379"/>
      <c r="T1158" s="1379"/>
      <c r="U1158" s="1379"/>
    </row>
    <row r="1159" spans="1:21" s="1380" customFormat="1">
      <c r="A1159" s="1457"/>
      <c r="B1159" s="1379"/>
      <c r="C1159" s="1379"/>
      <c r="D1159" s="1379"/>
      <c r="E1159" s="1379"/>
      <c r="F1159" s="1379"/>
      <c r="G1159" s="1379"/>
      <c r="H1159" s="1379"/>
      <c r="I1159" s="1379"/>
      <c r="J1159" s="1379"/>
      <c r="L1159" s="1379"/>
      <c r="M1159" s="1379"/>
      <c r="N1159" s="1379"/>
      <c r="O1159" s="1379"/>
      <c r="P1159" s="1379"/>
      <c r="Q1159" s="1379"/>
      <c r="R1159" s="1379"/>
      <c r="S1159" s="1379"/>
      <c r="T1159" s="1379"/>
      <c r="U1159" s="1379"/>
    </row>
    <row r="1160" spans="1:21" s="1380" customFormat="1">
      <c r="A1160" s="1457"/>
      <c r="B1160" s="1379"/>
      <c r="C1160" s="1379"/>
      <c r="D1160" s="1379"/>
      <c r="E1160" s="1379"/>
      <c r="F1160" s="1379"/>
      <c r="G1160" s="1379"/>
      <c r="H1160" s="1379"/>
      <c r="I1160" s="1379"/>
      <c r="J1160" s="1379"/>
      <c r="L1160" s="1379"/>
      <c r="M1160" s="1379"/>
      <c r="N1160" s="1379"/>
      <c r="O1160" s="1379"/>
      <c r="P1160" s="1379"/>
      <c r="Q1160" s="1379"/>
      <c r="R1160" s="1379"/>
      <c r="S1160" s="1379"/>
      <c r="T1160" s="1379"/>
      <c r="U1160" s="1379"/>
    </row>
    <row r="1161" spans="1:21" s="1380" customFormat="1">
      <c r="A1161" s="1457"/>
      <c r="B1161" s="1379"/>
      <c r="C1161" s="1379"/>
      <c r="D1161" s="1379"/>
      <c r="E1161" s="1379"/>
      <c r="F1161" s="1379"/>
      <c r="G1161" s="1379"/>
      <c r="H1161" s="1379"/>
      <c r="I1161" s="1379"/>
      <c r="J1161" s="1379"/>
      <c r="L1161" s="1379"/>
      <c r="M1161" s="1379"/>
      <c r="N1161" s="1379"/>
      <c r="O1161" s="1379"/>
      <c r="P1161" s="1379"/>
      <c r="Q1161" s="1379"/>
      <c r="R1161" s="1379"/>
      <c r="S1161" s="1379"/>
      <c r="T1161" s="1379"/>
      <c r="U1161" s="1379"/>
    </row>
    <row r="1162" spans="1:21" s="1380" customFormat="1">
      <c r="A1162" s="1457"/>
      <c r="B1162" s="1379"/>
      <c r="C1162" s="1379"/>
      <c r="D1162" s="1379"/>
      <c r="E1162" s="1379"/>
      <c r="F1162" s="1379"/>
      <c r="G1162" s="1379"/>
      <c r="H1162" s="1379"/>
      <c r="I1162" s="1379"/>
      <c r="J1162" s="1379"/>
      <c r="L1162" s="1379"/>
      <c r="M1162" s="1379"/>
      <c r="N1162" s="1379"/>
      <c r="O1162" s="1379"/>
      <c r="P1162" s="1379"/>
      <c r="Q1162" s="1379"/>
      <c r="R1162" s="1379"/>
      <c r="S1162" s="1379"/>
      <c r="T1162" s="1379"/>
      <c r="U1162" s="1379"/>
    </row>
    <row r="1163" spans="1:21" s="1380" customFormat="1">
      <c r="A1163" s="1457"/>
      <c r="B1163" s="1379"/>
      <c r="C1163" s="1379"/>
      <c r="D1163" s="1379"/>
      <c r="E1163" s="1379"/>
      <c r="F1163" s="1379"/>
      <c r="G1163" s="1379"/>
      <c r="H1163" s="1379"/>
      <c r="I1163" s="1379"/>
      <c r="J1163" s="1379"/>
      <c r="L1163" s="1379"/>
      <c r="M1163" s="1379"/>
      <c r="N1163" s="1379"/>
      <c r="O1163" s="1379"/>
      <c r="P1163" s="1379"/>
      <c r="Q1163" s="1379"/>
      <c r="R1163" s="1379"/>
      <c r="S1163" s="1379"/>
      <c r="T1163" s="1379"/>
      <c r="U1163" s="1379"/>
    </row>
    <row r="1164" spans="1:21" s="1380" customFormat="1">
      <c r="A1164" s="1457"/>
      <c r="B1164" s="1379"/>
      <c r="C1164" s="1379"/>
      <c r="D1164" s="1379"/>
      <c r="E1164" s="1379"/>
      <c r="F1164" s="1379"/>
      <c r="G1164" s="1379"/>
      <c r="H1164" s="1379"/>
      <c r="I1164" s="1379"/>
      <c r="J1164" s="1379"/>
      <c r="L1164" s="1379"/>
      <c r="M1164" s="1379"/>
      <c r="N1164" s="1379"/>
      <c r="O1164" s="1379"/>
      <c r="P1164" s="1379"/>
      <c r="Q1164" s="1379"/>
      <c r="R1164" s="1379"/>
      <c r="S1164" s="1379"/>
      <c r="T1164" s="1379"/>
      <c r="U1164" s="1379"/>
    </row>
    <row r="1165" spans="1:21" s="1380" customFormat="1">
      <c r="A1165" s="1457"/>
      <c r="B1165" s="1379"/>
      <c r="C1165" s="1379"/>
      <c r="D1165" s="1379"/>
      <c r="E1165" s="1379"/>
      <c r="F1165" s="1379"/>
      <c r="G1165" s="1379"/>
      <c r="H1165" s="1379"/>
      <c r="I1165" s="1379"/>
      <c r="J1165" s="1379"/>
      <c r="L1165" s="1379"/>
      <c r="M1165" s="1379"/>
      <c r="N1165" s="1379"/>
      <c r="O1165" s="1379"/>
      <c r="P1165" s="1379"/>
      <c r="Q1165" s="1379"/>
      <c r="R1165" s="1379"/>
      <c r="S1165" s="1379"/>
      <c r="T1165" s="1379"/>
      <c r="U1165" s="1379"/>
    </row>
    <row r="1166" spans="1:21" s="1380" customFormat="1">
      <c r="A1166" s="1457"/>
      <c r="B1166" s="1379"/>
      <c r="C1166" s="1379"/>
      <c r="D1166" s="1379"/>
      <c r="E1166" s="1379"/>
      <c r="F1166" s="1379"/>
      <c r="G1166" s="1379"/>
      <c r="H1166" s="1379"/>
      <c r="I1166" s="1379"/>
      <c r="J1166" s="1379"/>
      <c r="L1166" s="1379"/>
      <c r="M1166" s="1379"/>
      <c r="N1166" s="1379"/>
      <c r="O1166" s="1379"/>
      <c r="P1166" s="1379"/>
      <c r="Q1166" s="1379"/>
      <c r="R1166" s="1379"/>
      <c r="S1166" s="1379"/>
      <c r="T1166" s="1379"/>
      <c r="U1166" s="1379"/>
    </row>
    <row r="1167" spans="1:21" s="1380" customFormat="1">
      <c r="A1167" s="1457"/>
      <c r="B1167" s="1379"/>
      <c r="C1167" s="1379"/>
      <c r="D1167" s="1379"/>
      <c r="E1167" s="1379"/>
      <c r="F1167" s="1379"/>
      <c r="G1167" s="1379"/>
      <c r="H1167" s="1379"/>
      <c r="I1167" s="1379"/>
      <c r="J1167" s="1379"/>
      <c r="L1167" s="1379"/>
      <c r="M1167" s="1379"/>
      <c r="N1167" s="1379"/>
      <c r="O1167" s="1379"/>
      <c r="P1167" s="1379"/>
      <c r="Q1167" s="1379"/>
      <c r="R1167" s="1379"/>
      <c r="S1167" s="1379"/>
      <c r="T1167" s="1379"/>
      <c r="U1167" s="1379"/>
    </row>
    <row r="1168" spans="1:21" s="1380" customFormat="1">
      <c r="A1168" s="1457"/>
      <c r="B1168" s="1379"/>
      <c r="C1168" s="1379"/>
      <c r="D1168" s="1379"/>
      <c r="E1168" s="1379"/>
      <c r="F1168" s="1379"/>
      <c r="G1168" s="1379"/>
      <c r="H1168" s="1379"/>
      <c r="I1168" s="1379"/>
      <c r="J1168" s="1379"/>
      <c r="L1168" s="1379"/>
      <c r="M1168" s="1379"/>
      <c r="N1168" s="1379"/>
      <c r="O1168" s="1379"/>
      <c r="P1168" s="1379"/>
      <c r="Q1168" s="1379"/>
      <c r="R1168" s="1379"/>
      <c r="S1168" s="1379"/>
      <c r="T1168" s="1379"/>
      <c r="U1168" s="1379"/>
    </row>
    <row r="1169" spans="1:21" s="1380" customFormat="1">
      <c r="A1169" s="1457"/>
      <c r="B1169" s="1379"/>
      <c r="C1169" s="1379"/>
      <c r="D1169" s="1379"/>
      <c r="E1169" s="1379"/>
      <c r="F1169" s="1379"/>
      <c r="G1169" s="1379"/>
      <c r="H1169" s="1379"/>
      <c r="I1169" s="1379"/>
      <c r="J1169" s="1379"/>
      <c r="L1169" s="1379"/>
      <c r="M1169" s="1379"/>
      <c r="N1169" s="1379"/>
      <c r="O1169" s="1379"/>
      <c r="P1169" s="1379"/>
      <c r="Q1169" s="1379"/>
      <c r="R1169" s="1379"/>
      <c r="S1169" s="1379"/>
      <c r="T1169" s="1379"/>
      <c r="U1169" s="1379"/>
    </row>
  </sheetData>
  <mergeCells count="52">
    <mergeCell ref="A1:K1"/>
    <mergeCell ref="A3:K3"/>
    <mergeCell ref="A4:K4"/>
    <mergeCell ref="A5:A6"/>
    <mergeCell ref="B5:B6"/>
    <mergeCell ref="C5:E6"/>
    <mergeCell ref="F5:H5"/>
    <mergeCell ref="I5:I6"/>
    <mergeCell ref="J5:J6"/>
    <mergeCell ref="K5:K6"/>
    <mergeCell ref="B121:I121"/>
    <mergeCell ref="C7:E7"/>
    <mergeCell ref="B8:I8"/>
    <mergeCell ref="B20:I20"/>
    <mergeCell ref="B41:I41"/>
    <mergeCell ref="B57:F57"/>
    <mergeCell ref="B58:I58"/>
    <mergeCell ref="B59:G59"/>
    <mergeCell ref="B93:F93"/>
    <mergeCell ref="B99:F99"/>
    <mergeCell ref="B100:F100"/>
    <mergeCell ref="B122:F122"/>
    <mergeCell ref="B132:I132"/>
    <mergeCell ref="B147:I147"/>
    <mergeCell ref="B157:I157"/>
    <mergeCell ref="B196:I196"/>
    <mergeCell ref="B127:I127"/>
    <mergeCell ref="B138:I138"/>
    <mergeCell ref="B208:I208"/>
    <mergeCell ref="B212:I212"/>
    <mergeCell ref="B215:I215"/>
    <mergeCell ref="B232:I232"/>
    <mergeCell ref="B272:I272"/>
    <mergeCell ref="B248:I248"/>
    <mergeCell ref="B290:I290"/>
    <mergeCell ref="B308:I308"/>
    <mergeCell ref="B313:I313"/>
    <mergeCell ref="B320:I320"/>
    <mergeCell ref="B327:I327"/>
    <mergeCell ref="B324:I324"/>
    <mergeCell ref="B298:I298"/>
    <mergeCell ref="B331:I331"/>
    <mergeCell ref="B337:I337"/>
    <mergeCell ref="B334:I334"/>
    <mergeCell ref="B343:I343"/>
    <mergeCell ref="B424:G424"/>
    <mergeCell ref="B408:I408"/>
    <mergeCell ref="B353:I353"/>
    <mergeCell ref="B358:I358"/>
    <mergeCell ref="B382:I382"/>
    <mergeCell ref="B400:I400"/>
    <mergeCell ref="F332:H332"/>
  </mergeCells>
  <printOptions horizontalCentered="1"/>
  <pageMargins left="0.51181102362204722" right="0.51181102362204722" top="0.74803149606299213" bottom="0.51181102362204722" header="0.51181102362204722" footer="0.51181102362204722"/>
  <pageSetup paperSize="9" scale="90" pageOrder="overThenDown" orientation="portrait" verticalDpi="300" r:id="rId1"/>
  <headerFooter alignWithMargins="0">
    <oddFooter>&amp;R&amp;Pof&amp;N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V63"/>
  <sheetViews>
    <sheetView topLeftCell="A2" zoomScale="142" zoomScaleNormal="142" workbookViewId="0">
      <selection activeCell="B11" sqref="B11:F11"/>
    </sheetView>
  </sheetViews>
  <sheetFormatPr defaultColWidth="10.109375" defaultRowHeight="13.8"/>
  <cols>
    <col min="1" max="1" width="5.88671875" style="1139" customWidth="1"/>
    <col min="2" max="2" width="30.6640625" style="1139" customWidth="1"/>
    <col min="3" max="3" width="24.44140625" style="1152" customWidth="1"/>
    <col min="4" max="4" width="27.88671875" style="1139" customWidth="1"/>
    <col min="5" max="5" width="19.5546875" style="1152" customWidth="1"/>
    <col min="6" max="6" width="15.5546875" style="1152" customWidth="1"/>
    <col min="7" max="7" width="4.88671875" style="1139" customWidth="1"/>
    <col min="8" max="256" width="10.109375" style="1139"/>
  </cols>
  <sheetData>
    <row r="1" spans="1:13" ht="30.75" customHeight="1">
      <c r="A1" s="1155" t="s">
        <v>986</v>
      </c>
      <c r="B1" s="1137"/>
      <c r="C1" s="1137"/>
      <c r="D1" s="1137"/>
      <c r="E1" s="1137"/>
      <c r="F1" s="1137"/>
      <c r="G1" s="1138"/>
    </row>
    <row r="2" spans="1:13" ht="27" customHeight="1">
      <c r="B2" s="1140" t="s">
        <v>2485</v>
      </c>
      <c r="C2" s="1140"/>
      <c r="D2" s="1140"/>
      <c r="E2" s="1140"/>
      <c r="F2" s="1140"/>
      <c r="G2" s="1141"/>
    </row>
    <row r="3" spans="1:13" s="1142" customFormat="1" ht="14.1">
      <c r="A3" s="1156"/>
      <c r="B3" s="1157"/>
      <c r="E3" s="1153" t="s">
        <v>497</v>
      </c>
      <c r="F3" s="1158">
        <v>2200000</v>
      </c>
      <c r="G3" s="1139"/>
    </row>
    <row r="4" spans="1:13" s="1142" customFormat="1" ht="74.25" customHeight="1">
      <c r="B4" s="2395" t="s">
        <v>2367</v>
      </c>
      <c r="C4" s="2395"/>
      <c r="D4" s="2395"/>
      <c r="E4" s="2395"/>
      <c r="F4" s="2395"/>
    </row>
    <row r="5" spans="1:13" s="1142" customFormat="1">
      <c r="B5" s="1159" t="s">
        <v>2200</v>
      </c>
      <c r="C5" s="1159" t="s">
        <v>2201</v>
      </c>
      <c r="D5" s="1159" t="s">
        <v>2202</v>
      </c>
      <c r="E5" s="2395" t="s">
        <v>2203</v>
      </c>
      <c r="F5" s="2395"/>
    </row>
    <row r="6" spans="1:13" s="1142" customFormat="1">
      <c r="B6" s="1159" t="s">
        <v>2207</v>
      </c>
      <c r="C6" s="1159" t="s">
        <v>2204</v>
      </c>
      <c r="D6" s="1159" t="s">
        <v>221</v>
      </c>
      <c r="E6" s="2395" t="s">
        <v>2205</v>
      </c>
      <c r="F6" s="2395"/>
    </row>
    <row r="7" spans="1:13" s="1142" customFormat="1">
      <c r="B7" s="1159" t="s">
        <v>2309</v>
      </c>
      <c r="C7" s="1159" t="s">
        <v>2310</v>
      </c>
      <c r="D7" s="1159" t="s">
        <v>2206</v>
      </c>
      <c r="E7" s="1160" t="s">
        <v>2205</v>
      </c>
      <c r="F7" s="1159"/>
    </row>
    <row r="8" spans="1:13" s="1142" customFormat="1">
      <c r="B8" s="1159"/>
      <c r="C8" s="1159"/>
      <c r="D8" s="1159"/>
      <c r="E8" s="1160"/>
      <c r="F8" s="1159"/>
    </row>
    <row r="9" spans="1:13" s="1142" customFormat="1" ht="26.25" customHeight="1">
      <c r="B9" s="1188" t="s">
        <v>2368</v>
      </c>
      <c r="C9" s="1188" t="s">
        <v>2391</v>
      </c>
      <c r="D9" s="1189" t="s">
        <v>2370</v>
      </c>
      <c r="E9" s="2463" t="s">
        <v>2392</v>
      </c>
      <c r="F9" s="2463"/>
    </row>
    <row r="10" spans="1:13" s="1142" customFormat="1" ht="14.1">
      <c r="B10" s="1157"/>
      <c r="C10" s="1157"/>
      <c r="D10" s="1159"/>
      <c r="E10" s="1159"/>
      <c r="F10" s="1159"/>
    </row>
    <row r="11" spans="1:13" s="1142" customFormat="1" ht="65.25" customHeight="1">
      <c r="A11" s="1143"/>
      <c r="B11" s="2395" t="s">
        <v>2483</v>
      </c>
      <c r="C11" s="2395"/>
      <c r="D11" s="2395"/>
      <c r="E11" s="2395"/>
      <c r="F11" s="2395"/>
      <c r="H11" s="2399"/>
      <c r="I11" s="2399"/>
      <c r="J11" s="2399"/>
      <c r="K11" s="2399"/>
      <c r="L11" s="2399"/>
      <c r="M11" s="2399"/>
    </row>
    <row r="12" spans="1:13" s="1142" customFormat="1" ht="14.1">
      <c r="A12" s="1143"/>
      <c r="B12" s="1161"/>
      <c r="C12" s="1162"/>
      <c r="D12" s="1161"/>
      <c r="E12" s="1161"/>
      <c r="F12" s="1161"/>
      <c r="H12" s="1187"/>
      <c r="I12" s="1187"/>
      <c r="J12" s="1187"/>
      <c r="K12" s="1187"/>
      <c r="L12" s="1187"/>
      <c r="M12" s="1187"/>
    </row>
    <row r="13" spans="1:13" s="1146" customFormat="1" ht="67.5" customHeight="1">
      <c r="A13" s="1144">
        <v>1</v>
      </c>
      <c r="B13" s="2395" t="s">
        <v>2057</v>
      </c>
      <c r="C13" s="2395"/>
      <c r="D13" s="2395"/>
      <c r="E13" s="2395"/>
      <c r="F13" s="2395"/>
      <c r="G13" s="1145"/>
    </row>
    <row r="14" spans="1:13" s="1146" customFormat="1" ht="87" customHeight="1">
      <c r="A14" s="1144">
        <f>A13+1</f>
        <v>2</v>
      </c>
      <c r="B14" s="2398" t="s">
        <v>2371</v>
      </c>
      <c r="C14" s="2398"/>
      <c r="D14" s="2398"/>
      <c r="E14" s="2398"/>
      <c r="F14" s="2398"/>
      <c r="G14" s="1144"/>
    </row>
    <row r="15" spans="1:13" s="1146" customFormat="1" ht="77.25" customHeight="1">
      <c r="A15" s="1144">
        <f t="shared" ref="A15:A42" si="0">A14+1</f>
        <v>3</v>
      </c>
      <c r="B15" s="2398" t="s">
        <v>2312</v>
      </c>
      <c r="C15" s="2398"/>
      <c r="D15" s="2398"/>
      <c r="E15" s="2398"/>
      <c r="F15" s="2398"/>
      <c r="G15" s="1144"/>
    </row>
    <row r="16" spans="1:13" s="1146" customFormat="1" ht="60.75" customHeight="1">
      <c r="A16" s="1144">
        <f t="shared" si="0"/>
        <v>4</v>
      </c>
      <c r="B16" s="2398" t="s">
        <v>2313</v>
      </c>
      <c r="C16" s="2398"/>
      <c r="D16" s="2398"/>
      <c r="E16" s="2398"/>
      <c r="F16" s="2398"/>
      <c r="G16" s="1145"/>
    </row>
    <row r="17" spans="1:7" s="1055" customFormat="1" ht="72.75" customHeight="1">
      <c r="A17" s="1144">
        <f t="shared" si="0"/>
        <v>5</v>
      </c>
      <c r="B17" s="2396" t="s">
        <v>2314</v>
      </c>
      <c r="C17" s="2397"/>
      <c r="D17" s="2397"/>
      <c r="E17" s="2397"/>
      <c r="F17" s="2397"/>
      <c r="G17" s="1145"/>
    </row>
    <row r="18" spans="1:7" s="1055" customFormat="1" ht="108.75" customHeight="1">
      <c r="A18" s="1144">
        <f t="shared" si="0"/>
        <v>6</v>
      </c>
      <c r="B18" s="2396" t="s">
        <v>2484</v>
      </c>
      <c r="C18" s="2397"/>
      <c r="D18" s="2397"/>
      <c r="E18" s="2397"/>
      <c r="F18" s="2397"/>
      <c r="G18" s="1145"/>
    </row>
    <row r="19" spans="1:7" s="1055" customFormat="1" ht="96.75" customHeight="1">
      <c r="A19" s="1144">
        <v>7</v>
      </c>
      <c r="B19" s="2396" t="s">
        <v>2426</v>
      </c>
      <c r="C19" s="2397"/>
      <c r="D19" s="2397"/>
      <c r="E19" s="2397"/>
      <c r="F19" s="2397"/>
    </row>
    <row r="20" spans="1:7" s="1055" customFormat="1" ht="69" customHeight="1">
      <c r="A20" s="1144">
        <v>8</v>
      </c>
      <c r="B20" s="2396" t="s">
        <v>2316</v>
      </c>
      <c r="C20" s="2397"/>
      <c r="D20" s="2397"/>
      <c r="E20" s="2397"/>
      <c r="F20" s="2397"/>
      <c r="G20" s="1145"/>
    </row>
    <row r="21" spans="1:7" s="1055" customFormat="1" ht="65.25" customHeight="1">
      <c r="A21" s="1144">
        <f t="shared" si="0"/>
        <v>9</v>
      </c>
      <c r="B21" s="2395" t="s">
        <v>2317</v>
      </c>
      <c r="C21" s="2395"/>
      <c r="D21" s="2395"/>
      <c r="E21" s="2395"/>
      <c r="F21" s="2395"/>
      <c r="G21" s="1145"/>
    </row>
    <row r="22" spans="1:7" s="1055" customFormat="1" ht="97.5" customHeight="1">
      <c r="A22" s="1144">
        <f t="shared" si="0"/>
        <v>10</v>
      </c>
      <c r="B22" s="2395" t="s">
        <v>144</v>
      </c>
      <c r="C22" s="2395"/>
      <c r="D22" s="2395"/>
      <c r="E22" s="2395"/>
      <c r="F22" s="2395"/>
      <c r="G22" s="1147"/>
    </row>
    <row r="23" spans="1:7" s="1055" customFormat="1" ht="97.5" customHeight="1">
      <c r="A23" s="1144">
        <v>11</v>
      </c>
      <c r="B23" s="2395" t="s">
        <v>2427</v>
      </c>
      <c r="C23" s="2395"/>
      <c r="D23" s="2395"/>
      <c r="E23" s="2395"/>
      <c r="F23" s="2395"/>
      <c r="G23" s="1147"/>
    </row>
    <row r="24" spans="1:7" s="1055" customFormat="1" ht="86.25" customHeight="1">
      <c r="A24" s="1144">
        <v>12</v>
      </c>
      <c r="B24" s="2395" t="s">
        <v>2428</v>
      </c>
      <c r="C24" s="2395"/>
      <c r="D24" s="2395"/>
      <c r="E24" s="2395"/>
      <c r="F24" s="2395"/>
      <c r="G24" s="1147"/>
    </row>
    <row r="25" spans="1:7" s="1055" customFormat="1" ht="76.5" customHeight="1">
      <c r="A25" s="1144">
        <f t="shared" si="0"/>
        <v>13</v>
      </c>
      <c r="B25" s="2398" t="s">
        <v>2429</v>
      </c>
      <c r="C25" s="2398"/>
      <c r="D25" s="2398"/>
      <c r="E25" s="2398"/>
      <c r="F25" s="2398"/>
      <c r="G25" s="1147"/>
    </row>
    <row r="26" spans="1:7" s="1055" customFormat="1">
      <c r="A26" s="1144"/>
      <c r="B26" s="2398"/>
      <c r="C26" s="2398"/>
      <c r="D26" s="2398"/>
      <c r="E26" s="2398"/>
      <c r="F26" s="2398"/>
      <c r="G26" s="1147"/>
    </row>
    <row r="27" spans="1:7" s="1055" customFormat="1" ht="93" customHeight="1">
      <c r="A27" s="1144">
        <v>14</v>
      </c>
      <c r="B27" s="2398" t="s">
        <v>2482</v>
      </c>
      <c r="C27" s="2398"/>
      <c r="D27" s="2398"/>
      <c r="E27" s="2398"/>
      <c r="F27" s="2398"/>
      <c r="G27" s="1147"/>
    </row>
    <row r="28" spans="1:7" s="1055" customFormat="1" ht="38.25" customHeight="1">
      <c r="A28" s="1144">
        <v>14</v>
      </c>
      <c r="B28" s="2398" t="s">
        <v>2430</v>
      </c>
      <c r="C28" s="2398"/>
      <c r="D28" s="2398"/>
      <c r="E28" s="2398"/>
      <c r="F28" s="2398"/>
      <c r="G28" s="1147"/>
    </row>
    <row r="29" spans="1:7" s="1055" customFormat="1" ht="62.25" customHeight="1">
      <c r="A29" s="1144">
        <f>A27+1</f>
        <v>15</v>
      </c>
      <c r="B29" s="2398" t="s">
        <v>2431</v>
      </c>
      <c r="C29" s="2398"/>
      <c r="D29" s="2398"/>
      <c r="E29" s="2398"/>
      <c r="F29" s="2398"/>
      <c r="G29" s="1147"/>
    </row>
    <row r="30" spans="1:7" s="1055" customFormat="1" ht="76.5" customHeight="1">
      <c r="A30" s="1144">
        <f t="shared" si="0"/>
        <v>16</v>
      </c>
      <c r="B30" s="2398" t="s">
        <v>2432</v>
      </c>
      <c r="C30" s="2398"/>
      <c r="D30" s="2398"/>
      <c r="E30" s="2398"/>
      <c r="F30" s="2398"/>
      <c r="G30" s="1147"/>
    </row>
    <row r="31" spans="1:7" s="1055" customFormat="1" ht="76.5" customHeight="1">
      <c r="A31" s="1144">
        <f t="shared" si="0"/>
        <v>17</v>
      </c>
      <c r="B31" s="2398" t="s">
        <v>2197</v>
      </c>
      <c r="C31" s="2398"/>
      <c r="D31" s="2398"/>
      <c r="E31" s="2398"/>
      <c r="F31" s="2398"/>
      <c r="G31" s="1147"/>
    </row>
    <row r="32" spans="1:7" s="1055" customFormat="1" ht="94.5" customHeight="1">
      <c r="A32" s="1144">
        <f t="shared" si="0"/>
        <v>18</v>
      </c>
      <c r="B32" s="2395" t="s">
        <v>2433</v>
      </c>
      <c r="C32" s="2395"/>
      <c r="D32" s="2395"/>
      <c r="E32" s="2395"/>
      <c r="F32" s="2395"/>
      <c r="G32" s="1147"/>
    </row>
    <row r="33" spans="1:7" s="1055" customFormat="1" ht="39.75" customHeight="1">
      <c r="A33" s="1144">
        <f t="shared" si="0"/>
        <v>19</v>
      </c>
      <c r="B33" s="1163" t="s">
        <v>2249</v>
      </c>
      <c r="C33" s="1163" t="s">
        <v>2230</v>
      </c>
      <c r="D33" s="1163" t="s">
        <v>2248</v>
      </c>
      <c r="E33" s="1159"/>
      <c r="F33" s="1159"/>
      <c r="G33" s="1147"/>
    </row>
    <row r="34" spans="1:7" s="1055" customFormat="1" ht="153.75" customHeight="1">
      <c r="A34" s="1144">
        <f t="shared" si="0"/>
        <v>20</v>
      </c>
      <c r="B34" s="2395" t="s">
        <v>2246</v>
      </c>
      <c r="C34" s="2395"/>
      <c r="D34" s="2395"/>
      <c r="E34" s="2395"/>
      <c r="F34" s="2395"/>
      <c r="G34" s="1147"/>
    </row>
    <row r="35" spans="1:7" s="1055" customFormat="1" ht="21" customHeight="1">
      <c r="A35" s="1144">
        <f t="shared" si="0"/>
        <v>21</v>
      </c>
      <c r="B35" s="1163" t="s">
        <v>2250</v>
      </c>
      <c r="C35" s="1159"/>
      <c r="D35" s="1159"/>
      <c r="E35" s="1159"/>
      <c r="F35" s="1159"/>
      <c r="G35" s="1147"/>
    </row>
    <row r="36" spans="1:7" ht="23.25" customHeight="1">
      <c r="A36" s="1144">
        <f t="shared" si="0"/>
        <v>22</v>
      </c>
      <c r="B36" s="2400" t="s">
        <v>434</v>
      </c>
      <c r="C36" s="2400"/>
      <c r="D36" s="2400"/>
      <c r="E36" s="2400"/>
      <c r="F36" s="2400"/>
    </row>
    <row r="37" spans="1:7" s="1055" customFormat="1" ht="114.9" customHeight="1">
      <c r="A37" s="1144">
        <f t="shared" si="0"/>
        <v>23</v>
      </c>
      <c r="B37" s="2400" t="s">
        <v>2346</v>
      </c>
      <c r="C37" s="2400"/>
      <c r="D37" s="2400"/>
      <c r="E37" s="2400"/>
      <c r="F37" s="2400"/>
      <c r="G37" s="1147"/>
    </row>
    <row r="38" spans="1:7" ht="95.25" customHeight="1">
      <c r="A38" s="1144">
        <f t="shared" si="0"/>
        <v>24</v>
      </c>
      <c r="B38" s="2400" t="s">
        <v>2198</v>
      </c>
      <c r="C38" s="2400"/>
      <c r="D38" s="2400"/>
      <c r="E38" s="2400"/>
      <c r="F38" s="2400"/>
    </row>
    <row r="39" spans="1:7" ht="101.25" customHeight="1">
      <c r="A39" s="1144">
        <f t="shared" si="0"/>
        <v>25</v>
      </c>
      <c r="B39" s="2400" t="s">
        <v>1340</v>
      </c>
      <c r="C39" s="2400"/>
      <c r="D39" s="2400"/>
      <c r="E39" s="2400"/>
      <c r="F39" s="2400"/>
    </row>
    <row r="40" spans="1:7" s="1055" customFormat="1" ht="67.5" customHeight="1">
      <c r="A40" s="1144">
        <f t="shared" si="0"/>
        <v>26</v>
      </c>
      <c r="B40" s="2400" t="s">
        <v>2180</v>
      </c>
      <c r="C40" s="2400"/>
      <c r="D40" s="2400"/>
      <c r="E40" s="2400"/>
      <c r="F40" s="2400"/>
      <c r="G40" s="1145"/>
    </row>
    <row r="41" spans="1:7" s="1055" customFormat="1" ht="28.5" customHeight="1">
      <c r="A41" s="1144">
        <f t="shared" si="0"/>
        <v>27</v>
      </c>
      <c r="B41" s="2400" t="s">
        <v>2254</v>
      </c>
      <c r="C41" s="2400"/>
      <c r="D41" s="2400"/>
      <c r="E41" s="2400"/>
      <c r="F41" s="2400"/>
      <c r="G41" s="1145"/>
    </row>
    <row r="42" spans="1:7" s="1055" customFormat="1">
      <c r="A42" s="1144">
        <f t="shared" si="0"/>
        <v>28</v>
      </c>
      <c r="B42" s="2400" t="s">
        <v>2255</v>
      </c>
      <c r="C42" s="2400"/>
      <c r="D42" s="2400"/>
      <c r="E42" s="2400"/>
      <c r="F42" s="2400"/>
      <c r="G42" s="1145"/>
    </row>
    <row r="43" spans="1:7" s="1055" customFormat="1" ht="18.75" customHeight="1">
      <c r="A43" s="1144"/>
      <c r="B43" s="2400"/>
      <c r="C43" s="2400"/>
      <c r="D43" s="2400"/>
      <c r="E43" s="2400"/>
      <c r="F43" s="2400"/>
      <c r="G43" s="1145"/>
    </row>
    <row r="44" spans="1:7" s="1055" customFormat="1" ht="39" customHeight="1">
      <c r="A44" s="1148"/>
      <c r="B44" s="2401" t="s">
        <v>2199</v>
      </c>
      <c r="C44" s="2401"/>
      <c r="D44" s="2401"/>
      <c r="E44" s="2401"/>
      <c r="F44" s="2401"/>
      <c r="G44" s="1145"/>
    </row>
    <row r="45" spans="1:7" s="1055" customFormat="1">
      <c r="A45" s="1142"/>
      <c r="B45" s="1142"/>
      <c r="C45" s="1142"/>
      <c r="D45" s="1142"/>
      <c r="E45" s="1142"/>
      <c r="F45" s="1142"/>
      <c r="G45" s="1145"/>
    </row>
    <row r="46" spans="1:7" s="1055" customFormat="1">
      <c r="A46" s="1142"/>
      <c r="B46" s="1142"/>
      <c r="C46" s="1142"/>
      <c r="D46" s="1142"/>
      <c r="E46" s="1142"/>
      <c r="F46" s="1142"/>
      <c r="G46" s="1145"/>
    </row>
    <row r="47" spans="1:7">
      <c r="A47" s="1142"/>
      <c r="B47" s="1142"/>
      <c r="C47" s="1142"/>
      <c r="D47" s="1142"/>
      <c r="E47" s="1142"/>
      <c r="F47" s="1142"/>
    </row>
    <row r="48" spans="1:7" s="1151" customFormat="1" ht="15" customHeight="1">
      <c r="A48" s="1149"/>
      <c r="B48" s="1150"/>
      <c r="D48" s="1150"/>
      <c r="E48" s="1150"/>
      <c r="F48" s="1150"/>
    </row>
    <row r="49" spans="1:10" s="1142" customFormat="1" ht="14.1">
      <c r="A49" s="1149"/>
      <c r="B49" s="1150"/>
      <c r="D49" s="1150"/>
      <c r="E49" s="1150"/>
      <c r="F49" s="1150"/>
    </row>
    <row r="50" spans="1:10" s="1142" customFormat="1" ht="14.1">
      <c r="A50" s="1149"/>
      <c r="B50" s="1149"/>
      <c r="C50" s="1150"/>
      <c r="D50" s="1149"/>
      <c r="E50" s="1150"/>
      <c r="F50" s="1150"/>
    </row>
    <row r="51" spans="1:10" s="1142" customFormat="1">
      <c r="A51" s="1139"/>
      <c r="B51" s="1139"/>
      <c r="C51" s="1152"/>
      <c r="D51" s="1139"/>
      <c r="E51" s="1152"/>
      <c r="F51" s="1152"/>
    </row>
    <row r="52" spans="1:10" s="1149" customFormat="1" ht="14.1">
      <c r="A52" s="1139"/>
      <c r="B52" s="1139"/>
      <c r="C52" s="1152"/>
      <c r="D52" s="1139"/>
      <c r="E52" s="1152"/>
      <c r="F52" s="1152"/>
      <c r="G52" s="1150"/>
      <c r="H52" s="1150"/>
      <c r="I52" s="1150"/>
      <c r="J52" s="1150"/>
    </row>
    <row r="53" spans="1:10" s="1149" customFormat="1" ht="14.1">
      <c r="A53" s="1139"/>
      <c r="B53" s="1139"/>
      <c r="C53" s="1152"/>
      <c r="D53" s="1139"/>
      <c r="E53" s="1152"/>
      <c r="F53" s="1152"/>
      <c r="G53" s="1150"/>
      <c r="H53" s="1150"/>
      <c r="I53" s="1150"/>
      <c r="J53" s="1150"/>
    </row>
    <row r="54" spans="1:10" s="1149" customFormat="1" ht="14.1">
      <c r="A54" s="1139"/>
      <c r="B54" s="1139"/>
      <c r="C54" s="1152"/>
      <c r="D54" s="1139"/>
      <c r="E54" s="1152"/>
      <c r="F54" s="1152"/>
      <c r="G54" s="1153"/>
    </row>
    <row r="57" spans="1:10">
      <c r="A57" s="1154"/>
      <c r="B57" s="2400"/>
      <c r="C57" s="2400"/>
      <c r="D57" s="2400"/>
      <c r="E57" s="2400"/>
      <c r="F57" s="2400"/>
    </row>
    <row r="58" spans="1:10">
      <c r="A58" s="1154"/>
      <c r="B58" s="2400"/>
      <c r="C58" s="2400"/>
      <c r="D58" s="2400"/>
      <c r="E58" s="2400"/>
      <c r="F58" s="2400"/>
    </row>
    <row r="59" spans="1:10">
      <c r="A59" s="1154"/>
      <c r="B59" s="2400"/>
      <c r="C59" s="2400"/>
      <c r="D59" s="2400"/>
      <c r="E59" s="2400"/>
      <c r="F59" s="2400"/>
    </row>
    <row r="61" spans="1:10" s="1055" customFormat="1" ht="30.75" customHeight="1">
      <c r="A61" s="1139"/>
      <c r="B61" s="1139"/>
      <c r="C61" s="1152"/>
      <c r="D61" s="1139"/>
      <c r="E61" s="1152"/>
      <c r="F61" s="1152"/>
      <c r="G61" s="1145"/>
    </row>
    <row r="62" spans="1:10" s="1055" customFormat="1" ht="61.5" customHeight="1">
      <c r="A62" s="1139"/>
      <c r="B62" s="1139"/>
      <c r="C62" s="1152"/>
      <c r="D62" s="1139"/>
      <c r="E62" s="1152"/>
      <c r="F62" s="1152"/>
      <c r="G62" s="1145"/>
    </row>
    <row r="63" spans="1:10" s="1055" customFormat="1" ht="30.75" customHeight="1">
      <c r="A63" s="1139"/>
      <c r="B63" s="1139"/>
      <c r="C63" s="1152"/>
      <c r="D63" s="1139"/>
      <c r="E63" s="1152"/>
      <c r="F63" s="1152"/>
      <c r="G63" s="1145"/>
    </row>
  </sheetData>
  <mergeCells count="39">
    <mergeCell ref="B59:F59"/>
    <mergeCell ref="B30:F30"/>
    <mergeCell ref="B28:F28"/>
    <mergeCell ref="E6:F6"/>
    <mergeCell ref="B18:F18"/>
    <mergeCell ref="B24:F24"/>
    <mergeCell ref="B25:F25"/>
    <mergeCell ref="B26:F26"/>
    <mergeCell ref="E9:F9"/>
    <mergeCell ref="B15:F15"/>
    <mergeCell ref="B58:F58"/>
    <mergeCell ref="B41:F41"/>
    <mergeCell ref="B42:F42"/>
    <mergeCell ref="B43:F43"/>
    <mergeCell ref="B44:F44"/>
    <mergeCell ref="B57:F57"/>
    <mergeCell ref="H11:M11"/>
    <mergeCell ref="B32:F32"/>
    <mergeCell ref="E5:F5"/>
    <mergeCell ref="B40:F40"/>
    <mergeCell ref="B21:F21"/>
    <mergeCell ref="B31:F31"/>
    <mergeCell ref="B37:F37"/>
    <mergeCell ref="B38:F38"/>
    <mergeCell ref="B34:F34"/>
    <mergeCell ref="B36:F36"/>
    <mergeCell ref="B29:F29"/>
    <mergeCell ref="B39:F39"/>
    <mergeCell ref="B4:F4"/>
    <mergeCell ref="B27:F27"/>
    <mergeCell ref="B13:F13"/>
    <mergeCell ref="B11:F11"/>
    <mergeCell ref="B20:F20"/>
    <mergeCell ref="B23:F23"/>
    <mergeCell ref="B22:F22"/>
    <mergeCell ref="B16:F16"/>
    <mergeCell ref="B17:F17"/>
    <mergeCell ref="B19:F19"/>
    <mergeCell ref="B14:F14"/>
  </mergeCells>
  <printOptions horizontalCentered="1"/>
  <pageMargins left="0.5" right="0.25" top="0.75" bottom="0.4" header="0.5" footer="0.5"/>
  <pageSetup paperSize="9" scale="75"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50"/>
  </sheetPr>
  <dimension ref="A1:IV493"/>
  <sheetViews>
    <sheetView topLeftCell="A486" zoomScale="130" zoomScaleNormal="130" zoomScaleSheetLayoutView="150" workbookViewId="0">
      <selection activeCell="J344" sqref="A1:IV65536"/>
    </sheetView>
  </sheetViews>
  <sheetFormatPr defaultRowHeight="13.8"/>
  <cols>
    <col min="1" max="1" width="6.5546875" style="1134" customWidth="1"/>
    <col min="2" max="2" width="37.6640625" style="1069" customWidth="1"/>
    <col min="3" max="3" width="3.109375" style="1135" customWidth="1"/>
    <col min="4" max="4" width="2.5546875" style="1069" customWidth="1"/>
    <col min="5" max="5" width="3" style="1135" customWidth="1"/>
    <col min="6" max="6" width="7.44140625" style="1136" customWidth="1"/>
    <col min="7" max="7" width="7.33203125" style="1136" customWidth="1"/>
    <col min="8" max="8" width="11.109375" style="1087" customWidth="1"/>
    <col min="9" max="9" width="10.109375" style="1087" customWidth="1"/>
    <col min="10" max="10" width="11.44140625" style="1087" customWidth="1"/>
    <col min="11" max="11" width="19.33203125" style="1087" customWidth="1"/>
    <col min="12" max="12" width="11.109375" style="1087" hidden="1" customWidth="1"/>
    <col min="13" max="13" width="9.6640625" style="1087" hidden="1" customWidth="1"/>
    <col min="14" max="14" width="14.88671875" style="1069" customWidth="1"/>
    <col min="15" max="15" width="17.88671875" style="1069" bestFit="1" customWidth="1"/>
    <col min="16" max="16" width="12.5546875" style="1069" bestFit="1" customWidth="1"/>
    <col min="17" max="17" width="9.5546875" style="1069" bestFit="1" customWidth="1"/>
    <col min="18" max="256" width="9.109375" style="1069"/>
  </cols>
  <sheetData>
    <row r="1" spans="1:13" ht="14.1">
      <c r="A1" s="2435" t="s">
        <v>2243</v>
      </c>
      <c r="B1" s="2436"/>
      <c r="C1" s="2436"/>
      <c r="D1" s="2436"/>
      <c r="E1" s="2436"/>
      <c r="F1" s="2436"/>
      <c r="G1" s="2436"/>
      <c r="H1" s="2436"/>
      <c r="I1" s="2436"/>
      <c r="J1" s="2436"/>
      <c r="K1" s="2436"/>
      <c r="L1" s="1028"/>
      <c r="M1" s="1028"/>
    </row>
    <row r="2" spans="1:13" ht="25.5" customHeight="1">
      <c r="A2" s="2449" t="str">
        <f>'Lead- Input sheet '!A2</f>
        <v xml:space="preserve"> Construction of  Anganwadi Building at Jeedipally Thanda (V) of Kalwakurthy (M) of Nagarkurnool District </v>
      </c>
      <c r="B2" s="2450"/>
      <c r="C2" s="2450"/>
      <c r="D2" s="2450"/>
      <c r="E2" s="2450"/>
      <c r="F2" s="2450"/>
      <c r="G2" s="2450"/>
      <c r="H2" s="2450"/>
      <c r="I2" s="2450"/>
      <c r="J2" s="2450"/>
      <c r="K2" s="2451"/>
      <c r="L2" s="1035"/>
      <c r="M2" s="1035"/>
    </row>
    <row r="3" spans="1:13" ht="14.1">
      <c r="A3" s="2437" t="s">
        <v>1200</v>
      </c>
      <c r="B3" s="2437" t="s">
        <v>1201</v>
      </c>
      <c r="C3" s="2453" t="s">
        <v>527</v>
      </c>
      <c r="D3" s="2454"/>
      <c r="E3" s="2455"/>
      <c r="F3" s="2439" t="s">
        <v>1202</v>
      </c>
      <c r="G3" s="2440"/>
      <c r="H3" s="2441"/>
      <c r="I3" s="2459" t="s">
        <v>786</v>
      </c>
      <c r="J3" s="2459" t="s">
        <v>1203</v>
      </c>
      <c r="K3" s="2461" t="s">
        <v>1115</v>
      </c>
      <c r="L3" s="2452" t="s">
        <v>1204</v>
      </c>
      <c r="M3" s="2452" t="s">
        <v>1205</v>
      </c>
    </row>
    <row r="4" spans="1:13" ht="14.1">
      <c r="A4" s="2438"/>
      <c r="B4" s="2438"/>
      <c r="C4" s="2456"/>
      <c r="D4" s="2457"/>
      <c r="E4" s="2458"/>
      <c r="F4" s="1036" t="s">
        <v>1417</v>
      </c>
      <c r="G4" s="1036" t="s">
        <v>859</v>
      </c>
      <c r="H4" s="1036" t="s">
        <v>785</v>
      </c>
      <c r="I4" s="2460"/>
      <c r="J4" s="2460"/>
      <c r="K4" s="2462"/>
      <c r="L4" s="2452"/>
      <c r="M4" s="2452"/>
    </row>
    <row r="5" spans="1:13" s="1070" customFormat="1" ht="15" customHeight="1">
      <c r="A5" s="1037">
        <v>1</v>
      </c>
      <c r="B5" s="1037">
        <f>A5+1</f>
        <v>2</v>
      </c>
      <c r="C5" s="2442">
        <f>B5+1</f>
        <v>3</v>
      </c>
      <c r="D5" s="2443"/>
      <c r="E5" s="2444"/>
      <c r="F5" s="1038">
        <f>C5+1</f>
        <v>4</v>
      </c>
      <c r="G5" s="1038">
        <f>F5+1</f>
        <v>5</v>
      </c>
      <c r="H5" s="1038">
        <f t="shared" ref="H5:M5" si="0">G5+1</f>
        <v>6</v>
      </c>
      <c r="I5" s="1038">
        <f t="shared" si="0"/>
        <v>7</v>
      </c>
      <c r="J5" s="1038">
        <f t="shared" si="0"/>
        <v>8</v>
      </c>
      <c r="K5" s="1038">
        <v>9</v>
      </c>
      <c r="L5" s="1038">
        <f t="shared" si="0"/>
        <v>10</v>
      </c>
      <c r="M5" s="1038">
        <f t="shared" si="0"/>
        <v>11</v>
      </c>
    </row>
    <row r="6" spans="1:13" ht="75.75" customHeight="1">
      <c r="A6" s="1039">
        <v>1</v>
      </c>
      <c r="B6" s="2445" t="s">
        <v>2042</v>
      </c>
      <c r="C6" s="2446"/>
      <c r="D6" s="2446"/>
      <c r="E6" s="2446"/>
      <c r="F6" s="2446"/>
      <c r="G6" s="2446"/>
      <c r="H6" s="2446"/>
      <c r="I6" s="2447"/>
      <c r="J6" s="1040"/>
      <c r="K6" s="1040"/>
      <c r="L6" s="1040"/>
      <c r="M6" s="1040"/>
    </row>
    <row r="7" spans="1:13" ht="14.1">
      <c r="A7" s="1041"/>
      <c r="B7" s="1042" t="s">
        <v>2061</v>
      </c>
      <c r="C7" s="1043"/>
      <c r="D7" s="1043"/>
      <c r="E7" s="1043"/>
      <c r="F7" s="1044"/>
      <c r="G7" s="1044"/>
      <c r="H7" s="1044"/>
      <c r="I7" s="1044"/>
      <c r="J7" s="1045"/>
      <c r="K7" s="1045"/>
      <c r="L7" s="1045"/>
      <c r="M7" s="1045"/>
    </row>
    <row r="8" spans="1:13" ht="14.1">
      <c r="A8" s="1046"/>
      <c r="B8" s="1173" t="s">
        <v>2004</v>
      </c>
      <c r="C8" s="1048">
        <v>2</v>
      </c>
      <c r="D8" s="1048" t="s">
        <v>1472</v>
      </c>
      <c r="E8" s="1048">
        <v>6</v>
      </c>
      <c r="F8" s="1049">
        <v>2</v>
      </c>
      <c r="G8" s="1049">
        <v>2</v>
      </c>
      <c r="H8" s="1049">
        <v>1.65</v>
      </c>
      <c r="I8" s="1049">
        <f t="shared" ref="I8:I20" si="1">ROUND(C8*E8*F8*G8*H8,2)</f>
        <v>79.2</v>
      </c>
      <c r="J8" s="1049"/>
      <c r="K8" s="1049"/>
      <c r="L8" s="1049"/>
      <c r="M8" s="1049"/>
    </row>
    <row r="9" spans="1:13" ht="24.6">
      <c r="A9" s="1046"/>
      <c r="B9" s="1174" t="s">
        <v>2373</v>
      </c>
      <c r="C9" s="1048">
        <v>1</v>
      </c>
      <c r="D9" s="1048" t="s">
        <v>1472</v>
      </c>
      <c r="E9" s="1048">
        <v>2</v>
      </c>
      <c r="F9" s="1049">
        <v>18.3</v>
      </c>
      <c r="G9" s="1049">
        <v>0.6</v>
      </c>
      <c r="H9" s="1049">
        <v>0.6</v>
      </c>
      <c r="I9" s="1049">
        <f t="shared" si="1"/>
        <v>13.18</v>
      </c>
      <c r="J9" s="1049"/>
      <c r="K9" s="1049"/>
      <c r="L9" s="1049"/>
      <c r="M9" s="1049"/>
    </row>
    <row r="10" spans="1:13" ht="24.6">
      <c r="A10" s="1046"/>
      <c r="B10" s="1174" t="s">
        <v>2377</v>
      </c>
      <c r="C10" s="1048">
        <v>1</v>
      </c>
      <c r="D10" s="1048" t="s">
        <v>1472</v>
      </c>
      <c r="E10" s="1048">
        <v>3</v>
      </c>
      <c r="F10" s="1049">
        <f>(30.75)*0.3048</f>
        <v>9.3726000000000003</v>
      </c>
      <c r="G10" s="1049">
        <v>0.6</v>
      </c>
      <c r="H10" s="1049">
        <v>0.6</v>
      </c>
      <c r="I10" s="1049">
        <f t="shared" si="1"/>
        <v>10.119999999999999</v>
      </c>
      <c r="J10" s="1049"/>
      <c r="K10" s="1049"/>
      <c r="L10" s="1049"/>
      <c r="M10" s="1049"/>
    </row>
    <row r="11" spans="1:13" ht="14.1">
      <c r="A11" s="1046"/>
      <c r="B11" s="1174" t="s">
        <v>2378</v>
      </c>
      <c r="C11" s="1048">
        <v>1</v>
      </c>
      <c r="D11" s="1048" t="s">
        <v>1472</v>
      </c>
      <c r="E11" s="1048">
        <v>1</v>
      </c>
      <c r="F11" s="1049">
        <v>3.85</v>
      </c>
      <c r="G11" s="1049">
        <v>0.6</v>
      </c>
      <c r="H11" s="1049">
        <v>0.6</v>
      </c>
      <c r="I11" s="1049">
        <f t="shared" si="1"/>
        <v>1.39</v>
      </c>
      <c r="J11" s="1049"/>
      <c r="K11" s="1049"/>
      <c r="L11" s="1049"/>
      <c r="M11" s="1049"/>
    </row>
    <row r="12" spans="1:13" ht="14.1">
      <c r="A12" s="1046"/>
      <c r="B12" s="1174" t="s">
        <v>2093</v>
      </c>
      <c r="C12" s="1048">
        <v>1</v>
      </c>
      <c r="D12" s="1048" t="s">
        <v>1472</v>
      </c>
      <c r="E12" s="1048">
        <v>2</v>
      </c>
      <c r="F12" s="1049">
        <v>4.49</v>
      </c>
      <c r="G12" s="1049">
        <v>0.6</v>
      </c>
      <c r="H12" s="1049">
        <v>0.6</v>
      </c>
      <c r="I12" s="1049">
        <f t="shared" si="1"/>
        <v>3.23</v>
      </c>
      <c r="J12" s="1049"/>
      <c r="K12" s="1049"/>
      <c r="L12" s="1049"/>
      <c r="M12" s="1049"/>
    </row>
    <row r="13" spans="1:13" ht="14.1">
      <c r="A13" s="1046"/>
      <c r="B13" s="1174" t="s">
        <v>2094</v>
      </c>
      <c r="C13" s="1048">
        <v>1</v>
      </c>
      <c r="D13" s="1048" t="s">
        <v>1472</v>
      </c>
      <c r="E13" s="1048">
        <v>2</v>
      </c>
      <c r="F13" s="1049">
        <v>2.68</v>
      </c>
      <c r="G13" s="1049">
        <v>0.6</v>
      </c>
      <c r="H13" s="1049">
        <v>0.6</v>
      </c>
      <c r="I13" s="1049">
        <f t="shared" si="1"/>
        <v>1.93</v>
      </c>
      <c r="J13" s="1049"/>
      <c r="K13" s="1049"/>
      <c r="L13" s="1049"/>
      <c r="M13" s="1049"/>
    </row>
    <row r="14" spans="1:13" ht="24.6">
      <c r="A14" s="1046"/>
      <c r="B14" s="1174" t="s">
        <v>2379</v>
      </c>
      <c r="C14" s="1048">
        <v>1</v>
      </c>
      <c r="D14" s="1048" t="s">
        <v>1472</v>
      </c>
      <c r="E14" s="1048">
        <v>1</v>
      </c>
      <c r="F14" s="1049">
        <v>4.1500000000000004</v>
      </c>
      <c r="G14" s="1049">
        <v>0.6</v>
      </c>
      <c r="H14" s="1049">
        <v>0.6</v>
      </c>
      <c r="I14" s="1049">
        <f t="shared" si="1"/>
        <v>1.49</v>
      </c>
      <c r="J14" s="1049"/>
      <c r="K14" s="1049"/>
      <c r="L14" s="1049"/>
      <c r="M14" s="1049"/>
    </row>
    <row r="15" spans="1:13" ht="24.6">
      <c r="A15" s="1046"/>
      <c r="B15" s="1174" t="s">
        <v>2380</v>
      </c>
      <c r="C15" s="1048">
        <v>1</v>
      </c>
      <c r="D15" s="1048" t="s">
        <v>1472</v>
      </c>
      <c r="E15" s="1048">
        <v>2</v>
      </c>
      <c r="F15" s="1049">
        <v>1.5</v>
      </c>
      <c r="G15" s="1049">
        <v>0.6</v>
      </c>
      <c r="H15" s="1049">
        <v>0.6</v>
      </c>
      <c r="I15" s="1049">
        <f>ROUND(C15*E15*F15*G15*H15,2)</f>
        <v>1.08</v>
      </c>
      <c r="J15" s="1049"/>
      <c r="K15" s="1049"/>
      <c r="L15" s="1049"/>
      <c r="M15" s="1049"/>
    </row>
    <row r="16" spans="1:13" ht="14.1">
      <c r="A16" s="1046"/>
      <c r="B16" s="1174" t="s">
        <v>2289</v>
      </c>
      <c r="C16" s="1165" t="s">
        <v>2290</v>
      </c>
      <c r="D16" s="1048" t="s">
        <v>1472</v>
      </c>
      <c r="E16" s="1048">
        <v>2</v>
      </c>
      <c r="F16" s="1049">
        <v>1.35</v>
      </c>
      <c r="G16" s="1049">
        <v>1.35</v>
      </c>
      <c r="H16" s="1049">
        <v>2</v>
      </c>
      <c r="I16" s="1049">
        <f>ROUND(PI()/4*E16*F16*G16*H16,2)</f>
        <v>5.73</v>
      </c>
      <c r="J16" s="1049"/>
      <c r="K16" s="1049"/>
      <c r="L16" s="1049"/>
      <c r="M16" s="1049"/>
    </row>
    <row r="17" spans="1:15" ht="14.1">
      <c r="A17" s="1046"/>
      <c r="B17" s="1175" t="s">
        <v>2375</v>
      </c>
      <c r="C17" s="1048">
        <v>1</v>
      </c>
      <c r="D17" s="1048" t="s">
        <v>1472</v>
      </c>
      <c r="E17" s="1048">
        <v>1</v>
      </c>
      <c r="F17" s="1049">
        <f>(31.5-6-4)*0.3048</f>
        <v>6.5532000000000004</v>
      </c>
      <c r="G17" s="1049">
        <v>0.6</v>
      </c>
      <c r="H17" s="1049">
        <v>0.3</v>
      </c>
      <c r="I17" s="1049">
        <f t="shared" si="1"/>
        <v>1.18</v>
      </c>
      <c r="J17" s="1049"/>
      <c r="K17" s="1049"/>
      <c r="L17" s="1049"/>
      <c r="M17" s="1049"/>
    </row>
    <row r="18" spans="1:15" ht="14.1">
      <c r="A18" s="1046"/>
      <c r="B18" s="1175" t="s">
        <v>2376</v>
      </c>
      <c r="C18" s="1048">
        <v>1</v>
      </c>
      <c r="D18" s="1048" t="s">
        <v>1472</v>
      </c>
      <c r="E18" s="1048">
        <v>2</v>
      </c>
      <c r="F18" s="1049">
        <v>3</v>
      </c>
      <c r="G18" s="1049">
        <v>0.6</v>
      </c>
      <c r="H18" s="1049">
        <v>0.3</v>
      </c>
      <c r="I18" s="1049">
        <f t="shared" si="1"/>
        <v>1.08</v>
      </c>
      <c r="J18" s="1049"/>
      <c r="K18" s="1049"/>
      <c r="L18" s="1049"/>
      <c r="M18" s="1049"/>
    </row>
    <row r="19" spans="1:15" ht="14.1">
      <c r="A19" s="1046"/>
      <c r="B19" s="1175" t="s">
        <v>2100</v>
      </c>
      <c r="C19" s="1048">
        <v>1</v>
      </c>
      <c r="D19" s="1048" t="s">
        <v>1472</v>
      </c>
      <c r="E19" s="1048">
        <v>1</v>
      </c>
      <c r="F19" s="1049">
        <f>(31.5-6)*0.3048</f>
        <v>7.7724000000000002</v>
      </c>
      <c r="G19" s="1049">
        <v>1.2</v>
      </c>
      <c r="H19" s="1049">
        <v>0.3</v>
      </c>
      <c r="I19" s="1049">
        <f t="shared" si="1"/>
        <v>2.8</v>
      </c>
      <c r="J19" s="1049"/>
      <c r="K19" s="1049"/>
      <c r="L19" s="1049"/>
      <c r="M19" s="1049"/>
    </row>
    <row r="20" spans="1:15" ht="14.1">
      <c r="A20" s="1046"/>
      <c r="B20" s="1175" t="s">
        <v>2099</v>
      </c>
      <c r="C20" s="1048">
        <v>1</v>
      </c>
      <c r="D20" s="1048" t="s">
        <v>1472</v>
      </c>
      <c r="E20" s="1048">
        <v>2</v>
      </c>
      <c r="F20" s="1049">
        <v>4.2</v>
      </c>
      <c r="G20" s="1049">
        <v>1.2</v>
      </c>
      <c r="H20" s="1049">
        <v>0.3</v>
      </c>
      <c r="I20" s="1049">
        <f t="shared" si="1"/>
        <v>3.02</v>
      </c>
      <c r="J20" s="1049"/>
      <c r="K20" s="1049"/>
      <c r="L20" s="1049"/>
      <c r="M20" s="1049"/>
    </row>
    <row r="21" spans="1:15" ht="14.1">
      <c r="A21" s="1046"/>
      <c r="B21" s="1051"/>
      <c r="C21" s="1048"/>
      <c r="D21" s="1048"/>
      <c r="E21" s="1048"/>
      <c r="F21" s="1049"/>
      <c r="G21" s="1049"/>
      <c r="H21" s="1049"/>
      <c r="I21" s="1049">
        <f>SUM(I8:I20)</f>
        <v>125.43</v>
      </c>
      <c r="J21" s="1049"/>
      <c r="K21" s="1049"/>
      <c r="L21" s="1049"/>
      <c r="M21" s="1049"/>
    </row>
    <row r="22" spans="1:15" ht="14.1">
      <c r="A22" s="1046"/>
      <c r="B22" s="2448" t="s">
        <v>2381</v>
      </c>
      <c r="C22" s="2448"/>
      <c r="D22" s="2448"/>
      <c r="E22" s="2448"/>
      <c r="F22" s="2448"/>
      <c r="G22" s="2448"/>
      <c r="H22" s="2448"/>
      <c r="I22" s="1052">
        <f>CEILING(I21,0.05)</f>
        <v>125.45</v>
      </c>
      <c r="J22" s="1053">
        <v>221.47</v>
      </c>
      <c r="K22" s="1054">
        <f>ROUND(J22*I22/1,0)</f>
        <v>27783</v>
      </c>
      <c r="L22" s="1029">
        <v>30</v>
      </c>
      <c r="M22" s="1055">
        <f>L22*I22</f>
        <v>3763.5</v>
      </c>
      <c r="N22" s="1087"/>
      <c r="O22" s="1087">
        <f>ROUND(I22*N22,0)</f>
        <v>0</v>
      </c>
    </row>
    <row r="23" spans="1:15" ht="14.1">
      <c r="A23" s="1046"/>
      <c r="B23" s="1056"/>
      <c r="C23" s="1048"/>
      <c r="D23" s="1048"/>
      <c r="E23" s="1048"/>
      <c r="F23" s="1049"/>
      <c r="G23" s="1049"/>
      <c r="H23" s="1049"/>
      <c r="I23" s="1053" t="s">
        <v>656</v>
      </c>
      <c r="J23" s="1049" t="s">
        <v>2041</v>
      </c>
      <c r="K23" s="1049"/>
      <c r="L23" s="1049"/>
      <c r="M23" s="1049"/>
      <c r="N23" s="1087"/>
      <c r="O23" s="1087"/>
    </row>
    <row r="24" spans="1:15" ht="136.5" customHeight="1">
      <c r="A24" s="1046">
        <v>2</v>
      </c>
      <c r="B24" s="2415" t="s">
        <v>2291</v>
      </c>
      <c r="C24" s="2426"/>
      <c r="D24" s="2426"/>
      <c r="E24" s="2426"/>
      <c r="F24" s="2426"/>
      <c r="G24" s="2426"/>
      <c r="H24" s="2426"/>
      <c r="I24" s="2427"/>
      <c r="J24" s="1049"/>
      <c r="K24" s="1049"/>
      <c r="L24" s="1049"/>
      <c r="M24" s="1049"/>
      <c r="N24" s="1087"/>
      <c r="O24" s="1087"/>
    </row>
    <row r="25" spans="1:15" ht="14.1">
      <c r="A25" s="1046"/>
      <c r="B25" s="1047" t="s">
        <v>2004</v>
      </c>
      <c r="C25" s="1048">
        <v>2</v>
      </c>
      <c r="D25" s="1048" t="s">
        <v>1472</v>
      </c>
      <c r="E25" s="1048">
        <v>6</v>
      </c>
      <c r="F25" s="1049">
        <v>2</v>
      </c>
      <c r="G25" s="1049">
        <v>2</v>
      </c>
      <c r="H25" s="1049">
        <v>0.15</v>
      </c>
      <c r="I25" s="1049">
        <f>ROUND(C25*E25*F25*G25*H25,2)</f>
        <v>7.2</v>
      </c>
      <c r="J25" s="1049"/>
      <c r="K25" s="1049"/>
      <c r="L25" s="1049"/>
      <c r="M25" s="1049"/>
      <c r="N25" s="1087"/>
      <c r="O25" s="1087"/>
    </row>
    <row r="26" spans="1:15" ht="14.1">
      <c r="A26" s="1046"/>
      <c r="B26" s="2432"/>
      <c r="C26" s="2433"/>
      <c r="D26" s="2433"/>
      <c r="E26" s="2433"/>
      <c r="F26" s="2433"/>
      <c r="G26" s="2433"/>
      <c r="H26" s="2434"/>
      <c r="I26" s="1052">
        <f>I25</f>
        <v>7.2</v>
      </c>
      <c r="J26" s="1049">
        <f>Datas!G154</f>
        <v>4371.4635670906127</v>
      </c>
      <c r="K26" s="1053">
        <f>ROUND(J26*I26,0)</f>
        <v>31475</v>
      </c>
      <c r="L26" s="1049">
        <v>108</v>
      </c>
      <c r="M26" s="1055">
        <f>L26*I26</f>
        <v>777.6</v>
      </c>
      <c r="N26" s="1087">
        <v>108</v>
      </c>
      <c r="O26" s="1087">
        <f>ROUND(I26*N26,0)</f>
        <v>778</v>
      </c>
    </row>
    <row r="27" spans="1:15" ht="14.1">
      <c r="A27" s="1046"/>
      <c r="B27" s="1060"/>
      <c r="C27" s="1048"/>
      <c r="D27" s="1048"/>
      <c r="E27" s="1048"/>
      <c r="F27" s="1049"/>
      <c r="G27" s="1049"/>
      <c r="H27" s="1049"/>
      <c r="I27" s="1053" t="s">
        <v>656</v>
      </c>
      <c r="J27" s="1053" t="s">
        <v>656</v>
      </c>
      <c r="K27" s="1053"/>
      <c r="L27" s="1053"/>
      <c r="M27" s="1053"/>
      <c r="N27" s="1087"/>
      <c r="O27" s="1087"/>
    </row>
    <row r="28" spans="1:15" ht="137.25" customHeight="1">
      <c r="A28" s="1046">
        <v>3</v>
      </c>
      <c r="B28" s="2415" t="s">
        <v>2292</v>
      </c>
      <c r="C28" s="2426"/>
      <c r="D28" s="2426"/>
      <c r="E28" s="2426"/>
      <c r="F28" s="2426"/>
      <c r="G28" s="2426"/>
      <c r="H28" s="2426"/>
      <c r="I28" s="2427"/>
      <c r="J28" s="1049"/>
      <c r="K28" s="1049"/>
      <c r="L28" s="1049"/>
      <c r="M28" s="1049"/>
      <c r="N28" s="1087"/>
      <c r="O28" s="1087"/>
    </row>
    <row r="29" spans="1:15" s="1095" customFormat="1" ht="14.1">
      <c r="A29" s="1093"/>
      <c r="B29" s="1182" t="s">
        <v>2218</v>
      </c>
      <c r="C29" s="1183">
        <v>1</v>
      </c>
      <c r="D29" s="1183" t="s">
        <v>1472</v>
      </c>
      <c r="E29" s="1183">
        <v>1</v>
      </c>
      <c r="F29" s="1184">
        <f>(46.5)*0.3048</f>
        <v>14.173200000000001</v>
      </c>
      <c r="G29" s="1184">
        <f>(30)*0.3048</f>
        <v>9.1440000000000001</v>
      </c>
      <c r="H29" s="1184">
        <v>0.1</v>
      </c>
      <c r="I29" s="1094">
        <f>ROUND(C29*E29*F29*G29*H29,2)</f>
        <v>12.96</v>
      </c>
      <c r="J29" s="1094"/>
      <c r="K29" s="1094"/>
      <c r="L29" s="1094"/>
      <c r="M29" s="1094"/>
      <c r="N29" s="1166"/>
      <c r="O29" s="1166"/>
    </row>
    <row r="30" spans="1:15" s="1095" customFormat="1" ht="14.1">
      <c r="A30" s="1093"/>
      <c r="B30" s="1182" t="s">
        <v>2219</v>
      </c>
      <c r="C30" s="1183">
        <v>1</v>
      </c>
      <c r="D30" s="1183" t="s">
        <v>1472</v>
      </c>
      <c r="E30" s="1183">
        <v>1</v>
      </c>
      <c r="F30" s="1184">
        <v>3.6</v>
      </c>
      <c r="G30" s="1184">
        <f>(12)*0.3048</f>
        <v>3.6576000000000004</v>
      </c>
      <c r="H30" s="1184">
        <v>0.1</v>
      </c>
      <c r="I30" s="1094">
        <f>ROUND(C30*E30*F30*G30*H30,2)</f>
        <v>1.32</v>
      </c>
      <c r="J30" s="1094"/>
      <c r="K30" s="1094"/>
      <c r="L30" s="1094"/>
      <c r="M30" s="1094"/>
      <c r="N30" s="1166"/>
      <c r="O30" s="1166"/>
    </row>
    <row r="31" spans="1:15" s="1095" customFormat="1" ht="14.1">
      <c r="A31" s="1093"/>
      <c r="B31" s="1182" t="s">
        <v>2220</v>
      </c>
      <c r="C31" s="1183">
        <v>1</v>
      </c>
      <c r="D31" s="1183" t="s">
        <v>1472</v>
      </c>
      <c r="E31" s="1183">
        <v>1</v>
      </c>
      <c r="F31" s="1184">
        <v>3.6</v>
      </c>
      <c r="G31" s="1184">
        <f>(17.23)*0.3048</f>
        <v>5.2517040000000001</v>
      </c>
      <c r="H31" s="1184">
        <v>0.1</v>
      </c>
      <c r="I31" s="1094">
        <f>ROUND(C31*E31*F31*G31*H31,2)</f>
        <v>1.89</v>
      </c>
      <c r="J31" s="1094"/>
      <c r="K31" s="1094"/>
      <c r="L31" s="1094"/>
      <c r="M31" s="1094"/>
      <c r="N31" s="1166"/>
      <c r="O31" s="1166"/>
    </row>
    <row r="32" spans="1:15" ht="14.1">
      <c r="A32" s="1046"/>
      <c r="B32" s="1174" t="s">
        <v>2221</v>
      </c>
      <c r="C32" s="1176">
        <v>1</v>
      </c>
      <c r="D32" s="1176" t="s">
        <v>1472</v>
      </c>
      <c r="E32" s="1176">
        <v>1</v>
      </c>
      <c r="F32" s="1177">
        <v>3.2</v>
      </c>
      <c r="G32" s="1177">
        <v>1.5</v>
      </c>
      <c r="H32" s="1177">
        <v>0.1</v>
      </c>
      <c r="I32" s="1049">
        <f>ROUND(C32*E32*F32*G32*H32,2)</f>
        <v>0.48</v>
      </c>
      <c r="J32" s="1049"/>
      <c r="K32" s="1049"/>
      <c r="L32" s="1049"/>
      <c r="M32" s="1049"/>
      <c r="N32" s="1087"/>
      <c r="O32" s="1087"/>
    </row>
    <row r="33" spans="1:15" ht="14.1">
      <c r="A33" s="1046"/>
      <c r="B33" s="1174" t="s">
        <v>2222</v>
      </c>
      <c r="C33" s="1176">
        <v>1</v>
      </c>
      <c r="D33" s="1176" t="s">
        <v>1472</v>
      </c>
      <c r="E33" s="1176">
        <v>1</v>
      </c>
      <c r="F33" s="1177">
        <v>3.6</v>
      </c>
      <c r="G33" s="1177">
        <v>1.5</v>
      </c>
      <c r="H33" s="1177">
        <v>0.1</v>
      </c>
      <c r="I33" s="1049">
        <f>ROUND(C33*E33*F33*G33*H33,2)</f>
        <v>0.54</v>
      </c>
      <c r="J33" s="1049"/>
      <c r="K33" s="1049"/>
      <c r="L33" s="1049"/>
      <c r="M33" s="1049"/>
      <c r="N33" s="1087"/>
      <c r="O33" s="1087"/>
    </row>
    <row r="34" spans="1:15" ht="24.6">
      <c r="A34" s="1046"/>
      <c r="B34" s="1174" t="s">
        <v>2382</v>
      </c>
      <c r="C34" s="1176">
        <v>1</v>
      </c>
      <c r="D34" s="1176" t="s">
        <v>1472</v>
      </c>
      <c r="E34" s="1176">
        <v>2</v>
      </c>
      <c r="F34" s="1177">
        <f>(60.75)*0.3048+0.6</f>
        <v>19.116600000000002</v>
      </c>
      <c r="G34" s="1177">
        <v>0.6</v>
      </c>
      <c r="H34" s="1177">
        <v>0.1</v>
      </c>
      <c r="I34" s="1049">
        <f t="shared" ref="I34:I44" si="2">ROUND(C34*E34*F34*G34*H34,2)</f>
        <v>2.29</v>
      </c>
      <c r="J34" s="1049"/>
      <c r="K34" s="1049"/>
      <c r="L34" s="1049"/>
      <c r="M34" s="1049"/>
      <c r="N34" s="1087"/>
      <c r="O34" s="1087"/>
    </row>
    <row r="35" spans="1:15" ht="24.6">
      <c r="A35" s="1046"/>
      <c r="B35" s="1174" t="s">
        <v>2377</v>
      </c>
      <c r="C35" s="1176">
        <v>1</v>
      </c>
      <c r="D35" s="1176" t="s">
        <v>1472</v>
      </c>
      <c r="E35" s="1176">
        <v>3</v>
      </c>
      <c r="F35" s="1177">
        <f>(30.75)*0.3048-0.6</f>
        <v>8.7726000000000006</v>
      </c>
      <c r="G35" s="1177">
        <v>0.6</v>
      </c>
      <c r="H35" s="1177">
        <v>0.1</v>
      </c>
      <c r="I35" s="1049">
        <f t="shared" si="2"/>
        <v>1.58</v>
      </c>
      <c r="J35" s="1049"/>
      <c r="K35" s="1049"/>
      <c r="L35" s="1049"/>
      <c r="M35" s="1049"/>
      <c r="N35" s="1087"/>
      <c r="O35" s="1087"/>
    </row>
    <row r="36" spans="1:15" ht="14.1">
      <c r="A36" s="1046"/>
      <c r="B36" s="1174" t="s">
        <v>2383</v>
      </c>
      <c r="C36" s="1176">
        <v>1</v>
      </c>
      <c r="D36" s="1176" t="s">
        <v>1472</v>
      </c>
      <c r="E36" s="1176">
        <v>1</v>
      </c>
      <c r="F36" s="1177">
        <v>3.89</v>
      </c>
      <c r="G36" s="1177">
        <v>0.6</v>
      </c>
      <c r="H36" s="1177">
        <v>0.1</v>
      </c>
      <c r="I36" s="1049">
        <f t="shared" si="2"/>
        <v>0.23</v>
      </c>
      <c r="J36" s="1049"/>
      <c r="K36" s="1049"/>
      <c r="L36" s="1049"/>
      <c r="M36" s="1049"/>
      <c r="N36" s="1087"/>
      <c r="O36" s="1087"/>
    </row>
    <row r="37" spans="1:15" ht="14.1">
      <c r="A37" s="1046"/>
      <c r="B37" s="1174" t="s">
        <v>2093</v>
      </c>
      <c r="C37" s="1176">
        <v>1</v>
      </c>
      <c r="D37" s="1176" t="s">
        <v>1472</v>
      </c>
      <c r="E37" s="1176">
        <v>2</v>
      </c>
      <c r="F37" s="1049">
        <v>4.49</v>
      </c>
      <c r="G37" s="1177">
        <v>0.6</v>
      </c>
      <c r="H37" s="1177">
        <v>0.1</v>
      </c>
      <c r="I37" s="1049">
        <f t="shared" si="2"/>
        <v>0.54</v>
      </c>
      <c r="J37" s="1049"/>
      <c r="K37" s="1049"/>
      <c r="L37" s="1049"/>
      <c r="M37" s="1049"/>
      <c r="N37" s="1087"/>
      <c r="O37" s="1087"/>
    </row>
    <row r="38" spans="1:15" ht="14.1">
      <c r="A38" s="1046"/>
      <c r="B38" s="1174" t="s">
        <v>2094</v>
      </c>
      <c r="C38" s="1176">
        <v>1</v>
      </c>
      <c r="D38" s="1176" t="s">
        <v>1472</v>
      </c>
      <c r="E38" s="1176">
        <v>2</v>
      </c>
      <c r="F38" s="1049">
        <v>2.68</v>
      </c>
      <c r="G38" s="1177">
        <v>0.6</v>
      </c>
      <c r="H38" s="1177">
        <v>0.1</v>
      </c>
      <c r="I38" s="1049">
        <f t="shared" si="2"/>
        <v>0.32</v>
      </c>
      <c r="J38" s="1049"/>
      <c r="K38" s="1049"/>
      <c r="L38" s="1049"/>
      <c r="M38" s="1049"/>
      <c r="N38" s="1087"/>
      <c r="O38" s="1087"/>
    </row>
    <row r="39" spans="1:15" ht="24.6">
      <c r="A39" s="1046"/>
      <c r="B39" s="1174" t="s">
        <v>2385</v>
      </c>
      <c r="C39" s="1176">
        <v>1</v>
      </c>
      <c r="D39" s="1176" t="s">
        <v>1472</v>
      </c>
      <c r="E39" s="1176">
        <v>1</v>
      </c>
      <c r="F39" s="1177">
        <v>4.1500000000000004</v>
      </c>
      <c r="G39" s="1177">
        <v>0.6</v>
      </c>
      <c r="H39" s="1177">
        <v>0.1</v>
      </c>
      <c r="I39" s="1049">
        <f>ROUND(C39*E39*F39*G39*H39,2)</f>
        <v>0.25</v>
      </c>
      <c r="J39" s="1049"/>
      <c r="K39" s="1049"/>
      <c r="L39" s="1049"/>
      <c r="M39" s="1049"/>
      <c r="N39" s="1087"/>
      <c r="O39" s="1087"/>
    </row>
    <row r="40" spans="1:15" ht="24.6">
      <c r="A40" s="1046"/>
      <c r="B40" s="1174" t="s">
        <v>2384</v>
      </c>
      <c r="C40" s="1176">
        <v>1</v>
      </c>
      <c r="D40" s="1176" t="s">
        <v>1472</v>
      </c>
      <c r="E40" s="1176">
        <v>2</v>
      </c>
      <c r="F40" s="1177">
        <v>1.8</v>
      </c>
      <c r="G40" s="1177">
        <v>0.6</v>
      </c>
      <c r="H40" s="1177">
        <v>0.1</v>
      </c>
      <c r="I40" s="1049">
        <f t="shared" si="2"/>
        <v>0.22</v>
      </c>
      <c r="J40" s="1049"/>
      <c r="K40" s="1049"/>
      <c r="L40" s="1049"/>
      <c r="M40" s="1049"/>
      <c r="N40" s="1087"/>
      <c r="O40" s="1087"/>
    </row>
    <row r="41" spans="1:15" ht="14.1">
      <c r="A41" s="1046"/>
      <c r="B41" s="1175" t="s">
        <v>2387</v>
      </c>
      <c r="C41" s="1176">
        <v>1</v>
      </c>
      <c r="D41" s="1176" t="s">
        <v>1472</v>
      </c>
      <c r="E41" s="1176">
        <v>1</v>
      </c>
      <c r="F41" s="1177">
        <f>(31.5-6-4)*0.3048</f>
        <v>6.5532000000000004</v>
      </c>
      <c r="G41" s="1177">
        <v>0.6</v>
      </c>
      <c r="H41" s="1177">
        <v>0.1</v>
      </c>
      <c r="I41" s="1049">
        <f t="shared" si="2"/>
        <v>0.39</v>
      </c>
      <c r="J41" s="1049"/>
      <c r="K41" s="1049"/>
      <c r="L41" s="1049"/>
      <c r="M41" s="1049"/>
      <c r="N41" s="1087"/>
      <c r="O41" s="1087"/>
    </row>
    <row r="42" spans="1:15" ht="14.1">
      <c r="A42" s="1046"/>
      <c r="B42" s="1175" t="s">
        <v>2374</v>
      </c>
      <c r="C42" s="1176">
        <v>1</v>
      </c>
      <c r="D42" s="1176" t="s">
        <v>1472</v>
      </c>
      <c r="E42" s="1176">
        <v>2</v>
      </c>
      <c r="F42" s="1177">
        <v>3</v>
      </c>
      <c r="G42" s="1177">
        <v>0.6</v>
      </c>
      <c r="H42" s="1177">
        <v>0.1</v>
      </c>
      <c r="I42" s="1049">
        <f t="shared" si="2"/>
        <v>0.36</v>
      </c>
      <c r="J42" s="1049"/>
      <c r="K42" s="1049"/>
      <c r="L42" s="1049"/>
      <c r="M42" s="1049"/>
      <c r="N42" s="1087"/>
      <c r="O42" s="1087"/>
    </row>
    <row r="43" spans="1:15" ht="14.1">
      <c r="A43" s="1046"/>
      <c r="B43" s="1175" t="s">
        <v>2386</v>
      </c>
      <c r="C43" s="1176">
        <v>1</v>
      </c>
      <c r="D43" s="1176" t="s">
        <v>1472</v>
      </c>
      <c r="E43" s="1176">
        <v>1</v>
      </c>
      <c r="F43" s="1177">
        <f>(31.5-6)*0.3048</f>
        <v>7.7724000000000002</v>
      </c>
      <c r="G43" s="1177">
        <v>1.2</v>
      </c>
      <c r="H43" s="1177">
        <v>0.1</v>
      </c>
      <c r="I43" s="1049">
        <f t="shared" si="2"/>
        <v>0.93</v>
      </c>
      <c r="J43" s="1049"/>
      <c r="K43" s="1049"/>
      <c r="L43" s="1049"/>
      <c r="M43" s="1049"/>
      <c r="N43" s="1087"/>
      <c r="O43" s="1087"/>
    </row>
    <row r="44" spans="1:15" ht="14.1">
      <c r="A44" s="1046"/>
      <c r="B44" s="1175" t="s">
        <v>2386</v>
      </c>
      <c r="C44" s="1176">
        <v>1</v>
      </c>
      <c r="D44" s="1176" t="s">
        <v>1472</v>
      </c>
      <c r="E44" s="1176">
        <v>2</v>
      </c>
      <c r="F44" s="1177">
        <v>4.2</v>
      </c>
      <c r="G44" s="1177">
        <v>1.2</v>
      </c>
      <c r="H44" s="1177">
        <v>0.1</v>
      </c>
      <c r="I44" s="1049">
        <f t="shared" si="2"/>
        <v>1.01</v>
      </c>
      <c r="J44" s="1049"/>
      <c r="K44" s="1049"/>
      <c r="L44" s="1049"/>
      <c r="M44" s="1049"/>
      <c r="N44" s="1087"/>
      <c r="O44" s="1087"/>
    </row>
    <row r="45" spans="1:15" ht="14.1">
      <c r="A45" s="1046"/>
      <c r="B45" s="2564"/>
      <c r="C45" s="2565"/>
      <c r="D45" s="2565"/>
      <c r="E45" s="2565"/>
      <c r="F45" s="2565"/>
      <c r="G45" s="2565"/>
      <c r="H45" s="2566"/>
      <c r="I45" s="1052">
        <f>SUM(I29:I44)</f>
        <v>25.310000000000002</v>
      </c>
      <c r="J45" s="1049">
        <f>Datas!G174</f>
        <v>4155.8100000000004</v>
      </c>
      <c r="K45" s="1053">
        <f>ROUND(J45*I45,0)</f>
        <v>105184</v>
      </c>
      <c r="L45" s="1049">
        <v>108</v>
      </c>
      <c r="M45" s="1055">
        <f>L45*I45</f>
        <v>2733.4800000000005</v>
      </c>
      <c r="N45" s="1087">
        <v>108</v>
      </c>
      <c r="O45" s="1087">
        <f>ROUND(I45*N45,0)</f>
        <v>2733</v>
      </c>
    </row>
    <row r="46" spans="1:15" ht="14.1">
      <c r="A46" s="1046"/>
      <c r="B46" s="1060"/>
      <c r="C46" s="1048"/>
      <c r="D46" s="1048"/>
      <c r="E46" s="1048"/>
      <c r="F46" s="1049"/>
      <c r="G46" s="1049"/>
      <c r="H46" s="1049"/>
      <c r="I46" s="1053" t="s">
        <v>656</v>
      </c>
      <c r="J46" s="1053" t="s">
        <v>656</v>
      </c>
      <c r="K46" s="1053"/>
      <c r="L46" s="1053"/>
      <c r="M46" s="1053"/>
      <c r="N46" s="1087"/>
      <c r="O46" s="1087"/>
    </row>
    <row r="47" spans="1:15" ht="126.75" customHeight="1">
      <c r="A47" s="1046">
        <v>4</v>
      </c>
      <c r="B47" s="2415" t="s">
        <v>2293</v>
      </c>
      <c r="C47" s="2426"/>
      <c r="D47" s="2426"/>
      <c r="E47" s="2426"/>
      <c r="F47" s="2426"/>
      <c r="G47" s="2426"/>
      <c r="H47" s="2426"/>
      <c r="I47" s="2427"/>
      <c r="J47" s="1049"/>
      <c r="K47" s="1049"/>
      <c r="L47" s="1049"/>
      <c r="M47" s="1049"/>
      <c r="N47" s="1087"/>
      <c r="O47" s="1087"/>
    </row>
    <row r="48" spans="1:15" ht="14.1">
      <c r="A48" s="1046"/>
      <c r="B48" s="1060" t="s">
        <v>657</v>
      </c>
      <c r="C48" s="1061"/>
      <c r="D48" s="1061"/>
      <c r="E48" s="1061"/>
      <c r="F48" s="1062"/>
      <c r="G48" s="1062"/>
      <c r="H48" s="1062"/>
      <c r="I48" s="1062"/>
      <c r="J48" s="1049"/>
      <c r="K48" s="1049"/>
      <c r="L48" s="1049"/>
      <c r="M48" s="1049"/>
      <c r="N48" s="1087"/>
      <c r="O48" s="1087"/>
    </row>
    <row r="49" spans="1:15" ht="24.6">
      <c r="A49" s="1046"/>
      <c r="B49" s="1174" t="s">
        <v>2090</v>
      </c>
      <c r="C49" s="1048">
        <v>1</v>
      </c>
      <c r="D49" s="1048" t="s">
        <v>1472</v>
      </c>
      <c r="E49" s="1048">
        <v>2</v>
      </c>
      <c r="F49" s="1049">
        <f>(60.75)*0.3048+0.45</f>
        <v>18.9666</v>
      </c>
      <c r="G49" s="1049">
        <v>0.45</v>
      </c>
      <c r="H49" s="1049">
        <v>0.5</v>
      </c>
      <c r="I49" s="1049">
        <f>ROUND(C49*E49*F49*G49*H49,2)</f>
        <v>8.5299999999999994</v>
      </c>
      <c r="J49" s="1049"/>
      <c r="K49" s="1049"/>
      <c r="L49" s="1049"/>
      <c r="M49" s="1049"/>
      <c r="N49" s="1087"/>
      <c r="O49" s="1087"/>
    </row>
    <row r="50" spans="1:15" ht="24.6">
      <c r="A50" s="1046"/>
      <c r="B50" s="1174" t="s">
        <v>2091</v>
      </c>
      <c r="C50" s="1048">
        <v>1</v>
      </c>
      <c r="D50" s="1048" t="s">
        <v>1472</v>
      </c>
      <c r="E50" s="1048">
        <v>3</v>
      </c>
      <c r="F50" s="1049">
        <f>(30.75)*0.3048-0.45</f>
        <v>8.922600000000001</v>
      </c>
      <c r="G50" s="1049">
        <v>0.45</v>
      </c>
      <c r="H50" s="1049">
        <v>0.5</v>
      </c>
      <c r="I50" s="1049">
        <f t="shared" ref="I50:I57" si="3">ROUND(C50*E50*F50*G50*H50,2)</f>
        <v>6.02</v>
      </c>
      <c r="J50" s="1049"/>
      <c r="K50" s="1049"/>
      <c r="L50" s="1049"/>
      <c r="M50" s="1049"/>
      <c r="N50" s="1087"/>
      <c r="O50" s="1087"/>
    </row>
    <row r="51" spans="1:15" ht="14.1">
      <c r="A51" s="1046"/>
      <c r="B51" s="1174" t="s">
        <v>2388</v>
      </c>
      <c r="C51" s="1048">
        <v>1</v>
      </c>
      <c r="D51" s="1048" t="s">
        <v>1472</v>
      </c>
      <c r="E51" s="1048">
        <v>1</v>
      </c>
      <c r="F51" s="1049">
        <v>3.89</v>
      </c>
      <c r="G51" s="1049">
        <v>0.45</v>
      </c>
      <c r="H51" s="1049">
        <v>0.5</v>
      </c>
      <c r="I51" s="1049">
        <f t="shared" si="3"/>
        <v>0.88</v>
      </c>
      <c r="J51" s="1049"/>
      <c r="K51" s="1049"/>
      <c r="L51" s="1049"/>
      <c r="M51" s="1049"/>
      <c r="N51" s="1087"/>
      <c r="O51" s="1087"/>
    </row>
    <row r="52" spans="1:15" ht="14.1">
      <c r="A52" s="1046"/>
      <c r="B52" s="1174" t="s">
        <v>2093</v>
      </c>
      <c r="C52" s="1048">
        <v>1</v>
      </c>
      <c r="D52" s="1048" t="s">
        <v>1472</v>
      </c>
      <c r="E52" s="1048">
        <v>2</v>
      </c>
      <c r="F52" s="1049">
        <f>12.75*0.3048+0.45</f>
        <v>4.3361999999999998</v>
      </c>
      <c r="G52" s="1049">
        <v>0.45</v>
      </c>
      <c r="H52" s="1049">
        <v>0.5</v>
      </c>
      <c r="I52" s="1049">
        <f t="shared" si="3"/>
        <v>1.95</v>
      </c>
      <c r="J52" s="1049"/>
      <c r="K52" s="1049"/>
      <c r="L52" s="1049"/>
      <c r="M52" s="1049"/>
      <c r="N52" s="1087"/>
      <c r="O52" s="1087"/>
    </row>
    <row r="53" spans="1:15" ht="14.1">
      <c r="A53" s="1046"/>
      <c r="B53" s="1174" t="s">
        <v>2094</v>
      </c>
      <c r="C53" s="1048">
        <v>1</v>
      </c>
      <c r="D53" s="1048" t="s">
        <v>1472</v>
      </c>
      <c r="E53" s="1048">
        <v>2</v>
      </c>
      <c r="F53" s="1049">
        <f>10.75*0.3048-0.45</f>
        <v>2.8266</v>
      </c>
      <c r="G53" s="1049">
        <v>0.45</v>
      </c>
      <c r="H53" s="1049">
        <v>0.5</v>
      </c>
      <c r="I53" s="1049">
        <f t="shared" si="3"/>
        <v>1.27</v>
      </c>
      <c r="J53" s="1049"/>
      <c r="K53" s="1049"/>
      <c r="L53" s="1049"/>
      <c r="M53" s="1049"/>
      <c r="N53" s="1087"/>
      <c r="O53" s="1087"/>
    </row>
    <row r="54" spans="1:15" ht="24.6">
      <c r="A54" s="1046"/>
      <c r="B54" s="1174" t="s">
        <v>2390</v>
      </c>
      <c r="C54" s="1176">
        <v>1</v>
      </c>
      <c r="D54" s="1176" t="s">
        <v>1472</v>
      </c>
      <c r="E54" s="1176">
        <v>1</v>
      </c>
      <c r="F54" s="1177">
        <v>4.1500000000000004</v>
      </c>
      <c r="G54" s="1049">
        <v>0.45</v>
      </c>
      <c r="H54" s="1049">
        <v>0.5</v>
      </c>
      <c r="I54" s="1049">
        <f>ROUND(C54*E54*F54*G54*H54,2)</f>
        <v>0.93</v>
      </c>
      <c r="J54" s="1049"/>
      <c r="K54" s="1049"/>
      <c r="L54" s="1049"/>
      <c r="M54" s="1049"/>
      <c r="N54" s="1087"/>
      <c r="O54" s="1087"/>
    </row>
    <row r="55" spans="1:15" ht="24.6">
      <c r="A55" s="1046"/>
      <c r="B55" s="1174" t="s">
        <v>2389</v>
      </c>
      <c r="C55" s="1176">
        <v>1</v>
      </c>
      <c r="D55" s="1176" t="s">
        <v>1472</v>
      </c>
      <c r="E55" s="1176">
        <v>2</v>
      </c>
      <c r="F55" s="1177">
        <v>1.35</v>
      </c>
      <c r="G55" s="1049">
        <v>0.45</v>
      </c>
      <c r="H55" s="1049">
        <v>0.5</v>
      </c>
      <c r="I55" s="1049">
        <f t="shared" si="3"/>
        <v>0.61</v>
      </c>
      <c r="J55" s="1049"/>
      <c r="K55" s="1049"/>
      <c r="L55" s="1049"/>
      <c r="M55" s="1049"/>
      <c r="N55" s="1087"/>
      <c r="O55" s="1087"/>
    </row>
    <row r="56" spans="1:15" ht="14.1">
      <c r="A56" s="1046"/>
      <c r="B56" s="1175" t="s">
        <v>2096</v>
      </c>
      <c r="C56" s="1048">
        <v>1</v>
      </c>
      <c r="D56" s="1048" t="s">
        <v>1472</v>
      </c>
      <c r="E56" s="1048">
        <v>1</v>
      </c>
      <c r="F56" s="1049">
        <f>(31.5-6-4)*0.3048</f>
        <v>6.5532000000000004</v>
      </c>
      <c r="G56" s="1049">
        <v>0.45</v>
      </c>
      <c r="H56" s="1049">
        <v>0.5</v>
      </c>
      <c r="I56" s="1049">
        <f t="shared" si="3"/>
        <v>1.47</v>
      </c>
      <c r="J56" s="1049"/>
      <c r="K56" s="1049"/>
      <c r="L56" s="1049"/>
      <c r="M56" s="1049"/>
      <c r="N56" s="1087"/>
      <c r="O56" s="1087"/>
    </row>
    <row r="57" spans="1:15" ht="14.1">
      <c r="A57" s="1046"/>
      <c r="B57" s="1175" t="s">
        <v>2097</v>
      </c>
      <c r="C57" s="1048">
        <v>1</v>
      </c>
      <c r="D57" s="1048" t="s">
        <v>1472</v>
      </c>
      <c r="E57" s="1048">
        <v>2</v>
      </c>
      <c r="F57" s="1049">
        <v>3</v>
      </c>
      <c r="G57" s="1049">
        <v>0.45</v>
      </c>
      <c r="H57" s="1049">
        <v>0.5</v>
      </c>
      <c r="I57" s="1049">
        <f t="shared" si="3"/>
        <v>1.35</v>
      </c>
      <c r="J57" s="1049"/>
      <c r="K57" s="1049"/>
      <c r="L57" s="1049"/>
      <c r="M57" s="1049"/>
      <c r="N57" s="1087"/>
      <c r="O57" s="1087"/>
    </row>
    <row r="58" spans="1:15" ht="14.1">
      <c r="A58" s="1046"/>
      <c r="B58" s="1190" t="s">
        <v>2017</v>
      </c>
      <c r="C58" s="1061"/>
      <c r="D58" s="1061"/>
      <c r="E58" s="1061"/>
      <c r="F58" s="1062"/>
      <c r="G58" s="1062"/>
      <c r="H58" s="1062"/>
      <c r="I58" s="1063">
        <f>SUM(I49:I57)</f>
        <v>23.009999999999998</v>
      </c>
      <c r="J58" s="1049"/>
      <c r="K58" s="1049"/>
      <c r="L58" s="1049"/>
      <c r="M58" s="1049"/>
      <c r="N58" s="1087"/>
      <c r="O58" s="1087"/>
    </row>
    <row r="59" spans="1:15" ht="24.6">
      <c r="A59" s="1046"/>
      <c r="B59" s="1174" t="s">
        <v>2090</v>
      </c>
      <c r="C59" s="1048">
        <v>1</v>
      </c>
      <c r="D59" s="1048" t="s">
        <v>1472</v>
      </c>
      <c r="E59" s="1048">
        <v>2</v>
      </c>
      <c r="F59" s="1049">
        <f>(60.75)*0.3048+0.45</f>
        <v>18.9666</v>
      </c>
      <c r="G59" s="1049">
        <v>0.45</v>
      </c>
      <c r="H59" s="1049">
        <v>0.45</v>
      </c>
      <c r="I59" s="1049">
        <f t="shared" ref="I59:I68" si="4">ROUND(C59*E59*F59*G59*H59,2)</f>
        <v>7.68</v>
      </c>
      <c r="J59" s="1049"/>
      <c r="K59" s="1049"/>
      <c r="L59" s="1049"/>
      <c r="M59" s="1049"/>
      <c r="N59" s="1087"/>
      <c r="O59" s="1087"/>
    </row>
    <row r="60" spans="1:15" ht="24.6">
      <c r="A60" s="1046"/>
      <c r="B60" s="1174" t="s">
        <v>2091</v>
      </c>
      <c r="C60" s="1048">
        <v>1</v>
      </c>
      <c r="D60" s="1048" t="s">
        <v>1472</v>
      </c>
      <c r="E60" s="1048">
        <v>3</v>
      </c>
      <c r="F60" s="1049">
        <f>(30.75)*0.3048-0.45</f>
        <v>8.922600000000001</v>
      </c>
      <c r="G60" s="1049">
        <v>0.45</v>
      </c>
      <c r="H60" s="1049">
        <v>0.45</v>
      </c>
      <c r="I60" s="1049">
        <f t="shared" si="4"/>
        <v>5.42</v>
      </c>
      <c r="J60" s="1049"/>
      <c r="K60" s="1049"/>
      <c r="L60" s="1049"/>
      <c r="M60" s="1049"/>
      <c r="N60" s="1087"/>
      <c r="O60" s="1087"/>
    </row>
    <row r="61" spans="1:15" ht="14.1">
      <c r="A61" s="1046"/>
      <c r="B61" s="1174" t="s">
        <v>2388</v>
      </c>
      <c r="C61" s="1048">
        <v>1</v>
      </c>
      <c r="D61" s="1048" t="s">
        <v>1472</v>
      </c>
      <c r="E61" s="1048">
        <v>1</v>
      </c>
      <c r="F61" s="1049">
        <v>3.89</v>
      </c>
      <c r="G61" s="1049">
        <v>0.45</v>
      </c>
      <c r="H61" s="1049">
        <v>0.45</v>
      </c>
      <c r="I61" s="1049">
        <f t="shared" si="4"/>
        <v>0.79</v>
      </c>
      <c r="J61" s="1049"/>
      <c r="K61" s="1049"/>
      <c r="L61" s="1049"/>
      <c r="M61" s="1049"/>
      <c r="N61" s="1087"/>
      <c r="O61" s="1087"/>
    </row>
    <row r="62" spans="1:15" ht="14.1">
      <c r="A62" s="1046"/>
      <c r="B62" s="1174" t="s">
        <v>2093</v>
      </c>
      <c r="C62" s="1048">
        <v>1</v>
      </c>
      <c r="D62" s="1048" t="s">
        <v>1472</v>
      </c>
      <c r="E62" s="1048">
        <v>2</v>
      </c>
      <c r="F62" s="1049">
        <f>12.75*0.3048+0.45</f>
        <v>4.3361999999999998</v>
      </c>
      <c r="G62" s="1049">
        <v>0.45</v>
      </c>
      <c r="H62" s="1049">
        <v>0.45</v>
      </c>
      <c r="I62" s="1049">
        <f t="shared" si="4"/>
        <v>1.76</v>
      </c>
      <c r="J62" s="1049"/>
      <c r="K62" s="1049"/>
      <c r="L62" s="1049"/>
      <c r="M62" s="1049"/>
      <c r="N62" s="1087"/>
      <c r="O62" s="1087"/>
    </row>
    <row r="63" spans="1:15" ht="14.1">
      <c r="A63" s="1046"/>
      <c r="B63" s="1174" t="s">
        <v>2094</v>
      </c>
      <c r="C63" s="1048">
        <v>1</v>
      </c>
      <c r="D63" s="1048" t="s">
        <v>1472</v>
      </c>
      <c r="E63" s="1048">
        <v>2</v>
      </c>
      <c r="F63" s="1049">
        <f>10.75*0.3048-0.45</f>
        <v>2.8266</v>
      </c>
      <c r="G63" s="1049">
        <v>0.45</v>
      </c>
      <c r="H63" s="1049">
        <v>0.45</v>
      </c>
      <c r="I63" s="1049">
        <f t="shared" si="4"/>
        <v>1.1399999999999999</v>
      </c>
      <c r="J63" s="1049"/>
      <c r="K63" s="1049"/>
      <c r="L63" s="1049"/>
      <c r="M63" s="1049"/>
      <c r="N63" s="1087"/>
      <c r="O63" s="1087"/>
    </row>
    <row r="64" spans="1:15" ht="24.6">
      <c r="A64" s="1046"/>
      <c r="B64" s="1174" t="s">
        <v>2390</v>
      </c>
      <c r="C64" s="1176">
        <v>1</v>
      </c>
      <c r="D64" s="1176" t="s">
        <v>1472</v>
      </c>
      <c r="E64" s="1176">
        <v>1</v>
      </c>
      <c r="F64" s="1177">
        <v>4.1500000000000004</v>
      </c>
      <c r="G64" s="1049">
        <v>0.45</v>
      </c>
      <c r="H64" s="1049">
        <v>0.45</v>
      </c>
      <c r="I64" s="1049">
        <f t="shared" si="4"/>
        <v>0.84</v>
      </c>
      <c r="J64" s="1049"/>
      <c r="K64" s="1049"/>
      <c r="L64" s="1049"/>
      <c r="M64" s="1049"/>
      <c r="N64" s="1087"/>
      <c r="O64" s="1087"/>
    </row>
    <row r="65" spans="1:15" ht="24.6">
      <c r="A65" s="1046"/>
      <c r="B65" s="1174" t="s">
        <v>2389</v>
      </c>
      <c r="C65" s="1176">
        <v>1</v>
      </c>
      <c r="D65" s="1176" t="s">
        <v>1472</v>
      </c>
      <c r="E65" s="1176">
        <v>2</v>
      </c>
      <c r="F65" s="1177">
        <v>1.35</v>
      </c>
      <c r="G65" s="1049">
        <v>0.45</v>
      </c>
      <c r="H65" s="1049">
        <v>0.45</v>
      </c>
      <c r="I65" s="1049">
        <f>ROUND(C65*E65*F65*G65*H65,2)</f>
        <v>0.55000000000000004</v>
      </c>
      <c r="J65" s="1049"/>
      <c r="K65" s="1049"/>
      <c r="L65" s="1049"/>
      <c r="M65" s="1049"/>
      <c r="N65" s="1087"/>
      <c r="O65" s="1087"/>
    </row>
    <row r="66" spans="1:15" ht="14.1">
      <c r="A66" s="1046"/>
      <c r="B66" s="1175" t="s">
        <v>2096</v>
      </c>
      <c r="C66" s="1048">
        <v>1</v>
      </c>
      <c r="D66" s="1048" t="s">
        <v>1472</v>
      </c>
      <c r="E66" s="1048">
        <v>1</v>
      </c>
      <c r="F66" s="1049">
        <f>(31.5-6-4)*0.3048</f>
        <v>6.5532000000000004</v>
      </c>
      <c r="G66" s="1049">
        <v>0.45</v>
      </c>
      <c r="H66" s="1049">
        <v>0.45</v>
      </c>
      <c r="I66" s="1049">
        <f t="shared" si="4"/>
        <v>1.33</v>
      </c>
      <c r="J66" s="1049"/>
      <c r="K66" s="1049"/>
      <c r="L66" s="1049"/>
      <c r="M66" s="1049"/>
      <c r="N66" s="1087"/>
      <c r="O66" s="1087"/>
    </row>
    <row r="67" spans="1:15" ht="14.1">
      <c r="A67" s="1046"/>
      <c r="B67" s="1175" t="s">
        <v>2097</v>
      </c>
      <c r="C67" s="1048">
        <v>1</v>
      </c>
      <c r="D67" s="1048" t="s">
        <v>1472</v>
      </c>
      <c r="E67" s="1048">
        <v>2</v>
      </c>
      <c r="F67" s="1049">
        <v>3</v>
      </c>
      <c r="G67" s="1049">
        <v>0.45</v>
      </c>
      <c r="H67" s="1049">
        <v>0.45</v>
      </c>
      <c r="I67" s="1049">
        <f>ROUND(C67*E67*F67*G67*H67,2)</f>
        <v>1.22</v>
      </c>
      <c r="J67" s="1049"/>
      <c r="K67" s="1049"/>
      <c r="L67" s="1049"/>
      <c r="M67" s="1049"/>
      <c r="N67" s="1087"/>
      <c r="O67" s="1087"/>
    </row>
    <row r="68" spans="1:15" ht="14.1">
      <c r="A68" s="1046"/>
      <c r="B68" s="1175" t="s">
        <v>2422</v>
      </c>
      <c r="C68" s="1048">
        <v>1</v>
      </c>
      <c r="D68" s="1048" t="s">
        <v>1472</v>
      </c>
      <c r="E68" s="1048">
        <v>2</v>
      </c>
      <c r="F68" s="1049">
        <v>3</v>
      </c>
      <c r="G68" s="1049">
        <v>1.2</v>
      </c>
      <c r="H68" s="1049">
        <v>0.3</v>
      </c>
      <c r="I68" s="1049">
        <f t="shared" si="4"/>
        <v>2.16</v>
      </c>
      <c r="J68" s="1049"/>
      <c r="K68" s="1049"/>
      <c r="L68" s="1049"/>
      <c r="M68" s="1049"/>
      <c r="N68" s="1087"/>
      <c r="O68" s="1087"/>
    </row>
    <row r="69" spans="1:15" ht="14.1">
      <c r="A69" s="1046"/>
      <c r="B69" s="1179"/>
      <c r="C69" s="1048"/>
      <c r="D69" s="1048"/>
      <c r="E69" s="1048"/>
      <c r="F69" s="1049"/>
      <c r="G69" s="1049"/>
      <c r="H69" s="1049"/>
      <c r="I69" s="1053">
        <f>SUM(I59:I68)</f>
        <v>22.889999999999997</v>
      </c>
      <c r="J69" s="1049"/>
      <c r="K69" s="1049"/>
      <c r="L69" s="1049"/>
      <c r="M69" s="1049"/>
      <c r="N69" s="1087"/>
      <c r="O69" s="1087"/>
    </row>
    <row r="70" spans="1:15" ht="14.1">
      <c r="A70" s="1046"/>
      <c r="B70" s="1179" t="s">
        <v>421</v>
      </c>
      <c r="C70" s="1048"/>
      <c r="D70" s="1048"/>
      <c r="E70" s="1048"/>
      <c r="F70" s="1049"/>
      <c r="G70" s="1049"/>
      <c r="H70" s="1049"/>
      <c r="I70" s="1049"/>
      <c r="J70" s="1049"/>
      <c r="K70" s="1049"/>
      <c r="L70" s="1049"/>
      <c r="M70" s="1049"/>
      <c r="N70" s="1087"/>
      <c r="O70" s="1087"/>
    </row>
    <row r="71" spans="1:15" ht="14.1">
      <c r="A71" s="1046"/>
      <c r="B71" s="1179" t="s">
        <v>2102</v>
      </c>
      <c r="C71" s="1048">
        <v>1</v>
      </c>
      <c r="D71" s="1048" t="s">
        <v>1472</v>
      </c>
      <c r="E71" s="1048">
        <v>1</v>
      </c>
      <c r="F71" s="1049">
        <f>(31.5-6)*0.3048</f>
        <v>7.7724000000000002</v>
      </c>
      <c r="G71" s="1049">
        <v>1.2</v>
      </c>
      <c r="H71" s="1049">
        <v>0.15</v>
      </c>
      <c r="I71" s="1049">
        <f t="shared" ref="I71:I78" si="5">ROUND(C71*E71*F71*G71*H71,2)</f>
        <v>1.4</v>
      </c>
      <c r="J71" s="1049"/>
      <c r="K71" s="1049"/>
      <c r="L71" s="1049"/>
      <c r="M71" s="1049"/>
      <c r="N71" s="1049"/>
      <c r="O71" s="1087"/>
    </row>
    <row r="72" spans="1:15" ht="14.1">
      <c r="A72" s="1046"/>
      <c r="B72" s="1179" t="s">
        <v>2103</v>
      </c>
      <c r="C72" s="1048">
        <v>1</v>
      </c>
      <c r="D72" s="1048" t="s">
        <v>1472</v>
      </c>
      <c r="E72" s="1048">
        <v>1</v>
      </c>
      <c r="F72" s="1049">
        <f>(31.5-6-2)*0.3048</f>
        <v>7.1628000000000007</v>
      </c>
      <c r="G72" s="1049">
        <v>0.9</v>
      </c>
      <c r="H72" s="1049">
        <v>0.15</v>
      </c>
      <c r="I72" s="1049">
        <f t="shared" si="5"/>
        <v>0.97</v>
      </c>
      <c r="J72" s="1049"/>
      <c r="K72" s="1049"/>
      <c r="L72" s="1049"/>
      <c r="M72" s="1049"/>
      <c r="N72" s="1049"/>
      <c r="O72" s="1087"/>
    </row>
    <row r="73" spans="1:15" ht="14.1">
      <c r="A73" s="1046"/>
      <c r="B73" s="1179" t="s">
        <v>2101</v>
      </c>
      <c r="C73" s="1048">
        <v>1</v>
      </c>
      <c r="D73" s="1048" t="s">
        <v>1472</v>
      </c>
      <c r="E73" s="1048">
        <v>1</v>
      </c>
      <c r="F73" s="1049">
        <f>(31.5-6-2-2)*0.3048</f>
        <v>6.5532000000000004</v>
      </c>
      <c r="G73" s="1049">
        <v>0.6</v>
      </c>
      <c r="H73" s="1049">
        <v>0.15</v>
      </c>
      <c r="I73" s="1049">
        <f t="shared" si="5"/>
        <v>0.59</v>
      </c>
      <c r="J73" s="1049"/>
      <c r="K73" s="1049"/>
      <c r="L73" s="1049"/>
      <c r="M73" s="1049"/>
      <c r="N73" s="1049"/>
      <c r="O73" s="1087"/>
    </row>
    <row r="74" spans="1:15" ht="14.1">
      <c r="A74" s="1046"/>
      <c r="B74" s="1179" t="s">
        <v>2104</v>
      </c>
      <c r="C74" s="1048">
        <v>1</v>
      </c>
      <c r="D74" s="1048" t="s">
        <v>1472</v>
      </c>
      <c r="E74" s="1048">
        <v>1</v>
      </c>
      <c r="F74" s="1049">
        <f>(31.5-6-2-2-2)*0.3048</f>
        <v>5.9436</v>
      </c>
      <c r="G74" s="1049">
        <v>0.3</v>
      </c>
      <c r="H74" s="1049">
        <v>0.15</v>
      </c>
      <c r="I74" s="1049">
        <f t="shared" si="5"/>
        <v>0.27</v>
      </c>
      <c r="J74" s="1049"/>
      <c r="K74" s="1049"/>
      <c r="L74" s="1049"/>
      <c r="M74" s="1049"/>
      <c r="N74" s="1049"/>
      <c r="O74" s="1087"/>
    </row>
    <row r="75" spans="1:15" ht="14.1">
      <c r="A75" s="1046"/>
      <c r="B75" s="1179" t="s">
        <v>2105</v>
      </c>
      <c r="C75" s="1048">
        <v>1</v>
      </c>
      <c r="D75" s="1048" t="s">
        <v>1472</v>
      </c>
      <c r="E75" s="1048">
        <v>1</v>
      </c>
      <c r="F75" s="1049">
        <f>(10)*0.3048</f>
        <v>3.048</v>
      </c>
      <c r="G75" s="1049">
        <v>1.2</v>
      </c>
      <c r="H75" s="1049">
        <v>0.15</v>
      </c>
      <c r="I75" s="1049">
        <f t="shared" si="5"/>
        <v>0.55000000000000004</v>
      </c>
      <c r="J75" s="1049"/>
      <c r="K75" s="1049"/>
      <c r="L75" s="1049"/>
      <c r="M75" s="1049"/>
      <c r="N75" s="1049"/>
      <c r="O75" s="1087"/>
    </row>
    <row r="76" spans="1:15" ht="14.1">
      <c r="A76" s="1046"/>
      <c r="B76" s="1179" t="s">
        <v>2106</v>
      </c>
      <c r="C76" s="1048">
        <v>1</v>
      </c>
      <c r="D76" s="1048" t="s">
        <v>1472</v>
      </c>
      <c r="E76" s="1048">
        <v>1</v>
      </c>
      <c r="F76" s="1049">
        <f>(10-1)*0.3048</f>
        <v>2.7432000000000003</v>
      </c>
      <c r="G76" s="1049">
        <v>0.9</v>
      </c>
      <c r="H76" s="1049">
        <v>0.15</v>
      </c>
      <c r="I76" s="1049">
        <f t="shared" si="5"/>
        <v>0.37</v>
      </c>
      <c r="J76" s="1049"/>
      <c r="K76" s="1049"/>
      <c r="L76" s="1049"/>
      <c r="M76" s="1049"/>
      <c r="N76" s="1049"/>
      <c r="O76" s="1087"/>
    </row>
    <row r="77" spans="1:15" ht="14.1">
      <c r="A77" s="1046"/>
      <c r="B77" s="1179" t="s">
        <v>2107</v>
      </c>
      <c r="C77" s="1048">
        <v>1</v>
      </c>
      <c r="D77" s="1048" t="s">
        <v>1472</v>
      </c>
      <c r="E77" s="1048">
        <v>1</v>
      </c>
      <c r="F77" s="1049">
        <f>(10-2)*0.3048</f>
        <v>2.4384000000000001</v>
      </c>
      <c r="G77" s="1049">
        <v>0.6</v>
      </c>
      <c r="H77" s="1049">
        <v>0.15</v>
      </c>
      <c r="I77" s="1049">
        <f t="shared" si="5"/>
        <v>0.22</v>
      </c>
      <c r="J77" s="1049"/>
      <c r="K77" s="1049"/>
      <c r="L77" s="1049"/>
      <c r="M77" s="1049"/>
      <c r="N77" s="1049"/>
      <c r="O77" s="1087"/>
    </row>
    <row r="78" spans="1:15" ht="14.1">
      <c r="A78" s="1046"/>
      <c r="B78" s="1179" t="s">
        <v>2108</v>
      </c>
      <c r="C78" s="1048">
        <v>1</v>
      </c>
      <c r="D78" s="1048" t="s">
        <v>1472</v>
      </c>
      <c r="E78" s="1048">
        <v>1</v>
      </c>
      <c r="F78" s="1049">
        <f>(10-3)*0.3048</f>
        <v>2.1335999999999999</v>
      </c>
      <c r="G78" s="1049">
        <v>0.3</v>
      </c>
      <c r="H78" s="1049">
        <v>0.15</v>
      </c>
      <c r="I78" s="1049">
        <f t="shared" si="5"/>
        <v>0.1</v>
      </c>
      <c r="J78" s="1049"/>
      <c r="K78" s="1049"/>
      <c r="L78" s="1049"/>
      <c r="M78" s="1049"/>
      <c r="N78" s="1049"/>
      <c r="O78" s="1087"/>
    </row>
    <row r="79" spans="1:15" ht="14.1">
      <c r="A79" s="1046"/>
      <c r="B79" s="1179"/>
      <c r="C79" s="1048"/>
      <c r="D79" s="1048"/>
      <c r="E79" s="1048"/>
      <c r="F79" s="1049"/>
      <c r="G79" s="1049"/>
      <c r="H79" s="1049"/>
      <c r="I79" s="1053">
        <f>SUM(I71:I78)</f>
        <v>4.47</v>
      </c>
      <c r="J79" s="1049"/>
      <c r="K79" s="1049"/>
      <c r="L79" s="1049"/>
      <c r="M79" s="1049"/>
      <c r="N79" s="1068"/>
      <c r="O79" s="1087"/>
    </row>
    <row r="80" spans="1:15" ht="14.1">
      <c r="A80" s="1046"/>
      <c r="B80" s="2432"/>
      <c r="C80" s="2433"/>
      <c r="D80" s="2433"/>
      <c r="E80" s="2433"/>
      <c r="F80" s="2433"/>
      <c r="G80" s="2433"/>
      <c r="H80" s="2434"/>
      <c r="I80" s="1053">
        <f>I79+I69+I58</f>
        <v>50.36999999999999</v>
      </c>
      <c r="J80" s="1049">
        <f>Datas!$G$212</f>
        <v>3494.84</v>
      </c>
      <c r="K80" s="1053">
        <f>ROUND(J80*I80,0)</f>
        <v>176035</v>
      </c>
      <c r="L80" s="1049">
        <f>1.1*75+0.33*90</f>
        <v>112.2</v>
      </c>
      <c r="M80" s="1055">
        <f>L80*I80</f>
        <v>5651.5139999999992</v>
      </c>
      <c r="N80" s="1087">
        <f>(1.1*75+0.33*90)</f>
        <v>112.2</v>
      </c>
      <c r="O80" s="1087">
        <f>ROUND(I80*N80,0)</f>
        <v>5652</v>
      </c>
    </row>
    <row r="81" spans="1:15" ht="14.1">
      <c r="A81" s="1046"/>
      <c r="B81" s="1051"/>
      <c r="C81" s="1048"/>
      <c r="D81" s="1048"/>
      <c r="E81" s="1048"/>
      <c r="F81" s="1049"/>
      <c r="G81" s="1049"/>
      <c r="H81" s="1049"/>
      <c r="I81" s="1053" t="s">
        <v>656</v>
      </c>
      <c r="J81" s="1049" t="s">
        <v>197</v>
      </c>
      <c r="K81" s="1049"/>
      <c r="L81" s="1049"/>
      <c r="M81" s="1049"/>
      <c r="N81" s="1087"/>
      <c r="O81" s="1087"/>
    </row>
    <row r="82" spans="1:15" ht="157.5" customHeight="1">
      <c r="A82" s="1046">
        <v>5</v>
      </c>
      <c r="B82" s="2415" t="s">
        <v>2294</v>
      </c>
      <c r="C82" s="2426"/>
      <c r="D82" s="2426"/>
      <c r="E82" s="2426"/>
      <c r="F82" s="2426"/>
      <c r="G82" s="2426"/>
      <c r="H82" s="2426"/>
      <c r="I82" s="2427"/>
      <c r="J82" s="1049"/>
      <c r="K82" s="1049"/>
      <c r="L82" s="1049"/>
      <c r="M82" s="1049"/>
      <c r="N82" s="1087"/>
      <c r="O82" s="1087"/>
    </row>
    <row r="83" spans="1:15" ht="14.1">
      <c r="A83" s="1046" t="s">
        <v>659</v>
      </c>
      <c r="B83" s="1066" t="s">
        <v>660</v>
      </c>
      <c r="C83" s="1048">
        <v>2</v>
      </c>
      <c r="D83" s="1048" t="s">
        <v>1472</v>
      </c>
      <c r="E83" s="1048">
        <v>6</v>
      </c>
      <c r="F83" s="1049">
        <v>1.5</v>
      </c>
      <c r="G83" s="1049">
        <v>1.5</v>
      </c>
      <c r="H83" s="1049">
        <v>0.4</v>
      </c>
      <c r="I83" s="1049">
        <f>ROUND(C83*E83*F83*G83*H83,2)</f>
        <v>10.8</v>
      </c>
      <c r="J83" s="1049"/>
      <c r="K83" s="1049"/>
      <c r="L83" s="1049"/>
      <c r="M83" s="1049"/>
      <c r="N83" s="1087"/>
      <c r="O83" s="1087"/>
    </row>
    <row r="84" spans="1:15" ht="14.1">
      <c r="A84" s="1046"/>
      <c r="B84" s="1065"/>
      <c r="C84" s="1048"/>
      <c r="D84" s="1048"/>
      <c r="E84" s="1048"/>
      <c r="F84" s="1049"/>
      <c r="G84" s="1049"/>
      <c r="H84" s="1049"/>
      <c r="I84" s="1052">
        <f>I83</f>
        <v>10.8</v>
      </c>
      <c r="J84" s="1049">
        <f>Datas!$G$318</f>
        <v>8788.51</v>
      </c>
      <c r="K84" s="1053">
        <f>ROUND(J84*I84,0)</f>
        <v>94916</v>
      </c>
      <c r="L84" s="1049">
        <v>108</v>
      </c>
      <c r="M84" s="1055">
        <f>L84*I84</f>
        <v>1166.4000000000001</v>
      </c>
      <c r="N84" s="1087">
        <v>108</v>
      </c>
      <c r="O84" s="1087">
        <f>ROUND(I84*N84,0)</f>
        <v>1166</v>
      </c>
    </row>
    <row r="85" spans="1:15" ht="14.1">
      <c r="A85" s="1046"/>
      <c r="B85" s="1065"/>
      <c r="C85" s="1048"/>
      <c r="D85" s="1048"/>
      <c r="E85" s="1048"/>
      <c r="F85" s="1049"/>
      <c r="G85" s="1049"/>
      <c r="H85" s="1049"/>
      <c r="I85" s="1053" t="s">
        <v>656</v>
      </c>
      <c r="J85" s="1049" t="s">
        <v>658</v>
      </c>
      <c r="K85" s="1053"/>
      <c r="L85" s="1053"/>
      <c r="M85" s="1053"/>
      <c r="N85" s="1087"/>
      <c r="O85" s="1087"/>
    </row>
    <row r="86" spans="1:15" ht="14.1">
      <c r="A86" s="1046" t="s">
        <v>950</v>
      </c>
      <c r="B86" s="1066" t="s">
        <v>662</v>
      </c>
      <c r="C86" s="1048"/>
      <c r="D86" s="1048"/>
      <c r="E86" s="1048"/>
      <c r="F86" s="1049"/>
      <c r="G86" s="1049"/>
      <c r="H86" s="1049"/>
      <c r="I86" s="1049"/>
      <c r="J86" s="1049"/>
      <c r="K86" s="1049"/>
      <c r="L86" s="1049"/>
      <c r="M86" s="1049"/>
      <c r="N86" s="1087"/>
      <c r="O86" s="1087"/>
    </row>
    <row r="87" spans="1:15" ht="14.1">
      <c r="A87" s="1046"/>
      <c r="B87" s="1065" t="s">
        <v>155</v>
      </c>
      <c r="C87" s="1048">
        <v>2</v>
      </c>
      <c r="D87" s="1048" t="s">
        <v>1472</v>
      </c>
      <c r="E87" s="1048">
        <v>6</v>
      </c>
      <c r="F87" s="1049">
        <v>0.23</v>
      </c>
      <c r="G87" s="1049">
        <v>0.375</v>
      </c>
      <c r="H87" s="1049">
        <f>1.65-0.15-0.4</f>
        <v>1.1000000000000001</v>
      </c>
      <c r="I87" s="1049">
        <f>ROUND(C87*E87*F87*G87*H87,2)</f>
        <v>1.1399999999999999</v>
      </c>
      <c r="J87" s="1049"/>
      <c r="K87" s="1049"/>
      <c r="L87" s="1049"/>
      <c r="M87" s="1049"/>
      <c r="N87" s="1087"/>
      <c r="O87" s="1087"/>
    </row>
    <row r="88" spans="1:15" ht="14.1">
      <c r="A88" s="1046"/>
      <c r="B88" s="1066" t="s">
        <v>665</v>
      </c>
      <c r="C88" s="1048"/>
      <c r="D88" s="1048"/>
      <c r="E88" s="1048"/>
      <c r="F88" s="1049"/>
      <c r="G88" s="1049"/>
      <c r="H88" s="1049"/>
      <c r="I88" s="1053"/>
      <c r="J88" s="1049"/>
      <c r="K88" s="1049"/>
      <c r="L88" s="1049"/>
      <c r="M88" s="1049"/>
      <c r="N88" s="1087"/>
      <c r="O88" s="1087"/>
    </row>
    <row r="89" spans="1:15" ht="14.1">
      <c r="A89" s="1046"/>
      <c r="B89" s="1065" t="s">
        <v>155</v>
      </c>
      <c r="C89" s="1048">
        <v>2</v>
      </c>
      <c r="D89" s="1048" t="s">
        <v>1472</v>
      </c>
      <c r="E89" s="1048">
        <v>6</v>
      </c>
      <c r="F89" s="1049">
        <v>0.23</v>
      </c>
      <c r="G89" s="1049">
        <v>0.375</v>
      </c>
      <c r="H89" s="1049">
        <v>4.5599999999999996</v>
      </c>
      <c r="I89" s="1049">
        <f>ROUND(C89*E89*F89*G89*H89,2)</f>
        <v>4.72</v>
      </c>
      <c r="J89" s="1049"/>
      <c r="K89" s="1049"/>
      <c r="L89" s="1049"/>
      <c r="M89" s="1049"/>
      <c r="N89" s="1087"/>
      <c r="O89" s="1087"/>
    </row>
    <row r="90" spans="1:15" ht="14.1">
      <c r="A90" s="1046"/>
      <c r="B90" s="1065"/>
      <c r="C90" s="1048"/>
      <c r="D90" s="1048"/>
      <c r="E90" s="1048"/>
      <c r="F90" s="1049"/>
      <c r="G90" s="1049"/>
      <c r="H90" s="1049"/>
      <c r="I90" s="1053">
        <f>SUM(I87:I89)</f>
        <v>5.8599999999999994</v>
      </c>
      <c r="J90" s="1049"/>
      <c r="K90" s="1049"/>
      <c r="L90" s="1049"/>
      <c r="M90" s="1049"/>
      <c r="N90" s="1087"/>
      <c r="O90" s="1087"/>
    </row>
    <row r="91" spans="1:15" ht="14.1">
      <c r="A91" s="1046"/>
      <c r="B91" s="2432"/>
      <c r="C91" s="2433"/>
      <c r="D91" s="2433"/>
      <c r="E91" s="2433"/>
      <c r="F91" s="2433"/>
      <c r="G91" s="2433"/>
      <c r="H91" s="2434"/>
      <c r="I91" s="1052">
        <f>I90</f>
        <v>5.8599999999999994</v>
      </c>
      <c r="J91" s="1049">
        <f>Datas!$E$388</f>
        <v>11842.03</v>
      </c>
      <c r="K91" s="1053">
        <f>ROUND(J91*I91,0)</f>
        <v>69394</v>
      </c>
      <c r="L91" s="1049">
        <v>108</v>
      </c>
      <c r="M91" s="1055">
        <f>L91*I91</f>
        <v>632.87999999999988</v>
      </c>
      <c r="N91" s="1087">
        <v>108</v>
      </c>
      <c r="O91" s="1087">
        <f>ROUND(I91*N91,0)</f>
        <v>633</v>
      </c>
    </row>
    <row r="92" spans="1:15" ht="14.1">
      <c r="A92" s="1046"/>
      <c r="B92" s="1065"/>
      <c r="C92" s="1048"/>
      <c r="D92" s="1048"/>
      <c r="E92" s="1048"/>
      <c r="F92" s="1049"/>
      <c r="G92" s="1049"/>
      <c r="H92" s="1049"/>
      <c r="I92" s="1053" t="s">
        <v>656</v>
      </c>
      <c r="J92" s="1049" t="s">
        <v>668</v>
      </c>
      <c r="K92" s="1053"/>
      <c r="L92" s="1053"/>
      <c r="M92" s="1053"/>
      <c r="N92" s="1087"/>
      <c r="O92" s="1087"/>
    </row>
    <row r="93" spans="1:15" ht="14.1">
      <c r="A93" s="1046" t="s">
        <v>661</v>
      </c>
      <c r="B93" s="1064" t="s">
        <v>154</v>
      </c>
      <c r="C93" s="1067"/>
      <c r="D93" s="1067"/>
      <c r="E93" s="1048"/>
      <c r="F93" s="1049"/>
      <c r="G93" s="1049"/>
      <c r="H93" s="1049"/>
      <c r="I93" s="1049"/>
      <c r="J93" s="1049"/>
      <c r="K93" s="1053"/>
      <c r="L93" s="1049"/>
      <c r="M93" s="1049"/>
      <c r="N93" s="1087"/>
      <c r="O93" s="1087"/>
    </row>
    <row r="94" spans="1:15" ht="14.1">
      <c r="A94" s="1046"/>
      <c r="B94" s="1051" t="s">
        <v>2109</v>
      </c>
      <c r="C94" s="1048">
        <v>1</v>
      </c>
      <c r="D94" s="1048" t="s">
        <v>1472</v>
      </c>
      <c r="E94" s="1048">
        <v>2</v>
      </c>
      <c r="F94" s="1049">
        <f>60.75*0.3048-6*0.225</f>
        <v>17.166599999999999</v>
      </c>
      <c r="G94" s="1049">
        <v>0.23</v>
      </c>
      <c r="H94" s="1049">
        <v>0.3</v>
      </c>
      <c r="I94" s="1049">
        <f>ROUND(C94*E94*F94*G94*H94,2)</f>
        <v>2.37</v>
      </c>
      <c r="J94" s="1049"/>
      <c r="K94" s="1049"/>
      <c r="L94" s="1049"/>
      <c r="M94" s="1049"/>
      <c r="N94" s="1087"/>
      <c r="O94" s="1087"/>
    </row>
    <row r="95" spans="1:15" ht="14.1">
      <c r="A95" s="1046"/>
      <c r="B95" s="1051" t="s">
        <v>2110</v>
      </c>
      <c r="C95" s="1048">
        <v>1</v>
      </c>
      <c r="D95" s="1048" t="s">
        <v>1472</v>
      </c>
      <c r="E95" s="1048">
        <v>3</v>
      </c>
      <c r="F95" s="1049">
        <f>30*0.3048</f>
        <v>9.1440000000000001</v>
      </c>
      <c r="G95" s="1049">
        <v>0.23</v>
      </c>
      <c r="H95" s="1049">
        <v>0.3</v>
      </c>
      <c r="I95" s="1049">
        <f>ROUND(C95*E95*F95*G95*H95,2)</f>
        <v>1.89</v>
      </c>
      <c r="J95" s="1049"/>
      <c r="K95" s="1049"/>
      <c r="L95" s="1049"/>
      <c r="M95" s="1049"/>
      <c r="N95" s="1087"/>
      <c r="O95" s="1087"/>
    </row>
    <row r="96" spans="1:15" ht="14.1">
      <c r="A96" s="1046"/>
      <c r="B96" s="1065"/>
      <c r="C96" s="1048"/>
      <c r="D96" s="1048"/>
      <c r="E96" s="1048"/>
      <c r="F96" s="1049"/>
      <c r="G96" s="1049"/>
      <c r="H96" s="1049"/>
      <c r="I96" s="1052">
        <f>SUM(I94:I95)</f>
        <v>4.26</v>
      </c>
      <c r="J96" s="1049">
        <f>Datas!$G$340</f>
        <v>11378.51</v>
      </c>
      <c r="K96" s="1053">
        <f>ROUND(J96*I96,0)</f>
        <v>48472</v>
      </c>
      <c r="L96" s="1049">
        <v>108</v>
      </c>
      <c r="M96" s="1055">
        <f>L96*I96</f>
        <v>460.08</v>
      </c>
      <c r="N96" s="1087">
        <v>108</v>
      </c>
      <c r="O96" s="1087">
        <f>ROUND(I96*N96,0)</f>
        <v>460</v>
      </c>
    </row>
    <row r="97" spans="1:15" ht="14.1">
      <c r="A97" s="1046"/>
      <c r="B97" s="1065"/>
      <c r="C97" s="1048"/>
      <c r="D97" s="1048"/>
      <c r="E97" s="1048"/>
      <c r="F97" s="1049"/>
      <c r="G97" s="1049"/>
      <c r="H97" s="1049"/>
      <c r="I97" s="1053" t="s">
        <v>656</v>
      </c>
      <c r="J97" s="1053" t="s">
        <v>670</v>
      </c>
      <c r="K97" s="1053"/>
      <c r="L97" s="1053"/>
      <c r="M97" s="1053"/>
      <c r="N97" s="1087"/>
      <c r="O97" s="1087"/>
    </row>
    <row r="98" spans="1:15" ht="14.1">
      <c r="A98" s="1046" t="s">
        <v>669</v>
      </c>
      <c r="B98" s="1064" t="s">
        <v>2324</v>
      </c>
      <c r="C98" s="1067"/>
      <c r="D98" s="1067"/>
      <c r="E98" s="1048"/>
      <c r="F98" s="1049"/>
      <c r="G98" s="1049"/>
      <c r="H98" s="1049"/>
      <c r="I98" s="1049"/>
      <c r="J98" s="1049"/>
      <c r="K98" s="1049"/>
      <c r="L98" s="1049"/>
      <c r="M98" s="1049"/>
      <c r="N98" s="1087"/>
      <c r="O98" s="1087"/>
    </row>
    <row r="99" spans="1:15" ht="14.1">
      <c r="A99" s="1046"/>
      <c r="B99" s="1051" t="s">
        <v>2325</v>
      </c>
      <c r="C99" s="1048">
        <v>1</v>
      </c>
      <c r="D99" s="1048" t="s">
        <v>1472</v>
      </c>
      <c r="E99" s="1048">
        <v>2</v>
      </c>
      <c r="F99" s="1049">
        <f>60.75*0.3048-6*0.225</f>
        <v>17.166599999999999</v>
      </c>
      <c r="G99" s="1049">
        <v>0.23</v>
      </c>
      <c r="H99" s="1049">
        <v>0.3</v>
      </c>
      <c r="I99" s="1049">
        <f>ROUND(C99*E99*F99*G99*H99,2)</f>
        <v>2.37</v>
      </c>
      <c r="J99" s="1049"/>
      <c r="K99" s="1049"/>
      <c r="L99" s="1049"/>
      <c r="M99" s="1049"/>
      <c r="N99" s="1087"/>
      <c r="O99" s="1087"/>
    </row>
    <row r="100" spans="1:15" ht="14.1">
      <c r="A100" s="1046"/>
      <c r="B100" s="1051" t="s">
        <v>2110</v>
      </c>
      <c r="C100" s="1048">
        <v>1</v>
      </c>
      <c r="D100" s="1048" t="s">
        <v>1472</v>
      </c>
      <c r="E100" s="1048">
        <v>3</v>
      </c>
      <c r="F100" s="1049">
        <v>9</v>
      </c>
      <c r="G100" s="1049">
        <v>0.23</v>
      </c>
      <c r="H100" s="1049">
        <v>0.3</v>
      </c>
      <c r="I100" s="1049">
        <f>ROUND(C100*E100*F100*G100*H100,2)</f>
        <v>1.86</v>
      </c>
      <c r="J100" s="1049"/>
      <c r="K100" s="1049"/>
      <c r="L100" s="1049"/>
      <c r="M100" s="1049"/>
      <c r="N100" s="1087"/>
      <c r="O100" s="1087"/>
    </row>
    <row r="101" spans="1:15" ht="14.1">
      <c r="A101" s="1046"/>
      <c r="B101" s="1051" t="s">
        <v>2415</v>
      </c>
      <c r="C101" s="1048">
        <v>1</v>
      </c>
      <c r="D101" s="1048" t="s">
        <v>1472</v>
      </c>
      <c r="E101" s="1048">
        <v>1</v>
      </c>
      <c r="F101" s="1049">
        <v>3.6</v>
      </c>
      <c r="G101" s="1049">
        <v>0.23</v>
      </c>
      <c r="H101" s="1049">
        <v>0.3</v>
      </c>
      <c r="I101" s="1049">
        <f>ROUND(C101*E101*F101*G101*H101,2)</f>
        <v>0.25</v>
      </c>
      <c r="J101" s="1049"/>
      <c r="K101" s="1049"/>
      <c r="L101" s="1049"/>
      <c r="M101" s="1049"/>
      <c r="N101" s="1087"/>
      <c r="O101" s="1087"/>
    </row>
    <row r="102" spans="1:15" ht="14.1">
      <c r="A102" s="1046"/>
      <c r="B102" s="1065"/>
      <c r="C102" s="1048"/>
      <c r="D102" s="1048"/>
      <c r="E102" s="1048"/>
      <c r="F102" s="1049"/>
      <c r="G102" s="1049"/>
      <c r="H102" s="1049" t="s">
        <v>667</v>
      </c>
      <c r="I102" s="1052">
        <f>SUM(I99:I101)</f>
        <v>4.4800000000000004</v>
      </c>
      <c r="J102" s="1049">
        <f>Datas!$E$419</f>
        <v>11257.84</v>
      </c>
      <c r="K102" s="1053">
        <f>ROUND(J102*I102,0)</f>
        <v>50435</v>
      </c>
      <c r="L102" s="1049">
        <v>108</v>
      </c>
      <c r="M102" s="1055">
        <f>L102*I102</f>
        <v>483.84000000000003</v>
      </c>
      <c r="N102" s="1087">
        <v>108</v>
      </c>
      <c r="O102" s="1087">
        <f>ROUND(I102*N102,0)</f>
        <v>484</v>
      </c>
    </row>
    <row r="103" spans="1:15" ht="14.1">
      <c r="A103" s="1046"/>
      <c r="B103" s="1065"/>
      <c r="C103" s="1048"/>
      <c r="D103" s="1048"/>
      <c r="E103" s="1048"/>
      <c r="F103" s="1049"/>
      <c r="G103" s="1049"/>
      <c r="H103" s="1049"/>
      <c r="I103" s="1053" t="s">
        <v>656</v>
      </c>
      <c r="J103" s="1053" t="s">
        <v>670</v>
      </c>
      <c r="K103" s="1053"/>
      <c r="L103" s="1053"/>
      <c r="M103" s="1053"/>
      <c r="N103" s="1087"/>
      <c r="O103" s="1087"/>
    </row>
    <row r="104" spans="1:15" ht="14.1">
      <c r="A104" s="1046" t="s">
        <v>671</v>
      </c>
      <c r="B104" s="1064" t="s">
        <v>2411</v>
      </c>
      <c r="C104" s="1067"/>
      <c r="D104" s="1067"/>
      <c r="E104" s="1048"/>
      <c r="F104" s="1049"/>
      <c r="G104" s="1049"/>
      <c r="H104" s="1049"/>
      <c r="I104" s="1049"/>
      <c r="J104" s="1049"/>
      <c r="K104" s="1049"/>
      <c r="L104" s="1049"/>
      <c r="M104" s="1049"/>
      <c r="N104" s="1087"/>
      <c r="O104" s="1087"/>
    </row>
    <row r="105" spans="1:15" ht="14.1">
      <c r="A105" s="1046"/>
      <c r="B105" s="1051"/>
      <c r="C105" s="1048">
        <v>1</v>
      </c>
      <c r="D105" s="1048" t="s">
        <v>1472</v>
      </c>
      <c r="E105" s="1048">
        <v>1</v>
      </c>
      <c r="F105" s="1049">
        <f>14*0.3048</f>
        <v>4.2671999999999999</v>
      </c>
      <c r="G105" s="1084">
        <v>1</v>
      </c>
      <c r="H105" s="1049">
        <f>13.5*0.3048</f>
        <v>4.1147999999999998</v>
      </c>
      <c r="I105" s="1049">
        <f>ROUND(C105*E105*F105*G105*H105,2)</f>
        <v>17.559999999999999</v>
      </c>
      <c r="J105" s="1049"/>
      <c r="K105" s="1049"/>
      <c r="L105" s="1049"/>
      <c r="M105" s="1049"/>
      <c r="N105" s="1087"/>
      <c r="O105" s="1087"/>
    </row>
    <row r="106" spans="1:15" ht="14.1">
      <c r="A106" s="1046"/>
      <c r="B106" s="1065"/>
      <c r="C106" s="1048"/>
      <c r="D106" s="1048"/>
      <c r="E106" s="1048"/>
      <c r="F106" s="1049"/>
      <c r="G106" s="1049"/>
      <c r="H106" s="1049" t="s">
        <v>667</v>
      </c>
      <c r="I106" s="1052">
        <f>SUM(I105:I105)</f>
        <v>17.559999999999999</v>
      </c>
      <c r="J106" s="1049">
        <f>Datas!E470</f>
        <v>1346.355</v>
      </c>
      <c r="K106" s="1053">
        <f>ROUND(J106*I106/10,0)</f>
        <v>2364</v>
      </c>
      <c r="L106" s="1049">
        <v>108</v>
      </c>
      <c r="M106" s="1055">
        <f>L106*I106</f>
        <v>1896.4799999999998</v>
      </c>
      <c r="N106" s="1087">
        <v>108</v>
      </c>
      <c r="O106" s="1087">
        <f>ROUND(I106*N106*0.125,0)</f>
        <v>237</v>
      </c>
    </row>
    <row r="107" spans="1:15" ht="14.1">
      <c r="A107" s="1046"/>
      <c r="B107" s="1065"/>
      <c r="C107" s="1048"/>
      <c r="D107" s="1048"/>
      <c r="E107" s="1048"/>
      <c r="F107" s="1049"/>
      <c r="G107" s="1049"/>
      <c r="H107" s="1049"/>
      <c r="I107" s="1053" t="s">
        <v>2260</v>
      </c>
      <c r="J107" s="1053" t="s">
        <v>2169</v>
      </c>
      <c r="K107" s="1053"/>
      <c r="L107" s="1053"/>
      <c r="M107" s="1053"/>
      <c r="N107" s="1087"/>
      <c r="O107" s="1087"/>
    </row>
    <row r="108" spans="1:15" ht="131.25" customHeight="1">
      <c r="A108" s="1046">
        <v>6</v>
      </c>
      <c r="B108" s="2415" t="s">
        <v>2295</v>
      </c>
      <c r="C108" s="2426"/>
      <c r="D108" s="2426"/>
      <c r="E108" s="2426"/>
      <c r="F108" s="2426"/>
      <c r="G108" s="2426"/>
      <c r="H108" s="2426"/>
      <c r="I108" s="2427"/>
      <c r="J108" s="1049"/>
      <c r="K108" s="1049"/>
      <c r="L108" s="1049"/>
      <c r="M108" s="1049"/>
      <c r="N108" s="1087"/>
      <c r="O108" s="1087"/>
    </row>
    <row r="109" spans="1:15" ht="14.1">
      <c r="A109" s="1046"/>
      <c r="B109" s="1061" t="s">
        <v>673</v>
      </c>
      <c r="C109" s="1048"/>
      <c r="D109" s="1048"/>
      <c r="E109" s="1048"/>
      <c r="F109" s="1049"/>
      <c r="G109" s="1049"/>
      <c r="H109" s="1049"/>
      <c r="I109" s="1049"/>
      <c r="J109" s="1049"/>
      <c r="K109" s="1049"/>
      <c r="L109" s="1049"/>
      <c r="M109" s="1049"/>
      <c r="N109" s="1087"/>
      <c r="O109" s="1087"/>
    </row>
    <row r="110" spans="1:15">
      <c r="A110" s="1048"/>
      <c r="B110" s="1061" t="s">
        <v>2209</v>
      </c>
      <c r="C110" s="1048">
        <v>1</v>
      </c>
      <c r="D110" s="1048" t="s">
        <v>1472</v>
      </c>
      <c r="E110" s="1048">
        <v>1</v>
      </c>
      <c r="F110" s="1049">
        <v>1.6</v>
      </c>
      <c r="G110" s="88">
        <v>0.15</v>
      </c>
      <c r="H110" s="1049">
        <v>0.1</v>
      </c>
      <c r="I110" s="1049">
        <f>ROUND(C110*E110*F110*G110*H110,2)</f>
        <v>0.02</v>
      </c>
      <c r="J110" s="1049"/>
      <c r="K110" s="1049"/>
      <c r="L110" s="1049"/>
      <c r="M110" s="1049"/>
      <c r="N110" s="1087"/>
      <c r="O110" s="1087"/>
    </row>
    <row r="111" spans="1:15">
      <c r="A111" s="1048"/>
      <c r="B111" s="1061" t="s">
        <v>2210</v>
      </c>
      <c r="C111" s="1048">
        <v>1</v>
      </c>
      <c r="D111" s="1048" t="s">
        <v>1472</v>
      </c>
      <c r="E111" s="1048">
        <v>2</v>
      </c>
      <c r="F111" s="1049">
        <v>1.05</v>
      </c>
      <c r="G111" s="88">
        <v>0.115</v>
      </c>
      <c r="H111" s="1049">
        <v>0.1</v>
      </c>
      <c r="I111" s="1049">
        <f>ROUND(C111*E111*F111*G111*H111,2)</f>
        <v>0.02</v>
      </c>
      <c r="J111" s="1049"/>
      <c r="K111" s="1049"/>
      <c r="L111" s="1049"/>
      <c r="M111" s="1049"/>
      <c r="N111" s="1087"/>
      <c r="O111" s="1087"/>
    </row>
    <row r="112" spans="1:15">
      <c r="A112" s="1048"/>
      <c r="B112" s="1061" t="s">
        <v>2112</v>
      </c>
      <c r="C112" s="1048">
        <v>1</v>
      </c>
      <c r="D112" s="1048" t="s">
        <v>1472</v>
      </c>
      <c r="E112" s="1048">
        <v>2</v>
      </c>
      <c r="F112" s="1049">
        <v>1.8</v>
      </c>
      <c r="G112" s="88">
        <v>0.23</v>
      </c>
      <c r="H112" s="1049">
        <v>0.15</v>
      </c>
      <c r="I112" s="1049">
        <f>ROUND(C112*E112*F112*G112*H112,2)</f>
        <v>0.12</v>
      </c>
      <c r="J112" s="1049"/>
      <c r="K112" s="1049"/>
      <c r="L112" s="1049"/>
      <c r="M112" s="1049"/>
      <c r="N112" s="1087"/>
      <c r="O112" s="1087"/>
    </row>
    <row r="113" spans="1:15" ht="14.1">
      <c r="A113" s="1046"/>
      <c r="B113" s="1061"/>
      <c r="C113" s="1048"/>
      <c r="D113" s="1048"/>
      <c r="E113" s="1048"/>
      <c r="F113" s="1049"/>
      <c r="G113" s="1049"/>
      <c r="H113" s="1049"/>
      <c r="I113" s="1052">
        <f>SUM(I110:I112)</f>
        <v>0.16</v>
      </c>
      <c r="J113" s="1049">
        <f>Datas!$E$372</f>
        <v>11905.03</v>
      </c>
      <c r="K113" s="1053">
        <f>ROUND(J113*I113,0)</f>
        <v>1905</v>
      </c>
      <c r="L113" s="1049">
        <v>108</v>
      </c>
      <c r="M113" s="1055">
        <f>L113*I113</f>
        <v>17.28</v>
      </c>
      <c r="N113" s="1087">
        <v>108</v>
      </c>
      <c r="O113" s="1087">
        <f>ROUND(I113*N113,0)</f>
        <v>17</v>
      </c>
    </row>
    <row r="114" spans="1:15" ht="14.1">
      <c r="A114" s="1046"/>
      <c r="B114" s="1061"/>
      <c r="C114" s="1048"/>
      <c r="D114" s="1048"/>
      <c r="E114" s="1048"/>
      <c r="F114" s="1049"/>
      <c r="G114" s="1049"/>
      <c r="H114" s="1049"/>
      <c r="I114" s="1053" t="s">
        <v>656</v>
      </c>
      <c r="J114" s="1053" t="s">
        <v>670</v>
      </c>
      <c r="K114" s="1053"/>
      <c r="L114" s="1049"/>
      <c r="M114" s="1049"/>
      <c r="N114" s="1087"/>
      <c r="O114" s="1087"/>
    </row>
    <row r="115" spans="1:15" ht="145.5" customHeight="1">
      <c r="A115" s="1046">
        <v>7</v>
      </c>
      <c r="B115" s="2415" t="s">
        <v>2296</v>
      </c>
      <c r="C115" s="2426"/>
      <c r="D115" s="2426"/>
      <c r="E115" s="2426"/>
      <c r="F115" s="2426"/>
      <c r="G115" s="2426"/>
      <c r="H115" s="2426"/>
      <c r="I115" s="2427"/>
      <c r="J115" s="1049"/>
      <c r="K115" s="1049"/>
      <c r="L115" s="1049"/>
      <c r="M115" s="1049"/>
      <c r="N115" s="1087"/>
      <c r="O115" s="1087"/>
    </row>
    <row r="116" spans="1:15">
      <c r="A116" s="1048"/>
      <c r="B116" s="1061" t="s">
        <v>2211</v>
      </c>
      <c r="C116" s="1048">
        <v>1</v>
      </c>
      <c r="D116" s="1048" t="s">
        <v>1472</v>
      </c>
      <c r="E116" s="1048">
        <v>2</v>
      </c>
      <c r="F116" s="1049">
        <f>(60.75-3)*0.3048</f>
        <v>17.6022</v>
      </c>
      <c r="G116" s="1049"/>
      <c r="H116" s="1049"/>
      <c r="I116" s="1049">
        <f>ROUND(C116*E116*F116,2)</f>
        <v>35.200000000000003</v>
      </c>
      <c r="J116" s="1049"/>
      <c r="K116" s="1049"/>
      <c r="L116" s="1049"/>
      <c r="M116" s="1068"/>
      <c r="N116" s="1087"/>
      <c r="O116" s="1087"/>
    </row>
    <row r="117" spans="1:15" ht="14.1">
      <c r="A117" s="1046"/>
      <c r="B117" s="1178" t="s">
        <v>2434</v>
      </c>
      <c r="C117" s="1048">
        <v>1</v>
      </c>
      <c r="D117" s="1048" t="s">
        <v>1472</v>
      </c>
      <c r="E117" s="1048">
        <v>1</v>
      </c>
      <c r="F117" s="1049">
        <f>22*0.3048</f>
        <v>6.7056000000000004</v>
      </c>
      <c r="G117" s="1049"/>
      <c r="H117" s="1049"/>
      <c r="I117" s="1049">
        <f>ROUND(C117*E117*F117,2)</f>
        <v>6.71</v>
      </c>
      <c r="J117" s="1049"/>
      <c r="K117" s="1049"/>
      <c r="L117" s="1049"/>
      <c r="M117" s="1068"/>
      <c r="N117" s="1087"/>
      <c r="O117" s="1087"/>
    </row>
    <row r="118" spans="1:15">
      <c r="A118" s="1048"/>
      <c r="B118" s="1061" t="s">
        <v>2111</v>
      </c>
      <c r="C118" s="1048">
        <v>1</v>
      </c>
      <c r="D118" s="1048" t="s">
        <v>1472</v>
      </c>
      <c r="E118" s="1048">
        <v>2</v>
      </c>
      <c r="F118" s="1049">
        <v>1.8</v>
      </c>
      <c r="G118" s="1049"/>
      <c r="H118" s="1049"/>
      <c r="I118" s="1049">
        <f>ROUND(C118*E118*F118,2)</f>
        <v>3.6</v>
      </c>
      <c r="J118" s="1049"/>
      <c r="K118" s="1049"/>
      <c r="L118" s="1049"/>
      <c r="M118" s="1049"/>
      <c r="N118" s="1087"/>
      <c r="O118" s="1087"/>
    </row>
    <row r="119" spans="1:15" ht="14.1">
      <c r="A119" s="1046"/>
      <c r="B119" s="1061" t="s">
        <v>674</v>
      </c>
      <c r="C119" s="1048"/>
      <c r="D119" s="1048"/>
      <c r="E119" s="1048"/>
      <c r="F119" s="1049"/>
      <c r="G119" s="1049"/>
      <c r="H119" s="1049"/>
      <c r="I119" s="1053">
        <f>SUM(I116:I118)</f>
        <v>45.510000000000005</v>
      </c>
      <c r="J119" s="1049">
        <f>Datas!$E$500</f>
        <v>606.11</v>
      </c>
      <c r="K119" s="1053">
        <f>ROUND(J119*I119,0)</f>
        <v>27584</v>
      </c>
      <c r="L119" s="1049">
        <f>0.0625*108</f>
        <v>6.75</v>
      </c>
      <c r="M119" s="1055">
        <f>L119*I119</f>
        <v>307.19250000000005</v>
      </c>
      <c r="N119" s="1087">
        <v>108</v>
      </c>
      <c r="O119" s="1087">
        <f>ROUND(I119*N119*0.0375,0)</f>
        <v>184</v>
      </c>
    </row>
    <row r="120" spans="1:15" ht="14.1">
      <c r="A120" s="1046"/>
      <c r="B120" s="1061"/>
      <c r="C120" s="1048"/>
      <c r="D120" s="1048"/>
      <c r="E120" s="1048"/>
      <c r="F120" s="1049"/>
      <c r="G120" s="1049"/>
      <c r="H120" s="1049"/>
      <c r="I120" s="1053" t="s">
        <v>495</v>
      </c>
      <c r="J120" s="1053" t="s">
        <v>2</v>
      </c>
      <c r="K120" s="1053"/>
      <c r="L120" s="1049"/>
      <c r="M120" s="1049"/>
      <c r="N120" s="1087"/>
      <c r="O120" s="1087"/>
    </row>
    <row r="121" spans="1:15" ht="125.25" customHeight="1">
      <c r="A121" s="1046">
        <v>8</v>
      </c>
      <c r="B121" s="2415" t="s">
        <v>2297</v>
      </c>
      <c r="C121" s="2426"/>
      <c r="D121" s="2426"/>
      <c r="E121" s="2426"/>
      <c r="F121" s="2426"/>
      <c r="G121" s="2426"/>
      <c r="H121" s="2426"/>
      <c r="I121" s="2427"/>
      <c r="J121" s="1049"/>
      <c r="K121" s="1049"/>
      <c r="L121" s="1049"/>
      <c r="M121" s="1049"/>
      <c r="N121" s="1087"/>
      <c r="O121" s="1087"/>
    </row>
    <row r="122" spans="1:15">
      <c r="A122" s="1048"/>
      <c r="B122" s="1061" t="s">
        <v>2213</v>
      </c>
      <c r="C122" s="1048">
        <v>4</v>
      </c>
      <c r="D122" s="1048" t="s">
        <v>1472</v>
      </c>
      <c r="E122" s="1048">
        <v>7</v>
      </c>
      <c r="F122" s="1049">
        <v>0.23</v>
      </c>
      <c r="G122" s="88">
        <v>0.15</v>
      </c>
      <c r="H122" s="1049">
        <v>0.15</v>
      </c>
      <c r="I122" s="1049">
        <f>ROUND(C122*E122*F122*G122*H122,2)</f>
        <v>0.14000000000000001</v>
      </c>
      <c r="J122" s="1049"/>
      <c r="K122" s="1049"/>
      <c r="L122" s="1049"/>
      <c r="M122" s="1049"/>
      <c r="N122" s="1087"/>
      <c r="O122" s="1087"/>
    </row>
    <row r="123" spans="1:15">
      <c r="A123" s="1048"/>
      <c r="B123" s="1061" t="s">
        <v>2212</v>
      </c>
      <c r="C123" s="1048">
        <v>4</v>
      </c>
      <c r="D123" s="1048" t="s">
        <v>1472</v>
      </c>
      <c r="E123" s="1048">
        <v>2</v>
      </c>
      <c r="F123" s="1049">
        <v>0.23</v>
      </c>
      <c r="G123" s="88">
        <v>0.15</v>
      </c>
      <c r="H123" s="1049">
        <v>0.15</v>
      </c>
      <c r="I123" s="1049">
        <f>ROUND(C123*E123*F123*G123*H123,2)</f>
        <v>0.04</v>
      </c>
      <c r="J123" s="1049"/>
      <c r="K123" s="1049"/>
      <c r="L123" s="1049"/>
      <c r="M123" s="1049"/>
      <c r="N123" s="1087"/>
      <c r="O123" s="1087"/>
    </row>
    <row r="124" spans="1:15">
      <c r="A124" s="1048"/>
      <c r="B124" s="1061" t="s">
        <v>2114</v>
      </c>
      <c r="C124" s="1048">
        <v>4</v>
      </c>
      <c r="D124" s="1048" t="s">
        <v>1472</v>
      </c>
      <c r="E124" s="1048">
        <v>4</v>
      </c>
      <c r="F124" s="1049">
        <v>0.23</v>
      </c>
      <c r="G124" s="88">
        <v>0.15</v>
      </c>
      <c r="H124" s="1049">
        <v>0.15</v>
      </c>
      <c r="I124" s="1049">
        <f>ROUND(C124*E124*F124*G124*H124,2)</f>
        <v>0.08</v>
      </c>
      <c r="J124" s="1049"/>
      <c r="K124" s="1049"/>
      <c r="L124" s="1049"/>
      <c r="M124" s="1049"/>
      <c r="N124" s="1087"/>
      <c r="O124" s="1087"/>
    </row>
    <row r="125" spans="1:15">
      <c r="A125" s="1048"/>
      <c r="B125" s="1071"/>
      <c r="C125" s="1072"/>
      <c r="D125" s="1072"/>
      <c r="E125" s="1072"/>
      <c r="F125" s="1073"/>
      <c r="G125" s="1073"/>
      <c r="H125" s="1074"/>
      <c r="I125" s="1049"/>
      <c r="J125" s="1049"/>
      <c r="K125" s="1049"/>
      <c r="L125" s="1049"/>
      <c r="M125" s="1068"/>
      <c r="N125" s="1087"/>
      <c r="O125" s="1087"/>
    </row>
    <row r="126" spans="1:15" ht="14.1">
      <c r="A126" s="1046"/>
      <c r="B126" s="2432"/>
      <c r="C126" s="2433"/>
      <c r="D126" s="2433"/>
      <c r="E126" s="2433"/>
      <c r="F126" s="2433"/>
      <c r="G126" s="2433"/>
      <c r="H126" s="2434"/>
      <c r="I126" s="1053">
        <f>SUM(I122:I124)</f>
        <v>0.26</v>
      </c>
      <c r="J126" s="1049">
        <f>Datas!$G$536</f>
        <v>5340.5599999999995</v>
      </c>
      <c r="K126" s="1053">
        <f>ROUND(J126*I126,0)</f>
        <v>1389</v>
      </c>
      <c r="L126" s="1049">
        <v>108</v>
      </c>
      <c r="M126" s="1055">
        <f>L126*I126</f>
        <v>28.080000000000002</v>
      </c>
      <c r="N126" s="1087">
        <v>108</v>
      </c>
      <c r="O126" s="1087">
        <f>ROUND(I126*N126,0)</f>
        <v>28</v>
      </c>
    </row>
    <row r="127" spans="1:15" ht="14.1">
      <c r="A127" s="1046"/>
      <c r="B127" s="1061"/>
      <c r="C127" s="1048"/>
      <c r="D127" s="1048"/>
      <c r="E127" s="1048"/>
      <c r="F127" s="1049"/>
      <c r="G127" s="1049"/>
      <c r="H127" s="1049"/>
      <c r="I127" s="1053" t="s">
        <v>656</v>
      </c>
      <c r="J127" s="1053" t="s">
        <v>658</v>
      </c>
      <c r="K127" s="1053"/>
      <c r="L127" s="1049"/>
      <c r="M127" s="1049"/>
      <c r="N127" s="1087"/>
      <c r="O127" s="1087"/>
    </row>
    <row r="128" spans="1:15" ht="99" customHeight="1">
      <c r="A128" s="1046">
        <v>9</v>
      </c>
      <c r="B128" s="2415" t="s">
        <v>2412</v>
      </c>
      <c r="C128" s="2426"/>
      <c r="D128" s="2426"/>
      <c r="E128" s="2426"/>
      <c r="F128" s="2426"/>
      <c r="G128" s="2426"/>
      <c r="H128" s="2426"/>
      <c r="I128" s="2427"/>
      <c r="J128" s="1049"/>
      <c r="K128" s="1049"/>
      <c r="L128" s="1049"/>
      <c r="M128" s="1049"/>
      <c r="N128" s="1087"/>
      <c r="O128" s="1087"/>
    </row>
    <row r="129" spans="1:15" ht="14.1">
      <c r="A129" s="1046"/>
      <c r="B129" s="1075" t="s">
        <v>2123</v>
      </c>
      <c r="C129" s="1058"/>
      <c r="D129" s="1058"/>
      <c r="E129" s="1058"/>
      <c r="F129" s="1058"/>
      <c r="G129" s="1058"/>
      <c r="H129" s="1058"/>
      <c r="I129" s="1059"/>
      <c r="J129" s="1049"/>
      <c r="K129" s="1049"/>
      <c r="L129" s="1049"/>
      <c r="M129" s="1049"/>
      <c r="N129" s="1087"/>
      <c r="O129" s="1087"/>
    </row>
    <row r="130" spans="1:15" ht="14.1">
      <c r="A130" s="1046"/>
      <c r="B130" s="1174" t="s">
        <v>2115</v>
      </c>
      <c r="C130" s="1048">
        <v>1</v>
      </c>
      <c r="D130" s="1048" t="s">
        <v>1472</v>
      </c>
      <c r="E130" s="1048">
        <v>2</v>
      </c>
      <c r="F130" s="88">
        <f>(60.75*0.3048-6*0.225)</f>
        <v>17.166599999999999</v>
      </c>
      <c r="G130" s="88">
        <v>0.15</v>
      </c>
      <c r="H130" s="1049">
        <v>3.6</v>
      </c>
      <c r="I130" s="1049">
        <f>ROUND(C130*E130*F130*G130*H130,2)</f>
        <v>18.54</v>
      </c>
      <c r="J130" s="1049"/>
      <c r="K130" s="1049"/>
      <c r="L130" s="1049"/>
      <c r="M130" s="1049"/>
      <c r="N130" s="1087"/>
      <c r="O130" s="1087"/>
    </row>
    <row r="131" spans="1:15" ht="14.1">
      <c r="A131" s="1046"/>
      <c r="B131" s="1174" t="s">
        <v>2033</v>
      </c>
      <c r="C131" s="1048">
        <v>1</v>
      </c>
      <c r="D131" s="1048" t="s">
        <v>1472</v>
      </c>
      <c r="E131" s="1048">
        <v>2</v>
      </c>
      <c r="F131" s="88">
        <f>(30.75-2*0.75)*0.3048</f>
        <v>8.9154</v>
      </c>
      <c r="G131" s="88">
        <v>0.15</v>
      </c>
      <c r="H131" s="1169" t="s">
        <v>2261</v>
      </c>
      <c r="I131" s="1049">
        <f>ROUND(C131*E131*F131*G131*AVERAGE(3.6,5.48,3.6),2)</f>
        <v>11.3</v>
      </c>
      <c r="J131" s="1049"/>
      <c r="K131" s="1049"/>
      <c r="L131" s="1049"/>
      <c r="M131" s="1049"/>
      <c r="N131" s="1087"/>
      <c r="O131" s="1087"/>
    </row>
    <row r="132" spans="1:15" ht="14.1">
      <c r="A132" s="1046"/>
      <c r="B132" s="1174" t="s">
        <v>2116</v>
      </c>
      <c r="C132" s="1048">
        <v>1</v>
      </c>
      <c r="D132" s="1048" t="s">
        <v>1472</v>
      </c>
      <c r="E132" s="1048">
        <v>1</v>
      </c>
      <c r="F132" s="88">
        <f>(30.75-2*0.75)*0.3048</f>
        <v>8.9154</v>
      </c>
      <c r="G132" s="88">
        <v>0.15</v>
      </c>
      <c r="H132" s="1049">
        <v>3.6</v>
      </c>
      <c r="I132" s="1049">
        <f>ROUND(C132*E132*F132*G132*H132,2)</f>
        <v>4.8099999999999996</v>
      </c>
      <c r="J132" s="1049"/>
      <c r="K132" s="1049"/>
      <c r="L132" s="1049"/>
      <c r="M132" s="1049"/>
      <c r="N132" s="1087"/>
      <c r="O132" s="1087"/>
    </row>
    <row r="133" spans="1:15" ht="14.1">
      <c r="A133" s="1046"/>
      <c r="B133" s="1195" t="s">
        <v>675</v>
      </c>
      <c r="C133" s="1048"/>
      <c r="D133" s="1048"/>
      <c r="E133" s="1048"/>
      <c r="F133" s="88"/>
      <c r="G133" s="88"/>
      <c r="H133" s="1049"/>
      <c r="I133" s="1049"/>
      <c r="J133" s="1049"/>
      <c r="K133" s="1049"/>
      <c r="L133" s="1049"/>
      <c r="M133" s="1049"/>
      <c r="N133" s="1087"/>
      <c r="O133" s="1087"/>
    </row>
    <row r="134" spans="1:15">
      <c r="A134" s="1076"/>
      <c r="B134" s="1178" t="s">
        <v>2214</v>
      </c>
      <c r="C134" s="1048">
        <v>1</v>
      </c>
      <c r="D134" s="1048" t="s">
        <v>1472</v>
      </c>
      <c r="E134" s="1048">
        <v>1</v>
      </c>
      <c r="F134" s="88">
        <v>1.8</v>
      </c>
      <c r="G134" s="88">
        <v>0.15</v>
      </c>
      <c r="H134" s="1049">
        <v>2.4</v>
      </c>
      <c r="I134" s="1049">
        <f>-ROUND(C134*E134*F134*G134*H134,2)</f>
        <v>-0.65</v>
      </c>
      <c r="J134" s="1049"/>
      <c r="K134" s="1049"/>
      <c r="L134" s="1049"/>
      <c r="M134" s="1049"/>
      <c r="N134" s="1087"/>
      <c r="O134" s="1087"/>
    </row>
    <row r="135" spans="1:15">
      <c r="A135" s="1076"/>
      <c r="B135" s="1178" t="s">
        <v>980</v>
      </c>
      <c r="C135" s="1048">
        <v>1</v>
      </c>
      <c r="D135" s="1048" t="s">
        <v>1472</v>
      </c>
      <c r="E135" s="1048">
        <v>2</v>
      </c>
      <c r="F135" s="88">
        <v>1.5</v>
      </c>
      <c r="G135" s="88">
        <v>0.15</v>
      </c>
      <c r="H135" s="1049">
        <v>2.4</v>
      </c>
      <c r="I135" s="1049">
        <f>-ROUND(C135*E135*F135*G135*H135,2)</f>
        <v>-1.08</v>
      </c>
      <c r="J135" s="1049"/>
      <c r="K135" s="1049"/>
      <c r="L135" s="1049"/>
      <c r="M135" s="1049"/>
      <c r="N135" s="1087"/>
      <c r="O135" s="1087"/>
    </row>
    <row r="136" spans="1:15">
      <c r="A136" s="1076"/>
      <c r="B136" s="1178" t="s">
        <v>981</v>
      </c>
      <c r="C136" s="1048">
        <v>1</v>
      </c>
      <c r="D136" s="1048" t="s">
        <v>1472</v>
      </c>
      <c r="E136" s="1048">
        <v>2</v>
      </c>
      <c r="F136" s="88">
        <v>0.9</v>
      </c>
      <c r="G136" s="88">
        <v>0.15</v>
      </c>
      <c r="H136" s="1049">
        <v>2.1</v>
      </c>
      <c r="I136" s="1049">
        <f t="shared" ref="I136:I150" si="6">-ROUND(C136*E136*F136*G136*H136,2)</f>
        <v>-0.56999999999999995</v>
      </c>
      <c r="J136" s="1049"/>
      <c r="K136" s="1049"/>
      <c r="L136" s="1049"/>
      <c r="M136" s="1049"/>
      <c r="N136" s="1087"/>
      <c r="O136" s="1087"/>
    </row>
    <row r="137" spans="1:15">
      <c r="A137" s="1076"/>
      <c r="B137" s="1178" t="s">
        <v>2117</v>
      </c>
      <c r="C137" s="1048">
        <v>1</v>
      </c>
      <c r="D137" s="1048" t="s">
        <v>1472</v>
      </c>
      <c r="E137" s="1048">
        <v>4</v>
      </c>
      <c r="F137" s="88">
        <v>1.5</v>
      </c>
      <c r="G137" s="88">
        <v>0.15</v>
      </c>
      <c r="H137" s="1049">
        <v>1.2</v>
      </c>
      <c r="I137" s="1049">
        <f t="shared" si="6"/>
        <v>-1.08</v>
      </c>
      <c r="J137" s="1049"/>
      <c r="K137" s="1049"/>
      <c r="L137" s="1049"/>
      <c r="M137" s="1049"/>
      <c r="N137" s="1087"/>
      <c r="O137" s="1087"/>
    </row>
    <row r="138" spans="1:15" ht="14.1">
      <c r="A138" s="1046"/>
      <c r="B138" s="1178" t="s">
        <v>2215</v>
      </c>
      <c r="C138" s="1048">
        <v>1</v>
      </c>
      <c r="D138" s="1048" t="s">
        <v>1472</v>
      </c>
      <c r="E138" s="1048">
        <v>6</v>
      </c>
      <c r="F138" s="88">
        <f>11*0.3048</f>
        <v>3.3528000000000002</v>
      </c>
      <c r="G138" s="88">
        <v>0.15</v>
      </c>
      <c r="H138" s="1194">
        <v>1.2</v>
      </c>
      <c r="I138" s="1049">
        <f>-ROUND(C138*E138*F138*G138*H138,2)</f>
        <v>-3.62</v>
      </c>
      <c r="J138" s="1049"/>
      <c r="K138" s="1049"/>
      <c r="L138" s="1049"/>
      <c r="M138" s="1049"/>
      <c r="N138" s="1087"/>
      <c r="O138" s="1087"/>
    </row>
    <row r="139" spans="1:15" ht="14.1">
      <c r="A139" s="1046"/>
      <c r="B139" s="1178" t="s">
        <v>2216</v>
      </c>
      <c r="C139" s="1048">
        <v>1</v>
      </c>
      <c r="D139" s="1048" t="s">
        <v>1472</v>
      </c>
      <c r="E139" s="1048">
        <v>2</v>
      </c>
      <c r="F139" s="88">
        <v>2.4</v>
      </c>
      <c r="G139" s="88">
        <v>0.15</v>
      </c>
      <c r="H139" s="1049">
        <v>2</v>
      </c>
      <c r="I139" s="1049">
        <f>-ROUND(C139*E139*F139*G139*H139,2)</f>
        <v>-1.44</v>
      </c>
      <c r="J139" s="1049"/>
      <c r="K139" s="1049"/>
      <c r="L139" s="1049"/>
      <c r="M139" s="1049"/>
      <c r="N139" s="1087"/>
      <c r="O139" s="1087"/>
    </row>
    <row r="140" spans="1:15" ht="14.1">
      <c r="A140" s="1046"/>
      <c r="B140" s="1178" t="s">
        <v>2121</v>
      </c>
      <c r="C140" s="1048"/>
      <c r="D140" s="1048"/>
      <c r="E140" s="1048"/>
      <c r="F140" s="88"/>
      <c r="G140" s="88"/>
      <c r="H140" s="1049"/>
      <c r="I140" s="1049"/>
      <c r="J140" s="1049"/>
      <c r="K140" s="1049"/>
      <c r="L140" s="1049"/>
      <c r="M140" s="1049"/>
      <c r="N140" s="1087"/>
      <c r="O140" s="1087"/>
    </row>
    <row r="141" spans="1:15" ht="14.1">
      <c r="A141" s="1046"/>
      <c r="B141" s="1175" t="s">
        <v>2330</v>
      </c>
      <c r="C141" s="1048">
        <v>1</v>
      </c>
      <c r="D141" s="1048" t="s">
        <v>1472</v>
      </c>
      <c r="E141" s="1048">
        <v>2</v>
      </c>
      <c r="F141" s="88">
        <f>(60.75*0.3048)</f>
        <v>18.5166</v>
      </c>
      <c r="G141" s="88">
        <v>0.15</v>
      </c>
      <c r="H141" s="1049">
        <v>0.3</v>
      </c>
      <c r="I141" s="1049">
        <f t="shared" si="6"/>
        <v>-1.67</v>
      </c>
      <c r="J141" s="1049"/>
      <c r="K141" s="1049"/>
      <c r="L141" s="1049"/>
      <c r="M141" s="1049"/>
      <c r="N141" s="1087"/>
      <c r="O141" s="1087"/>
    </row>
    <row r="142" spans="1:15" ht="14.1">
      <c r="A142" s="1046"/>
      <c r="B142" s="1175" t="s">
        <v>2332</v>
      </c>
      <c r="C142" s="1048">
        <v>1</v>
      </c>
      <c r="D142" s="1048" t="s">
        <v>1472</v>
      </c>
      <c r="E142" s="1048">
        <v>2</v>
      </c>
      <c r="F142" s="88">
        <v>9</v>
      </c>
      <c r="G142" s="88">
        <v>0.15</v>
      </c>
      <c r="H142" s="1049">
        <v>0.3</v>
      </c>
      <c r="I142" s="1049">
        <f t="shared" si="6"/>
        <v>-0.81</v>
      </c>
      <c r="J142" s="1049"/>
      <c r="K142" s="1049"/>
      <c r="L142" s="1049"/>
      <c r="M142" s="1049"/>
      <c r="N142" s="1087"/>
      <c r="O142" s="1087"/>
    </row>
    <row r="143" spans="1:15" ht="14.1">
      <c r="A143" s="1046"/>
      <c r="B143" s="1178"/>
      <c r="C143" s="1048"/>
      <c r="D143" s="1048"/>
      <c r="E143" s="1048"/>
      <c r="F143" s="88"/>
      <c r="G143" s="88"/>
      <c r="H143" s="1049"/>
      <c r="I143" s="1049"/>
      <c r="J143" s="1049"/>
      <c r="K143" s="1049"/>
      <c r="L143" s="1049"/>
      <c r="M143" s="1049"/>
      <c r="N143" s="1087"/>
      <c r="O143" s="1087"/>
    </row>
    <row r="144" spans="1:15" ht="14.1">
      <c r="A144" s="1046"/>
      <c r="B144" s="1178" t="s">
        <v>2118</v>
      </c>
      <c r="C144" s="1048"/>
      <c r="D144" s="1048"/>
      <c r="E144" s="1048"/>
      <c r="F144" s="88"/>
      <c r="G144" s="88"/>
      <c r="H144" s="1049"/>
      <c r="I144" s="1049"/>
      <c r="J144" s="1049"/>
      <c r="K144" s="1049"/>
      <c r="L144" s="1049"/>
      <c r="M144" s="1049"/>
      <c r="N144" s="1087"/>
      <c r="O144" s="1087"/>
    </row>
    <row r="145" spans="1:16">
      <c r="A145" s="1048"/>
      <c r="B145" s="1178" t="s">
        <v>2209</v>
      </c>
      <c r="C145" s="1048">
        <v>1</v>
      </c>
      <c r="D145" s="1048" t="s">
        <v>1472</v>
      </c>
      <c r="E145" s="1048">
        <v>1</v>
      </c>
      <c r="F145" s="88">
        <v>1.6</v>
      </c>
      <c r="G145" s="88">
        <v>0.15</v>
      </c>
      <c r="H145" s="1049">
        <v>0.1</v>
      </c>
      <c r="I145" s="1049">
        <f t="shared" si="6"/>
        <v>-0.02</v>
      </c>
      <c r="J145" s="1049"/>
      <c r="K145" s="1049"/>
      <c r="L145" s="1049"/>
      <c r="M145" s="1049"/>
      <c r="N145" s="1087"/>
      <c r="O145" s="1087"/>
    </row>
    <row r="146" spans="1:16">
      <c r="A146" s="1048"/>
      <c r="B146" s="1178" t="s">
        <v>2112</v>
      </c>
      <c r="C146" s="1048">
        <v>2</v>
      </c>
      <c r="D146" s="1048" t="s">
        <v>1472</v>
      </c>
      <c r="E146" s="1048">
        <v>2</v>
      </c>
      <c r="F146" s="1049">
        <v>1.8</v>
      </c>
      <c r="G146" s="1049">
        <v>0.23</v>
      </c>
      <c r="H146" s="1049">
        <v>0.15</v>
      </c>
      <c r="I146" s="1049">
        <f t="shared" si="6"/>
        <v>-0.25</v>
      </c>
      <c r="J146" s="1049"/>
      <c r="K146" s="1049"/>
      <c r="L146" s="1049"/>
      <c r="M146" s="1049"/>
      <c r="N146" s="1087"/>
      <c r="O146" s="1087"/>
    </row>
    <row r="147" spans="1:16">
      <c r="A147" s="1048"/>
      <c r="B147" s="1178"/>
      <c r="C147" s="1048"/>
      <c r="D147" s="1048"/>
      <c r="E147" s="1048"/>
      <c r="F147" s="88"/>
      <c r="G147" s="88"/>
      <c r="H147" s="1049"/>
      <c r="I147" s="1049"/>
      <c r="J147" s="1049"/>
      <c r="K147" s="1049"/>
      <c r="L147" s="1049"/>
      <c r="M147" s="1049"/>
      <c r="N147" s="1087"/>
      <c r="O147" s="1087"/>
    </row>
    <row r="148" spans="1:16">
      <c r="A148" s="1048"/>
      <c r="B148" s="1178" t="s">
        <v>38</v>
      </c>
      <c r="C148" s="1048"/>
      <c r="D148" s="1048"/>
      <c r="E148" s="1048"/>
      <c r="F148" s="88"/>
      <c r="G148" s="88"/>
      <c r="H148" s="1049"/>
      <c r="I148" s="1049"/>
      <c r="J148" s="1049"/>
      <c r="K148" s="1049"/>
      <c r="L148" s="1049"/>
      <c r="M148" s="1049"/>
      <c r="N148" s="1087"/>
      <c r="O148" s="1087"/>
    </row>
    <row r="149" spans="1:16">
      <c r="A149" s="1048"/>
      <c r="B149" s="1178" t="s">
        <v>2113</v>
      </c>
      <c r="C149" s="1048">
        <v>4</v>
      </c>
      <c r="D149" s="1048" t="s">
        <v>1472</v>
      </c>
      <c r="E149" s="1048">
        <v>7</v>
      </c>
      <c r="F149" s="88">
        <v>0.23</v>
      </c>
      <c r="G149" s="88">
        <v>0.15</v>
      </c>
      <c r="H149" s="1049">
        <v>0.15</v>
      </c>
      <c r="I149" s="1049">
        <f t="shared" si="6"/>
        <v>-0.14000000000000001</v>
      </c>
      <c r="J149" s="1049"/>
      <c r="K149" s="1049"/>
      <c r="L149" s="1049"/>
      <c r="M149" s="1049"/>
      <c r="N149" s="1087"/>
      <c r="O149" s="1087"/>
    </row>
    <row r="150" spans="1:16">
      <c r="A150" s="1048"/>
      <c r="B150" s="1178" t="s">
        <v>2114</v>
      </c>
      <c r="C150" s="1048">
        <v>4</v>
      </c>
      <c r="D150" s="1048" t="s">
        <v>1472</v>
      </c>
      <c r="E150" s="1048">
        <v>4</v>
      </c>
      <c r="F150" s="88">
        <v>0.23</v>
      </c>
      <c r="G150" s="88">
        <v>0.15</v>
      </c>
      <c r="H150" s="1049">
        <v>0.15</v>
      </c>
      <c r="I150" s="1049">
        <f t="shared" si="6"/>
        <v>-0.08</v>
      </c>
      <c r="J150" s="1049"/>
      <c r="K150" s="1049"/>
      <c r="L150" s="1049"/>
      <c r="M150" s="1049"/>
      <c r="N150" s="1087"/>
      <c r="O150" s="1087"/>
    </row>
    <row r="151" spans="1:16" ht="14.1">
      <c r="A151" s="1048"/>
      <c r="B151" s="1178"/>
      <c r="C151" s="1048"/>
      <c r="D151" s="1048"/>
      <c r="E151" s="1048"/>
      <c r="F151" s="88"/>
      <c r="G151" s="88"/>
      <c r="H151" s="1049"/>
      <c r="I151" s="1053">
        <f>SUM(I130:I150)</f>
        <v>23.240000000000002</v>
      </c>
      <c r="J151" s="1049">
        <f>Datas!G1328</f>
        <v>7785.37</v>
      </c>
      <c r="K151" s="1053">
        <f>ROUND(J151*I151,0)</f>
        <v>180932</v>
      </c>
      <c r="L151" s="1049"/>
      <c r="M151" s="1049"/>
      <c r="N151" s="1087"/>
      <c r="O151" s="1087"/>
    </row>
    <row r="152" spans="1:16">
      <c r="A152" s="1048"/>
      <c r="B152" s="1178"/>
      <c r="C152" s="1048"/>
      <c r="D152" s="1048"/>
      <c r="E152" s="1048"/>
      <c r="F152" s="88"/>
      <c r="G152" s="88"/>
      <c r="H152" s="1049"/>
      <c r="I152" s="1049"/>
      <c r="J152" s="1049"/>
      <c r="K152" s="1049"/>
      <c r="L152" s="1049"/>
      <c r="M152" s="1049"/>
      <c r="N152" s="1087"/>
      <c r="O152" s="1087"/>
    </row>
    <row r="153" spans="1:16" ht="99" customHeight="1">
      <c r="A153" s="1046">
        <v>10</v>
      </c>
      <c r="B153" s="2415" t="s">
        <v>2305</v>
      </c>
      <c r="C153" s="2426"/>
      <c r="D153" s="2426"/>
      <c r="E153" s="2426"/>
      <c r="F153" s="2426"/>
      <c r="G153" s="2426"/>
      <c r="H153" s="2426"/>
      <c r="I153" s="2427"/>
      <c r="J153" s="1049"/>
      <c r="K153" s="1049"/>
      <c r="L153" s="1049"/>
      <c r="M153" s="1049"/>
      <c r="N153" s="1087"/>
      <c r="O153" s="1087"/>
    </row>
    <row r="154" spans="1:16">
      <c r="A154" s="1048"/>
      <c r="B154" s="1190" t="s">
        <v>2124</v>
      </c>
      <c r="C154" s="1048"/>
      <c r="D154" s="1048"/>
      <c r="E154" s="1048"/>
      <c r="F154" s="1049">
        <f>4.75+4.75+0.5</f>
        <v>10</v>
      </c>
      <c r="G154" s="1049"/>
      <c r="H154" s="1049"/>
      <c r="I154" s="1049"/>
      <c r="J154" s="1049"/>
      <c r="K154" s="1049"/>
      <c r="L154" s="1049"/>
      <c r="M154" s="1049"/>
      <c r="N154" s="1087"/>
      <c r="O154" s="1087"/>
    </row>
    <row r="155" spans="1:16" ht="14.1">
      <c r="A155" s="1046"/>
      <c r="B155" s="1174" t="s">
        <v>2093</v>
      </c>
      <c r="C155" s="1048">
        <v>1</v>
      </c>
      <c r="D155" s="1048" t="s">
        <v>1472</v>
      </c>
      <c r="E155" s="1048">
        <v>2</v>
      </c>
      <c r="F155" s="1049">
        <f>12.75*0.3048+0.23</f>
        <v>4.1162000000000001</v>
      </c>
      <c r="G155" s="1049">
        <v>0.23</v>
      </c>
      <c r="H155" s="1049">
        <v>2.9</v>
      </c>
      <c r="I155" s="1049">
        <f>ROUND(C155*E155*F155*G155*H155,2)</f>
        <v>5.49</v>
      </c>
      <c r="J155" s="1049"/>
      <c r="K155" s="1049"/>
      <c r="L155" s="1049"/>
      <c r="M155" s="1049"/>
      <c r="N155" s="1087"/>
      <c r="O155" s="1087"/>
    </row>
    <row r="156" spans="1:16" ht="14.1">
      <c r="A156" s="1046"/>
      <c r="B156" s="1174" t="s">
        <v>2094</v>
      </c>
      <c r="C156" s="1048">
        <v>1</v>
      </c>
      <c r="D156" s="1048" t="s">
        <v>1472</v>
      </c>
      <c r="E156" s="1048">
        <v>2</v>
      </c>
      <c r="F156" s="1049">
        <f>10*0.3048</f>
        <v>3.048</v>
      </c>
      <c r="G156" s="1049">
        <v>0.23</v>
      </c>
      <c r="H156" s="1049">
        <v>2.9</v>
      </c>
      <c r="I156" s="1049">
        <f>ROUND(C156*E156*F156*G156*H156,2)</f>
        <v>4.07</v>
      </c>
      <c r="J156" s="1049"/>
      <c r="K156" s="1049"/>
      <c r="L156" s="1049"/>
      <c r="M156" s="1049"/>
      <c r="N156" s="1087"/>
      <c r="O156" s="1087"/>
    </row>
    <row r="157" spans="1:16">
      <c r="A157" s="1048"/>
      <c r="B157" s="1178" t="s">
        <v>2125</v>
      </c>
      <c r="C157" s="1048">
        <v>1</v>
      </c>
      <c r="D157" s="1048" t="s">
        <v>1472</v>
      </c>
      <c r="E157" s="1048">
        <v>1</v>
      </c>
      <c r="F157" s="1049">
        <f>12*0.3048</f>
        <v>3.6576000000000004</v>
      </c>
      <c r="G157" s="1049">
        <v>0.115</v>
      </c>
      <c r="H157" s="1049">
        <v>2.1</v>
      </c>
      <c r="I157" s="1049">
        <f>ROUND(C157*E157*F157*G157*H157,2)</f>
        <v>0.88</v>
      </c>
      <c r="J157" s="1049"/>
      <c r="K157" s="1049"/>
      <c r="L157" s="1049"/>
      <c r="M157" s="1049"/>
      <c r="N157" s="1087"/>
      <c r="O157" s="1087"/>
    </row>
    <row r="158" spans="1:16">
      <c r="A158" s="1048"/>
      <c r="B158" s="1178" t="s">
        <v>2125</v>
      </c>
      <c r="C158" s="1048">
        <v>1</v>
      </c>
      <c r="D158" s="1048" t="s">
        <v>1472</v>
      </c>
      <c r="E158" s="1048">
        <v>1</v>
      </c>
      <c r="F158" s="1049">
        <f>10*0.3048</f>
        <v>3.048</v>
      </c>
      <c r="G158" s="1049">
        <v>0.115</v>
      </c>
      <c r="H158" s="1049">
        <v>2.1</v>
      </c>
      <c r="I158" s="1049">
        <f>ROUND(C158*E158*F158*G158*H158,2)</f>
        <v>0.74</v>
      </c>
      <c r="J158" s="1049"/>
      <c r="K158" s="1049"/>
      <c r="L158" s="1049"/>
      <c r="M158" s="1049"/>
      <c r="N158" s="1087">
        <v>10.8</v>
      </c>
      <c r="O158" s="1087">
        <v>60</v>
      </c>
      <c r="P158" s="1069">
        <f t="shared" ref="P158:P163" si="7">O158*N158</f>
        <v>648</v>
      </c>
    </row>
    <row r="159" spans="1:16">
      <c r="A159" s="1048"/>
      <c r="B159" s="1178" t="s">
        <v>675</v>
      </c>
      <c r="C159" s="1048"/>
      <c r="D159" s="1048"/>
      <c r="E159" s="1048"/>
      <c r="F159" s="1049"/>
      <c r="G159" s="1049"/>
      <c r="H159" s="1049"/>
      <c r="I159" s="1049"/>
      <c r="J159" s="1049"/>
      <c r="K159" s="1049"/>
      <c r="L159" s="1049"/>
      <c r="M159" s="1049"/>
      <c r="N159" s="1087">
        <v>5.86</v>
      </c>
      <c r="O159" s="1087">
        <v>120</v>
      </c>
      <c r="P159" s="1069">
        <f t="shared" si="7"/>
        <v>703.2</v>
      </c>
    </row>
    <row r="160" spans="1:16">
      <c r="A160" s="1048"/>
      <c r="B160" s="1178" t="s">
        <v>2126</v>
      </c>
      <c r="C160" s="1048">
        <v>1</v>
      </c>
      <c r="D160" s="1048" t="s">
        <v>1472</v>
      </c>
      <c r="E160" s="1048">
        <v>2</v>
      </c>
      <c r="F160" s="1049">
        <v>0.9</v>
      </c>
      <c r="G160" s="1049">
        <v>0.23</v>
      </c>
      <c r="H160" s="1049">
        <v>2.1</v>
      </c>
      <c r="I160" s="1049">
        <f>-ROUND(C160*E160*F160*G160*H160,2)</f>
        <v>-0.87</v>
      </c>
      <c r="J160" s="1049"/>
      <c r="K160" s="1049"/>
      <c r="L160" s="1049"/>
      <c r="M160" s="1049"/>
      <c r="N160" s="1087">
        <v>4.26</v>
      </c>
      <c r="O160" s="1087">
        <v>120</v>
      </c>
      <c r="P160" s="1069">
        <f t="shared" si="7"/>
        <v>511.2</v>
      </c>
    </row>
    <row r="161" spans="1:16">
      <c r="A161" s="1048"/>
      <c r="B161" s="1178" t="s">
        <v>980</v>
      </c>
      <c r="C161" s="1048">
        <v>1</v>
      </c>
      <c r="D161" s="1048" t="s">
        <v>1472</v>
      </c>
      <c r="E161" s="1048">
        <v>2</v>
      </c>
      <c r="F161" s="1049">
        <v>0.75</v>
      </c>
      <c r="G161" s="1193">
        <v>0.115</v>
      </c>
      <c r="H161" s="1049">
        <v>2.1</v>
      </c>
      <c r="I161" s="1049">
        <f>-ROUND(C161*E161*F161*G161*H161,2)</f>
        <v>-0.36</v>
      </c>
      <c r="J161" s="1049"/>
      <c r="K161" s="1049"/>
      <c r="L161" s="1049"/>
      <c r="M161" s="1049"/>
      <c r="N161" s="1087">
        <v>4.8</v>
      </c>
      <c r="O161" s="1087">
        <v>120</v>
      </c>
      <c r="P161" s="1069">
        <f t="shared" si="7"/>
        <v>576</v>
      </c>
    </row>
    <row r="162" spans="1:16" ht="14.1">
      <c r="A162" s="1046"/>
      <c r="B162" s="1178" t="s">
        <v>2118</v>
      </c>
      <c r="C162" s="1048"/>
      <c r="D162" s="1048"/>
      <c r="E162" s="1048"/>
      <c r="F162" s="1049"/>
      <c r="G162" s="1193"/>
      <c r="H162" s="1049"/>
      <c r="I162" s="1049"/>
      <c r="J162" s="1049"/>
      <c r="K162" s="1049"/>
      <c r="L162" s="1049"/>
      <c r="M162" s="1049"/>
      <c r="N162" s="1087">
        <f>17.56*0.125</f>
        <v>2.1949999999999998</v>
      </c>
      <c r="O162" s="1087">
        <v>100</v>
      </c>
      <c r="P162" s="1069">
        <f t="shared" si="7"/>
        <v>219.49999999999997</v>
      </c>
    </row>
    <row r="163" spans="1:16">
      <c r="A163" s="1048"/>
      <c r="B163" s="1178" t="s">
        <v>2217</v>
      </c>
      <c r="C163" s="1048">
        <v>1</v>
      </c>
      <c r="D163" s="1048" t="s">
        <v>1472</v>
      </c>
      <c r="E163" s="1048">
        <v>2</v>
      </c>
      <c r="F163" s="1049">
        <v>1.05</v>
      </c>
      <c r="G163" s="1193">
        <v>0.115</v>
      </c>
      <c r="H163" s="1049">
        <v>0.15</v>
      </c>
      <c r="I163" s="1049">
        <f>-ROUND(C163*E163*F163*G163*H163,2)</f>
        <v>-0.04</v>
      </c>
      <c r="J163" s="1049"/>
      <c r="K163" s="1049"/>
      <c r="L163" s="1049"/>
      <c r="M163" s="1049"/>
      <c r="N163" s="1087">
        <v>0.12</v>
      </c>
      <c r="O163" s="1087">
        <v>80</v>
      </c>
      <c r="P163" s="1069">
        <f t="shared" si="7"/>
        <v>9.6</v>
      </c>
    </row>
    <row r="164" spans="1:16">
      <c r="A164" s="1048"/>
      <c r="B164" s="1178" t="s">
        <v>38</v>
      </c>
      <c r="C164" s="1048"/>
      <c r="D164" s="1048"/>
      <c r="E164" s="1048"/>
      <c r="F164" s="1049"/>
      <c r="G164" s="1049"/>
      <c r="H164" s="1049"/>
      <c r="I164" s="1049"/>
      <c r="J164" s="1049"/>
      <c r="K164" s="1049"/>
      <c r="L164" s="1049"/>
      <c r="M164" s="1049"/>
      <c r="N164" s="1087"/>
      <c r="O164" s="1087"/>
      <c r="P164" s="1069">
        <f>SUM(P158:P163)</f>
        <v>2667.5</v>
      </c>
    </row>
    <row r="165" spans="1:16">
      <c r="A165" s="1048"/>
      <c r="B165" s="1178" t="s">
        <v>2212</v>
      </c>
      <c r="C165" s="1048">
        <v>4</v>
      </c>
      <c r="D165" s="1048" t="s">
        <v>1472</v>
      </c>
      <c r="E165" s="1048">
        <v>2</v>
      </c>
      <c r="F165" s="1049">
        <v>0.23</v>
      </c>
      <c r="G165" s="1049">
        <v>0.2</v>
      </c>
      <c r="H165" s="1049">
        <v>0.15</v>
      </c>
      <c r="I165" s="1049">
        <f>-ROUND(C165*E165*F165*G165*H165,2)</f>
        <v>-0.06</v>
      </c>
      <c r="J165" s="1049"/>
      <c r="K165" s="1049"/>
      <c r="L165" s="1049"/>
      <c r="M165" s="1049"/>
      <c r="N165" s="1087"/>
      <c r="O165" s="1087"/>
    </row>
    <row r="166" spans="1:16" ht="14.1">
      <c r="A166" s="1046"/>
      <c r="B166" s="1178" t="s">
        <v>84</v>
      </c>
      <c r="C166" s="1048"/>
      <c r="D166" s="1048"/>
      <c r="E166" s="1048"/>
      <c r="F166" s="1049"/>
      <c r="G166" s="1049"/>
      <c r="H166" s="1049"/>
      <c r="I166" s="1053">
        <f>SUM(I155:I165)</f>
        <v>9.8500000000000032</v>
      </c>
      <c r="J166" s="1049"/>
      <c r="K166" s="1049"/>
      <c r="L166" s="1049"/>
      <c r="M166" s="1049"/>
      <c r="N166" s="1087"/>
      <c r="O166" s="1087"/>
    </row>
    <row r="167" spans="1:16" ht="14.1">
      <c r="A167" s="1046"/>
      <c r="B167" s="2432"/>
      <c r="C167" s="2433"/>
      <c r="D167" s="2433"/>
      <c r="E167" s="2433"/>
      <c r="F167" s="2433"/>
      <c r="G167" s="2433"/>
      <c r="H167" s="2434"/>
      <c r="I167" s="1052">
        <f>I166</f>
        <v>9.8500000000000032</v>
      </c>
      <c r="J167" s="1049">
        <f>Datas!$E$632</f>
        <v>6936.09</v>
      </c>
      <c r="K167" s="1053">
        <f>ROUND(J167*I167,0)</f>
        <v>68320</v>
      </c>
      <c r="L167" s="1049">
        <f>0.2*90+0.512*60</f>
        <v>48.72</v>
      </c>
      <c r="M167" s="1055">
        <f>L167*I167</f>
        <v>479.89200000000017</v>
      </c>
      <c r="N167" s="1087">
        <f>(0.2*90+0.512*60)</f>
        <v>48.72</v>
      </c>
      <c r="O167" s="1087">
        <f>ROUND(I167*N167,0)</f>
        <v>480</v>
      </c>
    </row>
    <row r="168" spans="1:16" ht="14.1">
      <c r="A168" s="1046"/>
      <c r="B168" s="1061"/>
      <c r="C168" s="1048"/>
      <c r="D168" s="1048"/>
      <c r="E168" s="1048"/>
      <c r="F168" s="1049"/>
      <c r="G168" s="1049"/>
      <c r="H168" s="1049"/>
      <c r="I168" s="1053" t="s">
        <v>656</v>
      </c>
      <c r="J168" s="1053" t="s">
        <v>658</v>
      </c>
      <c r="K168" s="1053"/>
      <c r="L168" s="1049"/>
      <c r="M168" s="1049"/>
      <c r="N168" s="1087"/>
      <c r="O168" s="1087"/>
    </row>
    <row r="169" spans="1:16" ht="79.5" customHeight="1">
      <c r="A169" s="1046">
        <v>11</v>
      </c>
      <c r="B169" s="2415" t="s">
        <v>2304</v>
      </c>
      <c r="C169" s="2426"/>
      <c r="D169" s="2426"/>
      <c r="E169" s="2426"/>
      <c r="F169" s="2426"/>
      <c r="G169" s="2426"/>
      <c r="H169" s="2426"/>
      <c r="I169" s="2427"/>
      <c r="J169" s="1049"/>
      <c r="K169" s="1049"/>
      <c r="L169" s="1049"/>
      <c r="M169" s="1049"/>
      <c r="N169" s="1087"/>
      <c r="O169" s="1087"/>
    </row>
    <row r="170" spans="1:16" ht="14.1">
      <c r="A170" s="1041"/>
      <c r="B170" s="1043" t="s">
        <v>39</v>
      </c>
      <c r="C170" s="1043"/>
      <c r="D170" s="1043"/>
      <c r="E170" s="1043"/>
      <c r="F170" s="1044"/>
      <c r="G170" s="1044"/>
      <c r="H170" s="1044"/>
      <c r="I170" s="1044"/>
      <c r="J170" s="1045"/>
      <c r="K170" s="1045"/>
      <c r="L170" s="1045"/>
      <c r="M170" s="1045"/>
      <c r="N170" s="1087"/>
      <c r="O170" s="1087"/>
    </row>
    <row r="171" spans="1:16" ht="14.1">
      <c r="A171" s="1046"/>
      <c r="B171" s="1047" t="s">
        <v>2004</v>
      </c>
      <c r="C171" s="1048">
        <v>2</v>
      </c>
      <c r="D171" s="1048" t="s">
        <v>1472</v>
      </c>
      <c r="E171" s="1048">
        <v>6</v>
      </c>
      <c r="F171" s="1049">
        <v>1.8</v>
      </c>
      <c r="G171" s="1049">
        <v>1.8</v>
      </c>
      <c r="H171" s="1049">
        <v>1.65</v>
      </c>
      <c r="I171" s="1049">
        <f t="shared" ref="I171:I180" si="8">ROUND(C171*E171*F171*G171*H171,2)</f>
        <v>64.150000000000006</v>
      </c>
      <c r="J171" s="1049"/>
      <c r="K171" s="1049"/>
      <c r="L171" s="1049"/>
      <c r="M171" s="1049"/>
      <c r="N171" s="1087"/>
      <c r="O171" s="1087"/>
    </row>
    <row r="172" spans="1:16" ht="27.6">
      <c r="A172" s="1046"/>
      <c r="B172" s="1050" t="s">
        <v>2090</v>
      </c>
      <c r="C172" s="1048">
        <v>1</v>
      </c>
      <c r="D172" s="1048" t="s">
        <v>1472</v>
      </c>
      <c r="E172" s="1048">
        <v>2</v>
      </c>
      <c r="F172" s="1049">
        <f>60.75*0.3048</f>
        <v>18.5166</v>
      </c>
      <c r="G172" s="1049">
        <v>0.6</v>
      </c>
      <c r="H172" s="1049">
        <v>0.6</v>
      </c>
      <c r="I172" s="1049">
        <f t="shared" si="8"/>
        <v>13.33</v>
      </c>
      <c r="J172" s="1049"/>
      <c r="K172" s="1049"/>
      <c r="L172" s="1049"/>
      <c r="M172" s="1049"/>
      <c r="N172" s="1087"/>
      <c r="O172" s="1087"/>
    </row>
    <row r="173" spans="1:16" ht="27.6">
      <c r="A173" s="1046"/>
      <c r="B173" s="1050" t="s">
        <v>2091</v>
      </c>
      <c r="C173" s="1048">
        <v>1</v>
      </c>
      <c r="D173" s="1048" t="s">
        <v>1472</v>
      </c>
      <c r="E173" s="1048">
        <v>2</v>
      </c>
      <c r="F173" s="1049">
        <f>31.5*0.3048</f>
        <v>9.6012000000000004</v>
      </c>
      <c r="G173" s="1049">
        <v>0.6</v>
      </c>
      <c r="H173" s="1049">
        <v>0.6</v>
      </c>
      <c r="I173" s="1049">
        <f t="shared" si="8"/>
        <v>6.91</v>
      </c>
      <c r="J173" s="1049"/>
      <c r="K173" s="1049"/>
      <c r="L173" s="1049"/>
      <c r="M173" s="1049"/>
      <c r="N173" s="1087"/>
      <c r="O173" s="1087"/>
    </row>
    <row r="174" spans="1:16" ht="14.1">
      <c r="A174" s="1046"/>
      <c r="B174" s="1050" t="s">
        <v>2092</v>
      </c>
      <c r="C174" s="1048">
        <v>2</v>
      </c>
      <c r="D174" s="1048" t="s">
        <v>1472</v>
      </c>
      <c r="E174" s="1048">
        <v>2</v>
      </c>
      <c r="F174" s="1049">
        <v>2.4</v>
      </c>
      <c r="G174" s="1049">
        <v>0.6</v>
      </c>
      <c r="H174" s="1049">
        <v>0.6</v>
      </c>
      <c r="I174" s="1049">
        <f t="shared" si="8"/>
        <v>3.46</v>
      </c>
      <c r="J174" s="1049"/>
      <c r="K174" s="1049"/>
      <c r="L174" s="1049"/>
      <c r="M174" s="1049"/>
      <c r="N174" s="1087"/>
      <c r="O174" s="1087"/>
    </row>
    <row r="175" spans="1:16" ht="14.1">
      <c r="A175" s="1046"/>
      <c r="B175" s="1050" t="s">
        <v>2093</v>
      </c>
      <c r="C175" s="1048">
        <v>2</v>
      </c>
      <c r="D175" s="1048" t="s">
        <v>1472</v>
      </c>
      <c r="E175" s="1048">
        <v>2</v>
      </c>
      <c r="F175" s="1049">
        <v>4.1500000000000004</v>
      </c>
      <c r="G175" s="1049">
        <v>0.6</v>
      </c>
      <c r="H175" s="1049">
        <v>0.6</v>
      </c>
      <c r="I175" s="1049">
        <f t="shared" si="8"/>
        <v>5.98</v>
      </c>
      <c r="J175" s="1049"/>
      <c r="K175" s="1049"/>
      <c r="L175" s="1049"/>
      <c r="M175" s="1049"/>
      <c r="N175" s="1087"/>
      <c r="O175" s="1087"/>
    </row>
    <row r="176" spans="1:16" ht="14.1">
      <c r="A176" s="1046"/>
      <c r="B176" s="1050" t="s">
        <v>2094</v>
      </c>
      <c r="C176" s="1048">
        <v>2</v>
      </c>
      <c r="D176" s="1048" t="s">
        <v>1472</v>
      </c>
      <c r="E176" s="1048">
        <v>2</v>
      </c>
      <c r="F176" s="1049">
        <v>4</v>
      </c>
      <c r="G176" s="1049">
        <v>0.6</v>
      </c>
      <c r="H176" s="1049">
        <v>0.6</v>
      </c>
      <c r="I176" s="1049">
        <f t="shared" si="8"/>
        <v>5.76</v>
      </c>
      <c r="J176" s="1049"/>
      <c r="K176" s="1049"/>
      <c r="L176" s="1049"/>
      <c r="M176" s="1049"/>
      <c r="N176" s="1087"/>
      <c r="O176" s="1087"/>
    </row>
    <row r="177" spans="1:15" ht="27.6">
      <c r="A177" s="1046"/>
      <c r="B177" s="1050" t="s">
        <v>2095</v>
      </c>
      <c r="C177" s="1048">
        <v>1</v>
      </c>
      <c r="D177" s="1048" t="s">
        <v>1472</v>
      </c>
      <c r="E177" s="1048">
        <v>2</v>
      </c>
      <c r="F177" s="1049">
        <v>1.8</v>
      </c>
      <c r="G177" s="1049">
        <v>0.6</v>
      </c>
      <c r="H177" s="1049">
        <v>0.6</v>
      </c>
      <c r="I177" s="1049">
        <f t="shared" si="8"/>
        <v>1.3</v>
      </c>
      <c r="J177" s="1049"/>
      <c r="K177" s="1049"/>
      <c r="L177" s="1049"/>
      <c r="M177" s="1049"/>
      <c r="N177" s="1087"/>
      <c r="O177" s="1087"/>
    </row>
    <row r="178" spans="1:15" ht="14.1">
      <c r="A178" s="1046"/>
      <c r="B178" s="1051" t="s">
        <v>2096</v>
      </c>
      <c r="C178" s="1048">
        <v>1</v>
      </c>
      <c r="D178" s="1048" t="s">
        <v>1472</v>
      </c>
      <c r="E178" s="1048">
        <v>1</v>
      </c>
      <c r="F178" s="1049">
        <f>(31.5-6-4)*0.3048</f>
        <v>6.5532000000000004</v>
      </c>
      <c r="G178" s="1049">
        <v>0.6</v>
      </c>
      <c r="H178" s="1049">
        <v>0.3</v>
      </c>
      <c r="I178" s="1049">
        <f t="shared" si="8"/>
        <v>1.18</v>
      </c>
      <c r="J178" s="1049"/>
      <c r="K178" s="1049"/>
      <c r="L178" s="1049"/>
      <c r="M178" s="1049"/>
      <c r="N178" s="1087"/>
      <c r="O178" s="1087"/>
    </row>
    <row r="179" spans="1:15" ht="14.1">
      <c r="A179" s="1046"/>
      <c r="B179" s="1051" t="s">
        <v>2097</v>
      </c>
      <c r="C179" s="1048">
        <v>1</v>
      </c>
      <c r="D179" s="1048" t="s">
        <v>1472</v>
      </c>
      <c r="E179" s="1048">
        <v>2</v>
      </c>
      <c r="F179" s="1049">
        <v>3</v>
      </c>
      <c r="G179" s="1049">
        <v>0.6</v>
      </c>
      <c r="H179" s="1049">
        <v>0.3</v>
      </c>
      <c r="I179" s="1049">
        <f t="shared" si="8"/>
        <v>1.08</v>
      </c>
      <c r="J179" s="1049"/>
      <c r="K179" s="1049"/>
      <c r="L179" s="1049"/>
      <c r="M179" s="1049"/>
      <c r="N179" s="1087"/>
      <c r="O179" s="1087"/>
    </row>
    <row r="180" spans="1:15" ht="14.1">
      <c r="A180" s="1046"/>
      <c r="B180" s="1047" t="s">
        <v>2122</v>
      </c>
      <c r="C180" s="1048">
        <v>1</v>
      </c>
      <c r="D180" s="1048" t="s">
        <v>1472</v>
      </c>
      <c r="E180" s="1048">
        <v>1</v>
      </c>
      <c r="F180" s="1049">
        <f>60.75*0.3048</f>
        <v>18.5166</v>
      </c>
      <c r="G180" s="1049">
        <f>31.5*0.3048</f>
        <v>9.6012000000000004</v>
      </c>
      <c r="H180" s="1049">
        <v>0.6</v>
      </c>
      <c r="I180" s="1049">
        <f t="shared" si="8"/>
        <v>106.67</v>
      </c>
      <c r="J180" s="1049"/>
      <c r="K180" s="1049"/>
      <c r="L180" s="1049"/>
      <c r="M180" s="1049"/>
      <c r="N180" s="1087"/>
      <c r="O180" s="1087"/>
    </row>
    <row r="181" spans="1:15" ht="14.1">
      <c r="A181" s="1046"/>
      <c r="B181" s="2423" t="s">
        <v>2425</v>
      </c>
      <c r="C181" s="2424"/>
      <c r="D181" s="2424"/>
      <c r="E181" s="2424"/>
      <c r="F181" s="2424"/>
      <c r="G181" s="2424"/>
      <c r="H181" s="2425"/>
      <c r="I181" s="1053">
        <f>I180</f>
        <v>106.67</v>
      </c>
      <c r="J181" s="1049">
        <v>28.75</v>
      </c>
      <c r="K181" s="1054">
        <f>ROUND(J181*I181,0)</f>
        <v>3067</v>
      </c>
      <c r="L181" s="1049">
        <v>30</v>
      </c>
      <c r="M181" s="1055">
        <f>L181*I181</f>
        <v>3200.1</v>
      </c>
      <c r="N181" s="1087">
        <v>1</v>
      </c>
      <c r="O181" s="1087"/>
    </row>
    <row r="182" spans="1:15" ht="14.1">
      <c r="A182" s="1046"/>
      <c r="B182" s="1061"/>
      <c r="C182" s="1048"/>
      <c r="D182" s="1048"/>
      <c r="E182" s="1048"/>
      <c r="F182" s="1049"/>
      <c r="G182" s="1049"/>
      <c r="H182" s="1049"/>
      <c r="I182" s="1053"/>
      <c r="J182" s="1053" t="s">
        <v>658</v>
      </c>
      <c r="K182" s="1053"/>
      <c r="L182" s="1049"/>
      <c r="M182" s="1049"/>
      <c r="N182" s="1087"/>
      <c r="O182" s="1087"/>
    </row>
    <row r="183" spans="1:15" ht="93" customHeight="1">
      <c r="A183" s="1046">
        <v>12</v>
      </c>
      <c r="B183" s="2415" t="s">
        <v>2303</v>
      </c>
      <c r="C183" s="2426"/>
      <c r="D183" s="2426"/>
      <c r="E183" s="2426"/>
      <c r="F183" s="2426"/>
      <c r="G183" s="2426"/>
      <c r="H183" s="2426"/>
      <c r="I183" s="2427"/>
      <c r="J183" s="1049"/>
      <c r="K183" s="1049"/>
      <c r="L183" s="1049"/>
      <c r="M183" s="1049"/>
      <c r="N183" s="1087"/>
      <c r="O183" s="1087"/>
    </row>
    <row r="184" spans="1:15" ht="14.1">
      <c r="A184" s="1046"/>
      <c r="B184" s="1047" t="s">
        <v>2004</v>
      </c>
      <c r="C184" s="1048">
        <v>2</v>
      </c>
      <c r="D184" s="1048" t="s">
        <v>1472</v>
      </c>
      <c r="E184" s="1048">
        <v>6</v>
      </c>
      <c r="F184" s="1049">
        <v>1.8</v>
      </c>
      <c r="G184" s="1049">
        <v>1.8</v>
      </c>
      <c r="H184" s="1049">
        <v>1.65</v>
      </c>
      <c r="I184" s="1049">
        <f t="shared" ref="I184:I192" si="9">ROUND(C184*E184*F184*G184*H184,2)</f>
        <v>64.150000000000006</v>
      </c>
      <c r="J184" s="1049"/>
      <c r="K184" s="1049"/>
      <c r="L184" s="1049"/>
      <c r="M184" s="1049"/>
      <c r="N184" s="1087"/>
      <c r="O184" s="1087"/>
    </row>
    <row r="185" spans="1:15" ht="27.6">
      <c r="A185" s="1046"/>
      <c r="B185" s="1050" t="s">
        <v>2090</v>
      </c>
      <c r="C185" s="1048">
        <v>1</v>
      </c>
      <c r="D185" s="1048" t="s">
        <v>1472</v>
      </c>
      <c r="E185" s="1048">
        <v>2</v>
      </c>
      <c r="F185" s="1049">
        <f>60.75*0.3048</f>
        <v>18.5166</v>
      </c>
      <c r="G185" s="1049">
        <v>0.6</v>
      </c>
      <c r="H185" s="1049">
        <v>0.6</v>
      </c>
      <c r="I185" s="1049">
        <f t="shared" si="9"/>
        <v>13.33</v>
      </c>
      <c r="J185" s="1049"/>
      <c r="K185" s="1049"/>
      <c r="L185" s="1049"/>
      <c r="M185" s="1049"/>
      <c r="N185" s="1087"/>
      <c r="O185" s="1087"/>
    </row>
    <row r="186" spans="1:15" ht="27.6">
      <c r="A186" s="1046"/>
      <c r="B186" s="1050" t="s">
        <v>2091</v>
      </c>
      <c r="C186" s="1048">
        <v>1</v>
      </c>
      <c r="D186" s="1048" t="s">
        <v>1472</v>
      </c>
      <c r="E186" s="1048">
        <v>2</v>
      </c>
      <c r="F186" s="1049">
        <f>31.5*0.3048</f>
        <v>9.6012000000000004</v>
      </c>
      <c r="G186" s="1049">
        <v>0.6</v>
      </c>
      <c r="H186" s="1049">
        <v>0.6</v>
      </c>
      <c r="I186" s="1049">
        <f t="shared" si="9"/>
        <v>6.91</v>
      </c>
      <c r="J186" s="1049"/>
      <c r="K186" s="1049"/>
      <c r="L186" s="1049"/>
      <c r="M186" s="1049"/>
      <c r="N186" s="1087"/>
      <c r="O186" s="1087"/>
    </row>
    <row r="187" spans="1:15" ht="14.1">
      <c r="A187" s="1046"/>
      <c r="B187" s="1050" t="s">
        <v>2092</v>
      </c>
      <c r="C187" s="1048">
        <v>2</v>
      </c>
      <c r="D187" s="1048" t="s">
        <v>1472</v>
      </c>
      <c r="E187" s="1048">
        <v>2</v>
      </c>
      <c r="F187" s="1049">
        <v>2.4</v>
      </c>
      <c r="G187" s="1049">
        <v>0.6</v>
      </c>
      <c r="H187" s="1049">
        <v>0.6</v>
      </c>
      <c r="I187" s="1049">
        <f t="shared" si="9"/>
        <v>3.46</v>
      </c>
      <c r="J187" s="1049"/>
      <c r="K187" s="1049"/>
      <c r="L187" s="1049"/>
      <c r="M187" s="1049"/>
      <c r="N187" s="1087"/>
      <c r="O187" s="1087"/>
    </row>
    <row r="188" spans="1:15" ht="14.1">
      <c r="A188" s="1046"/>
      <c r="B188" s="1050" t="s">
        <v>2093</v>
      </c>
      <c r="C188" s="1048">
        <v>2</v>
      </c>
      <c r="D188" s="1048" t="s">
        <v>1472</v>
      </c>
      <c r="E188" s="1048">
        <v>2</v>
      </c>
      <c r="F188" s="1049">
        <v>4.1500000000000004</v>
      </c>
      <c r="G188" s="1049">
        <v>0.6</v>
      </c>
      <c r="H188" s="1049">
        <v>0.6</v>
      </c>
      <c r="I188" s="1049">
        <f t="shared" si="9"/>
        <v>5.98</v>
      </c>
      <c r="J188" s="1049"/>
      <c r="K188" s="1049"/>
      <c r="L188" s="1049"/>
      <c r="M188" s="1049"/>
      <c r="N188" s="1087"/>
      <c r="O188" s="1087"/>
    </row>
    <row r="189" spans="1:15" ht="14.1">
      <c r="A189" s="1046"/>
      <c r="B189" s="1050" t="s">
        <v>2094</v>
      </c>
      <c r="C189" s="1048">
        <v>2</v>
      </c>
      <c r="D189" s="1048" t="s">
        <v>1472</v>
      </c>
      <c r="E189" s="1048">
        <v>2</v>
      </c>
      <c r="F189" s="1049">
        <v>4</v>
      </c>
      <c r="G189" s="1049">
        <v>0.6</v>
      </c>
      <c r="H189" s="1049">
        <v>0.6</v>
      </c>
      <c r="I189" s="1049">
        <f t="shared" si="9"/>
        <v>5.76</v>
      </c>
      <c r="J189" s="1049"/>
      <c r="K189" s="1049"/>
      <c r="L189" s="1049"/>
      <c r="M189" s="1049"/>
      <c r="N189" s="1087"/>
      <c r="O189" s="1087"/>
    </row>
    <row r="190" spans="1:15" ht="27.6">
      <c r="A190" s="1046"/>
      <c r="B190" s="1050" t="s">
        <v>2095</v>
      </c>
      <c r="C190" s="1048">
        <v>1</v>
      </c>
      <c r="D190" s="1048" t="s">
        <v>1472</v>
      </c>
      <c r="E190" s="1048">
        <v>2</v>
      </c>
      <c r="F190" s="1049">
        <v>1.8</v>
      </c>
      <c r="G190" s="1049">
        <v>0.6</v>
      </c>
      <c r="H190" s="1049">
        <v>0.6</v>
      </c>
      <c r="I190" s="1049">
        <f t="shared" si="9"/>
        <v>1.3</v>
      </c>
      <c r="J190" s="1049"/>
      <c r="K190" s="1049"/>
      <c r="L190" s="1049"/>
      <c r="M190" s="1049"/>
      <c r="N190" s="1087"/>
      <c r="O190" s="1087"/>
    </row>
    <row r="191" spans="1:15" ht="14.1">
      <c r="A191" s="1046"/>
      <c r="B191" s="1051" t="s">
        <v>2096</v>
      </c>
      <c r="C191" s="1048">
        <v>1</v>
      </c>
      <c r="D191" s="1048" t="s">
        <v>1472</v>
      </c>
      <c r="E191" s="1048">
        <v>1</v>
      </c>
      <c r="F191" s="1049">
        <f>(31.5-6-4)*0.3048</f>
        <v>6.5532000000000004</v>
      </c>
      <c r="G191" s="1049">
        <v>0.6</v>
      </c>
      <c r="H191" s="1049">
        <v>0.3</v>
      </c>
      <c r="I191" s="1049">
        <f t="shared" si="9"/>
        <v>1.18</v>
      </c>
      <c r="J191" s="1049"/>
      <c r="K191" s="1049"/>
      <c r="L191" s="1049"/>
      <c r="M191" s="1049"/>
      <c r="N191" s="1087"/>
      <c r="O191" s="1087"/>
    </row>
    <row r="192" spans="1:15" ht="14.1">
      <c r="A192" s="1046"/>
      <c r="B192" s="1051" t="s">
        <v>2097</v>
      </c>
      <c r="C192" s="1048">
        <v>1</v>
      </c>
      <c r="D192" s="1048" t="s">
        <v>1472</v>
      </c>
      <c r="E192" s="1048">
        <v>2</v>
      </c>
      <c r="F192" s="1049">
        <v>3</v>
      </c>
      <c r="G192" s="1049">
        <v>0.6</v>
      </c>
      <c r="H192" s="1049">
        <v>0.3</v>
      </c>
      <c r="I192" s="1049">
        <f t="shared" si="9"/>
        <v>1.08</v>
      </c>
      <c r="J192" s="1049"/>
      <c r="K192" s="1049"/>
      <c r="L192" s="1049"/>
      <c r="M192" s="1049"/>
      <c r="N192" s="1087"/>
      <c r="O192" s="1087"/>
    </row>
    <row r="193" spans="1:15" ht="14.1">
      <c r="A193" s="1046"/>
      <c r="B193" s="1060" t="s">
        <v>85</v>
      </c>
      <c r="C193" s="1061"/>
      <c r="D193" s="1061"/>
      <c r="E193" s="1061"/>
      <c r="F193" s="1062"/>
      <c r="G193" s="1062"/>
      <c r="H193" s="1062"/>
      <c r="I193" s="1077">
        <f>SUM(I184:I192)</f>
        <v>103.15</v>
      </c>
      <c r="J193" s="1049"/>
      <c r="K193" s="1049"/>
      <c r="L193" s="1049"/>
      <c r="M193" s="1049"/>
      <c r="N193" s="1087"/>
      <c r="O193" s="1087"/>
    </row>
    <row r="194" spans="1:15" ht="14.1">
      <c r="A194" s="1046"/>
      <c r="B194" s="1047" t="s">
        <v>2122</v>
      </c>
      <c r="C194" s="1048">
        <v>1</v>
      </c>
      <c r="D194" s="1048" t="s">
        <v>1472</v>
      </c>
      <c r="E194" s="1048">
        <v>1</v>
      </c>
      <c r="F194" s="1049">
        <f>60.75*0.3048</f>
        <v>18.5166</v>
      </c>
      <c r="G194" s="1049">
        <f>31.5*0.3048</f>
        <v>9.6012000000000004</v>
      </c>
      <c r="H194" s="1049">
        <v>0.6</v>
      </c>
      <c r="I194" s="1049">
        <f t="shared" ref="I194:I200" si="10">ROUND(C194*E194*F194*G194*H194,2)</f>
        <v>106.67</v>
      </c>
      <c r="J194" s="1049"/>
      <c r="K194" s="1049"/>
      <c r="L194" s="1049"/>
      <c r="M194" s="1049"/>
      <c r="N194" s="1087"/>
      <c r="O194" s="1087"/>
    </row>
    <row r="195" spans="1:15" ht="14.1">
      <c r="A195" s="1046"/>
      <c r="B195" s="1061" t="s">
        <v>2127</v>
      </c>
      <c r="C195" s="1048">
        <v>1</v>
      </c>
      <c r="D195" s="1048" t="s">
        <v>1472</v>
      </c>
      <c r="E195" s="1048">
        <v>1</v>
      </c>
      <c r="F195" s="1049">
        <v>14.55</v>
      </c>
      <c r="G195" s="1049">
        <v>2</v>
      </c>
      <c r="H195" s="1049">
        <v>0.6</v>
      </c>
      <c r="I195" s="1049">
        <f t="shared" si="10"/>
        <v>17.46</v>
      </c>
      <c r="J195" s="1049"/>
      <c r="K195" s="1049"/>
      <c r="L195" s="1049"/>
      <c r="M195" s="1049"/>
      <c r="N195" s="1087"/>
      <c r="O195" s="1087"/>
    </row>
    <row r="196" spans="1:15" ht="14.1">
      <c r="A196" s="1046"/>
      <c r="B196" s="1061" t="s">
        <v>2128</v>
      </c>
      <c r="C196" s="1048">
        <v>1</v>
      </c>
      <c r="D196" s="1048" t="s">
        <v>1472</v>
      </c>
      <c r="E196" s="1048">
        <v>1</v>
      </c>
      <c r="F196" s="1049">
        <v>14.55</v>
      </c>
      <c r="G196" s="1049">
        <v>2</v>
      </c>
      <c r="H196" s="1049">
        <v>0.6</v>
      </c>
      <c r="I196" s="1049">
        <f t="shared" si="10"/>
        <v>17.46</v>
      </c>
      <c r="J196" s="1049"/>
      <c r="K196" s="1049"/>
      <c r="L196" s="1049"/>
      <c r="M196" s="1049"/>
      <c r="N196" s="1087"/>
      <c r="O196" s="1087"/>
    </row>
    <row r="197" spans="1:15" ht="14.1">
      <c r="A197" s="1046"/>
      <c r="B197" s="1061" t="s">
        <v>2132</v>
      </c>
      <c r="C197" s="1048">
        <v>1</v>
      </c>
      <c r="D197" s="1048" t="s">
        <v>1472</v>
      </c>
      <c r="E197" s="1048">
        <v>1</v>
      </c>
      <c r="F197" s="1049">
        <v>4.4000000000000004</v>
      </c>
      <c r="G197" s="1049">
        <v>2.4</v>
      </c>
      <c r="H197" s="1049">
        <v>0.6</v>
      </c>
      <c r="I197" s="1049">
        <f t="shared" si="10"/>
        <v>6.34</v>
      </c>
      <c r="J197" s="1049"/>
      <c r="K197" s="1049"/>
      <c r="L197" s="1049"/>
      <c r="M197" s="1049"/>
      <c r="N197" s="1087"/>
      <c r="O197" s="1087"/>
    </row>
    <row r="198" spans="1:15" ht="14.1">
      <c r="A198" s="1046"/>
      <c r="B198" s="1061" t="s">
        <v>2133</v>
      </c>
      <c r="C198" s="1048">
        <v>1</v>
      </c>
      <c r="D198" s="1048" t="s">
        <v>1472</v>
      </c>
      <c r="E198" s="1048">
        <v>1</v>
      </c>
      <c r="F198" s="1049">
        <v>5</v>
      </c>
      <c r="G198" s="1049">
        <v>1.87</v>
      </c>
      <c r="H198" s="1049">
        <v>0.45</v>
      </c>
      <c r="I198" s="1049">
        <f t="shared" si="10"/>
        <v>4.21</v>
      </c>
      <c r="J198" s="1049"/>
      <c r="K198" s="1049"/>
      <c r="L198" s="1049"/>
      <c r="M198" s="1049"/>
      <c r="N198" s="1087"/>
      <c r="O198" s="1087"/>
    </row>
    <row r="199" spans="1:15" ht="14.1">
      <c r="A199" s="1046"/>
      <c r="B199" s="1061" t="s">
        <v>2130</v>
      </c>
      <c r="C199" s="1048">
        <v>1</v>
      </c>
      <c r="D199" s="1048" t="s">
        <v>1472</v>
      </c>
      <c r="E199" s="1048">
        <v>1</v>
      </c>
      <c r="F199" s="1049">
        <v>2.75</v>
      </c>
      <c r="G199" s="1049">
        <v>2.6</v>
      </c>
      <c r="H199" s="1049">
        <v>0.6</v>
      </c>
      <c r="I199" s="1049">
        <f t="shared" si="10"/>
        <v>4.29</v>
      </c>
      <c r="J199" s="1049"/>
      <c r="K199" s="1049"/>
      <c r="L199" s="1049"/>
      <c r="M199" s="1049"/>
      <c r="N199" s="1087"/>
      <c r="O199" s="1087"/>
    </row>
    <row r="200" spans="1:15" ht="14.1">
      <c r="A200" s="1046"/>
      <c r="B200" s="1061" t="s">
        <v>2129</v>
      </c>
      <c r="C200" s="1048">
        <v>1</v>
      </c>
      <c r="D200" s="1048" t="s">
        <v>1472</v>
      </c>
      <c r="E200" s="1048">
        <v>2</v>
      </c>
      <c r="F200" s="1049">
        <v>1.65</v>
      </c>
      <c r="G200" s="1049">
        <v>1.2</v>
      </c>
      <c r="H200" s="1049">
        <v>0.6</v>
      </c>
      <c r="I200" s="1049">
        <f t="shared" si="10"/>
        <v>2.38</v>
      </c>
      <c r="J200" s="1049"/>
      <c r="K200" s="1049"/>
      <c r="L200" s="1049"/>
      <c r="M200" s="1049"/>
      <c r="N200" s="1087"/>
      <c r="O200" s="1087"/>
    </row>
    <row r="201" spans="1:15" ht="14.1">
      <c r="A201" s="1046"/>
      <c r="B201" s="1061"/>
      <c r="C201" s="1048"/>
      <c r="D201" s="1048"/>
      <c r="E201" s="1048"/>
      <c r="F201" s="1049"/>
      <c r="G201" s="1049"/>
      <c r="H201" s="1049"/>
      <c r="I201" s="1053">
        <f>SUM(I193:I200)</f>
        <v>261.96000000000004</v>
      </c>
      <c r="J201" s="1049"/>
      <c r="K201" s="1049"/>
      <c r="L201" s="1049"/>
      <c r="M201" s="1049"/>
      <c r="N201" s="1087"/>
      <c r="O201" s="1087"/>
    </row>
    <row r="202" spans="1:15" ht="14.1">
      <c r="A202" s="1046"/>
      <c r="B202" s="1060" t="s">
        <v>1036</v>
      </c>
      <c r="C202" s="1061"/>
      <c r="D202" s="1061"/>
      <c r="E202" s="1061"/>
      <c r="F202" s="1062"/>
      <c r="G202" s="1062"/>
      <c r="H202" s="1062"/>
      <c r="I202" s="1062"/>
      <c r="J202" s="1049"/>
      <c r="K202" s="1049"/>
      <c r="L202" s="1049"/>
      <c r="M202" s="1049"/>
      <c r="N202" s="1087"/>
      <c r="O202" s="1087"/>
    </row>
    <row r="203" spans="1:15" ht="14.1">
      <c r="A203" s="1046"/>
      <c r="B203" s="1061" t="s">
        <v>2131</v>
      </c>
      <c r="C203" s="1061"/>
      <c r="D203" s="1061"/>
      <c r="E203" s="1061"/>
      <c r="F203" s="1062">
        <f>I26</f>
        <v>7.2</v>
      </c>
      <c r="G203" s="1062"/>
      <c r="H203" s="1062"/>
      <c r="I203" s="1062"/>
      <c r="J203" s="1049"/>
      <c r="K203" s="1049"/>
      <c r="L203" s="1049"/>
      <c r="M203" s="1049"/>
      <c r="N203" s="1087"/>
      <c r="O203" s="1087"/>
    </row>
    <row r="204" spans="1:15">
      <c r="A204" s="1061"/>
      <c r="B204" s="1061" t="s">
        <v>2026</v>
      </c>
      <c r="C204" s="1061"/>
      <c r="D204" s="1061"/>
      <c r="E204" s="1061"/>
      <c r="F204" s="1062">
        <f>I45</f>
        <v>25.310000000000002</v>
      </c>
      <c r="G204" s="1062"/>
      <c r="H204" s="1062"/>
      <c r="I204" s="1062"/>
      <c r="J204" s="1049"/>
      <c r="K204" s="1049"/>
      <c r="L204" s="1049"/>
      <c r="M204" s="1049"/>
      <c r="N204" s="1087"/>
      <c r="O204" s="1087"/>
    </row>
    <row r="205" spans="1:15" ht="14.1">
      <c r="A205" s="1046"/>
      <c r="B205" s="1061" t="s">
        <v>86</v>
      </c>
      <c r="C205" s="1061"/>
      <c r="D205" s="1061"/>
      <c r="E205" s="1061"/>
      <c r="F205" s="1062">
        <f>I58</f>
        <v>23.009999999999998</v>
      </c>
      <c r="G205" s="1062"/>
      <c r="H205" s="1062"/>
      <c r="I205" s="1062"/>
      <c r="J205" s="1049"/>
      <c r="K205" s="1049"/>
      <c r="L205" s="1049"/>
      <c r="M205" s="1049"/>
      <c r="N205" s="1087"/>
      <c r="O205" s="1087"/>
    </row>
    <row r="206" spans="1:15" ht="14.1">
      <c r="A206" s="1046"/>
      <c r="B206" s="1061" t="s">
        <v>983</v>
      </c>
      <c r="C206" s="1061"/>
      <c r="D206" s="1061"/>
      <c r="E206" s="1061"/>
      <c r="F206" s="1062">
        <f>I84</f>
        <v>10.8</v>
      </c>
      <c r="G206" s="1062"/>
      <c r="H206" s="1062"/>
      <c r="I206" s="1062"/>
      <c r="J206" s="1049"/>
      <c r="K206" s="1049"/>
      <c r="L206" s="1049"/>
      <c r="M206" s="1049"/>
      <c r="N206" s="1087"/>
      <c r="O206" s="1087"/>
    </row>
    <row r="207" spans="1:15" ht="14.1">
      <c r="A207" s="1046"/>
      <c r="B207" s="1061" t="s">
        <v>87</v>
      </c>
      <c r="C207" s="1061"/>
      <c r="D207" s="1061"/>
      <c r="E207" s="1061"/>
      <c r="F207" s="1062">
        <f>I87</f>
        <v>1.1399999999999999</v>
      </c>
      <c r="G207" s="1062"/>
      <c r="H207" s="1062"/>
      <c r="I207" s="1062"/>
      <c r="J207" s="1049"/>
      <c r="K207" s="1049"/>
      <c r="L207" s="1049"/>
      <c r="M207" s="1049"/>
      <c r="N207" s="1087"/>
      <c r="O207" s="1087"/>
    </row>
    <row r="208" spans="1:15" ht="14.1">
      <c r="A208" s="1046"/>
      <c r="B208" s="1061" t="s">
        <v>88</v>
      </c>
      <c r="C208" s="1061"/>
      <c r="D208" s="1061"/>
      <c r="E208" s="1061"/>
      <c r="F208" s="1062">
        <f>I96</f>
        <v>4.26</v>
      </c>
      <c r="G208" s="1062"/>
      <c r="H208" s="1062"/>
      <c r="I208" s="1062"/>
      <c r="J208" s="1049"/>
      <c r="K208" s="1049"/>
      <c r="L208" s="1049"/>
      <c r="M208" s="1049"/>
      <c r="N208" s="1087"/>
      <c r="O208" s="1087"/>
    </row>
    <row r="209" spans="1:15" ht="14.1">
      <c r="A209" s="1046"/>
      <c r="B209" s="1061"/>
      <c r="C209" s="1061"/>
      <c r="D209" s="1061"/>
      <c r="E209" s="1061"/>
      <c r="F209" s="1078">
        <f>SUM(F203:F208)</f>
        <v>71.720000000000013</v>
      </c>
      <c r="G209" s="1062"/>
      <c r="H209" s="1062"/>
      <c r="I209" s="1062"/>
      <c r="J209" s="1049"/>
      <c r="K209" s="1049"/>
      <c r="L209" s="1049"/>
      <c r="M209" s="1049"/>
      <c r="N209" s="1087"/>
      <c r="O209" s="1087"/>
    </row>
    <row r="210" spans="1:15" ht="14.1">
      <c r="A210" s="1046"/>
      <c r="B210" s="1079" t="s">
        <v>89</v>
      </c>
      <c r="C210" s="1048"/>
      <c r="D210" s="1048"/>
      <c r="E210" s="1048"/>
      <c r="F210" s="1053">
        <f>I201</f>
        <v>261.96000000000004</v>
      </c>
      <c r="G210" s="1049" t="s">
        <v>524</v>
      </c>
      <c r="H210" s="1053">
        <f>F209</f>
        <v>71.720000000000013</v>
      </c>
      <c r="I210" s="1053">
        <f>F210-H210</f>
        <v>190.24</v>
      </c>
      <c r="J210" s="1049"/>
      <c r="K210" s="1049"/>
      <c r="L210" s="1049"/>
      <c r="M210" s="1049"/>
      <c r="N210" s="1087"/>
      <c r="O210" s="1087"/>
    </row>
    <row r="211" spans="1:15" ht="14.1">
      <c r="A211" s="1046"/>
      <c r="B211" s="2423"/>
      <c r="C211" s="2424"/>
      <c r="D211" s="2424"/>
      <c r="E211" s="2424"/>
      <c r="F211" s="2424"/>
      <c r="G211" s="2424"/>
      <c r="H211" s="2425"/>
      <c r="I211" s="1053"/>
      <c r="J211" s="1049"/>
      <c r="K211" s="1049"/>
      <c r="L211" s="1049"/>
      <c r="M211" s="1049"/>
      <c r="N211" s="1087"/>
      <c r="O211" s="1087"/>
    </row>
    <row r="212" spans="1:15" ht="28.2">
      <c r="A212" s="1046"/>
      <c r="B212" s="1078" t="s">
        <v>2051</v>
      </c>
      <c r="C212" s="1067"/>
      <c r="D212" s="1067"/>
      <c r="E212" s="1048"/>
      <c r="F212" s="1053">
        <f>I210</f>
        <v>190.24</v>
      </c>
      <c r="G212" s="1049" t="s">
        <v>524</v>
      </c>
      <c r="H212" s="1053">
        <f>I181</f>
        <v>106.67</v>
      </c>
      <c r="I212" s="1053">
        <f>F212-H212</f>
        <v>83.570000000000007</v>
      </c>
      <c r="J212" s="1049">
        <f>Datas!G54</f>
        <v>228.33</v>
      </c>
      <c r="K212" s="1053">
        <f>ROUND(J212*I212,0)</f>
        <v>19082</v>
      </c>
      <c r="L212" s="1049">
        <v>30</v>
      </c>
      <c r="M212" s="1055">
        <f>L212*I212</f>
        <v>2507.1000000000004</v>
      </c>
      <c r="N212" s="1087">
        <v>30</v>
      </c>
      <c r="O212" s="1087">
        <f>ROUND(I212*N212,0)</f>
        <v>2507</v>
      </c>
    </row>
    <row r="213" spans="1:15" ht="14.1">
      <c r="A213" s="1046"/>
      <c r="B213" s="1060"/>
      <c r="C213" s="1048"/>
      <c r="D213" s="1048"/>
      <c r="E213" s="1048"/>
      <c r="F213" s="1049"/>
      <c r="G213" s="1049"/>
      <c r="H213" s="1049"/>
      <c r="I213" s="1053" t="s">
        <v>1473</v>
      </c>
      <c r="J213" s="1053" t="s">
        <v>658</v>
      </c>
      <c r="K213" s="1053"/>
      <c r="L213" s="1049"/>
      <c r="M213" s="1049"/>
      <c r="N213" s="1087"/>
      <c r="O213" s="1087"/>
    </row>
    <row r="214" spans="1:15" ht="120.75" customHeight="1">
      <c r="A214" s="1046">
        <v>13</v>
      </c>
      <c r="B214" s="2415" t="s">
        <v>2427</v>
      </c>
      <c r="C214" s="2416"/>
      <c r="D214" s="2416"/>
      <c r="E214" s="2416"/>
      <c r="F214" s="2416"/>
      <c r="G214" s="2416"/>
      <c r="H214" s="2416"/>
      <c r="I214" s="2417"/>
      <c r="J214" s="1049"/>
      <c r="K214" s="1049"/>
      <c r="L214" s="1049"/>
      <c r="M214" s="1049"/>
      <c r="N214" s="1087"/>
      <c r="O214" s="1087"/>
    </row>
    <row r="215" spans="1:15" ht="14.1">
      <c r="A215" s="1046"/>
      <c r="B215" s="1060" t="s">
        <v>466</v>
      </c>
      <c r="C215" s="1082"/>
      <c r="D215" s="1082"/>
      <c r="E215" s="1082"/>
      <c r="F215" s="1083"/>
      <c r="G215" s="1083"/>
      <c r="H215" s="1083"/>
      <c r="I215" s="1083"/>
      <c r="J215" s="1049"/>
      <c r="K215" s="1049"/>
      <c r="L215" s="1049"/>
      <c r="M215" s="1049"/>
      <c r="N215" s="1087"/>
      <c r="O215" s="1087"/>
    </row>
    <row r="216" spans="1:15" ht="14.1">
      <c r="A216" s="1046"/>
      <c r="B216" s="1174" t="s">
        <v>2115</v>
      </c>
      <c r="C216" s="1048">
        <v>1</v>
      </c>
      <c r="D216" s="1048" t="s">
        <v>1472</v>
      </c>
      <c r="E216" s="1048">
        <v>2</v>
      </c>
      <c r="F216" s="1049">
        <f>(60.75-0.23*2)*0.3048</f>
        <v>18.376391999999999</v>
      </c>
      <c r="G216" s="1049"/>
      <c r="H216" s="1049">
        <v>3.6</v>
      </c>
      <c r="I216" s="1049">
        <f>ROUND(C216*E216*F216*H216,2)</f>
        <v>132.31</v>
      </c>
      <c r="J216" s="1049"/>
      <c r="K216" s="1049"/>
      <c r="L216" s="1049"/>
      <c r="M216" s="1049"/>
      <c r="N216" s="1087"/>
      <c r="O216" s="1087"/>
    </row>
    <row r="217" spans="1:15" ht="14.1">
      <c r="A217" s="1046"/>
      <c r="B217" s="1174" t="s">
        <v>2033</v>
      </c>
      <c r="C217" s="1048">
        <v>1</v>
      </c>
      <c r="D217" s="1048" t="s">
        <v>1472</v>
      </c>
      <c r="E217" s="1048">
        <v>2</v>
      </c>
      <c r="F217" s="1049">
        <f>(31.5-2*0.23)*0.3048</f>
        <v>9.460992000000001</v>
      </c>
      <c r="G217" s="1049"/>
      <c r="H217" s="1164" t="s">
        <v>2287</v>
      </c>
      <c r="I217" s="1049">
        <f>ROUND(C217*E217*F217*AVERAGE(3.6,5.4,3.6),2)</f>
        <v>79.47</v>
      </c>
      <c r="J217" s="1049"/>
      <c r="K217" s="1049"/>
      <c r="L217" s="1049"/>
      <c r="M217" s="1049"/>
      <c r="N217" s="1087"/>
      <c r="O217" s="1087"/>
    </row>
    <row r="218" spans="1:15" ht="14.1">
      <c r="A218" s="1046"/>
      <c r="B218" s="1174" t="s">
        <v>2116</v>
      </c>
      <c r="C218" s="1048">
        <v>1</v>
      </c>
      <c r="D218" s="1048" t="s">
        <v>1472</v>
      </c>
      <c r="E218" s="1048">
        <v>2</v>
      </c>
      <c r="F218" s="1049">
        <f>(31.5-2*0.23)*0.3048</f>
        <v>9.460992000000001</v>
      </c>
      <c r="G218" s="1049"/>
      <c r="H218" s="1049">
        <v>3.6</v>
      </c>
      <c r="I218" s="1049">
        <f>ROUND(C218*E218*F218*H218,2)</f>
        <v>68.12</v>
      </c>
      <c r="J218" s="1049"/>
      <c r="K218" s="1049"/>
      <c r="L218" s="1049"/>
      <c r="M218" s="1049"/>
      <c r="N218" s="1087"/>
      <c r="O218" s="1087"/>
    </row>
    <row r="219" spans="1:15" ht="14.1">
      <c r="A219" s="1046"/>
      <c r="B219" s="1174" t="s">
        <v>2134</v>
      </c>
      <c r="C219" s="1048">
        <v>1</v>
      </c>
      <c r="D219" s="1048" t="s">
        <v>1472</v>
      </c>
      <c r="E219" s="1048">
        <v>2</v>
      </c>
      <c r="F219" s="1049">
        <v>3.6</v>
      </c>
      <c r="G219" s="1049"/>
      <c r="H219" s="1049">
        <v>3.6</v>
      </c>
      <c r="I219" s="1049">
        <f>ROUND(C219*E219*F219*H219,2)</f>
        <v>25.92</v>
      </c>
      <c r="J219" s="1049"/>
      <c r="K219" s="1049"/>
      <c r="L219" s="1049"/>
      <c r="M219" s="1049"/>
      <c r="N219" s="1087"/>
      <c r="O219" s="1087"/>
    </row>
    <row r="220" spans="1:15" ht="14.1">
      <c r="A220" s="1046"/>
      <c r="B220" s="1174" t="s">
        <v>2119</v>
      </c>
      <c r="C220" s="1048">
        <v>1</v>
      </c>
      <c r="D220" s="1048" t="s">
        <v>1472</v>
      </c>
      <c r="E220" s="1048">
        <v>2</v>
      </c>
      <c r="F220" s="1049">
        <v>2.1</v>
      </c>
      <c r="G220" s="1049"/>
      <c r="H220" s="1049">
        <v>0.45</v>
      </c>
      <c r="I220" s="1049">
        <f>ROUND(C220*E220*F220*H220,2)</f>
        <v>1.89</v>
      </c>
      <c r="J220" s="1049"/>
      <c r="K220" s="1049"/>
      <c r="L220" s="1049"/>
      <c r="M220" s="1049"/>
      <c r="N220" s="1087"/>
      <c r="O220" s="1087"/>
    </row>
    <row r="221" spans="1:15" ht="14.1">
      <c r="A221" s="1046"/>
      <c r="B221" s="1174" t="s">
        <v>2120</v>
      </c>
      <c r="C221" s="1048">
        <v>1</v>
      </c>
      <c r="D221" s="1048" t="s">
        <v>1472</v>
      </c>
      <c r="E221" s="1048">
        <v>1</v>
      </c>
      <c r="F221" s="1049">
        <v>4.95</v>
      </c>
      <c r="G221" s="1049"/>
      <c r="H221" s="1049">
        <v>0.45</v>
      </c>
      <c r="I221" s="1049">
        <f>ROUND(C221*E221*F221*H221,2)</f>
        <v>2.23</v>
      </c>
      <c r="J221" s="1049"/>
      <c r="K221" s="1049"/>
      <c r="L221" s="1049"/>
      <c r="M221" s="1049"/>
      <c r="N221" s="1087"/>
      <c r="O221" s="1087"/>
    </row>
    <row r="222" spans="1:15" ht="14.1">
      <c r="A222" s="1046"/>
      <c r="B222" s="1178" t="s">
        <v>675</v>
      </c>
      <c r="C222" s="1048"/>
      <c r="D222" s="1048"/>
      <c r="E222" s="1048"/>
      <c r="F222" s="1049"/>
      <c r="G222" s="1049"/>
      <c r="H222" s="1049"/>
      <c r="I222" s="1049"/>
      <c r="J222" s="1049"/>
      <c r="K222" s="1049"/>
      <c r="L222" s="1049"/>
      <c r="M222" s="1049"/>
      <c r="N222" s="1087"/>
      <c r="O222" s="1087"/>
    </row>
    <row r="223" spans="1:15">
      <c r="A223" s="1076"/>
      <c r="B223" s="1178" t="s">
        <v>2223</v>
      </c>
      <c r="C223" s="1048">
        <v>1</v>
      </c>
      <c r="D223" s="1048" t="s">
        <v>1472</v>
      </c>
      <c r="E223" s="1048">
        <v>1</v>
      </c>
      <c r="F223" s="1049">
        <v>1.8</v>
      </c>
      <c r="G223" s="1084">
        <v>1</v>
      </c>
      <c r="H223" s="1049">
        <v>2.4</v>
      </c>
      <c r="I223" s="1049">
        <f t="shared" ref="I223:I228" si="11">-ROUND(C223*E223*F223*G223*H223,2)</f>
        <v>-4.32</v>
      </c>
      <c r="J223" s="1049"/>
      <c r="K223" s="1049"/>
      <c r="L223" s="1049"/>
      <c r="M223" s="1049"/>
      <c r="N223" s="1087"/>
      <c r="O223" s="1087"/>
    </row>
    <row r="224" spans="1:15">
      <c r="A224" s="1076"/>
      <c r="B224" s="1178" t="s">
        <v>980</v>
      </c>
      <c r="C224" s="1048">
        <v>1</v>
      </c>
      <c r="D224" s="1048" t="s">
        <v>1472</v>
      </c>
      <c r="E224" s="1048">
        <v>2</v>
      </c>
      <c r="F224" s="1049">
        <v>1.5</v>
      </c>
      <c r="G224" s="1084">
        <v>1</v>
      </c>
      <c r="H224" s="1049">
        <v>2.4</v>
      </c>
      <c r="I224" s="1049">
        <f t="shared" si="11"/>
        <v>-7.2</v>
      </c>
      <c r="J224" s="1049"/>
      <c r="K224" s="1049"/>
      <c r="L224" s="1049"/>
      <c r="M224" s="1049"/>
      <c r="N224" s="1087"/>
      <c r="O224" s="1087"/>
    </row>
    <row r="225" spans="1:15">
      <c r="A225" s="1076"/>
      <c r="B225" s="1178" t="s">
        <v>981</v>
      </c>
      <c r="C225" s="1048">
        <v>1</v>
      </c>
      <c r="D225" s="1048" t="s">
        <v>1472</v>
      </c>
      <c r="E225" s="1048">
        <v>2</v>
      </c>
      <c r="F225" s="1049">
        <v>0.9</v>
      </c>
      <c r="G225" s="1084">
        <v>1</v>
      </c>
      <c r="H225" s="1049">
        <v>2.1</v>
      </c>
      <c r="I225" s="1049">
        <f t="shared" si="11"/>
        <v>-3.78</v>
      </c>
      <c r="J225" s="1049"/>
      <c r="K225" s="1049"/>
      <c r="L225" s="1049"/>
      <c r="M225" s="1049"/>
      <c r="N225" s="1087"/>
      <c r="O225" s="1087"/>
    </row>
    <row r="226" spans="1:15">
      <c r="A226" s="1076"/>
      <c r="B226" s="1178" t="s">
        <v>2117</v>
      </c>
      <c r="C226" s="1048">
        <v>1</v>
      </c>
      <c r="D226" s="1048" t="s">
        <v>1472</v>
      </c>
      <c r="E226" s="1048">
        <v>1</v>
      </c>
      <c r="F226" s="1049">
        <v>1.5</v>
      </c>
      <c r="G226" s="1084">
        <v>1</v>
      </c>
      <c r="H226" s="1049">
        <v>1.2</v>
      </c>
      <c r="I226" s="1049">
        <f t="shared" si="11"/>
        <v>-1.8</v>
      </c>
      <c r="J226" s="1049"/>
      <c r="K226" s="1049"/>
      <c r="L226" s="1049"/>
      <c r="M226" s="1049"/>
      <c r="N226" s="1087"/>
      <c r="O226" s="1087"/>
    </row>
    <row r="227" spans="1:15" ht="14.1">
      <c r="A227" s="1046"/>
      <c r="B227" s="1178" t="s">
        <v>2215</v>
      </c>
      <c r="C227" s="1048">
        <v>1</v>
      </c>
      <c r="D227" s="1048" t="s">
        <v>1472</v>
      </c>
      <c r="E227" s="1048">
        <v>6</v>
      </c>
      <c r="F227" s="1049">
        <f>11*0.3048</f>
        <v>3.3528000000000002</v>
      </c>
      <c r="G227" s="1084">
        <v>1</v>
      </c>
      <c r="H227" s="1049">
        <v>0.9</v>
      </c>
      <c r="I227" s="1049">
        <f t="shared" si="11"/>
        <v>-18.11</v>
      </c>
      <c r="J227" s="1049"/>
      <c r="K227" s="1049"/>
      <c r="L227" s="1049"/>
      <c r="M227" s="1049"/>
      <c r="N227" s="1087"/>
      <c r="O227" s="1087"/>
    </row>
    <row r="228" spans="1:15" ht="14.1">
      <c r="A228" s="1046"/>
      <c r="B228" s="1178" t="s">
        <v>2216</v>
      </c>
      <c r="C228" s="1048">
        <v>1</v>
      </c>
      <c r="D228" s="1048" t="s">
        <v>1472</v>
      </c>
      <c r="E228" s="1048">
        <v>2</v>
      </c>
      <c r="F228" s="1049">
        <v>2.4</v>
      </c>
      <c r="G228" s="1084">
        <v>1</v>
      </c>
      <c r="H228" s="1049">
        <v>2</v>
      </c>
      <c r="I228" s="1049">
        <f t="shared" si="11"/>
        <v>-9.6</v>
      </c>
      <c r="J228" s="1049"/>
      <c r="K228" s="1049"/>
      <c r="L228" s="1049"/>
      <c r="M228" s="1049"/>
      <c r="N228" s="1087"/>
      <c r="O228" s="1087"/>
    </row>
    <row r="229" spans="1:15" ht="14.1">
      <c r="A229" s="1046"/>
      <c r="B229" s="1190" t="s">
        <v>2135</v>
      </c>
      <c r="C229" s="1082"/>
      <c r="D229" s="1082"/>
      <c r="E229" s="1082"/>
      <c r="F229" s="1083"/>
      <c r="G229" s="1083"/>
      <c r="H229" s="1083"/>
      <c r="I229" s="1083"/>
      <c r="J229" s="1049"/>
      <c r="K229" s="1049"/>
      <c r="L229" s="1049"/>
      <c r="M229" s="1049"/>
      <c r="N229" s="1087"/>
      <c r="O229" s="1087"/>
    </row>
    <row r="230" spans="1:15" ht="14.1">
      <c r="A230" s="1046"/>
      <c r="B230" s="1174" t="s">
        <v>2115</v>
      </c>
      <c r="C230" s="1048">
        <v>1</v>
      </c>
      <c r="D230" s="1048" t="s">
        <v>1472</v>
      </c>
      <c r="E230" s="1048">
        <v>2</v>
      </c>
      <c r="F230" s="1049">
        <f>61.75*0.3048</f>
        <v>18.821400000000001</v>
      </c>
      <c r="G230" s="1084">
        <v>1</v>
      </c>
      <c r="H230" s="1049">
        <v>3.6</v>
      </c>
      <c r="I230" s="1049">
        <f>ROUND(C230*E230*F230*G230*H230,2)</f>
        <v>135.51</v>
      </c>
      <c r="J230" s="1049"/>
      <c r="K230" s="1049"/>
      <c r="L230" s="1049"/>
      <c r="M230" s="1049"/>
      <c r="N230" s="1087"/>
      <c r="O230" s="1087"/>
    </row>
    <row r="231" spans="1:15" ht="14.1">
      <c r="A231" s="1046"/>
      <c r="B231" s="1174" t="s">
        <v>2033</v>
      </c>
      <c r="C231" s="1048">
        <v>1</v>
      </c>
      <c r="D231" s="1048" t="s">
        <v>1472</v>
      </c>
      <c r="E231" s="1048">
        <v>2</v>
      </c>
      <c r="F231" s="1049">
        <f>31.5*0.3048</f>
        <v>9.6012000000000004</v>
      </c>
      <c r="G231" s="1084">
        <v>1</v>
      </c>
      <c r="H231" s="1164" t="s">
        <v>2287</v>
      </c>
      <c r="I231" s="1049">
        <f>ROUND(C231*E231*F231*AVERAGE(4.26,6,4.26),2)</f>
        <v>92.94</v>
      </c>
      <c r="J231" s="1049"/>
      <c r="K231" s="1049"/>
      <c r="L231" s="1049"/>
      <c r="M231" s="1049"/>
      <c r="N231" s="1087"/>
      <c r="O231" s="1087"/>
    </row>
    <row r="232" spans="1:15" ht="14.1">
      <c r="A232" s="1046"/>
      <c r="B232" s="1178"/>
      <c r="C232" s="1048"/>
      <c r="D232" s="1048"/>
      <c r="E232" s="1048"/>
      <c r="F232" s="1049"/>
      <c r="G232" s="1084"/>
      <c r="H232" s="1049"/>
      <c r="I232" s="1049">
        <f>SUM(I216:I231)</f>
        <v>493.58</v>
      </c>
      <c r="J232" s="1049">
        <f>Datas!G1337</f>
        <v>1621.6200000000001</v>
      </c>
      <c r="K232" s="1053">
        <f>ROUND(J232*I232/10,0)</f>
        <v>80040</v>
      </c>
      <c r="L232" s="1049"/>
      <c r="M232" s="1049"/>
      <c r="N232" s="1087"/>
      <c r="O232" s="1087"/>
    </row>
    <row r="233" spans="1:15" ht="14.1">
      <c r="A233" s="1046"/>
      <c r="B233" s="1178"/>
      <c r="C233" s="1048"/>
      <c r="D233" s="1048"/>
      <c r="E233" s="1048"/>
      <c r="F233" s="1049"/>
      <c r="G233" s="1084"/>
      <c r="H233" s="1049"/>
      <c r="I233" s="1049" t="s">
        <v>1478</v>
      </c>
      <c r="J233" s="1049" t="s">
        <v>2420</v>
      </c>
      <c r="K233" s="1049"/>
      <c r="L233" s="1049"/>
      <c r="M233" s="1049"/>
      <c r="N233" s="1087"/>
      <c r="O233" s="1087"/>
    </row>
    <row r="234" spans="1:15" ht="120.75" customHeight="1">
      <c r="A234" s="1046">
        <v>14</v>
      </c>
      <c r="B234" s="2415" t="s">
        <v>2302</v>
      </c>
      <c r="C234" s="2416"/>
      <c r="D234" s="2416"/>
      <c r="E234" s="2416"/>
      <c r="F234" s="2416"/>
      <c r="G234" s="2416"/>
      <c r="H234" s="2416"/>
      <c r="I234" s="2417"/>
      <c r="J234" s="1049"/>
      <c r="K234" s="1049"/>
      <c r="L234" s="1049"/>
      <c r="M234" s="1049"/>
      <c r="N234" s="1087"/>
      <c r="O234" s="1087"/>
    </row>
    <row r="235" spans="1:15">
      <c r="A235" s="1048"/>
      <c r="B235" s="1190" t="s">
        <v>2124</v>
      </c>
      <c r="C235" s="1048"/>
      <c r="D235" s="1048"/>
      <c r="E235" s="1048"/>
      <c r="F235" s="1049"/>
      <c r="G235" s="1049"/>
      <c r="H235" s="1049"/>
      <c r="I235" s="1049"/>
      <c r="J235" s="1049"/>
      <c r="K235" s="1049"/>
      <c r="L235" s="1049"/>
      <c r="M235" s="1049"/>
      <c r="N235" s="1087"/>
      <c r="O235" s="1087"/>
    </row>
    <row r="236" spans="1:15" ht="14.1">
      <c r="A236" s="1046"/>
      <c r="B236" s="1174" t="s">
        <v>2093</v>
      </c>
      <c r="C236" s="1048">
        <v>1</v>
      </c>
      <c r="D236" s="1048" t="s">
        <v>1472</v>
      </c>
      <c r="E236" s="1048">
        <v>2</v>
      </c>
      <c r="F236" s="1049">
        <f>10.5*0.3048</f>
        <v>3.2004000000000001</v>
      </c>
      <c r="G236" s="1084">
        <v>1</v>
      </c>
      <c r="H236" s="1049">
        <v>2.9</v>
      </c>
      <c r="I236" s="1049">
        <f>ROUND(C236*E236*F236*G236*H236,2)</f>
        <v>18.559999999999999</v>
      </c>
      <c r="J236" s="1049"/>
      <c r="K236" s="1049"/>
      <c r="L236" s="1049"/>
      <c r="M236" s="1049"/>
      <c r="N236" s="1087"/>
      <c r="O236" s="1087"/>
    </row>
    <row r="237" spans="1:15" ht="14.1">
      <c r="A237" s="1046"/>
      <c r="B237" s="1174" t="s">
        <v>2094</v>
      </c>
      <c r="C237" s="1048">
        <v>1</v>
      </c>
      <c r="D237" s="1048" t="s">
        <v>1472</v>
      </c>
      <c r="E237" s="1048">
        <v>2</v>
      </c>
      <c r="F237" s="1049">
        <f>10*0.3048</f>
        <v>3.048</v>
      </c>
      <c r="G237" s="1084">
        <v>1</v>
      </c>
      <c r="H237" s="1049">
        <v>2.9</v>
      </c>
      <c r="I237" s="1049">
        <f>ROUND(C237*E237*F237*G237*H237,2)</f>
        <v>17.68</v>
      </c>
      <c r="J237" s="1049"/>
      <c r="K237" s="1049"/>
      <c r="L237" s="1049"/>
      <c r="M237" s="1049"/>
      <c r="N237" s="1087"/>
      <c r="O237" s="1087"/>
    </row>
    <row r="238" spans="1:15">
      <c r="A238" s="1048"/>
      <c r="B238" s="1178" t="s">
        <v>2125</v>
      </c>
      <c r="C238" s="1048">
        <v>1</v>
      </c>
      <c r="D238" s="1048" t="s">
        <v>1472</v>
      </c>
      <c r="E238" s="1048">
        <v>2</v>
      </c>
      <c r="F238" s="1049">
        <f>10.5*0.3048</f>
        <v>3.2004000000000001</v>
      </c>
      <c r="G238" s="1084">
        <v>1</v>
      </c>
      <c r="H238" s="1049">
        <v>2.1</v>
      </c>
      <c r="I238" s="1049">
        <f>ROUND(C238*E238*F238*G238*H238,2)</f>
        <v>13.44</v>
      </c>
      <c r="J238" s="1049"/>
      <c r="K238" s="1049"/>
      <c r="L238" s="1049"/>
      <c r="M238" s="1049"/>
      <c r="N238" s="1087"/>
      <c r="O238" s="1087"/>
    </row>
    <row r="239" spans="1:15">
      <c r="A239" s="1048"/>
      <c r="B239" s="1178" t="s">
        <v>2125</v>
      </c>
      <c r="C239" s="1048">
        <v>1</v>
      </c>
      <c r="D239" s="1048" t="s">
        <v>1472</v>
      </c>
      <c r="E239" s="1048">
        <v>2</v>
      </c>
      <c r="F239" s="1049">
        <v>3.42</v>
      </c>
      <c r="G239" s="1084">
        <v>1</v>
      </c>
      <c r="H239" s="1049">
        <v>2.1</v>
      </c>
      <c r="I239" s="1049">
        <f>ROUND(C239*E239*F239*G239*H239,2)</f>
        <v>14.36</v>
      </c>
      <c r="J239" s="1049"/>
      <c r="K239" s="1049"/>
      <c r="L239" s="1049"/>
      <c r="M239" s="1049"/>
      <c r="N239" s="1087"/>
      <c r="O239" s="1087"/>
    </row>
    <row r="240" spans="1:15">
      <c r="A240" s="1048"/>
      <c r="B240" s="1178" t="s">
        <v>675</v>
      </c>
      <c r="C240" s="1048"/>
      <c r="D240" s="1048"/>
      <c r="E240" s="1048"/>
      <c r="F240" s="1049"/>
      <c r="G240" s="1049"/>
      <c r="H240" s="1049"/>
      <c r="I240" s="1049"/>
      <c r="J240" s="1049"/>
      <c r="K240" s="1049"/>
      <c r="L240" s="1049"/>
      <c r="M240" s="1049"/>
      <c r="N240" s="1087"/>
      <c r="O240" s="1087"/>
    </row>
    <row r="241" spans="1:15">
      <c r="A241" s="1048"/>
      <c r="B241" s="1178" t="s">
        <v>2126</v>
      </c>
      <c r="C241" s="1048">
        <v>1</v>
      </c>
      <c r="D241" s="1048" t="s">
        <v>1472</v>
      </c>
      <c r="E241" s="1048">
        <v>2</v>
      </c>
      <c r="F241" s="1049">
        <v>0.9</v>
      </c>
      <c r="G241" s="1084">
        <v>1</v>
      </c>
      <c r="H241" s="1049">
        <v>2.1</v>
      </c>
      <c r="I241" s="1049">
        <f>-ROUND(C241*E241*F241*G241*H241,2)</f>
        <v>-3.78</v>
      </c>
      <c r="J241" s="1049"/>
      <c r="K241" s="1049"/>
      <c r="L241" s="1049"/>
      <c r="M241" s="1049"/>
      <c r="N241" s="1087"/>
      <c r="O241" s="1087"/>
    </row>
    <row r="242" spans="1:15">
      <c r="A242" s="1048"/>
      <c r="B242" s="1178" t="s">
        <v>101</v>
      </c>
      <c r="C242" s="1048">
        <v>1</v>
      </c>
      <c r="D242" s="1048" t="s">
        <v>1472</v>
      </c>
      <c r="E242" s="1048">
        <v>2</v>
      </c>
      <c r="F242" s="1049">
        <v>0.75</v>
      </c>
      <c r="G242" s="1084">
        <v>1</v>
      </c>
      <c r="H242" s="1049">
        <v>2.1</v>
      </c>
      <c r="I242" s="1049">
        <f>-ROUND(C242*E242*F242*G242*H242,2)</f>
        <v>-3.15</v>
      </c>
      <c r="J242" s="1049"/>
      <c r="K242" s="1049"/>
      <c r="L242" s="1049"/>
      <c r="M242" s="1049"/>
      <c r="N242" s="1087"/>
      <c r="O242" s="1087"/>
    </row>
    <row r="243" spans="1:15">
      <c r="A243" s="1048"/>
      <c r="B243" s="1178" t="s">
        <v>2224</v>
      </c>
      <c r="C243" s="1048">
        <v>1</v>
      </c>
      <c r="D243" s="1048" t="s">
        <v>1472</v>
      </c>
      <c r="E243" s="1048">
        <v>2</v>
      </c>
      <c r="F243" s="1049">
        <v>0.75</v>
      </c>
      <c r="G243" s="1084">
        <v>1</v>
      </c>
      <c r="H243" s="1049">
        <v>0.3</v>
      </c>
      <c r="I243" s="1049">
        <f>-ROUND(C243*E243*F243*G243*H243,2)</f>
        <v>-0.45</v>
      </c>
      <c r="J243" s="1049"/>
      <c r="K243" s="1049"/>
      <c r="L243" s="1049"/>
      <c r="M243" s="1049"/>
      <c r="N243" s="1087"/>
      <c r="O243" s="1087"/>
    </row>
    <row r="244" spans="1:15" ht="14.1">
      <c r="A244" s="1046"/>
      <c r="B244" s="1179"/>
      <c r="C244" s="1048"/>
      <c r="D244" s="1048"/>
      <c r="E244" s="1048"/>
      <c r="F244" s="1049"/>
      <c r="G244" s="1049"/>
      <c r="H244" s="1049"/>
      <c r="I244" s="1049">
        <f>SUM(I236:I243)</f>
        <v>56.659999999999989</v>
      </c>
      <c r="J244" s="1049"/>
      <c r="K244" s="1049"/>
      <c r="L244" s="1049"/>
      <c r="M244" s="1049"/>
      <c r="N244" s="1087"/>
      <c r="O244" s="1087"/>
    </row>
    <row r="245" spans="1:15" ht="14.1">
      <c r="A245" s="1046"/>
      <c r="B245" s="1065"/>
      <c r="C245" s="1048"/>
      <c r="D245" s="1048"/>
      <c r="E245" s="1048"/>
      <c r="F245" s="1049"/>
      <c r="G245" s="1049" t="s">
        <v>667</v>
      </c>
      <c r="H245" s="1049"/>
      <c r="I245" s="1052">
        <f>I244</f>
        <v>56.659999999999989</v>
      </c>
      <c r="J245" s="1049">
        <f>Datas!$E$679</f>
        <v>4266.8500000000004</v>
      </c>
      <c r="K245" s="1053">
        <f>ROUND(J245*I245/10,0)</f>
        <v>24176</v>
      </c>
      <c r="L245" s="1049"/>
      <c r="M245" s="1055"/>
      <c r="N245" s="1087">
        <f>(0.15*9)</f>
        <v>1.3499999999999999</v>
      </c>
      <c r="O245" s="1087">
        <f>ROUND(I245*N245,0)</f>
        <v>76</v>
      </c>
    </row>
    <row r="246" spans="1:15" ht="14.1">
      <c r="A246" s="1046"/>
      <c r="B246" s="1061"/>
      <c r="C246" s="1085"/>
      <c r="D246" s="1085"/>
      <c r="E246" s="1048"/>
      <c r="F246" s="1049"/>
      <c r="G246" s="1049"/>
      <c r="H246" s="1049"/>
      <c r="I246" s="1053" t="s">
        <v>1478</v>
      </c>
      <c r="J246" s="1053" t="s">
        <v>37</v>
      </c>
      <c r="K246" s="1053"/>
      <c r="L246" s="1049"/>
      <c r="M246" s="1049"/>
      <c r="N246" s="1087"/>
      <c r="O246" s="1087"/>
    </row>
    <row r="247" spans="1:15" ht="132" customHeight="1">
      <c r="A247" s="1046">
        <v>15</v>
      </c>
      <c r="B247" s="2415" t="s">
        <v>2301</v>
      </c>
      <c r="C247" s="2416"/>
      <c r="D247" s="2416"/>
      <c r="E247" s="2416"/>
      <c r="F247" s="2416"/>
      <c r="G247" s="2416"/>
      <c r="H247" s="2416"/>
      <c r="I247" s="2417"/>
      <c r="J247" s="1049"/>
      <c r="K247" s="1049"/>
      <c r="L247" s="1049"/>
      <c r="M247" s="1049"/>
      <c r="N247" s="1087"/>
      <c r="O247" s="1087"/>
    </row>
    <row r="248" spans="1:15" ht="14.1">
      <c r="A248" s="1046"/>
      <c r="B248" s="1190" t="s">
        <v>2136</v>
      </c>
      <c r="C248" s="1048"/>
      <c r="D248" s="1048"/>
      <c r="E248" s="1048"/>
      <c r="F248" s="1049"/>
      <c r="G248" s="1084"/>
      <c r="H248" s="1049"/>
      <c r="I248" s="1068"/>
      <c r="J248" s="1049"/>
      <c r="K248" s="1049"/>
      <c r="L248" s="1049"/>
      <c r="M248" s="1068"/>
      <c r="N248" s="1087"/>
      <c r="O248" s="1087"/>
    </row>
    <row r="249" spans="1:15" ht="14.1">
      <c r="A249" s="1046"/>
      <c r="B249" s="1174" t="s">
        <v>2093</v>
      </c>
      <c r="C249" s="1048">
        <v>1</v>
      </c>
      <c r="D249" s="1048" t="s">
        <v>1472</v>
      </c>
      <c r="E249" s="1048">
        <v>2</v>
      </c>
      <c r="F249" s="1049">
        <f>12*0.3048</f>
        <v>3.6576000000000004</v>
      </c>
      <c r="G249" s="1084">
        <v>1</v>
      </c>
      <c r="H249" s="1049">
        <v>2.4</v>
      </c>
      <c r="I249" s="1049">
        <f>ROUND(C249*E249*F249*G249*H249,2)</f>
        <v>17.559999999999999</v>
      </c>
      <c r="J249" s="1049"/>
      <c r="K249" s="1049"/>
      <c r="L249" s="1049"/>
      <c r="M249" s="1049"/>
      <c r="N249" s="1087"/>
      <c r="O249" s="1087"/>
    </row>
    <row r="250" spans="1:15" ht="14.1">
      <c r="A250" s="1046"/>
      <c r="B250" s="1174" t="s">
        <v>2094</v>
      </c>
      <c r="C250" s="1048">
        <v>1</v>
      </c>
      <c r="D250" s="1048" t="s">
        <v>1472</v>
      </c>
      <c r="E250" s="1048">
        <v>2</v>
      </c>
      <c r="F250" s="1049">
        <f>11.5*0.3048</f>
        <v>3.5052000000000003</v>
      </c>
      <c r="G250" s="1084">
        <v>1</v>
      </c>
      <c r="H250" s="1049">
        <v>2.4</v>
      </c>
      <c r="I250" s="1049">
        <f>ROUND(C250*E250*F250*G250*H250,2)</f>
        <v>16.82</v>
      </c>
      <c r="J250" s="1049"/>
      <c r="K250" s="1049"/>
      <c r="L250" s="1049"/>
      <c r="M250" s="1049"/>
      <c r="N250" s="1087"/>
      <c r="O250" s="1087"/>
    </row>
    <row r="251" spans="1:15" ht="14.1">
      <c r="A251" s="1046"/>
      <c r="B251" s="1061"/>
      <c r="C251" s="1048"/>
      <c r="D251" s="1048"/>
      <c r="E251" s="1048"/>
      <c r="F251" s="1049"/>
      <c r="G251" s="1049"/>
      <c r="H251" s="1049" t="s">
        <v>982</v>
      </c>
      <c r="I251" s="1052">
        <f>SUM(I248:I250)</f>
        <v>34.379999999999995</v>
      </c>
      <c r="J251" s="1049">
        <f>Datas!E706</f>
        <v>439.762</v>
      </c>
      <c r="K251" s="1053">
        <f>ROUND(J251*I251/10,0)</f>
        <v>1512</v>
      </c>
      <c r="L251" s="1049">
        <f>0.12*9+1.1*8</f>
        <v>9.8800000000000008</v>
      </c>
      <c r="M251" s="1055">
        <f>L251*I251</f>
        <v>339.67439999999999</v>
      </c>
      <c r="N251" s="1087">
        <f>(0.22*9)</f>
        <v>1.98</v>
      </c>
      <c r="O251" s="1087">
        <f>ROUND(I251*N251,0)</f>
        <v>68</v>
      </c>
    </row>
    <row r="252" spans="1:15" ht="14.1">
      <c r="A252" s="1046"/>
      <c r="B252" s="1061"/>
      <c r="C252" s="1048"/>
      <c r="D252" s="1048"/>
      <c r="E252" s="1048"/>
      <c r="F252" s="1049"/>
      <c r="G252" s="1049"/>
      <c r="H252" s="1049"/>
      <c r="I252" s="1053" t="s">
        <v>1478</v>
      </c>
      <c r="J252" s="1053" t="s">
        <v>37</v>
      </c>
      <c r="K252" s="1053"/>
      <c r="L252" s="1049"/>
      <c r="M252" s="1049"/>
      <c r="N252" s="1087"/>
      <c r="O252" s="1087"/>
    </row>
    <row r="253" spans="1:15" ht="104.25" customHeight="1">
      <c r="A253" s="1046">
        <v>16</v>
      </c>
      <c r="B253" s="2415" t="s">
        <v>2320</v>
      </c>
      <c r="C253" s="2416"/>
      <c r="D253" s="2416"/>
      <c r="E253" s="2416"/>
      <c r="F253" s="2416"/>
      <c r="G253" s="2416"/>
      <c r="H253" s="2416"/>
      <c r="I253" s="2417"/>
      <c r="J253" s="1049"/>
      <c r="K253" s="1049"/>
      <c r="L253" s="1049"/>
      <c r="M253" s="1049"/>
      <c r="N253" s="1087"/>
      <c r="O253" s="1087"/>
    </row>
    <row r="254" spans="1:15" ht="14.1">
      <c r="A254" s="1046"/>
      <c r="B254" s="1174" t="s">
        <v>2319</v>
      </c>
      <c r="C254" s="1048">
        <v>1</v>
      </c>
      <c r="D254" s="1048" t="s">
        <v>1472</v>
      </c>
      <c r="E254" s="1048">
        <v>1</v>
      </c>
      <c r="F254" s="1049">
        <f>10*0.3048</f>
        <v>3.048</v>
      </c>
      <c r="G254" s="1084">
        <v>1</v>
      </c>
      <c r="H254" s="1049">
        <f>9*0.3048</f>
        <v>2.7432000000000003</v>
      </c>
      <c r="I254" s="1049">
        <f>ROUND(C254*E254*F254*G254*H254,2)</f>
        <v>8.36</v>
      </c>
      <c r="J254" s="1049"/>
      <c r="K254" s="1049"/>
      <c r="L254" s="1049"/>
      <c r="M254" s="1049"/>
      <c r="N254" s="1087"/>
      <c r="O254" s="1087"/>
    </row>
    <row r="255" spans="1:15" ht="14.1">
      <c r="A255" s="1046"/>
      <c r="B255" s="1178" t="s">
        <v>2321</v>
      </c>
      <c r="C255" s="1048">
        <v>1</v>
      </c>
      <c r="D255" s="1048" t="s">
        <v>1472</v>
      </c>
      <c r="E255" s="1048">
        <v>2</v>
      </c>
      <c r="F255" s="1049">
        <f>(60.75-3)*0.3048</f>
        <v>17.6022</v>
      </c>
      <c r="G255" s="1049"/>
      <c r="H255" s="1049"/>
      <c r="I255" s="1049">
        <f>ROUND(C255*E255*F255,2)</f>
        <v>35.200000000000003</v>
      </c>
      <c r="J255" s="1049"/>
      <c r="K255" s="1049"/>
      <c r="L255" s="1049"/>
      <c r="M255" s="1068"/>
      <c r="N255" s="1087"/>
      <c r="O255" s="1087"/>
    </row>
    <row r="256" spans="1:15" ht="14.1">
      <c r="A256" s="1046"/>
      <c r="B256" s="1178" t="s">
        <v>2321</v>
      </c>
      <c r="C256" s="1048">
        <v>1</v>
      </c>
      <c r="D256" s="1048" t="s">
        <v>1472</v>
      </c>
      <c r="E256" s="1048">
        <v>1</v>
      </c>
      <c r="F256" s="1049">
        <f>22*0.3048</f>
        <v>6.7056000000000004</v>
      </c>
      <c r="G256" s="1049"/>
      <c r="H256" s="1049"/>
      <c r="I256" s="1049">
        <f>ROUND(C256*E256*F256,2)</f>
        <v>6.71</v>
      </c>
      <c r="J256" s="1049"/>
      <c r="K256" s="1049"/>
      <c r="L256" s="1049"/>
      <c r="M256" s="1068"/>
      <c r="N256" s="1087"/>
      <c r="O256" s="1087"/>
    </row>
    <row r="257" spans="1:15" ht="14.1">
      <c r="A257" s="1046"/>
      <c r="B257" s="1178" t="s">
        <v>2322</v>
      </c>
      <c r="C257" s="1048">
        <v>1</v>
      </c>
      <c r="D257" s="1048" t="s">
        <v>1472</v>
      </c>
      <c r="E257" s="1048">
        <v>2</v>
      </c>
      <c r="F257" s="1049">
        <v>1.8</v>
      </c>
      <c r="G257" s="1049"/>
      <c r="H257" s="1049"/>
      <c r="I257" s="1049">
        <f>ROUND(C257*E257*F257,2)</f>
        <v>3.6</v>
      </c>
      <c r="J257" s="1049"/>
      <c r="K257" s="1049"/>
      <c r="L257" s="1049"/>
      <c r="M257" s="1068"/>
      <c r="N257" s="1087"/>
      <c r="O257" s="1087"/>
    </row>
    <row r="258" spans="1:15" ht="14.1">
      <c r="A258" s="1046"/>
      <c r="B258" s="1178"/>
      <c r="C258" s="1048"/>
      <c r="D258" s="1048"/>
      <c r="E258" s="1048"/>
      <c r="F258" s="1049"/>
      <c r="G258" s="1049"/>
      <c r="H258" s="1049" t="s">
        <v>982</v>
      </c>
      <c r="I258" s="1052">
        <f>SUM(I254:I257)</f>
        <v>53.870000000000005</v>
      </c>
      <c r="J258" s="1049">
        <f>Datas!E654</f>
        <v>1489.73</v>
      </c>
      <c r="K258" s="1053">
        <f>ROUND(J258*I258/10,0)</f>
        <v>8025</v>
      </c>
      <c r="L258" s="1049">
        <f>0.12*9+1.1*8</f>
        <v>9.8800000000000008</v>
      </c>
      <c r="M258" s="1055">
        <f>L258*I258</f>
        <v>532.23560000000009</v>
      </c>
      <c r="N258" s="1087">
        <f>(0.15*9)</f>
        <v>1.3499999999999999</v>
      </c>
      <c r="O258" s="1087">
        <f>ROUND(I258*N258,0)</f>
        <v>73</v>
      </c>
    </row>
    <row r="259" spans="1:15" ht="14.1">
      <c r="A259" s="1046"/>
      <c r="B259" s="1061"/>
      <c r="C259" s="1048"/>
      <c r="D259" s="1048"/>
      <c r="E259" s="1048"/>
      <c r="F259" s="1049"/>
      <c r="G259" s="1049"/>
      <c r="H259" s="1049"/>
      <c r="I259" s="1053" t="s">
        <v>1478</v>
      </c>
      <c r="J259" s="1053" t="s">
        <v>37</v>
      </c>
      <c r="K259" s="1053"/>
      <c r="L259" s="1049"/>
      <c r="M259" s="1049"/>
      <c r="N259" s="1087"/>
      <c r="O259" s="1087"/>
    </row>
    <row r="260" spans="1:15" ht="91.5" customHeight="1">
      <c r="A260" s="1046">
        <v>17</v>
      </c>
      <c r="B260" s="2415" t="s">
        <v>2318</v>
      </c>
      <c r="C260" s="2416"/>
      <c r="D260" s="2416"/>
      <c r="E260" s="2416"/>
      <c r="F260" s="2416"/>
      <c r="G260" s="2416"/>
      <c r="H260" s="2416"/>
      <c r="I260" s="2417"/>
      <c r="J260" s="1049"/>
      <c r="K260" s="1049"/>
      <c r="L260" s="1049"/>
      <c r="M260" s="1049"/>
      <c r="N260" s="1087"/>
      <c r="O260" s="1087"/>
    </row>
    <row r="261" spans="1:15" ht="14.1">
      <c r="A261" s="1046"/>
      <c r="B261" s="1174" t="s">
        <v>2319</v>
      </c>
      <c r="C261" s="1048">
        <v>1</v>
      </c>
      <c r="D261" s="1048" t="s">
        <v>1472</v>
      </c>
      <c r="E261" s="1048">
        <v>1</v>
      </c>
      <c r="F261" s="1049">
        <f>14*0.3048</f>
        <v>4.2671999999999999</v>
      </c>
      <c r="G261" s="1084">
        <v>1</v>
      </c>
      <c r="H261" s="1049">
        <f>13.5*0.3048</f>
        <v>4.1147999999999998</v>
      </c>
      <c r="I261" s="1049">
        <f>ROUND(C261*E261*F261*G261*H261,2)</f>
        <v>17.559999999999999</v>
      </c>
      <c r="J261" s="1049"/>
      <c r="K261" s="1049"/>
      <c r="L261" s="1049"/>
      <c r="M261" s="1049"/>
      <c r="N261" s="1087"/>
      <c r="O261" s="1087"/>
    </row>
    <row r="262" spans="1:15" ht="14.1">
      <c r="A262" s="1046"/>
      <c r="B262" s="1061"/>
      <c r="C262" s="1048"/>
      <c r="D262" s="1048"/>
      <c r="E262" s="1048"/>
      <c r="F262" s="1049"/>
      <c r="G262" s="1049"/>
      <c r="H262" s="1049" t="s">
        <v>982</v>
      </c>
      <c r="I262" s="1052">
        <f>I261</f>
        <v>17.559999999999999</v>
      </c>
      <c r="J262" s="1049">
        <f>Datas!E867</f>
        <v>489.39799999999997</v>
      </c>
      <c r="K262" s="1053">
        <f>ROUND(J262*I262/10,0)</f>
        <v>859</v>
      </c>
      <c r="L262" s="1049">
        <f>0.12*9+1.1*8</f>
        <v>9.8800000000000008</v>
      </c>
      <c r="M262" s="1055">
        <f>L262*I262</f>
        <v>173.49279999999999</v>
      </c>
      <c r="N262" s="1087">
        <f>(0.21*9)</f>
        <v>1.89</v>
      </c>
      <c r="O262" s="1087">
        <f>ROUND(I262*N262,0)</f>
        <v>33</v>
      </c>
    </row>
    <row r="263" spans="1:15" ht="14.1">
      <c r="A263" s="1046"/>
      <c r="B263" s="1061"/>
      <c r="C263" s="1048"/>
      <c r="D263" s="1048"/>
      <c r="E263" s="1048"/>
      <c r="F263" s="1049"/>
      <c r="G263" s="1049"/>
      <c r="H263" s="1049"/>
      <c r="I263" s="1053" t="s">
        <v>1478</v>
      </c>
      <c r="J263" s="1053" t="s">
        <v>37</v>
      </c>
      <c r="K263" s="1053"/>
      <c r="L263" s="1049"/>
      <c r="M263" s="1049"/>
      <c r="N263" s="1087"/>
      <c r="O263" s="1087"/>
    </row>
    <row r="264" spans="1:15" ht="120.75" customHeight="1">
      <c r="A264" s="1046">
        <v>18</v>
      </c>
      <c r="B264" s="2415" t="s">
        <v>2306</v>
      </c>
      <c r="C264" s="2426"/>
      <c r="D264" s="2426"/>
      <c r="E264" s="2426"/>
      <c r="F264" s="2426"/>
      <c r="G264" s="2426"/>
      <c r="H264" s="2426"/>
      <c r="I264" s="2427"/>
      <c r="J264" s="1049"/>
      <c r="K264" s="1049"/>
      <c r="L264" s="1049"/>
      <c r="M264" s="1049"/>
      <c r="N264" s="1087"/>
      <c r="O264" s="1087"/>
    </row>
    <row r="265" spans="1:15" ht="14.1">
      <c r="A265" s="1046"/>
      <c r="B265" s="1178" t="s">
        <v>2018</v>
      </c>
      <c r="C265" s="1048">
        <v>1</v>
      </c>
      <c r="D265" s="1048" t="s">
        <v>1472</v>
      </c>
      <c r="E265" s="1048">
        <v>1</v>
      </c>
      <c r="F265" s="1049">
        <f>(46.5)*0.3048</f>
        <v>14.173200000000001</v>
      </c>
      <c r="G265" s="1069"/>
      <c r="H265" s="1049">
        <f>(31.5-1.5)*0.3048</f>
        <v>9.1440000000000001</v>
      </c>
      <c r="I265" s="1049">
        <f>ROUND(C265*E265*F265*H265,2)</f>
        <v>129.6</v>
      </c>
      <c r="J265" s="1049"/>
      <c r="K265" s="1049"/>
      <c r="L265" s="1049"/>
      <c r="M265" s="1049"/>
      <c r="N265" s="1087"/>
      <c r="O265" s="1087"/>
    </row>
    <row r="266" spans="1:15" ht="14.1">
      <c r="A266" s="1046"/>
      <c r="B266" s="1178" t="s">
        <v>2137</v>
      </c>
      <c r="C266" s="1048">
        <v>1</v>
      </c>
      <c r="D266" s="1048" t="s">
        <v>1472</v>
      </c>
      <c r="E266" s="1048">
        <v>1</v>
      </c>
      <c r="F266" s="1049">
        <f>(12)*0.3048</f>
        <v>3.6576000000000004</v>
      </c>
      <c r="G266" s="1069"/>
      <c r="H266" s="1049">
        <f>(12)*0.3048</f>
        <v>3.6576000000000004</v>
      </c>
      <c r="I266" s="1049">
        <f>ROUND(C266*E266*F266*H266,2)</f>
        <v>13.38</v>
      </c>
      <c r="J266" s="1049"/>
      <c r="K266" s="1049"/>
      <c r="L266" s="1049"/>
      <c r="M266" s="1049"/>
      <c r="N266" s="1087"/>
      <c r="O266" s="1087"/>
    </row>
    <row r="267" spans="1:15" ht="14.1">
      <c r="A267" s="1046"/>
      <c r="B267" s="1178" t="s">
        <v>2138</v>
      </c>
      <c r="C267" s="1048">
        <v>1</v>
      </c>
      <c r="D267" s="1048" t="s">
        <v>1472</v>
      </c>
      <c r="E267" s="1048">
        <v>1</v>
      </c>
      <c r="F267" s="1049">
        <f>(17.625)*0.3048</f>
        <v>5.3721000000000005</v>
      </c>
      <c r="G267" s="1069"/>
      <c r="H267" s="1049">
        <f>(12)*0.3048</f>
        <v>3.6576000000000004</v>
      </c>
      <c r="I267" s="1049">
        <f>ROUND(C267*E267*F267*H267,2)</f>
        <v>19.649999999999999</v>
      </c>
      <c r="J267" s="1049"/>
      <c r="K267" s="1049"/>
      <c r="L267" s="1049"/>
      <c r="M267" s="1049"/>
      <c r="N267" s="1087"/>
      <c r="O267" s="1087"/>
    </row>
    <row r="268" spans="1:15" ht="14.1">
      <c r="A268" s="1046"/>
      <c r="B268" s="1178" t="s">
        <v>2262</v>
      </c>
      <c r="C268" s="1048">
        <v>1</v>
      </c>
      <c r="D268" s="1048" t="s">
        <v>1472</v>
      </c>
      <c r="E268" s="1048">
        <v>1</v>
      </c>
      <c r="F268" s="1049">
        <f>(31.5-12)*0.3048</f>
        <v>5.9436</v>
      </c>
      <c r="G268" s="1069"/>
      <c r="H268" s="1049">
        <f>(7)*0.3048</f>
        <v>2.1335999999999999</v>
      </c>
      <c r="I268" s="1049">
        <f>ROUND(C268*E268*F268*H268,2)</f>
        <v>12.68</v>
      </c>
      <c r="J268" s="1049"/>
      <c r="K268" s="1049"/>
      <c r="L268" s="1049"/>
      <c r="M268" s="1049"/>
      <c r="N268" s="1087"/>
      <c r="O268" s="1087"/>
    </row>
    <row r="269" spans="1:15" ht="14.1">
      <c r="A269" s="1046"/>
      <c r="B269" s="1178" t="s">
        <v>2414</v>
      </c>
      <c r="C269" s="1048">
        <v>1</v>
      </c>
      <c r="D269" s="1048" t="s">
        <v>1472</v>
      </c>
      <c r="E269" s="1048">
        <v>2</v>
      </c>
      <c r="F269" s="1049">
        <v>1.65</v>
      </c>
      <c r="G269" s="1069"/>
      <c r="H269" s="1049">
        <v>1.35</v>
      </c>
      <c r="I269" s="1049">
        <f>ROUND(C269*E269*F269*H269,2)</f>
        <v>4.46</v>
      </c>
      <c r="J269" s="1049"/>
      <c r="K269" s="1049"/>
      <c r="L269" s="1049"/>
      <c r="M269" s="1049"/>
      <c r="N269" s="1087"/>
      <c r="O269" s="1087"/>
    </row>
    <row r="270" spans="1:15" ht="14.1">
      <c r="A270" s="1046"/>
      <c r="B270" s="1178"/>
      <c r="C270" s="1048"/>
      <c r="D270" s="1048"/>
      <c r="E270" s="1048"/>
      <c r="F270" s="1049"/>
      <c r="G270" s="1069"/>
      <c r="H270" s="1049"/>
      <c r="I270" s="1049"/>
      <c r="J270" s="1049"/>
      <c r="K270" s="1049"/>
      <c r="L270" s="1049"/>
      <c r="M270" s="1049"/>
      <c r="N270" s="1087"/>
      <c r="O270" s="1087"/>
    </row>
    <row r="271" spans="1:15" ht="14.1">
      <c r="A271" s="1046"/>
      <c r="B271" s="1179" t="s">
        <v>421</v>
      </c>
      <c r="C271" s="1048"/>
      <c r="D271" s="1048"/>
      <c r="E271" s="1048"/>
      <c r="F271" s="1049"/>
      <c r="G271" s="1049"/>
      <c r="H271" s="1049"/>
      <c r="I271" s="1049"/>
      <c r="J271" s="1049"/>
      <c r="K271" s="1049"/>
      <c r="L271" s="1049"/>
      <c r="M271" s="1049"/>
      <c r="N271" s="1087"/>
      <c r="O271" s="1087"/>
    </row>
    <row r="272" spans="1:15" ht="14.1">
      <c r="A272" s="1046"/>
      <c r="B272" s="1179" t="s">
        <v>2185</v>
      </c>
      <c r="C272" s="1048">
        <v>1</v>
      </c>
      <c r="D272" s="1048" t="s">
        <v>1472</v>
      </c>
      <c r="E272" s="1048">
        <v>1</v>
      </c>
      <c r="F272" s="1049">
        <f>(31.5-6)*0.3048</f>
        <v>7.7724000000000002</v>
      </c>
      <c r="G272" s="1049"/>
      <c r="H272" s="1049">
        <v>0.45</v>
      </c>
      <c r="I272" s="1049">
        <f>ROUND(C272*E272*F272*H272,2)</f>
        <v>3.5</v>
      </c>
      <c r="J272" s="1049"/>
      <c r="K272" s="1049"/>
      <c r="L272" s="1049"/>
      <c r="M272" s="1049"/>
      <c r="N272" s="1049"/>
      <c r="O272" s="1087"/>
    </row>
    <row r="273" spans="1:15" ht="14.1">
      <c r="A273" s="1046"/>
      <c r="B273" s="1179" t="s">
        <v>2186</v>
      </c>
      <c r="C273" s="1048">
        <v>1</v>
      </c>
      <c r="D273" s="1048" t="s">
        <v>1472</v>
      </c>
      <c r="E273" s="1048">
        <v>1</v>
      </c>
      <c r="F273" s="1049">
        <f>(31.5-6-2)*0.3048</f>
        <v>7.1628000000000007</v>
      </c>
      <c r="G273" s="1049"/>
      <c r="H273" s="1049">
        <v>0.45</v>
      </c>
      <c r="I273" s="1049">
        <f t="shared" ref="I273:I279" si="12">ROUND(C273*E273*F273*H273,2)</f>
        <v>3.22</v>
      </c>
      <c r="J273" s="1049"/>
      <c r="K273" s="1049"/>
      <c r="L273" s="1049"/>
      <c r="M273" s="1049"/>
      <c r="N273" s="1049"/>
      <c r="O273" s="1087"/>
    </row>
    <row r="274" spans="1:15" ht="14.1">
      <c r="A274" s="1046"/>
      <c r="B274" s="1179" t="s">
        <v>2187</v>
      </c>
      <c r="C274" s="1048">
        <v>1</v>
      </c>
      <c r="D274" s="1048" t="s">
        <v>1472</v>
      </c>
      <c r="E274" s="1048">
        <v>1</v>
      </c>
      <c r="F274" s="1049">
        <f>(31.5-6-2-2)*0.3048</f>
        <v>6.5532000000000004</v>
      </c>
      <c r="G274" s="1049"/>
      <c r="H274" s="1049">
        <v>0.45</v>
      </c>
      <c r="I274" s="1049">
        <f t="shared" si="12"/>
        <v>2.95</v>
      </c>
      <c r="J274" s="1049"/>
      <c r="K274" s="1049"/>
      <c r="L274" s="1049"/>
      <c r="M274" s="1049"/>
      <c r="N274" s="1049"/>
      <c r="O274" s="1087"/>
    </row>
    <row r="275" spans="1:15" ht="14.1">
      <c r="A275" s="1046"/>
      <c r="B275" s="1179" t="s">
        <v>2188</v>
      </c>
      <c r="C275" s="1048">
        <v>1</v>
      </c>
      <c r="D275" s="1048" t="s">
        <v>1472</v>
      </c>
      <c r="E275" s="1048">
        <v>1</v>
      </c>
      <c r="F275" s="1049">
        <f>(31.5-6-2-2-2)*0.3048</f>
        <v>5.9436</v>
      </c>
      <c r="G275" s="1049"/>
      <c r="H275" s="1049">
        <v>0.45</v>
      </c>
      <c r="I275" s="1049">
        <f t="shared" si="12"/>
        <v>2.67</v>
      </c>
      <c r="J275" s="1049"/>
      <c r="K275" s="1049"/>
      <c r="L275" s="1049"/>
      <c r="M275" s="1049"/>
      <c r="N275" s="1049"/>
      <c r="O275" s="1087"/>
    </row>
    <row r="276" spans="1:15" ht="14.1">
      <c r="A276" s="1046"/>
      <c r="B276" s="1179" t="s">
        <v>2189</v>
      </c>
      <c r="C276" s="1048">
        <v>1</v>
      </c>
      <c r="D276" s="1048" t="s">
        <v>1472</v>
      </c>
      <c r="E276" s="1048">
        <v>2</v>
      </c>
      <c r="F276" s="1049">
        <f>(10)*0.3048</f>
        <v>3.048</v>
      </c>
      <c r="G276" s="1049"/>
      <c r="H276" s="1049">
        <v>0.45</v>
      </c>
      <c r="I276" s="1049">
        <f t="shared" si="12"/>
        <v>2.74</v>
      </c>
      <c r="J276" s="1049"/>
      <c r="K276" s="1049"/>
      <c r="L276" s="1049"/>
      <c r="M276" s="1049"/>
      <c r="N276" s="1049"/>
      <c r="O276" s="1087"/>
    </row>
    <row r="277" spans="1:15" ht="14.1">
      <c r="A277" s="1046"/>
      <c r="B277" s="1179" t="s">
        <v>2190</v>
      </c>
      <c r="C277" s="1048">
        <v>1</v>
      </c>
      <c r="D277" s="1048" t="s">
        <v>1472</v>
      </c>
      <c r="E277" s="1048">
        <v>2</v>
      </c>
      <c r="F277" s="1049">
        <f>(10-1)*0.3048</f>
        <v>2.7432000000000003</v>
      </c>
      <c r="G277" s="1049"/>
      <c r="H277" s="1049">
        <v>0.45</v>
      </c>
      <c r="I277" s="1049">
        <f t="shared" si="12"/>
        <v>2.4700000000000002</v>
      </c>
      <c r="J277" s="1049"/>
      <c r="K277" s="1049"/>
      <c r="L277" s="1049"/>
      <c r="M277" s="1049"/>
      <c r="N277" s="1049"/>
      <c r="O277" s="1087"/>
    </row>
    <row r="278" spans="1:15" ht="14.1">
      <c r="A278" s="1046"/>
      <c r="B278" s="1179" t="s">
        <v>2191</v>
      </c>
      <c r="C278" s="1048">
        <v>1</v>
      </c>
      <c r="D278" s="1048" t="s">
        <v>1472</v>
      </c>
      <c r="E278" s="1048">
        <v>2</v>
      </c>
      <c r="F278" s="1049">
        <f>(10-2)*0.3048</f>
        <v>2.4384000000000001</v>
      </c>
      <c r="G278" s="1049"/>
      <c r="H278" s="1049">
        <v>0.45</v>
      </c>
      <c r="I278" s="1049">
        <f t="shared" si="12"/>
        <v>2.19</v>
      </c>
      <c r="J278" s="1049"/>
      <c r="K278" s="1049"/>
      <c r="L278" s="1049"/>
      <c r="M278" s="1049"/>
      <c r="N278" s="1049"/>
      <c r="O278" s="1087"/>
    </row>
    <row r="279" spans="1:15" ht="14.1">
      <c r="A279" s="1046"/>
      <c r="B279" s="1179" t="s">
        <v>2192</v>
      </c>
      <c r="C279" s="1048">
        <v>1</v>
      </c>
      <c r="D279" s="1048" t="s">
        <v>1472</v>
      </c>
      <c r="E279" s="1048">
        <v>2</v>
      </c>
      <c r="F279" s="1049">
        <f>(10-3)*0.3048</f>
        <v>2.1335999999999999</v>
      </c>
      <c r="G279" s="1049"/>
      <c r="H279" s="1049">
        <v>0.45</v>
      </c>
      <c r="I279" s="1049">
        <f t="shared" si="12"/>
        <v>1.92</v>
      </c>
      <c r="J279" s="1049"/>
      <c r="K279" s="1049"/>
      <c r="L279" s="1049"/>
      <c r="M279" s="1049"/>
      <c r="N279" s="1049"/>
      <c r="O279" s="1087"/>
    </row>
    <row r="280" spans="1:15" ht="14.1">
      <c r="A280" s="1046"/>
      <c r="B280" s="1178" t="s">
        <v>2139</v>
      </c>
      <c r="C280" s="1048">
        <v>1</v>
      </c>
      <c r="D280" s="1048" t="s">
        <v>1472</v>
      </c>
      <c r="E280" s="1048">
        <v>2</v>
      </c>
      <c r="F280" s="1049">
        <v>1.8</v>
      </c>
      <c r="G280" s="1069"/>
      <c r="H280" s="1049">
        <v>1.45</v>
      </c>
      <c r="I280" s="1049">
        <f>ROUND(C280*E280*F280*H280,2)</f>
        <v>5.22</v>
      </c>
      <c r="J280" s="1049"/>
      <c r="K280" s="1049"/>
      <c r="L280" s="1049"/>
      <c r="M280" s="1049"/>
      <c r="N280" s="1087"/>
      <c r="O280" s="1087"/>
    </row>
    <row r="281" spans="1:15">
      <c r="A281" s="1048"/>
      <c r="B281" s="1178" t="s">
        <v>40</v>
      </c>
      <c r="C281" s="1048">
        <v>1</v>
      </c>
      <c r="D281" s="1048" t="s">
        <v>1472</v>
      </c>
      <c r="E281" s="1048">
        <v>3</v>
      </c>
      <c r="F281" s="1049">
        <v>1.5</v>
      </c>
      <c r="G281" s="1069"/>
      <c r="H281" s="1049">
        <v>0.23</v>
      </c>
      <c r="I281" s="1049">
        <f>ROUND(C281*E281*F281*H281,2)</f>
        <v>1.04</v>
      </c>
      <c r="J281" s="1049"/>
      <c r="K281" s="1049"/>
      <c r="L281" s="1049"/>
      <c r="M281" s="1049"/>
      <c r="N281" s="1087"/>
      <c r="O281" s="1087"/>
    </row>
    <row r="282" spans="1:15">
      <c r="A282" s="1048"/>
      <c r="B282" s="1178" t="s">
        <v>41</v>
      </c>
      <c r="C282" s="1048">
        <v>1</v>
      </c>
      <c r="D282" s="1048" t="s">
        <v>1472</v>
      </c>
      <c r="E282" s="1048">
        <v>2</v>
      </c>
      <c r="F282" s="1049">
        <v>0.9</v>
      </c>
      <c r="G282" s="1069"/>
      <c r="H282" s="1049">
        <v>0.23</v>
      </c>
      <c r="I282" s="1049">
        <f>ROUND(C282*E282*F282*H282,2)</f>
        <v>0.41</v>
      </c>
      <c r="J282" s="1049"/>
      <c r="K282" s="1049"/>
      <c r="L282" s="1049"/>
      <c r="M282" s="1049"/>
      <c r="N282" s="1087"/>
      <c r="O282" s="1087"/>
    </row>
    <row r="283" spans="1:15">
      <c r="A283" s="1048"/>
      <c r="B283" s="1178" t="s">
        <v>2140</v>
      </c>
      <c r="C283" s="1048">
        <v>1</v>
      </c>
      <c r="D283" s="1048" t="s">
        <v>1472</v>
      </c>
      <c r="E283" s="1048">
        <v>2</v>
      </c>
      <c r="F283" s="1049">
        <v>0.9</v>
      </c>
      <c r="G283" s="1069"/>
      <c r="H283" s="1049">
        <v>0.23</v>
      </c>
      <c r="I283" s="1049">
        <f>ROUND(C283*E283*F283*H283,2)</f>
        <v>0.41</v>
      </c>
      <c r="J283" s="1049"/>
      <c r="K283" s="1049"/>
      <c r="L283" s="1049"/>
      <c r="M283" s="1049"/>
      <c r="N283" s="1087"/>
      <c r="O283" s="1087"/>
    </row>
    <row r="284" spans="1:15" ht="14.1">
      <c r="A284" s="1046"/>
      <c r="B284" s="1061"/>
      <c r="C284" s="1048"/>
      <c r="D284" s="1048"/>
      <c r="E284" s="1048"/>
      <c r="F284" s="1049"/>
      <c r="G284" s="1049"/>
      <c r="H284" s="1049" t="s">
        <v>982</v>
      </c>
      <c r="I284" s="1052">
        <f>SUM(I265:I283)</f>
        <v>208.50999999999996</v>
      </c>
      <c r="J284" s="1049">
        <f>Datas!$G$844</f>
        <v>8348.74</v>
      </c>
      <c r="K284" s="1053">
        <f>ROUND(J284*I284/10,0)</f>
        <v>174080</v>
      </c>
      <c r="L284" s="1049">
        <f>0.12*9+1.1*8</f>
        <v>9.8800000000000008</v>
      </c>
      <c r="M284" s="1055">
        <f>L284*I284</f>
        <v>2060.0787999999998</v>
      </c>
      <c r="N284" s="1087">
        <f>(0.12*9+1.1*8)</f>
        <v>9.8800000000000008</v>
      </c>
      <c r="O284" s="1087">
        <f>ROUND(I284*N284,0)</f>
        <v>2060</v>
      </c>
    </row>
    <row r="285" spans="1:15" ht="14.1">
      <c r="A285" s="1046"/>
      <c r="B285" s="1061"/>
      <c r="C285" s="1048"/>
      <c r="D285" s="1048"/>
      <c r="E285" s="1048"/>
      <c r="F285" s="1049"/>
      <c r="G285" s="1049"/>
      <c r="H285" s="1049"/>
      <c r="I285" s="1053" t="s">
        <v>1478</v>
      </c>
      <c r="J285" s="1053" t="s">
        <v>37</v>
      </c>
      <c r="K285" s="1053"/>
      <c r="L285" s="1049"/>
      <c r="M285" s="1049"/>
      <c r="N285" s="1087"/>
      <c r="O285" s="1087"/>
    </row>
    <row r="286" spans="1:15" ht="42" customHeight="1">
      <c r="A286" s="1046">
        <v>19</v>
      </c>
      <c r="B286" s="2415" t="s">
        <v>2300</v>
      </c>
      <c r="C286" s="2426"/>
      <c r="D286" s="2426"/>
      <c r="E286" s="2426"/>
      <c r="F286" s="2426"/>
      <c r="G286" s="2426"/>
      <c r="H286" s="2426"/>
      <c r="I286" s="2427"/>
      <c r="J286" s="1049"/>
      <c r="K286" s="1049"/>
      <c r="L286" s="1049"/>
      <c r="M286" s="1049"/>
      <c r="N286" s="1087"/>
      <c r="O286" s="1087"/>
    </row>
    <row r="287" spans="1:15" ht="14.1">
      <c r="A287" s="1046"/>
      <c r="B287" s="1178" t="s">
        <v>2193</v>
      </c>
      <c r="C287" s="1048">
        <v>1</v>
      </c>
      <c r="D287" s="1048" t="s">
        <v>1472</v>
      </c>
      <c r="E287" s="1048">
        <v>2</v>
      </c>
      <c r="F287" s="1049">
        <f>(51.75)*0.3048</f>
        <v>15.773400000000001</v>
      </c>
      <c r="G287" s="1069"/>
      <c r="H287" s="1049">
        <v>1.2</v>
      </c>
      <c r="I287" s="1049">
        <f>ROUND(C287*E287*F287*H287,2)</f>
        <v>37.86</v>
      </c>
      <c r="J287" s="1049"/>
      <c r="K287" s="1049"/>
      <c r="L287" s="1049"/>
      <c r="M287" s="1049"/>
      <c r="N287" s="1087"/>
      <c r="O287" s="1087"/>
    </row>
    <row r="288" spans="1:15" ht="14.1">
      <c r="A288" s="1046"/>
      <c r="B288" s="1178" t="s">
        <v>2194</v>
      </c>
      <c r="C288" s="1048">
        <v>1</v>
      </c>
      <c r="D288" s="1048" t="s">
        <v>1472</v>
      </c>
      <c r="E288" s="1048">
        <v>2</v>
      </c>
      <c r="F288" s="1049">
        <v>1.8</v>
      </c>
      <c r="G288" s="1069"/>
      <c r="H288" s="1049">
        <v>1.2</v>
      </c>
      <c r="I288" s="1049">
        <f>ROUND(C288*E288*F288*H288,2)</f>
        <v>4.32</v>
      </c>
      <c r="J288" s="1049"/>
      <c r="K288" s="1049"/>
      <c r="L288" s="1049"/>
      <c r="M288" s="1049"/>
      <c r="N288" s="1087"/>
      <c r="O288" s="1087"/>
    </row>
    <row r="289" spans="1:15" ht="14.1">
      <c r="A289" s="1046"/>
      <c r="B289" s="1178" t="s">
        <v>2421</v>
      </c>
      <c r="C289" s="1048">
        <v>1</v>
      </c>
      <c r="D289" s="1048" t="s">
        <v>1472</v>
      </c>
      <c r="E289" s="1048">
        <v>2</v>
      </c>
      <c r="F289" s="1049">
        <v>3</v>
      </c>
      <c r="G289" s="1069"/>
      <c r="H289" s="1049">
        <v>1.2</v>
      </c>
      <c r="I289" s="1049">
        <f>ROUND(C289*E289*F289*H289,2)</f>
        <v>7.2</v>
      </c>
      <c r="J289" s="1049"/>
      <c r="K289" s="1049"/>
      <c r="L289" s="1049"/>
      <c r="M289" s="1068"/>
      <c r="N289" s="1087"/>
      <c r="O289" s="1087"/>
    </row>
    <row r="290" spans="1:15" ht="14.1">
      <c r="A290" s="1046"/>
      <c r="B290" s="1061"/>
      <c r="C290" s="1048"/>
      <c r="D290" s="1048"/>
      <c r="E290" s="1048"/>
      <c r="F290" s="1049"/>
      <c r="G290" s="1049"/>
      <c r="H290" s="1049" t="s">
        <v>982</v>
      </c>
      <c r="I290" s="1052">
        <f>SUM(I287:I289)</f>
        <v>49.38</v>
      </c>
      <c r="J290" s="1049">
        <f>Datas!G1265</f>
        <v>9150.58</v>
      </c>
      <c r="K290" s="1053">
        <f>ROUND(J290*I290/10,0)</f>
        <v>45186</v>
      </c>
      <c r="L290" s="1049">
        <f>0.12*9+1.1*8</f>
        <v>9.8800000000000008</v>
      </c>
      <c r="M290" s="1055">
        <f>L290*I290</f>
        <v>487.87440000000004</v>
      </c>
      <c r="N290" s="1087">
        <f>(10.8)</f>
        <v>10.8</v>
      </c>
      <c r="O290" s="1087">
        <f>ROUND(I290*N290,0)</f>
        <v>533</v>
      </c>
    </row>
    <row r="291" spans="1:15" ht="14.1">
      <c r="A291" s="1046"/>
      <c r="B291" s="1061"/>
      <c r="C291" s="1048"/>
      <c r="D291" s="1048"/>
      <c r="E291" s="1048"/>
      <c r="F291" s="1049"/>
      <c r="G291" s="1049"/>
      <c r="H291" s="1049"/>
      <c r="I291" s="1053" t="s">
        <v>1478</v>
      </c>
      <c r="J291" s="1053" t="s">
        <v>37</v>
      </c>
      <c r="K291" s="1053"/>
      <c r="L291" s="1049"/>
      <c r="M291" s="1049"/>
      <c r="N291" s="1087"/>
      <c r="O291" s="1087"/>
    </row>
    <row r="292" spans="1:15" ht="138" customHeight="1">
      <c r="A292" s="1046">
        <v>20</v>
      </c>
      <c r="B292" s="2428" t="s">
        <v>2299</v>
      </c>
      <c r="C292" s="2429"/>
      <c r="D292" s="2429"/>
      <c r="E292" s="2429"/>
      <c r="F292" s="2429"/>
      <c r="G292" s="2429"/>
      <c r="H292" s="2429"/>
      <c r="I292" s="2430"/>
      <c r="J292" s="1049"/>
      <c r="K292" s="1049"/>
      <c r="N292" s="1087"/>
      <c r="O292" s="1087"/>
    </row>
    <row r="293" spans="1:15" ht="14.1">
      <c r="A293" s="1088"/>
      <c r="B293" s="1089" t="s">
        <v>2034</v>
      </c>
      <c r="C293" s="1048">
        <v>1</v>
      </c>
      <c r="D293" s="1048" t="s">
        <v>1472</v>
      </c>
      <c r="E293" s="1048">
        <v>2</v>
      </c>
      <c r="F293" s="1049">
        <v>1.5</v>
      </c>
      <c r="G293" s="1049">
        <v>1.45</v>
      </c>
      <c r="H293" s="1069"/>
      <c r="I293" s="1049">
        <f>ROUND(C293*E293*F293*G293,2)</f>
        <v>4.3499999999999996</v>
      </c>
      <c r="J293" s="1049"/>
      <c r="K293" s="1049"/>
      <c r="N293" s="1087"/>
      <c r="O293" s="1087"/>
    </row>
    <row r="294" spans="1:15" ht="14.1">
      <c r="A294" s="1046"/>
      <c r="B294" s="1061"/>
      <c r="C294" s="1048"/>
      <c r="D294" s="1048"/>
      <c r="E294" s="1048"/>
      <c r="F294" s="1049"/>
      <c r="G294" s="1049"/>
      <c r="H294" s="1049" t="s">
        <v>982</v>
      </c>
      <c r="I294" s="1052">
        <f>SUM(I293)</f>
        <v>4.3499999999999996</v>
      </c>
      <c r="J294" s="1049">
        <f>Datas!$G$789</f>
        <v>8076.9498000000003</v>
      </c>
      <c r="K294" s="1053">
        <f>ROUND(J294*I294/10,0)</f>
        <v>3513</v>
      </c>
      <c r="L294" s="1049">
        <f>1.1*0+0.012*9</f>
        <v>0.108</v>
      </c>
      <c r="M294" s="1055">
        <f>L294*I294</f>
        <v>0.46979999999999994</v>
      </c>
      <c r="N294" s="1087">
        <f>(0.12*9)</f>
        <v>1.08</v>
      </c>
      <c r="O294" s="1087">
        <f>ROUND(I294*N294,0)</f>
        <v>5</v>
      </c>
    </row>
    <row r="295" spans="1:15" ht="14.1">
      <c r="A295" s="1046"/>
      <c r="B295" s="1061"/>
      <c r="C295" s="1048"/>
      <c r="D295" s="1048"/>
      <c r="E295" s="1048"/>
      <c r="F295" s="1049"/>
      <c r="G295" s="1049"/>
      <c r="H295" s="1049"/>
      <c r="I295" s="1053" t="s">
        <v>1478</v>
      </c>
      <c r="J295" s="1053" t="s">
        <v>37</v>
      </c>
      <c r="K295" s="1053"/>
      <c r="N295" s="1087"/>
      <c r="O295" s="1087"/>
    </row>
    <row r="296" spans="1:15" ht="125.2" customHeight="1">
      <c r="A296" s="1046">
        <v>21</v>
      </c>
      <c r="B296" s="2428" t="s">
        <v>2298</v>
      </c>
      <c r="C296" s="2429"/>
      <c r="D296" s="2429"/>
      <c r="E296" s="2429"/>
      <c r="F296" s="2429"/>
      <c r="G296" s="2429"/>
      <c r="H296" s="2429"/>
      <c r="I296" s="2430"/>
      <c r="J296" s="1049"/>
      <c r="K296" s="1049"/>
      <c r="N296" s="1087"/>
      <c r="O296" s="1087"/>
    </row>
    <row r="297" spans="1:15" ht="14.1">
      <c r="A297" s="1088"/>
      <c r="B297" s="1180" t="s">
        <v>2184</v>
      </c>
      <c r="C297" s="1048">
        <v>1</v>
      </c>
      <c r="D297" s="1048" t="s">
        <v>1472</v>
      </c>
      <c r="E297" s="1048">
        <v>2</v>
      </c>
      <c r="F297" s="1049">
        <f>2*1.5+2*1.45</f>
        <v>5.9</v>
      </c>
      <c r="G297" s="1090"/>
      <c r="H297" s="1049">
        <v>1.2</v>
      </c>
      <c r="I297" s="1049">
        <f>ROUND(C297*E297*F297*H297,2)</f>
        <v>14.16</v>
      </c>
      <c r="J297" s="1049"/>
      <c r="K297" s="1049"/>
      <c r="N297" s="1087"/>
      <c r="O297" s="1087"/>
    </row>
    <row r="298" spans="1:15" ht="14.1">
      <c r="A298" s="1088"/>
      <c r="B298" s="1180" t="s">
        <v>2035</v>
      </c>
      <c r="C298" s="1048">
        <v>-1</v>
      </c>
      <c r="D298" s="1048" t="s">
        <v>1472</v>
      </c>
      <c r="E298" s="1048">
        <v>2</v>
      </c>
      <c r="F298" s="1049">
        <v>0.75</v>
      </c>
      <c r="G298" s="1090"/>
      <c r="H298" s="1049">
        <v>1.2</v>
      </c>
      <c r="I298" s="1049">
        <f>ROUND(C298*E298*F298*H298,2)</f>
        <v>-1.8</v>
      </c>
      <c r="J298" s="1049"/>
      <c r="K298" s="1049"/>
      <c r="N298" s="1087"/>
      <c r="O298" s="1087"/>
    </row>
    <row r="299" spans="1:15" ht="14.1">
      <c r="A299" s="1046"/>
      <c r="B299" s="1061"/>
      <c r="C299" s="1048"/>
      <c r="D299" s="1048"/>
      <c r="E299" s="1048"/>
      <c r="F299" s="1049"/>
      <c r="G299" s="1049"/>
      <c r="H299" s="1049"/>
      <c r="I299" s="1052">
        <f>SUM(I297:I298)</f>
        <v>12.36</v>
      </c>
      <c r="J299" s="1049">
        <f>Datas!$G$806</f>
        <v>6385.4000000000005</v>
      </c>
      <c r="K299" s="1053">
        <f>ROUND(J299*I299/10,0)</f>
        <v>7892</v>
      </c>
      <c r="L299" s="1049">
        <f>0.012*9</f>
        <v>0.108</v>
      </c>
      <c r="M299" s="1055">
        <f>L299*I299</f>
        <v>1.3348799999999998</v>
      </c>
      <c r="N299" s="1087">
        <f>(0.12*9)</f>
        <v>1.08</v>
      </c>
      <c r="O299" s="1087">
        <f>ROUND(I299*N299,0)</f>
        <v>13</v>
      </c>
    </row>
    <row r="300" spans="1:15" ht="14.1">
      <c r="A300" s="1046"/>
      <c r="B300" s="1061"/>
      <c r="C300" s="1048"/>
      <c r="D300" s="1048"/>
      <c r="E300" s="1048"/>
      <c r="F300" s="1049"/>
      <c r="G300" s="1049"/>
      <c r="H300" s="1049"/>
      <c r="I300" s="1053" t="s">
        <v>1478</v>
      </c>
      <c r="J300" s="1053" t="s">
        <v>37</v>
      </c>
      <c r="K300" s="1053"/>
      <c r="L300" s="1049"/>
      <c r="M300" s="1055"/>
      <c r="N300" s="1087"/>
      <c r="O300" s="1087"/>
    </row>
    <row r="301" spans="1:15" ht="132" customHeight="1">
      <c r="A301" s="1046">
        <v>22</v>
      </c>
      <c r="B301" s="2415" t="s">
        <v>2307</v>
      </c>
      <c r="C301" s="2426"/>
      <c r="D301" s="2426"/>
      <c r="E301" s="2426"/>
      <c r="F301" s="2426"/>
      <c r="G301" s="2426"/>
      <c r="H301" s="2426"/>
      <c r="I301" s="2427"/>
      <c r="J301" s="1049"/>
      <c r="K301" s="1049"/>
      <c r="L301" s="1049"/>
      <c r="M301" s="1049"/>
      <c r="N301" s="1087"/>
      <c r="O301" s="1087"/>
    </row>
    <row r="302" spans="1:15" ht="14.1">
      <c r="A302" s="1046"/>
      <c r="B302" s="1178" t="s">
        <v>2141</v>
      </c>
      <c r="C302" s="1048">
        <v>1</v>
      </c>
      <c r="D302" s="1048" t="s">
        <v>1472</v>
      </c>
      <c r="E302" s="1048">
        <v>2</v>
      </c>
      <c r="F302" s="1049">
        <f>(46.5-1.5)*0.3048</f>
        <v>13.716000000000001</v>
      </c>
      <c r="G302" s="1049">
        <v>0.1</v>
      </c>
      <c r="H302" s="1069"/>
      <c r="I302" s="1049">
        <f>ROUND(C302*E302*F302*G302,2)</f>
        <v>2.74</v>
      </c>
      <c r="J302" s="1049"/>
      <c r="K302" s="1049"/>
      <c r="L302" s="1049"/>
      <c r="M302" s="1049"/>
      <c r="N302" s="1087"/>
      <c r="O302" s="1087"/>
    </row>
    <row r="303" spans="1:15" ht="14.1">
      <c r="A303" s="1046"/>
      <c r="B303" s="1178" t="s">
        <v>2142</v>
      </c>
      <c r="C303" s="1048">
        <v>1</v>
      </c>
      <c r="D303" s="1048" t="s">
        <v>1472</v>
      </c>
      <c r="E303" s="1048">
        <v>2</v>
      </c>
      <c r="F303" s="1049">
        <f>(30)*0.3048</f>
        <v>9.1440000000000001</v>
      </c>
      <c r="G303" s="1049">
        <v>0.1</v>
      </c>
      <c r="H303" s="1069"/>
      <c r="I303" s="1049">
        <f>ROUND(C303*E303*F303*G303,2)</f>
        <v>1.83</v>
      </c>
      <c r="J303" s="1049"/>
      <c r="K303" s="1049"/>
      <c r="L303" s="1049"/>
      <c r="M303" s="1049"/>
      <c r="N303" s="1087"/>
      <c r="O303" s="1087"/>
    </row>
    <row r="304" spans="1:15" ht="14.1">
      <c r="A304" s="1046"/>
      <c r="B304" s="1178" t="s">
        <v>2423</v>
      </c>
      <c r="C304" s="1048">
        <v>1</v>
      </c>
      <c r="D304" s="1048" t="s">
        <v>1472</v>
      </c>
      <c r="E304" s="1048">
        <v>2</v>
      </c>
      <c r="F304" s="1049">
        <f>(1.35+1.5+0.75)</f>
        <v>3.6</v>
      </c>
      <c r="G304" s="1049">
        <v>0.1</v>
      </c>
      <c r="H304" s="1069"/>
      <c r="I304" s="1049">
        <f>ROUND(C304*E304*F304*G304,2)</f>
        <v>0.72</v>
      </c>
      <c r="J304" s="1049"/>
      <c r="K304" s="1049"/>
      <c r="L304" s="1049"/>
      <c r="M304" s="1049"/>
      <c r="N304" s="1087"/>
      <c r="O304" s="1087"/>
    </row>
    <row r="305" spans="1:15">
      <c r="A305" s="1048"/>
      <c r="B305" s="1178" t="s">
        <v>40</v>
      </c>
      <c r="C305" s="1048">
        <v>1</v>
      </c>
      <c r="D305" s="1048" t="s">
        <v>1472</v>
      </c>
      <c r="E305" s="1048">
        <v>3</v>
      </c>
      <c r="F305" s="1049">
        <v>1.5</v>
      </c>
      <c r="G305" s="1049">
        <v>0.1</v>
      </c>
      <c r="H305" s="1049"/>
      <c r="I305" s="1049">
        <f>-ROUND(C305*E305*F305*G305,2)</f>
        <v>-0.45</v>
      </c>
      <c r="J305" s="1049"/>
      <c r="K305" s="1049"/>
      <c r="L305" s="1049"/>
      <c r="M305" s="1049"/>
      <c r="N305" s="1087"/>
      <c r="O305" s="1087"/>
    </row>
    <row r="306" spans="1:15">
      <c r="A306" s="1048"/>
      <c r="B306" s="1178" t="s">
        <v>41</v>
      </c>
      <c r="C306" s="1048">
        <v>1</v>
      </c>
      <c r="D306" s="1048" t="s">
        <v>1472</v>
      </c>
      <c r="E306" s="1048">
        <v>2</v>
      </c>
      <c r="F306" s="1049">
        <v>0.9</v>
      </c>
      <c r="G306" s="1049">
        <v>0.1</v>
      </c>
      <c r="H306" s="1049"/>
      <c r="I306" s="1049">
        <f>-ROUND(C306*E306*F306*G306,2)</f>
        <v>-0.18</v>
      </c>
      <c r="J306" s="1049"/>
      <c r="K306" s="1049"/>
      <c r="L306" s="1049"/>
      <c r="M306" s="1049"/>
      <c r="N306" s="1087"/>
      <c r="O306" s="1087"/>
    </row>
    <row r="307" spans="1:15" ht="14.1">
      <c r="A307" s="1046"/>
      <c r="B307" s="1178"/>
      <c r="C307" s="1048"/>
      <c r="D307" s="1048"/>
      <c r="E307" s="1048"/>
      <c r="F307" s="1049"/>
      <c r="G307" s="1049"/>
      <c r="H307" s="1049" t="s">
        <v>982</v>
      </c>
      <c r="I307" s="1052">
        <f>SUM(I302:I306)</f>
        <v>4.66</v>
      </c>
      <c r="J307" s="1049">
        <f>Datas!$G$844</f>
        <v>8348.74</v>
      </c>
      <c r="K307" s="1053">
        <f>ROUND(J307*I307/10,0)</f>
        <v>3891</v>
      </c>
      <c r="L307" s="1049">
        <f>0.12*9+1.1*8</f>
        <v>9.8800000000000008</v>
      </c>
      <c r="M307" s="1055">
        <f>L307*I307</f>
        <v>46.040800000000004</v>
      </c>
      <c r="N307" s="1087">
        <f>(0.12*9+1.1*8)</f>
        <v>9.8800000000000008</v>
      </c>
      <c r="O307" s="1087">
        <f>ROUND(I307*N307,0)</f>
        <v>46</v>
      </c>
    </row>
    <row r="308" spans="1:15" ht="14.1">
      <c r="A308" s="1046"/>
      <c r="B308" s="1061"/>
      <c r="C308" s="1048"/>
      <c r="D308" s="1048"/>
      <c r="E308" s="1048"/>
      <c r="F308" s="1049"/>
      <c r="G308" s="1049"/>
      <c r="H308" s="1049"/>
      <c r="I308" s="1053" t="s">
        <v>1478</v>
      </c>
      <c r="J308" s="1053" t="s">
        <v>37</v>
      </c>
      <c r="K308" s="1053"/>
      <c r="L308" s="1049"/>
      <c r="M308" s="1049"/>
      <c r="N308" s="1087"/>
      <c r="O308" s="1087"/>
    </row>
    <row r="309" spans="1:15" ht="91.5" customHeight="1">
      <c r="A309" s="1046">
        <v>23</v>
      </c>
      <c r="B309" s="2415" t="s">
        <v>2308</v>
      </c>
      <c r="C309" s="2416"/>
      <c r="D309" s="2416"/>
      <c r="E309" s="2416"/>
      <c r="F309" s="2416"/>
      <c r="G309" s="2416"/>
      <c r="H309" s="2416"/>
      <c r="I309" s="2417"/>
      <c r="J309" s="1049"/>
      <c r="K309" s="1049"/>
      <c r="L309" s="1049"/>
      <c r="M309" s="1049"/>
      <c r="N309" s="1087"/>
      <c r="O309" s="1087"/>
    </row>
    <row r="310" spans="1:15" ht="14.1">
      <c r="A310" s="1046"/>
      <c r="B310" s="1181" t="s">
        <v>2143</v>
      </c>
      <c r="C310" s="1080"/>
      <c r="D310" s="1080"/>
      <c r="E310" s="1080"/>
      <c r="F310" s="1080"/>
      <c r="G310" s="1055"/>
      <c r="H310" s="1080"/>
      <c r="I310" s="1081"/>
      <c r="J310" s="1049"/>
      <c r="K310" s="1049"/>
      <c r="L310" s="1049"/>
      <c r="M310" s="1049"/>
      <c r="N310" s="1087"/>
      <c r="O310" s="1087"/>
    </row>
    <row r="311" spans="1:15" s="1090" customFormat="1" ht="14.1">
      <c r="A311" s="1088"/>
      <c r="B311" s="1178" t="s">
        <v>2141</v>
      </c>
      <c r="C311" s="1048">
        <v>1</v>
      </c>
      <c r="D311" s="1048" t="s">
        <v>1472</v>
      </c>
      <c r="E311" s="1048">
        <v>2</v>
      </c>
      <c r="F311" s="1049">
        <f>(60.75)*0.3048</f>
        <v>18.5166</v>
      </c>
      <c r="H311" s="1049">
        <v>0.6</v>
      </c>
      <c r="I311" s="1049">
        <f>ROUND(C311*E311*F311*H311,2)</f>
        <v>22.22</v>
      </c>
      <c r="J311" s="1049"/>
      <c r="K311" s="1049"/>
      <c r="L311" s="1049"/>
      <c r="M311" s="1049"/>
      <c r="N311" s="1185"/>
      <c r="O311" s="1185"/>
    </row>
    <row r="312" spans="1:15" s="1090" customFormat="1" ht="14.1">
      <c r="A312" s="1088"/>
      <c r="B312" s="1178" t="s">
        <v>2142</v>
      </c>
      <c r="C312" s="1048">
        <v>1</v>
      </c>
      <c r="D312" s="1048" t="s">
        <v>1472</v>
      </c>
      <c r="E312" s="1048">
        <v>2</v>
      </c>
      <c r="F312" s="1049">
        <f>(31.5)*0.3048</f>
        <v>9.6012000000000004</v>
      </c>
      <c r="H312" s="1049">
        <v>0.6</v>
      </c>
      <c r="I312" s="1049">
        <f>ROUND(C312*E312*F312*H312,2)</f>
        <v>11.52</v>
      </c>
      <c r="J312" s="1049"/>
      <c r="K312" s="1049"/>
      <c r="L312" s="1049"/>
      <c r="M312" s="1049"/>
      <c r="N312" s="1185"/>
      <c r="O312" s="1185"/>
    </row>
    <row r="313" spans="1:15" s="1090" customFormat="1" ht="14.1">
      <c r="A313" s="1088"/>
      <c r="B313" s="1180" t="s">
        <v>470</v>
      </c>
      <c r="C313" s="1048">
        <v>1</v>
      </c>
      <c r="D313" s="1048" t="s">
        <v>1472</v>
      </c>
      <c r="E313" s="1048">
        <v>1</v>
      </c>
      <c r="F313" s="1049">
        <f>(31.5-6)*0.3048</f>
        <v>7.7724000000000002</v>
      </c>
      <c r="G313" s="1049"/>
      <c r="H313" s="1049">
        <v>0.6</v>
      </c>
      <c r="I313" s="1049">
        <f>-ROUND(C313*E313*F313*H313,2)</f>
        <v>-4.66</v>
      </c>
      <c r="J313" s="1049"/>
      <c r="K313" s="1049"/>
      <c r="L313" s="1049"/>
      <c r="M313" s="1049"/>
      <c r="N313" s="1185"/>
      <c r="O313" s="1185"/>
    </row>
    <row r="314" spans="1:15" ht="14.1">
      <c r="A314" s="1046"/>
      <c r="B314" s="1181" t="s">
        <v>2124</v>
      </c>
      <c r="C314" s="1080"/>
      <c r="D314" s="1080"/>
      <c r="E314" s="1080"/>
      <c r="F314" s="1080"/>
      <c r="G314" s="1055"/>
      <c r="H314" s="1080"/>
      <c r="I314" s="1081"/>
      <c r="J314" s="1049"/>
      <c r="K314" s="1049"/>
      <c r="L314" s="1049"/>
      <c r="M314" s="1049"/>
      <c r="N314" s="1087"/>
      <c r="O314" s="1087"/>
    </row>
    <row r="315" spans="1:15" s="1090" customFormat="1" ht="14.1">
      <c r="A315" s="1088"/>
      <c r="B315" s="1178" t="s">
        <v>2141</v>
      </c>
      <c r="C315" s="1048">
        <v>1</v>
      </c>
      <c r="D315" s="1048" t="s">
        <v>1472</v>
      </c>
      <c r="E315" s="1048">
        <v>2</v>
      </c>
      <c r="F315" s="1049">
        <f>(12-6)*0.3048</f>
        <v>1.8288000000000002</v>
      </c>
      <c r="H315" s="1049">
        <v>0.6</v>
      </c>
      <c r="I315" s="1049">
        <f>ROUND(C315*E315*F315*H315,2)</f>
        <v>2.19</v>
      </c>
      <c r="J315" s="1049"/>
      <c r="K315" s="1049"/>
      <c r="L315" s="1049"/>
      <c r="M315" s="1049"/>
      <c r="N315" s="1185"/>
      <c r="O315" s="1185"/>
    </row>
    <row r="316" spans="1:15" s="1090" customFormat="1" ht="14.1">
      <c r="A316" s="1088"/>
      <c r="B316" s="1178" t="s">
        <v>2142</v>
      </c>
      <c r="C316" s="1048">
        <v>1</v>
      </c>
      <c r="D316" s="1048" t="s">
        <v>1472</v>
      </c>
      <c r="E316" s="1048">
        <v>1</v>
      </c>
      <c r="F316" s="1049">
        <f>(12)*0.3048</f>
        <v>3.6576000000000004</v>
      </c>
      <c r="H316" s="1049">
        <v>0.6</v>
      </c>
      <c r="I316" s="1049">
        <f>ROUND(C316*E316*F316*H316,2)</f>
        <v>2.19</v>
      </c>
      <c r="J316" s="1049"/>
      <c r="K316" s="1049"/>
      <c r="L316" s="1049"/>
      <c r="M316" s="1049"/>
      <c r="N316" s="1185"/>
      <c r="O316" s="1185"/>
    </row>
    <row r="317" spans="1:15" ht="14.1">
      <c r="A317" s="1046"/>
      <c r="B317" s="1060"/>
      <c r="C317" s="1048"/>
      <c r="D317" s="1048"/>
      <c r="E317" s="1048"/>
      <c r="F317" s="1049"/>
      <c r="G317" s="1049"/>
      <c r="H317" s="1049"/>
      <c r="I317" s="1052">
        <f>SUM(I311:I316)</f>
        <v>33.459999999999994</v>
      </c>
      <c r="J317" s="1049">
        <f>Datas!$G$263</f>
        <v>905.74</v>
      </c>
      <c r="K317" s="1053">
        <f>ROUND(J317*I317/10,0)</f>
        <v>3031</v>
      </c>
      <c r="L317" s="1049">
        <f>0.03*9</f>
        <v>0.27</v>
      </c>
      <c r="M317" s="1055">
        <f>L317*I317</f>
        <v>9.0341999999999985</v>
      </c>
      <c r="N317" s="1087">
        <f>(0.03*9)</f>
        <v>0.27</v>
      </c>
      <c r="O317" s="1087">
        <f>ROUND(I317*N317,0)</f>
        <v>9</v>
      </c>
    </row>
    <row r="318" spans="1:15" ht="14.1">
      <c r="A318" s="1046"/>
      <c r="B318" s="1060"/>
      <c r="C318" s="1048"/>
      <c r="D318" s="1048"/>
      <c r="E318" s="1048"/>
      <c r="F318" s="1049"/>
      <c r="G318" s="1049"/>
      <c r="H318" s="1049"/>
      <c r="I318" s="1053" t="s">
        <v>1478</v>
      </c>
      <c r="J318" s="1053" t="s">
        <v>37</v>
      </c>
      <c r="K318" s="1053"/>
      <c r="L318" s="1053"/>
      <c r="M318" s="1053"/>
      <c r="N318" s="1087"/>
      <c r="O318" s="1087"/>
    </row>
    <row r="319" spans="1:15" ht="14.1">
      <c r="A319" s="1046"/>
      <c r="B319" s="1091"/>
      <c r="C319" s="1072"/>
      <c r="D319" s="1072"/>
      <c r="E319" s="1072"/>
      <c r="F319" s="1073"/>
      <c r="G319" s="1073"/>
      <c r="H319" s="1073"/>
      <c r="I319" s="1092"/>
      <c r="J319" s="1053"/>
      <c r="K319" s="1053"/>
      <c r="L319" s="1053"/>
      <c r="M319" s="1053"/>
      <c r="N319" s="1087"/>
      <c r="O319" s="1087"/>
    </row>
    <row r="320" spans="1:15" ht="147.75" customHeight="1">
      <c r="A320" s="1046">
        <v>24</v>
      </c>
      <c r="B320" s="2415" t="s">
        <v>2264</v>
      </c>
      <c r="C320" s="2416"/>
      <c r="D320" s="2416"/>
      <c r="E320" s="2416"/>
      <c r="F320" s="2416"/>
      <c r="G320" s="2416"/>
      <c r="H320" s="2416"/>
      <c r="I320" s="2417"/>
      <c r="J320" s="1049"/>
      <c r="K320" s="1049"/>
      <c r="L320" s="1049"/>
      <c r="M320" s="1049"/>
      <c r="N320" s="1087"/>
      <c r="O320" s="1087"/>
    </row>
    <row r="321" spans="1:16" ht="14.1">
      <c r="A321" s="1046"/>
      <c r="B321" s="1181" t="s">
        <v>2143</v>
      </c>
      <c r="C321" s="1080"/>
      <c r="D321" s="1080"/>
      <c r="E321" s="1080"/>
      <c r="F321" s="1080"/>
      <c r="G321" s="1055"/>
      <c r="H321" s="1080"/>
      <c r="I321" s="1081"/>
      <c r="J321" s="1049"/>
      <c r="K321" s="1049"/>
      <c r="L321" s="1049"/>
      <c r="M321" s="1049"/>
      <c r="N321" s="1087"/>
      <c r="O321" s="1087"/>
    </row>
    <row r="322" spans="1:16" s="1090" customFormat="1" ht="14.1">
      <c r="A322" s="1088"/>
      <c r="B322" s="1178" t="s">
        <v>2356</v>
      </c>
      <c r="C322" s="1048">
        <v>1</v>
      </c>
      <c r="D322" s="1048" t="s">
        <v>1472</v>
      </c>
      <c r="E322" s="1048">
        <v>1</v>
      </c>
      <c r="F322" s="1049">
        <v>1.8</v>
      </c>
      <c r="H322" s="1049">
        <v>2.4</v>
      </c>
      <c r="I322" s="1049">
        <v>1</v>
      </c>
      <c r="J322" s="1049">
        <f>' data-Doors window- Sal Wood '!J232</f>
        <v>24316.42139</v>
      </c>
      <c r="K322" s="1053">
        <f>ROUND(J322*I322,0)</f>
        <v>24316</v>
      </c>
      <c r="L322" s="1049"/>
      <c r="M322" s="1049"/>
      <c r="N322" s="1185"/>
      <c r="O322" s="1185"/>
    </row>
    <row r="323" spans="1:16" ht="14.1">
      <c r="A323" s="1046"/>
      <c r="B323" s="1178"/>
      <c r="C323" s="1048"/>
      <c r="D323" s="1048"/>
      <c r="E323" s="1048"/>
      <c r="F323" s="1049"/>
      <c r="G323" s="1049"/>
      <c r="H323" s="1049"/>
      <c r="I323" s="1053" t="s">
        <v>472</v>
      </c>
      <c r="J323" s="1053" t="s">
        <v>166</v>
      </c>
      <c r="K323" s="1053"/>
      <c r="L323" s="1049">
        <f>0.03*9</f>
        <v>0.27</v>
      </c>
      <c r="M323" s="1055" t="e">
        <f>L323*I323</f>
        <v>#VALUE!</v>
      </c>
      <c r="N323" s="1087"/>
      <c r="O323" s="1087"/>
    </row>
    <row r="324" spans="1:16" ht="147.75" customHeight="1">
      <c r="A324" s="1046">
        <v>25</v>
      </c>
      <c r="B324" s="2415" t="s">
        <v>2269</v>
      </c>
      <c r="C324" s="2416"/>
      <c r="D324" s="2416"/>
      <c r="E324" s="2416"/>
      <c r="F324" s="2416"/>
      <c r="G324" s="2416"/>
      <c r="H324" s="2416"/>
      <c r="I324" s="2417"/>
      <c r="J324" s="1049"/>
      <c r="K324" s="1049"/>
      <c r="L324" s="1049"/>
      <c r="M324" s="1049"/>
      <c r="N324" s="1087"/>
      <c r="O324" s="1087"/>
    </row>
    <row r="325" spans="1:16" s="1090" customFormat="1" ht="14.1">
      <c r="A325" s="1088"/>
      <c r="B325" s="1061" t="s">
        <v>2265</v>
      </c>
      <c r="C325" s="1048">
        <v>1</v>
      </c>
      <c r="D325" s="1048" t="s">
        <v>1472</v>
      </c>
      <c r="E325" s="1048">
        <v>2</v>
      </c>
      <c r="F325" s="1049">
        <v>1.5</v>
      </c>
      <c r="H325" s="1049">
        <v>2.4</v>
      </c>
      <c r="I325" s="1049">
        <v>2</v>
      </c>
      <c r="J325" s="1049">
        <f>' data-Doors window- Sal Wood '!J194</f>
        <v>13907.051390000001</v>
      </c>
      <c r="K325" s="1053">
        <f>ROUND(J325*I325,0)</f>
        <v>27814</v>
      </c>
      <c r="L325" s="1049"/>
      <c r="M325" s="1049"/>
      <c r="N325" s="1185"/>
      <c r="O325" s="1185"/>
    </row>
    <row r="326" spans="1:16" ht="14.1">
      <c r="A326" s="1046"/>
      <c r="B326" s="1060"/>
      <c r="C326" s="1048"/>
      <c r="D326" s="1048"/>
      <c r="E326" s="1048"/>
      <c r="F326" s="1049"/>
      <c r="G326" s="1049"/>
      <c r="H326" s="1049"/>
      <c r="I326" s="1053" t="s">
        <v>472</v>
      </c>
      <c r="J326" s="1053" t="s">
        <v>166</v>
      </c>
      <c r="K326" s="1053"/>
      <c r="L326" s="1049">
        <f>0.03*9</f>
        <v>0.27</v>
      </c>
      <c r="M326" s="1055" t="e">
        <f>L326*I326</f>
        <v>#VALUE!</v>
      </c>
      <c r="N326" s="1087"/>
      <c r="O326" s="1087"/>
    </row>
    <row r="327" spans="1:16" ht="147.75" customHeight="1">
      <c r="A327" s="1046">
        <v>26</v>
      </c>
      <c r="B327" s="2415" t="s">
        <v>2276</v>
      </c>
      <c r="C327" s="2416"/>
      <c r="D327" s="2416"/>
      <c r="E327" s="2416"/>
      <c r="F327" s="2416"/>
      <c r="G327" s="2416"/>
      <c r="H327" s="2416"/>
      <c r="I327" s="2417"/>
      <c r="J327" s="1049"/>
      <c r="K327" s="1049"/>
      <c r="L327" s="1049"/>
      <c r="M327" s="1049"/>
      <c r="N327" s="1087"/>
      <c r="O327" s="1087"/>
    </row>
    <row r="328" spans="1:16" s="1090" customFormat="1" ht="14.1">
      <c r="A328" s="1088"/>
      <c r="B328" s="1061" t="s">
        <v>2277</v>
      </c>
      <c r="C328" s="1048">
        <v>1</v>
      </c>
      <c r="D328" s="1048" t="s">
        <v>1472</v>
      </c>
      <c r="E328" s="1048">
        <v>2</v>
      </c>
      <c r="F328" s="1049">
        <v>0.9</v>
      </c>
      <c r="H328" s="1049">
        <v>2.1</v>
      </c>
      <c r="I328" s="1049">
        <v>2</v>
      </c>
      <c r="J328" s="1049">
        <f>' data-Doors window- Sal Wood '!J85</f>
        <v>12556.041137249998</v>
      </c>
      <c r="K328" s="1053">
        <f>ROUND(J328*I328,0)</f>
        <v>25112</v>
      </c>
      <c r="L328" s="1049"/>
      <c r="M328" s="1049"/>
      <c r="N328" s="1185"/>
      <c r="O328" s="1185"/>
    </row>
    <row r="329" spans="1:16" ht="14.1">
      <c r="A329" s="1046"/>
      <c r="B329" s="1060"/>
      <c r="C329" s="1048"/>
      <c r="D329" s="1048"/>
      <c r="E329" s="1048"/>
      <c r="F329" s="1049"/>
      <c r="G329" s="1049"/>
      <c r="H329" s="1049"/>
      <c r="I329" s="1053" t="s">
        <v>472</v>
      </c>
      <c r="J329" s="1053" t="s">
        <v>166</v>
      </c>
      <c r="K329" s="1053"/>
      <c r="L329" s="1049">
        <f>0.03*9</f>
        <v>0.27</v>
      </c>
      <c r="M329" s="1055" t="e">
        <f>L329*I329</f>
        <v>#VALUE!</v>
      </c>
      <c r="N329" s="1087"/>
      <c r="O329" s="1087"/>
    </row>
    <row r="330" spans="1:16" ht="174.9" customHeight="1">
      <c r="A330" s="1046">
        <v>27</v>
      </c>
      <c r="B330" s="2415" t="s">
        <v>2246</v>
      </c>
      <c r="C330" s="2416"/>
      <c r="D330" s="2416"/>
      <c r="E330" s="2416"/>
      <c r="F330" s="2416"/>
      <c r="G330" s="2416"/>
      <c r="H330" s="2416"/>
      <c r="I330" s="2417"/>
      <c r="J330" s="1049"/>
      <c r="K330" s="1049"/>
      <c r="L330" s="1049"/>
      <c r="M330" s="1049"/>
      <c r="N330" s="1087"/>
      <c r="O330" s="1087"/>
    </row>
    <row r="331" spans="1:16" s="1090" customFormat="1" ht="14.1">
      <c r="A331" s="1088"/>
      <c r="B331" s="1071"/>
      <c r="C331" s="1048"/>
      <c r="D331" s="1048"/>
      <c r="E331" s="1048"/>
      <c r="F331" s="1049"/>
      <c r="H331" s="1049"/>
      <c r="I331" s="1049"/>
      <c r="J331" s="1049"/>
      <c r="K331" s="1053"/>
      <c r="L331" s="1049"/>
      <c r="M331" s="1068"/>
      <c r="N331" s="1185"/>
      <c r="O331" s="1185"/>
      <c r="P331" s="1090">
        <v>6134</v>
      </c>
    </row>
    <row r="332" spans="1:16" s="1090" customFormat="1" ht="14.1">
      <c r="A332" s="1088"/>
      <c r="B332" s="1061" t="s">
        <v>2357</v>
      </c>
      <c r="C332" s="1048">
        <v>1</v>
      </c>
      <c r="D332" s="1048" t="s">
        <v>1472</v>
      </c>
      <c r="E332" s="1048">
        <v>4</v>
      </c>
      <c r="F332" s="1049">
        <v>1.5</v>
      </c>
      <c r="H332" s="1049">
        <v>1.2</v>
      </c>
      <c r="I332" s="1049">
        <f>H332*F332*E332</f>
        <v>7.1999999999999993</v>
      </c>
      <c r="J332" s="1049">
        <v>6134</v>
      </c>
      <c r="K332" s="1053">
        <f>ROUND(J332*I332,0)</f>
        <v>44165</v>
      </c>
      <c r="L332" s="1049"/>
      <c r="M332" s="1049"/>
      <c r="N332" s="1185"/>
      <c r="O332" s="1185"/>
      <c r="P332" s="1090">
        <f>(350/0.3048^2)</f>
        <v>3767.3686458484026</v>
      </c>
    </row>
    <row r="333" spans="1:16" ht="14.1">
      <c r="A333" s="1046"/>
      <c r="B333" s="1060"/>
      <c r="C333" s="1048"/>
      <c r="D333" s="1048"/>
      <c r="E333" s="1048"/>
      <c r="F333" s="1049"/>
      <c r="G333" s="1049"/>
      <c r="H333" s="1049"/>
      <c r="I333" s="1053" t="s">
        <v>1478</v>
      </c>
      <c r="J333" s="1053" t="s">
        <v>2169</v>
      </c>
      <c r="K333" s="1053"/>
      <c r="L333" s="1049">
        <f>0.03*9</f>
        <v>0.27</v>
      </c>
      <c r="M333" s="1055" t="e">
        <f>L333*I333</f>
        <v>#VALUE!</v>
      </c>
      <c r="N333" s="1087"/>
      <c r="O333" s="1087"/>
    </row>
    <row r="334" spans="1:16" ht="138.75" customHeight="1">
      <c r="A334" s="1046">
        <v>28</v>
      </c>
      <c r="B334" s="2415" t="s">
        <v>2274</v>
      </c>
      <c r="C334" s="2416"/>
      <c r="D334" s="2416"/>
      <c r="E334" s="2416"/>
      <c r="F334" s="2416"/>
      <c r="G334" s="2416"/>
      <c r="H334" s="2416"/>
      <c r="I334" s="2417"/>
      <c r="J334" s="1049"/>
      <c r="K334" s="1049"/>
      <c r="L334" s="1049"/>
      <c r="M334" s="1049"/>
      <c r="N334" s="1087"/>
      <c r="O334" s="1087"/>
    </row>
    <row r="335" spans="1:16" ht="14.1">
      <c r="A335" s="1046"/>
      <c r="B335" s="1057" t="s">
        <v>2144</v>
      </c>
      <c r="C335" s="1048"/>
      <c r="D335" s="1048"/>
      <c r="E335" s="1048"/>
      <c r="F335" s="1049"/>
      <c r="G335" s="1049"/>
      <c r="H335" s="1049"/>
      <c r="I335" s="1053"/>
      <c r="J335" s="1053"/>
      <c r="K335" s="1053"/>
      <c r="L335" s="1049">
        <f>0.03*9</f>
        <v>0.27</v>
      </c>
      <c r="M335" s="1055">
        <f>L335*I335</f>
        <v>0</v>
      </c>
      <c r="N335" s="1087"/>
      <c r="O335" s="1087"/>
    </row>
    <row r="336" spans="1:16" s="1090" customFormat="1" ht="14.1">
      <c r="A336" s="1088"/>
      <c r="B336" s="1061" t="s">
        <v>2279</v>
      </c>
      <c r="C336" s="1048">
        <v>1</v>
      </c>
      <c r="D336" s="1048" t="s">
        <v>1472</v>
      </c>
      <c r="E336" s="1048">
        <v>2</v>
      </c>
      <c r="F336" s="1049">
        <v>0.75</v>
      </c>
      <c r="H336" s="1049">
        <v>2.1</v>
      </c>
      <c r="I336" s="1049">
        <v>2</v>
      </c>
      <c r="J336" s="1049">
        <f>' data-Doors window- Sal Wood '!J49</f>
        <v>10819.3</v>
      </c>
      <c r="K336" s="1053">
        <f>ROUND(J336*I336,0)</f>
        <v>21639</v>
      </c>
      <c r="L336" s="1049"/>
      <c r="M336" s="1049"/>
      <c r="N336" s="1185"/>
      <c r="O336" s="1185"/>
    </row>
    <row r="337" spans="1:15" ht="14.1">
      <c r="A337" s="1046"/>
      <c r="B337" s="1060"/>
      <c r="C337" s="1048"/>
      <c r="D337" s="1048"/>
      <c r="E337" s="1048"/>
      <c r="F337" s="1049"/>
      <c r="G337" s="1049"/>
      <c r="H337" s="1049"/>
      <c r="I337" s="1053" t="s">
        <v>472</v>
      </c>
      <c r="J337" s="1053" t="s">
        <v>166</v>
      </c>
      <c r="K337" s="1053"/>
      <c r="L337" s="1049">
        <f>0.03*9</f>
        <v>0.27</v>
      </c>
      <c r="M337" s="1055" t="e">
        <f>L337*I337</f>
        <v>#VALUE!</v>
      </c>
      <c r="N337" s="1087"/>
      <c r="O337" s="1087"/>
    </row>
    <row r="338" spans="1:15" s="1095" customFormat="1" ht="52.5" customHeight="1">
      <c r="A338" s="1093">
        <v>29</v>
      </c>
      <c r="B338" s="2404" t="s">
        <v>909</v>
      </c>
      <c r="C338" s="2405"/>
      <c r="D338" s="2405"/>
      <c r="E338" s="2405"/>
      <c r="F338" s="2405"/>
      <c r="G338" s="2405"/>
      <c r="H338" s="2405"/>
      <c r="I338" s="2406"/>
      <c r="J338" s="1094"/>
      <c r="K338" s="1094"/>
      <c r="L338" s="1094"/>
      <c r="M338" s="1094"/>
      <c r="N338" s="1166"/>
      <c r="O338" s="1166"/>
    </row>
    <row r="339" spans="1:15" ht="14.1">
      <c r="A339" s="1046"/>
      <c r="B339" s="1061" t="s">
        <v>2215</v>
      </c>
      <c r="C339" s="1048">
        <v>1</v>
      </c>
      <c r="D339" s="1048" t="s">
        <v>1472</v>
      </c>
      <c r="E339" s="1048">
        <v>6</v>
      </c>
      <c r="F339" s="1049">
        <f>11*0.3048</f>
        <v>3.3528000000000002</v>
      </c>
      <c r="G339" s="1096">
        <v>1</v>
      </c>
      <c r="H339" s="1049">
        <v>1.2</v>
      </c>
      <c r="I339" s="1049">
        <f>ROUND(C339*E339*F339*G339*H339,2)</f>
        <v>24.14</v>
      </c>
      <c r="J339" s="1049"/>
      <c r="K339" s="1049"/>
      <c r="L339" s="1049"/>
      <c r="M339" s="1049"/>
      <c r="N339" s="1087"/>
      <c r="O339" s="1087"/>
    </row>
    <row r="340" spans="1:15" ht="14.1">
      <c r="A340" s="1046"/>
      <c r="B340" s="1061" t="s">
        <v>2216</v>
      </c>
      <c r="C340" s="1048">
        <v>1</v>
      </c>
      <c r="D340" s="1048" t="s">
        <v>1472</v>
      </c>
      <c r="E340" s="1048">
        <v>2</v>
      </c>
      <c r="F340" s="1049">
        <v>2.4</v>
      </c>
      <c r="G340" s="1096">
        <v>1</v>
      </c>
      <c r="H340" s="1049">
        <v>2</v>
      </c>
      <c r="I340" s="1049">
        <f>ROUND(C340*E340*F340*G340*H340,2)</f>
        <v>9.6</v>
      </c>
      <c r="J340" s="1049"/>
      <c r="K340" s="1049"/>
      <c r="L340" s="1049"/>
      <c r="M340" s="1049"/>
      <c r="N340" s="1087"/>
      <c r="O340" s="1087"/>
    </row>
    <row r="341" spans="1:15" ht="14.1">
      <c r="A341" s="1046"/>
      <c r="B341" s="1061"/>
      <c r="C341" s="1048"/>
      <c r="D341" s="1048"/>
      <c r="E341" s="1048"/>
      <c r="F341" s="1049"/>
      <c r="G341" s="1096"/>
      <c r="H341" s="1049"/>
      <c r="I341" s="1049">
        <f>SUM(I339:I340)</f>
        <v>33.74</v>
      </c>
      <c r="J341" s="1049"/>
      <c r="K341" s="1049"/>
      <c r="L341" s="1049"/>
      <c r="M341" s="1049"/>
      <c r="N341" s="1087"/>
      <c r="O341" s="1087"/>
    </row>
    <row r="342" spans="1:15" ht="14.1">
      <c r="A342" s="1046"/>
      <c r="B342" s="1061"/>
      <c r="C342" s="1048"/>
      <c r="D342" s="1048"/>
      <c r="E342" s="1048"/>
      <c r="F342" s="1049"/>
      <c r="G342" s="1049"/>
      <c r="H342" s="1049"/>
      <c r="I342" s="1049">
        <f>ROUND(I341/0.3048^2*1.65,2)</f>
        <v>599.24</v>
      </c>
      <c r="J342" s="1049">
        <f>Datas!G1054</f>
        <v>116.62</v>
      </c>
      <c r="K342" s="1053">
        <f>ROUND(J342*I342,0)</f>
        <v>69883</v>
      </c>
      <c r="L342" s="1049"/>
      <c r="M342" s="1049"/>
      <c r="N342" s="1087"/>
      <c r="O342" s="1087"/>
    </row>
    <row r="343" spans="1:15" ht="14.1">
      <c r="A343" s="1046"/>
      <c r="B343" s="1061"/>
      <c r="C343" s="1048"/>
      <c r="D343" s="1048"/>
      <c r="E343" s="1048"/>
      <c r="F343" s="1049"/>
      <c r="G343" s="1049"/>
      <c r="H343" s="1049"/>
      <c r="I343" s="1053" t="s">
        <v>2240</v>
      </c>
      <c r="J343" s="1053" t="s">
        <v>2241</v>
      </c>
      <c r="K343" s="1053"/>
      <c r="L343" s="1049"/>
      <c r="M343" s="1049"/>
      <c r="N343" s="1087"/>
      <c r="O343" s="1087"/>
    </row>
    <row r="344" spans="1:15" ht="14.1">
      <c r="A344" s="1046"/>
      <c r="B344" s="1071"/>
      <c r="C344" s="1072"/>
      <c r="D344" s="1072"/>
      <c r="E344" s="1072"/>
      <c r="F344" s="1073"/>
      <c r="G344" s="1073"/>
      <c r="H344" s="1073"/>
      <c r="I344" s="1092"/>
      <c r="J344" s="1053"/>
      <c r="K344" s="1053"/>
      <c r="L344" s="1049"/>
      <c r="M344" s="1049"/>
      <c r="N344" s="1087"/>
      <c r="O344" s="1087"/>
    </row>
    <row r="345" spans="1:15" ht="56.25" customHeight="1">
      <c r="A345" s="1093">
        <v>30</v>
      </c>
      <c r="B345" s="2404" t="s">
        <v>2329</v>
      </c>
      <c r="C345" s="2405"/>
      <c r="D345" s="2405"/>
      <c r="E345" s="2405"/>
      <c r="F345" s="2405"/>
      <c r="G345" s="2405"/>
      <c r="H345" s="2405"/>
      <c r="I345" s="2406"/>
      <c r="J345" s="1094"/>
      <c r="K345" s="1094"/>
      <c r="L345" s="1049"/>
      <c r="M345" s="1049"/>
      <c r="N345" s="1087"/>
      <c r="O345" s="1087"/>
    </row>
    <row r="346" spans="1:15" ht="14.1">
      <c r="A346" s="1046"/>
      <c r="B346" s="1061" t="s">
        <v>2326</v>
      </c>
      <c r="C346" s="1048">
        <v>2</v>
      </c>
      <c r="D346" s="1048" t="s">
        <v>1472</v>
      </c>
      <c r="E346" s="1048">
        <v>6</v>
      </c>
      <c r="F346" s="1049"/>
      <c r="G346" s="1049"/>
      <c r="H346" s="1049"/>
      <c r="I346" s="1049">
        <v>33.9</v>
      </c>
      <c r="J346" s="1049">
        <f>'Data Truss and steel works'!G48</f>
        <v>136.70859999999999</v>
      </c>
      <c r="K346" s="1053">
        <f>ROUND(J346*I346/1,0)</f>
        <v>4634</v>
      </c>
      <c r="L346" s="1049"/>
      <c r="M346" s="1049"/>
      <c r="N346" s="1087"/>
      <c r="O346" s="1087"/>
    </row>
    <row r="347" spans="1:15" ht="14.1">
      <c r="A347" s="1046"/>
      <c r="B347" s="1061" t="s">
        <v>2327</v>
      </c>
      <c r="C347" s="1048"/>
      <c r="D347" s="1048"/>
      <c r="E347" s="1048"/>
      <c r="F347" s="1049"/>
      <c r="G347" s="1049"/>
      <c r="H347" s="1049"/>
      <c r="I347" s="1049" t="s">
        <v>1038</v>
      </c>
      <c r="J347" s="1049" t="s">
        <v>2328</v>
      </c>
      <c r="K347" s="1053"/>
      <c r="L347" s="1049"/>
      <c r="M347" s="1049"/>
      <c r="N347" s="1087"/>
      <c r="O347" s="1087"/>
    </row>
    <row r="348" spans="1:15" ht="45" customHeight="1">
      <c r="A348" s="1093">
        <v>31</v>
      </c>
      <c r="B348" s="2404" t="s">
        <v>2336</v>
      </c>
      <c r="C348" s="2405"/>
      <c r="D348" s="2405"/>
      <c r="E348" s="2405"/>
      <c r="F348" s="2405"/>
      <c r="G348" s="2405"/>
      <c r="H348" s="2405"/>
      <c r="I348" s="2406"/>
      <c r="J348" s="1094"/>
      <c r="K348" s="1094"/>
      <c r="L348" s="1049"/>
      <c r="M348" s="1049"/>
      <c r="N348" s="1087"/>
      <c r="O348" s="1087"/>
    </row>
    <row r="349" spans="1:15" ht="14.1">
      <c r="A349" s="1046"/>
      <c r="B349" s="1061" t="s">
        <v>2326</v>
      </c>
      <c r="C349" s="1048">
        <v>12</v>
      </c>
      <c r="D349" s="1048" t="s">
        <v>1472</v>
      </c>
      <c r="E349" s="1048">
        <v>9</v>
      </c>
      <c r="F349" s="1049">
        <v>0.15</v>
      </c>
      <c r="G349" s="1049"/>
      <c r="H349" s="1049"/>
      <c r="I349" s="1049">
        <v>113.04</v>
      </c>
      <c r="J349" s="1049">
        <v>90</v>
      </c>
      <c r="K349" s="1053">
        <f>ROUND(J349*I349/1,0)</f>
        <v>10174</v>
      </c>
      <c r="L349" s="1049"/>
      <c r="M349" s="1049"/>
      <c r="N349" s="1087"/>
      <c r="O349" s="1087"/>
    </row>
    <row r="350" spans="1:15" ht="14.1">
      <c r="A350" s="1046"/>
      <c r="B350" s="1061" t="s">
        <v>2337</v>
      </c>
      <c r="C350" s="1048"/>
      <c r="D350" s="1048"/>
      <c r="E350" s="1048"/>
      <c r="F350" s="1049"/>
      <c r="G350" s="1049"/>
      <c r="H350" s="1049"/>
      <c r="I350" s="1049" t="s">
        <v>1038</v>
      </c>
      <c r="J350" s="1049" t="s">
        <v>2328</v>
      </c>
      <c r="K350" s="1053"/>
      <c r="L350" s="1049"/>
      <c r="M350" s="1049"/>
      <c r="N350" s="1087"/>
      <c r="O350" s="1087"/>
    </row>
    <row r="351" spans="1:15" ht="14.1">
      <c r="A351" s="1046"/>
      <c r="B351" s="1061">
        <f>12*8*0.15*7850/1000</f>
        <v>113.03999999999999</v>
      </c>
      <c r="C351" s="1048"/>
      <c r="D351" s="1048"/>
      <c r="E351" s="1048"/>
      <c r="F351" s="1049"/>
      <c r="G351" s="1049"/>
      <c r="H351" s="1049"/>
      <c r="I351" s="1049"/>
      <c r="J351" s="1049"/>
      <c r="K351" s="1053"/>
      <c r="L351" s="1049"/>
      <c r="M351" s="1049"/>
      <c r="N351" s="1087"/>
      <c r="O351" s="1087"/>
    </row>
    <row r="352" spans="1:15" ht="103.5" customHeight="1">
      <c r="A352" s="1093">
        <v>32</v>
      </c>
      <c r="B352" s="2404" t="s">
        <v>2344</v>
      </c>
      <c r="C352" s="2405"/>
      <c r="D352" s="2405"/>
      <c r="E352" s="2405"/>
      <c r="F352" s="2405"/>
      <c r="G352" s="2405"/>
      <c r="H352" s="2405"/>
      <c r="I352" s="2406"/>
      <c r="J352" s="1094"/>
      <c r="K352" s="1094"/>
      <c r="L352" s="1049"/>
      <c r="M352" s="1049"/>
      <c r="N352" s="1087"/>
      <c r="O352" s="1087"/>
    </row>
    <row r="353" spans="1:16" ht="14.4">
      <c r="A353" s="1093"/>
      <c r="B353" s="1170" t="s">
        <v>2341</v>
      </c>
      <c r="C353" s="1167"/>
      <c r="D353" s="1167"/>
      <c r="E353" s="1167"/>
      <c r="F353" s="1167"/>
      <c r="G353" s="1167"/>
      <c r="H353" s="1167"/>
      <c r="I353" s="1168"/>
      <c r="J353" s="1094"/>
      <c r="K353" s="1094"/>
      <c r="L353" s="1049"/>
      <c r="M353" s="1049"/>
      <c r="N353" s="1087"/>
      <c r="O353" s="1087"/>
    </row>
    <row r="354" spans="1:16" ht="14.4">
      <c r="A354" s="1046"/>
      <c r="B354" s="1170" t="s">
        <v>2413</v>
      </c>
      <c r="C354" s="1048"/>
      <c r="D354" s="1048"/>
      <c r="E354" s="1048"/>
      <c r="F354" s="1049"/>
      <c r="G354" s="1049"/>
      <c r="H354" s="1069"/>
      <c r="I354" s="1049"/>
      <c r="J354" s="1049"/>
      <c r="K354" s="1053"/>
      <c r="L354" s="1049"/>
      <c r="M354" s="1049"/>
      <c r="N354" s="1087"/>
      <c r="O354" s="1087"/>
    </row>
    <row r="355" spans="1:16" ht="14.4">
      <c r="A355" s="1046"/>
      <c r="B355" s="1172" t="s">
        <v>2343</v>
      </c>
      <c r="C355" s="1048">
        <v>1</v>
      </c>
      <c r="D355" s="1048" t="s">
        <v>1472</v>
      </c>
      <c r="E355" s="1048">
        <v>4</v>
      </c>
      <c r="F355" s="1049">
        <f>140.62*2</f>
        <v>281.24</v>
      </c>
      <c r="G355" s="1049"/>
      <c r="H355" s="1049"/>
      <c r="I355" s="1049">
        <f>F355*E355</f>
        <v>1124.96</v>
      </c>
      <c r="J355" s="1049">
        <f>'Data Truss and steel works'!G17</f>
        <v>142.25</v>
      </c>
      <c r="K355" s="1053">
        <f>ROUND(J355*I355/1,0)</f>
        <v>160026</v>
      </c>
      <c r="L355" s="1049"/>
      <c r="M355" s="1049"/>
      <c r="N355" s="1087"/>
      <c r="O355" s="1087"/>
    </row>
    <row r="356" spans="1:16" ht="14.1">
      <c r="A356" s="1046"/>
      <c r="B356" s="1061"/>
      <c r="C356" s="1048"/>
      <c r="D356" s="1048"/>
      <c r="E356" s="1048"/>
      <c r="F356" s="1049"/>
      <c r="G356" s="1049"/>
      <c r="H356" s="1049"/>
      <c r="I356" s="1049" t="s">
        <v>1038</v>
      </c>
      <c r="J356" s="1049" t="s">
        <v>2328</v>
      </c>
      <c r="K356" s="1053"/>
      <c r="L356" s="1049"/>
      <c r="M356" s="1049"/>
      <c r="N356" s="1087"/>
      <c r="O356" s="1087"/>
    </row>
    <row r="357" spans="1:16" ht="30.75" customHeight="1">
      <c r="A357" s="1093">
        <v>33</v>
      </c>
      <c r="B357" s="2404" t="s">
        <v>2345</v>
      </c>
      <c r="C357" s="2405"/>
      <c r="D357" s="2405"/>
      <c r="E357" s="2405"/>
      <c r="F357" s="2405"/>
      <c r="G357" s="2405"/>
      <c r="H357" s="2405"/>
      <c r="I357" s="2406"/>
      <c r="J357" s="1094"/>
      <c r="K357" s="1094"/>
      <c r="L357" s="1049"/>
      <c r="M357" s="1049"/>
      <c r="N357" s="1087"/>
      <c r="O357" s="1087"/>
    </row>
    <row r="358" spans="1:16" ht="14.4">
      <c r="A358" s="1046"/>
      <c r="B358" s="1170" t="s">
        <v>2355</v>
      </c>
      <c r="C358" s="1048"/>
      <c r="D358" s="1048"/>
      <c r="E358" s="1048"/>
      <c r="F358" s="1049"/>
      <c r="G358" s="1049"/>
      <c r="H358" s="1069"/>
      <c r="I358" s="1049"/>
      <c r="J358" s="1049"/>
      <c r="K358" s="1053"/>
      <c r="L358" s="1049"/>
      <c r="M358" s="1049"/>
      <c r="N358" s="1087"/>
      <c r="O358" s="1087"/>
    </row>
    <row r="359" spans="1:16" ht="14.4">
      <c r="A359" s="1046"/>
      <c r="B359" s="1170"/>
      <c r="C359" s="1048">
        <v>12</v>
      </c>
      <c r="D359" s="1048" t="s">
        <v>1472</v>
      </c>
      <c r="E359" s="1048">
        <v>1</v>
      </c>
      <c r="F359" s="1049">
        <v>18.75</v>
      </c>
      <c r="G359" s="1049">
        <v>4.41</v>
      </c>
      <c r="H359" s="1069"/>
      <c r="I359" s="1049">
        <f>G359*F359*E359*C359</f>
        <v>992.25</v>
      </c>
      <c r="J359" s="1049">
        <f>J355</f>
        <v>142.25</v>
      </c>
      <c r="K359" s="1053">
        <f>ROUND(J359*I359/1,0)</f>
        <v>141148</v>
      </c>
      <c r="L359" s="1049"/>
      <c r="M359" s="1049"/>
      <c r="N359" s="1087"/>
      <c r="O359" s="1087"/>
    </row>
    <row r="360" spans="1:16" ht="14.1">
      <c r="A360" s="1046"/>
      <c r="B360" s="1071"/>
      <c r="C360" s="1072"/>
      <c r="D360" s="1072"/>
      <c r="E360" s="1072"/>
      <c r="F360" s="1073"/>
      <c r="G360" s="1074"/>
      <c r="H360" s="1069"/>
      <c r="I360" s="1049" t="s">
        <v>1038</v>
      </c>
      <c r="J360" s="1049" t="s">
        <v>2328</v>
      </c>
      <c r="K360" s="1053"/>
      <c r="L360" s="1049"/>
      <c r="M360" s="1049"/>
      <c r="N360" s="1087"/>
      <c r="O360" s="1087"/>
    </row>
    <row r="361" spans="1:16" ht="134.25" customHeight="1">
      <c r="A361" s="1093">
        <v>34</v>
      </c>
      <c r="B361" s="2404" t="s">
        <v>2346</v>
      </c>
      <c r="C361" s="2405"/>
      <c r="D361" s="2405"/>
      <c r="E361" s="2405"/>
      <c r="F361" s="2405"/>
      <c r="G361" s="2405"/>
      <c r="H361" s="2405"/>
      <c r="I361" s="2406"/>
      <c r="J361" s="1094"/>
      <c r="K361" s="1094"/>
      <c r="L361" s="1049"/>
      <c r="M361" s="1049"/>
      <c r="N361" s="1087"/>
      <c r="O361" s="1087"/>
    </row>
    <row r="362" spans="1:16" ht="14.4">
      <c r="A362" s="1093"/>
      <c r="B362" s="1170" t="s">
        <v>2347</v>
      </c>
      <c r="C362" s="1048">
        <v>2</v>
      </c>
      <c r="D362" s="1048" t="s">
        <v>1472</v>
      </c>
      <c r="E362" s="1048"/>
      <c r="F362" s="1049">
        <v>18.75</v>
      </c>
      <c r="G362" s="1049">
        <v>6.2</v>
      </c>
      <c r="H362" s="1049"/>
      <c r="I362" s="1049">
        <f>G362*F362*C362</f>
        <v>232.5</v>
      </c>
      <c r="J362" s="1094"/>
      <c r="K362" s="1094"/>
      <c r="L362" s="1049"/>
      <c r="M362" s="1049"/>
      <c r="N362" s="1087"/>
      <c r="O362" s="1087"/>
    </row>
    <row r="363" spans="1:16" ht="14.4">
      <c r="A363" s="1093"/>
      <c r="B363" s="1170" t="s">
        <v>2349</v>
      </c>
      <c r="C363" s="1048">
        <v>1</v>
      </c>
      <c r="D363" s="1048" t="s">
        <v>1472</v>
      </c>
      <c r="E363" s="1048"/>
      <c r="F363" s="1049">
        <v>18.75</v>
      </c>
      <c r="G363" s="1049">
        <v>0.4</v>
      </c>
      <c r="H363" s="1069"/>
      <c r="I363" s="1049">
        <f>G363*F363*C363</f>
        <v>7.5</v>
      </c>
      <c r="J363" s="1094"/>
      <c r="K363" s="1094"/>
      <c r="L363" s="1049"/>
      <c r="M363" s="1049"/>
      <c r="N363" s="1087"/>
      <c r="O363" s="1087"/>
    </row>
    <row r="364" spans="1:16" ht="14.4">
      <c r="A364" s="1046"/>
      <c r="B364" s="1170"/>
      <c r="C364" s="1048"/>
      <c r="D364" s="1048"/>
      <c r="E364" s="1048"/>
      <c r="F364" s="1049"/>
      <c r="G364" s="1049"/>
      <c r="H364" s="1069"/>
      <c r="I364" s="1049">
        <f>SUM(I362:I363)</f>
        <v>240</v>
      </c>
      <c r="J364" s="1049">
        <f>Datas!G1173</f>
        <v>735.21</v>
      </c>
      <c r="K364" s="1053">
        <f>ROUND(J364*I364/1,0)</f>
        <v>176450</v>
      </c>
      <c r="L364" s="1049"/>
      <c r="M364" s="1049"/>
      <c r="N364" s="1087"/>
      <c r="O364" s="1087"/>
    </row>
    <row r="365" spans="1:16" ht="14.1">
      <c r="A365" s="1046"/>
      <c r="B365" s="1071"/>
      <c r="C365" s="1072"/>
      <c r="D365" s="1072"/>
      <c r="E365" s="1072"/>
      <c r="F365" s="1073"/>
      <c r="G365" s="1074"/>
      <c r="H365" s="1069"/>
      <c r="I365" s="1049" t="s">
        <v>1478</v>
      </c>
      <c r="J365" s="1049" t="s">
        <v>2348</v>
      </c>
      <c r="K365" s="1053"/>
      <c r="L365" s="1049"/>
      <c r="M365" s="1049"/>
      <c r="N365" s="1087"/>
      <c r="O365" s="1087"/>
      <c r="P365" s="1087">
        <f>O365-N365</f>
        <v>0</v>
      </c>
    </row>
    <row r="366" spans="1:16" ht="116.25" customHeight="1">
      <c r="A366" s="1046">
        <v>35</v>
      </c>
      <c r="B366" s="2415" t="s">
        <v>2198</v>
      </c>
      <c r="C366" s="2416"/>
      <c r="D366" s="2416"/>
      <c r="E366" s="2416"/>
      <c r="F366" s="2416"/>
      <c r="G366" s="2416"/>
      <c r="H366" s="2416"/>
      <c r="I366" s="2417"/>
      <c r="J366" s="1049"/>
      <c r="K366" s="1049"/>
      <c r="L366" s="1049"/>
      <c r="M366" s="1049"/>
      <c r="N366" s="1087"/>
      <c r="O366" s="1087"/>
    </row>
    <row r="367" spans="1:16" ht="14.1">
      <c r="A367" s="1046"/>
      <c r="B367" s="1060" t="s">
        <v>466</v>
      </c>
      <c r="C367" s="1082"/>
      <c r="D367" s="1082"/>
      <c r="E367" s="1082"/>
      <c r="F367" s="1083"/>
      <c r="G367" s="1083"/>
      <c r="H367" s="1083"/>
      <c r="I367" s="1083"/>
      <c r="J367" s="1049"/>
      <c r="K367" s="1049"/>
      <c r="L367" s="1049"/>
      <c r="M367" s="1049"/>
      <c r="N367" s="1087"/>
      <c r="O367" s="1087"/>
    </row>
    <row r="368" spans="1:16" ht="14.1">
      <c r="A368" s="1046"/>
      <c r="B368" s="1050" t="s">
        <v>2115</v>
      </c>
      <c r="C368" s="1048">
        <v>1</v>
      </c>
      <c r="D368" s="1048" t="s">
        <v>1472</v>
      </c>
      <c r="E368" s="1048">
        <v>2</v>
      </c>
      <c r="F368" s="1049">
        <f>(60.75-0.23*2)*0.3048</f>
        <v>18.376391999999999</v>
      </c>
      <c r="G368" s="1049"/>
      <c r="H368" s="1049">
        <v>3.6</v>
      </c>
      <c r="I368" s="1049">
        <f>ROUND(C368*E368*F368*H368,2)</f>
        <v>132.31</v>
      </c>
      <c r="J368" s="1049"/>
      <c r="K368" s="1049"/>
      <c r="L368" s="1049"/>
      <c r="M368" s="1049"/>
      <c r="N368" s="1087"/>
      <c r="O368" s="1087"/>
    </row>
    <row r="369" spans="1:15" ht="14.1">
      <c r="A369" s="1046"/>
      <c r="B369" s="1050" t="s">
        <v>2033</v>
      </c>
      <c r="C369" s="1048">
        <v>1</v>
      </c>
      <c r="D369" s="1048" t="s">
        <v>1472</v>
      </c>
      <c r="E369" s="1048">
        <v>2</v>
      </c>
      <c r="F369" s="1049">
        <f>(31.5-2*0.23)*0.3048</f>
        <v>9.460992000000001</v>
      </c>
      <c r="G369" s="1049"/>
      <c r="H369" s="1164" t="s">
        <v>2287</v>
      </c>
      <c r="I369" s="1049">
        <f>ROUND(C369*E369*F369*AVERAGE(3.6,5.4,3.6),2)</f>
        <v>79.47</v>
      </c>
      <c r="J369" s="1049"/>
      <c r="K369" s="1049"/>
      <c r="L369" s="1049"/>
      <c r="M369" s="1049"/>
      <c r="N369" s="1087"/>
      <c r="O369" s="1087"/>
    </row>
    <row r="370" spans="1:15" ht="27.6">
      <c r="A370" s="1046"/>
      <c r="B370" s="1050" t="s">
        <v>2116</v>
      </c>
      <c r="C370" s="1048">
        <v>1</v>
      </c>
      <c r="D370" s="1048" t="s">
        <v>1472</v>
      </c>
      <c r="E370" s="1048">
        <v>2</v>
      </c>
      <c r="F370" s="1049">
        <f>(31.5-2*0.23)*0.3048</f>
        <v>9.460992000000001</v>
      </c>
      <c r="G370" s="1049"/>
      <c r="H370" s="1049">
        <v>3.6</v>
      </c>
      <c r="I370" s="1049">
        <f>ROUND(C370*E370*F370*H370,2)</f>
        <v>68.12</v>
      </c>
      <c r="J370" s="1049"/>
      <c r="K370" s="1049"/>
      <c r="L370" s="1049"/>
      <c r="M370" s="1049"/>
      <c r="N370" s="1087"/>
      <c r="O370" s="1087"/>
    </row>
    <row r="371" spans="1:15" ht="14.1">
      <c r="A371" s="1046"/>
      <c r="B371" s="1050" t="s">
        <v>2134</v>
      </c>
      <c r="C371" s="1048">
        <v>1</v>
      </c>
      <c r="D371" s="1048" t="s">
        <v>1472</v>
      </c>
      <c r="E371" s="1048">
        <v>2</v>
      </c>
      <c r="F371" s="1049">
        <v>3.6</v>
      </c>
      <c r="G371" s="1049"/>
      <c r="H371" s="1049">
        <v>3.6</v>
      </c>
      <c r="I371" s="1049">
        <f>ROUND(C371*E371*F371*H371,2)</f>
        <v>25.92</v>
      </c>
      <c r="J371" s="1049"/>
      <c r="K371" s="1049"/>
      <c r="L371" s="1049"/>
      <c r="M371" s="1049"/>
      <c r="N371" s="1087"/>
      <c r="O371" s="1087"/>
    </row>
    <row r="372" spans="1:15" ht="14.1">
      <c r="A372" s="1046"/>
      <c r="B372" s="1050" t="s">
        <v>2119</v>
      </c>
      <c r="C372" s="1048">
        <v>1</v>
      </c>
      <c r="D372" s="1048" t="s">
        <v>1472</v>
      </c>
      <c r="E372" s="1048">
        <v>2</v>
      </c>
      <c r="F372" s="1049">
        <v>2.1</v>
      </c>
      <c r="G372" s="1049"/>
      <c r="H372" s="1049">
        <v>0.45</v>
      </c>
      <c r="I372" s="1049">
        <f>ROUND(C372*E372*F372*H372,2)</f>
        <v>1.89</v>
      </c>
      <c r="J372" s="1049"/>
      <c r="K372" s="1049"/>
      <c r="L372" s="1049"/>
      <c r="M372" s="1049"/>
      <c r="N372" s="1087"/>
      <c r="O372" s="1087"/>
    </row>
    <row r="373" spans="1:15" ht="14.1">
      <c r="A373" s="1046"/>
      <c r="B373" s="1050" t="s">
        <v>2120</v>
      </c>
      <c r="C373" s="1048">
        <v>1</v>
      </c>
      <c r="D373" s="1048" t="s">
        <v>1472</v>
      </c>
      <c r="E373" s="1048">
        <v>1</v>
      </c>
      <c r="F373" s="1049">
        <v>4.95</v>
      </c>
      <c r="G373" s="1049"/>
      <c r="H373" s="1049">
        <v>0.45</v>
      </c>
      <c r="I373" s="1049">
        <f>ROUND(C373*E373*F373*H373,2)</f>
        <v>2.23</v>
      </c>
      <c r="J373" s="1049"/>
      <c r="K373" s="1049"/>
      <c r="L373" s="1049"/>
      <c r="M373" s="1049"/>
      <c r="N373" s="1087"/>
      <c r="O373" s="1087"/>
    </row>
    <row r="374" spans="1:15" ht="14.1">
      <c r="A374" s="1046"/>
      <c r="B374" s="1060" t="s">
        <v>675</v>
      </c>
      <c r="C374" s="1048"/>
      <c r="D374" s="1048"/>
      <c r="E374" s="1048"/>
      <c r="F374" s="1049"/>
      <c r="G374" s="1049"/>
      <c r="H374" s="1049"/>
      <c r="I374" s="1049"/>
      <c r="J374" s="1049"/>
      <c r="K374" s="1049"/>
      <c r="L374" s="1049"/>
      <c r="M374" s="1049"/>
      <c r="N374" s="1087"/>
      <c r="O374" s="1087"/>
    </row>
    <row r="375" spans="1:15">
      <c r="A375" s="1076"/>
      <c r="B375" s="1061" t="s">
        <v>2223</v>
      </c>
      <c r="C375" s="1048">
        <v>1</v>
      </c>
      <c r="D375" s="1048" t="s">
        <v>1472</v>
      </c>
      <c r="E375" s="1048">
        <v>1</v>
      </c>
      <c r="F375" s="1049">
        <v>1.8</v>
      </c>
      <c r="G375" s="1084">
        <v>1</v>
      </c>
      <c r="H375" s="1049">
        <v>2.4</v>
      </c>
      <c r="I375" s="1049">
        <f t="shared" ref="I375:I380" si="13">-ROUND(C375*E375*F375*G375*H375,2)</f>
        <v>-4.32</v>
      </c>
      <c r="J375" s="1049"/>
      <c r="K375" s="1049"/>
      <c r="L375" s="1049"/>
      <c r="M375" s="1049"/>
      <c r="N375" s="1087"/>
      <c r="O375" s="1087"/>
    </row>
    <row r="376" spans="1:15">
      <c r="A376" s="1076"/>
      <c r="B376" s="1061" t="s">
        <v>980</v>
      </c>
      <c r="C376" s="1048">
        <v>1</v>
      </c>
      <c r="D376" s="1048" t="s">
        <v>1472</v>
      </c>
      <c r="E376" s="1048">
        <v>2</v>
      </c>
      <c r="F376" s="1049">
        <v>1.5</v>
      </c>
      <c r="G376" s="1084">
        <v>1</v>
      </c>
      <c r="H376" s="1049">
        <v>2.4</v>
      </c>
      <c r="I376" s="1049">
        <f t="shared" si="13"/>
        <v>-7.2</v>
      </c>
      <c r="J376" s="1049"/>
      <c r="K376" s="1049"/>
      <c r="L376" s="1049"/>
      <c r="M376" s="1049"/>
      <c r="N376" s="1087"/>
      <c r="O376" s="1087"/>
    </row>
    <row r="377" spans="1:15">
      <c r="A377" s="1076"/>
      <c r="B377" s="1061" t="s">
        <v>981</v>
      </c>
      <c r="C377" s="1048">
        <v>1</v>
      </c>
      <c r="D377" s="1048" t="s">
        <v>1472</v>
      </c>
      <c r="E377" s="1048">
        <v>2</v>
      </c>
      <c r="F377" s="1049">
        <v>0.9</v>
      </c>
      <c r="G377" s="1084">
        <v>1</v>
      </c>
      <c r="H377" s="1049">
        <v>2.1</v>
      </c>
      <c r="I377" s="1049">
        <f t="shared" si="13"/>
        <v>-3.78</v>
      </c>
      <c r="J377" s="1049"/>
      <c r="K377" s="1049"/>
      <c r="L377" s="1049"/>
      <c r="M377" s="1049"/>
      <c r="N377" s="1087"/>
      <c r="O377" s="1087"/>
    </row>
    <row r="378" spans="1:15">
      <c r="A378" s="1076"/>
      <c r="B378" s="1061" t="s">
        <v>2117</v>
      </c>
      <c r="C378" s="1048">
        <v>1</v>
      </c>
      <c r="D378" s="1048" t="s">
        <v>1472</v>
      </c>
      <c r="E378" s="1048">
        <v>1</v>
      </c>
      <c r="F378" s="1049">
        <v>1.5</v>
      </c>
      <c r="G378" s="1084">
        <v>1</v>
      </c>
      <c r="H378" s="1049">
        <v>1.2</v>
      </c>
      <c r="I378" s="1049">
        <f t="shared" si="13"/>
        <v>-1.8</v>
      </c>
      <c r="J378" s="1049"/>
      <c r="K378" s="1049"/>
      <c r="L378" s="1049"/>
      <c r="M378" s="1049"/>
      <c r="N378" s="1087"/>
      <c r="O378" s="1087"/>
    </row>
    <row r="379" spans="1:15" ht="14.1">
      <c r="A379" s="1046"/>
      <c r="B379" s="1061" t="s">
        <v>2215</v>
      </c>
      <c r="C379" s="1048">
        <v>1</v>
      </c>
      <c r="D379" s="1048" t="s">
        <v>1472</v>
      </c>
      <c r="E379" s="1048">
        <v>6</v>
      </c>
      <c r="F379" s="1049">
        <f>11*0.3048</f>
        <v>3.3528000000000002</v>
      </c>
      <c r="G379" s="1084">
        <v>1</v>
      </c>
      <c r="H379" s="1049">
        <v>0.9</v>
      </c>
      <c r="I379" s="1049">
        <f t="shared" si="13"/>
        <v>-18.11</v>
      </c>
      <c r="J379" s="1049"/>
      <c r="K379" s="1049"/>
      <c r="L379" s="1049"/>
      <c r="M379" s="1049"/>
      <c r="N379" s="1087"/>
      <c r="O379" s="1087"/>
    </row>
    <row r="380" spans="1:15" ht="14.1">
      <c r="A380" s="1046"/>
      <c r="B380" s="1061" t="s">
        <v>2216</v>
      </c>
      <c r="C380" s="1048">
        <v>1</v>
      </c>
      <c r="D380" s="1048" t="s">
        <v>1472</v>
      </c>
      <c r="E380" s="1048">
        <v>2</v>
      </c>
      <c r="F380" s="1049">
        <v>2.4</v>
      </c>
      <c r="G380" s="1084">
        <v>1</v>
      </c>
      <c r="H380" s="1049">
        <v>2</v>
      </c>
      <c r="I380" s="1049">
        <f t="shared" si="13"/>
        <v>-9.6</v>
      </c>
      <c r="J380" s="1049"/>
      <c r="K380" s="1049"/>
      <c r="L380" s="1049"/>
      <c r="M380" s="1049"/>
      <c r="N380" s="1087"/>
      <c r="O380" s="1087"/>
    </row>
    <row r="381" spans="1:15" ht="14.1">
      <c r="A381" s="1048"/>
      <c r="B381" s="1060" t="s">
        <v>2124</v>
      </c>
      <c r="C381" s="1048"/>
      <c r="D381" s="1048"/>
      <c r="E381" s="1048"/>
      <c r="F381" s="1049"/>
      <c r="G381" s="1049"/>
      <c r="H381" s="1049"/>
      <c r="I381" s="1049"/>
      <c r="J381" s="1049"/>
      <c r="K381" s="1049"/>
      <c r="L381" s="1049"/>
      <c r="M381" s="1049"/>
      <c r="N381" s="1087"/>
      <c r="O381" s="1087"/>
    </row>
    <row r="382" spans="1:15" ht="14.1">
      <c r="A382" s="1046"/>
      <c r="B382" s="1050" t="s">
        <v>2093</v>
      </c>
      <c r="C382" s="1048">
        <v>1</v>
      </c>
      <c r="D382" s="1048" t="s">
        <v>1472</v>
      </c>
      <c r="E382" s="1048">
        <v>2</v>
      </c>
      <c r="F382" s="1049">
        <f>10.5*0.3048</f>
        <v>3.2004000000000001</v>
      </c>
      <c r="G382" s="1084">
        <v>1</v>
      </c>
      <c r="H382" s="1049">
        <v>2.9</v>
      </c>
      <c r="I382" s="1049">
        <f>ROUND(C382*E382*F382*G382*H382,2)</f>
        <v>18.559999999999999</v>
      </c>
      <c r="J382" s="1049"/>
      <c r="K382" s="1049"/>
      <c r="L382" s="1049"/>
      <c r="M382" s="1049"/>
      <c r="N382" s="1087"/>
      <c r="O382" s="1087"/>
    </row>
    <row r="383" spans="1:15" ht="14.1">
      <c r="A383" s="1046"/>
      <c r="B383" s="1050" t="s">
        <v>2094</v>
      </c>
      <c r="C383" s="1048">
        <v>1</v>
      </c>
      <c r="D383" s="1048" t="s">
        <v>1472</v>
      </c>
      <c r="E383" s="1048">
        <v>2</v>
      </c>
      <c r="F383" s="1049">
        <f>10*0.3048</f>
        <v>3.048</v>
      </c>
      <c r="G383" s="1084">
        <v>1</v>
      </c>
      <c r="H383" s="1049">
        <v>2.9</v>
      </c>
      <c r="I383" s="1049">
        <f>ROUND(C383*E383*F383*G383*H383,2)</f>
        <v>17.68</v>
      </c>
      <c r="J383" s="1049"/>
      <c r="K383" s="1049"/>
      <c r="L383" s="1049"/>
      <c r="M383" s="1049"/>
      <c r="N383" s="1087"/>
      <c r="O383" s="1087"/>
    </row>
    <row r="384" spans="1:15">
      <c r="A384" s="1048"/>
      <c r="B384" s="1061" t="s">
        <v>2125</v>
      </c>
      <c r="C384" s="1048">
        <v>1</v>
      </c>
      <c r="D384" s="1048" t="s">
        <v>1472</v>
      </c>
      <c r="E384" s="1048">
        <v>2</v>
      </c>
      <c r="F384" s="1049">
        <f>10.5*0.3048</f>
        <v>3.2004000000000001</v>
      </c>
      <c r="G384" s="1084">
        <v>1</v>
      </c>
      <c r="H384" s="1049">
        <v>2.1</v>
      </c>
      <c r="I384" s="1049">
        <f>ROUND(C384*E384*F384*G384*H384,2)</f>
        <v>13.44</v>
      </c>
      <c r="J384" s="1049"/>
      <c r="K384" s="1049"/>
      <c r="L384" s="1049"/>
      <c r="M384" s="1049"/>
      <c r="N384" s="1087"/>
      <c r="O384" s="1087"/>
    </row>
    <row r="385" spans="1:15">
      <c r="A385" s="1048"/>
      <c r="B385" s="1061" t="s">
        <v>2125</v>
      </c>
      <c r="C385" s="1048">
        <v>1</v>
      </c>
      <c r="D385" s="1048" t="s">
        <v>1472</v>
      </c>
      <c r="E385" s="1048">
        <v>2</v>
      </c>
      <c r="F385" s="1049">
        <v>3.42</v>
      </c>
      <c r="G385" s="1084">
        <v>1</v>
      </c>
      <c r="H385" s="1049">
        <v>2.1</v>
      </c>
      <c r="I385" s="1049">
        <f>ROUND(C385*E385*F385*G385*H385,2)</f>
        <v>14.36</v>
      </c>
      <c r="J385" s="1049"/>
      <c r="K385" s="1049"/>
      <c r="L385" s="1049"/>
      <c r="M385" s="1049"/>
      <c r="N385" s="1087"/>
      <c r="O385" s="1087"/>
    </row>
    <row r="386" spans="1:15" ht="14.1">
      <c r="A386" s="1048"/>
      <c r="B386" s="1060" t="s">
        <v>675</v>
      </c>
      <c r="C386" s="1048"/>
      <c r="D386" s="1048"/>
      <c r="E386" s="1048"/>
      <c r="F386" s="1049"/>
      <c r="G386" s="1049"/>
      <c r="H386" s="1049"/>
      <c r="I386" s="1049"/>
      <c r="J386" s="1049"/>
      <c r="K386" s="1049"/>
      <c r="L386" s="1049"/>
      <c r="M386" s="1049"/>
      <c r="N386" s="1087"/>
      <c r="O386" s="1087"/>
    </row>
    <row r="387" spans="1:15">
      <c r="A387" s="1048"/>
      <c r="B387" s="1061" t="s">
        <v>2126</v>
      </c>
      <c r="C387" s="1048">
        <v>1</v>
      </c>
      <c r="D387" s="1048" t="s">
        <v>1472</v>
      </c>
      <c r="E387" s="1048">
        <v>2</v>
      </c>
      <c r="F387" s="1049">
        <v>0.9</v>
      </c>
      <c r="G387" s="1084">
        <v>1</v>
      </c>
      <c r="H387" s="1049">
        <v>2.1</v>
      </c>
      <c r="I387" s="1049">
        <f>-ROUND(C387*E387*F387*G387*H387,2)</f>
        <v>-3.78</v>
      </c>
      <c r="J387" s="1049"/>
      <c r="K387" s="1049"/>
      <c r="L387" s="1049"/>
      <c r="M387" s="1049"/>
      <c r="N387" s="1087"/>
      <c r="O387" s="1087"/>
    </row>
    <row r="388" spans="1:15">
      <c r="A388" s="1048"/>
      <c r="B388" s="1061" t="s">
        <v>101</v>
      </c>
      <c r="C388" s="1048">
        <v>1</v>
      </c>
      <c r="D388" s="1048" t="s">
        <v>1472</v>
      </c>
      <c r="E388" s="1048">
        <v>2</v>
      </c>
      <c r="F388" s="1049">
        <v>0.75</v>
      </c>
      <c r="G388" s="1084">
        <v>1</v>
      </c>
      <c r="H388" s="1049">
        <v>2.1</v>
      </c>
      <c r="I388" s="1049">
        <f>-ROUND(C388*E388*F388*G388*H388,2)</f>
        <v>-3.15</v>
      </c>
      <c r="J388" s="1049"/>
      <c r="K388" s="1049"/>
      <c r="L388" s="1049"/>
      <c r="M388" s="1049"/>
      <c r="N388" s="1087"/>
      <c r="O388" s="1087"/>
    </row>
    <row r="389" spans="1:15">
      <c r="A389" s="1048"/>
      <c r="B389" s="1061" t="s">
        <v>2224</v>
      </c>
      <c r="C389" s="1048">
        <v>1</v>
      </c>
      <c r="D389" s="1048" t="s">
        <v>1472</v>
      </c>
      <c r="E389" s="1048">
        <v>2</v>
      </c>
      <c r="F389" s="1049">
        <v>0.75</v>
      </c>
      <c r="G389" s="1084">
        <v>1</v>
      </c>
      <c r="H389" s="1049">
        <v>0.3</v>
      </c>
      <c r="I389" s="1049">
        <f>-ROUND(C389*E389*F389*G389*H389,2)</f>
        <v>-0.45</v>
      </c>
      <c r="J389" s="1049"/>
      <c r="K389" s="1049"/>
      <c r="L389" s="1049"/>
      <c r="M389" s="1049"/>
      <c r="N389" s="1087"/>
      <c r="O389" s="1087"/>
    </row>
    <row r="390" spans="1:15" ht="14.1">
      <c r="A390" s="1046"/>
      <c r="B390" s="1065"/>
      <c r="C390" s="1048"/>
      <c r="D390" s="1048"/>
      <c r="E390" s="1048"/>
      <c r="F390" s="1049"/>
      <c r="G390" s="1049"/>
      <c r="H390" s="1049"/>
      <c r="I390" s="1049">
        <f>SUM(I368:I389)</f>
        <v>321.79000000000008</v>
      </c>
      <c r="J390" s="1049">
        <f>Datas!G892</f>
        <v>1206.3</v>
      </c>
      <c r="K390" s="1053">
        <f>ROUND(J390*I390/10,0)</f>
        <v>38818</v>
      </c>
      <c r="L390" s="1049"/>
      <c r="M390" s="1049"/>
      <c r="N390" s="1087"/>
      <c r="O390" s="1087"/>
    </row>
    <row r="391" spans="1:15" ht="14.1">
      <c r="A391" s="1046"/>
      <c r="B391" s="1071"/>
      <c r="C391" s="1086"/>
      <c r="D391" s="1086"/>
      <c r="E391" s="1086"/>
      <c r="F391" s="1049"/>
      <c r="G391" s="1086"/>
      <c r="H391" s="1086"/>
      <c r="I391" s="1097" t="s">
        <v>1478</v>
      </c>
      <c r="J391" s="1049" t="s">
        <v>37</v>
      </c>
      <c r="K391" s="1049"/>
      <c r="L391" s="1049"/>
      <c r="M391" s="1049"/>
      <c r="N391" s="1087"/>
      <c r="O391" s="1087"/>
    </row>
    <row r="392" spans="1:15" ht="107.25" customHeight="1">
      <c r="A392" s="1046">
        <v>36</v>
      </c>
      <c r="B392" s="2415" t="s">
        <v>2244</v>
      </c>
      <c r="C392" s="2416"/>
      <c r="D392" s="2416"/>
      <c r="E392" s="2416"/>
      <c r="F392" s="2416"/>
      <c r="G392" s="2416"/>
      <c r="H392" s="2416"/>
      <c r="I392" s="2417"/>
      <c r="J392" s="1049"/>
      <c r="K392" s="1049"/>
      <c r="L392" s="1049"/>
      <c r="M392" s="1049"/>
      <c r="N392" s="1087"/>
      <c r="O392" s="1087"/>
    </row>
    <row r="393" spans="1:15" ht="14.1">
      <c r="A393" s="1046"/>
      <c r="B393" s="1060" t="s">
        <v>2135</v>
      </c>
      <c r="C393" s="1082"/>
      <c r="D393" s="1082"/>
      <c r="E393" s="1082"/>
      <c r="F393" s="1083"/>
      <c r="G393" s="1083"/>
      <c r="H393" s="1083"/>
      <c r="I393" s="1083"/>
      <c r="J393" s="1049"/>
      <c r="K393" s="1049"/>
      <c r="L393" s="1049"/>
      <c r="M393" s="1049"/>
      <c r="N393" s="1087"/>
      <c r="O393" s="1087"/>
    </row>
    <row r="394" spans="1:15" ht="14.1">
      <c r="A394" s="1046"/>
      <c r="B394" s="1050" t="s">
        <v>2115</v>
      </c>
      <c r="C394" s="1048">
        <v>1</v>
      </c>
      <c r="D394" s="1048" t="s">
        <v>1472</v>
      </c>
      <c r="E394" s="1048">
        <v>2</v>
      </c>
      <c r="F394" s="1049">
        <f>60.75*0.3048</f>
        <v>18.5166</v>
      </c>
      <c r="G394" s="1084">
        <v>1</v>
      </c>
      <c r="H394" s="1049">
        <v>3.6</v>
      </c>
      <c r="I394" s="1049">
        <f>ROUND(C394*E394*F394*G394*H394,2)</f>
        <v>133.32</v>
      </c>
      <c r="J394" s="1049"/>
      <c r="K394" s="1049"/>
      <c r="L394" s="1049"/>
      <c r="M394" s="1049"/>
      <c r="N394" s="1087"/>
      <c r="O394" s="1087"/>
    </row>
    <row r="395" spans="1:15" ht="14.1">
      <c r="A395" s="1046"/>
      <c r="B395" s="1050" t="s">
        <v>2033</v>
      </c>
      <c r="C395" s="1048">
        <v>1</v>
      </c>
      <c r="D395" s="1048" t="s">
        <v>1472</v>
      </c>
      <c r="E395" s="1048">
        <v>2</v>
      </c>
      <c r="F395" s="1049">
        <f>31.5*0.3048</f>
        <v>9.6012000000000004</v>
      </c>
      <c r="G395" s="1084">
        <v>1</v>
      </c>
      <c r="H395" s="1164" t="s">
        <v>2286</v>
      </c>
      <c r="I395" s="1049">
        <f>ROUND(C395*E395*F395*G395*AVERAGE(3.6,5.5,3.6),2)</f>
        <v>81.290000000000006</v>
      </c>
      <c r="J395" s="1049"/>
      <c r="K395" s="1049"/>
      <c r="L395" s="1049"/>
      <c r="M395" s="1049"/>
      <c r="N395" s="1087"/>
      <c r="O395" s="1087"/>
    </row>
    <row r="396" spans="1:15" ht="14.1">
      <c r="A396" s="1046"/>
      <c r="B396" s="1060" t="s">
        <v>2136</v>
      </c>
      <c r="C396" s="1048"/>
      <c r="D396" s="1048"/>
      <c r="E396" s="1048"/>
      <c r="F396" s="1049"/>
      <c r="G396" s="1084"/>
      <c r="H396" s="1049"/>
      <c r="I396" s="1068"/>
      <c r="J396" s="1049"/>
      <c r="K396" s="1049"/>
      <c r="L396" s="1049"/>
      <c r="M396" s="1068"/>
      <c r="N396" s="1087"/>
      <c r="O396" s="1087"/>
    </row>
    <row r="397" spans="1:15" ht="14.1">
      <c r="A397" s="1046"/>
      <c r="B397" s="1050" t="s">
        <v>2093</v>
      </c>
      <c r="C397" s="1048">
        <v>1</v>
      </c>
      <c r="D397" s="1048" t="s">
        <v>1472</v>
      </c>
      <c r="E397" s="1048">
        <v>2</v>
      </c>
      <c r="F397" s="1049">
        <f>12*0.3048</f>
        <v>3.6576000000000004</v>
      </c>
      <c r="G397" s="1084">
        <v>1</v>
      </c>
      <c r="H397" s="1049">
        <v>2.4</v>
      </c>
      <c r="I397" s="1049">
        <f>ROUND(C397*E397*F397*G397*H397,2)</f>
        <v>17.559999999999999</v>
      </c>
      <c r="J397" s="1049"/>
      <c r="K397" s="1049"/>
      <c r="L397" s="1049"/>
      <c r="M397" s="1049"/>
      <c r="N397" s="1087"/>
      <c r="O397" s="1087"/>
    </row>
    <row r="398" spans="1:15" ht="14.1">
      <c r="A398" s="1046"/>
      <c r="B398" s="1050" t="s">
        <v>2094</v>
      </c>
      <c r="C398" s="1048">
        <v>1</v>
      </c>
      <c r="D398" s="1048" t="s">
        <v>1472</v>
      </c>
      <c r="E398" s="1048">
        <v>2</v>
      </c>
      <c r="F398" s="1049">
        <f>11.5*0.3048</f>
        <v>3.5052000000000003</v>
      </c>
      <c r="G398" s="1084">
        <v>1</v>
      </c>
      <c r="H398" s="1049">
        <v>2.4</v>
      </c>
      <c r="I398" s="1049">
        <f>ROUND(C398*E398*F398*G398*H398,2)</f>
        <v>16.82</v>
      </c>
      <c r="J398" s="1049"/>
      <c r="K398" s="1049"/>
      <c r="L398" s="1049"/>
      <c r="M398" s="1049"/>
      <c r="N398" s="1087"/>
      <c r="O398" s="1087"/>
    </row>
    <row r="399" spans="1:15" ht="14.1">
      <c r="A399" s="1046"/>
      <c r="B399" s="1061"/>
      <c r="C399" s="1048"/>
      <c r="D399" s="1048"/>
      <c r="E399" s="1048"/>
      <c r="F399" s="1049"/>
      <c r="G399" s="1049"/>
      <c r="H399" s="1049" t="s">
        <v>982</v>
      </c>
      <c r="I399" s="1052">
        <f>SUM(I394:I398)</f>
        <v>248.99</v>
      </c>
      <c r="J399" s="1049">
        <f>Datas!G983</f>
        <v>2032.3400000000001</v>
      </c>
      <c r="K399" s="1053">
        <f>ROUND(J399*I399/10,0)</f>
        <v>50603</v>
      </c>
      <c r="L399" s="1049">
        <f>0.12*9+1.1*8</f>
        <v>9.8800000000000008</v>
      </c>
      <c r="M399" s="1055">
        <f>L399*I399</f>
        <v>2460.0212000000001</v>
      </c>
      <c r="N399" s="1087"/>
      <c r="O399" s="1087"/>
    </row>
    <row r="400" spans="1:15" ht="14.1">
      <c r="A400" s="1046"/>
      <c r="B400" s="1060"/>
      <c r="C400" s="1048"/>
      <c r="D400" s="1048"/>
      <c r="E400" s="1048"/>
      <c r="F400" s="1049"/>
      <c r="G400" s="1049"/>
      <c r="H400" s="1049"/>
      <c r="I400" s="1053" t="s">
        <v>1478</v>
      </c>
      <c r="J400" s="1049" t="s">
        <v>37</v>
      </c>
      <c r="K400" s="1053"/>
      <c r="L400" s="1049"/>
      <c r="M400" s="1049"/>
      <c r="N400" s="1087"/>
      <c r="O400" s="1087"/>
    </row>
    <row r="401" spans="1:15" ht="48.75" customHeight="1">
      <c r="A401" s="1046">
        <v>37</v>
      </c>
      <c r="B401" s="2428" t="s">
        <v>2180</v>
      </c>
      <c r="C401" s="2429"/>
      <c r="D401" s="2429"/>
      <c r="E401" s="2429"/>
      <c r="F401" s="2429"/>
      <c r="G401" s="2429"/>
      <c r="H401" s="2429"/>
      <c r="I401" s="2430"/>
      <c r="J401" s="1049"/>
      <c r="K401" s="1049"/>
      <c r="L401" s="1049"/>
      <c r="M401" s="1049"/>
      <c r="N401" s="1087"/>
      <c r="O401" s="1087"/>
    </row>
    <row r="402" spans="1:15">
      <c r="A402" s="1048"/>
      <c r="B402" s="1061" t="s">
        <v>2242</v>
      </c>
      <c r="C402" s="1048">
        <v>1</v>
      </c>
      <c r="D402" s="1048" t="s">
        <v>1472</v>
      </c>
      <c r="E402" s="1048">
        <v>1</v>
      </c>
      <c r="F402" s="1049">
        <v>2.25</v>
      </c>
      <c r="G402" s="1049">
        <v>1.8</v>
      </c>
      <c r="H402" s="1049">
        <v>2.4</v>
      </c>
      <c r="I402" s="1049">
        <f>ROUND(C402*E402*F402*G402*H402,2)</f>
        <v>9.7200000000000006</v>
      </c>
      <c r="J402" s="1049"/>
      <c r="K402" s="1049"/>
      <c r="L402" s="1049"/>
      <c r="M402" s="1049"/>
      <c r="N402" s="1087"/>
      <c r="O402" s="1087"/>
    </row>
    <row r="403" spans="1:15">
      <c r="A403" s="1048"/>
      <c r="B403" s="1061" t="s">
        <v>2181</v>
      </c>
      <c r="C403" s="1048">
        <v>1</v>
      </c>
      <c r="D403" s="1048" t="s">
        <v>1472</v>
      </c>
      <c r="E403" s="1048">
        <v>2</v>
      </c>
      <c r="F403" s="1049">
        <v>2.25</v>
      </c>
      <c r="G403" s="1049">
        <v>1.5</v>
      </c>
      <c r="H403" s="1049">
        <v>2.4</v>
      </c>
      <c r="I403" s="1049">
        <f>ROUND(C403*E403*F403*G403*H403,2)</f>
        <v>16.2</v>
      </c>
      <c r="J403" s="1049"/>
      <c r="K403" s="1049"/>
      <c r="L403" s="1049"/>
      <c r="M403" s="1049"/>
      <c r="N403" s="1087"/>
      <c r="O403" s="1087"/>
    </row>
    <row r="404" spans="1:15">
      <c r="A404" s="1048"/>
      <c r="B404" s="1061" t="s">
        <v>981</v>
      </c>
      <c r="C404" s="1048">
        <v>1</v>
      </c>
      <c r="D404" s="1048" t="s">
        <v>1472</v>
      </c>
      <c r="E404" s="1048">
        <v>2</v>
      </c>
      <c r="F404" s="1049">
        <v>2.25</v>
      </c>
      <c r="G404" s="1049">
        <v>0.9</v>
      </c>
      <c r="H404" s="1049">
        <v>2.1</v>
      </c>
      <c r="I404" s="1049">
        <f>ROUND(C404*E404*F404*G404*H404,2)</f>
        <v>8.51</v>
      </c>
      <c r="J404" s="1049"/>
      <c r="K404" s="1049"/>
      <c r="L404" s="1049"/>
      <c r="M404" s="1049"/>
      <c r="N404" s="1087"/>
      <c r="O404" s="1087"/>
    </row>
    <row r="405" spans="1:15">
      <c r="A405" s="1048"/>
      <c r="B405" s="1061" t="s">
        <v>2182</v>
      </c>
      <c r="C405" s="1048">
        <v>1</v>
      </c>
      <c r="D405" s="1048" t="s">
        <v>1472</v>
      </c>
      <c r="E405" s="1048">
        <v>2</v>
      </c>
      <c r="F405" s="1049">
        <v>2.25</v>
      </c>
      <c r="G405" s="1049">
        <v>0.75</v>
      </c>
      <c r="H405" s="1049">
        <v>2.1</v>
      </c>
      <c r="I405" s="1049">
        <f>ROUND(C405*E405*F405*G405*H405,2)</f>
        <v>7.09</v>
      </c>
      <c r="J405" s="1049"/>
      <c r="K405" s="1049"/>
      <c r="L405" s="1049"/>
      <c r="M405" s="1049"/>
      <c r="N405" s="1087"/>
      <c r="O405" s="1087"/>
    </row>
    <row r="406" spans="1:15">
      <c r="A406" s="1048"/>
      <c r="B406" s="1061" t="s">
        <v>2117</v>
      </c>
      <c r="C406" s="1048">
        <v>1</v>
      </c>
      <c r="D406" s="1048" t="s">
        <v>1472</v>
      </c>
      <c r="E406" s="1048">
        <v>4</v>
      </c>
      <c r="F406" s="1049">
        <v>2.75</v>
      </c>
      <c r="G406" s="1049">
        <v>1.5</v>
      </c>
      <c r="H406" s="1049">
        <v>1.2</v>
      </c>
      <c r="I406" s="1049">
        <f>ROUND(C406*E406*F406*G406*H406,2)</f>
        <v>19.8</v>
      </c>
      <c r="J406" s="1049"/>
      <c r="K406" s="1049"/>
      <c r="L406" s="1049"/>
      <c r="M406" s="1049"/>
      <c r="N406" s="1087"/>
      <c r="O406" s="1087"/>
    </row>
    <row r="407" spans="1:15" ht="14.1">
      <c r="A407" s="1046"/>
      <c r="B407" s="1061"/>
      <c r="C407" s="1048"/>
      <c r="D407" s="1048"/>
      <c r="E407" s="1048"/>
      <c r="F407" s="1049"/>
      <c r="G407" s="1049"/>
      <c r="H407" s="1049"/>
      <c r="I407" s="1049">
        <f>SUM(I402:I406)</f>
        <v>61.319999999999993</v>
      </c>
      <c r="J407" s="1049"/>
      <c r="K407" s="1049"/>
      <c r="L407" s="1049"/>
      <c r="M407" s="1049"/>
      <c r="N407" s="1087"/>
      <c r="O407" s="1087"/>
    </row>
    <row r="408" spans="1:15" ht="14.1">
      <c r="A408" s="1046"/>
      <c r="B408" s="1060"/>
      <c r="C408" s="1048"/>
      <c r="D408" s="1048"/>
      <c r="E408" s="1048"/>
      <c r="F408" s="1049"/>
      <c r="G408" s="1049"/>
      <c r="H408" s="1049" t="s">
        <v>471</v>
      </c>
      <c r="I408" s="1053">
        <f>CEILING(I407,0.05)</f>
        <v>61.35</v>
      </c>
      <c r="J408" s="1049">
        <f>Datas!G925</f>
        <v>113.67999999999999</v>
      </c>
      <c r="K408" s="1053">
        <f>ROUND(J408*I408/10,0)</f>
        <v>697</v>
      </c>
      <c r="L408" s="1049"/>
      <c r="M408" s="1049"/>
      <c r="N408" s="1087"/>
      <c r="O408" s="1087"/>
    </row>
    <row r="409" spans="1:15" ht="14.1">
      <c r="A409" s="1046"/>
      <c r="B409" s="1060"/>
      <c r="C409" s="1048"/>
      <c r="D409" s="1048"/>
      <c r="E409" s="1048"/>
      <c r="F409" s="1049"/>
      <c r="G409" s="1049"/>
      <c r="H409" s="1049"/>
      <c r="I409" s="1053" t="s">
        <v>1478</v>
      </c>
      <c r="J409" s="1049" t="s">
        <v>37</v>
      </c>
      <c r="K409" s="1053"/>
      <c r="L409" s="1049"/>
      <c r="M409" s="1049"/>
      <c r="N409" s="1087"/>
      <c r="O409" s="1087"/>
    </row>
    <row r="410" spans="1:15" ht="138" customHeight="1">
      <c r="A410" s="1046">
        <v>38</v>
      </c>
      <c r="B410" s="2415" t="s">
        <v>0</v>
      </c>
      <c r="C410" s="2416"/>
      <c r="D410" s="2416"/>
      <c r="E410" s="2416"/>
      <c r="F410" s="2416"/>
      <c r="G410" s="2416"/>
      <c r="H410" s="2416"/>
      <c r="I410" s="2417"/>
      <c r="J410" s="1049"/>
      <c r="K410" s="1049"/>
      <c r="L410" s="1049"/>
      <c r="M410" s="1049"/>
      <c r="N410" s="1087"/>
      <c r="O410" s="1087"/>
    </row>
    <row r="411" spans="1:15" ht="20.25" customHeight="1">
      <c r="A411" s="1046"/>
      <c r="B411" s="1060" t="s">
        <v>2050</v>
      </c>
      <c r="C411" s="1048"/>
      <c r="D411" s="1048"/>
      <c r="E411" s="1048"/>
      <c r="F411" s="1049"/>
      <c r="G411" s="1049"/>
      <c r="H411" s="1049"/>
      <c r="I411" s="1053">
        <v>2.2999999999999998</v>
      </c>
      <c r="J411" s="1049">
        <f>Datas!$G$584</f>
        <v>77799</v>
      </c>
      <c r="K411" s="1053">
        <f>ROUND(J411*I411,0)</f>
        <v>178938</v>
      </c>
      <c r="L411" s="1049"/>
      <c r="M411" s="1049"/>
      <c r="N411" s="1087"/>
      <c r="O411" s="1087"/>
    </row>
    <row r="412" spans="1:15" ht="20.25" customHeight="1">
      <c r="A412" s="1046"/>
      <c r="B412" s="1060"/>
      <c r="C412" s="1048"/>
      <c r="D412" s="1048"/>
      <c r="E412" s="1048"/>
      <c r="F412" s="1049"/>
      <c r="G412" s="1049"/>
      <c r="H412" s="1049"/>
      <c r="I412" s="1053" t="s">
        <v>205</v>
      </c>
      <c r="J412" s="1049" t="s">
        <v>206</v>
      </c>
      <c r="K412" s="1053"/>
      <c r="L412" s="1049"/>
      <c r="M412" s="1049"/>
      <c r="N412" s="1087"/>
      <c r="O412" s="1087"/>
    </row>
    <row r="413" spans="1:15" s="1055" customFormat="1" ht="26.25" customHeight="1">
      <c r="A413" s="1030"/>
      <c r="B413" s="2431" t="s">
        <v>1165</v>
      </c>
      <c r="C413" s="2431"/>
      <c r="D413" s="2431"/>
      <c r="E413" s="2431"/>
      <c r="F413" s="2431"/>
      <c r="G413" s="2431"/>
      <c r="H413" s="2431"/>
      <c r="I413" s="2431"/>
      <c r="J413" s="1098"/>
      <c r="K413" s="1029"/>
      <c r="L413" s="1029"/>
      <c r="N413" s="1147"/>
      <c r="O413" s="1147"/>
    </row>
    <row r="414" spans="1:15" s="1055" customFormat="1" ht="66" customHeight="1">
      <c r="A414" s="1046">
        <v>39</v>
      </c>
      <c r="B414" s="2415" t="s">
        <v>1</v>
      </c>
      <c r="C414" s="2416"/>
      <c r="D414" s="2416"/>
      <c r="E414" s="2416"/>
      <c r="F414" s="2416"/>
      <c r="G414" s="2416"/>
      <c r="H414" s="2416"/>
      <c r="I414" s="2417"/>
      <c r="J414" s="1098"/>
      <c r="K414" s="1029"/>
      <c r="L414" s="1029"/>
      <c r="N414" s="1147"/>
      <c r="O414" s="1147"/>
    </row>
    <row r="415" spans="1:15" s="1055" customFormat="1" ht="14.1">
      <c r="A415" s="1046"/>
      <c r="B415" s="1076"/>
      <c r="C415" s="1076"/>
      <c r="D415" s="1076"/>
      <c r="E415" s="1098"/>
      <c r="F415" s="1099"/>
      <c r="G415" s="1099"/>
      <c r="H415" s="1100"/>
      <c r="I415" s="1099">
        <v>80</v>
      </c>
      <c r="J415" s="1049">
        <f>'data-Elec '!$H$60</f>
        <v>111.43</v>
      </c>
      <c r="K415" s="1053">
        <f>ROUND(J415*I415,0)</f>
        <v>8914</v>
      </c>
      <c r="L415" s="1029"/>
      <c r="N415" s="1147"/>
      <c r="O415" s="1147"/>
    </row>
    <row r="416" spans="1:15" s="1055" customFormat="1" ht="18.75" customHeight="1">
      <c r="A416" s="1046"/>
      <c r="B416" s="1076"/>
      <c r="C416" s="1076"/>
      <c r="D416" s="1076"/>
      <c r="E416" s="1098"/>
      <c r="F416" s="1099"/>
      <c r="G416" s="1099"/>
      <c r="H416" s="1100"/>
      <c r="I416" s="1099" t="s">
        <v>495</v>
      </c>
      <c r="J416" s="1049" t="s">
        <v>453</v>
      </c>
      <c r="K416" s="1053"/>
      <c r="L416" s="1029"/>
      <c r="N416" s="1147"/>
      <c r="O416" s="1147"/>
    </row>
    <row r="417" spans="1:15" s="1055" customFormat="1" ht="42" customHeight="1">
      <c r="A417" s="1046">
        <v>40</v>
      </c>
      <c r="B417" s="2415" t="s">
        <v>1245</v>
      </c>
      <c r="C417" s="2416"/>
      <c r="D417" s="2416"/>
      <c r="E417" s="2416"/>
      <c r="F417" s="2416"/>
      <c r="G417" s="2416"/>
      <c r="H417" s="2416"/>
      <c r="I417" s="2417"/>
      <c r="J417" s="1098"/>
      <c r="K417" s="1029"/>
      <c r="L417" s="1029"/>
      <c r="N417" s="1147"/>
      <c r="O417" s="1147"/>
    </row>
    <row r="418" spans="1:15" s="1055" customFormat="1" ht="14.1">
      <c r="A418" s="1046"/>
      <c r="B418" s="1076"/>
      <c r="C418" s="1076">
        <v>1</v>
      </c>
      <c r="D418" s="1076" t="s">
        <v>1472</v>
      </c>
      <c r="E418" s="1098">
        <v>1</v>
      </c>
      <c r="F418" s="1099">
        <v>4</v>
      </c>
      <c r="G418" s="1099"/>
      <c r="H418" s="1100"/>
      <c r="I418" s="1099">
        <v>30</v>
      </c>
      <c r="J418" s="1049">
        <f>'data-Elec '!$H$92</f>
        <v>554.66999999999996</v>
      </c>
      <c r="K418" s="1053">
        <f>ROUND(J418*I418,0)</f>
        <v>16640</v>
      </c>
      <c r="L418" s="1029"/>
      <c r="N418" s="1147"/>
      <c r="O418" s="1147"/>
    </row>
    <row r="419" spans="1:15" s="1055" customFormat="1" ht="18.75" customHeight="1">
      <c r="A419" s="1046"/>
      <c r="B419" s="1076"/>
      <c r="C419" s="1076"/>
      <c r="D419" s="1076"/>
      <c r="E419" s="1098"/>
      <c r="F419" s="1099"/>
      <c r="G419" s="1099"/>
      <c r="H419" s="1100"/>
      <c r="I419" s="1099" t="s">
        <v>1164</v>
      </c>
      <c r="J419" s="1049" t="s">
        <v>3</v>
      </c>
      <c r="K419" s="1053"/>
      <c r="L419" s="1029"/>
      <c r="N419" s="1147"/>
      <c r="O419" s="1147"/>
    </row>
    <row r="420" spans="1:15" s="1055" customFormat="1" ht="50.25" customHeight="1">
      <c r="A420" s="1046">
        <v>41</v>
      </c>
      <c r="B420" s="2415" t="s">
        <v>1248</v>
      </c>
      <c r="C420" s="2416"/>
      <c r="D420" s="2416"/>
      <c r="E420" s="2416"/>
      <c r="F420" s="2416"/>
      <c r="G420" s="2416"/>
      <c r="H420" s="2416"/>
      <c r="I420" s="2417"/>
      <c r="J420" s="1101"/>
      <c r="K420" s="1029"/>
      <c r="L420" s="1029"/>
      <c r="N420" s="1147"/>
      <c r="O420" s="1147"/>
    </row>
    <row r="421" spans="1:15" s="1055" customFormat="1" ht="14.1">
      <c r="A421" s="1046"/>
      <c r="B421" s="1076" t="s">
        <v>199</v>
      </c>
      <c r="C421" s="1076">
        <v>1</v>
      </c>
      <c r="D421" s="1076" t="s">
        <v>1472</v>
      </c>
      <c r="E421" s="1098">
        <v>1</v>
      </c>
      <c r="F421" s="1099">
        <v>10</v>
      </c>
      <c r="G421" s="1099"/>
      <c r="H421" s="1100"/>
      <c r="I421" s="1099">
        <v>200</v>
      </c>
      <c r="J421" s="1049">
        <f>'data-Elec '!$H$136</f>
        <v>60.25</v>
      </c>
      <c r="K421" s="1053">
        <f>ROUND(J421*I421,0)</f>
        <v>12050</v>
      </c>
      <c r="L421" s="1029"/>
      <c r="N421" s="1147"/>
      <c r="O421" s="1147"/>
    </row>
    <row r="422" spans="1:15" s="1055" customFormat="1" ht="14.1">
      <c r="A422" s="1046"/>
      <c r="B422" s="1076"/>
      <c r="C422" s="1076"/>
      <c r="D422" s="1076"/>
      <c r="E422" s="1098"/>
      <c r="F422" s="1099"/>
      <c r="G422" s="1099"/>
      <c r="H422" s="1100"/>
      <c r="I422" s="1099" t="s">
        <v>495</v>
      </c>
      <c r="J422" s="1049" t="s">
        <v>5</v>
      </c>
      <c r="K422" s="1053"/>
      <c r="L422" s="1029"/>
      <c r="N422" s="1147"/>
      <c r="O422" s="1147"/>
    </row>
    <row r="423" spans="1:15" s="1055" customFormat="1" ht="14.1">
      <c r="A423" s="1046"/>
      <c r="B423" s="1076" t="s">
        <v>200</v>
      </c>
      <c r="C423" s="1076">
        <v>1</v>
      </c>
      <c r="D423" s="1076" t="s">
        <v>1472</v>
      </c>
      <c r="E423" s="1098">
        <v>1</v>
      </c>
      <c r="F423" s="1099">
        <v>10</v>
      </c>
      <c r="G423" s="1099"/>
      <c r="H423" s="1100"/>
      <c r="I423" s="1099">
        <v>200</v>
      </c>
      <c r="J423" s="1049">
        <f>'data-Elec '!$H$149</f>
        <v>100.55</v>
      </c>
      <c r="K423" s="1053">
        <f>ROUND(J423*I423,0)</f>
        <v>20110</v>
      </c>
      <c r="L423" s="1029"/>
      <c r="N423" s="1147"/>
      <c r="O423" s="1147"/>
    </row>
    <row r="424" spans="1:15" s="1055" customFormat="1" ht="14.1">
      <c r="A424" s="1046"/>
      <c r="B424" s="1076"/>
      <c r="C424" s="1076"/>
      <c r="D424" s="1076"/>
      <c r="E424" s="1098"/>
      <c r="F424" s="1099"/>
      <c r="G424" s="1099"/>
      <c r="H424" s="1100"/>
      <c r="I424" s="1099" t="s">
        <v>495</v>
      </c>
      <c r="J424" s="1049" t="s">
        <v>5</v>
      </c>
      <c r="K424" s="1053"/>
      <c r="L424" s="1029"/>
      <c r="N424" s="1147"/>
      <c r="O424" s="1147"/>
    </row>
    <row r="425" spans="1:15" s="1055" customFormat="1" ht="69.75" customHeight="1">
      <c r="A425" s="1046">
        <v>42</v>
      </c>
      <c r="B425" s="2415" t="s">
        <v>48</v>
      </c>
      <c r="C425" s="2416"/>
      <c r="D425" s="2416"/>
      <c r="E425" s="2416"/>
      <c r="F425" s="2416"/>
      <c r="G425" s="2416"/>
      <c r="H425" s="2416"/>
      <c r="I425" s="2417"/>
      <c r="J425" s="1098"/>
      <c r="K425" s="1029"/>
      <c r="L425" s="1029"/>
      <c r="N425" s="1147"/>
      <c r="O425" s="1147"/>
    </row>
    <row r="426" spans="1:15" s="1055" customFormat="1" ht="18" customHeight="1">
      <c r="A426" s="1046"/>
      <c r="B426" s="1076"/>
      <c r="C426" s="1076">
        <v>1</v>
      </c>
      <c r="D426" s="1076" t="s">
        <v>1472</v>
      </c>
      <c r="E426" s="1098">
        <v>1</v>
      </c>
      <c r="F426" s="1099">
        <v>1</v>
      </c>
      <c r="G426" s="1099"/>
      <c r="H426" s="1100"/>
      <c r="I426" s="1099">
        <f>F426</f>
        <v>1</v>
      </c>
      <c r="J426" s="1049">
        <f>'data-Elec '!$H$438</f>
        <v>4622.5</v>
      </c>
      <c r="K426" s="1053">
        <f>ROUND(J426*I426,0)</f>
        <v>4623</v>
      </c>
      <c r="L426" s="1029"/>
      <c r="N426" s="1147"/>
      <c r="O426" s="1147"/>
    </row>
    <row r="427" spans="1:15" s="1055" customFormat="1" ht="18" customHeight="1">
      <c r="A427" s="1046"/>
      <c r="B427" s="1076"/>
      <c r="C427" s="1076"/>
      <c r="D427" s="1076"/>
      <c r="E427" s="1098"/>
      <c r="F427" s="1099"/>
      <c r="G427" s="1099"/>
      <c r="H427" s="1100"/>
      <c r="I427" s="1099" t="s">
        <v>857</v>
      </c>
      <c r="J427" s="1049" t="s">
        <v>4</v>
      </c>
      <c r="K427" s="1053"/>
      <c r="L427" s="1029"/>
      <c r="N427" s="1147"/>
      <c r="O427" s="1147"/>
    </row>
    <row r="428" spans="1:15" s="1055" customFormat="1" ht="34.5" customHeight="1">
      <c r="A428" s="1046">
        <v>43</v>
      </c>
      <c r="B428" s="2415" t="s">
        <v>865</v>
      </c>
      <c r="C428" s="2416"/>
      <c r="D428" s="2416"/>
      <c r="E428" s="2416"/>
      <c r="F428" s="2416"/>
      <c r="G428" s="2416"/>
      <c r="H428" s="2416"/>
      <c r="I428" s="2417"/>
      <c r="J428" s="1076"/>
      <c r="K428" s="1031"/>
      <c r="L428" s="1029"/>
      <c r="N428" s="1147"/>
      <c r="O428" s="1147"/>
    </row>
    <row r="429" spans="1:15" s="1055" customFormat="1" ht="17.25" customHeight="1">
      <c r="A429" s="1046"/>
      <c r="B429" s="1076" t="s">
        <v>451</v>
      </c>
      <c r="C429" s="1076">
        <v>1</v>
      </c>
      <c r="D429" s="1076" t="s">
        <v>1472</v>
      </c>
      <c r="E429" s="1102">
        <v>1</v>
      </c>
      <c r="F429" s="1099"/>
      <c r="G429" s="1099"/>
      <c r="H429" s="1100"/>
      <c r="I429" s="1103">
        <v>16</v>
      </c>
      <c r="J429" s="1049">
        <f>'data-Elec '!H407</f>
        <v>485.96</v>
      </c>
      <c r="K429" s="1053">
        <f>ROUND(J429*I429,0)</f>
        <v>7775</v>
      </c>
      <c r="L429" s="1029"/>
      <c r="N429" s="1147"/>
      <c r="O429" s="1147"/>
    </row>
    <row r="430" spans="1:15" s="1055" customFormat="1" ht="17.25" customHeight="1">
      <c r="A430" s="1046"/>
      <c r="B430" s="1076"/>
      <c r="C430" s="1076"/>
      <c r="D430" s="1076"/>
      <c r="E430" s="1102"/>
      <c r="F430" s="1099"/>
      <c r="G430" s="1099"/>
      <c r="H430" s="1100"/>
      <c r="I430" s="1103" t="s">
        <v>472</v>
      </c>
      <c r="J430" s="1049" t="s">
        <v>4</v>
      </c>
      <c r="K430" s="1053"/>
      <c r="L430" s="1029"/>
      <c r="N430" s="1147"/>
      <c r="O430" s="1147"/>
    </row>
    <row r="431" spans="1:15" s="1055" customFormat="1" ht="24.75" customHeight="1">
      <c r="A431" s="1046">
        <v>44</v>
      </c>
      <c r="B431" s="2415" t="s">
        <v>2183</v>
      </c>
      <c r="C431" s="2416"/>
      <c r="D431" s="2416"/>
      <c r="E431" s="2416"/>
      <c r="F431" s="2416"/>
      <c r="G431" s="2416"/>
      <c r="H431" s="2416"/>
      <c r="I431" s="2417"/>
      <c r="J431" s="1076"/>
      <c r="K431" s="1031"/>
      <c r="L431" s="1029"/>
      <c r="N431" s="1147"/>
      <c r="O431" s="1147"/>
    </row>
    <row r="432" spans="1:15" s="1055" customFormat="1" ht="17.25" customHeight="1">
      <c r="A432" s="1046"/>
      <c r="B432" s="1076"/>
      <c r="C432" s="1076">
        <v>1</v>
      </c>
      <c r="D432" s="1076" t="s">
        <v>1472</v>
      </c>
      <c r="E432" s="1102">
        <v>1</v>
      </c>
      <c r="F432" s="1099"/>
      <c r="G432" s="1099"/>
      <c r="H432" s="1100"/>
      <c r="I432" s="1103">
        <v>16</v>
      </c>
      <c r="J432" s="1049">
        <v>2200</v>
      </c>
      <c r="K432" s="1053">
        <f>ROUND(J432*I432,0)</f>
        <v>35200</v>
      </c>
      <c r="L432" s="1029"/>
      <c r="N432" s="1147"/>
      <c r="O432" s="1147"/>
    </row>
    <row r="433" spans="1:18" s="1055" customFormat="1" ht="17.25" customHeight="1">
      <c r="A433" s="1046"/>
      <c r="B433" s="1076"/>
      <c r="C433" s="1076"/>
      <c r="D433" s="1076"/>
      <c r="E433" s="1102"/>
      <c r="F433" s="1099"/>
      <c r="G433" s="1099"/>
      <c r="H433" s="1100"/>
      <c r="I433" s="1103" t="s">
        <v>472</v>
      </c>
      <c r="J433" s="1049" t="s">
        <v>4</v>
      </c>
      <c r="K433" s="1053"/>
      <c r="L433" s="1029"/>
      <c r="N433" s="1147"/>
      <c r="O433" s="1147"/>
    </row>
    <row r="434" spans="1:18" s="1055" customFormat="1" ht="71.25" customHeight="1">
      <c r="A434" s="1046">
        <v>45</v>
      </c>
      <c r="B434" s="2415" t="s">
        <v>1386</v>
      </c>
      <c r="C434" s="2416"/>
      <c r="D434" s="2416"/>
      <c r="E434" s="2416"/>
      <c r="F434" s="2416"/>
      <c r="G434" s="2416"/>
      <c r="H434" s="2416"/>
      <c r="I434" s="2417"/>
      <c r="J434" s="1076"/>
      <c r="K434" s="1031"/>
      <c r="L434" s="1029"/>
      <c r="N434" s="1147"/>
      <c r="O434" s="1147"/>
    </row>
    <row r="435" spans="1:18" s="1055" customFormat="1" ht="17.25" customHeight="1">
      <c r="A435" s="1046"/>
      <c r="B435" s="1076"/>
      <c r="C435" s="1076">
        <v>1</v>
      </c>
      <c r="D435" s="1076" t="s">
        <v>1472</v>
      </c>
      <c r="E435" s="1102">
        <v>1</v>
      </c>
      <c r="F435" s="1099"/>
      <c r="G435" s="1099"/>
      <c r="H435" s="1100"/>
      <c r="I435" s="1103">
        <v>1</v>
      </c>
      <c r="J435" s="1049">
        <f>'data-Elec '!H458</f>
        <v>4910.21</v>
      </c>
      <c r="K435" s="1053">
        <f>ROUND(J435*I435,0)</f>
        <v>4910</v>
      </c>
      <c r="L435" s="1029"/>
      <c r="N435" s="1147"/>
      <c r="O435" s="1147"/>
    </row>
    <row r="436" spans="1:18" s="1055" customFormat="1" ht="17.25" customHeight="1">
      <c r="A436" s="1046"/>
      <c r="B436" s="1076"/>
      <c r="C436" s="1076"/>
      <c r="D436" s="1076"/>
      <c r="E436" s="1102"/>
      <c r="F436" s="1099"/>
      <c r="G436" s="1099"/>
      <c r="H436" s="1100"/>
      <c r="I436" s="1103" t="s">
        <v>472</v>
      </c>
      <c r="J436" s="1049" t="s">
        <v>4</v>
      </c>
      <c r="K436" s="1053"/>
      <c r="L436" s="1029"/>
      <c r="N436" s="1147"/>
      <c r="O436" s="1147"/>
    </row>
    <row r="437" spans="1:18" s="1055" customFormat="1" ht="42" customHeight="1">
      <c r="A437" s="1046">
        <v>46</v>
      </c>
      <c r="B437" s="2415" t="s">
        <v>1147</v>
      </c>
      <c r="C437" s="2416"/>
      <c r="D437" s="2416"/>
      <c r="E437" s="2416"/>
      <c r="F437" s="2416"/>
      <c r="G437" s="2416"/>
      <c r="H437" s="2416"/>
      <c r="I437" s="2417"/>
      <c r="J437" s="1076"/>
      <c r="K437" s="1031"/>
      <c r="L437" s="1029"/>
      <c r="N437" s="1147"/>
      <c r="O437" s="1147"/>
    </row>
    <row r="438" spans="1:18" s="1055" customFormat="1" ht="17.25" customHeight="1">
      <c r="A438" s="1046"/>
      <c r="B438" s="1076"/>
      <c r="C438" s="1076">
        <v>1</v>
      </c>
      <c r="D438" s="1076" t="s">
        <v>1472</v>
      </c>
      <c r="E438" s="1102">
        <v>1</v>
      </c>
      <c r="F438" s="1099"/>
      <c r="G438" s="1099"/>
      <c r="H438" s="1100"/>
      <c r="I438" s="1103">
        <v>1</v>
      </c>
      <c r="J438" s="1049">
        <f>'data-Elec '!H381</f>
        <v>5291.56</v>
      </c>
      <c r="K438" s="1053">
        <f>ROUND(J438*I438,0)</f>
        <v>5292</v>
      </c>
      <c r="L438" s="1029"/>
      <c r="N438" s="1147"/>
      <c r="O438" s="1147"/>
    </row>
    <row r="439" spans="1:18" s="1055" customFormat="1" ht="17.25" customHeight="1">
      <c r="A439" s="1046"/>
      <c r="B439" s="1076"/>
      <c r="C439" s="1076"/>
      <c r="D439" s="1076"/>
      <c r="E439" s="1102"/>
      <c r="F439" s="1099"/>
      <c r="G439" s="1099"/>
      <c r="H439" s="1100"/>
      <c r="I439" s="1103" t="s">
        <v>472</v>
      </c>
      <c r="J439" s="1049" t="s">
        <v>4</v>
      </c>
      <c r="K439" s="1053"/>
      <c r="L439" s="1029"/>
      <c r="N439" s="1147"/>
      <c r="O439" s="1147"/>
    </row>
    <row r="440" spans="1:18" s="1107" customFormat="1" ht="27.75" customHeight="1">
      <c r="A440" s="1104"/>
      <c r="B440" s="2411" t="s">
        <v>1163</v>
      </c>
      <c r="C440" s="2411"/>
      <c r="D440" s="2411"/>
      <c r="E440" s="2411"/>
      <c r="F440" s="2411"/>
      <c r="G440" s="2411"/>
      <c r="H440" s="2411"/>
      <c r="I440" s="1105"/>
      <c r="J440" s="1106"/>
      <c r="K440" s="1032"/>
      <c r="L440" s="1032"/>
      <c r="N440" s="1186"/>
      <c r="O440" s="1186"/>
    </row>
    <row r="441" spans="1:18" s="1107" customFormat="1" ht="48" customHeight="1">
      <c r="A441" s="1104">
        <v>47</v>
      </c>
      <c r="B441" s="2408" t="s">
        <v>211</v>
      </c>
      <c r="C441" s="2409"/>
      <c r="D441" s="2409"/>
      <c r="E441" s="2409"/>
      <c r="F441" s="2409"/>
      <c r="G441" s="2409"/>
      <c r="H441" s="2409"/>
      <c r="I441" s="2410"/>
      <c r="J441" s="1109"/>
      <c r="K441" s="1032"/>
      <c r="L441" s="1032"/>
      <c r="M441" s="1110"/>
      <c r="N441" s="1111"/>
      <c r="O441" s="1111"/>
      <c r="P441" s="1110"/>
      <c r="Q441" s="1111"/>
      <c r="R441" s="1110"/>
    </row>
    <row r="442" spans="1:18" s="1107" customFormat="1" ht="14.1">
      <c r="A442" s="1104"/>
      <c r="B442" s="1112"/>
      <c r="C442" s="1106">
        <v>1</v>
      </c>
      <c r="D442" s="1112" t="s">
        <v>1472</v>
      </c>
      <c r="E442" s="1106">
        <v>1</v>
      </c>
      <c r="F442" s="1113">
        <v>1</v>
      </c>
      <c r="G442" s="1113"/>
      <c r="H442" s="1113"/>
      <c r="I442" s="1113">
        <v>2</v>
      </c>
      <c r="J442" s="1114">
        <f>' DATA -Sanitary&amp;water supply'!$G$5</f>
        <v>2207</v>
      </c>
      <c r="K442" s="1115">
        <f>ROUND(J442*I442,0)</f>
        <v>4414</v>
      </c>
      <c r="L442" s="1032"/>
      <c r="M442" s="1110"/>
      <c r="N442" s="1111"/>
      <c r="O442" s="1111"/>
      <c r="P442" s="1110"/>
      <c r="Q442" s="1111"/>
      <c r="R442" s="1110"/>
    </row>
    <row r="443" spans="1:18" s="1107" customFormat="1" ht="14.1">
      <c r="A443" s="1104"/>
      <c r="B443" s="1112"/>
      <c r="C443" s="1112"/>
      <c r="D443" s="1112"/>
      <c r="E443" s="1106"/>
      <c r="F443" s="1105"/>
      <c r="G443" s="1105"/>
      <c r="H443" s="1105"/>
      <c r="I443" s="1105" t="s">
        <v>857</v>
      </c>
      <c r="J443" s="1114" t="s">
        <v>4</v>
      </c>
      <c r="K443" s="1115"/>
      <c r="L443" s="1032"/>
      <c r="M443" s="1110"/>
      <c r="N443" s="1111"/>
      <c r="O443" s="1111"/>
      <c r="P443" s="1110"/>
      <c r="Q443" s="1111"/>
      <c r="R443" s="1110"/>
    </row>
    <row r="444" spans="1:18" s="1107" customFormat="1" ht="30" customHeight="1">
      <c r="A444" s="1104">
        <v>48</v>
      </c>
      <c r="B444" s="2408" t="s">
        <v>2086</v>
      </c>
      <c r="C444" s="2409"/>
      <c r="D444" s="2409"/>
      <c r="E444" s="2409"/>
      <c r="F444" s="2409"/>
      <c r="G444" s="2409"/>
      <c r="H444" s="2409"/>
      <c r="I444" s="2410"/>
      <c r="J444" s="1109"/>
      <c r="K444" s="1032"/>
      <c r="L444" s="1032"/>
      <c r="M444" s="1110"/>
      <c r="N444" s="1111"/>
      <c r="O444" s="1111"/>
      <c r="P444" s="1110"/>
      <c r="Q444" s="1111"/>
      <c r="R444" s="1110"/>
    </row>
    <row r="445" spans="1:18" s="1107" customFormat="1" ht="14.1">
      <c r="A445" s="1104"/>
      <c r="B445" s="1112" t="s">
        <v>2056</v>
      </c>
      <c r="C445" s="1106">
        <v>1</v>
      </c>
      <c r="D445" s="1112" t="s">
        <v>1472</v>
      </c>
      <c r="E445" s="1106">
        <v>2</v>
      </c>
      <c r="F445" s="1113">
        <v>6</v>
      </c>
      <c r="G445" s="1113"/>
      <c r="H445" s="1113"/>
      <c r="I445" s="1113">
        <f>F445*E445</f>
        <v>12</v>
      </c>
      <c r="J445" s="1114">
        <v>400</v>
      </c>
      <c r="K445" s="1115">
        <f>ROUND(J445*I445,0)</f>
        <v>4800</v>
      </c>
      <c r="L445" s="1032"/>
      <c r="M445" s="1110"/>
      <c r="N445" s="1111"/>
      <c r="O445" s="1111"/>
      <c r="P445" s="1110"/>
      <c r="Q445" s="1111"/>
      <c r="R445" s="1110"/>
    </row>
    <row r="446" spans="1:18" s="1107" customFormat="1" ht="14.1">
      <c r="A446" s="1104"/>
      <c r="B446" s="1112"/>
      <c r="C446" s="1112"/>
      <c r="D446" s="1112"/>
      <c r="E446" s="1106"/>
      <c r="F446" s="1105"/>
      <c r="G446" s="1105"/>
      <c r="H446" s="1105"/>
      <c r="I446" s="1105" t="s">
        <v>857</v>
      </c>
      <c r="J446" s="1114" t="s">
        <v>4</v>
      </c>
      <c r="K446" s="1115"/>
      <c r="L446" s="1032"/>
      <c r="M446" s="1110"/>
      <c r="N446" s="1111"/>
      <c r="O446" s="1111"/>
      <c r="P446" s="1110"/>
      <c r="Q446" s="1111"/>
      <c r="R446" s="1110"/>
    </row>
    <row r="447" spans="1:18" s="1107" customFormat="1" ht="34.5" customHeight="1">
      <c r="A447" s="1104">
        <v>49</v>
      </c>
      <c r="B447" s="2408" t="s">
        <v>2087</v>
      </c>
      <c r="C447" s="2409"/>
      <c r="D447" s="2409"/>
      <c r="E447" s="2409"/>
      <c r="F447" s="2409"/>
      <c r="G447" s="2409"/>
      <c r="H447" s="2409"/>
      <c r="I447" s="2410"/>
      <c r="J447" s="1109"/>
      <c r="K447" s="1032"/>
      <c r="L447" s="1032"/>
      <c r="M447" s="1110"/>
      <c r="N447" s="1111"/>
      <c r="O447" s="1111"/>
      <c r="P447" s="1110"/>
      <c r="Q447" s="1111"/>
      <c r="R447" s="1110"/>
    </row>
    <row r="448" spans="1:18" s="1107" customFormat="1" ht="27.6">
      <c r="A448" s="1104"/>
      <c r="B448" s="1112" t="s">
        <v>2088</v>
      </c>
      <c r="C448" s="1106">
        <v>1</v>
      </c>
      <c r="D448" s="1112" t="s">
        <v>1472</v>
      </c>
      <c r="E448" s="1106">
        <v>2</v>
      </c>
      <c r="F448" s="1113">
        <v>1</v>
      </c>
      <c r="G448" s="1113"/>
      <c r="H448" s="1113"/>
      <c r="I448" s="1113">
        <f>F448*E448</f>
        <v>2</v>
      </c>
      <c r="J448" s="1114">
        <v>732</v>
      </c>
      <c r="K448" s="1115">
        <f>ROUND(J448*I448,0)</f>
        <v>1464</v>
      </c>
      <c r="L448" s="1032"/>
      <c r="M448" s="1110"/>
      <c r="N448" s="1111"/>
      <c r="O448" s="1111"/>
      <c r="P448" s="1110"/>
      <c r="Q448" s="1111"/>
      <c r="R448" s="1110"/>
    </row>
    <row r="449" spans="1:18" s="1107" customFormat="1" ht="14.1">
      <c r="A449" s="1104"/>
      <c r="B449" s="1112"/>
      <c r="C449" s="1112"/>
      <c r="D449" s="1112"/>
      <c r="E449" s="1106"/>
      <c r="F449" s="1105"/>
      <c r="G449" s="1105"/>
      <c r="H449" s="1105"/>
      <c r="I449" s="1105" t="s">
        <v>857</v>
      </c>
      <c r="J449" s="1114" t="s">
        <v>4</v>
      </c>
      <c r="K449" s="1115"/>
      <c r="L449" s="1032"/>
      <c r="M449" s="1110"/>
      <c r="N449" s="1111"/>
      <c r="O449" s="1111"/>
      <c r="P449" s="1110"/>
      <c r="Q449" s="1111"/>
      <c r="R449" s="1110"/>
    </row>
    <row r="450" spans="1:18" s="1107" customFormat="1" ht="22.5" customHeight="1">
      <c r="A450" s="1104">
        <v>50</v>
      </c>
      <c r="B450" s="2408" t="s">
        <v>2037</v>
      </c>
      <c r="C450" s="2409"/>
      <c r="D450" s="2409"/>
      <c r="E450" s="2409"/>
      <c r="F450" s="2409"/>
      <c r="G450" s="2409"/>
      <c r="H450" s="2409"/>
      <c r="I450" s="1105"/>
      <c r="J450" s="1106"/>
      <c r="K450" s="1033"/>
      <c r="L450" s="1032"/>
      <c r="M450" s="1110"/>
      <c r="N450" s="1111"/>
      <c r="O450" s="1111"/>
      <c r="P450" s="1111"/>
      <c r="Q450" s="1111"/>
      <c r="R450" s="1110"/>
    </row>
    <row r="451" spans="1:18" s="1107" customFormat="1" ht="14.1">
      <c r="A451" s="1104"/>
      <c r="B451" s="1116" t="s">
        <v>2038</v>
      </c>
      <c r="C451" s="1117"/>
      <c r="D451" s="1117"/>
      <c r="E451" s="1117"/>
      <c r="F451" s="1117"/>
      <c r="G451" s="1117"/>
      <c r="H451" s="1117"/>
      <c r="I451" s="1105">
        <v>6</v>
      </c>
      <c r="J451" s="1114">
        <f>' DATA -Sanitary&amp;water supply'!$G$160</f>
        <v>178</v>
      </c>
      <c r="K451" s="1115">
        <f>ROUND(J451*I451,0)</f>
        <v>1068</v>
      </c>
      <c r="L451" s="1032"/>
      <c r="M451" s="1110"/>
      <c r="N451" s="1111"/>
      <c r="O451" s="1111"/>
      <c r="P451" s="1111"/>
      <c r="Q451" s="1111"/>
      <c r="R451" s="1110"/>
    </row>
    <row r="452" spans="1:18" s="1107" customFormat="1" ht="14.1">
      <c r="A452" s="1104"/>
      <c r="B452" s="1117"/>
      <c r="C452" s="1117"/>
      <c r="D452" s="1117"/>
      <c r="E452" s="1117"/>
      <c r="F452" s="1117"/>
      <c r="G452" s="1117"/>
      <c r="H452" s="1117"/>
      <c r="I452" s="1105" t="s">
        <v>452</v>
      </c>
      <c r="J452" s="1114" t="s">
        <v>453</v>
      </c>
      <c r="K452" s="1115"/>
      <c r="L452" s="1032"/>
      <c r="M452" s="1110"/>
      <c r="N452" s="1111"/>
      <c r="O452" s="1111"/>
      <c r="P452" s="1111"/>
      <c r="Q452" s="1111"/>
      <c r="R452" s="1110"/>
    </row>
    <row r="453" spans="1:18" s="1107" customFormat="1" ht="14.1">
      <c r="A453" s="1104">
        <v>51</v>
      </c>
      <c r="B453" s="1116" t="s">
        <v>2039</v>
      </c>
      <c r="C453" s="1117"/>
      <c r="D453" s="1117"/>
      <c r="E453" s="1117"/>
      <c r="F453" s="1117"/>
      <c r="G453" s="1117"/>
      <c r="H453" s="1117"/>
      <c r="I453" s="1105">
        <v>6</v>
      </c>
      <c r="J453" s="1114">
        <f>' DATA -Sanitary&amp;water supply'!$G$156</f>
        <v>155</v>
      </c>
      <c r="K453" s="1115">
        <f>ROUND(J453*I453,0)</f>
        <v>930</v>
      </c>
      <c r="L453" s="1032"/>
      <c r="M453" s="1110"/>
      <c r="N453" s="1111"/>
      <c r="O453" s="1111"/>
      <c r="P453" s="1111"/>
      <c r="Q453" s="1111"/>
      <c r="R453" s="1110"/>
    </row>
    <row r="454" spans="1:18" s="1107" customFormat="1" ht="14.1">
      <c r="A454" s="1104"/>
      <c r="B454" s="1117"/>
      <c r="C454" s="1117"/>
      <c r="D454" s="1117"/>
      <c r="E454" s="1117"/>
      <c r="F454" s="1117"/>
      <c r="G454" s="1117"/>
      <c r="H454" s="1117"/>
      <c r="I454" s="1105" t="s">
        <v>452</v>
      </c>
      <c r="J454" s="1114" t="s">
        <v>453</v>
      </c>
      <c r="K454" s="1115"/>
      <c r="L454" s="1032"/>
      <c r="M454" s="1110"/>
      <c r="N454" s="1111"/>
      <c r="O454" s="1111"/>
      <c r="P454" s="1111"/>
      <c r="Q454" s="1111"/>
      <c r="R454" s="1110"/>
    </row>
    <row r="455" spans="1:18" s="1107" customFormat="1" ht="30.75" customHeight="1">
      <c r="A455" s="1104">
        <v>52</v>
      </c>
      <c r="B455" s="2412" t="s">
        <v>2245</v>
      </c>
      <c r="C455" s="2413"/>
      <c r="D455" s="2413"/>
      <c r="E455" s="2413"/>
      <c r="F455" s="2413"/>
      <c r="G455" s="2413"/>
      <c r="H455" s="2414"/>
      <c r="I455" s="1106"/>
      <c r="J455" s="1109"/>
      <c r="K455" s="1033"/>
      <c r="L455" s="1032"/>
      <c r="M455" s="1110"/>
      <c r="N455" s="1111"/>
      <c r="O455" s="1111"/>
      <c r="P455" s="1110"/>
      <c r="Q455" s="1111"/>
      <c r="R455" s="1110"/>
    </row>
    <row r="456" spans="1:18" s="1107" customFormat="1" ht="14.1">
      <c r="A456" s="1104"/>
      <c r="B456" s="1117"/>
      <c r="C456" s="1117"/>
      <c r="D456" s="1117"/>
      <c r="E456" s="1117"/>
      <c r="F456" s="1117"/>
      <c r="G456" s="1117"/>
      <c r="H456" s="1117"/>
      <c r="I456" s="1105">
        <v>6</v>
      </c>
      <c r="J456" s="1114">
        <f>' DATA -Sanitary&amp;water supply'!$G$39</f>
        <v>204.33</v>
      </c>
      <c r="K456" s="1115">
        <f>ROUND(J456*I456,0)</f>
        <v>1226</v>
      </c>
      <c r="L456" s="1032"/>
      <c r="M456" s="1110"/>
      <c r="N456" s="1111"/>
      <c r="O456" s="1111"/>
      <c r="P456" s="1110"/>
      <c r="Q456" s="1111"/>
      <c r="R456" s="1110"/>
    </row>
    <row r="457" spans="1:18" s="1107" customFormat="1" ht="14.1">
      <c r="A457" s="1104"/>
      <c r="B457" s="1117"/>
      <c r="C457" s="1117"/>
      <c r="D457" s="1117"/>
      <c r="E457" s="1117"/>
      <c r="F457" s="1117"/>
      <c r="G457" s="1117"/>
      <c r="H457" s="1117"/>
      <c r="I457" s="1105" t="s">
        <v>452</v>
      </c>
      <c r="J457" s="1106" t="s">
        <v>453</v>
      </c>
      <c r="K457" s="1033"/>
      <c r="L457" s="1032"/>
      <c r="M457" s="1110"/>
      <c r="N457" s="1111"/>
      <c r="O457" s="1111"/>
      <c r="P457" s="1111"/>
      <c r="Q457" s="1111"/>
      <c r="R457" s="1110"/>
    </row>
    <row r="458" spans="1:18" s="1107" customFormat="1" ht="31.5" customHeight="1">
      <c r="A458" s="1104">
        <v>53</v>
      </c>
      <c r="B458" s="2412" t="s">
        <v>207</v>
      </c>
      <c r="C458" s="2413"/>
      <c r="D458" s="2413"/>
      <c r="E458" s="2413"/>
      <c r="F458" s="2413"/>
      <c r="G458" s="2413"/>
      <c r="H458" s="2414"/>
      <c r="I458" s="1105"/>
      <c r="J458" s="1109"/>
      <c r="K458" s="1033"/>
      <c r="L458" s="1032"/>
      <c r="M458" s="1110"/>
      <c r="N458" s="1111"/>
      <c r="O458" s="1111"/>
      <c r="P458" s="1110"/>
      <c r="Q458" s="1111"/>
      <c r="R458" s="1110"/>
    </row>
    <row r="459" spans="1:18" s="1107" customFormat="1" ht="14.1">
      <c r="A459" s="1104"/>
      <c r="B459" s="2407"/>
      <c r="C459" s="2407"/>
      <c r="D459" s="2407"/>
      <c r="E459" s="2407"/>
      <c r="F459" s="2407"/>
      <c r="G459" s="2407"/>
      <c r="H459" s="2407"/>
      <c r="I459" s="1105">
        <v>6</v>
      </c>
      <c r="J459" s="1114">
        <f>' DATA -Sanitary&amp;water supply'!$G$33</f>
        <v>293.67</v>
      </c>
      <c r="K459" s="1115">
        <f>ROUND(J459*I459,0)</f>
        <v>1762</v>
      </c>
      <c r="L459" s="1032"/>
      <c r="M459" s="1110"/>
      <c r="N459" s="1111"/>
      <c r="O459" s="1111"/>
      <c r="P459" s="1110"/>
      <c r="Q459" s="1111"/>
      <c r="R459" s="1110"/>
    </row>
    <row r="460" spans="1:18" s="1107" customFormat="1" ht="14.1">
      <c r="A460" s="1104"/>
      <c r="B460" s="1117"/>
      <c r="C460" s="1117"/>
      <c r="D460" s="1117"/>
      <c r="E460" s="1117"/>
      <c r="F460" s="1117"/>
      <c r="G460" s="1117"/>
      <c r="H460" s="1117"/>
      <c r="I460" s="1105" t="s">
        <v>452</v>
      </c>
      <c r="J460" s="1106" t="s">
        <v>453</v>
      </c>
      <c r="K460" s="1033"/>
      <c r="L460" s="1032"/>
      <c r="M460" s="1110"/>
      <c r="N460" s="1111"/>
      <c r="O460" s="1111"/>
      <c r="P460" s="1111"/>
      <c r="Q460" s="1111"/>
      <c r="R460" s="1110"/>
    </row>
    <row r="461" spans="1:18" s="1107" customFormat="1" ht="72.75" customHeight="1">
      <c r="A461" s="1104">
        <v>54</v>
      </c>
      <c r="B461" s="2412" t="s">
        <v>1252</v>
      </c>
      <c r="C461" s="2413"/>
      <c r="D461" s="2413"/>
      <c r="E461" s="2413"/>
      <c r="F461" s="2413"/>
      <c r="G461" s="2413"/>
      <c r="H461" s="2414"/>
      <c r="I461" s="1105"/>
      <c r="J461" s="1109"/>
      <c r="K461" s="1033"/>
      <c r="L461" s="1032"/>
      <c r="M461" s="1110"/>
      <c r="N461" s="1111"/>
      <c r="O461" s="1111"/>
      <c r="P461" s="1110"/>
      <c r="Q461" s="1111"/>
      <c r="R461" s="1110"/>
    </row>
    <row r="462" spans="1:18" s="1107" customFormat="1" ht="14.1">
      <c r="A462" s="1104"/>
      <c r="B462" s="2407"/>
      <c r="C462" s="2407"/>
      <c r="D462" s="2407"/>
      <c r="E462" s="2407"/>
      <c r="F462" s="2407"/>
      <c r="G462" s="2407"/>
      <c r="H462" s="2407"/>
      <c r="I462" s="1105">
        <v>2</v>
      </c>
      <c r="J462" s="1114">
        <f>' DATA -Sanitary&amp;water supply'!$G$26</f>
        <v>171</v>
      </c>
      <c r="K462" s="1115">
        <f>ROUND(J462*I462,0)</f>
        <v>342</v>
      </c>
      <c r="L462" s="1032"/>
      <c r="M462" s="1110"/>
      <c r="N462" s="1111"/>
      <c r="O462" s="1111"/>
      <c r="P462" s="1110"/>
      <c r="Q462" s="1111"/>
      <c r="R462" s="1110"/>
    </row>
    <row r="463" spans="1:18" s="1107" customFormat="1" ht="14.1">
      <c r="A463" s="1104"/>
      <c r="B463" s="1117"/>
      <c r="C463" s="1117"/>
      <c r="D463" s="1117"/>
      <c r="E463" s="1117"/>
      <c r="F463" s="1117"/>
      <c r="G463" s="1117"/>
      <c r="H463" s="1117"/>
      <c r="I463" s="1105" t="s">
        <v>472</v>
      </c>
      <c r="J463" s="1106" t="s">
        <v>4</v>
      </c>
      <c r="K463" s="1033"/>
      <c r="L463" s="1032"/>
      <c r="M463" s="1110"/>
      <c r="N463" s="1111"/>
      <c r="O463" s="1111"/>
      <c r="P463" s="1111"/>
      <c r="Q463" s="1111"/>
      <c r="R463" s="1110"/>
    </row>
    <row r="464" spans="1:18" s="1107" customFormat="1" ht="81.75" customHeight="1">
      <c r="A464" s="1104">
        <v>55</v>
      </c>
      <c r="B464" s="2412" t="s">
        <v>1031</v>
      </c>
      <c r="C464" s="2413"/>
      <c r="D464" s="2413"/>
      <c r="E464" s="2413"/>
      <c r="F464" s="2413"/>
      <c r="G464" s="2413"/>
      <c r="H464" s="2414"/>
      <c r="I464" s="1105"/>
      <c r="J464" s="1106"/>
      <c r="K464" s="1033"/>
      <c r="L464" s="1032"/>
      <c r="M464" s="1110"/>
      <c r="N464" s="1111"/>
      <c r="O464" s="1111"/>
      <c r="P464" s="1110"/>
      <c r="Q464" s="1111"/>
      <c r="R464" s="1110"/>
    </row>
    <row r="465" spans="1:18" s="1107" customFormat="1" ht="14.1">
      <c r="A465" s="1104"/>
      <c r="B465" s="2407"/>
      <c r="C465" s="2407"/>
      <c r="D465" s="2407"/>
      <c r="E465" s="2407"/>
      <c r="F465" s="2407"/>
      <c r="G465" s="2407"/>
      <c r="H465" s="2407"/>
      <c r="I465" s="1105">
        <v>2</v>
      </c>
      <c r="J465" s="1114">
        <f>' DATA -Sanitary&amp;water supply'!$G$140</f>
        <v>84</v>
      </c>
      <c r="K465" s="1115">
        <f>ROUND(J465*I465,0)</f>
        <v>168</v>
      </c>
      <c r="L465" s="1032"/>
      <c r="M465" s="1110"/>
      <c r="N465" s="1111"/>
      <c r="O465" s="1111"/>
      <c r="P465" s="1110"/>
      <c r="Q465" s="1111"/>
      <c r="R465" s="1110"/>
    </row>
    <row r="466" spans="1:18" s="1107" customFormat="1" ht="14.1">
      <c r="A466" s="1104"/>
      <c r="B466" s="1117"/>
      <c r="C466" s="1117"/>
      <c r="D466" s="1117"/>
      <c r="E466" s="1117"/>
      <c r="F466" s="1117"/>
      <c r="G466" s="1117"/>
      <c r="H466" s="1117"/>
      <c r="I466" s="1105" t="s">
        <v>472</v>
      </c>
      <c r="J466" s="1106" t="s">
        <v>4</v>
      </c>
      <c r="K466" s="1033"/>
      <c r="L466" s="1032"/>
      <c r="M466" s="1110"/>
      <c r="N466" s="1111"/>
      <c r="O466" s="1111"/>
      <c r="P466" s="1111"/>
      <c r="Q466" s="1111"/>
      <c r="R466" s="1110"/>
    </row>
    <row r="467" spans="1:18" s="1107" customFormat="1" ht="81" customHeight="1">
      <c r="A467" s="1104">
        <v>56</v>
      </c>
      <c r="B467" s="2412" t="s">
        <v>447</v>
      </c>
      <c r="C467" s="2418"/>
      <c r="D467" s="2418"/>
      <c r="E467" s="2418"/>
      <c r="F467" s="2418"/>
      <c r="G467" s="2418"/>
      <c r="H467" s="2419"/>
      <c r="I467" s="1105"/>
      <c r="J467" s="1106"/>
      <c r="K467" s="1033"/>
      <c r="L467" s="1032"/>
      <c r="M467" s="1110"/>
      <c r="N467" s="1111"/>
      <c r="O467" s="1111"/>
      <c r="P467" s="1110"/>
      <c r="Q467" s="1111"/>
      <c r="R467" s="1110"/>
    </row>
    <row r="468" spans="1:18" s="1107" customFormat="1" ht="27.75" customHeight="1">
      <c r="A468" s="1104"/>
      <c r="B468" s="2407"/>
      <c r="C468" s="2407"/>
      <c r="D468" s="2407"/>
      <c r="E468" s="2407"/>
      <c r="F468" s="2407"/>
      <c r="G468" s="2407"/>
      <c r="H468" s="2407"/>
      <c r="I468" s="1105">
        <v>4</v>
      </c>
      <c r="J468" s="1114">
        <f>' DATA -Sanitary&amp;water supply'!$G$144</f>
        <v>47</v>
      </c>
      <c r="K468" s="1115">
        <f>ROUND(J468*I468,0)</f>
        <v>188</v>
      </c>
      <c r="L468" s="1032"/>
      <c r="M468" s="1110"/>
      <c r="N468" s="1111"/>
      <c r="O468" s="1111"/>
      <c r="P468" s="1110"/>
      <c r="Q468" s="1111"/>
      <c r="R468" s="1110"/>
    </row>
    <row r="469" spans="1:18" s="1107" customFormat="1" ht="14.1">
      <c r="A469" s="1104"/>
      <c r="B469" s="1117"/>
      <c r="C469" s="1117"/>
      <c r="D469" s="1117"/>
      <c r="E469" s="1117"/>
      <c r="F469" s="1117"/>
      <c r="G469" s="1117"/>
      <c r="H469" s="1117"/>
      <c r="I469" s="1105" t="s">
        <v>472</v>
      </c>
      <c r="J469" s="1106" t="s">
        <v>4</v>
      </c>
      <c r="K469" s="1033"/>
      <c r="L469" s="1032"/>
      <c r="M469" s="1110"/>
      <c r="N469" s="1111"/>
      <c r="O469" s="1111"/>
      <c r="P469" s="1111"/>
      <c r="Q469" s="1111"/>
      <c r="R469" s="1110"/>
    </row>
    <row r="470" spans="1:18" s="1107" customFormat="1" ht="35.25" customHeight="1">
      <c r="A470" s="1104">
        <v>57</v>
      </c>
      <c r="B470" s="2412" t="s">
        <v>448</v>
      </c>
      <c r="C470" s="2418"/>
      <c r="D470" s="2418"/>
      <c r="E470" s="2418"/>
      <c r="F470" s="2418"/>
      <c r="G470" s="2418"/>
      <c r="H470" s="2419"/>
      <c r="I470" s="1113"/>
      <c r="J470" s="1109"/>
      <c r="K470" s="1033"/>
      <c r="L470" s="1032"/>
      <c r="M470" s="1110"/>
      <c r="N470" s="1111"/>
      <c r="O470" s="1111"/>
      <c r="P470" s="1110"/>
      <c r="Q470" s="1111"/>
      <c r="R470" s="1110"/>
    </row>
    <row r="471" spans="1:18" s="1107" customFormat="1" ht="14.1">
      <c r="A471" s="1104"/>
      <c r="B471" s="2407"/>
      <c r="C471" s="2407"/>
      <c r="D471" s="2407"/>
      <c r="E471" s="2407"/>
      <c r="F471" s="2407"/>
      <c r="G471" s="2407"/>
      <c r="H471" s="2407"/>
      <c r="I471" s="1105">
        <v>2</v>
      </c>
      <c r="J471" s="1114">
        <f>' DATA -Sanitary&amp;water supply'!$G$148</f>
        <v>23</v>
      </c>
      <c r="K471" s="1115">
        <f>ROUND(J471*I471,0)</f>
        <v>46</v>
      </c>
      <c r="L471" s="1032"/>
      <c r="M471" s="1110"/>
      <c r="N471" s="1111"/>
      <c r="O471" s="1111"/>
      <c r="P471" s="1110"/>
      <c r="Q471" s="1111"/>
      <c r="R471" s="1110"/>
    </row>
    <row r="472" spans="1:18" s="1107" customFormat="1" ht="14.1">
      <c r="A472" s="1104"/>
      <c r="B472" s="1117"/>
      <c r="C472" s="1117"/>
      <c r="D472" s="1117"/>
      <c r="E472" s="1117"/>
      <c r="F472" s="1117"/>
      <c r="G472" s="1117"/>
      <c r="H472" s="1117"/>
      <c r="I472" s="1105" t="s">
        <v>472</v>
      </c>
      <c r="J472" s="1106" t="s">
        <v>4</v>
      </c>
      <c r="K472" s="1033"/>
      <c r="L472" s="1032"/>
      <c r="M472" s="1110"/>
      <c r="N472" s="1111"/>
      <c r="O472" s="1111"/>
      <c r="P472" s="1111"/>
      <c r="Q472" s="1111"/>
      <c r="R472" s="1110"/>
    </row>
    <row r="473" spans="1:18" s="1107" customFormat="1" ht="109.5" customHeight="1">
      <c r="A473" s="1104">
        <v>58</v>
      </c>
      <c r="B473" s="2412" t="s">
        <v>1441</v>
      </c>
      <c r="C473" s="2418"/>
      <c r="D473" s="2418"/>
      <c r="E473" s="2418"/>
      <c r="F473" s="2418"/>
      <c r="G473" s="2418"/>
      <c r="H473" s="2419"/>
      <c r="I473" s="1105"/>
      <c r="J473" s="1109"/>
      <c r="K473" s="1033"/>
      <c r="L473" s="1032"/>
      <c r="M473" s="1110"/>
      <c r="N473" s="1111"/>
      <c r="O473" s="1111"/>
      <c r="P473" s="1110"/>
      <c r="Q473" s="1111"/>
      <c r="R473" s="1110"/>
    </row>
    <row r="474" spans="1:18" s="1107" customFormat="1" ht="14.1">
      <c r="A474" s="1104"/>
      <c r="B474" s="2407"/>
      <c r="C474" s="2407"/>
      <c r="D474" s="2407"/>
      <c r="E474" s="2407"/>
      <c r="F474" s="2407"/>
      <c r="G474" s="2407"/>
      <c r="H474" s="2407"/>
      <c r="I474" s="1105">
        <v>2</v>
      </c>
      <c r="J474" s="1114">
        <f>' DATA -Sanitary&amp;water supply'!G83</f>
        <v>4610</v>
      </c>
      <c r="K474" s="1115">
        <f>ROUND(J474*I474,0)</f>
        <v>9220</v>
      </c>
      <c r="L474" s="1032"/>
      <c r="M474" s="1110"/>
      <c r="N474" s="1111"/>
      <c r="O474" s="1111"/>
      <c r="P474" s="1110"/>
      <c r="Q474" s="1111"/>
      <c r="R474" s="1110"/>
    </row>
    <row r="475" spans="1:18" s="1107" customFormat="1" ht="14.1">
      <c r="A475" s="1104"/>
      <c r="B475" s="1117"/>
      <c r="C475" s="1117"/>
      <c r="D475" s="1117"/>
      <c r="E475" s="1117"/>
      <c r="F475" s="1117"/>
      <c r="G475" s="1117"/>
      <c r="H475" s="1117"/>
      <c r="I475" s="1105" t="s">
        <v>472</v>
      </c>
      <c r="J475" s="1106" t="s">
        <v>4</v>
      </c>
      <c r="K475" s="1033"/>
      <c r="L475" s="1032"/>
      <c r="M475" s="1110"/>
      <c r="N475" s="1111"/>
      <c r="O475" s="1111"/>
      <c r="P475" s="1111"/>
      <c r="Q475" s="1111"/>
      <c r="R475" s="1110"/>
    </row>
    <row r="476" spans="1:18" s="1107" customFormat="1" ht="14.1">
      <c r="A476" s="1104"/>
      <c r="B476" s="1118"/>
      <c r="C476" s="1119"/>
      <c r="D476" s="1119"/>
      <c r="E476" s="1119"/>
      <c r="F476" s="1119"/>
      <c r="G476" s="1119"/>
      <c r="H476" s="1120"/>
      <c r="I476" s="1105"/>
      <c r="J476" s="1106" t="s">
        <v>4</v>
      </c>
      <c r="K476" s="1115"/>
      <c r="L476" s="1032"/>
      <c r="M476" s="1110"/>
      <c r="N476" s="1111"/>
      <c r="O476" s="1111"/>
      <c r="P476" s="1110"/>
      <c r="Q476" s="1111"/>
      <c r="R476" s="1110"/>
    </row>
    <row r="477" spans="1:18" s="1107" customFormat="1" ht="84" customHeight="1">
      <c r="A477" s="1104">
        <v>59</v>
      </c>
      <c r="B477" s="2412" t="s">
        <v>2040</v>
      </c>
      <c r="C477" s="2418"/>
      <c r="D477" s="2418"/>
      <c r="E477" s="2418"/>
      <c r="F477" s="2418"/>
      <c r="G477" s="2418"/>
      <c r="H477" s="2419"/>
      <c r="I477" s="1105"/>
      <c r="J477" s="1106"/>
      <c r="K477" s="1033"/>
      <c r="L477" s="1032"/>
      <c r="M477" s="1110"/>
      <c r="N477" s="1111"/>
      <c r="O477" s="1111"/>
      <c r="P477" s="1110"/>
      <c r="Q477" s="1111"/>
      <c r="R477" s="1110"/>
    </row>
    <row r="478" spans="1:18" s="1107" customFormat="1" ht="14.1">
      <c r="A478" s="1104"/>
      <c r="B478" s="2407"/>
      <c r="C478" s="2407"/>
      <c r="D478" s="2407"/>
      <c r="E478" s="2407"/>
      <c r="F478" s="2407"/>
      <c r="G478" s="2407"/>
      <c r="H478" s="2407"/>
      <c r="I478" s="1105">
        <v>1000</v>
      </c>
      <c r="J478" s="1114">
        <f>' DATA -Sanitary&amp;water supply'!G124</f>
        <v>10</v>
      </c>
      <c r="K478" s="1115">
        <f>ROUND(J478*I478,0)</f>
        <v>10000</v>
      </c>
      <c r="L478" s="1032"/>
      <c r="M478" s="1110"/>
      <c r="N478" s="1111"/>
      <c r="O478" s="1111"/>
      <c r="P478" s="1110"/>
      <c r="Q478" s="1111"/>
      <c r="R478" s="1110"/>
    </row>
    <row r="479" spans="1:18" s="1107" customFormat="1" ht="14.1">
      <c r="A479" s="1104"/>
      <c r="B479" s="1117"/>
      <c r="C479" s="1117"/>
      <c r="D479" s="1117"/>
      <c r="E479" s="1117"/>
      <c r="F479" s="1117"/>
      <c r="G479" s="1117"/>
      <c r="H479" s="1117"/>
      <c r="I479" s="1105" t="s">
        <v>1426</v>
      </c>
      <c r="J479" s="1106" t="s">
        <v>883</v>
      </c>
      <c r="K479" s="1115"/>
      <c r="L479" s="1032"/>
      <c r="M479" s="1110"/>
      <c r="N479" s="1111"/>
      <c r="O479" s="1111"/>
      <c r="P479" s="1111"/>
      <c r="Q479" s="1111"/>
      <c r="R479" s="1110"/>
    </row>
    <row r="480" spans="1:18" s="1107" customFormat="1" ht="94.5" customHeight="1">
      <c r="A480" s="1104">
        <v>60</v>
      </c>
      <c r="B480" s="2412" t="s">
        <v>1353</v>
      </c>
      <c r="C480" s="2418"/>
      <c r="D480" s="2418"/>
      <c r="E480" s="2418"/>
      <c r="F480" s="2418"/>
      <c r="G480" s="2418"/>
      <c r="H480" s="2419"/>
      <c r="I480" s="1105"/>
      <c r="J480" s="1109"/>
      <c r="K480" s="1033"/>
      <c r="L480" s="1032"/>
      <c r="M480" s="1110"/>
      <c r="N480" s="1111"/>
      <c r="O480" s="1111"/>
      <c r="P480" s="1110"/>
      <c r="Q480" s="1111"/>
      <c r="R480" s="1110"/>
    </row>
    <row r="481" spans="1:18" s="1107" customFormat="1" ht="14.1">
      <c r="A481" s="1104"/>
      <c r="B481" s="2420"/>
      <c r="C481" s="2421"/>
      <c r="D481" s="2421"/>
      <c r="E481" s="2421"/>
      <c r="F481" s="2421"/>
      <c r="G481" s="2421"/>
      <c r="H481" s="2422"/>
      <c r="I481" s="1105">
        <v>6</v>
      </c>
      <c r="J481" s="1114">
        <f>' DATA -Sanitary&amp;water supply'!G117</f>
        <v>531</v>
      </c>
      <c r="K481" s="1115">
        <f>ROUND(J481*I481,0)</f>
        <v>3186</v>
      </c>
      <c r="L481" s="1032"/>
      <c r="M481" s="1110"/>
      <c r="N481" s="1111"/>
      <c r="O481" s="1111"/>
      <c r="P481" s="1110"/>
      <c r="Q481" s="1111"/>
      <c r="R481" s="1110"/>
    </row>
    <row r="482" spans="1:18" s="1107" customFormat="1" ht="14.1">
      <c r="A482" s="1104"/>
      <c r="B482" s="1108"/>
      <c r="C482" s="1121"/>
      <c r="D482" s="1121"/>
      <c r="E482" s="1121"/>
      <c r="F482" s="1121"/>
      <c r="G482" s="1121"/>
      <c r="H482" s="1122"/>
      <c r="I482" s="1105" t="s">
        <v>6</v>
      </c>
      <c r="J482" s="1106" t="s">
        <v>453</v>
      </c>
      <c r="K482" s="1115"/>
      <c r="L482" s="1032"/>
      <c r="M482" s="1110"/>
      <c r="N482" s="1111"/>
      <c r="O482" s="1111"/>
      <c r="P482" s="1110"/>
      <c r="Q482" s="1111"/>
      <c r="R482" s="1110"/>
    </row>
    <row r="483" spans="1:18" s="1107" customFormat="1" ht="114.75" customHeight="1">
      <c r="A483" s="1104">
        <v>61</v>
      </c>
      <c r="B483" s="2412" t="s">
        <v>1922</v>
      </c>
      <c r="C483" s="2418"/>
      <c r="D483" s="2418"/>
      <c r="E483" s="2418"/>
      <c r="F483" s="2418"/>
      <c r="G483" s="2418"/>
      <c r="H483" s="2419"/>
      <c r="I483" s="1105"/>
      <c r="J483" s="1109"/>
      <c r="K483" s="1033"/>
      <c r="L483" s="1032"/>
      <c r="M483" s="1110"/>
      <c r="N483" s="1111"/>
      <c r="O483" s="1111"/>
      <c r="P483" s="1110"/>
      <c r="Q483" s="1111"/>
      <c r="R483" s="1110"/>
    </row>
    <row r="484" spans="1:18" s="1107" customFormat="1" ht="14.1">
      <c r="A484" s="1104"/>
      <c r="B484" s="2420"/>
      <c r="C484" s="2421"/>
      <c r="D484" s="2421"/>
      <c r="E484" s="2421"/>
      <c r="F484" s="2421"/>
      <c r="G484" s="2421"/>
      <c r="H484" s="2422"/>
      <c r="I484" s="1105">
        <v>2</v>
      </c>
      <c r="J484" s="1114">
        <f>' DATA -Sanitary&amp;water supply'!G152</f>
        <v>2045</v>
      </c>
      <c r="K484" s="1115">
        <f>ROUND(J484*I484,0)</f>
        <v>4090</v>
      </c>
      <c r="L484" s="1032"/>
      <c r="M484" s="1110"/>
      <c r="N484" s="1111"/>
      <c r="O484" s="1111"/>
      <c r="P484" s="1110"/>
      <c r="Q484" s="1111"/>
      <c r="R484" s="1110"/>
    </row>
    <row r="485" spans="1:18" s="1107" customFormat="1" ht="14.1">
      <c r="A485" s="1104"/>
      <c r="B485" s="1108"/>
      <c r="C485" s="1121"/>
      <c r="D485" s="1121"/>
      <c r="E485" s="1121"/>
      <c r="F485" s="1121"/>
      <c r="G485" s="1121"/>
      <c r="H485" s="1122"/>
      <c r="I485" s="1105" t="s">
        <v>6</v>
      </c>
      <c r="J485" s="1106" t="s">
        <v>453</v>
      </c>
      <c r="K485" s="1115"/>
      <c r="L485" s="1032"/>
      <c r="M485" s="1110"/>
      <c r="N485" s="1111"/>
      <c r="O485" s="1111"/>
      <c r="P485" s="1110"/>
      <c r="Q485" s="1111"/>
      <c r="R485" s="1110"/>
    </row>
    <row r="486" spans="1:18" s="1107" customFormat="1" ht="14.1">
      <c r="A486" s="1123"/>
      <c r="B486" s="1124"/>
      <c r="C486" s="1124"/>
      <c r="D486" s="1124"/>
      <c r="E486" s="1124"/>
      <c r="F486" s="1124"/>
      <c r="G486" s="1124"/>
      <c r="H486" s="1124"/>
      <c r="I486" s="1125"/>
      <c r="J486" s="1126"/>
      <c r="K486" s="1127">
        <f>SUM(K6:K484)</f>
        <v>2393377</v>
      </c>
      <c r="L486" s="1034"/>
      <c r="M486" s="1110"/>
      <c r="N486" s="1111"/>
      <c r="O486" s="1127">
        <f>SUM(O6:O484)</f>
        <v>18875</v>
      </c>
      <c r="P486" s="1110"/>
      <c r="Q486" s="1111"/>
      <c r="R486" s="1110"/>
    </row>
    <row r="487" spans="1:18" s="1107" customFormat="1" ht="24.9" customHeight="1">
      <c r="A487" s="1104">
        <v>62</v>
      </c>
      <c r="B487" s="2561" t="s">
        <v>2288</v>
      </c>
      <c r="C487" s="2562"/>
      <c r="D487" s="2562"/>
      <c r="E487" s="2562"/>
      <c r="F487" s="2562"/>
      <c r="G487" s="2562"/>
      <c r="H487" s="2563"/>
      <c r="I487" s="1196"/>
      <c r="J487" s="1109"/>
      <c r="K487" s="1197">
        <f>ROUND(K486*0.5%,0)</f>
        <v>11967</v>
      </c>
      <c r="L487" s="1198"/>
      <c r="Q487" s="1186"/>
    </row>
    <row r="488" spans="1:18" s="1107" customFormat="1" ht="35.200000000000003" customHeight="1">
      <c r="A488" s="1104">
        <f>A487+1</f>
        <v>63</v>
      </c>
      <c r="B488" s="2412" t="s">
        <v>2424</v>
      </c>
      <c r="C488" s="2418"/>
      <c r="D488" s="2418"/>
      <c r="E488" s="2418"/>
      <c r="F488" s="2418"/>
      <c r="G488" s="2418"/>
      <c r="H488" s="2419"/>
      <c r="I488" s="1105"/>
      <c r="J488" s="1109"/>
      <c r="K488" s="1033">
        <v>80000</v>
      </c>
      <c r="L488" s="1034"/>
      <c r="M488" s="1110"/>
      <c r="N488" s="1110"/>
      <c r="O488" s="1110"/>
      <c r="P488" s="1110"/>
      <c r="Q488" s="1111"/>
      <c r="R488" s="1110"/>
    </row>
    <row r="489" spans="1:18" s="1107" customFormat="1" ht="24.9" customHeight="1">
      <c r="A489" s="1104">
        <f>A488+1</f>
        <v>64</v>
      </c>
      <c r="B489" s="2412" t="s">
        <v>2196</v>
      </c>
      <c r="C489" s="2418"/>
      <c r="D489" s="2418"/>
      <c r="E489" s="2418"/>
      <c r="F489" s="2418"/>
      <c r="G489" s="2418"/>
      <c r="H489" s="2419"/>
      <c r="I489" s="1105"/>
      <c r="J489" s="1109"/>
      <c r="K489" s="1033">
        <v>15000</v>
      </c>
      <c r="L489" s="1034"/>
      <c r="M489" s="1110"/>
      <c r="N489" s="1110"/>
      <c r="O489" s="1110"/>
      <c r="P489" s="1110"/>
      <c r="Q489" s="1111"/>
      <c r="R489" s="1110"/>
    </row>
    <row r="490" spans="1:18" s="1107" customFormat="1" ht="40.5" customHeight="1">
      <c r="A490" s="1104">
        <f>A489+1</f>
        <v>65</v>
      </c>
      <c r="B490" s="2412" t="s">
        <v>2323</v>
      </c>
      <c r="C490" s="2418"/>
      <c r="D490" s="2418"/>
      <c r="E490" s="2418"/>
      <c r="F490" s="2418"/>
      <c r="G490" s="2418"/>
      <c r="H490" s="2419"/>
      <c r="I490" s="1105"/>
      <c r="J490" s="1109"/>
      <c r="K490" s="1033">
        <v>48608</v>
      </c>
      <c r="L490" s="1034"/>
      <c r="M490" s="1110"/>
      <c r="N490" s="1110"/>
      <c r="O490" s="1110"/>
      <c r="P490" s="1110"/>
      <c r="Q490" s="1111"/>
      <c r="R490" s="1110"/>
    </row>
    <row r="491" spans="1:18" s="1132" customFormat="1" ht="24.9" customHeight="1">
      <c r="A491" s="1128"/>
      <c r="B491" s="1128" t="s">
        <v>2059</v>
      </c>
      <c r="C491" s="1128"/>
      <c r="D491" s="1128"/>
      <c r="E491" s="1128"/>
      <c r="F491" s="1129"/>
      <c r="G491" s="1129"/>
      <c r="H491" s="1129"/>
      <c r="I491" s="1129"/>
      <c r="J491" s="1129"/>
      <c r="K491" s="1127">
        <f>SUM(K486:K490)</f>
        <v>2548952</v>
      </c>
      <c r="L491" s="1130">
        <f>K491-1260000</f>
        <v>1288952</v>
      </c>
      <c r="M491" s="1131"/>
      <c r="O491" s="1133">
        <f>2200000-K491</f>
        <v>-348952</v>
      </c>
    </row>
    <row r="493" spans="1:18">
      <c r="A493" s="2560" t="s">
        <v>2438</v>
      </c>
      <c r="B493" s="2560"/>
      <c r="C493" s="2560"/>
      <c r="D493" s="2560"/>
      <c r="E493" s="2560"/>
      <c r="F493" s="2560"/>
      <c r="G493" s="2560"/>
    </row>
  </sheetData>
  <mergeCells count="97">
    <mergeCell ref="M3:M4"/>
    <mergeCell ref="B3:B4"/>
    <mergeCell ref="C3:E4"/>
    <mergeCell ref="I3:I4"/>
    <mergeCell ref="K3:K4"/>
    <mergeCell ref="L3:L4"/>
    <mergeCell ref="A1:K1"/>
    <mergeCell ref="B80:H80"/>
    <mergeCell ref="B24:I24"/>
    <mergeCell ref="B26:H26"/>
    <mergeCell ref="B28:I28"/>
    <mergeCell ref="B45:H45"/>
    <mergeCell ref="B47:I47"/>
    <mergeCell ref="F3:H3"/>
    <mergeCell ref="J3:J4"/>
    <mergeCell ref="C5:E5"/>
    <mergeCell ref="B6:I6"/>
    <mergeCell ref="A2:K2"/>
    <mergeCell ref="A3:A4"/>
    <mergeCell ref="B22:H22"/>
    <mergeCell ref="B361:I361"/>
    <mergeCell ref="B467:H467"/>
    <mergeCell ref="B489:H489"/>
    <mergeCell ref="B470:H470"/>
    <mergeCell ref="B473:H473"/>
    <mergeCell ref="B410:I410"/>
    <mergeCell ref="B468:H468"/>
    <mergeCell ref="B444:I444"/>
    <mergeCell ref="B434:I434"/>
    <mergeCell ref="B440:H440"/>
    <mergeCell ref="B465:H465"/>
    <mergeCell ref="B464:H464"/>
    <mergeCell ref="B461:H461"/>
    <mergeCell ref="B450:H450"/>
    <mergeCell ref="B455:H455"/>
    <mergeCell ref="B458:H458"/>
    <mergeCell ref="B264:I264"/>
    <mergeCell ref="B352:I352"/>
    <mergeCell ref="B82:I82"/>
    <mergeCell ref="B167:H167"/>
    <mergeCell ref="B309:I309"/>
    <mergeCell ref="B126:H126"/>
    <mergeCell ref="B211:H211"/>
    <mergeCell ref="B253:I253"/>
    <mergeCell ref="B345:I345"/>
    <mergeCell ref="B330:I330"/>
    <mergeCell ref="B292:I292"/>
    <mergeCell ref="B286:I286"/>
    <mergeCell ref="B108:I108"/>
    <mergeCell ref="B214:I214"/>
    <mergeCell ref="B183:I183"/>
    <mergeCell ref="B91:H91"/>
    <mergeCell ref="B153:I153"/>
    <mergeCell ref="B121:I121"/>
    <mergeCell ref="B115:I115"/>
    <mergeCell ref="B181:H181"/>
    <mergeCell ref="B169:I169"/>
    <mergeCell ref="B128:I128"/>
    <mergeCell ref="B348:I348"/>
    <mergeCell ref="B441:I441"/>
    <mergeCell ref="B234:I234"/>
    <mergeCell ref="B301:I301"/>
    <mergeCell ref="B428:I428"/>
    <mergeCell ref="B392:I392"/>
    <mergeCell ref="B260:I260"/>
    <mergeCell ref="B334:I334"/>
    <mergeCell ref="B324:I324"/>
    <mergeCell ref="B296:I296"/>
    <mergeCell ref="B327:I327"/>
    <mergeCell ref="B366:I366"/>
    <mergeCell ref="B357:I357"/>
    <mergeCell ref="B425:I425"/>
    <mergeCell ref="B247:I247"/>
    <mergeCell ref="B320:I320"/>
    <mergeCell ref="B338:I338"/>
    <mergeCell ref="B414:I414"/>
    <mergeCell ref="B459:H459"/>
    <mergeCell ref="B401:I401"/>
    <mergeCell ref="B490:H490"/>
    <mergeCell ref="B474:H474"/>
    <mergeCell ref="B478:H478"/>
    <mergeCell ref="B480:H480"/>
    <mergeCell ref="B481:H481"/>
    <mergeCell ref="B483:H483"/>
    <mergeCell ref="B484:H484"/>
    <mergeCell ref="B487:H487"/>
    <mergeCell ref="B462:H462"/>
    <mergeCell ref="B447:I447"/>
    <mergeCell ref="B431:I431"/>
    <mergeCell ref="B437:I437"/>
    <mergeCell ref="B488:H488"/>
    <mergeCell ref="B477:H477"/>
    <mergeCell ref="B417:I417"/>
    <mergeCell ref="B413:I413"/>
    <mergeCell ref="A493:G493"/>
    <mergeCell ref="B471:H471"/>
    <mergeCell ref="B420:I420"/>
  </mergeCells>
  <printOptions gridLines="1"/>
  <pageMargins left="0.51181102362204722" right="0.23622047244094491" top="0.27559055118110237" bottom="0.51181102362204722" header="0.51181102362204722" footer="0.51181102362204722"/>
  <pageSetup paperSize="9" scale="80" orientation="portrait" r:id="rId1"/>
  <headerFooter alignWithMargins="0">
    <oddFooter>Page &amp;P of &amp;N</oddFooter>
  </headerFooter>
  <rowBreaks count="2" manualBreakCount="2">
    <brk id="412" max="10" man="1"/>
    <brk id="439" max="10"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50"/>
  </sheetPr>
  <dimension ref="A1:IV544"/>
  <sheetViews>
    <sheetView zoomScale="80" zoomScaleNormal="80" zoomScaleSheetLayoutView="100" workbookViewId="0">
      <pane ySplit="5" topLeftCell="A30" activePane="bottomLeft" state="frozen"/>
      <selection pane="bottomLeft" activeCell="J186" sqref="J186"/>
    </sheetView>
  </sheetViews>
  <sheetFormatPr defaultRowHeight="13.8"/>
  <cols>
    <col min="1" max="1" width="6.5546875" style="1134" customWidth="1"/>
    <col min="2" max="2" width="33.109375" style="1069" customWidth="1"/>
    <col min="3" max="3" width="3.109375" style="1135" customWidth="1"/>
    <col min="4" max="4" width="2.5546875" style="1069" customWidth="1"/>
    <col min="5" max="5" width="3.44140625" style="1135" customWidth="1"/>
    <col min="6" max="6" width="11.44140625" style="1136" customWidth="1"/>
    <col min="7" max="7" width="7.33203125" style="1136" customWidth="1"/>
    <col min="8" max="8" width="11.109375" style="1087" customWidth="1"/>
    <col min="9" max="9" width="10.109375" style="1087" customWidth="1"/>
    <col min="10" max="10" width="11.44140625" style="1087" customWidth="1"/>
    <col min="11" max="11" width="19.33203125" style="1087" customWidth="1"/>
    <col min="12" max="12" width="11.109375" style="1087" hidden="1" customWidth="1"/>
    <col min="13" max="13" width="9.6640625" style="1087" hidden="1" customWidth="1"/>
    <col min="14" max="14" width="14.88671875" style="1069" customWidth="1"/>
    <col min="15" max="15" width="17.44140625" style="1069" customWidth="1"/>
    <col min="16" max="16" width="18.5546875" style="1069" bestFit="1" customWidth="1"/>
    <col min="17" max="17" width="9.5546875" style="1069" bestFit="1" customWidth="1"/>
    <col min="18" max="256" width="9.109375" style="1069"/>
  </cols>
  <sheetData>
    <row r="1" spans="1:17" s="1090" customFormat="1" ht="24" customHeight="1">
      <c r="A1" s="2568" t="s">
        <v>2576</v>
      </c>
      <c r="B1" s="2569"/>
      <c r="C1" s="2569"/>
      <c r="D1" s="2569"/>
      <c r="E1" s="2569"/>
      <c r="F1" s="2569"/>
      <c r="G1" s="2569"/>
      <c r="H1" s="2569"/>
      <c r="I1" s="2569"/>
      <c r="J1" s="2569"/>
      <c r="K1" s="2569"/>
      <c r="L1" s="1232"/>
      <c r="M1" s="1232"/>
    </row>
    <row r="2" spans="1:17" ht="25.5" customHeight="1">
      <c r="A2" s="2449" t="str">
        <f>'Lead- Input sheet '!A2</f>
        <v xml:space="preserve"> Construction of  Anganwadi Building at Jeedipally Thanda (V) of Kalwakurthy (M) of Nagarkurnool District </v>
      </c>
      <c r="B2" s="2450"/>
      <c r="C2" s="2450"/>
      <c r="D2" s="2450"/>
      <c r="E2" s="2450"/>
      <c r="F2" s="2450"/>
      <c r="G2" s="2450"/>
      <c r="H2" s="2450"/>
      <c r="I2" s="2450"/>
      <c r="J2" s="2450"/>
      <c r="K2" s="2451"/>
      <c r="L2" s="1035"/>
      <c r="M2" s="1035"/>
      <c r="P2" s="1069" t="s">
        <v>2584</v>
      </c>
      <c r="Q2" s="1069" t="s">
        <v>523</v>
      </c>
    </row>
    <row r="3" spans="1:17" ht="14.1">
      <c r="A3" s="2437" t="s">
        <v>1200</v>
      </c>
      <c r="B3" s="2437" t="s">
        <v>1201</v>
      </c>
      <c r="C3" s="2453" t="s">
        <v>527</v>
      </c>
      <c r="D3" s="2454"/>
      <c r="E3" s="2455"/>
      <c r="F3" s="2439" t="s">
        <v>1202</v>
      </c>
      <c r="G3" s="2440"/>
      <c r="H3" s="2441"/>
      <c r="I3" s="2459" t="s">
        <v>786</v>
      </c>
      <c r="J3" s="2459" t="s">
        <v>1203</v>
      </c>
      <c r="K3" s="2461" t="s">
        <v>1115</v>
      </c>
      <c r="L3" s="2452" t="s">
        <v>1204</v>
      </c>
      <c r="M3" s="2452" t="s">
        <v>1205</v>
      </c>
      <c r="P3" s="1135">
        <v>3.61</v>
      </c>
      <c r="Q3" s="1135">
        <v>28</v>
      </c>
    </row>
    <row r="4" spans="1:17" ht="14.1">
      <c r="A4" s="2438"/>
      <c r="B4" s="2438"/>
      <c r="C4" s="2456"/>
      <c r="D4" s="2457"/>
      <c r="E4" s="2458"/>
      <c r="F4" s="1036" t="s">
        <v>1417</v>
      </c>
      <c r="G4" s="1036" t="s">
        <v>859</v>
      </c>
      <c r="H4" s="1036" t="s">
        <v>785</v>
      </c>
      <c r="I4" s="2460"/>
      <c r="J4" s="2460"/>
      <c r="K4" s="2462"/>
      <c r="L4" s="2452"/>
      <c r="M4" s="2452"/>
    </row>
    <row r="5" spans="1:17" s="1070" customFormat="1" ht="15" customHeight="1">
      <c r="A5" s="1037">
        <v>1</v>
      </c>
      <c r="B5" s="1037">
        <f>A5+1</f>
        <v>2</v>
      </c>
      <c r="C5" s="2442">
        <f>B5+1</f>
        <v>3</v>
      </c>
      <c r="D5" s="2443"/>
      <c r="E5" s="2444"/>
      <c r="F5" s="1038">
        <f>C5+1</f>
        <v>4</v>
      </c>
      <c r="G5" s="1038">
        <f>F5+1</f>
        <v>5</v>
      </c>
      <c r="H5" s="1038">
        <f t="shared" ref="H5:M5" si="0">G5+1</f>
        <v>6</v>
      </c>
      <c r="I5" s="1038">
        <f t="shared" si="0"/>
        <v>7</v>
      </c>
      <c r="J5" s="1038">
        <f t="shared" si="0"/>
        <v>8</v>
      </c>
      <c r="K5" s="1038">
        <v>9</v>
      </c>
      <c r="L5" s="1038">
        <f t="shared" si="0"/>
        <v>10</v>
      </c>
      <c r="M5" s="1038">
        <f t="shared" si="0"/>
        <v>11</v>
      </c>
      <c r="N5" s="1070">
        <f>K538</f>
        <v>-566221</v>
      </c>
      <c r="O5" s="1070" t="s">
        <v>975</v>
      </c>
      <c r="P5" s="1245" t="s">
        <v>2583</v>
      </c>
    </row>
    <row r="6" spans="1:17" ht="75.75" customHeight="1">
      <c r="A6" s="1085">
        <v>1</v>
      </c>
      <c r="B6" s="2445" t="s">
        <v>2042</v>
      </c>
      <c r="C6" s="2446"/>
      <c r="D6" s="2446"/>
      <c r="E6" s="2446"/>
      <c r="F6" s="2446"/>
      <c r="G6" s="2446"/>
      <c r="H6" s="2446"/>
      <c r="I6" s="2447"/>
      <c r="J6" s="1040"/>
      <c r="K6" s="1040"/>
      <c r="L6" s="1040"/>
      <c r="M6" s="1040"/>
    </row>
    <row r="7" spans="1:17" ht="14.1">
      <c r="A7" s="1041"/>
      <c r="B7" s="1042" t="s">
        <v>2536</v>
      </c>
      <c r="C7" s="1043"/>
      <c r="D7" s="1043"/>
      <c r="E7" s="1043"/>
      <c r="F7" s="1044"/>
      <c r="G7" s="1044"/>
      <c r="H7" s="1044"/>
      <c r="I7" s="1044"/>
      <c r="J7" s="1045"/>
      <c r="K7" s="1045"/>
      <c r="L7" s="1045"/>
      <c r="M7" s="1045"/>
    </row>
    <row r="8" spans="1:17" ht="14.1">
      <c r="A8" s="1046"/>
      <c r="B8" s="1173" t="s">
        <v>2486</v>
      </c>
      <c r="C8" s="1048">
        <v>1</v>
      </c>
      <c r="D8" s="1048" t="s">
        <v>1472</v>
      </c>
      <c r="E8" s="1048">
        <v>10</v>
      </c>
      <c r="F8" s="1049">
        <v>1.45</v>
      </c>
      <c r="G8" s="1049">
        <v>1.45</v>
      </c>
      <c r="H8" s="1049">
        <v>1.8</v>
      </c>
      <c r="I8" s="1049">
        <f t="shared" ref="I8:I21" si="1">ROUND(C8*E8*F8*G8*H8,2)</f>
        <v>37.85</v>
      </c>
      <c r="J8" s="1049"/>
      <c r="K8" s="1049"/>
      <c r="L8" s="1049"/>
      <c r="M8" s="1049"/>
    </row>
    <row r="9" spans="1:17" ht="14.1">
      <c r="A9" s="1046"/>
      <c r="B9" s="1173" t="s">
        <v>2487</v>
      </c>
      <c r="C9" s="1048">
        <v>1</v>
      </c>
      <c r="D9" s="1048" t="s">
        <v>1472</v>
      </c>
      <c r="E9" s="1048">
        <v>6</v>
      </c>
      <c r="F9" s="1049">
        <v>1.7</v>
      </c>
      <c r="G9" s="1049">
        <v>1.2</v>
      </c>
      <c r="H9" s="1049">
        <v>1.8</v>
      </c>
      <c r="I9" s="1049">
        <f>ROUND(C9*E9*F9*G9*H9,2)</f>
        <v>22.03</v>
      </c>
      <c r="J9" s="1049"/>
      <c r="K9" s="1049"/>
      <c r="L9" s="1049"/>
      <c r="M9" s="1049"/>
    </row>
    <row r="10" spans="1:17" ht="14.1">
      <c r="A10" s="1046"/>
      <c r="B10" s="1174" t="s">
        <v>2489</v>
      </c>
      <c r="C10" s="1048">
        <v>1</v>
      </c>
      <c r="D10" s="1048" t="s">
        <v>1472</v>
      </c>
      <c r="E10" s="1048">
        <v>2</v>
      </c>
      <c r="F10" s="1049">
        <f>60.75*0.3048+0.3</f>
        <v>18.816600000000001</v>
      </c>
      <c r="G10" s="1049">
        <v>0.6</v>
      </c>
      <c r="H10" s="1049">
        <v>0.6</v>
      </c>
      <c r="I10" s="1049">
        <f t="shared" si="1"/>
        <v>13.55</v>
      </c>
      <c r="J10" s="1049"/>
      <c r="K10" s="1049"/>
      <c r="L10" s="1049"/>
      <c r="M10" s="1049"/>
    </row>
    <row r="11" spans="1:17" ht="24.6">
      <c r="A11" s="1046"/>
      <c r="B11" s="1174" t="s">
        <v>2488</v>
      </c>
      <c r="C11" s="1048">
        <v>1</v>
      </c>
      <c r="D11" s="1048" t="s">
        <v>1472</v>
      </c>
      <c r="E11" s="1048">
        <v>2</v>
      </c>
      <c r="F11" s="1049">
        <f>(30.75)*0.3048-0.6+2.4</f>
        <v>11.172600000000001</v>
      </c>
      <c r="G11" s="1049">
        <v>0.6</v>
      </c>
      <c r="H11" s="1049">
        <v>0.6</v>
      </c>
      <c r="I11" s="1049">
        <f t="shared" si="1"/>
        <v>8.0399999999999991</v>
      </c>
      <c r="J11" s="1049"/>
      <c r="K11" s="1049"/>
      <c r="L11" s="1049"/>
      <c r="M11" s="1049"/>
    </row>
    <row r="12" spans="1:17" ht="14.1">
      <c r="A12" s="1046"/>
      <c r="B12" s="1174" t="s">
        <v>2093</v>
      </c>
      <c r="C12" s="1048">
        <v>1</v>
      </c>
      <c r="D12" s="1048" t="s">
        <v>1472</v>
      </c>
      <c r="E12" s="1048">
        <v>2</v>
      </c>
      <c r="F12" s="1049">
        <v>4.49</v>
      </c>
      <c r="G12" s="1049">
        <v>0.6</v>
      </c>
      <c r="H12" s="1049">
        <v>0.6</v>
      </c>
      <c r="I12" s="1049">
        <f t="shared" si="1"/>
        <v>3.23</v>
      </c>
      <c r="J12" s="1049"/>
      <c r="K12" s="1049"/>
      <c r="L12" s="1049"/>
      <c r="M12" s="1049"/>
    </row>
    <row r="13" spans="1:17" ht="14.1">
      <c r="A13" s="1046"/>
      <c r="B13" s="1174" t="s">
        <v>2094</v>
      </c>
      <c r="C13" s="1048">
        <v>1</v>
      </c>
      <c r="D13" s="1048" t="s">
        <v>1472</v>
      </c>
      <c r="E13" s="1048">
        <v>2</v>
      </c>
      <c r="F13" s="1049">
        <v>2.68</v>
      </c>
      <c r="G13" s="1049">
        <v>0.6</v>
      </c>
      <c r="H13" s="1049">
        <v>0.6</v>
      </c>
      <c r="I13" s="1049">
        <f t="shared" si="1"/>
        <v>1.93</v>
      </c>
      <c r="J13" s="1049"/>
      <c r="K13" s="1049"/>
      <c r="L13" s="1049"/>
      <c r="M13" s="1049"/>
    </row>
    <row r="14" spans="1:17" ht="14.1">
      <c r="A14" s="1046"/>
      <c r="B14" s="1174" t="s">
        <v>2560</v>
      </c>
      <c r="C14" s="1048">
        <v>1</v>
      </c>
      <c r="D14" s="1048" t="s">
        <v>1472</v>
      </c>
      <c r="E14" s="1048">
        <v>2</v>
      </c>
      <c r="F14" s="1049">
        <v>1.5</v>
      </c>
      <c r="G14" s="1049">
        <v>0.6</v>
      </c>
      <c r="H14" s="1049">
        <v>0.6</v>
      </c>
      <c r="I14" s="1049">
        <f>ROUND(C14*E14*F14*G14*H14,2)</f>
        <v>1.08</v>
      </c>
      <c r="J14" s="1049"/>
      <c r="K14" s="1049"/>
      <c r="L14" s="1049"/>
      <c r="M14" s="1049"/>
    </row>
    <row r="15" spans="1:17" ht="14.1">
      <c r="A15" s="1046"/>
      <c r="B15" s="1174" t="s">
        <v>2289</v>
      </c>
      <c r="C15" s="1165" t="s">
        <v>2290</v>
      </c>
      <c r="D15" s="1048" t="s">
        <v>1472</v>
      </c>
      <c r="E15" s="1048">
        <v>2</v>
      </c>
      <c r="F15" s="1049">
        <v>1.35</v>
      </c>
      <c r="G15" s="1049">
        <v>1.35</v>
      </c>
      <c r="H15" s="1049">
        <v>2</v>
      </c>
      <c r="I15" s="1049">
        <f>ROUND(PI()/4*E15*F15*G15*H15,2)</f>
        <v>5.73</v>
      </c>
      <c r="J15" s="1049"/>
      <c r="K15" s="1049"/>
      <c r="L15" s="1049"/>
      <c r="M15" s="1049"/>
    </row>
    <row r="16" spans="1:17" ht="14.1">
      <c r="A16" s="1046"/>
      <c r="B16" s="1175" t="s">
        <v>2375</v>
      </c>
      <c r="C16" s="1048">
        <v>1</v>
      </c>
      <c r="D16" s="1048" t="s">
        <v>1472</v>
      </c>
      <c r="E16" s="1048">
        <v>1</v>
      </c>
      <c r="F16" s="1049">
        <f>(31.5-6-4)*0.3048</f>
        <v>6.5532000000000004</v>
      </c>
      <c r="G16" s="1049">
        <v>0.6</v>
      </c>
      <c r="H16" s="1049">
        <v>0.3</v>
      </c>
      <c r="I16" s="1049">
        <f t="shared" si="1"/>
        <v>1.18</v>
      </c>
      <c r="J16" s="1049"/>
      <c r="K16" s="1049"/>
      <c r="L16" s="1049"/>
      <c r="M16" s="1049"/>
    </row>
    <row r="17" spans="1:15" ht="14.1">
      <c r="A17" s="1046"/>
      <c r="B17" s="1175" t="s">
        <v>2376</v>
      </c>
      <c r="C17" s="1048">
        <v>1</v>
      </c>
      <c r="D17" s="1048" t="s">
        <v>1472</v>
      </c>
      <c r="E17" s="1048">
        <v>2</v>
      </c>
      <c r="F17" s="1049">
        <v>3</v>
      </c>
      <c r="G17" s="1049">
        <v>0.6</v>
      </c>
      <c r="H17" s="1049">
        <v>0.3</v>
      </c>
      <c r="I17" s="1049">
        <f t="shared" si="1"/>
        <v>1.08</v>
      </c>
      <c r="J17" s="1049"/>
      <c r="K17" s="1049"/>
      <c r="L17" s="1049"/>
      <c r="M17" s="1049"/>
    </row>
    <row r="18" spans="1:15" ht="14.1">
      <c r="A18" s="1046"/>
      <c r="B18" s="1175" t="s">
        <v>2100</v>
      </c>
      <c r="C18" s="1048">
        <v>1</v>
      </c>
      <c r="D18" s="1048" t="s">
        <v>1472</v>
      </c>
      <c r="E18" s="1048">
        <v>1</v>
      </c>
      <c r="F18" s="1049">
        <f>(31.5-6)*0.3048</f>
        <v>7.7724000000000002</v>
      </c>
      <c r="G18" s="1049">
        <v>1.2</v>
      </c>
      <c r="H18" s="1049">
        <v>0.3</v>
      </c>
      <c r="I18" s="1049">
        <f t="shared" si="1"/>
        <v>2.8</v>
      </c>
      <c r="J18" s="1049"/>
      <c r="K18" s="1049"/>
      <c r="L18" s="1049"/>
      <c r="M18" s="1049"/>
    </row>
    <row r="19" spans="1:15" ht="14.1">
      <c r="A19" s="1046"/>
      <c r="B19" s="1175" t="s">
        <v>2099</v>
      </c>
      <c r="C19" s="1048">
        <v>1</v>
      </c>
      <c r="D19" s="1048" t="s">
        <v>1472</v>
      </c>
      <c r="E19" s="1048">
        <v>2</v>
      </c>
      <c r="F19" s="1049">
        <v>4.2</v>
      </c>
      <c r="G19" s="1049">
        <v>1.2</v>
      </c>
      <c r="H19" s="1049">
        <v>0.3</v>
      </c>
      <c r="I19" s="1049">
        <f>ROUND(C19*E19*F19*G19*H19,2)</f>
        <v>3.02</v>
      </c>
      <c r="J19" s="1049"/>
      <c r="K19" s="1049"/>
      <c r="L19" s="1049"/>
      <c r="M19" s="1049"/>
    </row>
    <row r="20" spans="1:15" ht="14.1">
      <c r="A20" s="1046"/>
      <c r="B20" s="1175" t="s">
        <v>2490</v>
      </c>
      <c r="C20" s="1048">
        <v>3</v>
      </c>
      <c r="D20" s="1048" t="s">
        <v>1472</v>
      </c>
      <c r="E20" s="1048">
        <v>1</v>
      </c>
      <c r="F20" s="1049">
        <v>0.75</v>
      </c>
      <c r="G20" s="1049">
        <v>0.75</v>
      </c>
      <c r="H20" s="1049">
        <v>0.6</v>
      </c>
      <c r="I20" s="1049">
        <f>ROUND(C20*E20*F20*G20*H20,2)</f>
        <v>1.01</v>
      </c>
      <c r="J20" s="1049"/>
      <c r="K20" s="1049"/>
      <c r="L20" s="1049"/>
      <c r="M20" s="1049"/>
    </row>
    <row r="21" spans="1:15" ht="14.1">
      <c r="A21" s="1046"/>
      <c r="B21" s="1175" t="s">
        <v>2463</v>
      </c>
      <c r="C21" s="1048">
        <v>1</v>
      </c>
      <c r="D21" s="1048" t="s">
        <v>1472</v>
      </c>
      <c r="E21" s="1048">
        <v>2</v>
      </c>
      <c r="F21" s="1049">
        <v>3</v>
      </c>
      <c r="G21" s="1049">
        <v>1.2</v>
      </c>
      <c r="H21" s="1049">
        <v>0.15</v>
      </c>
      <c r="I21" s="1049">
        <f t="shared" si="1"/>
        <v>1.08</v>
      </c>
      <c r="J21" s="1049"/>
      <c r="K21" s="1049"/>
      <c r="L21" s="1049"/>
      <c r="M21" s="1049"/>
    </row>
    <row r="22" spans="1:15" ht="14.1">
      <c r="A22" s="1046"/>
      <c r="B22" s="1175"/>
      <c r="C22" s="1048"/>
      <c r="D22" s="1048"/>
      <c r="E22" s="1048"/>
      <c r="F22" s="1049"/>
      <c r="G22" s="1049"/>
      <c r="H22" s="1049"/>
      <c r="I22" s="1194">
        <v>1.59</v>
      </c>
      <c r="J22" s="1049"/>
      <c r="K22" s="1049"/>
      <c r="L22" s="1049"/>
      <c r="M22" s="1049"/>
      <c r="N22" s="1069">
        <v>105.2</v>
      </c>
    </row>
    <row r="23" spans="1:15" ht="14.1">
      <c r="A23" s="1046"/>
      <c r="B23" s="1051"/>
      <c r="C23" s="1048"/>
      <c r="D23" s="1048"/>
      <c r="E23" s="1048"/>
      <c r="F23" s="1049"/>
      <c r="G23" s="1049"/>
      <c r="H23" s="1049"/>
      <c r="I23" s="1049">
        <f>SUM(I8:I22)</f>
        <v>105.20000000000002</v>
      </c>
      <c r="J23" s="1049"/>
      <c r="K23" s="1049"/>
      <c r="L23" s="1049"/>
      <c r="M23" s="1049"/>
    </row>
    <row r="24" spans="1:15" ht="14.1">
      <c r="A24" s="1046"/>
      <c r="B24" s="2448" t="s">
        <v>2381</v>
      </c>
      <c r="C24" s="2448"/>
      <c r="D24" s="2448"/>
      <c r="E24" s="2448"/>
      <c r="F24" s="2448"/>
      <c r="G24" s="2448"/>
      <c r="H24" s="2448"/>
      <c r="I24" s="1052">
        <f>CEILING(I23,0.05)</f>
        <v>105.2</v>
      </c>
      <c r="J24" s="1053">
        <v>221.47</v>
      </c>
      <c r="K24" s="1054">
        <f>ROUND(J24*I24/1,0)</f>
        <v>23299</v>
      </c>
      <c r="L24" s="1029">
        <v>30</v>
      </c>
      <c r="M24" s="1055">
        <f>L24*I24</f>
        <v>3156</v>
      </c>
      <c r="N24" s="1087"/>
      <c r="O24" s="1087">
        <f>ROUND(I24*N24,0)</f>
        <v>0</v>
      </c>
    </row>
    <row r="25" spans="1:15" ht="14.1">
      <c r="A25" s="1046"/>
      <c r="B25" s="1056"/>
      <c r="C25" s="1048"/>
      <c r="D25" s="1048"/>
      <c r="E25" s="1048"/>
      <c r="F25" s="1049"/>
      <c r="G25" s="1049"/>
      <c r="H25" s="1049"/>
      <c r="I25" s="1053" t="s">
        <v>656</v>
      </c>
      <c r="J25" s="1049" t="s">
        <v>2041</v>
      </c>
      <c r="K25" s="1049"/>
      <c r="L25" s="1049"/>
      <c r="M25" s="1049"/>
      <c r="N25" s="1087"/>
      <c r="O25" s="1087"/>
    </row>
    <row r="26" spans="1:15" ht="145.5" customHeight="1">
      <c r="A26" s="1085">
        <v>2</v>
      </c>
      <c r="B26" s="2415" t="s">
        <v>2443</v>
      </c>
      <c r="C26" s="2426"/>
      <c r="D26" s="2426"/>
      <c r="E26" s="2426"/>
      <c r="F26" s="2426"/>
      <c r="G26" s="2426"/>
      <c r="H26" s="2426"/>
      <c r="I26" s="2427"/>
      <c r="J26" s="1049"/>
      <c r="K26" s="1049"/>
      <c r="L26" s="1049"/>
      <c r="M26" s="1049"/>
      <c r="N26" s="1087"/>
      <c r="O26" s="1087"/>
    </row>
    <row r="27" spans="1:15" ht="14.1">
      <c r="A27" s="1046"/>
      <c r="B27" s="1173" t="s">
        <v>2486</v>
      </c>
      <c r="C27" s="1048">
        <v>1</v>
      </c>
      <c r="D27" s="1048" t="s">
        <v>1472</v>
      </c>
      <c r="E27" s="1048">
        <v>10</v>
      </c>
      <c r="F27" s="1049">
        <v>1.45</v>
      </c>
      <c r="G27" s="1049">
        <v>1.45</v>
      </c>
      <c r="H27" s="1049">
        <v>0.15</v>
      </c>
      <c r="I27" s="1049">
        <f>ROUND(C27*E27*F27*G27*H27,2)</f>
        <v>3.15</v>
      </c>
      <c r="J27" s="1049"/>
      <c r="K27" s="1049"/>
      <c r="L27" s="1049"/>
      <c r="M27" s="1049"/>
    </row>
    <row r="28" spans="1:15" ht="14.1">
      <c r="A28" s="1046"/>
      <c r="B28" s="1173" t="s">
        <v>2487</v>
      </c>
      <c r="C28" s="1048">
        <v>1</v>
      </c>
      <c r="D28" s="1048" t="s">
        <v>1472</v>
      </c>
      <c r="E28" s="1048">
        <v>6</v>
      </c>
      <c r="F28" s="1049">
        <v>1.7</v>
      </c>
      <c r="G28" s="1049">
        <v>1.2</v>
      </c>
      <c r="H28" s="1049">
        <v>0.15</v>
      </c>
      <c r="I28" s="1049">
        <f>ROUND(C28*E28*F28*G28*H28,2)</f>
        <v>1.84</v>
      </c>
      <c r="J28" s="1049"/>
      <c r="K28" s="1049"/>
      <c r="L28" s="1049"/>
      <c r="M28" s="1049"/>
    </row>
    <row r="29" spans="1:15" ht="14.1">
      <c r="A29" s="1046"/>
      <c r="B29" s="2432"/>
      <c r="C29" s="2433"/>
      <c r="D29" s="2433"/>
      <c r="E29" s="2433"/>
      <c r="F29" s="2433"/>
      <c r="G29" s="2433"/>
      <c r="H29" s="2434"/>
      <c r="I29" s="1052">
        <f>SUM(I27:I28)</f>
        <v>4.99</v>
      </c>
      <c r="J29" s="1049">
        <f>Datas!G154</f>
        <v>4371.4635670906127</v>
      </c>
      <c r="K29" s="1053">
        <f>ROUND(J29*I29,0)</f>
        <v>21814</v>
      </c>
      <c r="L29" s="1049">
        <v>108</v>
      </c>
      <c r="M29" s="1055">
        <f>L29*I29</f>
        <v>538.92000000000007</v>
      </c>
      <c r="N29" s="1087">
        <v>108</v>
      </c>
      <c r="O29" s="1087">
        <f>ROUND(I29*N29,0)</f>
        <v>539</v>
      </c>
    </row>
    <row r="30" spans="1:15" ht="14.1">
      <c r="A30" s="1046"/>
      <c r="B30" s="1060"/>
      <c r="C30" s="1048"/>
      <c r="D30" s="1048"/>
      <c r="E30" s="1048"/>
      <c r="F30" s="1049"/>
      <c r="G30" s="1049"/>
      <c r="H30" s="1049"/>
      <c r="I30" s="1053" t="s">
        <v>656</v>
      </c>
      <c r="J30" s="1053" t="s">
        <v>656</v>
      </c>
      <c r="K30" s="1053"/>
      <c r="L30" s="1053"/>
      <c r="M30" s="1053"/>
      <c r="N30" s="1087"/>
      <c r="O30" s="1087"/>
    </row>
    <row r="31" spans="1:15" ht="143.25" customHeight="1">
      <c r="A31" s="1085">
        <v>3</v>
      </c>
      <c r="B31" s="2415" t="s">
        <v>2444</v>
      </c>
      <c r="C31" s="2426"/>
      <c r="D31" s="2426"/>
      <c r="E31" s="2426"/>
      <c r="F31" s="2426"/>
      <c r="G31" s="2426"/>
      <c r="H31" s="2426"/>
      <c r="I31" s="2427"/>
      <c r="J31" s="1049"/>
      <c r="K31" s="1049"/>
      <c r="L31" s="1049"/>
      <c r="M31" s="1049"/>
      <c r="N31" s="1087"/>
      <c r="O31" s="1087"/>
    </row>
    <row r="32" spans="1:15" s="1095" customFormat="1" ht="14.1">
      <c r="A32" s="1046"/>
      <c r="B32" s="1182" t="s">
        <v>2218</v>
      </c>
      <c r="C32" s="1183">
        <v>1</v>
      </c>
      <c r="D32" s="1183" t="s">
        <v>1472</v>
      </c>
      <c r="E32" s="1183">
        <v>1</v>
      </c>
      <c r="F32" s="1184">
        <f>(46.5)*0.3048</f>
        <v>14.173200000000001</v>
      </c>
      <c r="G32" s="1184">
        <f>(30)*0.3048</f>
        <v>9.1440000000000001</v>
      </c>
      <c r="H32" s="1228">
        <v>7.4999999999999997E-2</v>
      </c>
      <c r="I32" s="1094">
        <f t="shared" ref="I32:I50" si="2">ROUND(C32*E32*F32*G32*H32,2)</f>
        <v>9.7200000000000006</v>
      </c>
      <c r="J32" s="1094"/>
      <c r="K32" s="1094"/>
      <c r="L32" s="1094"/>
      <c r="M32" s="1094"/>
      <c r="N32" s="1166"/>
      <c r="O32" s="1166"/>
    </row>
    <row r="33" spans="1:15" s="1095" customFormat="1" ht="14.1">
      <c r="A33" s="1046"/>
      <c r="B33" s="1182" t="s">
        <v>2219</v>
      </c>
      <c r="C33" s="1183">
        <v>1</v>
      </c>
      <c r="D33" s="1183" t="s">
        <v>1472</v>
      </c>
      <c r="E33" s="1183">
        <v>1</v>
      </c>
      <c r="F33" s="1184">
        <v>3.6</v>
      </c>
      <c r="G33" s="1184">
        <f>(12)*0.3048</f>
        <v>3.6576000000000004</v>
      </c>
      <c r="H33" s="1228">
        <v>7.4999999999999997E-2</v>
      </c>
      <c r="I33" s="1094">
        <f t="shared" si="2"/>
        <v>0.99</v>
      </c>
      <c r="J33" s="1094"/>
      <c r="K33" s="1094"/>
      <c r="L33" s="1094"/>
      <c r="M33" s="1094"/>
      <c r="N33" s="1166"/>
      <c r="O33" s="1166"/>
    </row>
    <row r="34" spans="1:15" s="1095" customFormat="1" ht="24.6">
      <c r="A34" s="1046"/>
      <c r="B34" s="1182" t="s">
        <v>2220</v>
      </c>
      <c r="C34" s="1183">
        <v>1</v>
      </c>
      <c r="D34" s="1183" t="s">
        <v>1472</v>
      </c>
      <c r="E34" s="1183">
        <v>1</v>
      </c>
      <c r="F34" s="1184">
        <v>3.6</v>
      </c>
      <c r="G34" s="1184">
        <f>(17.33)*0.3048</f>
        <v>5.282184</v>
      </c>
      <c r="H34" s="1228">
        <v>7.4999999999999997E-2</v>
      </c>
      <c r="I34" s="1094">
        <f t="shared" si="2"/>
        <v>1.43</v>
      </c>
      <c r="J34" s="1094"/>
      <c r="K34" s="1094"/>
      <c r="L34" s="1094"/>
      <c r="M34" s="1094"/>
      <c r="N34" s="1166"/>
      <c r="O34" s="1166"/>
    </row>
    <row r="35" spans="1:15" ht="14.1">
      <c r="A35" s="1046"/>
      <c r="B35" s="1174" t="s">
        <v>2221</v>
      </c>
      <c r="C35" s="1176">
        <v>1</v>
      </c>
      <c r="D35" s="1176" t="s">
        <v>1472</v>
      </c>
      <c r="E35" s="1176">
        <v>1</v>
      </c>
      <c r="F35" s="1177">
        <v>3.2</v>
      </c>
      <c r="G35" s="1177">
        <v>1.5</v>
      </c>
      <c r="H35" s="1177">
        <v>0.1</v>
      </c>
      <c r="I35" s="1049">
        <f t="shared" si="2"/>
        <v>0.48</v>
      </c>
      <c r="J35" s="1049"/>
      <c r="K35" s="1049"/>
      <c r="L35" s="1049"/>
      <c r="M35" s="1049"/>
      <c r="N35" s="1087"/>
      <c r="O35" s="1087"/>
    </row>
    <row r="36" spans="1:15" ht="14.1">
      <c r="A36" s="1046"/>
      <c r="B36" s="1174" t="s">
        <v>2222</v>
      </c>
      <c r="C36" s="1176">
        <v>1</v>
      </c>
      <c r="D36" s="1176" t="s">
        <v>1472</v>
      </c>
      <c r="E36" s="1176">
        <v>1</v>
      </c>
      <c r="F36" s="1177">
        <v>3.6</v>
      </c>
      <c r="G36" s="1177">
        <v>1.5</v>
      </c>
      <c r="H36" s="1177">
        <v>0.1</v>
      </c>
      <c r="I36" s="1049">
        <f t="shared" si="2"/>
        <v>0.54</v>
      </c>
      <c r="J36" s="1049"/>
      <c r="K36" s="1049"/>
      <c r="L36" s="1049"/>
      <c r="M36" s="1049"/>
      <c r="N36" s="1087"/>
      <c r="O36" s="1087"/>
    </row>
    <row r="37" spans="1:15" ht="14.1">
      <c r="A37" s="1046"/>
      <c r="B37" s="1174" t="s">
        <v>2489</v>
      </c>
      <c r="C37" s="1048">
        <v>1</v>
      </c>
      <c r="D37" s="1048" t="s">
        <v>1472</v>
      </c>
      <c r="E37" s="1048">
        <v>2</v>
      </c>
      <c r="F37" s="1049">
        <f>60.75*0.3048+0.3</f>
        <v>18.816600000000001</v>
      </c>
      <c r="G37" s="1049">
        <v>0.6</v>
      </c>
      <c r="H37" s="1177">
        <v>0.1</v>
      </c>
      <c r="I37" s="1049">
        <f t="shared" si="2"/>
        <v>2.2599999999999998</v>
      </c>
      <c r="J37" s="1049"/>
      <c r="K37" s="1049"/>
      <c r="L37" s="1049"/>
      <c r="M37" s="1049"/>
    </row>
    <row r="38" spans="1:15" ht="24.6">
      <c r="A38" s="1046"/>
      <c r="B38" s="1174" t="s">
        <v>2488</v>
      </c>
      <c r="C38" s="1048">
        <v>1</v>
      </c>
      <c r="D38" s="1048" t="s">
        <v>1472</v>
      </c>
      <c r="E38" s="1048">
        <v>2</v>
      </c>
      <c r="F38" s="1049">
        <f>(30.75)*0.3048-0.6+2.4</f>
        <v>11.172600000000001</v>
      </c>
      <c r="G38" s="1049">
        <v>0.6</v>
      </c>
      <c r="H38" s="1177">
        <v>0.1</v>
      </c>
      <c r="I38" s="1049">
        <f t="shared" si="2"/>
        <v>1.34</v>
      </c>
      <c r="J38" s="1049"/>
      <c r="K38" s="1049"/>
      <c r="L38" s="1049"/>
      <c r="M38" s="1049"/>
    </row>
    <row r="39" spans="1:15" ht="14.1">
      <c r="A39" s="1046"/>
      <c r="B39" s="1174" t="s">
        <v>2093</v>
      </c>
      <c r="C39" s="1048">
        <v>1</v>
      </c>
      <c r="D39" s="1048" t="s">
        <v>1472</v>
      </c>
      <c r="E39" s="1048">
        <v>2</v>
      </c>
      <c r="F39" s="1049">
        <v>4.49</v>
      </c>
      <c r="G39" s="1049">
        <v>0.6</v>
      </c>
      <c r="H39" s="1177">
        <v>0.1</v>
      </c>
      <c r="I39" s="1049">
        <f t="shared" si="2"/>
        <v>0.54</v>
      </c>
      <c r="J39" s="1049"/>
      <c r="K39" s="1049"/>
      <c r="L39" s="1049"/>
      <c r="M39" s="1049"/>
    </row>
    <row r="40" spans="1:15" ht="14.1">
      <c r="A40" s="1046"/>
      <c r="B40" s="1174" t="s">
        <v>2094</v>
      </c>
      <c r="C40" s="1048">
        <v>1</v>
      </c>
      <c r="D40" s="1048" t="s">
        <v>1472</v>
      </c>
      <c r="E40" s="1048">
        <v>2</v>
      </c>
      <c r="F40" s="1049">
        <v>2.68</v>
      </c>
      <c r="G40" s="1049">
        <v>0.6</v>
      </c>
      <c r="H40" s="1177">
        <v>0.1</v>
      </c>
      <c r="I40" s="1049">
        <f t="shared" si="2"/>
        <v>0.32</v>
      </c>
      <c r="J40" s="1049"/>
      <c r="K40" s="1049"/>
      <c r="L40" s="1049"/>
      <c r="M40" s="1049"/>
    </row>
    <row r="41" spans="1:15" ht="14.1">
      <c r="A41" s="1046"/>
      <c r="B41" s="1174" t="s">
        <v>2560</v>
      </c>
      <c r="C41" s="1048">
        <v>1</v>
      </c>
      <c r="D41" s="1048" t="s">
        <v>1472</v>
      </c>
      <c r="E41" s="1048">
        <v>2</v>
      </c>
      <c r="F41" s="1049">
        <v>1.5</v>
      </c>
      <c r="G41" s="1049">
        <v>0.6</v>
      </c>
      <c r="H41" s="1049">
        <v>0.1</v>
      </c>
      <c r="I41" s="1049">
        <f t="shared" si="2"/>
        <v>0.18</v>
      </c>
      <c r="J41" s="1049"/>
      <c r="K41" s="1049"/>
      <c r="L41" s="1049"/>
      <c r="M41" s="1049"/>
    </row>
    <row r="42" spans="1:15" ht="14.1">
      <c r="A42" s="1046"/>
      <c r="B42" s="1175" t="s">
        <v>2375</v>
      </c>
      <c r="C42" s="1048">
        <v>1</v>
      </c>
      <c r="D42" s="1048" t="s">
        <v>1472</v>
      </c>
      <c r="E42" s="1048">
        <v>1</v>
      </c>
      <c r="F42" s="1049">
        <f>(31.5-6-4)*0.3048</f>
        <v>6.5532000000000004</v>
      </c>
      <c r="G42" s="1049">
        <v>0.6</v>
      </c>
      <c r="H42" s="1177">
        <v>0.1</v>
      </c>
      <c r="I42" s="1049">
        <f t="shared" si="2"/>
        <v>0.39</v>
      </c>
      <c r="J42" s="1049"/>
      <c r="K42" s="1049"/>
      <c r="L42" s="1049"/>
      <c r="M42" s="1049"/>
    </row>
    <row r="43" spans="1:15" ht="14.1">
      <c r="A43" s="1046"/>
      <c r="B43" s="1175" t="s">
        <v>2376</v>
      </c>
      <c r="C43" s="1048">
        <v>1</v>
      </c>
      <c r="D43" s="1048" t="s">
        <v>1472</v>
      </c>
      <c r="E43" s="1048">
        <v>2</v>
      </c>
      <c r="F43" s="1049">
        <v>3</v>
      </c>
      <c r="G43" s="1049">
        <v>0.6</v>
      </c>
      <c r="H43" s="1177">
        <v>0.1</v>
      </c>
      <c r="I43" s="1049">
        <f t="shared" si="2"/>
        <v>0.36</v>
      </c>
      <c r="J43" s="1049"/>
      <c r="K43" s="1049"/>
      <c r="L43" s="1049"/>
      <c r="M43" s="1049"/>
    </row>
    <row r="44" spans="1:15" ht="14.1">
      <c r="A44" s="1046"/>
      <c r="B44" s="1175" t="s">
        <v>2100</v>
      </c>
      <c r="C44" s="1048">
        <v>1</v>
      </c>
      <c r="D44" s="1048" t="s">
        <v>1472</v>
      </c>
      <c r="E44" s="1048">
        <v>1</v>
      </c>
      <c r="F44" s="1049">
        <f>(31.5-6)*0.3048</f>
        <v>7.7724000000000002</v>
      </c>
      <c r="G44" s="1049">
        <v>1.2</v>
      </c>
      <c r="H44" s="1177">
        <v>0.1</v>
      </c>
      <c r="I44" s="1049">
        <f t="shared" si="2"/>
        <v>0.93</v>
      </c>
      <c r="J44" s="1049"/>
      <c r="K44" s="1049"/>
      <c r="L44" s="1049"/>
      <c r="M44" s="1049"/>
    </row>
    <row r="45" spans="1:15" ht="14.1">
      <c r="A45" s="1046"/>
      <c r="B45" s="1175" t="s">
        <v>2099</v>
      </c>
      <c r="C45" s="1048">
        <v>1</v>
      </c>
      <c r="D45" s="1048" t="s">
        <v>1472</v>
      </c>
      <c r="E45" s="1048">
        <v>2</v>
      </c>
      <c r="F45" s="1049">
        <v>4.2</v>
      </c>
      <c r="G45" s="1049">
        <v>1.2</v>
      </c>
      <c r="H45" s="1177">
        <v>0.1</v>
      </c>
      <c r="I45" s="1049">
        <f t="shared" si="2"/>
        <v>1.01</v>
      </c>
      <c r="J45" s="1049"/>
      <c r="K45" s="1049"/>
      <c r="L45" s="1049"/>
      <c r="M45" s="1049"/>
    </row>
    <row r="46" spans="1:15" ht="14.1">
      <c r="A46" s="1046"/>
      <c r="B46" s="1175" t="s">
        <v>2490</v>
      </c>
      <c r="C46" s="1048">
        <v>3</v>
      </c>
      <c r="D46" s="1048" t="s">
        <v>1472</v>
      </c>
      <c r="E46" s="1048">
        <v>1</v>
      </c>
      <c r="F46" s="1049">
        <v>0.75</v>
      </c>
      <c r="G46" s="1049">
        <v>0.75</v>
      </c>
      <c r="H46" s="1049">
        <v>0.1</v>
      </c>
      <c r="I46" s="1049">
        <f t="shared" si="2"/>
        <v>0.17</v>
      </c>
      <c r="J46" s="1049"/>
      <c r="K46" s="1049"/>
      <c r="L46" s="1049"/>
      <c r="M46" s="1049"/>
    </row>
    <row r="47" spans="1:15" ht="14.1">
      <c r="A47" s="1046"/>
      <c r="B47" s="1175" t="s">
        <v>2463</v>
      </c>
      <c r="C47" s="1048">
        <v>1</v>
      </c>
      <c r="D47" s="1048" t="s">
        <v>1472</v>
      </c>
      <c r="E47" s="1048">
        <v>2</v>
      </c>
      <c r="F47" s="1049">
        <v>3</v>
      </c>
      <c r="G47" s="1049">
        <v>1.2</v>
      </c>
      <c r="H47" s="1177">
        <v>0.1</v>
      </c>
      <c r="I47" s="1049">
        <f t="shared" si="2"/>
        <v>0.72</v>
      </c>
      <c r="J47" s="1049"/>
      <c r="K47" s="1049"/>
      <c r="L47" s="1049"/>
      <c r="M47" s="1049"/>
    </row>
    <row r="48" spans="1:15" ht="14.1">
      <c r="A48" s="1046"/>
      <c r="B48" s="1050" t="s">
        <v>2533</v>
      </c>
      <c r="C48" s="1048">
        <v>1</v>
      </c>
      <c r="D48" s="1048" t="s">
        <v>1472</v>
      </c>
      <c r="E48" s="1048">
        <v>2</v>
      </c>
      <c r="F48" s="1049">
        <f>61.5*0.3048-6*0.225</f>
        <v>17.395199999999999</v>
      </c>
      <c r="G48" s="1049">
        <v>0.3</v>
      </c>
      <c r="H48" s="1094">
        <v>0.1</v>
      </c>
      <c r="I48" s="1049">
        <f t="shared" si="2"/>
        <v>1.04</v>
      </c>
      <c r="J48" s="1049"/>
      <c r="K48" s="1049"/>
      <c r="L48" s="1049"/>
      <c r="M48" s="1049"/>
      <c r="N48" s="1087"/>
      <c r="O48" s="1087"/>
    </row>
    <row r="49" spans="1:15" ht="27.6">
      <c r="A49" s="1046"/>
      <c r="B49" s="1050" t="s">
        <v>2534</v>
      </c>
      <c r="C49" s="1048">
        <v>1</v>
      </c>
      <c r="D49" s="1048" t="s">
        <v>1472</v>
      </c>
      <c r="E49" s="1048">
        <v>4</v>
      </c>
      <c r="F49" s="1049">
        <f>30*0.3048-0.45*2</f>
        <v>8.2439999999999998</v>
      </c>
      <c r="G49" s="1049">
        <v>0.3</v>
      </c>
      <c r="H49" s="1094">
        <v>0.1</v>
      </c>
      <c r="I49" s="1049">
        <f t="shared" si="2"/>
        <v>0.99</v>
      </c>
      <c r="J49" s="1049"/>
      <c r="K49" s="1049"/>
      <c r="L49" s="1049"/>
      <c r="M49" s="1049"/>
      <c r="N49" s="1087"/>
      <c r="O49" s="1087"/>
    </row>
    <row r="50" spans="1:15" ht="14.1">
      <c r="A50" s="1046"/>
      <c r="B50" s="1050" t="s">
        <v>2535</v>
      </c>
      <c r="C50" s="1048">
        <v>1</v>
      </c>
      <c r="D50" s="1048" t="s">
        <v>1472</v>
      </c>
      <c r="E50" s="1048">
        <v>1</v>
      </c>
      <c r="F50" s="1049">
        <v>3.6</v>
      </c>
      <c r="G50" s="1049">
        <v>0.3</v>
      </c>
      <c r="H50" s="1094">
        <v>0.1</v>
      </c>
      <c r="I50" s="1049">
        <f t="shared" si="2"/>
        <v>0.11</v>
      </c>
      <c r="J50" s="1049"/>
      <c r="K50" s="1049"/>
      <c r="L50" s="1049"/>
      <c r="M50" s="1049"/>
    </row>
    <row r="51" spans="1:15" ht="14.1">
      <c r="A51" s="1046"/>
      <c r="B51" s="1233"/>
      <c r="C51" s="1072"/>
      <c r="D51" s="1072"/>
      <c r="E51" s="1072"/>
      <c r="F51" s="1073"/>
      <c r="G51" s="1073"/>
      <c r="H51" s="1234"/>
      <c r="I51" s="1235">
        <v>0.26</v>
      </c>
      <c r="J51" s="1049"/>
      <c r="K51" s="1049"/>
      <c r="L51" s="1049"/>
      <c r="M51" s="1068"/>
    </row>
    <row r="52" spans="1:15" ht="14.1">
      <c r="A52" s="1046"/>
      <c r="B52" s="2564"/>
      <c r="C52" s="2565"/>
      <c r="D52" s="2565"/>
      <c r="E52" s="2565"/>
      <c r="F52" s="2565"/>
      <c r="G52" s="2565"/>
      <c r="H52" s="2566"/>
      <c r="I52" s="1052">
        <f>SUM(I32:I51)</f>
        <v>23.78</v>
      </c>
      <c r="J52" s="1049">
        <f>Datas!G174</f>
        <v>4155.8100000000004</v>
      </c>
      <c r="K52" s="1053">
        <f>ROUND(J52*I52,0)</f>
        <v>98825</v>
      </c>
      <c r="L52" s="1049">
        <v>108</v>
      </c>
      <c r="M52" s="1055">
        <f>L52*I52</f>
        <v>2568.2400000000002</v>
      </c>
      <c r="N52" s="1087">
        <v>108</v>
      </c>
      <c r="O52" s="1087">
        <f>ROUND(I52*N52,0)</f>
        <v>2568</v>
      </c>
    </row>
    <row r="53" spans="1:15" ht="14.1">
      <c r="A53" s="1046"/>
      <c r="B53" s="1060"/>
      <c r="C53" s="1048"/>
      <c r="D53" s="1048"/>
      <c r="E53" s="1048"/>
      <c r="F53" s="1049"/>
      <c r="G53" s="1049"/>
      <c r="H53" s="1049"/>
      <c r="I53" s="1053" t="s">
        <v>656</v>
      </c>
      <c r="J53" s="1053" t="s">
        <v>656</v>
      </c>
      <c r="K53" s="1053"/>
      <c r="L53" s="1053"/>
      <c r="M53" s="1053"/>
      <c r="N53" s="1087"/>
      <c r="O53" s="1087"/>
    </row>
    <row r="54" spans="1:15" ht="117" customHeight="1">
      <c r="A54" s="1085">
        <v>4</v>
      </c>
      <c r="B54" s="2415" t="s">
        <v>2445</v>
      </c>
      <c r="C54" s="2426"/>
      <c r="D54" s="2426"/>
      <c r="E54" s="2426"/>
      <c r="F54" s="2426"/>
      <c r="G54" s="2426"/>
      <c r="H54" s="2426"/>
      <c r="I54" s="2427"/>
      <c r="J54" s="1049"/>
      <c r="K54" s="1049"/>
      <c r="L54" s="1049"/>
      <c r="M54" s="1049"/>
      <c r="N54" s="1087"/>
      <c r="O54" s="1087"/>
    </row>
    <row r="55" spans="1:15" ht="14.1">
      <c r="A55" s="1046"/>
      <c r="B55" s="1060" t="s">
        <v>657</v>
      </c>
      <c r="C55" s="1061"/>
      <c r="D55" s="1061"/>
      <c r="E55" s="1061"/>
      <c r="F55" s="1062"/>
      <c r="G55" s="1062"/>
      <c r="H55" s="1062"/>
      <c r="I55" s="1062"/>
      <c r="J55" s="1049"/>
      <c r="K55" s="1049"/>
      <c r="L55" s="1049"/>
      <c r="M55" s="1049"/>
      <c r="N55" s="1087"/>
      <c r="O55" s="1087"/>
    </row>
    <row r="56" spans="1:15" ht="14.1">
      <c r="A56" s="1046"/>
      <c r="B56" s="1174" t="s">
        <v>2489</v>
      </c>
      <c r="C56" s="1048">
        <v>1</v>
      </c>
      <c r="D56" s="1048" t="s">
        <v>1472</v>
      </c>
      <c r="E56" s="1048">
        <v>2</v>
      </c>
      <c r="F56" s="1049">
        <f>(60.75)*0.3048+0.45</f>
        <v>18.9666</v>
      </c>
      <c r="G56" s="1049">
        <v>0.45</v>
      </c>
      <c r="H56" s="1049">
        <v>0.45</v>
      </c>
      <c r="I56" s="1049">
        <f t="shared" ref="I56:I63" si="3">ROUND(C56*E56*F56*G56*H56,2)</f>
        <v>7.68</v>
      </c>
      <c r="J56" s="1049"/>
      <c r="K56" s="1049"/>
      <c r="L56" s="1049"/>
      <c r="M56" s="1049"/>
      <c r="N56" s="1087"/>
      <c r="O56" s="1087"/>
    </row>
    <row r="57" spans="1:15" ht="24.6">
      <c r="A57" s="1046"/>
      <c r="B57" s="1174" t="s">
        <v>2488</v>
      </c>
      <c r="C57" s="1048">
        <v>1</v>
      </c>
      <c r="D57" s="1048" t="s">
        <v>1472</v>
      </c>
      <c r="E57" s="1048">
        <v>2</v>
      </c>
      <c r="F57" s="1049">
        <f>(30.75+4*4)*0.3048-0.45</f>
        <v>13.799400000000002</v>
      </c>
      <c r="G57" s="1049">
        <v>0.45</v>
      </c>
      <c r="H57" s="1049">
        <v>0.45</v>
      </c>
      <c r="I57" s="1049">
        <f t="shared" si="3"/>
        <v>5.59</v>
      </c>
      <c r="J57" s="1049"/>
      <c r="K57" s="1049"/>
      <c r="L57" s="1049"/>
      <c r="M57" s="1049"/>
      <c r="N57" s="1087"/>
      <c r="O57" s="1087"/>
    </row>
    <row r="58" spans="1:15" ht="14.1">
      <c r="A58" s="1046"/>
      <c r="B58" s="1174" t="s">
        <v>2093</v>
      </c>
      <c r="C58" s="1048">
        <v>1</v>
      </c>
      <c r="D58" s="1048" t="s">
        <v>1472</v>
      </c>
      <c r="E58" s="1048">
        <v>2</v>
      </c>
      <c r="F58" s="1049">
        <f>12.75*0.3048+0.45</f>
        <v>4.3361999999999998</v>
      </c>
      <c r="G58" s="1049">
        <v>0.45</v>
      </c>
      <c r="H58" s="1049">
        <v>0.45</v>
      </c>
      <c r="I58" s="1049">
        <f t="shared" si="3"/>
        <v>1.76</v>
      </c>
      <c r="J58" s="1049"/>
      <c r="K58" s="1049"/>
      <c r="L58" s="1049"/>
      <c r="M58" s="1049"/>
      <c r="N58" s="1087"/>
      <c r="O58" s="1087"/>
    </row>
    <row r="59" spans="1:15" ht="14.1">
      <c r="A59" s="1046"/>
      <c r="B59" s="1174" t="s">
        <v>2094</v>
      </c>
      <c r="C59" s="1048">
        <v>1</v>
      </c>
      <c r="D59" s="1048" t="s">
        <v>1472</v>
      </c>
      <c r="E59" s="1048">
        <v>2</v>
      </c>
      <c r="F59" s="1049">
        <f>10.75*0.3048-0.45</f>
        <v>2.8266</v>
      </c>
      <c r="G59" s="1049">
        <v>0.45</v>
      </c>
      <c r="H59" s="1049">
        <v>0.45</v>
      </c>
      <c r="I59" s="1049">
        <f t="shared" si="3"/>
        <v>1.1399999999999999</v>
      </c>
      <c r="J59" s="1049"/>
      <c r="K59" s="1049"/>
      <c r="L59" s="1049"/>
      <c r="M59" s="1049"/>
      <c r="N59" s="1087"/>
      <c r="O59" s="1087"/>
    </row>
    <row r="60" spans="1:15" ht="14.1">
      <c r="A60" s="1046"/>
      <c r="B60" s="1174" t="s">
        <v>2560</v>
      </c>
      <c r="C60" s="1048">
        <v>1</v>
      </c>
      <c r="D60" s="1048" t="s">
        <v>1472</v>
      </c>
      <c r="E60" s="1048">
        <v>2</v>
      </c>
      <c r="F60" s="1049">
        <v>1.5</v>
      </c>
      <c r="G60" s="1049">
        <v>0.4</v>
      </c>
      <c r="H60" s="1049">
        <v>0.45</v>
      </c>
      <c r="I60" s="1049">
        <f t="shared" si="3"/>
        <v>0.54</v>
      </c>
      <c r="J60" s="1049"/>
      <c r="K60" s="1049"/>
      <c r="L60" s="1049"/>
      <c r="M60" s="1049"/>
    </row>
    <row r="61" spans="1:15" ht="14.1">
      <c r="A61" s="1046"/>
      <c r="B61" s="1175" t="s">
        <v>2096</v>
      </c>
      <c r="C61" s="1048">
        <v>1</v>
      </c>
      <c r="D61" s="1048" t="s">
        <v>1472</v>
      </c>
      <c r="E61" s="1048">
        <v>1</v>
      </c>
      <c r="F61" s="1049">
        <f>(31.5-6-4)*0.3048</f>
        <v>6.5532000000000004</v>
      </c>
      <c r="G61" s="1049">
        <v>0.45</v>
      </c>
      <c r="H61" s="1049">
        <v>0.2</v>
      </c>
      <c r="I61" s="1049">
        <f t="shared" si="3"/>
        <v>0.59</v>
      </c>
      <c r="J61" s="1049"/>
      <c r="K61" s="1049"/>
      <c r="L61" s="1049"/>
      <c r="M61" s="1049"/>
      <c r="N61" s="1087"/>
      <c r="O61" s="1087"/>
    </row>
    <row r="62" spans="1:15" ht="14.1">
      <c r="A62" s="1046"/>
      <c r="B62" s="1175" t="s">
        <v>2097</v>
      </c>
      <c r="C62" s="1048">
        <v>1</v>
      </c>
      <c r="D62" s="1048" t="s">
        <v>1472</v>
      </c>
      <c r="E62" s="1048">
        <v>2</v>
      </c>
      <c r="F62" s="1049">
        <v>3</v>
      </c>
      <c r="G62" s="1049">
        <v>0.45</v>
      </c>
      <c r="H62" s="1049">
        <v>0.2</v>
      </c>
      <c r="I62" s="1049">
        <f t="shared" si="3"/>
        <v>0.54</v>
      </c>
      <c r="J62" s="1049"/>
      <c r="K62" s="1049"/>
      <c r="L62" s="1049"/>
      <c r="M62" s="1049"/>
      <c r="N62" s="1087"/>
      <c r="O62" s="1087"/>
    </row>
    <row r="63" spans="1:15" ht="14.1">
      <c r="A63" s="1046"/>
      <c r="B63" s="1175" t="s">
        <v>2490</v>
      </c>
      <c r="C63" s="1048">
        <v>3</v>
      </c>
      <c r="D63" s="1048" t="s">
        <v>1472</v>
      </c>
      <c r="E63" s="1048">
        <v>2</v>
      </c>
      <c r="F63" s="1049">
        <v>0.6</v>
      </c>
      <c r="G63" s="1049">
        <v>0.6</v>
      </c>
      <c r="H63" s="1049">
        <v>0.5</v>
      </c>
      <c r="I63" s="1049">
        <f t="shared" si="3"/>
        <v>1.08</v>
      </c>
      <c r="J63" s="1049"/>
      <c r="K63" s="1049"/>
      <c r="L63" s="1049"/>
      <c r="M63" s="1049"/>
    </row>
    <row r="64" spans="1:15" ht="14.1">
      <c r="A64" s="1046"/>
      <c r="B64" s="1190" t="s">
        <v>2017</v>
      </c>
      <c r="C64" s="1061"/>
      <c r="D64" s="1061"/>
      <c r="E64" s="1061"/>
      <c r="F64" s="1062"/>
      <c r="G64" s="1062"/>
      <c r="H64" s="1062"/>
      <c r="I64" s="1063">
        <f>SUM(I56:I63)</f>
        <v>18.919999999999995</v>
      </c>
      <c r="J64" s="1049"/>
      <c r="K64" s="1049"/>
      <c r="L64" s="1049"/>
      <c r="M64" s="1049"/>
      <c r="N64" s="1087"/>
      <c r="O64" s="1087"/>
    </row>
    <row r="65" spans="1:15" ht="24.6">
      <c r="A65" s="1046"/>
      <c r="B65" s="1174" t="s">
        <v>2090</v>
      </c>
      <c r="C65" s="1048">
        <v>1</v>
      </c>
      <c r="D65" s="1048" t="s">
        <v>1472</v>
      </c>
      <c r="E65" s="1048">
        <v>2</v>
      </c>
      <c r="F65" s="1049">
        <f>(60.75)*0.3048+0.45</f>
        <v>18.9666</v>
      </c>
      <c r="G65" s="1049">
        <v>0.45</v>
      </c>
      <c r="H65" s="1193">
        <v>0.42499999999999999</v>
      </c>
      <c r="I65" s="1049">
        <f t="shared" ref="I65:I70" si="4">ROUND(C65*E65*F65*G65*H65,2)</f>
        <v>7.25</v>
      </c>
      <c r="J65" s="1049"/>
      <c r="K65" s="1049"/>
      <c r="L65" s="1049"/>
      <c r="M65" s="1049"/>
      <c r="N65" s="1087"/>
      <c r="O65" s="1087"/>
    </row>
    <row r="66" spans="1:15" ht="24.6">
      <c r="A66" s="1046"/>
      <c r="B66" s="1174" t="s">
        <v>2091</v>
      </c>
      <c r="C66" s="1048">
        <v>1</v>
      </c>
      <c r="D66" s="1048" t="s">
        <v>1472</v>
      </c>
      <c r="E66" s="1048">
        <v>2</v>
      </c>
      <c r="F66" s="1049">
        <f>(30.75+4*4)*0.3048-0.45</f>
        <v>13.799400000000002</v>
      </c>
      <c r="G66" s="1049">
        <v>0.45</v>
      </c>
      <c r="H66" s="1193">
        <v>0.42499999999999999</v>
      </c>
      <c r="I66" s="1049">
        <f t="shared" si="4"/>
        <v>5.28</v>
      </c>
      <c r="J66" s="1049"/>
      <c r="K66" s="1049"/>
      <c r="L66" s="1049"/>
      <c r="M66" s="1049"/>
      <c r="N66" s="1087"/>
      <c r="O66" s="1087"/>
    </row>
    <row r="67" spans="1:15" ht="14.1">
      <c r="A67" s="1046"/>
      <c r="B67" s="1174" t="s">
        <v>2093</v>
      </c>
      <c r="C67" s="1048">
        <v>1</v>
      </c>
      <c r="D67" s="1048" t="s">
        <v>1472</v>
      </c>
      <c r="E67" s="1048">
        <v>2</v>
      </c>
      <c r="F67" s="1049">
        <f>12.75*0.3048+0.45</f>
        <v>4.3361999999999998</v>
      </c>
      <c r="G67" s="1049">
        <v>0.45</v>
      </c>
      <c r="H67" s="1193">
        <v>0.42499999999999999</v>
      </c>
      <c r="I67" s="1049">
        <f t="shared" si="4"/>
        <v>1.66</v>
      </c>
      <c r="J67" s="1049"/>
      <c r="K67" s="1049"/>
      <c r="L67" s="1049"/>
      <c r="M67" s="1049"/>
      <c r="N67" s="1087"/>
      <c r="O67" s="1087"/>
    </row>
    <row r="68" spans="1:15" ht="14.1">
      <c r="A68" s="1046"/>
      <c r="B68" s="1174" t="s">
        <v>2094</v>
      </c>
      <c r="C68" s="1048">
        <v>1</v>
      </c>
      <c r="D68" s="1048" t="s">
        <v>1472</v>
      </c>
      <c r="E68" s="1048">
        <v>2</v>
      </c>
      <c r="F68" s="1049">
        <f>10.75*0.3048-0.45</f>
        <v>2.8266</v>
      </c>
      <c r="G68" s="1049">
        <v>0.45</v>
      </c>
      <c r="H68" s="1193">
        <v>0.42499999999999999</v>
      </c>
      <c r="I68" s="1049">
        <f t="shared" si="4"/>
        <v>1.08</v>
      </c>
      <c r="J68" s="1049"/>
      <c r="K68" s="1049"/>
      <c r="L68" s="1049"/>
      <c r="M68" s="1049"/>
      <c r="N68" s="1087"/>
      <c r="O68" s="1087"/>
    </row>
    <row r="69" spans="1:15" ht="14.1">
      <c r="A69" s="1046"/>
      <c r="B69" s="1174" t="s">
        <v>2560</v>
      </c>
      <c r="C69" s="1048">
        <v>1</v>
      </c>
      <c r="D69" s="1048" t="s">
        <v>1472</v>
      </c>
      <c r="E69" s="1048">
        <v>2</v>
      </c>
      <c r="F69" s="1049">
        <v>1.5</v>
      </c>
      <c r="G69" s="1049">
        <v>0.4</v>
      </c>
      <c r="H69" s="1049">
        <v>0.45</v>
      </c>
      <c r="I69" s="1049">
        <f t="shared" si="4"/>
        <v>0.54</v>
      </c>
      <c r="J69" s="1049"/>
      <c r="K69" s="1049"/>
      <c r="L69" s="1049"/>
      <c r="M69" s="1049"/>
    </row>
    <row r="70" spans="1:15" ht="14.1">
      <c r="A70" s="1046"/>
      <c r="B70" s="1175" t="s">
        <v>2096</v>
      </c>
      <c r="C70" s="1048">
        <v>1</v>
      </c>
      <c r="D70" s="1048" t="s">
        <v>1472</v>
      </c>
      <c r="E70" s="1048">
        <v>1</v>
      </c>
      <c r="F70" s="1049">
        <f>(31.5-6-4)*0.3048</f>
        <v>6.5532000000000004</v>
      </c>
      <c r="G70" s="1049">
        <v>0.45</v>
      </c>
      <c r="H70" s="1193">
        <v>0.42499999999999999</v>
      </c>
      <c r="I70" s="1049">
        <f t="shared" si="4"/>
        <v>1.25</v>
      </c>
      <c r="J70" s="1049"/>
      <c r="K70" s="1049"/>
      <c r="L70" s="1049"/>
      <c r="M70" s="1049"/>
      <c r="N70" s="1087"/>
      <c r="O70" s="1087"/>
    </row>
    <row r="71" spans="1:15" ht="14.1">
      <c r="A71" s="1046"/>
      <c r="B71" s="1175" t="s">
        <v>2097</v>
      </c>
      <c r="C71" s="1048">
        <v>1</v>
      </c>
      <c r="D71" s="1048" t="s">
        <v>1472</v>
      </c>
      <c r="E71" s="1048">
        <v>2</v>
      </c>
      <c r="F71" s="1049">
        <v>3</v>
      </c>
      <c r="G71" s="1049">
        <v>0.45</v>
      </c>
      <c r="H71" s="1193">
        <v>0.42499999999999999</v>
      </c>
      <c r="I71" s="1049">
        <f>ROUND(C71*E71*F71*G71*H71,2)</f>
        <v>1.1499999999999999</v>
      </c>
      <c r="J71" s="1049"/>
      <c r="K71" s="1049"/>
      <c r="L71" s="1049"/>
      <c r="M71" s="1049"/>
      <c r="N71" s="1087"/>
      <c r="O71" s="1087"/>
    </row>
    <row r="72" spans="1:15" ht="14.1">
      <c r="A72" s="1046"/>
      <c r="B72" s="1175" t="s">
        <v>2422</v>
      </c>
      <c r="C72" s="1048">
        <v>1</v>
      </c>
      <c r="D72" s="1048" t="s">
        <v>1472</v>
      </c>
      <c r="E72" s="1048">
        <v>2</v>
      </c>
      <c r="F72" s="1049">
        <v>3</v>
      </c>
      <c r="G72" s="1049">
        <v>1.2</v>
      </c>
      <c r="H72" s="1222" t="s">
        <v>2464</v>
      </c>
      <c r="I72" s="1049">
        <f>ROUND(C72*E72*F72*G72*0.3,2)</f>
        <v>2.16</v>
      </c>
      <c r="J72" s="1049"/>
      <c r="K72" s="1049"/>
      <c r="L72" s="1049"/>
      <c r="M72" s="1049"/>
      <c r="N72" s="1087"/>
      <c r="O72" s="1087"/>
    </row>
    <row r="73" spans="1:15" ht="14.1">
      <c r="A73" s="1046"/>
      <c r="B73" s="1175" t="s">
        <v>2490</v>
      </c>
      <c r="C73" s="1048">
        <v>3</v>
      </c>
      <c r="D73" s="1048" t="s">
        <v>1472</v>
      </c>
      <c r="E73" s="1048">
        <v>2</v>
      </c>
      <c r="F73" s="1049">
        <v>0.45</v>
      </c>
      <c r="G73" s="1049">
        <v>0.45</v>
      </c>
      <c r="H73" s="1049">
        <v>0.3</v>
      </c>
      <c r="I73" s="1049">
        <f>ROUND(C73*E73*F73*G73*H73,2)</f>
        <v>0.36</v>
      </c>
      <c r="J73" s="1049"/>
      <c r="K73" s="1049"/>
      <c r="L73" s="1049"/>
      <c r="M73" s="1049"/>
    </row>
    <row r="74" spans="1:15" ht="14.1">
      <c r="A74" s="1046"/>
      <c r="B74" s="1179"/>
      <c r="C74" s="1048"/>
      <c r="D74" s="1048"/>
      <c r="E74" s="1048"/>
      <c r="F74" s="1049"/>
      <c r="G74" s="1049"/>
      <c r="H74" s="1049"/>
      <c r="I74" s="1053">
        <f>SUM(I65:I73)</f>
        <v>20.73</v>
      </c>
      <c r="J74" s="1049"/>
      <c r="K74" s="1049"/>
      <c r="L74" s="1049"/>
      <c r="M74" s="1049"/>
      <c r="N74" s="1087"/>
      <c r="O74" s="1087"/>
    </row>
    <row r="75" spans="1:15" ht="14.1">
      <c r="A75" s="1046"/>
      <c r="B75" s="1179" t="s">
        <v>421</v>
      </c>
      <c r="C75" s="1048"/>
      <c r="D75" s="1048"/>
      <c r="E75" s="1048"/>
      <c r="F75" s="1049"/>
      <c r="G75" s="1049"/>
      <c r="H75" s="1049"/>
      <c r="I75" s="1049"/>
      <c r="J75" s="1049"/>
      <c r="K75" s="1049"/>
      <c r="L75" s="1049"/>
      <c r="M75" s="1049"/>
      <c r="N75" s="1087"/>
      <c r="O75" s="1087"/>
    </row>
    <row r="76" spans="1:15" ht="14.1">
      <c r="A76" s="1046"/>
      <c r="B76" s="1179" t="s">
        <v>2102</v>
      </c>
      <c r="C76" s="1048">
        <v>1</v>
      </c>
      <c r="D76" s="1048" t="s">
        <v>1472</v>
      </c>
      <c r="E76" s="1048">
        <v>1</v>
      </c>
      <c r="F76" s="1049">
        <f>(31.5-6)*0.3048</f>
        <v>7.7724000000000002</v>
      </c>
      <c r="G76" s="1049">
        <v>1.2</v>
      </c>
      <c r="H76" s="1049">
        <v>0.15</v>
      </c>
      <c r="I76" s="1049">
        <f t="shared" ref="I76:I83" si="5">ROUND(C76*E76*F76*G76*H76,2)</f>
        <v>1.4</v>
      </c>
      <c r="J76" s="1049"/>
      <c r="K76" s="1049"/>
      <c r="L76" s="1049"/>
      <c r="M76" s="1049"/>
      <c r="N76" s="1049"/>
      <c r="O76" s="1087"/>
    </row>
    <row r="77" spans="1:15" ht="14.1">
      <c r="A77" s="1046"/>
      <c r="B77" s="1179" t="s">
        <v>2103</v>
      </c>
      <c r="C77" s="1048">
        <v>1</v>
      </c>
      <c r="D77" s="1048" t="s">
        <v>1472</v>
      </c>
      <c r="E77" s="1048">
        <v>1</v>
      </c>
      <c r="F77" s="1049">
        <f>(31.5-6-2)*0.3048</f>
        <v>7.1628000000000007</v>
      </c>
      <c r="G77" s="1049">
        <v>0.9</v>
      </c>
      <c r="H77" s="1049">
        <v>0.15</v>
      </c>
      <c r="I77" s="1049">
        <f t="shared" si="5"/>
        <v>0.97</v>
      </c>
      <c r="J77" s="1049"/>
      <c r="K77" s="1049"/>
      <c r="L77" s="1049"/>
      <c r="M77" s="1049"/>
      <c r="N77" s="1049"/>
      <c r="O77" s="1087"/>
    </row>
    <row r="78" spans="1:15" ht="14.1">
      <c r="A78" s="1046"/>
      <c r="B78" s="1179" t="s">
        <v>2101</v>
      </c>
      <c r="C78" s="1048">
        <v>1</v>
      </c>
      <c r="D78" s="1048" t="s">
        <v>1472</v>
      </c>
      <c r="E78" s="1048">
        <v>1</v>
      </c>
      <c r="F78" s="1049">
        <f>(31.5-6-2-2)*0.3048</f>
        <v>6.5532000000000004</v>
      </c>
      <c r="G78" s="1049">
        <v>0.6</v>
      </c>
      <c r="H78" s="1049">
        <v>0.15</v>
      </c>
      <c r="I78" s="1049">
        <f t="shared" si="5"/>
        <v>0.59</v>
      </c>
      <c r="J78" s="1049"/>
      <c r="K78" s="1049"/>
      <c r="L78" s="1049"/>
      <c r="M78" s="1049"/>
      <c r="N78" s="1049"/>
      <c r="O78" s="1087"/>
    </row>
    <row r="79" spans="1:15" ht="14.1">
      <c r="A79" s="1046"/>
      <c r="B79" s="1179" t="s">
        <v>2104</v>
      </c>
      <c r="C79" s="1048">
        <v>1</v>
      </c>
      <c r="D79" s="1048" t="s">
        <v>1472</v>
      </c>
      <c r="E79" s="1048">
        <v>1</v>
      </c>
      <c r="F79" s="1049">
        <f>(31.5-6-2-2-2)*0.3048</f>
        <v>5.9436</v>
      </c>
      <c r="G79" s="1049">
        <v>0.3</v>
      </c>
      <c r="H79" s="1049">
        <v>0.15</v>
      </c>
      <c r="I79" s="1049">
        <f t="shared" si="5"/>
        <v>0.27</v>
      </c>
      <c r="J79" s="1049"/>
      <c r="K79" s="1049"/>
      <c r="L79" s="1049"/>
      <c r="M79" s="1049"/>
      <c r="N79" s="1049"/>
      <c r="O79" s="1087"/>
    </row>
    <row r="80" spans="1:15" ht="14.1">
      <c r="A80" s="1046"/>
      <c r="B80" s="1179" t="s">
        <v>2105</v>
      </c>
      <c r="C80" s="1048">
        <v>1</v>
      </c>
      <c r="D80" s="1048" t="s">
        <v>1472</v>
      </c>
      <c r="E80" s="1048">
        <v>1</v>
      </c>
      <c r="F80" s="1049">
        <f>(10)*0.3048</f>
        <v>3.048</v>
      </c>
      <c r="G80" s="1049">
        <v>1.2</v>
      </c>
      <c r="H80" s="1049">
        <v>0.15</v>
      </c>
      <c r="I80" s="1049">
        <f t="shared" si="5"/>
        <v>0.55000000000000004</v>
      </c>
      <c r="J80" s="1049"/>
      <c r="K80" s="1049"/>
      <c r="L80" s="1049"/>
      <c r="M80" s="1049"/>
      <c r="N80" s="1049"/>
      <c r="O80" s="1087"/>
    </row>
    <row r="81" spans="1:15" ht="14.1">
      <c r="A81" s="1046"/>
      <c r="B81" s="1179" t="s">
        <v>2106</v>
      </c>
      <c r="C81" s="1048">
        <v>1</v>
      </c>
      <c r="D81" s="1048" t="s">
        <v>1472</v>
      </c>
      <c r="E81" s="1048">
        <v>1</v>
      </c>
      <c r="F81" s="1049">
        <f>(10-1)*0.3048</f>
        <v>2.7432000000000003</v>
      </c>
      <c r="G81" s="1049">
        <v>0.9</v>
      </c>
      <c r="H81" s="1049">
        <v>0.15</v>
      </c>
      <c r="I81" s="1049">
        <f t="shared" si="5"/>
        <v>0.37</v>
      </c>
      <c r="J81" s="1049"/>
      <c r="K81" s="1049"/>
      <c r="L81" s="1049"/>
      <c r="M81" s="1049"/>
      <c r="N81" s="1049"/>
      <c r="O81" s="1087"/>
    </row>
    <row r="82" spans="1:15" ht="14.1">
      <c r="A82" s="1046"/>
      <c r="B82" s="1179" t="s">
        <v>2107</v>
      </c>
      <c r="C82" s="1048">
        <v>1</v>
      </c>
      <c r="D82" s="1048" t="s">
        <v>1472</v>
      </c>
      <c r="E82" s="1048">
        <v>1</v>
      </c>
      <c r="F82" s="1049">
        <f>(10-2)*0.3048</f>
        <v>2.4384000000000001</v>
      </c>
      <c r="G82" s="1049">
        <v>0.6</v>
      </c>
      <c r="H82" s="1049">
        <v>0.15</v>
      </c>
      <c r="I82" s="1049">
        <f t="shared" si="5"/>
        <v>0.22</v>
      </c>
      <c r="J82" s="1049"/>
      <c r="K82" s="1049"/>
      <c r="L82" s="1049"/>
      <c r="M82" s="1049"/>
      <c r="N82" s="1049"/>
      <c r="O82" s="1087"/>
    </row>
    <row r="83" spans="1:15" ht="14.1">
      <c r="A83" s="1046"/>
      <c r="B83" s="1179" t="s">
        <v>2108</v>
      </c>
      <c r="C83" s="1048">
        <v>1</v>
      </c>
      <c r="D83" s="1048" t="s">
        <v>1472</v>
      </c>
      <c r="E83" s="1048">
        <v>1</v>
      </c>
      <c r="F83" s="1049">
        <f>(10-3)*0.3048</f>
        <v>2.1335999999999999</v>
      </c>
      <c r="G83" s="1049">
        <v>0.3</v>
      </c>
      <c r="H83" s="1049">
        <v>0.15</v>
      </c>
      <c r="I83" s="1049">
        <f t="shared" si="5"/>
        <v>0.1</v>
      </c>
      <c r="J83" s="1049"/>
      <c r="K83" s="1049"/>
      <c r="L83" s="1049"/>
      <c r="M83" s="1049"/>
      <c r="N83" s="1049"/>
      <c r="O83" s="1087"/>
    </row>
    <row r="84" spans="1:15" ht="14.1">
      <c r="A84" s="1046"/>
      <c r="B84" s="1179"/>
      <c r="C84" s="1048"/>
      <c r="D84" s="1048"/>
      <c r="E84" s="1048"/>
      <c r="F84" s="1049"/>
      <c r="G84" s="1049"/>
      <c r="H84" s="1049"/>
      <c r="I84" s="1053">
        <f>SUM(I76:I83)</f>
        <v>4.47</v>
      </c>
      <c r="J84" s="1049"/>
      <c r="K84" s="1049"/>
      <c r="L84" s="1049"/>
      <c r="M84" s="1049"/>
      <c r="N84" s="1068"/>
      <c r="O84" s="1087"/>
    </row>
    <row r="85" spans="1:15" ht="14.1">
      <c r="A85" s="1046"/>
      <c r="B85" s="1236"/>
      <c r="C85" s="1072"/>
      <c r="D85" s="1072"/>
      <c r="E85" s="1072"/>
      <c r="F85" s="1073"/>
      <c r="G85" s="1073"/>
      <c r="H85" s="1074"/>
      <c r="I85" s="1054">
        <v>1.62</v>
      </c>
      <c r="J85" s="1049"/>
      <c r="K85" s="1049"/>
      <c r="L85" s="1049"/>
      <c r="M85" s="1068"/>
      <c r="N85" s="1068"/>
      <c r="O85" s="1087"/>
    </row>
    <row r="86" spans="1:15" ht="14.1">
      <c r="A86" s="1046"/>
      <c r="B86" s="2432"/>
      <c r="C86" s="2433"/>
      <c r="D86" s="2433"/>
      <c r="E86" s="2433"/>
      <c r="F86" s="2433"/>
      <c r="G86" s="2433"/>
      <c r="H86" s="2434"/>
      <c r="I86" s="1053">
        <f>I84+I74+I64+I85</f>
        <v>45.739999999999988</v>
      </c>
      <c r="J86" s="1049">
        <f>Datas!$G$212</f>
        <v>3494.84</v>
      </c>
      <c r="K86" s="1053">
        <f>ROUND(J86*I86,0)</f>
        <v>159854</v>
      </c>
      <c r="L86" s="1049">
        <f>1.1*75+0.33*90</f>
        <v>112.2</v>
      </c>
      <c r="M86" s="1055">
        <f>L86*I86</f>
        <v>5132.0279999999984</v>
      </c>
      <c r="N86" s="1087">
        <f>(1.1*75+0.33*90)</f>
        <v>112.2</v>
      </c>
      <c r="O86" s="1087">
        <f>ROUND(I86*N86,0)</f>
        <v>5132</v>
      </c>
    </row>
    <row r="87" spans="1:15" ht="14.1">
      <c r="A87" s="1046"/>
      <c r="B87" s="1051"/>
      <c r="C87" s="1048"/>
      <c r="D87" s="1048"/>
      <c r="E87" s="1048"/>
      <c r="F87" s="1049"/>
      <c r="G87" s="1049"/>
      <c r="H87" s="1049"/>
      <c r="I87" s="1053" t="s">
        <v>656</v>
      </c>
      <c r="J87" s="1049" t="s">
        <v>197</v>
      </c>
      <c r="K87" s="1049"/>
      <c r="L87" s="1049"/>
      <c r="M87" s="1049"/>
      <c r="N87" s="1087"/>
      <c r="O87" s="1087"/>
    </row>
    <row r="88" spans="1:15" ht="157.5" customHeight="1">
      <c r="A88" s="1085">
        <v>5</v>
      </c>
      <c r="B88" s="2415" t="s">
        <v>2446</v>
      </c>
      <c r="C88" s="2426"/>
      <c r="D88" s="2426"/>
      <c r="E88" s="2426"/>
      <c r="F88" s="2426"/>
      <c r="G88" s="2426"/>
      <c r="H88" s="2426"/>
      <c r="I88" s="2427"/>
      <c r="J88" s="1049"/>
      <c r="K88" s="1049"/>
      <c r="L88" s="1049"/>
      <c r="M88" s="1049"/>
      <c r="N88" s="1087"/>
      <c r="O88" s="1087"/>
    </row>
    <row r="89" spans="1:15" ht="14.1">
      <c r="A89" s="1046" t="s">
        <v>659</v>
      </c>
      <c r="B89" s="1066" t="s">
        <v>660</v>
      </c>
      <c r="C89" s="1048"/>
      <c r="D89" s="1048"/>
      <c r="E89" s="1048"/>
      <c r="F89" s="1049"/>
      <c r="G89" s="1049"/>
      <c r="H89" s="1049"/>
      <c r="I89" s="1049"/>
      <c r="J89" s="1049"/>
      <c r="K89" s="1049"/>
      <c r="L89" s="1049"/>
      <c r="M89" s="1049"/>
      <c r="N89" s="1087"/>
      <c r="O89" s="1087"/>
    </row>
    <row r="90" spans="1:15" ht="14.1">
      <c r="A90" s="1046"/>
      <c r="B90" s="1066" t="s">
        <v>2491</v>
      </c>
      <c r="C90" s="1048">
        <v>1</v>
      </c>
      <c r="D90" s="1048" t="s">
        <v>1472</v>
      </c>
      <c r="E90" s="1048">
        <v>10</v>
      </c>
      <c r="F90" s="1049">
        <v>1.25</v>
      </c>
      <c r="G90" s="1049">
        <v>1.25</v>
      </c>
      <c r="H90" s="1049">
        <v>0.3</v>
      </c>
      <c r="I90" s="1049">
        <f>ROUND(C90*E90*F90*G90*H90,2)</f>
        <v>4.6900000000000004</v>
      </c>
      <c r="J90" s="1049"/>
      <c r="K90" s="1049"/>
      <c r="L90" s="1049"/>
      <c r="M90" s="1049"/>
      <c r="N90" s="1087"/>
      <c r="O90" s="1087"/>
    </row>
    <row r="91" spans="1:15" ht="14.1">
      <c r="A91" s="1046"/>
      <c r="B91" s="1066" t="s">
        <v>2492</v>
      </c>
      <c r="C91" s="1048">
        <v>1</v>
      </c>
      <c r="D91" s="1048" t="s">
        <v>1472</v>
      </c>
      <c r="E91" s="1048">
        <v>6</v>
      </c>
      <c r="F91" s="1049">
        <v>1.5</v>
      </c>
      <c r="G91" s="1049">
        <v>1</v>
      </c>
      <c r="H91" s="1049">
        <v>0.3</v>
      </c>
      <c r="I91" s="1049">
        <f>ROUND(C91*E91*F91*G91*H91,2)</f>
        <v>2.7</v>
      </c>
      <c r="J91" s="1049"/>
      <c r="K91" s="1049"/>
      <c r="L91" s="1049"/>
      <c r="M91" s="1049"/>
      <c r="N91" s="1087"/>
      <c r="O91" s="1087"/>
    </row>
    <row r="92" spans="1:15" ht="14.1">
      <c r="A92" s="1046"/>
      <c r="B92" s="1065"/>
      <c r="C92" s="1048"/>
      <c r="D92" s="1048"/>
      <c r="E92" s="1048"/>
      <c r="F92" s="1049"/>
      <c r="G92" s="1049"/>
      <c r="H92" s="1049"/>
      <c r="I92" s="1052">
        <f>SUM(I89:I91)</f>
        <v>7.3900000000000006</v>
      </c>
      <c r="J92" s="1049">
        <f>Datas!$G$318</f>
        <v>8788.51</v>
      </c>
      <c r="K92" s="1053">
        <f>ROUND(J92*I92,0)</f>
        <v>64947</v>
      </c>
      <c r="L92" s="1049">
        <v>108</v>
      </c>
      <c r="M92" s="1055">
        <f>L92*I92</f>
        <v>798.12000000000012</v>
      </c>
      <c r="N92" s="1087">
        <v>108</v>
      </c>
      <c r="O92" s="1087">
        <f>ROUND(I92*N92,0)</f>
        <v>798</v>
      </c>
    </row>
    <row r="93" spans="1:15" ht="14.1">
      <c r="A93" s="1046"/>
      <c r="B93" s="1065"/>
      <c r="C93" s="1048"/>
      <c r="D93" s="1048"/>
      <c r="E93" s="1048"/>
      <c r="F93" s="1049"/>
      <c r="G93" s="1049"/>
      <c r="H93" s="1049"/>
      <c r="I93" s="1053" t="s">
        <v>656</v>
      </c>
      <c r="J93" s="1049" t="s">
        <v>658</v>
      </c>
      <c r="K93" s="1053"/>
      <c r="L93" s="1053"/>
      <c r="M93" s="1053"/>
      <c r="N93" s="1087"/>
      <c r="O93" s="1087"/>
    </row>
    <row r="94" spans="1:15" ht="14.1">
      <c r="A94" s="1046" t="s">
        <v>950</v>
      </c>
      <c r="B94" s="1066" t="s">
        <v>662</v>
      </c>
      <c r="C94" s="1048"/>
      <c r="D94" s="1048"/>
      <c r="E94" s="1048"/>
      <c r="F94" s="1049"/>
      <c r="G94" s="1049"/>
      <c r="H94" s="1049"/>
      <c r="I94" s="1049"/>
      <c r="J94" s="1049"/>
      <c r="K94" s="1049"/>
      <c r="L94" s="1049"/>
      <c r="M94" s="1049"/>
      <c r="N94" s="1087"/>
      <c r="O94" s="1087"/>
    </row>
    <row r="95" spans="1:15" ht="14.1">
      <c r="A95" s="1046"/>
      <c r="B95" s="1065" t="s">
        <v>2493</v>
      </c>
      <c r="C95" s="1048">
        <v>1</v>
      </c>
      <c r="D95" s="1048" t="s">
        <v>1472</v>
      </c>
      <c r="E95" s="1048">
        <v>4</v>
      </c>
      <c r="F95" s="1049">
        <v>0.23</v>
      </c>
      <c r="G95" s="1049">
        <v>0.3</v>
      </c>
      <c r="H95" s="1049">
        <f>1.8-0.15-0.3</f>
        <v>1.35</v>
      </c>
      <c r="I95" s="1049">
        <f>ROUND(C95*E95*F95*G95*H95,2)</f>
        <v>0.37</v>
      </c>
      <c r="J95" s="1049"/>
      <c r="K95" s="1049"/>
      <c r="L95" s="1049"/>
      <c r="M95" s="1049"/>
      <c r="N95" s="1087"/>
      <c r="O95" s="1087"/>
    </row>
    <row r="96" spans="1:15" ht="14.1">
      <c r="A96" s="1046"/>
      <c r="B96" s="1065" t="s">
        <v>2494</v>
      </c>
      <c r="C96" s="1048">
        <v>1</v>
      </c>
      <c r="D96" s="1048" t="s">
        <v>1472</v>
      </c>
      <c r="E96" s="1048">
        <v>6</v>
      </c>
      <c r="F96" s="1049">
        <v>0.23</v>
      </c>
      <c r="G96" s="1193">
        <v>0.375</v>
      </c>
      <c r="H96" s="1049">
        <f>1.8-0.15-0.3</f>
        <v>1.35</v>
      </c>
      <c r="I96" s="1049">
        <f>ROUND(C96*E96*F96*G96*H96,2)</f>
        <v>0.7</v>
      </c>
      <c r="J96" s="1049"/>
      <c r="K96" s="1049"/>
      <c r="L96" s="1049"/>
      <c r="M96" s="1049"/>
      <c r="N96" s="1087"/>
      <c r="O96" s="1087"/>
    </row>
    <row r="97" spans="1:15" ht="14.1">
      <c r="A97" s="1046"/>
      <c r="B97" s="1065" t="s">
        <v>2495</v>
      </c>
      <c r="C97" s="1048">
        <v>1</v>
      </c>
      <c r="D97" s="1048" t="s">
        <v>1472</v>
      </c>
      <c r="E97" s="1048">
        <v>6</v>
      </c>
      <c r="F97" s="1049">
        <v>0.23</v>
      </c>
      <c r="G97" s="1193">
        <v>0.375</v>
      </c>
      <c r="H97" s="1049">
        <f>1.8-0.15-0.3</f>
        <v>1.35</v>
      </c>
      <c r="I97" s="1049">
        <f>ROUND(C97*E97*F97*G97*H97,2)</f>
        <v>0.7</v>
      </c>
      <c r="J97" s="1049"/>
      <c r="K97" s="1049"/>
      <c r="L97" s="1049"/>
      <c r="M97" s="1049"/>
      <c r="N97" s="1087"/>
      <c r="O97" s="1087"/>
    </row>
    <row r="98" spans="1:15" ht="14.1">
      <c r="A98" s="1046"/>
      <c r="B98" s="1066" t="s">
        <v>2561</v>
      </c>
      <c r="C98" s="1048"/>
      <c r="D98" s="1048"/>
      <c r="E98" s="1048"/>
      <c r="F98" s="1049"/>
      <c r="G98" s="1049"/>
      <c r="H98" s="1049"/>
      <c r="I98" s="1053"/>
      <c r="J98" s="1049"/>
      <c r="K98" s="1049"/>
      <c r="L98" s="1049"/>
      <c r="M98" s="1049"/>
      <c r="N98" s="1087"/>
      <c r="O98" s="1087"/>
    </row>
    <row r="99" spans="1:15" ht="14.1">
      <c r="A99" s="1046"/>
      <c r="B99" s="1065" t="s">
        <v>2493</v>
      </c>
      <c r="C99" s="1048">
        <v>1</v>
      </c>
      <c r="D99" s="1048" t="s">
        <v>1472</v>
      </c>
      <c r="E99" s="1048">
        <v>4</v>
      </c>
      <c r="F99" s="1049">
        <v>0.23</v>
      </c>
      <c r="G99" s="1049">
        <v>0.3</v>
      </c>
      <c r="H99" s="1049">
        <v>0.6</v>
      </c>
      <c r="I99" s="1049">
        <f>ROUND(C99*E99*F99*G99*H99,2)</f>
        <v>0.17</v>
      </c>
      <c r="J99" s="1049"/>
      <c r="K99" s="1049"/>
      <c r="L99" s="1049"/>
      <c r="M99" s="1049"/>
      <c r="N99" s="1087"/>
      <c r="O99" s="1087"/>
    </row>
    <row r="100" spans="1:15" ht="14.1">
      <c r="A100" s="1046"/>
      <c r="B100" s="1065" t="s">
        <v>2494</v>
      </c>
      <c r="C100" s="1048">
        <v>1</v>
      </c>
      <c r="D100" s="1048" t="s">
        <v>1472</v>
      </c>
      <c r="E100" s="1048">
        <v>6</v>
      </c>
      <c r="F100" s="1049">
        <v>0.23</v>
      </c>
      <c r="G100" s="1193">
        <v>0.375</v>
      </c>
      <c r="H100" s="1049">
        <v>0.6</v>
      </c>
      <c r="I100" s="1049">
        <f>ROUND(C100*E100*F100*G100*H100,2)</f>
        <v>0.31</v>
      </c>
      <c r="J100" s="1049"/>
      <c r="K100" s="1049"/>
      <c r="L100" s="1049"/>
      <c r="M100" s="1049"/>
      <c r="N100" s="1087"/>
      <c r="O100" s="1087"/>
    </row>
    <row r="101" spans="1:15" ht="14.1">
      <c r="A101" s="1046"/>
      <c r="B101" s="1065" t="s">
        <v>2495</v>
      </c>
      <c r="C101" s="1048">
        <v>1</v>
      </c>
      <c r="D101" s="1048" t="s">
        <v>1472</v>
      </c>
      <c r="E101" s="1048">
        <v>6</v>
      </c>
      <c r="F101" s="1049">
        <v>0.23</v>
      </c>
      <c r="G101" s="1193">
        <v>0.375</v>
      </c>
      <c r="H101" s="1049">
        <v>0.6</v>
      </c>
      <c r="I101" s="1049">
        <f>ROUND(C101*E101*F101*G101*H101,2)</f>
        <v>0.31</v>
      </c>
      <c r="J101" s="1049"/>
      <c r="K101" s="1049"/>
      <c r="L101" s="1049"/>
      <c r="M101" s="1049"/>
      <c r="N101" s="1087"/>
      <c r="O101" s="1087"/>
    </row>
    <row r="102" spans="1:15" ht="14.1">
      <c r="A102" s="1046"/>
      <c r="B102" s="1066" t="s">
        <v>2562</v>
      </c>
      <c r="C102" s="1048"/>
      <c r="D102" s="1048"/>
      <c r="E102" s="1048"/>
      <c r="F102" s="1049"/>
      <c r="G102" s="1049"/>
      <c r="H102" s="1049"/>
      <c r="I102" s="1053"/>
      <c r="J102" s="1049"/>
      <c r="K102" s="1049"/>
      <c r="L102" s="1049"/>
      <c r="M102" s="1049"/>
      <c r="N102" s="1087"/>
      <c r="O102" s="1087"/>
    </row>
    <row r="103" spans="1:15" ht="14.1">
      <c r="A103" s="1046"/>
      <c r="B103" s="1065" t="s">
        <v>2493</v>
      </c>
      <c r="C103" s="1048">
        <v>1</v>
      </c>
      <c r="D103" s="1048" t="s">
        <v>1472</v>
      </c>
      <c r="E103" s="1048">
        <v>4</v>
      </c>
      <c r="F103" s="1049">
        <v>0.23</v>
      </c>
      <c r="G103" s="1049">
        <v>0.3</v>
      </c>
      <c r="H103" s="1049">
        <v>3.6</v>
      </c>
      <c r="I103" s="1049">
        <f>ROUND(C103*E103*F103*G103*H103,2)</f>
        <v>0.99</v>
      </c>
      <c r="J103" s="1049"/>
      <c r="K103" s="1049"/>
      <c r="L103" s="1049"/>
      <c r="M103" s="1049"/>
      <c r="N103" s="1087"/>
      <c r="O103" s="1087"/>
    </row>
    <row r="104" spans="1:15" ht="14.1">
      <c r="A104" s="1046"/>
      <c r="B104" s="1065" t="s">
        <v>2494</v>
      </c>
      <c r="C104" s="1048">
        <v>1</v>
      </c>
      <c r="D104" s="1048" t="s">
        <v>1472</v>
      </c>
      <c r="E104" s="1048">
        <v>6</v>
      </c>
      <c r="F104" s="1049">
        <v>0.23</v>
      </c>
      <c r="G104" s="1193">
        <v>0.375</v>
      </c>
      <c r="H104" s="1049">
        <v>3.6</v>
      </c>
      <c r="I104" s="1049">
        <f>ROUND(C104*E104*F104*G104*H104,2)</f>
        <v>1.86</v>
      </c>
      <c r="J104" s="1049"/>
      <c r="K104" s="1049"/>
      <c r="L104" s="1049"/>
      <c r="M104" s="1049"/>
      <c r="N104" s="1087"/>
      <c r="O104" s="1087"/>
    </row>
    <row r="105" spans="1:15" ht="14.1">
      <c r="A105" s="1046"/>
      <c r="B105" s="1065" t="s">
        <v>2495</v>
      </c>
      <c r="C105" s="1048">
        <v>1</v>
      </c>
      <c r="D105" s="1048" t="s">
        <v>1472</v>
      </c>
      <c r="E105" s="1048">
        <v>6</v>
      </c>
      <c r="F105" s="1049">
        <v>0.23</v>
      </c>
      <c r="G105" s="1193">
        <v>0.375</v>
      </c>
      <c r="H105" s="1049">
        <v>3.6</v>
      </c>
      <c r="I105" s="1049">
        <f>ROUND(C105*E105*F105*G105*H105,2)</f>
        <v>1.86</v>
      </c>
      <c r="J105" s="1049"/>
      <c r="K105" s="1049"/>
      <c r="L105" s="1049"/>
      <c r="M105" s="1049"/>
      <c r="N105" s="1087"/>
      <c r="O105" s="1087"/>
    </row>
    <row r="106" spans="1:15" ht="14.1">
      <c r="A106" s="1046"/>
      <c r="B106" s="1065"/>
      <c r="C106" s="1048"/>
      <c r="D106" s="1048"/>
      <c r="E106" s="1048"/>
      <c r="F106" s="1049"/>
      <c r="G106" s="1049"/>
      <c r="H106" s="1049"/>
      <c r="I106" s="1053">
        <f>SUM(I95:I105)</f>
        <v>7.2700000000000005</v>
      </c>
      <c r="J106" s="1049"/>
      <c r="K106" s="1049"/>
      <c r="L106" s="1049"/>
      <c r="M106" s="1049"/>
      <c r="N106" s="1087"/>
      <c r="O106" s="1087"/>
    </row>
    <row r="107" spans="1:15" ht="14.1">
      <c r="A107" s="1046"/>
      <c r="B107" s="1237"/>
      <c r="C107" s="1072"/>
      <c r="D107" s="1072"/>
      <c r="E107" s="1072"/>
      <c r="F107" s="1073"/>
      <c r="G107" s="1073"/>
      <c r="H107" s="1074"/>
      <c r="I107" s="1238">
        <v>-0.79</v>
      </c>
      <c r="J107" s="1049"/>
      <c r="K107" s="1049"/>
      <c r="L107" s="1049"/>
      <c r="M107" s="1068"/>
      <c r="N107" s="1087"/>
      <c r="O107" s="1087"/>
    </row>
    <row r="108" spans="1:15" ht="14.1">
      <c r="A108" s="1046"/>
      <c r="B108" s="2432"/>
      <c r="C108" s="2433"/>
      <c r="D108" s="2433"/>
      <c r="E108" s="2433"/>
      <c r="F108" s="2433"/>
      <c r="G108" s="2433"/>
      <c r="H108" s="2434"/>
      <c r="I108" s="1052">
        <f>I106+I107</f>
        <v>6.48</v>
      </c>
      <c r="J108" s="1049">
        <f>Datas!$E$388</f>
        <v>11842.03</v>
      </c>
      <c r="K108" s="1053">
        <f>ROUND(J108*I108,0)</f>
        <v>76736</v>
      </c>
      <c r="L108" s="1049">
        <v>108</v>
      </c>
      <c r="M108" s="1055">
        <f>L108*I108</f>
        <v>699.84</v>
      </c>
      <c r="N108" s="1087">
        <v>108</v>
      </c>
      <c r="O108" s="1087">
        <f>ROUND(I108*N108,0)</f>
        <v>700</v>
      </c>
    </row>
    <row r="109" spans="1:15" ht="14.1">
      <c r="A109" s="1046"/>
      <c r="B109" s="1065"/>
      <c r="C109" s="1048"/>
      <c r="D109" s="1048"/>
      <c r="E109" s="1048"/>
      <c r="F109" s="1049"/>
      <c r="G109" s="1049"/>
      <c r="H109" s="1049"/>
      <c r="I109" s="1053" t="s">
        <v>656</v>
      </c>
      <c r="J109" s="1049" t="s">
        <v>668</v>
      </c>
      <c r="K109" s="1053"/>
      <c r="L109" s="1053"/>
      <c r="M109" s="1053"/>
      <c r="N109" s="1087"/>
      <c r="O109" s="1087"/>
    </row>
    <row r="110" spans="1:15" ht="14.1">
      <c r="A110" s="1046" t="s">
        <v>661</v>
      </c>
      <c r="B110" s="1064" t="s">
        <v>154</v>
      </c>
      <c r="C110" s="1067"/>
      <c r="D110" s="1067"/>
      <c r="E110" s="1048"/>
      <c r="F110" s="1049"/>
      <c r="G110" s="1049"/>
      <c r="H110" s="1049"/>
      <c r="I110" s="1049"/>
      <c r="J110" s="1049"/>
      <c r="K110" s="1053"/>
      <c r="L110" s="1049"/>
      <c r="M110" s="1049"/>
      <c r="N110" s="1087"/>
      <c r="O110" s="1087"/>
    </row>
    <row r="111" spans="1:15" ht="14.1">
      <c r="A111" s="1046"/>
      <c r="B111" s="1051" t="s">
        <v>2497</v>
      </c>
      <c r="C111" s="1048">
        <v>1</v>
      </c>
      <c r="D111" s="1048" t="s">
        <v>1472</v>
      </c>
      <c r="E111" s="1048">
        <v>2</v>
      </c>
      <c r="F111" s="1049">
        <f>30*0.3048</f>
        <v>9.1440000000000001</v>
      </c>
      <c r="G111" s="1049">
        <v>0.23</v>
      </c>
      <c r="H111" s="1094">
        <v>0.3</v>
      </c>
      <c r="I111" s="1049">
        <f>ROUND(C111*E111*F111*G111*H111,2)</f>
        <v>1.26</v>
      </c>
      <c r="J111" s="1049"/>
      <c r="K111" s="1049"/>
      <c r="L111" s="1049"/>
      <c r="M111" s="1049"/>
      <c r="N111" s="1087"/>
      <c r="O111" s="1087"/>
    </row>
    <row r="112" spans="1:15" ht="14.1">
      <c r="A112" s="1046"/>
      <c r="B112" s="1051" t="s">
        <v>2496</v>
      </c>
      <c r="C112" s="1048">
        <v>1</v>
      </c>
      <c r="D112" s="1048" t="s">
        <v>1472</v>
      </c>
      <c r="E112" s="1048">
        <v>1</v>
      </c>
      <c r="F112" s="1049">
        <f>30*0.3048</f>
        <v>9.1440000000000001</v>
      </c>
      <c r="G112" s="1049">
        <v>0.23</v>
      </c>
      <c r="H112" s="1094">
        <v>0.3</v>
      </c>
      <c r="I112" s="1049">
        <f>ROUND(C112*E112*F112*G112*H112,2)</f>
        <v>0.63</v>
      </c>
      <c r="J112" s="1049"/>
      <c r="K112" s="1049"/>
      <c r="L112" s="1049"/>
      <c r="M112" s="1049"/>
      <c r="N112" s="1087"/>
      <c r="O112" s="1087"/>
    </row>
    <row r="113" spans="1:15" ht="27.6">
      <c r="A113" s="1046"/>
      <c r="B113" s="1050" t="s">
        <v>2563</v>
      </c>
      <c r="C113" s="1048">
        <v>1</v>
      </c>
      <c r="D113" s="1048" t="s">
        <v>1472</v>
      </c>
      <c r="E113" s="1048">
        <v>3</v>
      </c>
      <c r="F113" s="1049">
        <f>30*0.3048</f>
        <v>9.1440000000000001</v>
      </c>
      <c r="G113" s="1049">
        <v>0.23</v>
      </c>
      <c r="H113" s="1094">
        <v>0.45</v>
      </c>
      <c r="I113" s="1049">
        <f>ROUND(C113*E113*F113*G113*H113,2)</f>
        <v>2.84</v>
      </c>
      <c r="J113" s="1049"/>
      <c r="K113" s="1049"/>
      <c r="L113" s="1049"/>
      <c r="M113" s="1049"/>
      <c r="N113" s="1087"/>
      <c r="O113" s="1087"/>
    </row>
    <row r="114" spans="1:15" ht="14.1">
      <c r="A114" s="1046"/>
      <c r="B114" s="1050" t="s">
        <v>2539</v>
      </c>
      <c r="C114" s="1048">
        <v>1</v>
      </c>
      <c r="D114" s="1048" t="s">
        <v>1472</v>
      </c>
      <c r="E114" s="1048">
        <v>2</v>
      </c>
      <c r="F114" s="1049">
        <f>61.5*0.3048</f>
        <v>18.745200000000001</v>
      </c>
      <c r="G114" s="1049">
        <v>0.23</v>
      </c>
      <c r="H114" s="1094">
        <v>0.3</v>
      </c>
      <c r="I114" s="1049">
        <f>ROUND(C114*E114*F114*G114*H114,2)</f>
        <v>2.59</v>
      </c>
      <c r="J114" s="1049"/>
      <c r="K114" s="1049"/>
      <c r="L114" s="1049"/>
      <c r="M114" s="1049"/>
      <c r="N114" s="1087"/>
      <c r="O114" s="1087"/>
    </row>
    <row r="115" spans="1:15" ht="14.1">
      <c r="A115" s="1046"/>
      <c r="B115" s="1050" t="s">
        <v>2499</v>
      </c>
      <c r="C115" s="1048">
        <v>1</v>
      </c>
      <c r="D115" s="1048" t="s">
        <v>1472</v>
      </c>
      <c r="E115" s="1048">
        <v>1</v>
      </c>
      <c r="F115" s="1049">
        <v>4.05</v>
      </c>
      <c r="G115" s="1049">
        <v>0.23</v>
      </c>
      <c r="H115" s="1094">
        <v>0.3</v>
      </c>
      <c r="I115" s="1049">
        <f>ROUND(C115*E115*F115*G115*H115,2)</f>
        <v>0.28000000000000003</v>
      </c>
      <c r="J115" s="1049"/>
      <c r="K115" s="1049"/>
      <c r="L115" s="1049"/>
      <c r="M115" s="1049"/>
      <c r="N115" s="1087"/>
      <c r="O115" s="1087"/>
    </row>
    <row r="116" spans="1:15" ht="14.1">
      <c r="A116" s="1046"/>
      <c r="B116" s="1065"/>
      <c r="C116" s="1048"/>
      <c r="D116" s="1048"/>
      <c r="E116" s="1048"/>
      <c r="F116" s="1049"/>
      <c r="G116" s="1049"/>
      <c r="H116" s="1049"/>
      <c r="I116" s="1052">
        <f>SUM(I111:I115)</f>
        <v>7.6000000000000005</v>
      </c>
      <c r="J116" s="1049">
        <f>Datas!$G$340</f>
        <v>11378.51</v>
      </c>
      <c r="K116" s="1053">
        <f>ROUND(J116*I116,0)</f>
        <v>86477</v>
      </c>
      <c r="L116" s="1049">
        <v>108</v>
      </c>
      <c r="M116" s="1055">
        <f>L116*I116</f>
        <v>820.80000000000007</v>
      </c>
      <c r="N116" s="1087">
        <v>108</v>
      </c>
      <c r="O116" s="1087">
        <f>ROUND(I116*N116,0)</f>
        <v>821</v>
      </c>
    </row>
    <row r="117" spans="1:15" ht="14.1">
      <c r="A117" s="1046"/>
      <c r="B117" s="1065"/>
      <c r="C117" s="1048"/>
      <c r="D117" s="1048"/>
      <c r="E117" s="1048"/>
      <c r="F117" s="1049"/>
      <c r="G117" s="1049"/>
      <c r="H117" s="1049"/>
      <c r="I117" s="1053" t="s">
        <v>656</v>
      </c>
      <c r="J117" s="1053" t="s">
        <v>670</v>
      </c>
      <c r="K117" s="1053"/>
      <c r="L117" s="1053"/>
      <c r="M117" s="1053"/>
      <c r="N117" s="1087"/>
      <c r="O117" s="1087"/>
    </row>
    <row r="118" spans="1:15" ht="14.1">
      <c r="A118" s="1046" t="s">
        <v>669</v>
      </c>
      <c r="B118" s="1064" t="s">
        <v>2510</v>
      </c>
      <c r="C118" s="1067"/>
      <c r="D118" s="1067"/>
      <c r="E118" s="1048"/>
      <c r="F118" s="1049"/>
      <c r="G118" s="1049"/>
      <c r="H118" s="1049"/>
      <c r="I118" s="1049"/>
      <c r="J118" s="1049"/>
      <c r="K118" s="1049"/>
      <c r="L118" s="1049"/>
      <c r="M118" s="1049"/>
      <c r="N118" s="1087"/>
      <c r="O118" s="1087"/>
    </row>
    <row r="119" spans="1:15" ht="14.1">
      <c r="A119" s="1046"/>
      <c r="B119" s="1050" t="s">
        <v>2508</v>
      </c>
      <c r="C119" s="1048">
        <v>1</v>
      </c>
      <c r="D119" s="1048" t="s">
        <v>1472</v>
      </c>
      <c r="E119" s="1048">
        <v>2</v>
      </c>
      <c r="F119" s="1049">
        <v>4.05</v>
      </c>
      <c r="G119" s="1049">
        <v>0.23</v>
      </c>
      <c r="H119" s="1094">
        <v>0.22500000000000001</v>
      </c>
      <c r="I119" s="1049">
        <f>ROUND(C119*E119*F119*G119*H119,2)</f>
        <v>0.42</v>
      </c>
      <c r="J119" s="1049"/>
      <c r="K119" s="1049"/>
      <c r="L119" s="1049"/>
      <c r="M119" s="1049"/>
      <c r="N119" s="1087"/>
      <c r="O119" s="1087"/>
    </row>
    <row r="120" spans="1:15" ht="14.1">
      <c r="A120" s="1046"/>
      <c r="B120" s="1051" t="s">
        <v>2542</v>
      </c>
      <c r="C120" s="1048">
        <v>1</v>
      </c>
      <c r="D120" s="1048" t="s">
        <v>1472</v>
      </c>
      <c r="E120" s="1048">
        <v>2</v>
      </c>
      <c r="F120" s="1049">
        <f>11*0.3048</f>
        <v>3.3528000000000002</v>
      </c>
      <c r="G120" s="1049">
        <v>0.23</v>
      </c>
      <c r="H120" s="1094">
        <v>0.23</v>
      </c>
      <c r="I120" s="1049">
        <f>ROUND(C120*E120*F120*G120*H120,2)</f>
        <v>0.35</v>
      </c>
      <c r="J120" s="1049"/>
      <c r="K120" s="1049"/>
      <c r="L120" s="1049"/>
      <c r="M120" s="1049"/>
      <c r="N120" s="1087"/>
      <c r="O120" s="1087"/>
    </row>
    <row r="121" spans="1:15" ht="14.1">
      <c r="A121" s="1046"/>
      <c r="B121" s="1051" t="s">
        <v>2543</v>
      </c>
      <c r="C121" s="1048">
        <v>1</v>
      </c>
      <c r="D121" s="1048" t="s">
        <v>1472</v>
      </c>
      <c r="E121" s="1048">
        <v>1</v>
      </c>
      <c r="F121" s="1049">
        <v>2.4</v>
      </c>
      <c r="G121" s="1049">
        <v>0.23</v>
      </c>
      <c r="H121" s="1094">
        <v>0.57999999999999996</v>
      </c>
      <c r="I121" s="1049">
        <f>ROUND(C121*E121*F121*G121*H121,2)</f>
        <v>0.32</v>
      </c>
      <c r="J121" s="1049"/>
      <c r="K121" s="1049"/>
      <c r="L121" s="1049"/>
      <c r="M121" s="1049"/>
      <c r="N121" s="1087"/>
      <c r="O121" s="1087"/>
    </row>
    <row r="122" spans="1:15" ht="14.1">
      <c r="A122" s="1046"/>
      <c r="B122" s="1050" t="s">
        <v>2532</v>
      </c>
      <c r="C122" s="1048">
        <v>1</v>
      </c>
      <c r="D122" s="1048" t="s">
        <v>1472</v>
      </c>
      <c r="E122" s="1048">
        <v>2</v>
      </c>
      <c r="F122" s="1049">
        <f>(11.83*4+0.75)*0.3048</f>
        <v>14.651736000000001</v>
      </c>
      <c r="G122" s="1049">
        <v>0.23</v>
      </c>
      <c r="H122" s="1094">
        <v>0.3</v>
      </c>
      <c r="I122" s="1049">
        <f>ROUND(C122*E122*F122*G122*H122,2)</f>
        <v>2.02</v>
      </c>
      <c r="J122" s="1049"/>
      <c r="K122" s="1049"/>
      <c r="L122" s="1049"/>
      <c r="M122" s="1049"/>
      <c r="N122" s="1087"/>
      <c r="O122" s="1087"/>
    </row>
    <row r="123" spans="1:15" ht="14.1">
      <c r="A123" s="1046"/>
      <c r="B123" s="1064" t="s">
        <v>2500</v>
      </c>
      <c r="C123" s="1067"/>
      <c r="D123" s="1067"/>
      <c r="E123" s="1048"/>
      <c r="F123" s="1049"/>
      <c r="G123" s="1049"/>
      <c r="H123" s="1049"/>
      <c r="I123" s="1049"/>
      <c r="J123" s="1049"/>
      <c r="K123" s="1049"/>
      <c r="L123" s="1049"/>
      <c r="M123" s="1049"/>
      <c r="N123" s="1087"/>
      <c r="O123" s="1087"/>
    </row>
    <row r="124" spans="1:15" ht="14.1">
      <c r="A124" s="1046"/>
      <c r="B124" s="1051" t="s">
        <v>2501</v>
      </c>
      <c r="C124" s="1048">
        <v>1</v>
      </c>
      <c r="D124" s="1048" t="s">
        <v>1472</v>
      </c>
      <c r="E124" s="1048">
        <v>1</v>
      </c>
      <c r="F124" s="1049">
        <f>30*0.3048</f>
        <v>9.1440000000000001</v>
      </c>
      <c r="G124" s="1049">
        <v>0.23</v>
      </c>
      <c r="H124" s="1094">
        <v>0.3</v>
      </c>
      <c r="I124" s="1049">
        <f>ROUND(C124*E124*F124*G124*H124,2)</f>
        <v>0.63</v>
      </c>
      <c r="J124" s="1049"/>
      <c r="K124" s="1049"/>
      <c r="L124" s="1049"/>
      <c r="M124" s="1049"/>
      <c r="N124" s="1087"/>
      <c r="O124" s="1087"/>
    </row>
    <row r="125" spans="1:15" ht="14.1">
      <c r="A125" s="1046"/>
      <c r="B125" s="1051" t="s">
        <v>2504</v>
      </c>
      <c r="C125" s="1048">
        <v>1</v>
      </c>
      <c r="D125" s="1048" t="s">
        <v>1472</v>
      </c>
      <c r="E125" s="1048">
        <v>1</v>
      </c>
      <c r="F125" s="1049">
        <f>30*0.3048</f>
        <v>9.1440000000000001</v>
      </c>
      <c r="G125" s="1049">
        <v>0.23</v>
      </c>
      <c r="H125" s="1094">
        <v>0.3</v>
      </c>
      <c r="I125" s="1049">
        <f>ROUND(C125*E125*F125*G125*H125,2)</f>
        <v>0.63</v>
      </c>
      <c r="J125" s="1049"/>
      <c r="K125" s="1049"/>
      <c r="L125" s="1049"/>
      <c r="M125" s="1049"/>
      <c r="N125" s="1087"/>
      <c r="O125" s="1087"/>
    </row>
    <row r="126" spans="1:15" ht="14.1">
      <c r="A126" s="1046"/>
      <c r="B126" s="1051" t="s">
        <v>2565</v>
      </c>
      <c r="C126" s="1048">
        <v>1</v>
      </c>
      <c r="D126" s="1048" t="s">
        <v>1472</v>
      </c>
      <c r="E126" s="1048">
        <v>1</v>
      </c>
      <c r="F126" s="1049">
        <f>30*0.3048</f>
        <v>9.1440000000000001</v>
      </c>
      <c r="G126" s="1049">
        <v>0.23</v>
      </c>
      <c r="H126" s="1094">
        <v>0.3</v>
      </c>
      <c r="I126" s="1049">
        <f>ROUND(C126*E126*F126*G126*H126,2)</f>
        <v>0.63</v>
      </c>
      <c r="J126" s="1049"/>
      <c r="K126" s="1049"/>
      <c r="L126" s="1049"/>
      <c r="M126" s="1049"/>
      <c r="N126" s="1087"/>
      <c r="O126" s="1087"/>
    </row>
    <row r="127" spans="1:15" ht="14.1">
      <c r="A127" s="1046"/>
      <c r="B127" s="1051" t="s">
        <v>2566</v>
      </c>
      <c r="C127" s="1048">
        <v>1</v>
      </c>
      <c r="D127" s="1048" t="s">
        <v>1472</v>
      </c>
      <c r="E127" s="1048">
        <v>1</v>
      </c>
      <c r="F127" s="1049">
        <f>(12.75+0.75)*0.3048</f>
        <v>4.1147999999999998</v>
      </c>
      <c r="G127" s="1049">
        <v>0.23</v>
      </c>
      <c r="H127" s="1094">
        <v>0.3</v>
      </c>
      <c r="I127" s="1049">
        <f>ROUND(C127*E127*F127*G127*H127,2)</f>
        <v>0.28000000000000003</v>
      </c>
      <c r="J127" s="1049"/>
      <c r="K127" s="1049"/>
      <c r="L127" s="1049"/>
      <c r="M127" s="1049"/>
      <c r="N127" s="1087"/>
      <c r="O127" s="1087"/>
    </row>
    <row r="128" spans="1:15" ht="14.1">
      <c r="A128" s="1046"/>
      <c r="B128" s="1051"/>
      <c r="C128" s="1048"/>
      <c r="D128" s="1048"/>
      <c r="E128" s="1048"/>
      <c r="F128" s="1049"/>
      <c r="G128" s="1049"/>
      <c r="H128" s="1094"/>
      <c r="I128" s="1235">
        <v>3.08</v>
      </c>
      <c r="J128" s="1049"/>
      <c r="K128" s="1049"/>
      <c r="L128" s="1049"/>
      <c r="M128" s="1068"/>
      <c r="N128" s="1087"/>
      <c r="O128" s="1087"/>
    </row>
    <row r="129" spans="1:15" ht="14.1">
      <c r="A129" s="1046"/>
      <c r="B129" s="1065"/>
      <c r="C129" s="1048"/>
      <c r="D129" s="1048"/>
      <c r="E129" s="1048"/>
      <c r="F129" s="1049"/>
      <c r="G129" s="1049"/>
      <c r="H129" s="1049" t="s">
        <v>667</v>
      </c>
      <c r="I129" s="1052">
        <f>SUM(I119:I128)</f>
        <v>8.36</v>
      </c>
      <c r="J129" s="1049">
        <f>Datas!$E$419</f>
        <v>11257.84</v>
      </c>
      <c r="K129" s="1053">
        <f>ROUND(J129*I129,0)</f>
        <v>94116</v>
      </c>
      <c r="L129" s="1049">
        <v>108</v>
      </c>
      <c r="M129" s="1055">
        <f>L129*I129</f>
        <v>902.87999999999988</v>
      </c>
      <c r="N129" s="1087">
        <v>108</v>
      </c>
      <c r="O129" s="1087">
        <f>ROUND(I129*N129,0)</f>
        <v>903</v>
      </c>
    </row>
    <row r="130" spans="1:15" ht="14.1">
      <c r="A130" s="1046"/>
      <c r="B130" s="1065"/>
      <c r="C130" s="1048"/>
      <c r="D130" s="1048"/>
      <c r="E130" s="1048"/>
      <c r="F130" s="1049"/>
      <c r="G130" s="1049"/>
      <c r="H130" s="1049"/>
      <c r="I130" s="1053" t="s">
        <v>656</v>
      </c>
      <c r="J130" s="1053" t="s">
        <v>670</v>
      </c>
      <c r="K130" s="1053"/>
      <c r="L130" s="1053"/>
      <c r="M130" s="1053"/>
      <c r="N130" s="1087"/>
      <c r="O130" s="1087"/>
    </row>
    <row r="131" spans="1:15" ht="14.1">
      <c r="A131" s="1046" t="s">
        <v>671</v>
      </c>
      <c r="B131" s="1064" t="s">
        <v>2411</v>
      </c>
      <c r="C131" s="1067"/>
      <c r="D131" s="1067"/>
      <c r="E131" s="1048"/>
      <c r="F131" s="1049"/>
      <c r="G131" s="1049"/>
      <c r="H131" s="1049"/>
      <c r="I131" s="1049"/>
      <c r="J131" s="1049"/>
      <c r="K131" s="1049"/>
      <c r="L131" s="1049"/>
      <c r="M131" s="1049"/>
      <c r="N131" s="1087"/>
      <c r="O131" s="1087"/>
    </row>
    <row r="132" spans="1:15" ht="14.1">
      <c r="A132" s="1046"/>
      <c r="B132" s="1051"/>
      <c r="C132" s="1048">
        <v>1</v>
      </c>
      <c r="D132" s="1048" t="s">
        <v>1472</v>
      </c>
      <c r="E132" s="1048">
        <v>1</v>
      </c>
      <c r="F132" s="1049">
        <f>14*0.3048</f>
        <v>4.2671999999999999</v>
      </c>
      <c r="G132" s="1084">
        <v>1</v>
      </c>
      <c r="H132" s="1049">
        <f>13.5*0.3048</f>
        <v>4.1147999999999998</v>
      </c>
      <c r="I132" s="1049">
        <f>ROUND(C132*E132*F132*G132*H132,2)</f>
        <v>17.559999999999999</v>
      </c>
      <c r="J132" s="1049"/>
      <c r="K132" s="1049"/>
      <c r="L132" s="1049"/>
      <c r="M132" s="1049"/>
      <c r="N132" s="1087"/>
      <c r="O132" s="1087"/>
    </row>
    <row r="133" spans="1:15" ht="14.1">
      <c r="A133" s="1046"/>
      <c r="B133" s="1065"/>
      <c r="C133" s="1048"/>
      <c r="D133" s="1048"/>
      <c r="E133" s="1048"/>
      <c r="F133" s="1049"/>
      <c r="G133" s="1049"/>
      <c r="H133" s="1049" t="s">
        <v>667</v>
      </c>
      <c r="I133" s="1052">
        <f>SUM(I132:I132)</f>
        <v>17.559999999999999</v>
      </c>
      <c r="J133" s="1049">
        <f>Datas!E470</f>
        <v>1346.355</v>
      </c>
      <c r="K133" s="1053">
        <f>ROUND(J133*I133/10,0)</f>
        <v>2364</v>
      </c>
      <c r="L133" s="1049">
        <v>108</v>
      </c>
      <c r="M133" s="1055">
        <f>L133*I133</f>
        <v>1896.4799999999998</v>
      </c>
      <c r="N133" s="1087">
        <v>108</v>
      </c>
      <c r="O133" s="1087">
        <f>ROUND(I133*N133*0.125,0)</f>
        <v>237</v>
      </c>
    </row>
    <row r="134" spans="1:15" ht="14.1">
      <c r="A134" s="1046"/>
      <c r="B134" s="1065"/>
      <c r="C134" s="1048"/>
      <c r="D134" s="1048"/>
      <c r="E134" s="1048"/>
      <c r="F134" s="1049"/>
      <c r="G134" s="1049"/>
      <c r="H134" s="1049"/>
      <c r="I134" s="1053" t="s">
        <v>2260</v>
      </c>
      <c r="J134" s="1053" t="s">
        <v>2169</v>
      </c>
      <c r="K134" s="1053"/>
      <c r="L134" s="1053"/>
      <c r="M134" s="1053"/>
      <c r="N134" s="1087"/>
      <c r="O134" s="1087"/>
    </row>
    <row r="135" spans="1:15" ht="159" customHeight="1">
      <c r="A135" s="1085">
        <v>6</v>
      </c>
      <c r="B135" s="2415" t="s">
        <v>2511</v>
      </c>
      <c r="C135" s="2426"/>
      <c r="D135" s="2426"/>
      <c r="E135" s="2426"/>
      <c r="F135" s="2426"/>
      <c r="G135" s="2426"/>
      <c r="H135" s="2426"/>
      <c r="I135" s="2427"/>
      <c r="J135" s="1049"/>
      <c r="K135" s="1049"/>
      <c r="L135" s="1049"/>
      <c r="M135" s="1049"/>
      <c r="N135" s="1087"/>
      <c r="O135" s="1087"/>
    </row>
    <row r="136" spans="1:15">
      <c r="A136" s="1048"/>
      <c r="B136" s="1061" t="s">
        <v>2564</v>
      </c>
      <c r="C136" s="1048">
        <v>1</v>
      </c>
      <c r="D136" s="1048" t="s">
        <v>1472</v>
      </c>
      <c r="E136" s="1048">
        <v>1</v>
      </c>
      <c r="F136" s="1049">
        <v>1.8</v>
      </c>
      <c r="G136" s="88">
        <v>0.15</v>
      </c>
      <c r="H136" s="1049">
        <v>0.125</v>
      </c>
      <c r="I136" s="1049">
        <f>ROUND(C136*E136*F136*G136*H136,2)</f>
        <v>0.03</v>
      </c>
      <c r="J136" s="1049"/>
      <c r="K136" s="1049"/>
      <c r="L136" s="1049"/>
      <c r="M136" s="1049"/>
      <c r="N136" s="1087"/>
      <c r="O136" s="1087"/>
    </row>
    <row r="137" spans="1:15">
      <c r="A137" s="1048"/>
      <c r="B137" s="1061" t="s">
        <v>2512</v>
      </c>
      <c r="C137" s="1048">
        <v>1</v>
      </c>
      <c r="D137" s="1048" t="s">
        <v>1472</v>
      </c>
      <c r="E137" s="1048">
        <v>1</v>
      </c>
      <c r="F137" s="1049">
        <v>1.6</v>
      </c>
      <c r="G137" s="88">
        <v>0.15</v>
      </c>
      <c r="H137" s="1049">
        <v>0.1</v>
      </c>
      <c r="I137" s="1049">
        <f>ROUND(C137*E137*F137*G137*H137,2)</f>
        <v>0.02</v>
      </c>
      <c r="J137" s="1049"/>
      <c r="K137" s="1049"/>
      <c r="L137" s="1049"/>
      <c r="M137" s="1049"/>
      <c r="N137" s="1087"/>
      <c r="O137" s="1087"/>
    </row>
    <row r="138" spans="1:15">
      <c r="A138" s="1048"/>
      <c r="B138" s="1061" t="s">
        <v>2513</v>
      </c>
      <c r="C138" s="1048">
        <v>1</v>
      </c>
      <c r="D138" s="1048" t="s">
        <v>1472</v>
      </c>
      <c r="E138" s="1048">
        <v>2</v>
      </c>
      <c r="F138" s="1049">
        <v>1.05</v>
      </c>
      <c r="G138" s="88">
        <v>0.115</v>
      </c>
      <c r="H138" s="1049">
        <v>0.1</v>
      </c>
      <c r="I138" s="1049">
        <f>ROUND(C138*E138*F138*G138*H138,2)</f>
        <v>0.02</v>
      </c>
      <c r="J138" s="1049"/>
      <c r="K138" s="1049"/>
      <c r="L138" s="1049"/>
      <c r="M138" s="1049"/>
      <c r="N138" s="1087"/>
      <c r="O138" s="1087"/>
    </row>
    <row r="139" spans="1:15">
      <c r="A139" s="1048"/>
      <c r="B139" s="1061"/>
      <c r="C139" s="1048"/>
      <c r="D139" s="1048"/>
      <c r="E139" s="1048"/>
      <c r="F139" s="1049"/>
      <c r="G139" s="88"/>
      <c r="H139" s="1049"/>
      <c r="I139" s="1235">
        <v>-0.03</v>
      </c>
      <c r="J139" s="1049"/>
      <c r="K139" s="1049"/>
      <c r="L139" s="1049"/>
      <c r="M139" s="1068"/>
      <c r="N139" s="1087"/>
      <c r="O139" s="1087"/>
    </row>
    <row r="140" spans="1:15" ht="14.1">
      <c r="A140" s="1046"/>
      <c r="B140" s="1061"/>
      <c r="C140" s="1048"/>
      <c r="D140" s="1048"/>
      <c r="E140" s="1048"/>
      <c r="F140" s="1049"/>
      <c r="G140" s="1049"/>
      <c r="H140" s="1049"/>
      <c r="I140" s="1052">
        <f>SUM(I136:I139)</f>
        <v>4.0000000000000008E-2</v>
      </c>
      <c r="J140" s="1049">
        <f>Datas!$E$372</f>
        <v>11905.03</v>
      </c>
      <c r="K140" s="1053">
        <f>ROUND(J140*I140,0)</f>
        <v>476</v>
      </c>
      <c r="L140" s="1049">
        <v>108</v>
      </c>
      <c r="M140" s="1055">
        <f>L140*I140</f>
        <v>4.3200000000000012</v>
      </c>
      <c r="N140" s="1087">
        <v>108</v>
      </c>
      <c r="O140" s="1087">
        <f>ROUND(I140*N140,0)</f>
        <v>4</v>
      </c>
    </row>
    <row r="141" spans="1:15" ht="14.1">
      <c r="A141" s="1046"/>
      <c r="B141" s="1061"/>
      <c r="C141" s="1048"/>
      <c r="D141" s="1048"/>
      <c r="E141" s="1048"/>
      <c r="F141" s="1049"/>
      <c r="G141" s="1049"/>
      <c r="H141" s="1049"/>
      <c r="I141" s="1053" t="s">
        <v>656</v>
      </c>
      <c r="J141" s="1053" t="s">
        <v>670</v>
      </c>
      <c r="K141" s="1053"/>
      <c r="L141" s="1049"/>
      <c r="M141" s="1049"/>
      <c r="N141" s="1087"/>
      <c r="O141" s="1087"/>
    </row>
    <row r="142" spans="1:15" ht="180" customHeight="1">
      <c r="A142" s="1085">
        <v>7</v>
      </c>
      <c r="B142" s="2415" t="s">
        <v>2470</v>
      </c>
      <c r="C142" s="2426"/>
      <c r="D142" s="2426"/>
      <c r="E142" s="2426"/>
      <c r="F142" s="2426"/>
      <c r="G142" s="2426"/>
      <c r="H142" s="2426"/>
      <c r="I142" s="2427"/>
      <c r="J142" s="1049"/>
      <c r="K142" s="1049"/>
      <c r="L142" s="1049"/>
      <c r="M142" s="1049"/>
      <c r="N142" s="1087"/>
      <c r="O142" s="1087"/>
    </row>
    <row r="143" spans="1:15">
      <c r="A143" s="1048"/>
      <c r="B143" s="1061" t="s">
        <v>2471</v>
      </c>
      <c r="C143" s="1048">
        <v>1</v>
      </c>
      <c r="D143" s="1048" t="s">
        <v>1472</v>
      </c>
      <c r="E143" s="1048">
        <v>2</v>
      </c>
      <c r="F143" s="1049">
        <v>14.42</v>
      </c>
      <c r="G143" s="1049"/>
      <c r="H143" s="1049"/>
      <c r="I143" s="1049">
        <f>ROUND(C143*E143*F143,2)</f>
        <v>28.84</v>
      </c>
      <c r="J143" s="1049"/>
      <c r="K143" s="1049"/>
      <c r="L143" s="1049"/>
      <c r="M143" s="1068"/>
      <c r="N143" s="1087"/>
      <c r="O143" s="1087"/>
    </row>
    <row r="144" spans="1:15">
      <c r="A144" s="1048"/>
      <c r="B144" s="1061" t="s">
        <v>2472</v>
      </c>
      <c r="C144" s="1048">
        <v>1</v>
      </c>
      <c r="D144" s="1048" t="s">
        <v>1472</v>
      </c>
      <c r="E144" s="1048">
        <v>2</v>
      </c>
      <c r="F144" s="1049">
        <v>2.74</v>
      </c>
      <c r="G144" s="1049"/>
      <c r="H144" s="1049"/>
      <c r="I144" s="1049">
        <f>ROUND(C144*E144*F144,2)</f>
        <v>5.48</v>
      </c>
      <c r="J144" s="1049"/>
      <c r="K144" s="1049"/>
      <c r="L144" s="1049"/>
      <c r="M144" s="1068"/>
      <c r="N144" s="1087"/>
      <c r="O144" s="1087"/>
    </row>
    <row r="145" spans="1:15" ht="14.1">
      <c r="A145" s="1046"/>
      <c r="B145" s="1178" t="s">
        <v>2434</v>
      </c>
      <c r="C145" s="1048">
        <v>1</v>
      </c>
      <c r="D145" s="1048" t="s">
        <v>1472</v>
      </c>
      <c r="E145" s="1048">
        <v>1</v>
      </c>
      <c r="F145" s="1049">
        <f>22*0.3048</f>
        <v>6.7056000000000004</v>
      </c>
      <c r="G145" s="1049"/>
      <c r="H145" s="1049"/>
      <c r="I145" s="1049">
        <f>ROUND(C145*E145*F145,2)</f>
        <v>6.71</v>
      </c>
      <c r="J145" s="1049"/>
      <c r="K145" s="1049"/>
      <c r="L145" s="1049"/>
      <c r="M145" s="1068"/>
      <c r="N145" s="1087"/>
      <c r="O145" s="1087"/>
    </row>
    <row r="146" spans="1:15">
      <c r="A146" s="1048"/>
      <c r="B146" s="1061" t="s">
        <v>2468</v>
      </c>
      <c r="C146" s="1048">
        <v>1</v>
      </c>
      <c r="D146" s="1048" t="s">
        <v>1472</v>
      </c>
      <c r="E146" s="1048">
        <v>2</v>
      </c>
      <c r="F146" s="1049">
        <v>1.8</v>
      </c>
      <c r="G146" s="1049"/>
      <c r="H146" s="1049"/>
      <c r="I146" s="1049">
        <f>ROUND(C146*E146*F146,2)</f>
        <v>3.6</v>
      </c>
      <c r="J146" s="1049"/>
      <c r="K146" s="1049"/>
      <c r="L146" s="1049"/>
      <c r="M146" s="1049"/>
      <c r="N146" s="1087"/>
      <c r="O146" s="1087"/>
    </row>
    <row r="147" spans="1:15" ht="14.1">
      <c r="A147" s="1046"/>
      <c r="B147" s="1061" t="s">
        <v>674</v>
      </c>
      <c r="C147" s="1048"/>
      <c r="D147" s="1048"/>
      <c r="E147" s="1048"/>
      <c r="F147" s="1049"/>
      <c r="G147" s="1049"/>
      <c r="H147" s="1049"/>
      <c r="I147" s="1053">
        <f>SUM(I143:I146)</f>
        <v>44.63</v>
      </c>
      <c r="J147" s="1049">
        <f>Datas!$E$500</f>
        <v>606.11</v>
      </c>
      <c r="K147" s="1053">
        <f>ROUND(J147*I147,0)</f>
        <v>27051</v>
      </c>
      <c r="L147" s="1049">
        <f>0.0625*108</f>
        <v>6.75</v>
      </c>
      <c r="M147" s="1055">
        <f>L147*I147</f>
        <v>301.2525</v>
      </c>
      <c r="N147" s="1087">
        <v>108</v>
      </c>
      <c r="O147" s="1087">
        <f>ROUND(I147*N147*0.0375,0)</f>
        <v>181</v>
      </c>
    </row>
    <row r="148" spans="1:15" ht="14.1">
      <c r="A148" s="1046"/>
      <c r="B148" s="1061"/>
      <c r="C148" s="1048"/>
      <c r="D148" s="1048"/>
      <c r="E148" s="1048"/>
      <c r="F148" s="1049"/>
      <c r="G148" s="1049"/>
      <c r="H148" s="1049"/>
      <c r="I148" s="1053" t="s">
        <v>495</v>
      </c>
      <c r="J148" s="1053" t="s">
        <v>2</v>
      </c>
      <c r="K148" s="1053"/>
      <c r="L148" s="1049"/>
      <c r="M148" s="1049"/>
      <c r="N148" s="1087"/>
      <c r="O148" s="1087"/>
    </row>
    <row r="149" spans="1:15" ht="135" customHeight="1">
      <c r="A149" s="1085">
        <v>8</v>
      </c>
      <c r="B149" s="2415" t="s">
        <v>2514</v>
      </c>
      <c r="C149" s="2426"/>
      <c r="D149" s="2426"/>
      <c r="E149" s="2426"/>
      <c r="F149" s="2426"/>
      <c r="G149" s="2426"/>
      <c r="H149" s="2426"/>
      <c r="I149" s="2427"/>
      <c r="J149" s="1049"/>
      <c r="K149" s="1049"/>
      <c r="L149" s="1049"/>
      <c r="M149" s="1049"/>
      <c r="N149" s="1087"/>
      <c r="O149" s="1087"/>
    </row>
    <row r="150" spans="1:15">
      <c r="A150" s="1048"/>
      <c r="B150" s="1061" t="s">
        <v>2213</v>
      </c>
      <c r="C150" s="1048">
        <v>4</v>
      </c>
      <c r="D150" s="1048" t="s">
        <v>1472</v>
      </c>
      <c r="E150" s="1048">
        <v>7</v>
      </c>
      <c r="F150" s="1049">
        <v>0.23</v>
      </c>
      <c r="G150" s="88">
        <v>0.15</v>
      </c>
      <c r="H150" s="1049">
        <v>0.15</v>
      </c>
      <c r="I150" s="1049">
        <f>ROUND(C150*E150*F150*G150*H150,2)</f>
        <v>0.14000000000000001</v>
      </c>
      <c r="J150" s="1049"/>
      <c r="K150" s="1049"/>
      <c r="L150" s="1049"/>
      <c r="M150" s="1049"/>
      <c r="N150" s="1087"/>
      <c r="O150" s="1087"/>
    </row>
    <row r="151" spans="1:15">
      <c r="A151" s="1048"/>
      <c r="B151" s="1061" t="s">
        <v>2212</v>
      </c>
      <c r="C151" s="1048">
        <v>4</v>
      </c>
      <c r="D151" s="1048" t="s">
        <v>1472</v>
      </c>
      <c r="E151" s="1048">
        <v>2</v>
      </c>
      <c r="F151" s="1049">
        <v>0.23</v>
      </c>
      <c r="G151" s="88">
        <v>0.15</v>
      </c>
      <c r="H151" s="1049">
        <v>0.15</v>
      </c>
      <c r="I151" s="1049">
        <f>ROUND(C151*E151*F151*G151*H151,2)</f>
        <v>0.04</v>
      </c>
      <c r="J151" s="1049"/>
      <c r="K151" s="1049"/>
      <c r="L151" s="1049"/>
      <c r="M151" s="1049"/>
      <c r="N151" s="1087"/>
      <c r="O151" s="1087"/>
    </row>
    <row r="152" spans="1:15">
      <c r="A152" s="1048"/>
      <c r="B152" s="1061" t="s">
        <v>2469</v>
      </c>
      <c r="C152" s="1048">
        <v>4</v>
      </c>
      <c r="D152" s="1048" t="s">
        <v>1472</v>
      </c>
      <c r="E152" s="1048">
        <v>4</v>
      </c>
      <c r="F152" s="1049">
        <v>0.23</v>
      </c>
      <c r="G152" s="88">
        <v>0.15</v>
      </c>
      <c r="H152" s="1049">
        <v>0.15</v>
      </c>
      <c r="I152" s="1049">
        <f>ROUND(C152*E152*F152*G152*H152,2)</f>
        <v>0.08</v>
      </c>
      <c r="J152" s="1049"/>
      <c r="K152" s="1049"/>
      <c r="L152" s="1049"/>
      <c r="M152" s="1049"/>
      <c r="N152" s="1087"/>
      <c r="O152" s="1087"/>
    </row>
    <row r="153" spans="1:15">
      <c r="A153" s="1048"/>
      <c r="B153" s="1061" t="s">
        <v>2475</v>
      </c>
      <c r="C153" s="1048">
        <v>6</v>
      </c>
      <c r="D153" s="1048" t="s">
        <v>1472</v>
      </c>
      <c r="E153" s="1048">
        <v>2</v>
      </c>
      <c r="F153" s="1049">
        <v>0.23</v>
      </c>
      <c r="G153" s="88">
        <v>0.2</v>
      </c>
      <c r="H153" s="1049">
        <v>0.15</v>
      </c>
      <c r="I153" s="1049">
        <f>ROUND(C153*E153*F153*G153*H153,2)</f>
        <v>0.08</v>
      </c>
      <c r="J153" s="1049"/>
      <c r="K153" s="1049"/>
      <c r="L153" s="1049"/>
      <c r="M153" s="1068"/>
      <c r="N153" s="1087"/>
      <c r="O153" s="1087"/>
    </row>
    <row r="154" spans="1:15" ht="14.1">
      <c r="A154" s="1046"/>
      <c r="B154" s="2432"/>
      <c r="C154" s="2433"/>
      <c r="D154" s="2433"/>
      <c r="E154" s="2433"/>
      <c r="F154" s="2433"/>
      <c r="G154" s="2433"/>
      <c r="H154" s="2434"/>
      <c r="I154" s="1053">
        <f>SUM(I150:I152)</f>
        <v>0.26</v>
      </c>
      <c r="J154" s="1049">
        <f>Datas!$G$536</f>
        <v>5340.5599999999995</v>
      </c>
      <c r="K154" s="1053">
        <f>ROUND(J154*I154,0)</f>
        <v>1389</v>
      </c>
      <c r="L154" s="1049">
        <v>108</v>
      </c>
      <c r="M154" s="1055">
        <f>L154*I154</f>
        <v>28.080000000000002</v>
      </c>
      <c r="N154" s="1087">
        <v>108</v>
      </c>
      <c r="O154" s="1087">
        <f>ROUND(I154*N154,0)</f>
        <v>28</v>
      </c>
    </row>
    <row r="155" spans="1:15" ht="14.1">
      <c r="A155" s="1046"/>
      <c r="B155" s="1061"/>
      <c r="C155" s="1048"/>
      <c r="D155" s="1048"/>
      <c r="E155" s="1048"/>
      <c r="F155" s="1049"/>
      <c r="G155" s="1049"/>
      <c r="H155" s="1049"/>
      <c r="I155" s="1053" t="s">
        <v>656</v>
      </c>
      <c r="J155" s="1053" t="s">
        <v>658</v>
      </c>
      <c r="K155" s="1053"/>
      <c r="L155" s="1049"/>
      <c r="M155" s="1049"/>
      <c r="N155" s="1087"/>
      <c r="O155" s="1087"/>
    </row>
    <row r="156" spans="1:15" ht="105" customHeight="1">
      <c r="A156" s="1085">
        <v>9</v>
      </c>
      <c r="B156" s="2415" t="s">
        <v>2448</v>
      </c>
      <c r="C156" s="2426"/>
      <c r="D156" s="2426"/>
      <c r="E156" s="2426"/>
      <c r="F156" s="2426"/>
      <c r="G156" s="2426"/>
      <c r="H156" s="2426"/>
      <c r="I156" s="2427"/>
      <c r="J156" s="1049"/>
      <c r="K156" s="1049"/>
      <c r="L156" s="1049"/>
      <c r="M156" s="1049"/>
      <c r="N156" s="1087"/>
      <c r="O156" s="1087"/>
    </row>
    <row r="157" spans="1:15" ht="14.1">
      <c r="A157" s="1046"/>
      <c r="B157" s="1075" t="s">
        <v>2515</v>
      </c>
      <c r="C157" s="1058"/>
      <c r="D157" s="1058"/>
      <c r="E157" s="1058"/>
      <c r="F157" s="1058"/>
      <c r="G157" s="1058"/>
      <c r="H157" s="1058"/>
      <c r="I157" s="1059"/>
      <c r="J157" s="1049"/>
      <c r="K157" s="1049"/>
      <c r="L157" s="1049"/>
      <c r="M157" s="1049"/>
      <c r="N157" s="1087"/>
      <c r="O157" s="1087"/>
    </row>
    <row r="158" spans="1:15" ht="14.1">
      <c r="A158" s="1046"/>
      <c r="B158" s="1174" t="s">
        <v>2516</v>
      </c>
      <c r="C158" s="1048">
        <v>1</v>
      </c>
      <c r="D158" s="1048" t="s">
        <v>1472</v>
      </c>
      <c r="E158" s="1048">
        <v>2</v>
      </c>
      <c r="F158" s="88">
        <f>(60.75*0.3048-6*0.225)</f>
        <v>17.166599999999999</v>
      </c>
      <c r="G158" s="88">
        <v>0.15</v>
      </c>
      <c r="H158" s="1049">
        <v>3.6</v>
      </c>
      <c r="I158" s="1049">
        <f>ROUND(C158*E158*F158*G158*H158,2)</f>
        <v>18.54</v>
      </c>
      <c r="J158" s="1049"/>
      <c r="K158" s="1049"/>
      <c r="L158" s="1049"/>
      <c r="M158" s="1049"/>
      <c r="N158" s="1087"/>
      <c r="O158" s="1087"/>
    </row>
    <row r="159" spans="1:15" ht="14.1">
      <c r="A159" s="1046"/>
      <c r="B159" s="1174" t="s">
        <v>2517</v>
      </c>
      <c r="C159" s="1048">
        <v>1</v>
      </c>
      <c r="D159" s="1048" t="s">
        <v>1472</v>
      </c>
      <c r="E159" s="1048">
        <v>2</v>
      </c>
      <c r="F159" s="88">
        <f>((30)*0.3048-0.3)</f>
        <v>8.8439999999999994</v>
      </c>
      <c r="G159" s="88">
        <v>0.15</v>
      </c>
      <c r="H159" s="1049">
        <v>3.6</v>
      </c>
      <c r="I159" s="1049">
        <f>ROUND(C159*E159*F159*G159*AVERAGE(3.6,5.48,3.6),2)</f>
        <v>11.21</v>
      </c>
      <c r="J159" s="1049"/>
      <c r="K159" s="1049"/>
      <c r="L159" s="1049"/>
      <c r="M159" s="1049"/>
      <c r="N159" s="1169" t="s">
        <v>2261</v>
      </c>
      <c r="O159" s="1087"/>
    </row>
    <row r="160" spans="1:15" ht="14.1">
      <c r="A160" s="1046"/>
      <c r="B160" s="1174" t="s">
        <v>2518</v>
      </c>
      <c r="C160" s="1048">
        <v>1</v>
      </c>
      <c r="D160" s="1048" t="s">
        <v>1472</v>
      </c>
      <c r="E160" s="1048">
        <v>1</v>
      </c>
      <c r="F160" s="88">
        <f>((30)*0.3048-0.3*2)</f>
        <v>8.5440000000000005</v>
      </c>
      <c r="G160" s="88">
        <v>0.15</v>
      </c>
      <c r="H160" s="1049">
        <v>3.6</v>
      </c>
      <c r="I160" s="1049">
        <f>ROUND(C160*E160*F160*G160*AVERAGE(3.6,5.48,3.6),2)</f>
        <v>5.42</v>
      </c>
      <c r="J160" s="1049"/>
      <c r="K160" s="1049"/>
      <c r="L160" s="1049"/>
      <c r="M160" s="1049"/>
      <c r="N160" s="1169" t="s">
        <v>2261</v>
      </c>
      <c r="O160" s="1087"/>
    </row>
    <row r="161" spans="1:15" ht="14.1">
      <c r="A161" s="1046"/>
      <c r="B161" s="1174" t="s">
        <v>2519</v>
      </c>
      <c r="C161" s="1048">
        <v>1</v>
      </c>
      <c r="D161" s="1048" t="s">
        <v>1472</v>
      </c>
      <c r="E161" s="1048">
        <v>1</v>
      </c>
      <c r="F161" s="88">
        <v>3.6</v>
      </c>
      <c r="G161" s="88">
        <v>0.15</v>
      </c>
      <c r="H161" s="1049">
        <v>3.6</v>
      </c>
      <c r="I161" s="1049">
        <f>ROUND(C161*E161*F161*G161*AVERAGE(3.6,5.48,3.6),2)</f>
        <v>2.2799999999999998</v>
      </c>
      <c r="J161" s="1049"/>
      <c r="K161" s="1049"/>
      <c r="L161" s="1049"/>
      <c r="M161" s="1049"/>
      <c r="N161" s="1087"/>
      <c r="O161" s="1087"/>
    </row>
    <row r="162" spans="1:15" ht="14.1">
      <c r="A162" s="1046"/>
      <c r="B162" s="1195" t="s">
        <v>675</v>
      </c>
      <c r="C162" s="1048"/>
      <c r="D162" s="1048"/>
      <c r="E162" s="1048"/>
      <c r="F162" s="88"/>
      <c r="G162" s="88"/>
      <c r="H162" s="1049"/>
      <c r="I162" s="1049"/>
      <c r="J162" s="1049"/>
      <c r="K162" s="1049"/>
      <c r="L162" s="1049"/>
      <c r="M162" s="1049"/>
      <c r="N162" s="1087"/>
      <c r="O162" s="1087"/>
    </row>
    <row r="163" spans="1:15">
      <c r="A163" s="1076"/>
      <c r="B163" s="1178" t="s">
        <v>2214</v>
      </c>
      <c r="C163" s="1048">
        <v>1</v>
      </c>
      <c r="D163" s="1048" t="s">
        <v>1472</v>
      </c>
      <c r="E163" s="1048">
        <v>1</v>
      </c>
      <c r="F163" s="88">
        <v>1.8</v>
      </c>
      <c r="G163" s="88">
        <v>0.15</v>
      </c>
      <c r="H163" s="1049">
        <v>2.4</v>
      </c>
      <c r="I163" s="1049">
        <f t="shared" ref="I163:I168" si="6">-ROUND(C163*E163*F163*G163*H163,2)</f>
        <v>-0.65</v>
      </c>
      <c r="J163" s="1049"/>
      <c r="K163" s="1049"/>
      <c r="L163" s="1049"/>
      <c r="M163" s="1049"/>
      <c r="N163" s="1087"/>
      <c r="O163" s="1087"/>
    </row>
    <row r="164" spans="1:15">
      <c r="A164" s="1076"/>
      <c r="B164" s="1178" t="s">
        <v>980</v>
      </c>
      <c r="C164" s="1048">
        <v>1</v>
      </c>
      <c r="D164" s="1048" t="s">
        <v>1472</v>
      </c>
      <c r="E164" s="1048">
        <v>2</v>
      </c>
      <c r="F164" s="88">
        <v>1.5</v>
      </c>
      <c r="G164" s="88">
        <v>0.15</v>
      </c>
      <c r="H164" s="1049">
        <v>2.4</v>
      </c>
      <c r="I164" s="1049">
        <f t="shared" si="6"/>
        <v>-1.08</v>
      </c>
      <c r="J164" s="1049"/>
      <c r="K164" s="1049"/>
      <c r="L164" s="1049"/>
      <c r="M164" s="1049"/>
      <c r="N164" s="1087"/>
      <c r="O164" s="1087"/>
    </row>
    <row r="165" spans="1:15">
      <c r="A165" s="1076"/>
      <c r="B165" s="1178" t="s">
        <v>981</v>
      </c>
      <c r="C165" s="1048">
        <v>1</v>
      </c>
      <c r="D165" s="1048" t="s">
        <v>1472</v>
      </c>
      <c r="E165" s="1048">
        <v>2</v>
      </c>
      <c r="F165" s="88">
        <v>0.9</v>
      </c>
      <c r="G165" s="88">
        <v>0.15</v>
      </c>
      <c r="H165" s="1049">
        <v>2.1</v>
      </c>
      <c r="I165" s="1049">
        <f t="shared" si="6"/>
        <v>-0.56999999999999995</v>
      </c>
      <c r="J165" s="1049"/>
      <c r="K165" s="1049"/>
      <c r="L165" s="1049"/>
      <c r="M165" s="1049"/>
      <c r="N165" s="1087"/>
      <c r="O165" s="1087"/>
    </row>
    <row r="166" spans="1:15">
      <c r="A166" s="1076"/>
      <c r="B166" s="1178" t="s">
        <v>2466</v>
      </c>
      <c r="C166" s="1048">
        <v>1</v>
      </c>
      <c r="D166" s="1048" t="s">
        <v>1472</v>
      </c>
      <c r="E166" s="1048">
        <v>4</v>
      </c>
      <c r="F166" s="88">
        <v>1.5</v>
      </c>
      <c r="G166" s="88">
        <v>0.15</v>
      </c>
      <c r="H166" s="1049">
        <v>1.2</v>
      </c>
      <c r="I166" s="1049">
        <f t="shared" si="6"/>
        <v>-1.08</v>
      </c>
      <c r="J166" s="1049"/>
      <c r="K166" s="1049"/>
      <c r="L166" s="1049"/>
      <c r="M166" s="1049"/>
      <c r="N166" s="1087"/>
      <c r="O166" s="1087"/>
    </row>
    <row r="167" spans="1:15" ht="14.1">
      <c r="A167" s="1046"/>
      <c r="B167" s="1178" t="s">
        <v>2215</v>
      </c>
      <c r="C167" s="1048">
        <v>1</v>
      </c>
      <c r="D167" s="1048" t="s">
        <v>1472</v>
      </c>
      <c r="E167" s="1048">
        <v>6</v>
      </c>
      <c r="F167" s="88">
        <f>11*0.3048</f>
        <v>3.3528000000000002</v>
      </c>
      <c r="G167" s="88">
        <v>0.15</v>
      </c>
      <c r="H167" s="1194">
        <v>1.2</v>
      </c>
      <c r="I167" s="1049">
        <f t="shared" si="6"/>
        <v>-3.62</v>
      </c>
      <c r="J167" s="1049"/>
      <c r="K167" s="1049"/>
      <c r="L167" s="1049"/>
      <c r="M167" s="1049"/>
      <c r="N167" s="1087"/>
      <c r="O167" s="1087"/>
    </row>
    <row r="168" spans="1:15" ht="14.1">
      <c r="A168" s="1046"/>
      <c r="B168" s="1178" t="s">
        <v>2216</v>
      </c>
      <c r="C168" s="1048">
        <v>1</v>
      </c>
      <c r="D168" s="1048" t="s">
        <v>1472</v>
      </c>
      <c r="E168" s="1048">
        <v>2</v>
      </c>
      <c r="F168" s="88">
        <v>2.4</v>
      </c>
      <c r="G168" s="88">
        <v>0.15</v>
      </c>
      <c r="H168" s="1049">
        <v>2</v>
      </c>
      <c r="I168" s="1049">
        <f t="shared" si="6"/>
        <v>-1.44</v>
      </c>
      <c r="J168" s="1049"/>
      <c r="K168" s="1049"/>
      <c r="L168" s="1049"/>
      <c r="M168" s="1049"/>
      <c r="N168" s="1087"/>
      <c r="O168" s="1087"/>
    </row>
    <row r="169" spans="1:15" ht="14.1">
      <c r="A169" s="1046"/>
      <c r="B169" s="1064" t="s">
        <v>2510</v>
      </c>
      <c r="C169" s="1067"/>
      <c r="D169" s="1067"/>
      <c r="E169" s="1048"/>
      <c r="F169" s="1049"/>
      <c r="G169" s="1049"/>
      <c r="H169" s="1049"/>
      <c r="I169" s="1049"/>
      <c r="J169" s="1049"/>
      <c r="K169" s="1049"/>
      <c r="L169" s="1049"/>
      <c r="M169" s="1049"/>
      <c r="N169" s="1087"/>
      <c r="O169" s="1087"/>
    </row>
    <row r="170" spans="1:15" ht="14.1">
      <c r="A170" s="1046"/>
      <c r="B170" s="1050" t="s">
        <v>2508</v>
      </c>
      <c r="C170" s="1048">
        <v>1</v>
      </c>
      <c r="D170" s="1048" t="s">
        <v>1472</v>
      </c>
      <c r="E170" s="1048">
        <v>2</v>
      </c>
      <c r="F170" s="1049">
        <v>4.05</v>
      </c>
      <c r="G170" s="1049">
        <v>0.23</v>
      </c>
      <c r="H170" s="1094">
        <v>0.22500000000000001</v>
      </c>
      <c r="I170" s="1049">
        <f>-ROUND(C170*E170*F170*G170*H170,2)</f>
        <v>-0.42</v>
      </c>
      <c r="J170" s="1049"/>
      <c r="K170" s="1049"/>
      <c r="L170" s="1049"/>
      <c r="M170" s="1049"/>
      <c r="N170" s="1087"/>
      <c r="O170" s="1087"/>
    </row>
    <row r="171" spans="1:15" ht="14.1">
      <c r="A171" s="1046"/>
      <c r="B171" s="1051" t="s">
        <v>2542</v>
      </c>
      <c r="C171" s="1048">
        <v>1</v>
      </c>
      <c r="D171" s="1048" t="s">
        <v>1472</v>
      </c>
      <c r="E171" s="1048">
        <v>2</v>
      </c>
      <c r="F171" s="1049">
        <f>11*0.3048</f>
        <v>3.3528000000000002</v>
      </c>
      <c r="G171" s="1049">
        <v>0.23</v>
      </c>
      <c r="H171" s="1094">
        <v>0.23</v>
      </c>
      <c r="I171" s="1049">
        <f t="shared" ref="I171:I178" si="7">-ROUND(C171*E171*F171*G171*H171,2)</f>
        <v>-0.35</v>
      </c>
      <c r="J171" s="1049"/>
      <c r="K171" s="1049"/>
      <c r="L171" s="1049"/>
      <c r="M171" s="1049"/>
      <c r="N171" s="1087"/>
      <c r="O171" s="1087"/>
    </row>
    <row r="172" spans="1:15" ht="14.1">
      <c r="A172" s="1046"/>
      <c r="B172" s="1051" t="s">
        <v>2543</v>
      </c>
      <c r="C172" s="1048">
        <v>1</v>
      </c>
      <c r="D172" s="1048" t="s">
        <v>1472</v>
      </c>
      <c r="E172" s="1048">
        <v>1</v>
      </c>
      <c r="F172" s="1049">
        <v>2.4</v>
      </c>
      <c r="G172" s="1049">
        <v>0.23</v>
      </c>
      <c r="H172" s="1094">
        <v>0.57999999999999996</v>
      </c>
      <c r="I172" s="1049">
        <f t="shared" si="7"/>
        <v>-0.32</v>
      </c>
      <c r="J172" s="1049"/>
      <c r="K172" s="1049"/>
      <c r="L172" s="1049"/>
      <c r="M172" s="1049"/>
      <c r="N172" s="1087"/>
      <c r="O172" s="1087"/>
    </row>
    <row r="173" spans="1:15" ht="14.1">
      <c r="A173" s="1046"/>
      <c r="B173" s="1050" t="s">
        <v>2532</v>
      </c>
      <c r="C173" s="1048">
        <v>1</v>
      </c>
      <c r="D173" s="1048" t="s">
        <v>1472</v>
      </c>
      <c r="E173" s="1048">
        <v>2</v>
      </c>
      <c r="F173" s="1049">
        <f>(11.83*4+0.75)*0.3048</f>
        <v>14.651736000000001</v>
      </c>
      <c r="G173" s="1049">
        <v>0.23</v>
      </c>
      <c r="H173" s="1094">
        <v>0.3</v>
      </c>
      <c r="I173" s="1049">
        <f t="shared" si="7"/>
        <v>-2.02</v>
      </c>
      <c r="J173" s="1049"/>
      <c r="K173" s="1049"/>
      <c r="L173" s="1049"/>
      <c r="M173" s="1049"/>
      <c r="N173" s="1087"/>
      <c r="O173" s="1087"/>
    </row>
    <row r="174" spans="1:15" ht="14.1">
      <c r="A174" s="1046"/>
      <c r="B174" s="1064" t="s">
        <v>2500</v>
      </c>
      <c r="C174" s="1067"/>
      <c r="D174" s="1067"/>
      <c r="E174" s="1048"/>
      <c r="F174" s="1049"/>
      <c r="G174" s="1049"/>
      <c r="H174" s="1049"/>
      <c r="I174" s="1049"/>
      <c r="J174" s="1049"/>
      <c r="K174" s="1049"/>
      <c r="L174" s="1049"/>
      <c r="M174" s="1049"/>
      <c r="N174" s="1087"/>
      <c r="O174" s="1087"/>
    </row>
    <row r="175" spans="1:15" ht="14.1">
      <c r="A175" s="1046"/>
      <c r="B175" s="1051" t="s">
        <v>2501</v>
      </c>
      <c r="C175" s="1048">
        <v>1</v>
      </c>
      <c r="D175" s="1048" t="s">
        <v>1472</v>
      </c>
      <c r="E175" s="1048">
        <v>1</v>
      </c>
      <c r="F175" s="1049">
        <f>30*0.3048</f>
        <v>9.1440000000000001</v>
      </c>
      <c r="G175" s="1049">
        <v>0.23</v>
      </c>
      <c r="H175" s="1094">
        <v>0.3</v>
      </c>
      <c r="I175" s="1049">
        <f t="shared" si="7"/>
        <v>-0.63</v>
      </c>
      <c r="J175" s="1049"/>
      <c r="K175" s="1049"/>
      <c r="L175" s="1049"/>
      <c r="M175" s="1049"/>
      <c r="N175" s="1087"/>
      <c r="O175" s="1087"/>
    </row>
    <row r="176" spans="1:15" ht="14.1">
      <c r="A176" s="1046"/>
      <c r="B176" s="1051" t="s">
        <v>2504</v>
      </c>
      <c r="C176" s="1048">
        <v>1</v>
      </c>
      <c r="D176" s="1048" t="s">
        <v>1472</v>
      </c>
      <c r="E176" s="1048">
        <v>1</v>
      </c>
      <c r="F176" s="1049">
        <f>30*0.3048</f>
        <v>9.1440000000000001</v>
      </c>
      <c r="G176" s="1049">
        <v>0.23</v>
      </c>
      <c r="H176" s="1094">
        <v>0.3</v>
      </c>
      <c r="I176" s="1049">
        <f t="shared" si="7"/>
        <v>-0.63</v>
      </c>
      <c r="J176" s="1049"/>
      <c r="K176" s="1049"/>
      <c r="L176" s="1049"/>
      <c r="M176" s="1049"/>
      <c r="N176" s="1087"/>
      <c r="O176" s="1087"/>
    </row>
    <row r="177" spans="1:16" ht="14.1">
      <c r="A177" s="1046"/>
      <c r="B177" s="1051" t="s">
        <v>2565</v>
      </c>
      <c r="C177" s="1048">
        <v>1</v>
      </c>
      <c r="D177" s="1048" t="s">
        <v>1472</v>
      </c>
      <c r="E177" s="1048">
        <v>1</v>
      </c>
      <c r="F177" s="1049">
        <f>30*0.3048</f>
        <v>9.1440000000000001</v>
      </c>
      <c r="G177" s="1049">
        <v>0.23</v>
      </c>
      <c r="H177" s="1094">
        <v>0.3</v>
      </c>
      <c r="I177" s="1049">
        <f t="shared" si="7"/>
        <v>-0.63</v>
      </c>
      <c r="J177" s="1049"/>
      <c r="K177" s="1049"/>
      <c r="L177" s="1049"/>
      <c r="M177" s="1049"/>
      <c r="N177" s="1087"/>
      <c r="O177" s="1087"/>
    </row>
    <row r="178" spans="1:16" ht="14.1">
      <c r="A178" s="1046"/>
      <c r="B178" s="1051" t="s">
        <v>2566</v>
      </c>
      <c r="C178" s="1048">
        <v>1</v>
      </c>
      <c r="D178" s="1048" t="s">
        <v>1472</v>
      </c>
      <c r="E178" s="1048">
        <v>1</v>
      </c>
      <c r="F178" s="1049">
        <f>(12.75+0.75)*0.3048</f>
        <v>4.1147999999999998</v>
      </c>
      <c r="G178" s="1049">
        <v>0.23</v>
      </c>
      <c r="H178" s="1094">
        <v>0.3</v>
      </c>
      <c r="I178" s="1049">
        <f t="shared" si="7"/>
        <v>-0.28000000000000003</v>
      </c>
      <c r="J178" s="1049"/>
      <c r="K178" s="1049"/>
      <c r="L178" s="1049"/>
      <c r="M178" s="1049"/>
      <c r="N178" s="1087"/>
      <c r="O178" s="1087"/>
    </row>
    <row r="179" spans="1:16" ht="14.1">
      <c r="A179" s="1046"/>
      <c r="B179" s="1225" t="s">
        <v>2118</v>
      </c>
      <c r="C179" s="1048"/>
      <c r="D179" s="1048"/>
      <c r="E179" s="1048"/>
      <c r="F179" s="88"/>
      <c r="G179" s="88"/>
      <c r="H179" s="1049"/>
      <c r="I179" s="1049"/>
      <c r="J179" s="1049"/>
      <c r="K179" s="1049"/>
      <c r="L179" s="1049"/>
      <c r="M179" s="1049"/>
      <c r="N179" s="1087"/>
      <c r="O179" s="1087"/>
    </row>
    <row r="180" spans="1:16">
      <c r="A180" s="1048"/>
      <c r="B180" s="1178" t="s">
        <v>2209</v>
      </c>
      <c r="C180" s="1048">
        <v>1</v>
      </c>
      <c r="D180" s="1048" t="s">
        <v>1472</v>
      </c>
      <c r="E180" s="1048">
        <v>1</v>
      </c>
      <c r="F180" s="88">
        <v>1.6</v>
      </c>
      <c r="G180" s="88">
        <v>0.15</v>
      </c>
      <c r="H180" s="1049">
        <v>0.1</v>
      </c>
      <c r="I180" s="1049">
        <f>-ROUND(C180*E180*F180*G180*H180,2)</f>
        <v>-0.02</v>
      </c>
      <c r="J180" s="1049"/>
      <c r="K180" s="1049"/>
      <c r="L180" s="1049"/>
      <c r="M180" s="1049"/>
      <c r="N180" s="1087"/>
      <c r="O180" s="1087"/>
    </row>
    <row r="181" spans="1:16">
      <c r="A181" s="1048"/>
      <c r="B181" s="1178" t="s">
        <v>2467</v>
      </c>
      <c r="C181" s="1048">
        <v>2</v>
      </c>
      <c r="D181" s="1048" t="s">
        <v>1472</v>
      </c>
      <c r="E181" s="1048">
        <v>2</v>
      </c>
      <c r="F181" s="1049">
        <v>1.8</v>
      </c>
      <c r="G181" s="1049">
        <v>0.23</v>
      </c>
      <c r="H181" s="1049">
        <v>0.15</v>
      </c>
      <c r="I181" s="1049">
        <f>-ROUND(C181*E181*F181*G181*H181,2)</f>
        <v>-0.25</v>
      </c>
      <c r="J181" s="1049"/>
      <c r="K181" s="1049"/>
      <c r="L181" s="1049"/>
      <c r="M181" s="1049"/>
      <c r="N181" s="1087"/>
      <c r="O181" s="1087"/>
    </row>
    <row r="182" spans="1:16">
      <c r="A182" s="1048"/>
      <c r="B182" s="1195" t="s">
        <v>38</v>
      </c>
      <c r="C182" s="1048"/>
      <c r="D182" s="1048"/>
      <c r="E182" s="1048"/>
      <c r="F182" s="88"/>
      <c r="G182" s="88"/>
      <c r="H182" s="1049"/>
      <c r="I182" s="1049"/>
      <c r="J182" s="1049"/>
      <c r="K182" s="1049"/>
      <c r="L182" s="1049"/>
      <c r="M182" s="1049"/>
      <c r="N182" s="1087"/>
      <c r="O182" s="1087"/>
    </row>
    <row r="183" spans="1:16">
      <c r="A183" s="1048"/>
      <c r="B183" s="1178" t="s">
        <v>2113</v>
      </c>
      <c r="C183" s="1048">
        <v>4</v>
      </c>
      <c r="D183" s="1048" t="s">
        <v>1472</v>
      </c>
      <c r="E183" s="1048">
        <v>7</v>
      </c>
      <c r="F183" s="88">
        <v>0.23</v>
      </c>
      <c r="G183" s="88">
        <v>0.15</v>
      </c>
      <c r="H183" s="1049">
        <v>0.15</v>
      </c>
      <c r="I183" s="1049">
        <f>-ROUND(C183*E183*F183*G183*H183,2)</f>
        <v>-0.14000000000000001</v>
      </c>
      <c r="J183" s="1049"/>
      <c r="K183" s="1049"/>
      <c r="L183" s="1049"/>
      <c r="M183" s="1049"/>
      <c r="N183" s="1087"/>
      <c r="O183" s="1087"/>
    </row>
    <row r="184" spans="1:16">
      <c r="A184" s="1048"/>
      <c r="B184" s="1178" t="s">
        <v>2469</v>
      </c>
      <c r="C184" s="1048">
        <v>4</v>
      </c>
      <c r="D184" s="1048" t="s">
        <v>1472</v>
      </c>
      <c r="E184" s="1048">
        <v>4</v>
      </c>
      <c r="F184" s="88">
        <v>0.23</v>
      </c>
      <c r="G184" s="88">
        <v>0.15</v>
      </c>
      <c r="H184" s="1049">
        <v>0.15</v>
      </c>
      <c r="I184" s="1049">
        <f>-ROUND(C184*E184*F184*G184*H184,2)</f>
        <v>-0.08</v>
      </c>
      <c r="J184" s="1049"/>
      <c r="K184" s="1049"/>
      <c r="L184" s="1049"/>
      <c r="M184" s="1049"/>
      <c r="N184" s="1087"/>
      <c r="O184" s="1087"/>
    </row>
    <row r="185" spans="1:16">
      <c r="A185" s="1048"/>
      <c r="B185" s="1178"/>
      <c r="C185" s="1048"/>
      <c r="D185" s="1048"/>
      <c r="E185" s="1048"/>
      <c r="F185" s="88"/>
      <c r="G185" s="88"/>
      <c r="H185" s="1049"/>
      <c r="I185" s="1194">
        <v>-2.78</v>
      </c>
      <c r="J185" s="1049"/>
      <c r="K185" s="1049"/>
      <c r="L185" s="1049"/>
      <c r="M185" s="1049"/>
      <c r="N185" s="1087"/>
      <c r="O185" s="1087"/>
    </row>
    <row r="186" spans="1:16" ht="14.1">
      <c r="A186" s="1048"/>
      <c r="B186" s="1178"/>
      <c r="C186" s="1048"/>
      <c r="D186" s="1048"/>
      <c r="E186" s="1048"/>
      <c r="F186" s="88"/>
      <c r="G186" s="88"/>
      <c r="H186" s="1049"/>
      <c r="I186" s="1053">
        <f>SUM(I158:I185)</f>
        <v>20.460000000000004</v>
      </c>
      <c r="J186" s="1049">
        <f>Datas!G1328</f>
        <v>7785.37</v>
      </c>
      <c r="K186" s="1053">
        <f>ROUND(J186*I186,0)</f>
        <v>159289</v>
      </c>
      <c r="L186" s="1049"/>
      <c r="M186" s="1049"/>
      <c r="N186" s="1087"/>
      <c r="O186" s="1087"/>
    </row>
    <row r="187" spans="1:16">
      <c r="A187" s="1048"/>
      <c r="B187" s="1178"/>
      <c r="C187" s="1048"/>
      <c r="D187" s="1048"/>
      <c r="E187" s="1048"/>
      <c r="F187" s="88"/>
      <c r="G187" s="88"/>
      <c r="H187" s="1049"/>
      <c r="I187" s="1049"/>
      <c r="J187" s="1049"/>
      <c r="K187" s="1049"/>
      <c r="L187" s="1049"/>
      <c r="M187" s="1049"/>
      <c r="N187" s="1087"/>
      <c r="O187" s="1087"/>
    </row>
    <row r="188" spans="1:16" ht="131.25" customHeight="1">
      <c r="A188" s="1085">
        <v>10</v>
      </c>
      <c r="B188" s="2415" t="s">
        <v>2447</v>
      </c>
      <c r="C188" s="2426"/>
      <c r="D188" s="2426"/>
      <c r="E188" s="2426"/>
      <c r="F188" s="2426"/>
      <c r="G188" s="2426"/>
      <c r="H188" s="2426"/>
      <c r="I188" s="2427"/>
      <c r="J188" s="1049"/>
      <c r="K188" s="1049"/>
      <c r="L188" s="1049"/>
      <c r="M188" s="1049"/>
      <c r="N188" s="1087"/>
      <c r="O188" s="1087"/>
    </row>
    <row r="189" spans="1:16">
      <c r="A189" s="1048"/>
      <c r="B189" s="1225" t="s">
        <v>2520</v>
      </c>
      <c r="C189" s="1048"/>
      <c r="D189" s="1048"/>
      <c r="E189" s="1048"/>
      <c r="F189" s="1049"/>
      <c r="G189" s="1049"/>
      <c r="H189" s="1049"/>
      <c r="I189" s="1049"/>
      <c r="J189" s="1049"/>
      <c r="K189" s="1049"/>
      <c r="L189" s="1049"/>
      <c r="M189" s="1049"/>
      <c r="N189" s="1087"/>
      <c r="O189" s="1087"/>
    </row>
    <row r="190" spans="1:16" ht="14.1">
      <c r="A190" s="1046"/>
      <c r="B190" s="1174" t="s">
        <v>2521</v>
      </c>
      <c r="C190" s="1048">
        <v>1</v>
      </c>
      <c r="D190" s="1048" t="s">
        <v>1472</v>
      </c>
      <c r="E190" s="1048">
        <v>1</v>
      </c>
      <c r="F190" s="88">
        <f>((30)*0.3048-0.3)</f>
        <v>8.8439999999999994</v>
      </c>
      <c r="G190" s="88">
        <v>0.22500000000000001</v>
      </c>
      <c r="H190" s="1169" t="s">
        <v>2522</v>
      </c>
      <c r="I190" s="1049">
        <f>ROUND(C190*E190*F190*G190*0.5,2)</f>
        <v>0.99</v>
      </c>
      <c r="J190" s="1049"/>
      <c r="K190" s="1049"/>
      <c r="L190" s="1049"/>
      <c r="M190" s="1049"/>
      <c r="N190" s="1169">
        <f>(0.1+1.3+0.1)/3</f>
        <v>0.50000000000000011</v>
      </c>
      <c r="O190" s="1087"/>
      <c r="P190" s="1087"/>
    </row>
    <row r="191" spans="1:16" ht="14.1">
      <c r="A191" s="1046"/>
      <c r="B191" s="1174" t="s">
        <v>2518</v>
      </c>
      <c r="C191" s="1048">
        <v>1</v>
      </c>
      <c r="D191" s="1048" t="s">
        <v>1472</v>
      </c>
      <c r="E191" s="1048">
        <v>1</v>
      </c>
      <c r="F191" s="88">
        <f>((30)*0.3048-0.3*2)</f>
        <v>8.5440000000000005</v>
      </c>
      <c r="G191" s="88">
        <v>0.22500000000000001</v>
      </c>
      <c r="H191" s="1169" t="s">
        <v>2522</v>
      </c>
      <c r="I191" s="1049">
        <f>ROUND(C191*E191*F191*G191*0.5,2)</f>
        <v>0.96</v>
      </c>
      <c r="J191" s="1049"/>
      <c r="K191" s="1049"/>
      <c r="L191" s="1049"/>
      <c r="M191" s="1049"/>
      <c r="N191" s="1169"/>
      <c r="O191" s="1087"/>
    </row>
    <row r="192" spans="1:16">
      <c r="A192" s="1048"/>
      <c r="B192" s="1225" t="s">
        <v>2124</v>
      </c>
      <c r="C192" s="1048"/>
      <c r="D192" s="1048"/>
      <c r="E192" s="1048"/>
      <c r="F192" s="1049"/>
      <c r="G192" s="1049"/>
      <c r="H192" s="1049"/>
      <c r="I192" s="1049"/>
      <c r="J192" s="1049"/>
      <c r="K192" s="1049"/>
      <c r="L192" s="1049"/>
      <c r="M192" s="1049"/>
      <c r="N192" s="1087"/>
      <c r="O192" s="1087"/>
    </row>
    <row r="193" spans="1:16" ht="14.1">
      <c r="A193" s="1046"/>
      <c r="B193" s="1174" t="s">
        <v>2093</v>
      </c>
      <c r="C193" s="1048">
        <v>1</v>
      </c>
      <c r="D193" s="1048" t="s">
        <v>1472</v>
      </c>
      <c r="E193" s="1048">
        <v>2</v>
      </c>
      <c r="F193" s="1049">
        <f>12.75*0.3048+0.23</f>
        <v>4.1162000000000001</v>
      </c>
      <c r="G193" s="1049">
        <v>0.23</v>
      </c>
      <c r="H193" s="1049">
        <v>2.4</v>
      </c>
      <c r="I193" s="1049">
        <f>ROUND(C193*E193*F193*G193*H193,2)</f>
        <v>4.54</v>
      </c>
      <c r="J193" s="1049"/>
      <c r="K193" s="1049"/>
      <c r="L193" s="1049"/>
      <c r="M193" s="1049"/>
      <c r="N193" s="1087"/>
      <c r="O193" s="1087"/>
    </row>
    <row r="194" spans="1:16" ht="14.1">
      <c r="A194" s="1046"/>
      <c r="B194" s="1174" t="s">
        <v>2094</v>
      </c>
      <c r="C194" s="1048">
        <v>1</v>
      </c>
      <c r="D194" s="1048" t="s">
        <v>1472</v>
      </c>
      <c r="E194" s="1048">
        <v>2</v>
      </c>
      <c r="F194" s="1049">
        <f>10*0.3048</f>
        <v>3.048</v>
      </c>
      <c r="G194" s="1049">
        <v>0.23</v>
      </c>
      <c r="H194" s="1049">
        <v>2.4</v>
      </c>
      <c r="I194" s="1049">
        <f>ROUND(C194*E194*F194*G194*H194,2)</f>
        <v>3.36</v>
      </c>
      <c r="J194" s="1049"/>
      <c r="K194" s="1049"/>
      <c r="L194" s="1049"/>
      <c r="M194" s="1049"/>
      <c r="N194" s="1087"/>
      <c r="O194" s="1087"/>
    </row>
    <row r="195" spans="1:16">
      <c r="A195" s="1048"/>
      <c r="B195" s="1178" t="s">
        <v>2125</v>
      </c>
      <c r="C195" s="1048">
        <v>1</v>
      </c>
      <c r="D195" s="1048" t="s">
        <v>1472</v>
      </c>
      <c r="E195" s="1048">
        <v>1</v>
      </c>
      <c r="F195" s="1049">
        <f>12*0.3048</f>
        <v>3.6576000000000004</v>
      </c>
      <c r="G195" s="1049">
        <v>0.115</v>
      </c>
      <c r="H195" s="1049">
        <v>2.1</v>
      </c>
      <c r="I195" s="1049">
        <f>ROUND(C195*E195*F195*G195*H195,2)</f>
        <v>0.88</v>
      </c>
      <c r="J195" s="1049"/>
      <c r="K195" s="1049"/>
      <c r="L195" s="1049"/>
      <c r="M195" s="1049"/>
      <c r="N195" s="1087"/>
      <c r="O195" s="1087"/>
    </row>
    <row r="196" spans="1:16">
      <c r="A196" s="1048"/>
      <c r="B196" s="1178" t="s">
        <v>2125</v>
      </c>
      <c r="C196" s="1048">
        <v>1</v>
      </c>
      <c r="D196" s="1048" t="s">
        <v>1472</v>
      </c>
      <c r="E196" s="1048">
        <v>1</v>
      </c>
      <c r="F196" s="1049">
        <f>10*0.3048</f>
        <v>3.048</v>
      </c>
      <c r="G196" s="1049">
        <v>0.115</v>
      </c>
      <c r="H196" s="1049">
        <v>2.1</v>
      </c>
      <c r="I196" s="1049">
        <f>ROUND(C196*E196*F196*G196*H196,2)</f>
        <v>0.74</v>
      </c>
      <c r="J196" s="1049"/>
      <c r="K196" s="1049"/>
      <c r="L196" s="1049"/>
      <c r="M196" s="1049"/>
      <c r="N196" s="1087"/>
      <c r="O196" s="1087">
        <v>60</v>
      </c>
      <c r="P196" s="1069">
        <f t="shared" ref="P196:P201" si="8">O196*N196</f>
        <v>0</v>
      </c>
    </row>
    <row r="197" spans="1:16">
      <c r="A197" s="1048"/>
      <c r="B197" s="1190" t="s">
        <v>675</v>
      </c>
      <c r="C197" s="1048"/>
      <c r="D197" s="1048"/>
      <c r="E197" s="1048"/>
      <c r="F197" s="1049"/>
      <c r="G197" s="1049"/>
      <c r="H197" s="1049"/>
      <c r="I197" s="1049"/>
      <c r="J197" s="1049"/>
      <c r="K197" s="1049"/>
      <c r="L197" s="1049"/>
      <c r="M197" s="1049"/>
      <c r="N197" s="1087"/>
      <c r="O197" s="1087">
        <v>120</v>
      </c>
      <c r="P197" s="1069">
        <f t="shared" si="8"/>
        <v>0</v>
      </c>
    </row>
    <row r="198" spans="1:16">
      <c r="A198" s="1048"/>
      <c r="B198" s="1178" t="s">
        <v>2126</v>
      </c>
      <c r="C198" s="1048">
        <v>1</v>
      </c>
      <c r="D198" s="1048" t="s">
        <v>1472</v>
      </c>
      <c r="E198" s="1048">
        <v>2</v>
      </c>
      <c r="F198" s="1049">
        <v>0.9</v>
      </c>
      <c r="G198" s="1049">
        <v>0.23</v>
      </c>
      <c r="H198" s="1049">
        <v>2.1</v>
      </c>
      <c r="I198" s="1049">
        <f>-ROUND(C198*E198*F198*G198*H198,2)</f>
        <v>-0.87</v>
      </c>
      <c r="J198" s="1049"/>
      <c r="K198" s="1049"/>
      <c r="L198" s="1049"/>
      <c r="M198" s="1049"/>
      <c r="N198" s="1087"/>
      <c r="O198" s="1087">
        <v>120</v>
      </c>
      <c r="P198" s="1069">
        <f t="shared" si="8"/>
        <v>0</v>
      </c>
    </row>
    <row r="199" spans="1:16">
      <c r="A199" s="1048"/>
      <c r="B199" s="1178" t="s">
        <v>980</v>
      </c>
      <c r="C199" s="1048">
        <v>1</v>
      </c>
      <c r="D199" s="1048" t="s">
        <v>1472</v>
      </c>
      <c r="E199" s="1048">
        <v>2</v>
      </c>
      <c r="F199" s="1049">
        <v>0.75</v>
      </c>
      <c r="G199" s="1193">
        <v>0.115</v>
      </c>
      <c r="H199" s="1049">
        <v>2.1</v>
      </c>
      <c r="I199" s="1049">
        <f>-ROUND(C199*E199*F199*G199*H199,2)</f>
        <v>-0.36</v>
      </c>
      <c r="J199" s="1049"/>
      <c r="K199" s="1049"/>
      <c r="L199" s="1049"/>
      <c r="M199" s="1049"/>
      <c r="N199" s="1087"/>
      <c r="O199" s="1087">
        <v>120</v>
      </c>
      <c r="P199" s="1069">
        <f t="shared" si="8"/>
        <v>0</v>
      </c>
    </row>
    <row r="200" spans="1:16" ht="14.1">
      <c r="A200" s="1046"/>
      <c r="B200" s="1178" t="s">
        <v>2118</v>
      </c>
      <c r="C200" s="1048"/>
      <c r="D200" s="1048"/>
      <c r="E200" s="1048"/>
      <c r="F200" s="1049"/>
      <c r="G200" s="1193"/>
      <c r="H200" s="1049"/>
      <c r="I200" s="1049"/>
      <c r="J200" s="1049"/>
      <c r="K200" s="1049"/>
      <c r="L200" s="1049"/>
      <c r="M200" s="1049"/>
      <c r="N200" s="1087"/>
      <c r="O200" s="1087">
        <v>100</v>
      </c>
      <c r="P200" s="1069">
        <f t="shared" si="8"/>
        <v>0</v>
      </c>
    </row>
    <row r="201" spans="1:16">
      <c r="A201" s="1048"/>
      <c r="B201" s="1178" t="s">
        <v>2217</v>
      </c>
      <c r="C201" s="1048">
        <v>1</v>
      </c>
      <c r="D201" s="1048" t="s">
        <v>1472</v>
      </c>
      <c r="E201" s="1048">
        <v>2</v>
      </c>
      <c r="F201" s="1049">
        <v>1.05</v>
      </c>
      <c r="G201" s="1193">
        <v>0.115</v>
      </c>
      <c r="H201" s="1049">
        <v>0.15</v>
      </c>
      <c r="I201" s="1049">
        <f>-ROUND(C201*E201*F201*G201*H201,2)</f>
        <v>-0.04</v>
      </c>
      <c r="J201" s="1049"/>
      <c r="K201" s="1049"/>
      <c r="L201" s="1049"/>
      <c r="M201" s="1049"/>
      <c r="N201" s="1087"/>
      <c r="O201" s="1087">
        <v>80</v>
      </c>
      <c r="P201" s="1069">
        <f t="shared" si="8"/>
        <v>0</v>
      </c>
    </row>
    <row r="202" spans="1:16">
      <c r="A202" s="1048"/>
      <c r="B202" s="1178" t="s">
        <v>38</v>
      </c>
      <c r="C202" s="1048"/>
      <c r="D202" s="1048"/>
      <c r="E202" s="1048"/>
      <c r="F202" s="1049"/>
      <c r="G202" s="1049"/>
      <c r="H202" s="1049"/>
      <c r="I202" s="1049"/>
      <c r="J202" s="1049"/>
      <c r="K202" s="1049"/>
      <c r="L202" s="1049"/>
      <c r="M202" s="1049"/>
      <c r="N202" s="1087"/>
      <c r="O202" s="1087"/>
      <c r="P202" s="1069">
        <f>SUM(P196:P201)</f>
        <v>0</v>
      </c>
    </row>
    <row r="203" spans="1:16">
      <c r="A203" s="1048"/>
      <c r="B203" s="1061" t="s">
        <v>2475</v>
      </c>
      <c r="C203" s="1048">
        <v>6</v>
      </c>
      <c r="D203" s="1048" t="s">
        <v>1472</v>
      </c>
      <c r="E203" s="1048">
        <v>2</v>
      </c>
      <c r="F203" s="1049">
        <v>0.23</v>
      </c>
      <c r="G203" s="88">
        <v>0.2</v>
      </c>
      <c r="H203" s="1049">
        <v>0.15</v>
      </c>
      <c r="I203" s="1049">
        <f>-ROUND(C203*E203*F203*G203*H203,2)</f>
        <v>-0.08</v>
      </c>
      <c r="J203" s="1049"/>
      <c r="K203" s="1049"/>
      <c r="L203" s="1049"/>
      <c r="M203" s="1049"/>
      <c r="N203" s="1087"/>
      <c r="O203" s="1087"/>
    </row>
    <row r="204" spans="1:16">
      <c r="A204" s="1048"/>
      <c r="B204" s="1178" t="s">
        <v>2212</v>
      </c>
      <c r="C204" s="1048">
        <v>4</v>
      </c>
      <c r="D204" s="1048" t="s">
        <v>1472</v>
      </c>
      <c r="E204" s="1048">
        <v>2</v>
      </c>
      <c r="F204" s="1049">
        <v>0.23</v>
      </c>
      <c r="G204" s="1049">
        <v>0.2</v>
      </c>
      <c r="H204" s="1049">
        <v>0.15</v>
      </c>
      <c r="I204" s="1049">
        <f>-ROUND(C204*E204*F204*G204*H204,2)</f>
        <v>-0.06</v>
      </c>
      <c r="J204" s="1049"/>
      <c r="K204" s="1049"/>
      <c r="L204" s="1049"/>
      <c r="M204" s="1049"/>
      <c r="N204" s="1087"/>
      <c r="O204" s="1087"/>
    </row>
    <row r="205" spans="1:16" ht="14.1">
      <c r="A205" s="1046"/>
      <c r="B205" s="1178" t="s">
        <v>84</v>
      </c>
      <c r="C205" s="1048"/>
      <c r="D205" s="1048"/>
      <c r="E205" s="1048"/>
      <c r="F205" s="1049"/>
      <c r="G205" s="1049"/>
      <c r="H205" s="1049"/>
      <c r="I205" s="1053">
        <f>SUM(I190:I204)</f>
        <v>10.060000000000002</v>
      </c>
      <c r="J205" s="1049"/>
      <c r="K205" s="1049"/>
      <c r="L205" s="1049"/>
      <c r="M205" s="1049"/>
      <c r="N205" s="1087"/>
      <c r="O205" s="1087"/>
    </row>
    <row r="206" spans="1:16" ht="14.1">
      <c r="A206" s="1046"/>
      <c r="B206" s="2432"/>
      <c r="C206" s="2433"/>
      <c r="D206" s="2433"/>
      <c r="E206" s="2433"/>
      <c r="F206" s="2433"/>
      <c r="G206" s="2433"/>
      <c r="H206" s="2434"/>
      <c r="I206" s="1052">
        <f>I205</f>
        <v>10.060000000000002</v>
      </c>
      <c r="J206" s="1049">
        <f>Datas!$E$632</f>
        <v>6936.09</v>
      </c>
      <c r="K206" s="1053">
        <f>ROUND(J206*I206,0)</f>
        <v>69777</v>
      </c>
      <c r="L206" s="1049">
        <f>0.2*90+0.512*60</f>
        <v>48.72</v>
      </c>
      <c r="M206" s="1055">
        <f>L206*I206</f>
        <v>490.12320000000011</v>
      </c>
      <c r="N206" s="1087"/>
      <c r="O206" s="1087">
        <f>ROUND(I206*N206,0)</f>
        <v>0</v>
      </c>
    </row>
    <row r="207" spans="1:16" ht="14.1">
      <c r="A207" s="1046"/>
      <c r="B207" s="1061"/>
      <c r="C207" s="1048"/>
      <c r="D207" s="1048"/>
      <c r="E207" s="1048"/>
      <c r="F207" s="1049"/>
      <c r="G207" s="1049"/>
      <c r="H207" s="1049"/>
      <c r="I207" s="1053" t="s">
        <v>656</v>
      </c>
      <c r="J207" s="1053" t="s">
        <v>658</v>
      </c>
      <c r="K207" s="1053"/>
      <c r="L207" s="1049"/>
      <c r="M207" s="1049"/>
      <c r="N207" s="1087"/>
      <c r="O207" s="1087"/>
    </row>
    <row r="208" spans="1:16" ht="79.5" customHeight="1">
      <c r="A208" s="1085">
        <v>11</v>
      </c>
      <c r="B208" s="2415" t="s">
        <v>2304</v>
      </c>
      <c r="C208" s="2426"/>
      <c r="D208" s="2426"/>
      <c r="E208" s="2426"/>
      <c r="F208" s="2426"/>
      <c r="G208" s="2426"/>
      <c r="H208" s="2426"/>
      <c r="I208" s="2427"/>
      <c r="J208" s="1049"/>
      <c r="K208" s="1049"/>
      <c r="L208" s="1049"/>
      <c r="M208" s="1049"/>
      <c r="N208" s="1087"/>
      <c r="O208" s="1087"/>
    </row>
    <row r="209" spans="1:15" ht="14.1">
      <c r="A209" s="1041"/>
      <c r="B209" s="1043" t="s">
        <v>39</v>
      </c>
      <c r="C209" s="1043"/>
      <c r="D209" s="1043"/>
      <c r="E209" s="1043"/>
      <c r="F209" s="1044"/>
      <c r="G209" s="1044"/>
      <c r="H209" s="1044"/>
      <c r="I209" s="1044"/>
      <c r="J209" s="1045"/>
      <c r="K209" s="1045"/>
      <c r="L209" s="1045"/>
      <c r="M209" s="1045"/>
      <c r="N209" s="1087"/>
      <c r="O209" s="1087"/>
    </row>
    <row r="210" spans="1:15" ht="14.1">
      <c r="A210" s="1046"/>
      <c r="B210" s="1173" t="s">
        <v>2486</v>
      </c>
      <c r="C210" s="1048">
        <v>1</v>
      </c>
      <c r="D210" s="1048" t="s">
        <v>1472</v>
      </c>
      <c r="E210" s="1048">
        <v>10</v>
      </c>
      <c r="F210" s="1049">
        <v>1.45</v>
      </c>
      <c r="G210" s="1049">
        <v>1.45</v>
      </c>
      <c r="H210" s="1049">
        <v>1.8</v>
      </c>
      <c r="I210" s="1049">
        <f t="shared" ref="I210:I216" si="9">ROUND(C210*E210*F210*G210*H210,2)</f>
        <v>37.85</v>
      </c>
      <c r="J210" s="1049"/>
      <c r="K210" s="1049"/>
      <c r="L210" s="1049"/>
      <c r="M210" s="1049"/>
    </row>
    <row r="211" spans="1:15" ht="14.1">
      <c r="A211" s="1046"/>
      <c r="B211" s="1173" t="s">
        <v>2487</v>
      </c>
      <c r="C211" s="1048">
        <v>1</v>
      </c>
      <c r="D211" s="1048" t="s">
        <v>1472</v>
      </c>
      <c r="E211" s="1048">
        <v>6</v>
      </c>
      <c r="F211" s="1049">
        <v>1.7</v>
      </c>
      <c r="G211" s="1049">
        <v>1.2</v>
      </c>
      <c r="H211" s="1049">
        <v>1.8</v>
      </c>
      <c r="I211" s="1049">
        <f t="shared" si="9"/>
        <v>22.03</v>
      </c>
      <c r="J211" s="1049"/>
      <c r="K211" s="1049"/>
      <c r="L211" s="1049"/>
      <c r="M211" s="1049"/>
    </row>
    <row r="212" spans="1:15" ht="14.1">
      <c r="A212" s="1046"/>
      <c r="B212" s="1174" t="s">
        <v>2489</v>
      </c>
      <c r="C212" s="1048">
        <v>1</v>
      </c>
      <c r="D212" s="1048" t="s">
        <v>1472</v>
      </c>
      <c r="E212" s="1048">
        <v>2</v>
      </c>
      <c r="F212" s="1049">
        <f>60.75*0.3048+0.3</f>
        <v>18.816600000000001</v>
      </c>
      <c r="G212" s="1049">
        <v>0.6</v>
      </c>
      <c r="H212" s="1049">
        <v>0.6</v>
      </c>
      <c r="I212" s="1049">
        <f t="shared" si="9"/>
        <v>13.55</v>
      </c>
      <c r="J212" s="1049"/>
      <c r="K212" s="1049"/>
      <c r="L212" s="1049"/>
      <c r="M212" s="1049"/>
    </row>
    <row r="213" spans="1:15" ht="24.6">
      <c r="A213" s="1046"/>
      <c r="B213" s="1174" t="s">
        <v>2488</v>
      </c>
      <c r="C213" s="1048">
        <v>1</v>
      </c>
      <c r="D213" s="1048" t="s">
        <v>1472</v>
      </c>
      <c r="E213" s="1048">
        <v>2</v>
      </c>
      <c r="F213" s="1049">
        <f>(30.75)*0.3048-0.6+2.4</f>
        <v>11.172600000000001</v>
      </c>
      <c r="G213" s="1049">
        <v>0.6</v>
      </c>
      <c r="H213" s="1049">
        <v>0.6</v>
      </c>
      <c r="I213" s="1049">
        <f t="shared" si="9"/>
        <v>8.0399999999999991</v>
      </c>
      <c r="J213" s="1049"/>
      <c r="K213" s="1049"/>
      <c r="L213" s="1049"/>
      <c r="M213" s="1049"/>
    </row>
    <row r="214" spans="1:15" ht="14.1">
      <c r="A214" s="1046"/>
      <c r="B214" s="1174" t="s">
        <v>2093</v>
      </c>
      <c r="C214" s="1048">
        <v>1</v>
      </c>
      <c r="D214" s="1048" t="s">
        <v>1472</v>
      </c>
      <c r="E214" s="1048">
        <v>2</v>
      </c>
      <c r="F214" s="1049">
        <v>4.49</v>
      </c>
      <c r="G214" s="1049">
        <v>0.6</v>
      </c>
      <c r="H214" s="1049">
        <v>0.6</v>
      </c>
      <c r="I214" s="1049">
        <f t="shared" si="9"/>
        <v>3.23</v>
      </c>
      <c r="J214" s="1049"/>
      <c r="K214" s="1049"/>
      <c r="L214" s="1049"/>
      <c r="M214" s="1049"/>
    </row>
    <row r="215" spans="1:15" ht="14.1">
      <c r="A215" s="1046"/>
      <c r="B215" s="1174" t="s">
        <v>2094</v>
      </c>
      <c r="C215" s="1048">
        <v>1</v>
      </c>
      <c r="D215" s="1048" t="s">
        <v>1472</v>
      </c>
      <c r="E215" s="1048">
        <v>2</v>
      </c>
      <c r="F215" s="1049">
        <v>2.68</v>
      </c>
      <c r="G215" s="1049">
        <v>0.6</v>
      </c>
      <c r="H215" s="1049">
        <v>0.6</v>
      </c>
      <c r="I215" s="1049">
        <f t="shared" si="9"/>
        <v>1.93</v>
      </c>
      <c r="J215" s="1049"/>
      <c r="K215" s="1049"/>
      <c r="L215" s="1049"/>
      <c r="M215" s="1049"/>
    </row>
    <row r="216" spans="1:15" ht="14.1">
      <c r="A216" s="1046"/>
      <c r="B216" s="1174" t="s">
        <v>2560</v>
      </c>
      <c r="C216" s="1048">
        <v>1</v>
      </c>
      <c r="D216" s="1048" t="s">
        <v>1472</v>
      </c>
      <c r="E216" s="1048">
        <v>2</v>
      </c>
      <c r="F216" s="1049">
        <v>1.5</v>
      </c>
      <c r="G216" s="1049">
        <v>0.6</v>
      </c>
      <c r="H216" s="1049">
        <v>0.6</v>
      </c>
      <c r="I216" s="1049">
        <f t="shared" si="9"/>
        <v>1.08</v>
      </c>
      <c r="J216" s="1049"/>
      <c r="K216" s="1049"/>
      <c r="L216" s="1049"/>
      <c r="M216" s="1049"/>
    </row>
    <row r="217" spans="1:15" ht="14.1">
      <c r="A217" s="1046"/>
      <c r="B217" s="1174" t="s">
        <v>2289</v>
      </c>
      <c r="C217" s="1165" t="s">
        <v>2290</v>
      </c>
      <c r="D217" s="1048" t="s">
        <v>1472</v>
      </c>
      <c r="E217" s="1048">
        <v>2</v>
      </c>
      <c r="F217" s="1049">
        <v>1.35</v>
      </c>
      <c r="G217" s="1049">
        <v>1.35</v>
      </c>
      <c r="H217" s="1049">
        <v>2</v>
      </c>
      <c r="I217" s="1049">
        <f>ROUND(PI()/4*E217*F217*G217*H217,2)</f>
        <v>5.73</v>
      </c>
      <c r="J217" s="1049"/>
      <c r="K217" s="1049"/>
      <c r="L217" s="1049"/>
      <c r="M217" s="1049"/>
    </row>
    <row r="218" spans="1:15" ht="14.1">
      <c r="A218" s="1046"/>
      <c r="B218" s="1175" t="s">
        <v>2375</v>
      </c>
      <c r="C218" s="1048">
        <v>1</v>
      </c>
      <c r="D218" s="1048" t="s">
        <v>1472</v>
      </c>
      <c r="E218" s="1048">
        <v>1</v>
      </c>
      <c r="F218" s="1049">
        <f>(31.5-6-4)*0.3048</f>
        <v>6.5532000000000004</v>
      </c>
      <c r="G218" s="1049">
        <v>0.6</v>
      </c>
      <c r="H218" s="1049">
        <v>0.3</v>
      </c>
      <c r="I218" s="1049">
        <f t="shared" ref="I218:I223" si="10">ROUND(C218*E218*F218*G218*H218,2)</f>
        <v>1.18</v>
      </c>
      <c r="J218" s="1049"/>
      <c r="K218" s="1049"/>
      <c r="L218" s="1049"/>
      <c r="M218" s="1049"/>
    </row>
    <row r="219" spans="1:15" ht="14.1">
      <c r="A219" s="1046"/>
      <c r="B219" s="1175" t="s">
        <v>2376</v>
      </c>
      <c r="C219" s="1048">
        <v>1</v>
      </c>
      <c r="D219" s="1048" t="s">
        <v>1472</v>
      </c>
      <c r="E219" s="1048">
        <v>2</v>
      </c>
      <c r="F219" s="1049">
        <v>3</v>
      </c>
      <c r="G219" s="1049">
        <v>0.6</v>
      </c>
      <c r="H219" s="1049">
        <v>0.3</v>
      </c>
      <c r="I219" s="1049">
        <f t="shared" si="10"/>
        <v>1.08</v>
      </c>
      <c r="J219" s="1049"/>
      <c r="K219" s="1049"/>
      <c r="L219" s="1049"/>
      <c r="M219" s="1049"/>
    </row>
    <row r="220" spans="1:15" ht="14.1">
      <c r="A220" s="1046"/>
      <c r="B220" s="1175" t="s">
        <v>2100</v>
      </c>
      <c r="C220" s="1048">
        <v>1</v>
      </c>
      <c r="D220" s="1048" t="s">
        <v>1472</v>
      </c>
      <c r="E220" s="1048">
        <v>1</v>
      </c>
      <c r="F220" s="1049">
        <f>(31.5-6)*0.3048</f>
        <v>7.7724000000000002</v>
      </c>
      <c r="G220" s="1049">
        <v>1.2</v>
      </c>
      <c r="H220" s="1049">
        <v>0.3</v>
      </c>
      <c r="I220" s="1049">
        <f t="shared" si="10"/>
        <v>2.8</v>
      </c>
      <c r="J220" s="1049"/>
      <c r="K220" s="1049"/>
      <c r="L220" s="1049"/>
      <c r="M220" s="1049"/>
    </row>
    <row r="221" spans="1:15" ht="14.1">
      <c r="A221" s="1046"/>
      <c r="B221" s="1175" t="s">
        <v>2099</v>
      </c>
      <c r="C221" s="1048">
        <v>1</v>
      </c>
      <c r="D221" s="1048" t="s">
        <v>1472</v>
      </c>
      <c r="E221" s="1048">
        <v>2</v>
      </c>
      <c r="F221" s="1049">
        <v>4.2</v>
      </c>
      <c r="G221" s="1049">
        <v>1.2</v>
      </c>
      <c r="H221" s="1049">
        <v>0.3</v>
      </c>
      <c r="I221" s="1049">
        <f t="shared" si="10"/>
        <v>3.02</v>
      </c>
      <c r="J221" s="1049"/>
      <c r="K221" s="1049"/>
      <c r="L221" s="1049"/>
      <c r="M221" s="1049"/>
    </row>
    <row r="222" spans="1:15" ht="14.1">
      <c r="A222" s="1046"/>
      <c r="B222" s="1175" t="s">
        <v>2490</v>
      </c>
      <c r="C222" s="1048">
        <v>3</v>
      </c>
      <c r="D222" s="1048" t="s">
        <v>1472</v>
      </c>
      <c r="E222" s="1048">
        <v>1</v>
      </c>
      <c r="F222" s="1049">
        <v>0.75</v>
      </c>
      <c r="G222" s="1049">
        <v>0.75</v>
      </c>
      <c r="H222" s="1049">
        <v>0.6</v>
      </c>
      <c r="I222" s="1049">
        <f t="shared" si="10"/>
        <v>1.01</v>
      </c>
      <c r="J222" s="1049"/>
      <c r="K222" s="1049"/>
      <c r="L222" s="1049"/>
      <c r="M222" s="1049"/>
    </row>
    <row r="223" spans="1:15" ht="14.1">
      <c r="A223" s="1046"/>
      <c r="B223" s="1175" t="s">
        <v>2463</v>
      </c>
      <c r="C223" s="1048">
        <v>1</v>
      </c>
      <c r="D223" s="1048" t="s">
        <v>1472</v>
      </c>
      <c r="E223" s="1048">
        <v>2</v>
      </c>
      <c r="F223" s="1049">
        <v>3</v>
      </c>
      <c r="G223" s="1049">
        <v>1.2</v>
      </c>
      <c r="H223" s="1049">
        <v>0.15</v>
      </c>
      <c r="I223" s="1049">
        <f t="shared" si="10"/>
        <v>1.08</v>
      </c>
      <c r="J223" s="1049"/>
      <c r="K223" s="1049"/>
      <c r="L223" s="1049"/>
      <c r="M223" s="1049"/>
    </row>
    <row r="224" spans="1:15" ht="14.1">
      <c r="A224" s="1046"/>
      <c r="B224" s="1239"/>
      <c r="C224" s="1072"/>
      <c r="D224" s="1072"/>
      <c r="E224" s="1072"/>
      <c r="F224" s="1073"/>
      <c r="G224" s="1073"/>
      <c r="H224" s="1074"/>
      <c r="I224" s="1194">
        <v>1.56</v>
      </c>
      <c r="J224" s="1049"/>
      <c r="K224" s="1049"/>
      <c r="L224" s="1049"/>
      <c r="M224" s="1068"/>
    </row>
    <row r="225" spans="1:15" ht="14.1">
      <c r="A225" s="1046"/>
      <c r="B225" s="2423" t="s">
        <v>2425</v>
      </c>
      <c r="C225" s="2424"/>
      <c r="D225" s="2424"/>
      <c r="E225" s="2424"/>
      <c r="F225" s="2424"/>
      <c r="G225" s="2424"/>
      <c r="H225" s="2425"/>
      <c r="I225" s="1053">
        <f>SUM(I210:I224)</f>
        <v>105.17000000000002</v>
      </c>
      <c r="J225" s="1049">
        <v>28.75</v>
      </c>
      <c r="K225" s="1054">
        <f>ROUND(J225*I225,0)</f>
        <v>3024</v>
      </c>
      <c r="L225" s="1049">
        <v>30</v>
      </c>
      <c r="M225" s="1055">
        <f>L225*I225</f>
        <v>3155.1000000000004</v>
      </c>
      <c r="N225" s="1087">
        <v>1</v>
      </c>
      <c r="O225" s="1087"/>
    </row>
    <row r="226" spans="1:15" ht="14.1">
      <c r="A226" s="1046"/>
      <c r="B226" s="1061"/>
      <c r="C226" s="1048"/>
      <c r="D226" s="1048"/>
      <c r="E226" s="1048"/>
      <c r="F226" s="1049"/>
      <c r="G226" s="1049"/>
      <c r="H226" s="1049"/>
      <c r="I226" s="1053"/>
      <c r="J226" s="1053" t="s">
        <v>658</v>
      </c>
      <c r="K226" s="1053"/>
      <c r="L226" s="1049"/>
      <c r="M226" s="1049"/>
      <c r="N226" s="1087"/>
      <c r="O226" s="1087"/>
    </row>
    <row r="227" spans="1:15" ht="93" customHeight="1">
      <c r="A227" s="1085">
        <v>12</v>
      </c>
      <c r="B227" s="2415" t="s">
        <v>2544</v>
      </c>
      <c r="C227" s="2426"/>
      <c r="D227" s="2426"/>
      <c r="E227" s="2426"/>
      <c r="F227" s="2426"/>
      <c r="G227" s="2426"/>
      <c r="H227" s="2426"/>
      <c r="I227" s="2427"/>
      <c r="J227" s="1049"/>
      <c r="K227" s="1049"/>
      <c r="L227" s="1049"/>
      <c r="M227" s="1049"/>
      <c r="N227" s="1087"/>
      <c r="O227" s="1087"/>
    </row>
    <row r="228" spans="1:15" ht="14.1">
      <c r="A228" s="1046"/>
      <c r="B228" s="1047" t="s">
        <v>2004</v>
      </c>
      <c r="C228" s="1048">
        <v>1</v>
      </c>
      <c r="D228" s="1048" t="s">
        <v>1472</v>
      </c>
      <c r="E228" s="1048">
        <v>10</v>
      </c>
      <c r="F228" s="1049">
        <v>1.45</v>
      </c>
      <c r="G228" s="1049">
        <v>1.45</v>
      </c>
      <c r="H228" s="1049">
        <v>1.65</v>
      </c>
      <c r="I228" s="1049">
        <f t="shared" ref="I228:I237" si="11">ROUND(C228*E228*F228*G228*H228,2)</f>
        <v>34.69</v>
      </c>
      <c r="J228" s="1049"/>
      <c r="K228" s="1049"/>
      <c r="L228" s="1049"/>
      <c r="M228" s="1049"/>
      <c r="N228" s="1087"/>
      <c r="O228" s="1087"/>
    </row>
    <row r="229" spans="1:15" ht="14.1">
      <c r="A229" s="1046"/>
      <c r="B229" s="1173" t="s">
        <v>2487</v>
      </c>
      <c r="C229" s="1048">
        <v>1</v>
      </c>
      <c r="D229" s="1048" t="s">
        <v>1472</v>
      </c>
      <c r="E229" s="1048">
        <v>6</v>
      </c>
      <c r="F229" s="1049">
        <v>1.7</v>
      </c>
      <c r="G229" s="1049">
        <v>1.2</v>
      </c>
      <c r="H229" s="1049">
        <v>1.8</v>
      </c>
      <c r="I229" s="1049">
        <f>ROUND(C229*E229*F229*G229*H229,2)</f>
        <v>22.03</v>
      </c>
      <c r="J229" s="1049"/>
      <c r="K229" s="1049"/>
      <c r="L229" s="1049"/>
      <c r="M229" s="1049"/>
    </row>
    <row r="230" spans="1:15" ht="27.6">
      <c r="A230" s="1046"/>
      <c r="B230" s="1050" t="s">
        <v>2090</v>
      </c>
      <c r="C230" s="1048">
        <v>1</v>
      </c>
      <c r="D230" s="1048" t="s">
        <v>1472</v>
      </c>
      <c r="E230" s="1048">
        <v>2</v>
      </c>
      <c r="F230" s="1049">
        <f>60.75*0.3048</f>
        <v>18.5166</v>
      </c>
      <c r="G230" s="1049">
        <v>0.6</v>
      </c>
      <c r="H230" s="1049">
        <v>0.6</v>
      </c>
      <c r="I230" s="1049">
        <f t="shared" si="11"/>
        <v>13.33</v>
      </c>
      <c r="J230" s="1049"/>
      <c r="K230" s="1049"/>
      <c r="L230" s="1049"/>
      <c r="M230" s="1049"/>
      <c r="N230" s="1087"/>
      <c r="O230" s="1087"/>
    </row>
    <row r="231" spans="1:15" ht="27.6">
      <c r="A231" s="1046"/>
      <c r="B231" s="1050" t="s">
        <v>2091</v>
      </c>
      <c r="C231" s="1048">
        <v>1</v>
      </c>
      <c r="D231" s="1048" t="s">
        <v>1472</v>
      </c>
      <c r="E231" s="1048">
        <v>2</v>
      </c>
      <c r="F231" s="1049">
        <f>31.5*0.3048</f>
        <v>9.6012000000000004</v>
      </c>
      <c r="G231" s="1049">
        <v>0.6</v>
      </c>
      <c r="H231" s="1049">
        <v>0.6</v>
      </c>
      <c r="I231" s="1049">
        <f t="shared" si="11"/>
        <v>6.91</v>
      </c>
      <c r="J231" s="1049"/>
      <c r="K231" s="1049"/>
      <c r="L231" s="1049"/>
      <c r="M231" s="1049"/>
      <c r="N231" s="1087"/>
      <c r="O231" s="1087"/>
    </row>
    <row r="232" spans="1:15" ht="14.1">
      <c r="A232" s="1046"/>
      <c r="B232" s="1050" t="s">
        <v>2092</v>
      </c>
      <c r="C232" s="1048">
        <v>2</v>
      </c>
      <c r="D232" s="1048" t="s">
        <v>1472</v>
      </c>
      <c r="E232" s="1048">
        <v>2</v>
      </c>
      <c r="F232" s="1049">
        <v>2.4</v>
      </c>
      <c r="G232" s="1049">
        <v>0.6</v>
      </c>
      <c r="H232" s="1049">
        <v>0.6</v>
      </c>
      <c r="I232" s="1049">
        <f t="shared" si="11"/>
        <v>3.46</v>
      </c>
      <c r="J232" s="1049"/>
      <c r="K232" s="1049"/>
      <c r="L232" s="1049"/>
      <c r="M232" s="1049"/>
      <c r="N232" s="1087"/>
      <c r="O232" s="1087"/>
    </row>
    <row r="233" spans="1:15" ht="14.1">
      <c r="A233" s="1046"/>
      <c r="B233" s="1050" t="s">
        <v>2093</v>
      </c>
      <c r="C233" s="1048">
        <v>2</v>
      </c>
      <c r="D233" s="1048" t="s">
        <v>1472</v>
      </c>
      <c r="E233" s="1048">
        <v>2</v>
      </c>
      <c r="F233" s="1049">
        <v>4.1500000000000004</v>
      </c>
      <c r="G233" s="1049">
        <v>0.6</v>
      </c>
      <c r="H233" s="1049">
        <v>0.6</v>
      </c>
      <c r="I233" s="1049">
        <f t="shared" si="11"/>
        <v>5.98</v>
      </c>
      <c r="J233" s="1049"/>
      <c r="K233" s="1049"/>
      <c r="L233" s="1049"/>
      <c r="M233" s="1049"/>
      <c r="N233" s="1087"/>
      <c r="O233" s="1087"/>
    </row>
    <row r="234" spans="1:15" ht="14.1">
      <c r="A234" s="1046"/>
      <c r="B234" s="1050" t="s">
        <v>2094</v>
      </c>
      <c r="C234" s="1048">
        <v>2</v>
      </c>
      <c r="D234" s="1048" t="s">
        <v>1472</v>
      </c>
      <c r="E234" s="1048">
        <v>2</v>
      </c>
      <c r="F234" s="1049">
        <v>4</v>
      </c>
      <c r="G234" s="1049">
        <v>0.6</v>
      </c>
      <c r="H234" s="1049">
        <v>0.6</v>
      </c>
      <c r="I234" s="1049">
        <f t="shared" si="11"/>
        <v>5.76</v>
      </c>
      <c r="J234" s="1049"/>
      <c r="K234" s="1049"/>
      <c r="L234" s="1049"/>
      <c r="M234" s="1049"/>
      <c r="N234" s="1087"/>
      <c r="O234" s="1087"/>
    </row>
    <row r="235" spans="1:15" ht="27.6">
      <c r="A235" s="1046"/>
      <c r="B235" s="1050" t="s">
        <v>2095</v>
      </c>
      <c r="C235" s="1048">
        <v>1</v>
      </c>
      <c r="D235" s="1048" t="s">
        <v>1472</v>
      </c>
      <c r="E235" s="1048">
        <v>2</v>
      </c>
      <c r="F235" s="1049">
        <v>1.8</v>
      </c>
      <c r="G235" s="1049">
        <v>0.6</v>
      </c>
      <c r="H235" s="1049">
        <v>0.6</v>
      </c>
      <c r="I235" s="1049">
        <f t="shared" si="11"/>
        <v>1.3</v>
      </c>
      <c r="J235" s="1049"/>
      <c r="K235" s="1049"/>
      <c r="L235" s="1049"/>
      <c r="M235" s="1049"/>
      <c r="N235" s="1087"/>
      <c r="O235" s="1087"/>
    </row>
    <row r="236" spans="1:15" ht="14.1">
      <c r="A236" s="1046"/>
      <c r="B236" s="1051" t="s">
        <v>2096</v>
      </c>
      <c r="C236" s="1048">
        <v>1</v>
      </c>
      <c r="D236" s="1048" t="s">
        <v>1472</v>
      </c>
      <c r="E236" s="1048">
        <v>1</v>
      </c>
      <c r="F236" s="1049">
        <f>(31.5-6-4)*0.3048</f>
        <v>6.5532000000000004</v>
      </c>
      <c r="G236" s="1049">
        <v>0.6</v>
      </c>
      <c r="H236" s="1049">
        <v>0.3</v>
      </c>
      <c r="I236" s="1049">
        <f t="shared" si="11"/>
        <v>1.18</v>
      </c>
      <c r="J236" s="1049"/>
      <c r="K236" s="1049"/>
      <c r="L236" s="1049"/>
      <c r="M236" s="1049"/>
      <c r="N236" s="1087"/>
      <c r="O236" s="1087"/>
    </row>
    <row r="237" spans="1:15" ht="14.1">
      <c r="A237" s="1046"/>
      <c r="B237" s="1051" t="s">
        <v>2097</v>
      </c>
      <c r="C237" s="1048">
        <v>1</v>
      </c>
      <c r="D237" s="1048" t="s">
        <v>1472</v>
      </c>
      <c r="E237" s="1048">
        <v>2</v>
      </c>
      <c r="F237" s="1049">
        <v>3</v>
      </c>
      <c r="G237" s="1049">
        <v>0.6</v>
      </c>
      <c r="H237" s="1049">
        <v>0.3</v>
      </c>
      <c r="I237" s="1049">
        <f t="shared" si="11"/>
        <v>1.08</v>
      </c>
      <c r="J237" s="1049"/>
      <c r="K237" s="1049"/>
      <c r="L237" s="1049"/>
      <c r="M237" s="1049"/>
      <c r="N237" s="1087"/>
      <c r="O237" s="1087"/>
    </row>
    <row r="238" spans="1:15" ht="14.1">
      <c r="A238" s="1046"/>
      <c r="B238" s="1060" t="s">
        <v>85</v>
      </c>
      <c r="C238" s="1061"/>
      <c r="D238" s="1061"/>
      <c r="E238" s="1061"/>
      <c r="F238" s="1062"/>
      <c r="G238" s="1062"/>
      <c r="H238" s="1062"/>
      <c r="I238" s="1077">
        <f>SUM(I228:I237)</f>
        <v>95.72</v>
      </c>
      <c r="J238" s="1049"/>
      <c r="K238" s="1049"/>
      <c r="L238" s="1049"/>
      <c r="M238" s="1049"/>
      <c r="N238" s="1087"/>
      <c r="O238" s="1087"/>
    </row>
    <row r="239" spans="1:15" ht="14.1">
      <c r="A239" s="1046"/>
      <c r="B239" s="1047" t="s">
        <v>2122</v>
      </c>
      <c r="C239" s="1048">
        <v>1</v>
      </c>
      <c r="D239" s="1048" t="s">
        <v>1472</v>
      </c>
      <c r="E239" s="1048">
        <v>1</v>
      </c>
      <c r="F239" s="1049">
        <f>60.75*0.3048</f>
        <v>18.5166</v>
      </c>
      <c r="G239" s="1049">
        <f>31.5*0.3048</f>
        <v>9.6012000000000004</v>
      </c>
      <c r="H239" s="1049">
        <v>0.6</v>
      </c>
      <c r="I239" s="1049">
        <f t="shared" ref="I239:I245" si="12">ROUND(C239*E239*F239*G239*H239,2)</f>
        <v>106.67</v>
      </c>
      <c r="J239" s="1049"/>
      <c r="K239" s="1049"/>
      <c r="L239" s="1049"/>
      <c r="M239" s="1049"/>
      <c r="N239" s="1087"/>
      <c r="O239" s="1087"/>
    </row>
    <row r="240" spans="1:15" ht="14.1">
      <c r="A240" s="1046"/>
      <c r="B240" s="1061" t="s">
        <v>2127</v>
      </c>
      <c r="C240" s="1048">
        <v>1</v>
      </c>
      <c r="D240" s="1048" t="s">
        <v>1472</v>
      </c>
      <c r="E240" s="1048">
        <v>1</v>
      </c>
      <c r="F240" s="1049">
        <v>14.55</v>
      </c>
      <c r="G240" s="1049">
        <v>2</v>
      </c>
      <c r="H240" s="1049">
        <v>0.6</v>
      </c>
      <c r="I240" s="1049">
        <f t="shared" si="12"/>
        <v>17.46</v>
      </c>
      <c r="J240" s="1049"/>
      <c r="K240" s="1049"/>
      <c r="L240" s="1049"/>
      <c r="M240" s="1049"/>
      <c r="N240" s="1087"/>
      <c r="O240" s="1087"/>
    </row>
    <row r="241" spans="1:15" ht="14.1">
      <c r="A241" s="1046"/>
      <c r="B241" s="1061" t="s">
        <v>2128</v>
      </c>
      <c r="C241" s="1048">
        <v>1</v>
      </c>
      <c r="D241" s="1048" t="s">
        <v>1472</v>
      </c>
      <c r="E241" s="1048">
        <v>1</v>
      </c>
      <c r="F241" s="1049">
        <v>14.55</v>
      </c>
      <c r="G241" s="1049">
        <v>2</v>
      </c>
      <c r="H241" s="1049">
        <v>0.6</v>
      </c>
      <c r="I241" s="1049">
        <f t="shared" si="12"/>
        <v>17.46</v>
      </c>
      <c r="J241" s="1049"/>
      <c r="K241" s="1049"/>
      <c r="L241" s="1049"/>
      <c r="M241" s="1049"/>
      <c r="N241" s="1087"/>
      <c r="O241" s="1087"/>
    </row>
    <row r="242" spans="1:15" ht="14.1">
      <c r="A242" s="1046"/>
      <c r="B242" s="1061" t="s">
        <v>2132</v>
      </c>
      <c r="C242" s="1048">
        <v>1</v>
      </c>
      <c r="D242" s="1048" t="s">
        <v>1472</v>
      </c>
      <c r="E242" s="1048">
        <v>1</v>
      </c>
      <c r="F242" s="1049">
        <v>4.4000000000000004</v>
      </c>
      <c r="G242" s="1049">
        <v>2.4</v>
      </c>
      <c r="H242" s="1049">
        <v>0.6</v>
      </c>
      <c r="I242" s="1049">
        <f t="shared" si="12"/>
        <v>6.34</v>
      </c>
      <c r="J242" s="1049"/>
      <c r="K242" s="1049"/>
      <c r="L242" s="1049"/>
      <c r="M242" s="1049"/>
      <c r="N242" s="1087"/>
      <c r="O242" s="1087"/>
    </row>
    <row r="243" spans="1:15" ht="14.1">
      <c r="A243" s="1046"/>
      <c r="B243" s="1061" t="s">
        <v>2133</v>
      </c>
      <c r="C243" s="1048">
        <v>1</v>
      </c>
      <c r="D243" s="1048" t="s">
        <v>1472</v>
      </c>
      <c r="E243" s="1048">
        <v>1</v>
      </c>
      <c r="F243" s="1049">
        <v>5</v>
      </c>
      <c r="G243" s="1049">
        <v>1.87</v>
      </c>
      <c r="H243" s="1049">
        <v>0.45</v>
      </c>
      <c r="I243" s="1049">
        <f t="shared" si="12"/>
        <v>4.21</v>
      </c>
      <c r="J243" s="1049"/>
      <c r="K243" s="1049"/>
      <c r="L243" s="1049"/>
      <c r="M243" s="1049"/>
      <c r="N243" s="1087"/>
      <c r="O243" s="1087"/>
    </row>
    <row r="244" spans="1:15" ht="14.1">
      <c r="A244" s="1046"/>
      <c r="B244" s="1061" t="s">
        <v>2130</v>
      </c>
      <c r="C244" s="1048">
        <v>1</v>
      </c>
      <c r="D244" s="1048" t="s">
        <v>1472</v>
      </c>
      <c r="E244" s="1048">
        <v>1</v>
      </c>
      <c r="F244" s="1049">
        <v>2.75</v>
      </c>
      <c r="G244" s="1049">
        <v>2.6</v>
      </c>
      <c r="H244" s="1049">
        <v>0.6</v>
      </c>
      <c r="I244" s="1049">
        <f t="shared" si="12"/>
        <v>4.29</v>
      </c>
      <c r="J244" s="1049"/>
      <c r="K244" s="1049"/>
      <c r="L244" s="1049"/>
      <c r="M244" s="1049"/>
      <c r="N244" s="1087"/>
      <c r="O244" s="1087"/>
    </row>
    <row r="245" spans="1:15" ht="14.1">
      <c r="A245" s="1046"/>
      <c r="B245" s="1061" t="s">
        <v>2129</v>
      </c>
      <c r="C245" s="1048">
        <v>1</v>
      </c>
      <c r="D245" s="1048" t="s">
        <v>1472</v>
      </c>
      <c r="E245" s="1048">
        <v>2</v>
      </c>
      <c r="F245" s="1049">
        <v>1.65</v>
      </c>
      <c r="G245" s="1049">
        <v>1.2</v>
      </c>
      <c r="H245" s="1049">
        <v>0.6</v>
      </c>
      <c r="I245" s="1049">
        <f t="shared" si="12"/>
        <v>2.38</v>
      </c>
      <c r="J245" s="1049"/>
      <c r="K245" s="1049"/>
      <c r="L245" s="1049"/>
      <c r="M245" s="1049"/>
      <c r="N245" s="1087"/>
      <c r="O245" s="1087"/>
    </row>
    <row r="246" spans="1:15" ht="14.1">
      <c r="A246" s="1046"/>
      <c r="B246" s="1061"/>
      <c r="C246" s="1048"/>
      <c r="D246" s="1048"/>
      <c r="E246" s="1048"/>
      <c r="F246" s="1049"/>
      <c r="G246" s="1049"/>
      <c r="H246" s="1049"/>
      <c r="I246" s="1053">
        <f>SUM(I238:I245)</f>
        <v>254.53</v>
      </c>
      <c r="J246" s="1049"/>
      <c r="K246" s="1049"/>
      <c r="L246" s="1049"/>
      <c r="M246" s="1049"/>
      <c r="N246" s="1087"/>
      <c r="O246" s="1087"/>
    </row>
    <row r="247" spans="1:15" ht="14.1">
      <c r="A247" s="1046"/>
      <c r="B247" s="1060" t="s">
        <v>1036</v>
      </c>
      <c r="C247" s="1061"/>
      <c r="D247" s="1061"/>
      <c r="E247" s="1061"/>
      <c r="F247" s="1062"/>
      <c r="G247" s="1062"/>
      <c r="H247" s="1062"/>
      <c r="I247" s="1062"/>
      <c r="J247" s="1049"/>
      <c r="K247" s="1049"/>
      <c r="L247" s="1049"/>
      <c r="M247" s="1049"/>
      <c r="N247" s="1087"/>
      <c r="O247" s="1087"/>
    </row>
    <row r="248" spans="1:15" ht="14.1">
      <c r="A248" s="1046"/>
      <c r="B248" s="1061" t="s">
        <v>2131</v>
      </c>
      <c r="C248" s="1061"/>
      <c r="D248" s="1061"/>
      <c r="E248" s="1061"/>
      <c r="F248" s="1062">
        <f>I29</f>
        <v>4.99</v>
      </c>
      <c r="G248" s="1062"/>
      <c r="H248" s="1062"/>
      <c r="I248" s="1062"/>
      <c r="J248" s="1049"/>
      <c r="K248" s="1049"/>
      <c r="L248" s="1049"/>
      <c r="M248" s="1049"/>
      <c r="N248" s="1087"/>
      <c r="O248" s="1087"/>
    </row>
    <row r="249" spans="1:15">
      <c r="A249" s="1061"/>
      <c r="B249" s="1061" t="s">
        <v>2026</v>
      </c>
      <c r="C249" s="1061"/>
      <c r="D249" s="1061"/>
      <c r="E249" s="1061"/>
      <c r="F249" s="1062">
        <f>I52</f>
        <v>23.78</v>
      </c>
      <c r="G249" s="1062"/>
      <c r="H249" s="1062"/>
      <c r="I249" s="1062"/>
      <c r="J249" s="1049"/>
      <c r="K249" s="1049"/>
      <c r="L249" s="1049"/>
      <c r="M249" s="1049"/>
      <c r="N249" s="1087"/>
      <c r="O249" s="1087"/>
    </row>
    <row r="250" spans="1:15" ht="14.1">
      <c r="A250" s="1046"/>
      <c r="B250" s="1061" t="s">
        <v>86</v>
      </c>
      <c r="C250" s="1061"/>
      <c r="D250" s="1061"/>
      <c r="E250" s="1061"/>
      <c r="F250" s="1062">
        <f>I64</f>
        <v>18.919999999999995</v>
      </c>
      <c r="G250" s="1062"/>
      <c r="H250" s="1062"/>
      <c r="I250" s="1062"/>
      <c r="J250" s="1049"/>
      <c r="K250" s="1049"/>
      <c r="L250" s="1049"/>
      <c r="M250" s="1049"/>
      <c r="N250" s="1087"/>
      <c r="O250" s="1087"/>
    </row>
    <row r="251" spans="1:15" ht="14.1">
      <c r="A251" s="1046"/>
      <c r="B251" s="1061" t="s">
        <v>2004</v>
      </c>
      <c r="C251" s="1061"/>
      <c r="D251" s="1061"/>
      <c r="E251" s="1061"/>
      <c r="F251" s="1062">
        <f>I92</f>
        <v>7.3900000000000006</v>
      </c>
      <c r="G251" s="1062"/>
      <c r="H251" s="1062"/>
      <c r="I251" s="1062"/>
      <c r="J251" s="1049"/>
      <c r="K251" s="1049"/>
      <c r="L251" s="1049"/>
      <c r="M251" s="1049"/>
      <c r="N251" s="1087"/>
      <c r="O251" s="1087"/>
    </row>
    <row r="252" spans="1:15" ht="14.1">
      <c r="A252" s="1046"/>
      <c r="B252" s="1061" t="s">
        <v>87</v>
      </c>
      <c r="C252" s="1061"/>
      <c r="D252" s="1061"/>
      <c r="E252" s="1061"/>
      <c r="F252" s="1062">
        <v>1.17</v>
      </c>
      <c r="G252" s="1062"/>
      <c r="H252" s="1062"/>
      <c r="I252" s="1062"/>
      <c r="J252" s="1049"/>
      <c r="K252" s="1049"/>
      <c r="L252" s="1049"/>
      <c r="M252" s="1049"/>
      <c r="N252" s="1087"/>
      <c r="O252" s="1087"/>
    </row>
    <row r="253" spans="1:15" ht="14.1">
      <c r="A253" s="1046"/>
      <c r="B253" s="1061" t="s">
        <v>88</v>
      </c>
      <c r="C253" s="1061"/>
      <c r="D253" s="1061"/>
      <c r="E253" s="1061"/>
      <c r="F253" s="1062">
        <v>4.59</v>
      </c>
      <c r="G253" s="1062"/>
      <c r="H253" s="1062"/>
      <c r="I253" s="1062"/>
      <c r="J253" s="1049"/>
      <c r="K253" s="1049"/>
      <c r="L253" s="1049"/>
      <c r="M253" s="1049"/>
      <c r="N253" s="1087"/>
      <c r="O253" s="1087"/>
    </row>
    <row r="254" spans="1:15" ht="14.1">
      <c r="A254" s="1046"/>
      <c r="B254" s="1061"/>
      <c r="C254" s="1061"/>
      <c r="D254" s="1061"/>
      <c r="E254" s="1061"/>
      <c r="F254" s="1240">
        <v>0.85</v>
      </c>
      <c r="G254" s="1062"/>
      <c r="H254" s="1062"/>
      <c r="I254" s="1062"/>
      <c r="J254" s="1049"/>
      <c r="K254" s="1049"/>
      <c r="L254" s="1049"/>
      <c r="M254" s="1049"/>
      <c r="N254" s="1087"/>
      <c r="O254" s="1087"/>
    </row>
    <row r="255" spans="1:15" ht="14.1">
      <c r="A255" s="1046"/>
      <c r="B255" s="1061"/>
      <c r="C255" s="1061"/>
      <c r="D255" s="1061"/>
      <c r="E255" s="1061"/>
      <c r="F255" s="1078">
        <f>SUM(F248:F254)</f>
        <v>61.690000000000005</v>
      </c>
      <c r="G255" s="1062"/>
      <c r="H255" s="1062"/>
      <c r="I255" s="1062"/>
      <c r="J255" s="1049"/>
      <c r="K255" s="1049"/>
      <c r="L255" s="1049"/>
      <c r="M255" s="1049"/>
      <c r="N255" s="1087"/>
      <c r="O255" s="1087"/>
    </row>
    <row r="256" spans="1:15" ht="14.1">
      <c r="A256" s="1046"/>
      <c r="B256" s="1079" t="s">
        <v>89</v>
      </c>
      <c r="C256" s="1048"/>
      <c r="D256" s="1048"/>
      <c r="E256" s="1048"/>
      <c r="F256" s="1053">
        <f>I246</f>
        <v>254.53</v>
      </c>
      <c r="G256" s="1049" t="s">
        <v>524</v>
      </c>
      <c r="H256" s="1053">
        <f>F255</f>
        <v>61.690000000000005</v>
      </c>
      <c r="I256" s="1053">
        <f>F256-H256</f>
        <v>192.84</v>
      </c>
      <c r="J256" s="1049"/>
      <c r="K256" s="1049"/>
      <c r="L256" s="1049"/>
      <c r="M256" s="1049"/>
      <c r="N256" s="1087"/>
      <c r="O256" s="1087"/>
    </row>
    <row r="257" spans="1:15" ht="14.1">
      <c r="A257" s="1046"/>
      <c r="B257" s="2423"/>
      <c r="C257" s="2424"/>
      <c r="D257" s="2424"/>
      <c r="E257" s="2424"/>
      <c r="F257" s="2424"/>
      <c r="G257" s="2424"/>
      <c r="H257" s="2425"/>
      <c r="I257" s="1053"/>
      <c r="J257" s="1049"/>
      <c r="K257" s="1049"/>
      <c r="L257" s="1049"/>
      <c r="M257" s="1049"/>
      <c r="N257" s="1087"/>
      <c r="O257" s="1087"/>
    </row>
    <row r="258" spans="1:15" ht="28.2">
      <c r="A258" s="1046"/>
      <c r="B258" s="1078" t="s">
        <v>2051</v>
      </c>
      <c r="C258" s="1067"/>
      <c r="D258" s="1067"/>
      <c r="E258" s="1048"/>
      <c r="F258" s="1053">
        <f>I256</f>
        <v>192.84</v>
      </c>
      <c r="G258" s="1049" t="s">
        <v>524</v>
      </c>
      <c r="H258" s="1053">
        <f>I225</f>
        <v>105.17000000000002</v>
      </c>
      <c r="I258" s="1053">
        <f>F258-H258</f>
        <v>87.669999999999987</v>
      </c>
      <c r="J258" s="1049">
        <v>226.02</v>
      </c>
      <c r="K258" s="1053">
        <f>ROUND(J258*I258,0)</f>
        <v>19815</v>
      </c>
      <c r="L258" s="1049">
        <v>30</v>
      </c>
      <c r="M258" s="1055">
        <f>L258*I258</f>
        <v>2630.0999999999995</v>
      </c>
      <c r="N258" s="1087">
        <v>30</v>
      </c>
      <c r="O258" s="1087">
        <f>ROUND(I258*N258,0)</f>
        <v>2630</v>
      </c>
    </row>
    <row r="259" spans="1:15" ht="14.1">
      <c r="A259" s="1046"/>
      <c r="B259" s="1060"/>
      <c r="C259" s="1048"/>
      <c r="D259" s="1048"/>
      <c r="E259" s="1048"/>
      <c r="F259" s="1049"/>
      <c r="G259" s="1049"/>
      <c r="H259" s="1049"/>
      <c r="I259" s="1053" t="s">
        <v>1473</v>
      </c>
      <c r="J259" s="1053" t="s">
        <v>658</v>
      </c>
      <c r="K259" s="1053"/>
      <c r="L259" s="1049"/>
      <c r="M259" s="1049"/>
      <c r="N259" s="1087"/>
      <c r="O259" s="1087"/>
    </row>
    <row r="260" spans="1:15" ht="146.25" customHeight="1">
      <c r="A260" s="1085">
        <v>13</v>
      </c>
      <c r="B260" s="2415" t="s">
        <v>2450</v>
      </c>
      <c r="C260" s="2416"/>
      <c r="D260" s="2416"/>
      <c r="E260" s="2416"/>
      <c r="F260" s="2416"/>
      <c r="G260" s="2416"/>
      <c r="H260" s="2416"/>
      <c r="I260" s="2417"/>
      <c r="J260" s="1049"/>
      <c r="K260" s="1049"/>
      <c r="L260" s="1049"/>
      <c r="M260" s="1049"/>
      <c r="N260" s="1087"/>
      <c r="O260" s="1087"/>
    </row>
    <row r="261" spans="1:15" ht="14.1">
      <c r="A261" s="1046"/>
      <c r="B261" s="1060" t="s">
        <v>466</v>
      </c>
      <c r="C261" s="1082"/>
      <c r="D261" s="1082"/>
      <c r="E261" s="1082"/>
      <c r="F261" s="1083"/>
      <c r="G261" s="1083"/>
      <c r="H261" s="1083"/>
      <c r="I261" s="1083"/>
      <c r="J261" s="1049"/>
      <c r="K261" s="1049"/>
      <c r="L261" s="1049"/>
      <c r="M261" s="1049"/>
      <c r="N261" s="1087"/>
      <c r="O261" s="1087"/>
    </row>
    <row r="262" spans="1:15" ht="14.1">
      <c r="A262" s="1046"/>
      <c r="B262" s="1174" t="s">
        <v>2523</v>
      </c>
      <c r="C262" s="1048">
        <v>1</v>
      </c>
      <c r="D262" s="1048" t="s">
        <v>1472</v>
      </c>
      <c r="E262" s="1048">
        <v>2</v>
      </c>
      <c r="F262" s="1049">
        <f>(46.5)*0.3048</f>
        <v>14.173200000000001</v>
      </c>
      <c r="G262" s="1049"/>
      <c r="H262" s="1049">
        <v>3.6</v>
      </c>
      <c r="I262" s="1049">
        <f>ROUND(C262*E262*F262*H262,2)</f>
        <v>102.05</v>
      </c>
      <c r="J262" s="1049"/>
      <c r="K262" s="1049"/>
      <c r="L262" s="1049"/>
      <c r="M262" s="1049"/>
      <c r="N262" s="1087"/>
      <c r="O262" s="1087"/>
    </row>
    <row r="263" spans="1:15" ht="14.1">
      <c r="A263" s="1046"/>
      <c r="B263" s="1174" t="s">
        <v>2524</v>
      </c>
      <c r="C263" s="1048">
        <v>1</v>
      </c>
      <c r="D263" s="1048" t="s">
        <v>1472</v>
      </c>
      <c r="E263" s="1048">
        <v>2</v>
      </c>
      <c r="F263" s="1049">
        <f>(30)*0.3048</f>
        <v>9.1440000000000001</v>
      </c>
      <c r="G263" s="1049"/>
      <c r="H263" s="1049">
        <v>3.6</v>
      </c>
      <c r="I263" s="1049">
        <f>ROUND(C263*E263*F263*H263,2)</f>
        <v>65.84</v>
      </c>
      <c r="J263" s="1049"/>
      <c r="K263" s="1049"/>
      <c r="L263" s="1049"/>
      <c r="M263" s="1049"/>
      <c r="N263" s="1087"/>
      <c r="O263" s="1087"/>
    </row>
    <row r="264" spans="1:15" ht="14.1">
      <c r="A264" s="1046"/>
      <c r="B264" s="1174" t="s">
        <v>2525</v>
      </c>
      <c r="C264" s="1048">
        <v>1</v>
      </c>
      <c r="D264" s="1048" t="s">
        <v>1472</v>
      </c>
      <c r="E264" s="1048">
        <v>4</v>
      </c>
      <c r="F264" s="1049">
        <f>(12)*0.3048</f>
        <v>3.6576000000000004</v>
      </c>
      <c r="G264" s="1049"/>
      <c r="H264" s="1049">
        <v>3.6</v>
      </c>
      <c r="I264" s="1049">
        <f>ROUND(C264*E264*F264*H264,2)</f>
        <v>52.67</v>
      </c>
      <c r="J264" s="1049"/>
      <c r="K264" s="1049"/>
      <c r="L264" s="1049"/>
      <c r="M264" s="1049"/>
      <c r="N264" s="1087"/>
      <c r="O264" s="1087"/>
    </row>
    <row r="265" spans="1:15" ht="14.1">
      <c r="A265" s="1046"/>
      <c r="B265" s="1174" t="s">
        <v>2526</v>
      </c>
      <c r="C265" s="1048">
        <v>1</v>
      </c>
      <c r="D265" s="1048" t="s">
        <v>1472</v>
      </c>
      <c r="E265" s="1048">
        <v>1</v>
      </c>
      <c r="F265" s="1049">
        <f>(12*2+17.5*2)*0.3048</f>
        <v>17.9832</v>
      </c>
      <c r="G265" s="1049"/>
      <c r="H265" s="1049">
        <v>3.6</v>
      </c>
      <c r="I265" s="1049">
        <f>ROUND(C265*E265*F265*H265,2)</f>
        <v>64.739999999999995</v>
      </c>
      <c r="J265" s="1049"/>
      <c r="K265" s="1049"/>
      <c r="L265" s="1049"/>
      <c r="M265" s="1049"/>
      <c r="N265" s="1087"/>
      <c r="O265" s="1087"/>
    </row>
    <row r="266" spans="1:15" ht="24.6">
      <c r="A266" s="1046"/>
      <c r="B266" s="1226" t="s">
        <v>2528</v>
      </c>
      <c r="C266" s="1048">
        <v>1</v>
      </c>
      <c r="D266" s="1048" t="s">
        <v>1472</v>
      </c>
      <c r="E266" s="1048">
        <v>2</v>
      </c>
      <c r="F266" s="1049">
        <f>(30)*0.3048</f>
        <v>9.1440000000000001</v>
      </c>
      <c r="G266" s="1049"/>
      <c r="H266" s="1169" t="s">
        <v>2522</v>
      </c>
      <c r="I266" s="1049">
        <f>ROUND(C266*E266*F266*0.5,2)</f>
        <v>9.14</v>
      </c>
      <c r="J266" s="1049"/>
      <c r="K266" s="1049"/>
      <c r="L266" s="1049"/>
      <c r="M266" s="1049"/>
      <c r="N266" s="1087"/>
      <c r="O266" s="1087"/>
    </row>
    <row r="267" spans="1:15" ht="14.1">
      <c r="A267" s="1046"/>
      <c r="B267" s="1190" t="s">
        <v>675</v>
      </c>
      <c r="C267" s="1048"/>
      <c r="D267" s="1048"/>
      <c r="E267" s="1048"/>
      <c r="F267" s="1049"/>
      <c r="G267" s="1049"/>
      <c r="H267" s="1049"/>
      <c r="I267" s="1049"/>
      <c r="J267" s="1049"/>
      <c r="K267" s="1049"/>
      <c r="L267" s="1049"/>
      <c r="M267" s="1049"/>
      <c r="N267" s="1087"/>
      <c r="O267" s="1087"/>
    </row>
    <row r="268" spans="1:15">
      <c r="A268" s="1076"/>
      <c r="B268" s="1178" t="s">
        <v>2223</v>
      </c>
      <c r="C268" s="1048">
        <v>1</v>
      </c>
      <c r="D268" s="1048" t="s">
        <v>1472</v>
      </c>
      <c r="E268" s="1048">
        <v>1</v>
      </c>
      <c r="F268" s="1049">
        <v>1.8</v>
      </c>
      <c r="G268" s="1084">
        <v>1</v>
      </c>
      <c r="H268" s="1049">
        <v>2.4</v>
      </c>
      <c r="I268" s="1049">
        <f t="shared" ref="I268:I273" si="13">-ROUND(C268*E268*F268*G268*H268,2)</f>
        <v>-4.32</v>
      </c>
      <c r="J268" s="1049"/>
      <c r="K268" s="1049"/>
      <c r="L268" s="1049"/>
      <c r="M268" s="1049"/>
      <c r="N268" s="1087"/>
      <c r="O268" s="1087"/>
    </row>
    <row r="269" spans="1:15">
      <c r="A269" s="1076"/>
      <c r="B269" s="1178" t="s">
        <v>980</v>
      </c>
      <c r="C269" s="1048">
        <v>1</v>
      </c>
      <c r="D269" s="1048" t="s">
        <v>1472</v>
      </c>
      <c r="E269" s="1048">
        <v>2</v>
      </c>
      <c r="F269" s="1049">
        <v>1.5</v>
      </c>
      <c r="G269" s="1084">
        <v>1</v>
      </c>
      <c r="H269" s="1049">
        <v>2.4</v>
      </c>
      <c r="I269" s="1049">
        <f t="shared" si="13"/>
        <v>-7.2</v>
      </c>
      <c r="J269" s="1049"/>
      <c r="K269" s="1049"/>
      <c r="L269" s="1049"/>
      <c r="M269" s="1049"/>
      <c r="N269" s="1087"/>
      <c r="O269" s="1087"/>
    </row>
    <row r="270" spans="1:15">
      <c r="A270" s="1076"/>
      <c r="B270" s="1178" t="s">
        <v>981</v>
      </c>
      <c r="C270" s="1048">
        <v>1</v>
      </c>
      <c r="D270" s="1048" t="s">
        <v>1472</v>
      </c>
      <c r="E270" s="1048">
        <v>2</v>
      </c>
      <c r="F270" s="1049">
        <v>0.9</v>
      </c>
      <c r="G270" s="1084">
        <v>1</v>
      </c>
      <c r="H270" s="1049">
        <v>2.1</v>
      </c>
      <c r="I270" s="1049">
        <f t="shared" si="13"/>
        <v>-3.78</v>
      </c>
      <c r="J270" s="1049"/>
      <c r="K270" s="1049"/>
      <c r="L270" s="1049"/>
      <c r="M270" s="1049"/>
      <c r="N270" s="1087"/>
      <c r="O270" s="1087"/>
    </row>
    <row r="271" spans="1:15">
      <c r="A271" s="1076"/>
      <c r="B271" s="1178" t="s">
        <v>2466</v>
      </c>
      <c r="C271" s="1048">
        <v>1</v>
      </c>
      <c r="D271" s="1048" t="s">
        <v>1472</v>
      </c>
      <c r="E271" s="1048">
        <v>4</v>
      </c>
      <c r="F271" s="1049">
        <v>1.5</v>
      </c>
      <c r="G271" s="1084">
        <v>1</v>
      </c>
      <c r="H271" s="1049">
        <v>1.2</v>
      </c>
      <c r="I271" s="1049">
        <f t="shared" si="13"/>
        <v>-7.2</v>
      </c>
      <c r="J271" s="1049"/>
      <c r="K271" s="1049"/>
      <c r="L271" s="1049"/>
      <c r="M271" s="1049"/>
      <c r="N271" s="1087"/>
      <c r="O271" s="1087"/>
    </row>
    <row r="272" spans="1:15" ht="14.1">
      <c r="A272" s="1046"/>
      <c r="B272" s="1178" t="s">
        <v>2215</v>
      </c>
      <c r="C272" s="1048">
        <v>1</v>
      </c>
      <c r="D272" s="1048" t="s">
        <v>1472</v>
      </c>
      <c r="E272" s="1048">
        <v>6</v>
      </c>
      <c r="F272" s="1049">
        <f>11*0.3048</f>
        <v>3.3528000000000002</v>
      </c>
      <c r="G272" s="1084">
        <v>1</v>
      </c>
      <c r="H272" s="1049">
        <v>0.9</v>
      </c>
      <c r="I272" s="1049">
        <f t="shared" si="13"/>
        <v>-18.11</v>
      </c>
      <c r="J272" s="1049"/>
      <c r="K272" s="1049"/>
      <c r="L272" s="1049"/>
      <c r="M272" s="1049"/>
      <c r="N272" s="1087"/>
      <c r="O272" s="1087"/>
    </row>
    <row r="273" spans="1:15" ht="14.1">
      <c r="A273" s="1046"/>
      <c r="B273" s="1178" t="s">
        <v>2216</v>
      </c>
      <c r="C273" s="1048">
        <v>1</v>
      </c>
      <c r="D273" s="1048" t="s">
        <v>1472</v>
      </c>
      <c r="E273" s="1048">
        <v>2</v>
      </c>
      <c r="F273" s="1049">
        <v>2.4</v>
      </c>
      <c r="G273" s="1084">
        <v>1</v>
      </c>
      <c r="H273" s="1049">
        <v>2</v>
      </c>
      <c r="I273" s="1049">
        <f t="shared" si="13"/>
        <v>-9.6</v>
      </c>
      <c r="J273" s="1049"/>
      <c r="K273" s="1049"/>
      <c r="L273" s="1049"/>
      <c r="M273" s="1049"/>
      <c r="N273" s="1087"/>
      <c r="O273" s="1087"/>
    </row>
    <row r="274" spans="1:15" ht="14.1">
      <c r="A274" s="1046"/>
      <c r="B274" s="1190" t="s">
        <v>2135</v>
      </c>
      <c r="C274" s="1082"/>
      <c r="D274" s="1082"/>
      <c r="E274" s="1082"/>
      <c r="F274" s="1083"/>
      <c r="G274" s="1083"/>
      <c r="H274" s="1083"/>
      <c r="I274" s="1083"/>
      <c r="J274" s="1049"/>
      <c r="K274" s="1049"/>
      <c r="L274" s="1049"/>
      <c r="M274" s="1049"/>
      <c r="N274" s="1087"/>
      <c r="O274" s="1087"/>
    </row>
    <row r="275" spans="1:15" ht="14.1">
      <c r="A275" s="1046"/>
      <c r="B275" s="1174" t="s">
        <v>2115</v>
      </c>
      <c r="C275" s="1048">
        <v>1</v>
      </c>
      <c r="D275" s="1048" t="s">
        <v>1472</v>
      </c>
      <c r="E275" s="1048">
        <v>2</v>
      </c>
      <c r="F275" s="1049">
        <f>61.75*0.3048</f>
        <v>18.821400000000001</v>
      </c>
      <c r="G275" s="1084">
        <v>1</v>
      </c>
      <c r="H275" s="1049">
        <v>3.6</v>
      </c>
      <c r="I275" s="1049">
        <f>ROUND(C275*E275*F275*G275*H275,2)</f>
        <v>135.51</v>
      </c>
      <c r="J275" s="1049"/>
      <c r="K275" s="1049"/>
      <c r="L275" s="1049"/>
      <c r="M275" s="1049"/>
      <c r="N275" s="1087"/>
      <c r="O275" s="1087"/>
    </row>
    <row r="276" spans="1:15" ht="14.1">
      <c r="A276" s="1046"/>
      <c r="B276" s="1174" t="s">
        <v>2033</v>
      </c>
      <c r="C276" s="1048">
        <v>1</v>
      </c>
      <c r="D276" s="1048" t="s">
        <v>1472</v>
      </c>
      <c r="E276" s="1048">
        <v>2</v>
      </c>
      <c r="F276" s="1049">
        <f>31.5*0.3048</f>
        <v>9.6012000000000004</v>
      </c>
      <c r="G276" s="1084">
        <v>1</v>
      </c>
      <c r="H276" s="1164" t="s">
        <v>2287</v>
      </c>
      <c r="I276" s="1049">
        <f>ROUND(C276*E276*F276*AVERAGE(4.26,6,4.26),2)</f>
        <v>92.94</v>
      </c>
      <c r="J276" s="1049"/>
      <c r="K276" s="1049"/>
      <c r="L276" s="1049"/>
      <c r="M276" s="1049"/>
      <c r="N276" s="1087"/>
      <c r="O276" s="1087"/>
    </row>
    <row r="277" spans="1:15" ht="14.1">
      <c r="A277" s="1046"/>
      <c r="B277" s="1178"/>
      <c r="C277" s="1048"/>
      <c r="D277" s="1048"/>
      <c r="E277" s="1048"/>
      <c r="F277" s="1049"/>
      <c r="G277" s="1084"/>
      <c r="H277" s="1049"/>
      <c r="I277" s="1049">
        <f>SUM(I262:I276)</f>
        <v>472.68</v>
      </c>
      <c r="J277" s="1049">
        <f>Datas!G1337</f>
        <v>1621.6200000000001</v>
      </c>
      <c r="K277" s="1053">
        <f>ROUND(J277*I277/10,0)</f>
        <v>76651</v>
      </c>
      <c r="L277" s="1049"/>
      <c r="M277" s="1049"/>
      <c r="N277" s="1087"/>
      <c r="O277" s="1087"/>
    </row>
    <row r="278" spans="1:15" ht="14.1">
      <c r="A278" s="1046"/>
      <c r="B278" s="1178"/>
      <c r="C278" s="1048"/>
      <c r="D278" s="1048"/>
      <c r="E278" s="1048"/>
      <c r="F278" s="1049"/>
      <c r="G278" s="1084"/>
      <c r="H278" s="1049"/>
      <c r="I278" s="1049" t="s">
        <v>1478</v>
      </c>
      <c r="J278" s="1049" t="s">
        <v>2420</v>
      </c>
      <c r="K278" s="1049"/>
      <c r="L278" s="1049"/>
      <c r="M278" s="1049"/>
      <c r="N278" s="1087"/>
      <c r="O278" s="1087"/>
    </row>
    <row r="279" spans="1:15" ht="147" customHeight="1">
      <c r="A279" s="1085">
        <v>14</v>
      </c>
      <c r="B279" s="2415" t="s">
        <v>2451</v>
      </c>
      <c r="C279" s="2416"/>
      <c r="D279" s="2416"/>
      <c r="E279" s="2416"/>
      <c r="F279" s="2416"/>
      <c r="G279" s="2416"/>
      <c r="H279" s="2416"/>
      <c r="I279" s="2417"/>
      <c r="J279" s="1049"/>
      <c r="K279" s="1049"/>
      <c r="L279" s="1049"/>
      <c r="M279" s="1049"/>
      <c r="N279" s="1087"/>
      <c r="O279" s="1087"/>
    </row>
    <row r="280" spans="1:15">
      <c r="A280" s="1048"/>
      <c r="B280" s="1190" t="s">
        <v>2124</v>
      </c>
      <c r="C280" s="1048"/>
      <c r="D280" s="1048"/>
      <c r="E280" s="1048"/>
      <c r="F280" s="1049"/>
      <c r="G280" s="1049"/>
      <c r="H280" s="1049"/>
      <c r="I280" s="1049"/>
      <c r="J280" s="1049"/>
      <c r="K280" s="1049"/>
      <c r="L280" s="1049"/>
      <c r="M280" s="1049"/>
      <c r="N280" s="1087"/>
      <c r="O280" s="1087"/>
    </row>
    <row r="281" spans="1:15" ht="14.1">
      <c r="A281" s="1046"/>
      <c r="B281" s="1174" t="s">
        <v>2093</v>
      </c>
      <c r="C281" s="1048">
        <v>1</v>
      </c>
      <c r="D281" s="1048" t="s">
        <v>1472</v>
      </c>
      <c r="E281" s="1048">
        <v>2</v>
      </c>
      <c r="F281" s="1049">
        <f>10.5*0.3048</f>
        <v>3.2004000000000001</v>
      </c>
      <c r="G281" s="1084">
        <v>1</v>
      </c>
      <c r="H281" s="1049">
        <v>2.4</v>
      </c>
      <c r="I281" s="1049">
        <f>ROUND(C281*E281*F281*G281*H281,2)</f>
        <v>15.36</v>
      </c>
      <c r="J281" s="1049"/>
      <c r="K281" s="1049"/>
      <c r="L281" s="1049"/>
      <c r="M281" s="1049"/>
      <c r="N281" s="1087"/>
      <c r="O281" s="1087"/>
    </row>
    <row r="282" spans="1:15" ht="14.1">
      <c r="A282" s="1046"/>
      <c r="B282" s="1174" t="s">
        <v>2094</v>
      </c>
      <c r="C282" s="1048">
        <v>1</v>
      </c>
      <c r="D282" s="1048" t="s">
        <v>1472</v>
      </c>
      <c r="E282" s="1048">
        <v>2</v>
      </c>
      <c r="F282" s="1049">
        <f>10*0.3048</f>
        <v>3.048</v>
      </c>
      <c r="G282" s="1084">
        <v>1</v>
      </c>
      <c r="H282" s="1049">
        <v>2.4</v>
      </c>
      <c r="I282" s="1049">
        <f>ROUND(C282*E282*F282*G282*H282,2)</f>
        <v>14.63</v>
      </c>
      <c r="J282" s="1049"/>
      <c r="K282" s="1049"/>
      <c r="L282" s="1049"/>
      <c r="M282" s="1049"/>
      <c r="N282" s="1087"/>
      <c r="O282" s="1087"/>
    </row>
    <row r="283" spans="1:15">
      <c r="A283" s="1048"/>
      <c r="B283" s="1178" t="s">
        <v>2125</v>
      </c>
      <c r="C283" s="1048">
        <v>1</v>
      </c>
      <c r="D283" s="1048" t="s">
        <v>1472</v>
      </c>
      <c r="E283" s="1048">
        <v>2</v>
      </c>
      <c r="F283" s="1049">
        <f>10.5*0.3048</f>
        <v>3.2004000000000001</v>
      </c>
      <c r="G283" s="1084">
        <v>1</v>
      </c>
      <c r="H283" s="1049">
        <v>2.1</v>
      </c>
      <c r="I283" s="1049">
        <f>ROUND(C283*E283*F283*G283*H283,2)</f>
        <v>13.44</v>
      </c>
      <c r="J283" s="1049"/>
      <c r="K283" s="1049"/>
      <c r="L283" s="1049"/>
      <c r="M283" s="1049"/>
      <c r="N283" s="1087"/>
      <c r="O283" s="1087"/>
    </row>
    <row r="284" spans="1:15">
      <c r="A284" s="1048"/>
      <c r="B284" s="1178" t="s">
        <v>2125</v>
      </c>
      <c r="C284" s="1048">
        <v>1</v>
      </c>
      <c r="D284" s="1048" t="s">
        <v>1472</v>
      </c>
      <c r="E284" s="1048">
        <v>2</v>
      </c>
      <c r="F284" s="1049">
        <v>3.42</v>
      </c>
      <c r="G284" s="1084">
        <v>1</v>
      </c>
      <c r="H284" s="1049">
        <v>2.1</v>
      </c>
      <c r="I284" s="1049">
        <f>ROUND(C284*E284*F284*G284*H284,2)</f>
        <v>14.36</v>
      </c>
      <c r="J284" s="1049"/>
      <c r="K284" s="1049"/>
      <c r="L284" s="1049"/>
      <c r="M284" s="1049"/>
      <c r="N284" s="1087"/>
      <c r="O284" s="1087"/>
    </row>
    <row r="285" spans="1:15">
      <c r="A285" s="1048"/>
      <c r="B285" s="1190" t="s">
        <v>675</v>
      </c>
      <c r="C285" s="1048"/>
      <c r="D285" s="1048"/>
      <c r="E285" s="1048"/>
      <c r="F285" s="1049"/>
      <c r="G285" s="1049"/>
      <c r="H285" s="1049"/>
      <c r="I285" s="1049"/>
      <c r="J285" s="1049"/>
      <c r="K285" s="1049"/>
      <c r="L285" s="1049"/>
      <c r="M285" s="1049"/>
      <c r="N285" s="1087"/>
      <c r="O285" s="1087"/>
    </row>
    <row r="286" spans="1:15">
      <c r="A286" s="1048"/>
      <c r="B286" s="1178" t="s">
        <v>2126</v>
      </c>
      <c r="C286" s="1048">
        <v>1</v>
      </c>
      <c r="D286" s="1048" t="s">
        <v>1472</v>
      </c>
      <c r="E286" s="1048">
        <v>2</v>
      </c>
      <c r="F286" s="1049">
        <v>0.9</v>
      </c>
      <c r="G286" s="1084">
        <v>1</v>
      </c>
      <c r="H286" s="1049">
        <v>2.1</v>
      </c>
      <c r="I286" s="1049">
        <f>-ROUND(C286*E286*F286*G286*H286,2)</f>
        <v>-3.78</v>
      </c>
      <c r="J286" s="1049"/>
      <c r="K286" s="1049"/>
      <c r="L286" s="1049"/>
      <c r="M286" s="1049"/>
      <c r="N286" s="1087"/>
      <c r="O286" s="1087"/>
    </row>
    <row r="287" spans="1:15">
      <c r="A287" s="1048"/>
      <c r="B287" s="1178" t="s">
        <v>101</v>
      </c>
      <c r="C287" s="1048">
        <v>1</v>
      </c>
      <c r="D287" s="1048" t="s">
        <v>1472</v>
      </c>
      <c r="E287" s="1048">
        <v>2</v>
      </c>
      <c r="F287" s="1049">
        <v>0.75</v>
      </c>
      <c r="G287" s="1084">
        <v>1</v>
      </c>
      <c r="H287" s="1049">
        <v>2.1</v>
      </c>
      <c r="I287" s="1049">
        <f>-ROUND(C287*E287*F287*G287*H287,2)</f>
        <v>-3.15</v>
      </c>
      <c r="J287" s="1049"/>
      <c r="K287" s="1049"/>
      <c r="L287" s="1049"/>
      <c r="M287" s="1049"/>
      <c r="N287" s="1087"/>
      <c r="O287" s="1087"/>
    </row>
    <row r="288" spans="1:15">
      <c r="A288" s="1048"/>
      <c r="B288" s="1178" t="s">
        <v>2527</v>
      </c>
      <c r="C288" s="1048">
        <v>1</v>
      </c>
      <c r="D288" s="1048" t="s">
        <v>1472</v>
      </c>
      <c r="E288" s="1048">
        <v>2</v>
      </c>
      <c r="F288" s="1049">
        <v>0.75</v>
      </c>
      <c r="G288" s="1084">
        <v>1</v>
      </c>
      <c r="H288" s="1049">
        <v>0.3</v>
      </c>
      <c r="I288" s="1049">
        <f>-ROUND(C288*E288*F288*G288*H288,2)</f>
        <v>-0.45</v>
      </c>
      <c r="J288" s="1049"/>
      <c r="K288" s="1049"/>
      <c r="L288" s="1049"/>
      <c r="M288" s="1049"/>
      <c r="N288" s="1087"/>
      <c r="O288" s="1087"/>
    </row>
    <row r="289" spans="1:15" ht="14.1">
      <c r="A289" s="1046"/>
      <c r="B289" s="1179"/>
      <c r="C289" s="1048"/>
      <c r="D289" s="1048"/>
      <c r="E289" s="1048"/>
      <c r="F289" s="1049"/>
      <c r="G289" s="1049"/>
      <c r="H289" s="1049"/>
      <c r="I289" s="1049">
        <f>SUM(I281:I288)</f>
        <v>50.41</v>
      </c>
      <c r="J289" s="1049"/>
      <c r="K289" s="1049"/>
      <c r="L289" s="1049"/>
      <c r="M289" s="1049"/>
      <c r="N289" s="1087"/>
      <c r="O289" s="1087"/>
    </row>
    <row r="290" spans="1:15" ht="14.1">
      <c r="A290" s="1046"/>
      <c r="B290" s="1065"/>
      <c r="C290" s="1048"/>
      <c r="D290" s="1048"/>
      <c r="E290" s="1048"/>
      <c r="F290" s="1049"/>
      <c r="G290" s="1049" t="s">
        <v>667</v>
      </c>
      <c r="H290" s="1049"/>
      <c r="I290" s="1052">
        <f>I289</f>
        <v>50.41</v>
      </c>
      <c r="J290" s="1049">
        <f>Datas!$E$679</f>
        <v>4266.8500000000004</v>
      </c>
      <c r="K290" s="1053">
        <f>ROUND(J290*I290/10,0)</f>
        <v>21509</v>
      </c>
      <c r="L290" s="1049"/>
      <c r="M290" s="1055"/>
      <c r="N290" s="1087">
        <f>(0.15*9)</f>
        <v>1.3499999999999999</v>
      </c>
      <c r="O290" s="1087">
        <f>ROUND(I290*N290,0)</f>
        <v>68</v>
      </c>
    </row>
    <row r="291" spans="1:15" ht="14.1">
      <c r="A291" s="1046"/>
      <c r="B291" s="1061"/>
      <c r="C291" s="1085"/>
      <c r="D291" s="1085"/>
      <c r="E291" s="1048"/>
      <c r="F291" s="1049"/>
      <c r="G291" s="1049"/>
      <c r="H291" s="1049"/>
      <c r="I291" s="1053" t="s">
        <v>1478</v>
      </c>
      <c r="J291" s="1053" t="s">
        <v>37</v>
      </c>
      <c r="K291" s="1053"/>
      <c r="L291" s="1049"/>
      <c r="M291" s="1049"/>
      <c r="N291" s="1087"/>
      <c r="O291" s="1087"/>
    </row>
    <row r="292" spans="1:15" ht="156" customHeight="1">
      <c r="A292" s="1085">
        <v>15</v>
      </c>
      <c r="B292" s="2415" t="s">
        <v>2452</v>
      </c>
      <c r="C292" s="2416"/>
      <c r="D292" s="2416"/>
      <c r="E292" s="2416"/>
      <c r="F292" s="2416"/>
      <c r="G292" s="2416"/>
      <c r="H292" s="2416"/>
      <c r="I292" s="2417"/>
      <c r="J292" s="1049"/>
      <c r="K292" s="1049"/>
      <c r="L292" s="1049"/>
      <c r="M292" s="1049"/>
      <c r="N292" s="1087"/>
      <c r="O292" s="1087"/>
    </row>
    <row r="293" spans="1:15" ht="14.1">
      <c r="A293" s="1046"/>
      <c r="B293" s="1190" t="s">
        <v>2136</v>
      </c>
      <c r="C293" s="1048"/>
      <c r="D293" s="1048"/>
      <c r="E293" s="1048"/>
      <c r="F293" s="1049"/>
      <c r="G293" s="1084"/>
      <c r="H293" s="1049"/>
      <c r="I293" s="1068"/>
      <c r="J293" s="1049"/>
      <c r="K293" s="1049"/>
      <c r="L293" s="1049"/>
      <c r="M293" s="1068"/>
      <c r="N293" s="1087"/>
      <c r="O293" s="1087"/>
    </row>
    <row r="294" spans="1:15" ht="14.1">
      <c r="A294" s="1046"/>
      <c r="B294" s="1174" t="s">
        <v>2093</v>
      </c>
      <c r="C294" s="1048">
        <v>1</v>
      </c>
      <c r="D294" s="1048" t="s">
        <v>1472</v>
      </c>
      <c r="E294" s="1048">
        <v>2</v>
      </c>
      <c r="F294" s="1049">
        <f>12*0.3048</f>
        <v>3.6576000000000004</v>
      </c>
      <c r="G294" s="1084">
        <v>1</v>
      </c>
      <c r="H294" s="1049">
        <v>2.4</v>
      </c>
      <c r="I294" s="1049">
        <f>ROUND(C294*E294*F294*G294*H294,2)</f>
        <v>17.559999999999999</v>
      </c>
      <c r="J294" s="1049"/>
      <c r="K294" s="1049"/>
      <c r="L294" s="1049"/>
      <c r="M294" s="1049"/>
      <c r="N294" s="1087"/>
      <c r="O294" s="1087"/>
    </row>
    <row r="295" spans="1:15" ht="14.1">
      <c r="A295" s="1046"/>
      <c r="B295" s="1174" t="s">
        <v>2094</v>
      </c>
      <c r="C295" s="1048">
        <v>1</v>
      </c>
      <c r="D295" s="1048" t="s">
        <v>1472</v>
      </c>
      <c r="E295" s="1048">
        <v>2</v>
      </c>
      <c r="F295" s="1049">
        <f>11.5*0.3048</f>
        <v>3.5052000000000003</v>
      </c>
      <c r="G295" s="1084">
        <v>1</v>
      </c>
      <c r="H295" s="1049">
        <v>2.4</v>
      </c>
      <c r="I295" s="1049">
        <f>ROUND(C295*E295*F295*G295*H295,2)</f>
        <v>16.82</v>
      </c>
      <c r="J295" s="1049"/>
      <c r="K295" s="1049"/>
      <c r="L295" s="1049"/>
      <c r="M295" s="1049"/>
      <c r="N295" s="1087"/>
      <c r="O295" s="1087"/>
    </row>
    <row r="296" spans="1:15" ht="24.6">
      <c r="A296" s="1046"/>
      <c r="B296" s="1226" t="s">
        <v>2528</v>
      </c>
      <c r="C296" s="1048">
        <v>1</v>
      </c>
      <c r="D296" s="1048" t="s">
        <v>1472</v>
      </c>
      <c r="E296" s="1048">
        <v>2</v>
      </c>
      <c r="F296" s="1049">
        <f>(30)*0.3048</f>
        <v>9.1440000000000001</v>
      </c>
      <c r="G296" s="1049"/>
      <c r="H296" s="1169" t="s">
        <v>2522</v>
      </c>
      <c r="I296" s="1049">
        <f>ROUND(C296*E296*F296*0.5,2)</f>
        <v>9.14</v>
      </c>
      <c r="J296" s="1049"/>
      <c r="K296" s="1049"/>
      <c r="L296" s="1049"/>
      <c r="M296" s="1049"/>
      <c r="N296" s="1087"/>
      <c r="O296" s="1087"/>
    </row>
    <row r="297" spans="1:15" ht="14.1">
      <c r="A297" s="1046"/>
      <c r="B297" s="1061"/>
      <c r="C297" s="1048"/>
      <c r="D297" s="1048"/>
      <c r="E297" s="1048"/>
      <c r="F297" s="1049"/>
      <c r="G297" s="1049"/>
      <c r="H297" s="1049" t="s">
        <v>982</v>
      </c>
      <c r="I297" s="1052">
        <f>SUM(I293:I296)</f>
        <v>43.519999999999996</v>
      </c>
      <c r="J297" s="1049">
        <f>Datas!E706</f>
        <v>439.762</v>
      </c>
      <c r="K297" s="1053">
        <f>ROUND(J297*I297/10,0)</f>
        <v>1914</v>
      </c>
      <c r="L297" s="1049">
        <f>0.12*9+1.1*8</f>
        <v>9.8800000000000008</v>
      </c>
      <c r="M297" s="1055">
        <f>L297*I297</f>
        <v>429.9776</v>
      </c>
      <c r="N297" s="1087">
        <f>(0.22*9)</f>
        <v>1.98</v>
      </c>
      <c r="O297" s="1087">
        <f>ROUND(I297*N297,0)</f>
        <v>86</v>
      </c>
    </row>
    <row r="298" spans="1:15" ht="14.1">
      <c r="A298" s="1046"/>
      <c r="B298" s="1061"/>
      <c r="C298" s="1048"/>
      <c r="D298" s="1048"/>
      <c r="E298" s="1048"/>
      <c r="F298" s="1049"/>
      <c r="G298" s="1049"/>
      <c r="H298" s="1049"/>
      <c r="I298" s="1053" t="s">
        <v>1478</v>
      </c>
      <c r="J298" s="1053" t="s">
        <v>37</v>
      </c>
      <c r="K298" s="1053"/>
      <c r="L298" s="1049"/>
      <c r="M298" s="1049"/>
      <c r="N298" s="1087"/>
      <c r="O298" s="1087"/>
    </row>
    <row r="299" spans="1:15" ht="133.5" customHeight="1">
      <c r="A299" s="1085">
        <v>16</v>
      </c>
      <c r="B299" s="2415" t="s">
        <v>2453</v>
      </c>
      <c r="C299" s="2416"/>
      <c r="D299" s="2416"/>
      <c r="E299" s="2416"/>
      <c r="F299" s="2416"/>
      <c r="G299" s="2416"/>
      <c r="H299" s="2416"/>
      <c r="I299" s="2417"/>
      <c r="J299" s="1049"/>
      <c r="K299" s="1049"/>
      <c r="L299" s="1049"/>
      <c r="M299" s="1049"/>
      <c r="N299" s="1087"/>
      <c r="O299" s="1087"/>
    </row>
    <row r="300" spans="1:15" ht="14.1">
      <c r="A300" s="1046"/>
      <c r="B300" s="1174" t="s">
        <v>2319</v>
      </c>
      <c r="C300" s="1048">
        <v>1</v>
      </c>
      <c r="D300" s="1048" t="s">
        <v>1472</v>
      </c>
      <c r="E300" s="1048">
        <v>1</v>
      </c>
      <c r="F300" s="1049">
        <f>10*0.3048</f>
        <v>3.048</v>
      </c>
      <c r="G300" s="1084">
        <v>1</v>
      </c>
      <c r="H300" s="1049">
        <f>9*0.3048</f>
        <v>2.7432000000000003</v>
      </c>
      <c r="I300" s="1049">
        <f>ROUND(C300*E300*F300*G300*H300,2)</f>
        <v>8.36</v>
      </c>
      <c r="J300" s="1049"/>
      <c r="K300" s="1049"/>
      <c r="L300" s="1049"/>
      <c r="M300" s="1049"/>
      <c r="N300" s="1087"/>
      <c r="O300" s="1087"/>
    </row>
    <row r="301" spans="1:15" ht="14.1">
      <c r="A301" s="1046"/>
      <c r="B301" s="1178" t="s">
        <v>2321</v>
      </c>
      <c r="C301" s="1048">
        <v>1</v>
      </c>
      <c r="D301" s="1048" t="s">
        <v>1472</v>
      </c>
      <c r="E301" s="1048">
        <v>2</v>
      </c>
      <c r="F301" s="1049">
        <f>(60.75-3)*0.3048</f>
        <v>17.6022</v>
      </c>
      <c r="G301" s="1049"/>
      <c r="H301" s="1049"/>
      <c r="I301" s="1049">
        <f>ROUND(C301*E301*F301,2)</f>
        <v>35.200000000000003</v>
      </c>
      <c r="J301" s="1049"/>
      <c r="K301" s="1049"/>
      <c r="L301" s="1049"/>
      <c r="M301" s="1068"/>
      <c r="N301" s="1087"/>
      <c r="O301" s="1087"/>
    </row>
    <row r="302" spans="1:15" ht="14.1">
      <c r="A302" s="1046"/>
      <c r="B302" s="1178" t="s">
        <v>2321</v>
      </c>
      <c r="C302" s="1048">
        <v>1</v>
      </c>
      <c r="D302" s="1048" t="s">
        <v>1472</v>
      </c>
      <c r="E302" s="1048">
        <v>1</v>
      </c>
      <c r="F302" s="1049">
        <f>22*0.3048</f>
        <v>6.7056000000000004</v>
      </c>
      <c r="G302" s="1049"/>
      <c r="H302" s="1049"/>
      <c r="I302" s="1049">
        <f>ROUND(C302*E302*F302,2)</f>
        <v>6.71</v>
      </c>
      <c r="J302" s="1049"/>
      <c r="K302" s="1049"/>
      <c r="L302" s="1049"/>
      <c r="M302" s="1068"/>
      <c r="N302" s="1087"/>
      <c r="O302" s="1087"/>
    </row>
    <row r="303" spans="1:15" ht="14.1">
      <c r="A303" s="1046"/>
      <c r="B303" s="1178" t="s">
        <v>2465</v>
      </c>
      <c r="C303" s="1048">
        <v>1</v>
      </c>
      <c r="D303" s="1048" t="s">
        <v>1472</v>
      </c>
      <c r="E303" s="1048">
        <v>2</v>
      </c>
      <c r="F303" s="1049">
        <v>1.8</v>
      </c>
      <c r="G303" s="1049"/>
      <c r="H303" s="1049"/>
      <c r="I303" s="1049">
        <f>ROUND(C303*E303*F303,2)</f>
        <v>3.6</v>
      </c>
      <c r="J303" s="1049"/>
      <c r="K303" s="1049"/>
      <c r="L303" s="1049"/>
      <c r="M303" s="1068"/>
      <c r="N303" s="1087"/>
      <c r="O303" s="1087"/>
    </row>
    <row r="304" spans="1:15" ht="14.1">
      <c r="A304" s="1046"/>
      <c r="B304" s="1178"/>
      <c r="C304" s="1048"/>
      <c r="D304" s="1048"/>
      <c r="E304" s="1048"/>
      <c r="F304" s="1049"/>
      <c r="G304" s="1049"/>
      <c r="H304" s="1049" t="s">
        <v>982</v>
      </c>
      <c r="I304" s="1052">
        <f>SUM(I300:I303)</f>
        <v>53.870000000000005</v>
      </c>
      <c r="J304" s="1049">
        <f>Datas!E654</f>
        <v>1489.73</v>
      </c>
      <c r="K304" s="1053">
        <f>ROUND(J304*I304/10,0)</f>
        <v>8025</v>
      </c>
      <c r="L304" s="1049">
        <f>0.12*9+1.1*8</f>
        <v>9.8800000000000008</v>
      </c>
      <c r="M304" s="1055">
        <f>L304*I304</f>
        <v>532.23560000000009</v>
      </c>
      <c r="N304" s="1087">
        <f>(0.15*9)</f>
        <v>1.3499999999999999</v>
      </c>
      <c r="O304" s="1087">
        <f>ROUND(I304*N304,0)</f>
        <v>73</v>
      </c>
    </row>
    <row r="305" spans="1:15" ht="14.1">
      <c r="A305" s="1046"/>
      <c r="B305" s="1061"/>
      <c r="C305" s="1048"/>
      <c r="D305" s="1048"/>
      <c r="E305" s="1048"/>
      <c r="F305" s="1049"/>
      <c r="G305" s="1049"/>
      <c r="H305" s="1049"/>
      <c r="I305" s="1053" t="s">
        <v>1478</v>
      </c>
      <c r="J305" s="1053" t="s">
        <v>37</v>
      </c>
      <c r="K305" s="1053"/>
      <c r="L305" s="1049"/>
      <c r="M305" s="1049"/>
      <c r="N305" s="1087"/>
      <c r="O305" s="1087"/>
    </row>
    <row r="306" spans="1:15" ht="119.25" customHeight="1">
      <c r="A306" s="1085">
        <v>17</v>
      </c>
      <c r="B306" s="2415" t="s">
        <v>2454</v>
      </c>
      <c r="C306" s="2416"/>
      <c r="D306" s="2416"/>
      <c r="E306" s="2416"/>
      <c r="F306" s="2416"/>
      <c r="G306" s="2416"/>
      <c r="H306" s="2416"/>
      <c r="I306" s="2417"/>
      <c r="J306" s="1049"/>
      <c r="K306" s="1049"/>
      <c r="L306" s="1049"/>
      <c r="M306" s="1049"/>
      <c r="N306" s="1087"/>
      <c r="O306" s="1087"/>
    </row>
    <row r="307" spans="1:15" ht="14.1">
      <c r="A307" s="1046"/>
      <c r="B307" s="1226" t="s">
        <v>2319</v>
      </c>
      <c r="C307" s="1048">
        <v>1</v>
      </c>
      <c r="D307" s="1048" t="s">
        <v>1472</v>
      </c>
      <c r="E307" s="1048">
        <v>1</v>
      </c>
      <c r="F307" s="1049">
        <f>14*0.3048</f>
        <v>4.2671999999999999</v>
      </c>
      <c r="G307" s="1084">
        <v>1</v>
      </c>
      <c r="H307" s="1049">
        <f>13.5*0.3048</f>
        <v>4.1147999999999998</v>
      </c>
      <c r="I307" s="1049">
        <f>ROUND(C307*E307*F307*G307*H307,2)</f>
        <v>17.559999999999999</v>
      </c>
      <c r="J307" s="1049"/>
      <c r="K307" s="1049"/>
      <c r="L307" s="1049"/>
      <c r="M307" s="1049"/>
      <c r="N307" s="1087"/>
      <c r="O307" s="1087"/>
    </row>
    <row r="308" spans="1:15" ht="14.1">
      <c r="A308" s="1046"/>
      <c r="B308" s="1061"/>
      <c r="C308" s="1048"/>
      <c r="D308" s="1048"/>
      <c r="E308" s="1048"/>
      <c r="F308" s="1049"/>
      <c r="G308" s="1049"/>
      <c r="H308" s="1049" t="s">
        <v>982</v>
      </c>
      <c r="I308" s="1052">
        <f>I307</f>
        <v>17.559999999999999</v>
      </c>
      <c r="J308" s="1049">
        <f>Datas!E867</f>
        <v>489.39799999999997</v>
      </c>
      <c r="K308" s="1053">
        <f>ROUND(J308*I308/10,0)</f>
        <v>859</v>
      </c>
      <c r="L308" s="1049">
        <f>0.12*9+1.1*8</f>
        <v>9.8800000000000008</v>
      </c>
      <c r="M308" s="1055">
        <f>L308*I308</f>
        <v>173.49279999999999</v>
      </c>
      <c r="N308" s="1087">
        <f>(0.21*9)</f>
        <v>1.89</v>
      </c>
      <c r="O308" s="1087">
        <f>ROUND(I308*N308,0)</f>
        <v>33</v>
      </c>
    </row>
    <row r="309" spans="1:15" ht="14.1">
      <c r="A309" s="1046"/>
      <c r="B309" s="1061"/>
      <c r="C309" s="1048"/>
      <c r="D309" s="1048"/>
      <c r="E309" s="1048"/>
      <c r="F309" s="1049"/>
      <c r="G309" s="1049"/>
      <c r="H309" s="1049"/>
      <c r="I309" s="1053" t="s">
        <v>1478</v>
      </c>
      <c r="J309" s="1053" t="s">
        <v>37</v>
      </c>
      <c r="K309" s="1053"/>
      <c r="L309" s="1049"/>
      <c r="M309" s="1049"/>
      <c r="N309" s="1087"/>
      <c r="O309" s="1087"/>
    </row>
    <row r="310" spans="1:15" ht="131.25" customHeight="1">
      <c r="A310" s="1085">
        <v>18</v>
      </c>
      <c r="B310" s="2415" t="s">
        <v>2455</v>
      </c>
      <c r="C310" s="2426"/>
      <c r="D310" s="2426"/>
      <c r="E310" s="2426"/>
      <c r="F310" s="2426"/>
      <c r="G310" s="2426"/>
      <c r="H310" s="2426"/>
      <c r="I310" s="2427"/>
      <c r="J310" s="1049"/>
      <c r="K310" s="1049"/>
      <c r="L310" s="1049"/>
      <c r="M310" s="1049"/>
      <c r="N310" s="1087"/>
      <c r="O310" s="1087"/>
    </row>
    <row r="311" spans="1:15" ht="14.1">
      <c r="A311" s="1046"/>
      <c r="B311" s="1178" t="s">
        <v>2018</v>
      </c>
      <c r="C311" s="1048">
        <v>1</v>
      </c>
      <c r="D311" s="1048" t="s">
        <v>1472</v>
      </c>
      <c r="E311" s="1048">
        <v>1</v>
      </c>
      <c r="F311" s="1049">
        <f>(46.5)*0.3048</f>
        <v>14.173200000000001</v>
      </c>
      <c r="G311" s="1049">
        <f>(31.5-1.5)*0.3048</f>
        <v>9.1440000000000001</v>
      </c>
      <c r="H311" s="1069"/>
      <c r="I311" s="1049">
        <f>ROUND(C311*E311*F311*G311,2)</f>
        <v>129.6</v>
      </c>
      <c r="J311" s="1049"/>
      <c r="K311" s="1049"/>
      <c r="L311" s="1049"/>
      <c r="M311" s="1049"/>
      <c r="N311" s="1087"/>
      <c r="O311" s="1087"/>
    </row>
    <row r="312" spans="1:15" ht="14.1">
      <c r="A312" s="1046"/>
      <c r="B312" s="1178" t="s">
        <v>2137</v>
      </c>
      <c r="C312" s="1048">
        <v>1</v>
      </c>
      <c r="D312" s="1048" t="s">
        <v>1472</v>
      </c>
      <c r="E312" s="1048">
        <v>1</v>
      </c>
      <c r="F312" s="1049">
        <f>(12)*0.3048</f>
        <v>3.6576000000000004</v>
      </c>
      <c r="G312" s="1049">
        <f>(12)*0.3048</f>
        <v>3.6576000000000004</v>
      </c>
      <c r="H312" s="1069"/>
      <c r="I312" s="1049">
        <f>ROUND(C312*E312*F312*G312,2)</f>
        <v>13.38</v>
      </c>
      <c r="J312" s="1049"/>
      <c r="K312" s="1049"/>
      <c r="L312" s="1049"/>
      <c r="M312" s="1049"/>
      <c r="N312" s="1087"/>
      <c r="O312" s="1087"/>
    </row>
    <row r="313" spans="1:15" ht="14.1">
      <c r="A313" s="1046"/>
      <c r="B313" s="1178" t="s">
        <v>2138</v>
      </c>
      <c r="C313" s="1048">
        <v>1</v>
      </c>
      <c r="D313" s="1048" t="s">
        <v>1472</v>
      </c>
      <c r="E313" s="1048">
        <v>1</v>
      </c>
      <c r="F313" s="1049">
        <f>(17.625)*0.3048</f>
        <v>5.3721000000000005</v>
      </c>
      <c r="G313" s="1049">
        <f>(12)*0.3048</f>
        <v>3.6576000000000004</v>
      </c>
      <c r="H313" s="1069"/>
      <c r="I313" s="1049">
        <f>ROUND(C313*E313*F313*G313,2)</f>
        <v>19.649999999999999</v>
      </c>
      <c r="J313" s="1049"/>
      <c r="K313" s="1049"/>
      <c r="L313" s="1049"/>
      <c r="M313" s="1049"/>
      <c r="N313" s="1087"/>
      <c r="O313" s="1087"/>
    </row>
    <row r="314" spans="1:15" ht="14.1">
      <c r="A314" s="1046"/>
      <c r="B314" s="1178" t="s">
        <v>2262</v>
      </c>
      <c r="C314" s="1048">
        <v>1</v>
      </c>
      <c r="D314" s="1048" t="s">
        <v>1472</v>
      </c>
      <c r="E314" s="1048">
        <v>1</v>
      </c>
      <c r="F314" s="1049">
        <f>(31.5-12)*0.3048</f>
        <v>5.9436</v>
      </c>
      <c r="G314" s="1049">
        <f>(7)*0.3048</f>
        <v>2.1335999999999999</v>
      </c>
      <c r="H314" s="1069"/>
      <c r="I314" s="1049">
        <f>ROUND(C314*E314*F314*G314,2)</f>
        <v>12.68</v>
      </c>
      <c r="J314" s="1049"/>
      <c r="K314" s="1049"/>
      <c r="L314" s="1049"/>
      <c r="M314" s="1049"/>
      <c r="N314" s="1087"/>
      <c r="O314" s="1087"/>
    </row>
    <row r="315" spans="1:15" ht="14.1">
      <c r="A315" s="1046"/>
      <c r="B315" s="1178" t="s">
        <v>2414</v>
      </c>
      <c r="C315" s="1048">
        <v>1</v>
      </c>
      <c r="D315" s="1048" t="s">
        <v>1472</v>
      </c>
      <c r="E315" s="1048">
        <v>2</v>
      </c>
      <c r="F315" s="1049">
        <v>1.65</v>
      </c>
      <c r="G315" s="1049">
        <v>1.35</v>
      </c>
      <c r="H315" s="1069"/>
      <c r="I315" s="1049">
        <f>ROUND(C315*E315*F315*G315,2)</f>
        <v>4.46</v>
      </c>
      <c r="J315" s="1049"/>
      <c r="K315" s="1049"/>
      <c r="L315" s="1049"/>
      <c r="M315" s="1049"/>
      <c r="N315" s="1087"/>
      <c r="O315" s="1087"/>
    </row>
    <row r="316" spans="1:15" ht="14.1">
      <c r="A316" s="1046"/>
      <c r="B316" s="1227" t="s">
        <v>421</v>
      </c>
      <c r="C316" s="1048"/>
      <c r="D316" s="1048"/>
      <c r="E316" s="1048"/>
      <c r="F316" s="1049"/>
      <c r="G316" s="1049"/>
      <c r="H316" s="1049"/>
      <c r="I316" s="1049"/>
      <c r="J316" s="1049"/>
      <c r="K316" s="1049"/>
      <c r="L316" s="1049"/>
      <c r="M316" s="1049"/>
      <c r="N316" s="1087"/>
      <c r="O316" s="1087"/>
    </row>
    <row r="317" spans="1:15" ht="14.1">
      <c r="A317" s="1046"/>
      <c r="B317" s="1179" t="s">
        <v>2185</v>
      </c>
      <c r="C317" s="1048">
        <v>1</v>
      </c>
      <c r="D317" s="1048" t="s">
        <v>1472</v>
      </c>
      <c r="E317" s="1048">
        <v>1</v>
      </c>
      <c r="F317" s="1049">
        <f>(31.5-6)*0.3048</f>
        <v>7.7724000000000002</v>
      </c>
      <c r="G317" s="1049"/>
      <c r="H317" s="1049">
        <v>0.45</v>
      </c>
      <c r="I317" s="1049">
        <f>ROUND(C317*E317*F317*H317,2)</f>
        <v>3.5</v>
      </c>
      <c r="J317" s="1049"/>
      <c r="K317" s="1049"/>
      <c r="L317" s="1049"/>
      <c r="M317" s="1049"/>
      <c r="N317" s="1049"/>
      <c r="O317" s="1087"/>
    </row>
    <row r="318" spans="1:15" ht="14.1">
      <c r="A318" s="1046"/>
      <c r="B318" s="1179" t="s">
        <v>2186</v>
      </c>
      <c r="C318" s="1048">
        <v>1</v>
      </c>
      <c r="D318" s="1048" t="s">
        <v>1472</v>
      </c>
      <c r="E318" s="1048">
        <v>1</v>
      </c>
      <c r="F318" s="1049">
        <f>(31.5-6-2)*0.3048</f>
        <v>7.1628000000000007</v>
      </c>
      <c r="G318" s="1049"/>
      <c r="H318" s="1049">
        <v>0.45</v>
      </c>
      <c r="I318" s="1049">
        <f t="shared" ref="I318:I324" si="14">ROUND(C318*E318*F318*H318,2)</f>
        <v>3.22</v>
      </c>
      <c r="J318" s="1049"/>
      <c r="K318" s="1049"/>
      <c r="L318" s="1049"/>
      <c r="M318" s="1049"/>
      <c r="N318" s="1049"/>
      <c r="O318" s="1087"/>
    </row>
    <row r="319" spans="1:15" ht="14.1">
      <c r="A319" s="1046"/>
      <c r="B319" s="1179" t="s">
        <v>2187</v>
      </c>
      <c r="C319" s="1048">
        <v>1</v>
      </c>
      <c r="D319" s="1048" t="s">
        <v>1472</v>
      </c>
      <c r="E319" s="1048">
        <v>1</v>
      </c>
      <c r="F319" s="1049">
        <f>(31.5-6-2-2)*0.3048</f>
        <v>6.5532000000000004</v>
      </c>
      <c r="G319" s="1049"/>
      <c r="H319" s="1049">
        <v>0.45</v>
      </c>
      <c r="I319" s="1049">
        <f t="shared" si="14"/>
        <v>2.95</v>
      </c>
      <c r="J319" s="1049"/>
      <c r="K319" s="1049"/>
      <c r="L319" s="1049"/>
      <c r="M319" s="1049"/>
      <c r="N319" s="1049"/>
      <c r="O319" s="1087"/>
    </row>
    <row r="320" spans="1:15" ht="14.1">
      <c r="A320" s="1046"/>
      <c r="B320" s="1179" t="s">
        <v>2188</v>
      </c>
      <c r="C320" s="1048">
        <v>1</v>
      </c>
      <c r="D320" s="1048" t="s">
        <v>1472</v>
      </c>
      <c r="E320" s="1048">
        <v>1</v>
      </c>
      <c r="F320" s="1049">
        <f>(31.5-6-2-2-2)*0.3048</f>
        <v>5.9436</v>
      </c>
      <c r="G320" s="1049"/>
      <c r="H320" s="1049">
        <v>0.45</v>
      </c>
      <c r="I320" s="1049">
        <f t="shared" si="14"/>
        <v>2.67</v>
      </c>
      <c r="J320" s="1049"/>
      <c r="K320" s="1049"/>
      <c r="L320" s="1049"/>
      <c r="M320" s="1049"/>
      <c r="N320" s="1049"/>
      <c r="O320" s="1087"/>
    </row>
    <row r="321" spans="1:15" ht="14.1">
      <c r="A321" s="1046"/>
      <c r="B321" s="1179" t="s">
        <v>2189</v>
      </c>
      <c r="C321" s="1048">
        <v>1</v>
      </c>
      <c r="D321" s="1048" t="s">
        <v>1472</v>
      </c>
      <c r="E321" s="1048">
        <v>2</v>
      </c>
      <c r="F321" s="1049">
        <f>(10)*0.3048</f>
        <v>3.048</v>
      </c>
      <c r="G321" s="1049"/>
      <c r="H321" s="1049">
        <v>0.45</v>
      </c>
      <c r="I321" s="1049">
        <f t="shared" si="14"/>
        <v>2.74</v>
      </c>
      <c r="J321" s="1049"/>
      <c r="K321" s="1049"/>
      <c r="L321" s="1049"/>
      <c r="M321" s="1049"/>
      <c r="N321" s="1049"/>
      <c r="O321" s="1087"/>
    </row>
    <row r="322" spans="1:15" ht="14.1">
      <c r="A322" s="1046"/>
      <c r="B322" s="1179" t="s">
        <v>2190</v>
      </c>
      <c r="C322" s="1048">
        <v>1</v>
      </c>
      <c r="D322" s="1048" t="s">
        <v>1472</v>
      </c>
      <c r="E322" s="1048">
        <v>2</v>
      </c>
      <c r="F322" s="1049">
        <f>(10-1)*0.3048</f>
        <v>2.7432000000000003</v>
      </c>
      <c r="G322" s="1049"/>
      <c r="H322" s="1049">
        <v>0.45</v>
      </c>
      <c r="I322" s="1049">
        <f t="shared" si="14"/>
        <v>2.4700000000000002</v>
      </c>
      <c r="J322" s="1049"/>
      <c r="K322" s="1049"/>
      <c r="L322" s="1049"/>
      <c r="M322" s="1049"/>
      <c r="N322" s="1049"/>
      <c r="O322" s="1087"/>
    </row>
    <row r="323" spans="1:15" ht="14.1">
      <c r="A323" s="1046"/>
      <c r="B323" s="1179" t="s">
        <v>2191</v>
      </c>
      <c r="C323" s="1048">
        <v>1</v>
      </c>
      <c r="D323" s="1048" t="s">
        <v>1472</v>
      </c>
      <c r="E323" s="1048">
        <v>2</v>
      </c>
      <c r="F323" s="1049">
        <f>(10-2)*0.3048</f>
        <v>2.4384000000000001</v>
      </c>
      <c r="G323" s="1049"/>
      <c r="H323" s="1049">
        <v>0.45</v>
      </c>
      <c r="I323" s="1049">
        <f t="shared" si="14"/>
        <v>2.19</v>
      </c>
      <c r="J323" s="1049"/>
      <c r="K323" s="1049"/>
      <c r="L323" s="1049"/>
      <c r="M323" s="1049"/>
      <c r="N323" s="1049"/>
      <c r="O323" s="1087"/>
    </row>
    <row r="324" spans="1:15" ht="14.1">
      <c r="A324" s="1046"/>
      <c r="B324" s="1179" t="s">
        <v>2192</v>
      </c>
      <c r="C324" s="1048">
        <v>1</v>
      </c>
      <c r="D324" s="1048" t="s">
        <v>1472</v>
      </c>
      <c r="E324" s="1048">
        <v>2</v>
      </c>
      <c r="F324" s="1049">
        <f>(10-3)*0.3048</f>
        <v>2.1335999999999999</v>
      </c>
      <c r="G324" s="1049"/>
      <c r="H324" s="1049">
        <v>0.45</v>
      </c>
      <c r="I324" s="1049">
        <f t="shared" si="14"/>
        <v>1.92</v>
      </c>
      <c r="J324" s="1049"/>
      <c r="K324" s="1049"/>
      <c r="L324" s="1049"/>
      <c r="M324" s="1049"/>
      <c r="N324" s="1049"/>
      <c r="O324" s="1087"/>
    </row>
    <row r="325" spans="1:15">
      <c r="A325" s="1048"/>
      <c r="B325" s="1178" t="s">
        <v>2529</v>
      </c>
      <c r="C325" s="1048">
        <v>1</v>
      </c>
      <c r="D325" s="1048" t="s">
        <v>1472</v>
      </c>
      <c r="E325" s="1048">
        <v>1</v>
      </c>
      <c r="F325" s="1049">
        <v>1.8</v>
      </c>
      <c r="G325" s="1049">
        <v>0.23</v>
      </c>
      <c r="H325" s="1069"/>
      <c r="I325" s="1049">
        <f>ROUND(C325*E325*F325*G325,2)</f>
        <v>0.41</v>
      </c>
      <c r="J325" s="1049"/>
      <c r="K325" s="1049"/>
      <c r="L325" s="1049"/>
      <c r="M325" s="1049"/>
      <c r="N325" s="1087"/>
      <c r="O325" s="1087"/>
    </row>
    <row r="326" spans="1:15">
      <c r="A326" s="1048"/>
      <c r="B326" s="1178" t="s">
        <v>40</v>
      </c>
      <c r="C326" s="1048">
        <v>1</v>
      </c>
      <c r="D326" s="1048" t="s">
        <v>1472</v>
      </c>
      <c r="E326" s="1048">
        <v>2</v>
      </c>
      <c r="F326" s="1049">
        <v>1.5</v>
      </c>
      <c r="G326" s="1049">
        <v>0.23</v>
      </c>
      <c r="H326" s="1069"/>
      <c r="I326" s="1049">
        <f>ROUND(C326*E326*F326*G326,2)</f>
        <v>0.69</v>
      </c>
      <c r="J326" s="1049"/>
      <c r="K326" s="1049"/>
      <c r="L326" s="1049"/>
      <c r="M326" s="1049"/>
      <c r="N326" s="1087"/>
      <c r="O326" s="1087"/>
    </row>
    <row r="327" spans="1:15">
      <c r="A327" s="1048"/>
      <c r="B327" s="1178" t="s">
        <v>41</v>
      </c>
      <c r="C327" s="1048">
        <v>1</v>
      </c>
      <c r="D327" s="1048" t="s">
        <v>1472</v>
      </c>
      <c r="E327" s="1048">
        <v>2</v>
      </c>
      <c r="F327" s="1049">
        <v>0.9</v>
      </c>
      <c r="G327" s="1049">
        <v>0.23</v>
      </c>
      <c r="H327" s="1069"/>
      <c r="I327" s="1049">
        <f>ROUND(C327*E327*F327*G327,2)</f>
        <v>0.41</v>
      </c>
      <c r="J327" s="1049"/>
      <c r="K327" s="1049"/>
      <c r="L327" s="1049"/>
      <c r="M327" s="1049"/>
      <c r="N327" s="1087"/>
      <c r="O327" s="1087"/>
    </row>
    <row r="328" spans="1:15">
      <c r="A328" s="1048"/>
      <c r="B328" s="1178" t="s">
        <v>2530</v>
      </c>
      <c r="C328" s="1048">
        <v>1</v>
      </c>
      <c r="D328" s="1048" t="s">
        <v>1472</v>
      </c>
      <c r="E328" s="1048">
        <v>2</v>
      </c>
      <c r="F328" s="1049">
        <v>0.75</v>
      </c>
      <c r="G328" s="1049">
        <v>0.23</v>
      </c>
      <c r="H328" s="1069"/>
      <c r="I328" s="1049">
        <f>ROUND(C328*E328*F328*G328,2)</f>
        <v>0.35</v>
      </c>
      <c r="J328" s="1049"/>
      <c r="K328" s="1049"/>
      <c r="L328" s="1049"/>
      <c r="M328" s="1049"/>
      <c r="N328" s="1087"/>
      <c r="O328" s="1087"/>
    </row>
    <row r="329" spans="1:15" ht="14.1">
      <c r="A329" s="1046"/>
      <c r="B329" s="1061"/>
      <c r="C329" s="1048"/>
      <c r="D329" s="1048"/>
      <c r="E329" s="1048"/>
      <c r="F329" s="1049"/>
      <c r="G329" s="1049"/>
      <c r="H329" s="1049" t="s">
        <v>982</v>
      </c>
      <c r="I329" s="1052">
        <f>SUM(I311:I328)</f>
        <v>203.28999999999996</v>
      </c>
      <c r="J329" s="1049">
        <f>Datas!$G$844</f>
        <v>8348.74</v>
      </c>
      <c r="K329" s="1053">
        <f>ROUND(J329*I329/10,0)</f>
        <v>169722</v>
      </c>
      <c r="L329" s="1049">
        <f>0.12*9+1.1*8</f>
        <v>9.8800000000000008</v>
      </c>
      <c r="M329" s="1055">
        <f>L329*I329</f>
        <v>2008.5051999999998</v>
      </c>
      <c r="N329" s="1087">
        <f>(0.12*9+1.1*8)</f>
        <v>9.8800000000000008</v>
      </c>
      <c r="O329" s="1087">
        <f>ROUND(I329*N329,0)</f>
        <v>2009</v>
      </c>
    </row>
    <row r="330" spans="1:15" ht="14.1">
      <c r="A330" s="1046"/>
      <c r="B330" s="1061"/>
      <c r="C330" s="1048"/>
      <c r="D330" s="1048"/>
      <c r="E330" s="1048"/>
      <c r="F330" s="1049"/>
      <c r="G330" s="1049"/>
      <c r="H330" s="1049"/>
      <c r="I330" s="1053" t="s">
        <v>1478</v>
      </c>
      <c r="J330" s="1053" t="s">
        <v>37</v>
      </c>
      <c r="K330" s="1053"/>
      <c r="L330" s="1049"/>
      <c r="M330" s="1049"/>
      <c r="N330" s="1087"/>
      <c r="O330" s="1087"/>
    </row>
    <row r="331" spans="1:15" ht="75.75" customHeight="1">
      <c r="A331" s="1085">
        <v>19</v>
      </c>
      <c r="B331" s="2415" t="s">
        <v>2456</v>
      </c>
      <c r="C331" s="2426"/>
      <c r="D331" s="2426"/>
      <c r="E331" s="2426"/>
      <c r="F331" s="2426"/>
      <c r="G331" s="2426"/>
      <c r="H331" s="2426"/>
      <c r="I331" s="2427"/>
      <c r="J331" s="1049"/>
      <c r="K331" s="1049"/>
      <c r="L331" s="1049"/>
      <c r="M331" s="1049"/>
      <c r="N331" s="1087"/>
      <c r="O331" s="1087"/>
    </row>
    <row r="332" spans="1:15" ht="14.1">
      <c r="A332" s="1046"/>
      <c r="B332" s="1178" t="s">
        <v>2193</v>
      </c>
      <c r="C332" s="1048">
        <v>1</v>
      </c>
      <c r="D332" s="1048" t="s">
        <v>1472</v>
      </c>
      <c r="E332" s="1048">
        <v>2</v>
      </c>
      <c r="F332" s="1049">
        <f>(54.5)*0.3048</f>
        <v>16.611599999999999</v>
      </c>
      <c r="G332" s="1049">
        <v>1.2</v>
      </c>
      <c r="H332" s="1069"/>
      <c r="I332" s="1049">
        <f>ROUND(C332*E332*F332*G332,2)</f>
        <v>39.869999999999997</v>
      </c>
      <c r="J332" s="1049"/>
      <c r="K332" s="1049"/>
      <c r="L332" s="1049"/>
      <c r="M332" s="1049"/>
      <c r="N332" s="1087"/>
      <c r="O332" s="1087"/>
    </row>
    <row r="333" spans="1:15" ht="14.1">
      <c r="A333" s="1046"/>
      <c r="B333" s="1178" t="s">
        <v>2194</v>
      </c>
      <c r="C333" s="1048">
        <v>1</v>
      </c>
      <c r="D333" s="1048" t="s">
        <v>1472</v>
      </c>
      <c r="E333" s="1048">
        <v>2</v>
      </c>
      <c r="F333" s="1049">
        <v>1.8</v>
      </c>
      <c r="G333" s="1049">
        <v>1.2</v>
      </c>
      <c r="H333" s="1069"/>
      <c r="I333" s="1049">
        <f>ROUND(C333*E333*F333*G333,2)</f>
        <v>4.32</v>
      </c>
      <c r="J333" s="1049"/>
      <c r="K333" s="1049"/>
      <c r="L333" s="1049"/>
      <c r="M333" s="1049"/>
      <c r="N333" s="1087"/>
      <c r="O333" s="1087"/>
    </row>
    <row r="334" spans="1:15" ht="14.1">
      <c r="A334" s="1046"/>
      <c r="B334" s="1178" t="s">
        <v>2421</v>
      </c>
      <c r="C334" s="1048">
        <v>1</v>
      </c>
      <c r="D334" s="1048" t="s">
        <v>1472</v>
      </c>
      <c r="E334" s="1048">
        <v>2</v>
      </c>
      <c r="F334" s="1049">
        <v>3</v>
      </c>
      <c r="G334" s="1049">
        <v>1.2</v>
      </c>
      <c r="H334" s="1069"/>
      <c r="I334" s="1049">
        <f>ROUND(C334*E334*F334*G334,2)</f>
        <v>7.2</v>
      </c>
      <c r="J334" s="1049"/>
      <c r="K334" s="1049"/>
      <c r="L334" s="1049"/>
      <c r="M334" s="1068"/>
      <c r="N334" s="1087"/>
      <c r="O334" s="1087"/>
    </row>
    <row r="335" spans="1:15" ht="14.1">
      <c r="A335" s="1046"/>
      <c r="B335" s="1061"/>
      <c r="C335" s="1048"/>
      <c r="D335" s="1048"/>
      <c r="E335" s="1048"/>
      <c r="F335" s="1049"/>
      <c r="G335" s="1049"/>
      <c r="H335" s="1049" t="s">
        <v>982</v>
      </c>
      <c r="I335" s="1052">
        <f>SUM(I332:I334)</f>
        <v>51.39</v>
      </c>
      <c r="J335" s="1049">
        <f>Datas!G1265</f>
        <v>9150.58</v>
      </c>
      <c r="K335" s="1053">
        <f>ROUND(J335*I335/10,0)</f>
        <v>47025</v>
      </c>
      <c r="L335" s="1049">
        <f>0.12*9+1.1*8</f>
        <v>9.8800000000000008</v>
      </c>
      <c r="M335" s="1055">
        <f>L335*I335</f>
        <v>507.73320000000007</v>
      </c>
      <c r="N335" s="1087">
        <f>(10.8)</f>
        <v>10.8</v>
      </c>
      <c r="O335" s="1087">
        <f>ROUND(I335*N335,0)</f>
        <v>555</v>
      </c>
    </row>
    <row r="336" spans="1:15" ht="14.1">
      <c r="A336" s="1046"/>
      <c r="B336" s="1061"/>
      <c r="C336" s="1048"/>
      <c r="D336" s="1048"/>
      <c r="E336" s="1048"/>
      <c r="F336" s="1049"/>
      <c r="G336" s="1049"/>
      <c r="H336" s="1049"/>
      <c r="I336" s="1053" t="s">
        <v>1478</v>
      </c>
      <c r="J336" s="1053" t="s">
        <v>37</v>
      </c>
      <c r="K336" s="1053"/>
      <c r="L336" s="1049"/>
      <c r="M336" s="1049"/>
      <c r="N336" s="1087"/>
      <c r="O336" s="1087"/>
    </row>
    <row r="337" spans="1:15" ht="174" customHeight="1">
      <c r="A337" s="1085">
        <v>20</v>
      </c>
      <c r="B337" s="2428" t="s">
        <v>2457</v>
      </c>
      <c r="C337" s="2429"/>
      <c r="D337" s="2429"/>
      <c r="E337" s="2429"/>
      <c r="F337" s="2429"/>
      <c r="G337" s="2429"/>
      <c r="H337" s="2429"/>
      <c r="I337" s="2430"/>
      <c r="J337" s="1049"/>
      <c r="K337" s="1049"/>
      <c r="N337" s="1087"/>
      <c r="O337" s="1087"/>
    </row>
    <row r="338" spans="1:15" ht="14.1">
      <c r="A338" s="1088"/>
      <c r="B338" s="1089" t="s">
        <v>2034</v>
      </c>
      <c r="C338" s="1048">
        <v>1</v>
      </c>
      <c r="D338" s="1048" t="s">
        <v>1472</v>
      </c>
      <c r="E338" s="1048">
        <v>2</v>
      </c>
      <c r="F338" s="1049">
        <v>1.5</v>
      </c>
      <c r="G338" s="1049">
        <v>1.45</v>
      </c>
      <c r="H338" s="1069"/>
      <c r="I338" s="1049">
        <f>ROUND(C338*E338*F338*G338,2)</f>
        <v>4.3499999999999996</v>
      </c>
      <c r="J338" s="1049"/>
      <c r="K338" s="1049"/>
      <c r="N338" s="1087"/>
      <c r="O338" s="1087"/>
    </row>
    <row r="339" spans="1:15" ht="14.1">
      <c r="A339" s="1046"/>
      <c r="B339" s="1061"/>
      <c r="C339" s="1048"/>
      <c r="D339" s="1048"/>
      <c r="E339" s="1048"/>
      <c r="F339" s="1049"/>
      <c r="G339" s="1049"/>
      <c r="H339" s="1049" t="s">
        <v>982</v>
      </c>
      <c r="I339" s="1052">
        <f>SUM(I338)</f>
        <v>4.3499999999999996</v>
      </c>
      <c r="J339" s="1049">
        <f>Datas!$G$789</f>
        <v>8076.9498000000003</v>
      </c>
      <c r="K339" s="1053">
        <f>ROUND(J339*I339/10,0)</f>
        <v>3513</v>
      </c>
      <c r="L339" s="1049">
        <f>1.1*0+0.012*9</f>
        <v>0.108</v>
      </c>
      <c r="M339" s="1055">
        <f>L339*I339</f>
        <v>0.46979999999999994</v>
      </c>
      <c r="N339" s="1087">
        <f>(0.12*9)</f>
        <v>1.08</v>
      </c>
      <c r="O339" s="1087">
        <f>ROUND(I339*N339,0)</f>
        <v>5</v>
      </c>
    </row>
    <row r="340" spans="1:15" ht="14.1">
      <c r="A340" s="1046"/>
      <c r="B340" s="1061"/>
      <c r="C340" s="1048"/>
      <c r="D340" s="1048"/>
      <c r="E340" s="1048"/>
      <c r="F340" s="1049"/>
      <c r="G340" s="1049"/>
      <c r="H340" s="1049"/>
      <c r="I340" s="1053" t="s">
        <v>1478</v>
      </c>
      <c r="J340" s="1053" t="s">
        <v>37</v>
      </c>
      <c r="K340" s="1053"/>
      <c r="N340" s="1087"/>
      <c r="O340" s="1087"/>
    </row>
    <row r="341" spans="1:15" ht="115.5" customHeight="1">
      <c r="A341" s="1085">
        <v>21</v>
      </c>
      <c r="B341" s="2415" t="s">
        <v>2458</v>
      </c>
      <c r="C341" s="2416"/>
      <c r="D341" s="2416"/>
      <c r="E341" s="2416"/>
      <c r="F341" s="2416"/>
      <c r="G341" s="2416"/>
      <c r="H341" s="2416"/>
      <c r="I341" s="2417"/>
      <c r="J341" s="1049"/>
      <c r="K341" s="1049"/>
      <c r="N341" s="1087"/>
      <c r="O341" s="1087"/>
    </row>
    <row r="342" spans="1:15" ht="14.1">
      <c r="A342" s="1088"/>
      <c r="B342" s="1180" t="s">
        <v>2184</v>
      </c>
      <c r="C342" s="1048">
        <v>1</v>
      </c>
      <c r="D342" s="1048" t="s">
        <v>1472</v>
      </c>
      <c r="E342" s="1048">
        <v>2</v>
      </c>
      <c r="F342" s="1049">
        <f>2*1.5+2*1.45</f>
        <v>5.9</v>
      </c>
      <c r="G342" s="1090"/>
      <c r="H342" s="1049">
        <v>1.2</v>
      </c>
      <c r="I342" s="1049">
        <f>ROUND(C342*E342*F342*H342,2)</f>
        <v>14.16</v>
      </c>
      <c r="J342" s="1049"/>
      <c r="K342" s="1049"/>
      <c r="N342" s="1087"/>
      <c r="O342" s="1087"/>
    </row>
    <row r="343" spans="1:15" ht="14.1">
      <c r="A343" s="1088"/>
      <c r="B343" s="1180" t="s">
        <v>2035</v>
      </c>
      <c r="C343" s="1048">
        <v>-1</v>
      </c>
      <c r="D343" s="1048" t="s">
        <v>1472</v>
      </c>
      <c r="E343" s="1048">
        <v>2</v>
      </c>
      <c r="F343" s="1049">
        <v>0.75</v>
      </c>
      <c r="G343" s="1090"/>
      <c r="H343" s="1049">
        <v>1.2</v>
      </c>
      <c r="I343" s="1049">
        <f>ROUND(C343*E343*F343*H343,2)</f>
        <v>-1.8</v>
      </c>
      <c r="J343" s="1049"/>
      <c r="K343" s="1049"/>
      <c r="N343" s="1087"/>
      <c r="O343" s="1087"/>
    </row>
    <row r="344" spans="1:15" ht="14.1">
      <c r="A344" s="1046"/>
      <c r="B344" s="1061"/>
      <c r="C344" s="1048"/>
      <c r="D344" s="1048"/>
      <c r="E344" s="1048"/>
      <c r="F344" s="1049"/>
      <c r="G344" s="1049"/>
      <c r="H344" s="1049"/>
      <c r="I344" s="1052">
        <f>SUM(I342:I343)</f>
        <v>12.36</v>
      </c>
      <c r="J344" s="1049">
        <f>Datas!$G$806</f>
        <v>6385.4000000000005</v>
      </c>
      <c r="K344" s="1053">
        <f>ROUND(J344*I344/10,0)</f>
        <v>7892</v>
      </c>
      <c r="L344" s="1049">
        <f>0.012*9</f>
        <v>0.108</v>
      </c>
      <c r="M344" s="1055">
        <f>L344*I344</f>
        <v>1.3348799999999998</v>
      </c>
      <c r="N344" s="1087">
        <f>(0.12*9)</f>
        <v>1.08</v>
      </c>
      <c r="O344" s="1087">
        <f>ROUND(I344*N344,0)</f>
        <v>13</v>
      </c>
    </row>
    <row r="345" spans="1:15" ht="14.1">
      <c r="A345" s="1046"/>
      <c r="B345" s="1061"/>
      <c r="C345" s="1048"/>
      <c r="D345" s="1048"/>
      <c r="E345" s="1048"/>
      <c r="F345" s="1049"/>
      <c r="G345" s="1049"/>
      <c r="H345" s="1049"/>
      <c r="I345" s="1053" t="s">
        <v>1478</v>
      </c>
      <c r="J345" s="1053" t="s">
        <v>37</v>
      </c>
      <c r="K345" s="1053"/>
      <c r="L345" s="1049"/>
      <c r="M345" s="1055"/>
      <c r="N345" s="1087"/>
      <c r="O345" s="1087"/>
    </row>
    <row r="346" spans="1:15" ht="166.5" customHeight="1">
      <c r="A346" s="1085">
        <v>22</v>
      </c>
      <c r="B346" s="2415" t="s">
        <v>2459</v>
      </c>
      <c r="C346" s="2426"/>
      <c r="D346" s="2426"/>
      <c r="E346" s="2426"/>
      <c r="F346" s="2426"/>
      <c r="G346" s="2426"/>
      <c r="H346" s="2426"/>
      <c r="I346" s="2427"/>
      <c r="J346" s="1049"/>
      <c r="K346" s="1049"/>
      <c r="L346" s="1049"/>
      <c r="M346" s="1049"/>
      <c r="N346" s="1087"/>
      <c r="O346" s="1087"/>
    </row>
    <row r="347" spans="1:15" ht="14.1">
      <c r="A347" s="1046"/>
      <c r="B347" s="1178" t="s">
        <v>2141</v>
      </c>
      <c r="C347" s="1048">
        <v>1</v>
      </c>
      <c r="D347" s="1048" t="s">
        <v>1472</v>
      </c>
      <c r="E347" s="1048">
        <v>2</v>
      </c>
      <c r="F347" s="1049">
        <f>(46.5)*0.3048</f>
        <v>14.173200000000001</v>
      </c>
      <c r="G347" s="1049">
        <v>0.1</v>
      </c>
      <c r="H347" s="1069"/>
      <c r="I347" s="1049">
        <f>ROUND(C347*E347*F347*G347,2)</f>
        <v>2.83</v>
      </c>
      <c r="J347" s="1049"/>
      <c r="K347" s="1049"/>
      <c r="L347" s="1049"/>
      <c r="M347" s="1049"/>
      <c r="N347" s="1087"/>
      <c r="O347" s="1087"/>
    </row>
    <row r="348" spans="1:15" ht="14.1">
      <c r="A348" s="1046"/>
      <c r="B348" s="1178" t="s">
        <v>2142</v>
      </c>
      <c r="C348" s="1048">
        <v>1</v>
      </c>
      <c r="D348" s="1048" t="s">
        <v>1472</v>
      </c>
      <c r="E348" s="1048">
        <v>2</v>
      </c>
      <c r="F348" s="1049">
        <f>(30)*0.3048</f>
        <v>9.1440000000000001</v>
      </c>
      <c r="G348" s="1049">
        <v>0.1</v>
      </c>
      <c r="H348" s="1069"/>
      <c r="I348" s="1049">
        <f>ROUND(C348*E348*F348*G348,2)</f>
        <v>1.83</v>
      </c>
      <c r="J348" s="1049"/>
      <c r="K348" s="1049"/>
      <c r="L348" s="1049"/>
      <c r="M348" s="1049"/>
      <c r="N348" s="1087"/>
      <c r="O348" s="1087"/>
    </row>
    <row r="349" spans="1:15" ht="14.1">
      <c r="A349" s="1046"/>
      <c r="B349" s="1178" t="s">
        <v>2423</v>
      </c>
      <c r="C349" s="1048">
        <v>1</v>
      </c>
      <c r="D349" s="1048" t="s">
        <v>1472</v>
      </c>
      <c r="E349" s="1048">
        <v>2</v>
      </c>
      <c r="F349" s="1049">
        <f>(1.35+1.5+0.75)</f>
        <v>3.6</v>
      </c>
      <c r="G349" s="1049">
        <v>0.1</v>
      </c>
      <c r="H349" s="1069"/>
      <c r="I349" s="1049">
        <f>ROUND(C349*E349*F349*G349,2)</f>
        <v>0.72</v>
      </c>
      <c r="J349" s="1049"/>
      <c r="K349" s="1049"/>
      <c r="L349" s="1049"/>
      <c r="M349" s="1049"/>
      <c r="N349" s="1087"/>
      <c r="O349" s="1087"/>
    </row>
    <row r="350" spans="1:15" ht="14.1">
      <c r="A350" s="1046"/>
      <c r="B350" s="1178" t="s">
        <v>2473</v>
      </c>
      <c r="C350" s="1048">
        <v>1</v>
      </c>
      <c r="D350" s="1048" t="s">
        <v>1472</v>
      </c>
      <c r="E350" s="1048">
        <v>4</v>
      </c>
      <c r="F350" s="1049">
        <v>3.6</v>
      </c>
      <c r="G350" s="1049">
        <v>0.1</v>
      </c>
      <c r="H350" s="1069"/>
      <c r="I350" s="1049">
        <f>ROUND(C350*E350*F350*G350,2)</f>
        <v>1.44</v>
      </c>
      <c r="J350" s="1049"/>
      <c r="K350" s="1049"/>
      <c r="L350" s="1049"/>
      <c r="M350" s="1049"/>
      <c r="N350" s="1087"/>
      <c r="O350" s="1087"/>
    </row>
    <row r="351" spans="1:15" ht="14.1">
      <c r="A351" s="1046"/>
      <c r="B351" s="1178" t="s">
        <v>2474</v>
      </c>
      <c r="C351" s="1048">
        <v>1</v>
      </c>
      <c r="D351" s="1048" t="s">
        <v>1472</v>
      </c>
      <c r="E351" s="1048">
        <v>1</v>
      </c>
      <c r="F351" s="1049">
        <f>(3.6*2+5.33*2)</f>
        <v>17.86</v>
      </c>
      <c r="G351" s="1049">
        <v>0.1</v>
      </c>
      <c r="H351" s="1069"/>
      <c r="I351" s="1049">
        <f>ROUND(C351*E351*F351*G351,2)</f>
        <v>1.79</v>
      </c>
      <c r="J351" s="1049"/>
      <c r="K351" s="1049"/>
      <c r="L351" s="1049"/>
      <c r="M351" s="1049"/>
      <c r="N351" s="1087"/>
      <c r="O351" s="1087"/>
    </row>
    <row r="352" spans="1:15">
      <c r="A352" s="1048"/>
      <c r="B352" s="1178" t="s">
        <v>40</v>
      </c>
      <c r="C352" s="1048">
        <v>1</v>
      </c>
      <c r="D352" s="1048" t="s">
        <v>1472</v>
      </c>
      <c r="E352" s="1048">
        <v>1</v>
      </c>
      <c r="F352" s="1049">
        <v>1.8</v>
      </c>
      <c r="G352" s="1049">
        <v>0.1</v>
      </c>
      <c r="H352" s="1049"/>
      <c r="I352" s="1049">
        <f>-ROUND(C352*E352*F352*G352,2)</f>
        <v>-0.18</v>
      </c>
      <c r="J352" s="1049"/>
      <c r="K352" s="1049"/>
      <c r="L352" s="1049"/>
      <c r="M352" s="1049"/>
      <c r="N352" s="1087"/>
      <c r="O352" s="1087"/>
    </row>
    <row r="353" spans="1:15">
      <c r="A353" s="1048"/>
      <c r="B353" s="1178" t="s">
        <v>40</v>
      </c>
      <c r="C353" s="1048">
        <v>1</v>
      </c>
      <c r="D353" s="1048" t="s">
        <v>1472</v>
      </c>
      <c r="E353" s="1048">
        <v>2</v>
      </c>
      <c r="F353" s="1049">
        <v>1.5</v>
      </c>
      <c r="G353" s="1049">
        <v>0.1</v>
      </c>
      <c r="H353" s="1049"/>
      <c r="I353" s="1049">
        <f>-ROUND(C353*E353*F353*G353,2)</f>
        <v>-0.3</v>
      </c>
      <c r="J353" s="1049"/>
      <c r="K353" s="1049"/>
      <c r="L353" s="1049"/>
      <c r="M353" s="1049"/>
      <c r="N353" s="1087"/>
      <c r="O353" s="1087"/>
    </row>
    <row r="354" spans="1:15">
      <c r="A354" s="1048"/>
      <c r="B354" s="1178" t="s">
        <v>41</v>
      </c>
      <c r="C354" s="1048">
        <v>1</v>
      </c>
      <c r="D354" s="1048" t="s">
        <v>1472</v>
      </c>
      <c r="E354" s="1048">
        <v>2</v>
      </c>
      <c r="F354" s="1049">
        <v>0.9</v>
      </c>
      <c r="G354" s="1049">
        <v>0.1</v>
      </c>
      <c r="H354" s="1049"/>
      <c r="I354" s="1049">
        <f>-ROUND(C354*E354*F354*G354,2)</f>
        <v>-0.18</v>
      </c>
      <c r="J354" s="1049"/>
      <c r="K354" s="1049"/>
      <c r="L354" s="1049"/>
      <c r="M354" s="1049"/>
      <c r="N354" s="1087"/>
      <c r="O354" s="1087"/>
    </row>
    <row r="355" spans="1:15" ht="14.1">
      <c r="A355" s="1046"/>
      <c r="B355" s="1178"/>
      <c r="C355" s="1048"/>
      <c r="D355" s="1048"/>
      <c r="E355" s="1048"/>
      <c r="F355" s="1049"/>
      <c r="G355" s="1049"/>
      <c r="H355" s="1049" t="s">
        <v>982</v>
      </c>
      <c r="I355" s="1052">
        <f>SUM(I347:I354)</f>
        <v>7.9499999999999993</v>
      </c>
      <c r="J355" s="1049">
        <f>Datas!$G$844</f>
        <v>8348.74</v>
      </c>
      <c r="K355" s="1053">
        <f>ROUND(J355*I355/10,0)</f>
        <v>6637</v>
      </c>
      <c r="L355" s="1049">
        <f>0.12*9+1.1*8</f>
        <v>9.8800000000000008</v>
      </c>
      <c r="M355" s="1055">
        <f>L355*I355</f>
        <v>78.545999999999992</v>
      </c>
      <c r="N355" s="1087">
        <f>(0.12*9+1.1*8)</f>
        <v>9.8800000000000008</v>
      </c>
      <c r="O355" s="1087">
        <f>ROUND(I355*N355,0)</f>
        <v>79</v>
      </c>
    </row>
    <row r="356" spans="1:15" ht="14.1">
      <c r="A356" s="1046"/>
      <c r="B356" s="1061"/>
      <c r="C356" s="1048"/>
      <c r="D356" s="1048"/>
      <c r="E356" s="1048"/>
      <c r="F356" s="1049"/>
      <c r="G356" s="1049"/>
      <c r="H356" s="1049"/>
      <c r="I356" s="1053" t="s">
        <v>1478</v>
      </c>
      <c r="J356" s="1053" t="s">
        <v>37</v>
      </c>
      <c r="K356" s="1053"/>
      <c r="L356" s="1049"/>
      <c r="M356" s="1049"/>
      <c r="N356" s="1087"/>
      <c r="O356" s="1087"/>
    </row>
    <row r="357" spans="1:15" ht="116.25" customHeight="1">
      <c r="A357" s="1085">
        <v>23</v>
      </c>
      <c r="B357" s="2415" t="s">
        <v>2460</v>
      </c>
      <c r="C357" s="2416"/>
      <c r="D357" s="2416"/>
      <c r="E357" s="2416"/>
      <c r="F357" s="2416"/>
      <c r="G357" s="2416"/>
      <c r="H357" s="2416"/>
      <c r="I357" s="2417"/>
      <c r="J357" s="1049"/>
      <c r="K357" s="1049"/>
      <c r="L357" s="1049"/>
      <c r="M357" s="1049"/>
      <c r="N357" s="1087"/>
      <c r="O357" s="1087"/>
    </row>
    <row r="358" spans="1:15" ht="14.1">
      <c r="A358" s="1046"/>
      <c r="B358" s="1181" t="s">
        <v>2143</v>
      </c>
      <c r="C358" s="1080"/>
      <c r="D358" s="1080"/>
      <c r="E358" s="1080"/>
      <c r="F358" s="1080"/>
      <c r="G358" s="1055"/>
      <c r="H358" s="1080"/>
      <c r="I358" s="1081"/>
      <c r="J358" s="1049"/>
      <c r="K358" s="1049"/>
      <c r="L358" s="1049"/>
      <c r="M358" s="1049"/>
      <c r="N358" s="1087"/>
      <c r="O358" s="1087"/>
    </row>
    <row r="359" spans="1:15" s="1090" customFormat="1" ht="14.1">
      <c r="A359" s="1088"/>
      <c r="B359" s="1178" t="s">
        <v>2141</v>
      </c>
      <c r="C359" s="1048">
        <v>1</v>
      </c>
      <c r="D359" s="1048" t="s">
        <v>1472</v>
      </c>
      <c r="E359" s="1048">
        <v>2</v>
      </c>
      <c r="F359" s="1049">
        <f>(61.5)*0.3048</f>
        <v>18.745200000000001</v>
      </c>
      <c r="H359" s="1049">
        <v>0.6</v>
      </c>
      <c r="I359" s="1049">
        <f>ROUND(C359*E359*F359*H359,2)</f>
        <v>22.49</v>
      </c>
      <c r="J359" s="1049"/>
      <c r="K359" s="1049"/>
      <c r="L359" s="1049"/>
      <c r="M359" s="1049"/>
      <c r="N359" s="1185"/>
      <c r="O359" s="1185"/>
    </row>
    <row r="360" spans="1:15" s="1090" customFormat="1" ht="14.1">
      <c r="A360" s="1088"/>
      <c r="B360" s="1178" t="s">
        <v>2142</v>
      </c>
      <c r="C360" s="1048">
        <v>1</v>
      </c>
      <c r="D360" s="1048" t="s">
        <v>1472</v>
      </c>
      <c r="E360" s="1048">
        <v>2</v>
      </c>
      <c r="F360" s="1049">
        <f>(31.5)*0.3048</f>
        <v>9.6012000000000004</v>
      </c>
      <c r="H360" s="1049">
        <v>0.6</v>
      </c>
      <c r="I360" s="1049">
        <f>ROUND(C360*E360*F360*H360,2)</f>
        <v>11.52</v>
      </c>
      <c r="J360" s="1049"/>
      <c r="K360" s="1049"/>
      <c r="L360" s="1049"/>
      <c r="M360" s="1049"/>
      <c r="N360" s="1185"/>
      <c r="O360" s="1185"/>
    </row>
    <row r="361" spans="1:15" s="1090" customFormat="1" ht="14.1">
      <c r="A361" s="1088"/>
      <c r="B361" s="1180" t="s">
        <v>470</v>
      </c>
      <c r="C361" s="1048">
        <v>1</v>
      </c>
      <c r="D361" s="1048" t="s">
        <v>1472</v>
      </c>
      <c r="E361" s="1048">
        <v>1</v>
      </c>
      <c r="F361" s="1049">
        <f>(31.5-6)*0.3048</f>
        <v>7.7724000000000002</v>
      </c>
      <c r="G361" s="1049"/>
      <c r="H361" s="1049">
        <v>0.6</v>
      </c>
      <c r="I361" s="1049">
        <f>-ROUND(C361*E361*F361*H361,2)</f>
        <v>-4.66</v>
      </c>
      <c r="J361" s="1049"/>
      <c r="K361" s="1049"/>
      <c r="L361" s="1049"/>
      <c r="M361" s="1049"/>
      <c r="N361" s="1185"/>
      <c r="O361" s="1185"/>
    </row>
    <row r="362" spans="1:15" ht="14.1">
      <c r="A362" s="1046"/>
      <c r="B362" s="1181" t="s">
        <v>2124</v>
      </c>
      <c r="C362" s="1080"/>
      <c r="D362" s="1080"/>
      <c r="E362" s="1080"/>
      <c r="F362" s="1080"/>
      <c r="G362" s="1055"/>
      <c r="H362" s="1080"/>
      <c r="I362" s="1081"/>
      <c r="J362" s="1049"/>
      <c r="K362" s="1049"/>
      <c r="L362" s="1049"/>
      <c r="M362" s="1049"/>
      <c r="N362" s="1087"/>
      <c r="O362" s="1087"/>
    </row>
    <row r="363" spans="1:15" s="1090" customFormat="1" ht="14.1">
      <c r="A363" s="1088"/>
      <c r="B363" s="1178" t="s">
        <v>2141</v>
      </c>
      <c r="C363" s="1048">
        <v>1</v>
      </c>
      <c r="D363" s="1048" t="s">
        <v>1472</v>
      </c>
      <c r="E363" s="1048">
        <v>2</v>
      </c>
      <c r="F363" s="1049">
        <f>(12-6)*0.3048</f>
        <v>1.8288000000000002</v>
      </c>
      <c r="H363" s="1049">
        <v>0.6</v>
      </c>
      <c r="I363" s="1049">
        <f>ROUND(C363*E363*F363*H363,2)</f>
        <v>2.19</v>
      </c>
      <c r="J363" s="1049"/>
      <c r="K363" s="1049"/>
      <c r="L363" s="1049"/>
      <c r="M363" s="1049"/>
      <c r="N363" s="1185"/>
      <c r="O363" s="1185"/>
    </row>
    <row r="364" spans="1:15" s="1090" customFormat="1" ht="14.1">
      <c r="A364" s="1088"/>
      <c r="B364" s="1178" t="s">
        <v>2142</v>
      </c>
      <c r="C364" s="1048">
        <v>1</v>
      </c>
      <c r="D364" s="1048" t="s">
        <v>1472</v>
      </c>
      <c r="E364" s="1048">
        <v>1</v>
      </c>
      <c r="F364" s="1049">
        <f>(12)*0.3048</f>
        <v>3.6576000000000004</v>
      </c>
      <c r="H364" s="1049">
        <v>0.6</v>
      </c>
      <c r="I364" s="1049">
        <f>ROUND(C364*E364*F364*H364,2)</f>
        <v>2.19</v>
      </c>
      <c r="J364" s="1049"/>
      <c r="K364" s="1049"/>
      <c r="L364" s="1049"/>
      <c r="M364" s="1049"/>
      <c r="N364" s="1185"/>
      <c r="O364" s="1185"/>
    </row>
    <row r="365" spans="1:15" ht="14.1">
      <c r="A365" s="1046"/>
      <c r="B365" s="1060"/>
      <c r="C365" s="1048"/>
      <c r="D365" s="1048"/>
      <c r="E365" s="1048"/>
      <c r="F365" s="1049"/>
      <c r="G365" s="1049"/>
      <c r="H365" s="1049"/>
      <c r="I365" s="1052">
        <f>SUM(I359:I364)</f>
        <v>33.729999999999997</v>
      </c>
      <c r="J365" s="1049">
        <f>Datas!$G$263</f>
        <v>905.74</v>
      </c>
      <c r="K365" s="1053">
        <f>ROUND(J365*I365/10,0)</f>
        <v>3055</v>
      </c>
      <c r="L365" s="1049">
        <f>0.03*9</f>
        <v>0.27</v>
      </c>
      <c r="M365" s="1055">
        <f>L365*I365</f>
        <v>9.1070999999999991</v>
      </c>
      <c r="N365" s="1087">
        <f>(0.03*9)</f>
        <v>0.27</v>
      </c>
      <c r="O365" s="1087">
        <f>ROUND(I365*N365,0)</f>
        <v>9</v>
      </c>
    </row>
    <row r="366" spans="1:15" ht="14.1">
      <c r="A366" s="1046"/>
      <c r="B366" s="1060"/>
      <c r="C366" s="1048"/>
      <c r="D366" s="1048"/>
      <c r="E366" s="1048"/>
      <c r="F366" s="1049"/>
      <c r="G366" s="1049"/>
      <c r="H366" s="1049"/>
      <c r="I366" s="1053" t="s">
        <v>1478</v>
      </c>
      <c r="J366" s="1053" t="s">
        <v>37</v>
      </c>
      <c r="K366" s="1053"/>
      <c r="L366" s="1053"/>
      <c r="M366" s="1053"/>
      <c r="N366" s="1087"/>
      <c r="O366" s="1087"/>
    </row>
    <row r="367" spans="1:15" ht="14.1">
      <c r="A367" s="1046"/>
      <c r="B367" s="1091"/>
      <c r="C367" s="1072"/>
      <c r="D367" s="1072"/>
      <c r="E367" s="1072"/>
      <c r="F367" s="1073"/>
      <c r="G367" s="1073"/>
      <c r="H367" s="1073"/>
      <c r="I367" s="1092"/>
      <c r="J367" s="1053"/>
      <c r="K367" s="1053"/>
      <c r="L367" s="1053"/>
      <c r="M367" s="1053"/>
      <c r="N367" s="1087"/>
      <c r="O367" s="1087"/>
    </row>
    <row r="368" spans="1:15" ht="147.75" customHeight="1">
      <c r="A368" s="1085">
        <v>24</v>
      </c>
      <c r="B368" s="2415" t="s">
        <v>2439</v>
      </c>
      <c r="C368" s="2416"/>
      <c r="D368" s="2416"/>
      <c r="E368" s="2416"/>
      <c r="F368" s="2416"/>
      <c r="G368" s="2416"/>
      <c r="H368" s="2416"/>
      <c r="I368" s="2417"/>
      <c r="J368" s="1049"/>
      <c r="K368" s="1049"/>
      <c r="L368" s="1049"/>
      <c r="M368" s="1049"/>
      <c r="N368" s="1087"/>
      <c r="O368" s="1087"/>
    </row>
    <row r="369" spans="1:16" ht="14.1">
      <c r="A369" s="1046"/>
      <c r="B369" s="1181" t="s">
        <v>2143</v>
      </c>
      <c r="C369" s="1080"/>
      <c r="D369" s="1080"/>
      <c r="E369" s="1080"/>
      <c r="F369" s="1080"/>
      <c r="G369" s="1055"/>
      <c r="H369" s="1080"/>
      <c r="I369" s="1081"/>
      <c r="J369" s="1049"/>
      <c r="K369" s="1049"/>
      <c r="L369" s="1049"/>
      <c r="M369" s="1049"/>
      <c r="N369" s="1087"/>
      <c r="O369" s="1087"/>
    </row>
    <row r="370" spans="1:16" s="1090" customFormat="1" ht="14.1">
      <c r="A370" s="1088"/>
      <c r="B370" s="1190" t="s">
        <v>2440</v>
      </c>
      <c r="C370" s="1048">
        <v>1</v>
      </c>
      <c r="D370" s="1048" t="s">
        <v>1472</v>
      </c>
      <c r="E370" s="1048">
        <v>1</v>
      </c>
      <c r="F370" s="1049">
        <v>1.8</v>
      </c>
      <c r="H370" s="1049">
        <v>2.4</v>
      </c>
      <c r="I370" s="1049">
        <v>1</v>
      </c>
      <c r="J370" s="1049">
        <f>'data- Doors window- Teak'!J236</f>
        <v>38298.298047999997</v>
      </c>
      <c r="K370" s="1053">
        <f>ROUND(J370*I370,0)</f>
        <v>38298</v>
      </c>
      <c r="L370" s="1049"/>
      <c r="M370" s="1049"/>
      <c r="N370" s="1185"/>
      <c r="O370" s="1185"/>
    </row>
    <row r="371" spans="1:16" ht="14.1">
      <c r="A371" s="1046"/>
      <c r="B371" s="1178"/>
      <c r="C371" s="1048"/>
      <c r="D371" s="1048"/>
      <c r="E371" s="1048"/>
      <c r="F371" s="1049"/>
      <c r="G371" s="1049"/>
      <c r="H371" s="1049"/>
      <c r="I371" s="1053" t="s">
        <v>472</v>
      </c>
      <c r="J371" s="1053" t="s">
        <v>166</v>
      </c>
      <c r="K371" s="1053"/>
      <c r="L371" s="1049">
        <f>0.03*9</f>
        <v>0.27</v>
      </c>
      <c r="M371" s="1055" t="e">
        <f>L371*I371</f>
        <v>#VALUE!</v>
      </c>
      <c r="N371" s="1087"/>
      <c r="O371" s="1087"/>
    </row>
    <row r="372" spans="1:16" ht="147.75" customHeight="1">
      <c r="A372" s="1085">
        <v>25</v>
      </c>
      <c r="B372" s="2415" t="s">
        <v>2269</v>
      </c>
      <c r="C372" s="2416"/>
      <c r="D372" s="2416"/>
      <c r="E372" s="2416"/>
      <c r="F372" s="2416"/>
      <c r="G372" s="2416"/>
      <c r="H372" s="2416"/>
      <c r="I372" s="2417"/>
      <c r="J372" s="1049"/>
      <c r="K372" s="1049"/>
      <c r="L372" s="1049"/>
      <c r="M372" s="1049"/>
      <c r="N372" s="1087"/>
      <c r="O372" s="1087"/>
    </row>
    <row r="373" spans="1:16" s="1090" customFormat="1" ht="14.1">
      <c r="A373" s="1088"/>
      <c r="B373" s="1061" t="s">
        <v>2265</v>
      </c>
      <c r="C373" s="1048">
        <v>1</v>
      </c>
      <c r="D373" s="1048" t="s">
        <v>1472</v>
      </c>
      <c r="E373" s="1048">
        <v>2</v>
      </c>
      <c r="F373" s="1049">
        <v>1.5</v>
      </c>
      <c r="H373" s="1049">
        <v>2.4</v>
      </c>
      <c r="I373" s="1049">
        <v>2</v>
      </c>
      <c r="J373" s="1049">
        <f>' data-Doors window- Sal Wood '!J194</f>
        <v>13907.051390000001</v>
      </c>
      <c r="K373" s="1053">
        <f>ROUND(J373*I373,0)</f>
        <v>27814</v>
      </c>
      <c r="L373" s="1049"/>
      <c r="M373" s="1049"/>
      <c r="N373" s="1185">
        <v>14475</v>
      </c>
      <c r="O373" s="1185">
        <f>N373*I373-K373</f>
        <v>1136</v>
      </c>
    </row>
    <row r="374" spans="1:16" ht="14.1">
      <c r="A374" s="1046"/>
      <c r="B374" s="1060"/>
      <c r="C374" s="1048"/>
      <c r="D374" s="1048"/>
      <c r="E374" s="1048"/>
      <c r="F374" s="1049"/>
      <c r="G374" s="1049"/>
      <c r="H374" s="1049"/>
      <c r="I374" s="1053" t="s">
        <v>472</v>
      </c>
      <c r="J374" s="1053" t="s">
        <v>166</v>
      </c>
      <c r="K374" s="1053"/>
      <c r="L374" s="1049">
        <f>0.03*9</f>
        <v>0.27</v>
      </c>
      <c r="M374" s="1055" t="e">
        <f>L374*I374</f>
        <v>#VALUE!</v>
      </c>
      <c r="N374" s="1087"/>
      <c r="O374" s="1087"/>
    </row>
    <row r="375" spans="1:16" ht="129.75" customHeight="1">
      <c r="A375" s="1085">
        <v>26</v>
      </c>
      <c r="B375" s="2415" t="s">
        <v>2276</v>
      </c>
      <c r="C375" s="2416"/>
      <c r="D375" s="2416"/>
      <c r="E375" s="2416"/>
      <c r="F375" s="2416"/>
      <c r="G375" s="2416"/>
      <c r="H375" s="2416"/>
      <c r="I375" s="2417"/>
      <c r="J375" s="1049"/>
      <c r="K375" s="1049"/>
      <c r="L375" s="1049"/>
      <c r="M375" s="1049"/>
      <c r="N375" s="1087"/>
      <c r="O375" s="1087"/>
    </row>
    <row r="376" spans="1:16" s="1090" customFormat="1" ht="14.1">
      <c r="A376" s="1088"/>
      <c r="B376" s="1061" t="s">
        <v>2277</v>
      </c>
      <c r="C376" s="1048">
        <v>1</v>
      </c>
      <c r="D376" s="1048" t="s">
        <v>1472</v>
      </c>
      <c r="E376" s="1048">
        <v>2</v>
      </c>
      <c r="F376" s="1049">
        <v>0.9</v>
      </c>
      <c r="H376" s="1049">
        <v>2.1</v>
      </c>
      <c r="I376" s="1049">
        <v>2</v>
      </c>
      <c r="J376" s="1049">
        <f>' data-Doors window- Sal Wood '!J85</f>
        <v>12556.041137249998</v>
      </c>
      <c r="K376" s="1053">
        <f>ROUND(J376*I376,0)</f>
        <v>25112</v>
      </c>
      <c r="L376" s="1049"/>
      <c r="M376" s="1049"/>
      <c r="N376" s="1185">
        <v>7298</v>
      </c>
      <c r="O376" s="1185">
        <f>N376*I376-K376</f>
        <v>-10516</v>
      </c>
    </row>
    <row r="377" spans="1:16" ht="14.1">
      <c r="A377" s="1046"/>
      <c r="B377" s="1060"/>
      <c r="C377" s="1048"/>
      <c r="D377" s="1048"/>
      <c r="E377" s="1048"/>
      <c r="F377" s="1049"/>
      <c r="G377" s="1049"/>
      <c r="H377" s="1049"/>
      <c r="I377" s="1053" t="s">
        <v>472</v>
      </c>
      <c r="J377" s="1053" t="s">
        <v>166</v>
      </c>
      <c r="K377" s="1053"/>
      <c r="L377" s="1049">
        <f>0.03*9</f>
        <v>0.27</v>
      </c>
      <c r="M377" s="1055" t="e">
        <f>L377*I377</f>
        <v>#VALUE!</v>
      </c>
      <c r="N377" s="1087"/>
      <c r="O377" s="1087"/>
    </row>
    <row r="378" spans="1:16" ht="174.9" customHeight="1">
      <c r="A378" s="1085">
        <v>27</v>
      </c>
      <c r="B378" s="2415" t="s">
        <v>2246</v>
      </c>
      <c r="C378" s="2416"/>
      <c r="D378" s="2416"/>
      <c r="E378" s="2416"/>
      <c r="F378" s="2416"/>
      <c r="G378" s="2416"/>
      <c r="H378" s="2416"/>
      <c r="I378" s="2417"/>
      <c r="J378" s="1049"/>
      <c r="K378" s="1049"/>
      <c r="L378" s="1049"/>
      <c r="M378" s="1049"/>
      <c r="N378" s="1087"/>
      <c r="O378" s="1087"/>
    </row>
    <row r="379" spans="1:16" s="1090" customFormat="1" ht="14.1">
      <c r="A379" s="1088"/>
      <c r="B379" s="1071"/>
      <c r="C379" s="1048"/>
      <c r="D379" s="1048"/>
      <c r="E379" s="1048"/>
      <c r="F379" s="1049"/>
      <c r="H379" s="1049"/>
      <c r="I379" s="1049"/>
      <c r="J379" s="1049"/>
      <c r="K379" s="1053"/>
      <c r="L379" s="1049"/>
      <c r="M379" s="1068"/>
      <c r="N379" s="1185"/>
      <c r="O379" s="1185"/>
      <c r="P379" s="1090">
        <v>6134</v>
      </c>
    </row>
    <row r="380" spans="1:16" s="1090" customFormat="1" ht="14.1">
      <c r="A380" s="1088"/>
      <c r="B380" s="1061" t="s">
        <v>2357</v>
      </c>
      <c r="C380" s="1048">
        <v>1</v>
      </c>
      <c r="D380" s="1048" t="s">
        <v>1472</v>
      </c>
      <c r="E380" s="1048">
        <v>4</v>
      </c>
      <c r="F380" s="1049">
        <v>1.5</v>
      </c>
      <c r="H380" s="1049">
        <v>1.2</v>
      </c>
      <c r="I380" s="1049">
        <f>H380*F380*E380</f>
        <v>7.1999999999999993</v>
      </c>
      <c r="J380" s="1049">
        <v>6134</v>
      </c>
      <c r="K380" s="1053">
        <f>ROUND(J380*I380,0)</f>
        <v>44165</v>
      </c>
      <c r="L380" s="1049"/>
      <c r="M380" s="1049"/>
      <c r="N380" s="1185"/>
      <c r="O380" s="1185"/>
      <c r="P380" s="1090">
        <f>(350/0.3048^2)</f>
        <v>3767.3686458484026</v>
      </c>
    </row>
    <row r="381" spans="1:16" ht="14.1">
      <c r="A381" s="1046"/>
      <c r="B381" s="1060"/>
      <c r="C381" s="1048"/>
      <c r="D381" s="1048"/>
      <c r="E381" s="1048"/>
      <c r="F381" s="1049"/>
      <c r="G381" s="1049"/>
      <c r="H381" s="1049"/>
      <c r="I381" s="1053" t="s">
        <v>1478</v>
      </c>
      <c r="J381" s="1053" t="s">
        <v>2169</v>
      </c>
      <c r="K381" s="1053"/>
      <c r="L381" s="1049">
        <f>0.03*9</f>
        <v>0.27</v>
      </c>
      <c r="M381" s="1055" t="e">
        <f>L381*I381</f>
        <v>#VALUE!</v>
      </c>
      <c r="N381" s="1087"/>
      <c r="O381" s="1087"/>
    </row>
    <row r="382" spans="1:16" ht="138.75" customHeight="1">
      <c r="A382" s="1085">
        <v>28</v>
      </c>
      <c r="B382" s="2415" t="s">
        <v>2274</v>
      </c>
      <c r="C382" s="2416"/>
      <c r="D382" s="2416"/>
      <c r="E382" s="2416"/>
      <c r="F382" s="2416"/>
      <c r="G382" s="2416"/>
      <c r="H382" s="2416"/>
      <c r="I382" s="2417"/>
      <c r="J382" s="1049"/>
      <c r="K382" s="1049"/>
      <c r="L382" s="1049"/>
      <c r="M382" s="1049"/>
      <c r="N382" s="1087"/>
      <c r="O382" s="1087"/>
    </row>
    <row r="383" spans="1:16" ht="14.1">
      <c r="A383" s="1046"/>
      <c r="B383" s="1057" t="s">
        <v>2144</v>
      </c>
      <c r="C383" s="1048"/>
      <c r="D383" s="1048"/>
      <c r="E383" s="1048"/>
      <c r="F383" s="1049"/>
      <c r="G383" s="1049"/>
      <c r="H383" s="1049"/>
      <c r="I383" s="1053"/>
      <c r="J383" s="1053"/>
      <c r="K383" s="1053"/>
      <c r="L383" s="1049">
        <f>0.03*9</f>
        <v>0.27</v>
      </c>
      <c r="M383" s="1055">
        <f>L383*I383</f>
        <v>0</v>
      </c>
      <c r="N383" s="1087"/>
      <c r="O383" s="1087"/>
    </row>
    <row r="384" spans="1:16" s="1090" customFormat="1" ht="14.1">
      <c r="A384" s="1088"/>
      <c r="B384" s="1061" t="s">
        <v>2279</v>
      </c>
      <c r="C384" s="1048">
        <v>1</v>
      </c>
      <c r="D384" s="1048" t="s">
        <v>1472</v>
      </c>
      <c r="E384" s="1048">
        <v>2</v>
      </c>
      <c r="F384" s="1049">
        <v>0.75</v>
      </c>
      <c r="H384" s="1049">
        <v>2.1</v>
      </c>
      <c r="I384" s="1049">
        <v>2</v>
      </c>
      <c r="J384" s="1049">
        <f>' data-Doors window- Sal Wood '!J49</f>
        <v>10819.3</v>
      </c>
      <c r="K384" s="1053">
        <f>ROUND(J384*I384,0)</f>
        <v>21639</v>
      </c>
      <c r="L384" s="1049"/>
      <c r="M384" s="1049"/>
      <c r="N384" s="1185">
        <f>' Doors window- Flush  Door '!J48</f>
        <v>7008.6</v>
      </c>
      <c r="O384" s="1185">
        <f>N384*I384-K384</f>
        <v>-7621.7999999999993</v>
      </c>
    </row>
    <row r="385" spans="1:15" ht="14.1">
      <c r="A385" s="1046"/>
      <c r="B385" s="1060"/>
      <c r="C385" s="1048"/>
      <c r="D385" s="1048"/>
      <c r="E385" s="1048"/>
      <c r="F385" s="1049"/>
      <c r="G385" s="1049"/>
      <c r="H385" s="1049"/>
      <c r="I385" s="1053" t="s">
        <v>472</v>
      </c>
      <c r="J385" s="1053" t="s">
        <v>166</v>
      </c>
      <c r="K385" s="1053"/>
      <c r="L385" s="1049">
        <f>0.03*9</f>
        <v>0.27</v>
      </c>
      <c r="M385" s="1055" t="e">
        <f>L385*I385</f>
        <v>#VALUE!</v>
      </c>
      <c r="N385" s="1087"/>
      <c r="O385" s="1087"/>
    </row>
    <row r="386" spans="1:15" s="1095" customFormat="1" ht="51" customHeight="1">
      <c r="A386" s="1085">
        <v>29</v>
      </c>
      <c r="B386" s="2404" t="s">
        <v>2546</v>
      </c>
      <c r="C386" s="2405"/>
      <c r="D386" s="2405"/>
      <c r="E386" s="2405"/>
      <c r="F386" s="2405"/>
      <c r="G386" s="2405"/>
      <c r="H386" s="2405"/>
      <c r="I386" s="2406"/>
      <c r="J386" s="1094"/>
      <c r="K386" s="1094"/>
      <c r="L386" s="1094"/>
      <c r="M386" s="1094"/>
      <c r="N386" s="1166"/>
      <c r="O386" s="1166"/>
    </row>
    <row r="387" spans="1:15" ht="14.1">
      <c r="A387" s="1046"/>
      <c r="B387" s="1061" t="s">
        <v>2215</v>
      </c>
      <c r="C387" s="1048">
        <v>1</v>
      </c>
      <c r="D387" s="1048" t="s">
        <v>1472</v>
      </c>
      <c r="E387" s="1048">
        <v>6</v>
      </c>
      <c r="F387" s="1049">
        <f>11*0.3048</f>
        <v>3.3528000000000002</v>
      </c>
      <c r="G387" s="1096">
        <v>1</v>
      </c>
      <c r="H387" s="1049">
        <v>1.2</v>
      </c>
      <c r="I387" s="1049">
        <f>ROUND(C387*E387*F387*G387*H387,2)</f>
        <v>24.14</v>
      </c>
      <c r="J387" s="1049"/>
      <c r="K387" s="1049"/>
      <c r="L387" s="1049"/>
      <c r="M387" s="1049"/>
      <c r="N387" s="1087"/>
      <c r="O387" s="1087"/>
    </row>
    <row r="388" spans="1:15" ht="14.1">
      <c r="A388" s="1046"/>
      <c r="B388" s="1061" t="s">
        <v>2216</v>
      </c>
      <c r="C388" s="1048">
        <v>1</v>
      </c>
      <c r="D388" s="1048" t="s">
        <v>1472</v>
      </c>
      <c r="E388" s="1048">
        <v>2</v>
      </c>
      <c r="F388" s="1049">
        <v>2.4</v>
      </c>
      <c r="G388" s="1096">
        <v>1</v>
      </c>
      <c r="H388" s="1049">
        <v>2</v>
      </c>
      <c r="I388" s="1049">
        <f>ROUND(C388*E388*F388*G388*H388,2)</f>
        <v>9.6</v>
      </c>
      <c r="J388" s="1049"/>
      <c r="K388" s="1049"/>
      <c r="L388" s="1049"/>
      <c r="M388" s="1049"/>
      <c r="N388" s="1087"/>
      <c r="O388" s="1087"/>
    </row>
    <row r="389" spans="1:15" ht="14.1">
      <c r="A389" s="1046"/>
      <c r="B389" s="1061"/>
      <c r="C389" s="1048"/>
      <c r="D389" s="1048"/>
      <c r="E389" s="1048"/>
      <c r="F389" s="1049"/>
      <c r="G389" s="1096"/>
      <c r="H389" s="1049"/>
      <c r="I389" s="1049">
        <f>SUM(I387:I388)</f>
        <v>33.74</v>
      </c>
      <c r="J389" s="1049" t="s">
        <v>2545</v>
      </c>
      <c r="K389" s="1049">
        <v>35000</v>
      </c>
      <c r="L389" s="1049"/>
      <c r="M389" s="1049"/>
      <c r="N389" s="1087"/>
      <c r="O389" s="1087"/>
    </row>
    <row r="390" spans="1:15" ht="14.1">
      <c r="A390" s="1046"/>
      <c r="B390" s="1061"/>
      <c r="C390" s="1048"/>
      <c r="D390" s="1048"/>
      <c r="E390" s="1048"/>
      <c r="F390" s="1049"/>
      <c r="G390" s="1049"/>
      <c r="H390" s="1049"/>
      <c r="I390" s="1049" t="s">
        <v>1478</v>
      </c>
      <c r="J390" s="1049"/>
      <c r="K390" s="1053"/>
      <c r="L390" s="1049"/>
      <c r="M390" s="1049"/>
      <c r="N390" s="1087"/>
      <c r="O390" s="1087"/>
    </row>
    <row r="391" spans="1:15" ht="14.1">
      <c r="A391" s="1046"/>
      <c r="B391" s="1071"/>
      <c r="C391" s="1072"/>
      <c r="D391" s="1072"/>
      <c r="E391" s="1072"/>
      <c r="F391" s="1073"/>
      <c r="G391" s="1073"/>
      <c r="H391" s="1073"/>
      <c r="I391" s="1092"/>
      <c r="J391" s="1053"/>
      <c r="K391" s="1053"/>
      <c r="L391" s="1049"/>
      <c r="M391" s="1049"/>
      <c r="N391" s="1087"/>
      <c r="O391" s="1087"/>
    </row>
    <row r="392" spans="1:15" ht="47.25" customHeight="1">
      <c r="A392" s="1085">
        <v>30</v>
      </c>
      <c r="B392" s="2404" t="s">
        <v>2478</v>
      </c>
      <c r="C392" s="2405"/>
      <c r="D392" s="2405"/>
      <c r="E392" s="2405"/>
      <c r="F392" s="2405"/>
      <c r="G392" s="2405"/>
      <c r="H392" s="2405"/>
      <c r="I392" s="2406"/>
      <c r="J392" s="1094"/>
      <c r="K392" s="1094"/>
      <c r="L392" s="1049"/>
      <c r="M392" s="1049"/>
      <c r="N392" s="1087"/>
      <c r="O392" s="1087"/>
    </row>
    <row r="393" spans="1:15" ht="14.1">
      <c r="A393" s="1046"/>
      <c r="B393" s="1061" t="s">
        <v>2326</v>
      </c>
      <c r="C393" s="1048">
        <v>2</v>
      </c>
      <c r="D393" s="1048" t="s">
        <v>1472</v>
      </c>
      <c r="E393" s="1216">
        <v>6</v>
      </c>
      <c r="F393" s="1049"/>
      <c r="G393" s="1049"/>
      <c r="H393" s="1049"/>
      <c r="I393" s="1049">
        <v>80</v>
      </c>
      <c r="J393" s="1049">
        <v>95.38</v>
      </c>
      <c r="K393" s="1053">
        <f>ROUND(J393*I393/1,0)</f>
        <v>7630</v>
      </c>
      <c r="L393" s="1049"/>
      <c r="M393" s="1049"/>
      <c r="N393" s="1087"/>
      <c r="O393" s="1087"/>
    </row>
    <row r="394" spans="1:15" ht="27.6">
      <c r="A394" s="1046"/>
      <c r="B394" s="1061" t="s">
        <v>2479</v>
      </c>
      <c r="C394" s="1048"/>
      <c r="D394" s="1048"/>
      <c r="E394" s="1048"/>
      <c r="F394" s="1049"/>
      <c r="G394" s="1049"/>
      <c r="H394" s="1049"/>
      <c r="I394" s="1049" t="s">
        <v>1038</v>
      </c>
      <c r="J394" s="1049" t="s">
        <v>2328</v>
      </c>
      <c r="K394" s="1053"/>
      <c r="L394" s="1049"/>
      <c r="M394" s="1049"/>
      <c r="N394" s="1087"/>
      <c r="O394" s="1087"/>
    </row>
    <row r="395" spans="1:15" ht="33.75" customHeight="1">
      <c r="A395" s="1085">
        <v>31</v>
      </c>
      <c r="B395" s="2404" t="s">
        <v>2480</v>
      </c>
      <c r="C395" s="2405"/>
      <c r="D395" s="2405"/>
      <c r="E395" s="2405"/>
      <c r="F395" s="2405"/>
      <c r="G395" s="2405"/>
      <c r="H395" s="2405"/>
      <c r="I395" s="2406"/>
      <c r="J395" s="1094"/>
      <c r="K395" s="1094"/>
      <c r="L395" s="1049"/>
      <c r="M395" s="1049"/>
      <c r="N395" s="1087"/>
      <c r="O395" s="1087"/>
    </row>
    <row r="396" spans="1:15" ht="14.1">
      <c r="A396" s="1046"/>
      <c r="B396" s="1061" t="s">
        <v>2326</v>
      </c>
      <c r="C396" s="1048">
        <v>12</v>
      </c>
      <c r="D396" s="1048" t="s">
        <v>1472</v>
      </c>
      <c r="E396" s="1048">
        <v>6</v>
      </c>
      <c r="F396" s="1049">
        <v>0.5</v>
      </c>
      <c r="G396" s="1049"/>
      <c r="H396" s="1049"/>
      <c r="I396" s="1049">
        <v>88.92</v>
      </c>
      <c r="J396" s="1049">
        <v>90</v>
      </c>
      <c r="K396" s="1053">
        <f>ROUND(J396*I396/1,0)</f>
        <v>8003</v>
      </c>
      <c r="L396" s="1049"/>
      <c r="M396" s="1049"/>
      <c r="N396" s="1087"/>
      <c r="O396" s="1087"/>
    </row>
    <row r="397" spans="1:15" ht="14.1">
      <c r="A397" s="1046"/>
      <c r="B397" s="1061" t="s">
        <v>2461</v>
      </c>
      <c r="C397" s="1048"/>
      <c r="D397" s="1048"/>
      <c r="E397" s="1048"/>
      <c r="F397" s="1049"/>
      <c r="G397" s="1049"/>
      <c r="H397" s="1049"/>
      <c r="I397" s="1049" t="s">
        <v>1038</v>
      </c>
      <c r="J397" s="1049" t="s">
        <v>2328</v>
      </c>
      <c r="K397" s="1053"/>
      <c r="L397" s="1049"/>
      <c r="M397" s="1049"/>
      <c r="N397" s="1087"/>
      <c r="O397" s="1087"/>
    </row>
    <row r="398" spans="1:15" ht="14.1">
      <c r="A398" s="1046"/>
      <c r="B398" s="1061"/>
      <c r="C398" s="1048"/>
      <c r="D398" s="1048"/>
      <c r="E398" s="1048"/>
      <c r="F398" s="1049"/>
      <c r="G398" s="1049"/>
      <c r="H398" s="1049"/>
      <c r="I398" s="1049"/>
      <c r="J398" s="1049"/>
      <c r="K398" s="1053"/>
      <c r="L398" s="1049"/>
      <c r="M398" s="1049"/>
      <c r="N398" s="1087"/>
      <c r="O398" s="1087"/>
    </row>
    <row r="399" spans="1:15" ht="90.75" customHeight="1">
      <c r="A399" s="1085">
        <v>32</v>
      </c>
      <c r="B399" s="2567" t="s">
        <v>2344</v>
      </c>
      <c r="C399" s="2405"/>
      <c r="D399" s="2405"/>
      <c r="E399" s="2405"/>
      <c r="F399" s="2405"/>
      <c r="G399" s="2405"/>
      <c r="H399" s="2405"/>
      <c r="I399" s="2406"/>
      <c r="J399" s="1094"/>
      <c r="K399" s="1094"/>
      <c r="L399" s="1049"/>
      <c r="M399" s="1049"/>
      <c r="N399" s="1087"/>
      <c r="O399" s="1087"/>
    </row>
    <row r="400" spans="1:15" ht="14.4">
      <c r="A400" s="1221"/>
      <c r="B400" s="1172" t="s">
        <v>2341</v>
      </c>
      <c r="C400" s="1167"/>
      <c r="D400" s="1167"/>
      <c r="E400" s="1167"/>
      <c r="F400" s="1167"/>
      <c r="G400" s="1167"/>
      <c r="H400" s="1167"/>
      <c r="I400" s="1168"/>
      <c r="J400" s="1094"/>
      <c r="K400" s="1094"/>
      <c r="L400" s="1049"/>
      <c r="M400" s="1049"/>
      <c r="N400" s="1087"/>
      <c r="O400" s="1087"/>
    </row>
    <row r="401" spans="1:16" ht="14.4">
      <c r="A401" s="1221"/>
      <c r="B401" s="1172" t="s">
        <v>2413</v>
      </c>
      <c r="C401" s="1217"/>
      <c r="D401" s="1048"/>
      <c r="E401" s="1048"/>
      <c r="F401" s="1049"/>
      <c r="G401" s="1049"/>
      <c r="H401" s="1069"/>
      <c r="I401" s="1049"/>
      <c r="J401" s="1049"/>
      <c r="K401" s="1053"/>
      <c r="L401" s="1049"/>
      <c r="M401" s="1049"/>
      <c r="N401" s="1087"/>
      <c r="O401" s="1087"/>
    </row>
    <row r="402" spans="1:16" ht="14.4">
      <c r="A402" s="1221"/>
      <c r="B402" s="1172" t="s">
        <v>2343</v>
      </c>
      <c r="C402" s="1217">
        <v>1</v>
      </c>
      <c r="D402" s="1048" t="s">
        <v>1472</v>
      </c>
      <c r="E402" s="1048">
        <v>4</v>
      </c>
      <c r="F402" s="1049">
        <v>240</v>
      </c>
      <c r="G402" s="1049"/>
      <c r="H402" s="1049"/>
      <c r="I402" s="1049">
        <f>F402*E402</f>
        <v>960</v>
      </c>
      <c r="J402" s="1049">
        <f>'Data Truss and steel works'!G17</f>
        <v>142.25</v>
      </c>
      <c r="K402" s="1053">
        <f>ROUND(J402*I402/1,0)</f>
        <v>136560</v>
      </c>
      <c r="L402" s="1049"/>
      <c r="M402" s="1049"/>
      <c r="N402" s="1087"/>
      <c r="O402" s="1087"/>
    </row>
    <row r="403" spans="1:16" ht="14.1">
      <c r="A403" s="1041"/>
      <c r="B403" s="1219"/>
      <c r="C403" s="1048"/>
      <c r="D403" s="1048"/>
      <c r="E403" s="1048"/>
      <c r="F403" s="1049"/>
      <c r="G403" s="1049"/>
      <c r="H403" s="1049"/>
      <c r="I403" s="1049" t="s">
        <v>1038</v>
      </c>
      <c r="J403" s="1049" t="s">
        <v>2328</v>
      </c>
      <c r="K403" s="1053"/>
      <c r="L403" s="1049"/>
      <c r="M403" s="1049"/>
      <c r="N403" s="1087"/>
      <c r="O403" s="1087"/>
    </row>
    <row r="404" spans="1:16" ht="30.75" customHeight="1">
      <c r="A404" s="1085">
        <v>33</v>
      </c>
      <c r="B404" s="2404" t="s">
        <v>2345</v>
      </c>
      <c r="C404" s="2405"/>
      <c r="D404" s="2405"/>
      <c r="E404" s="2405"/>
      <c r="F404" s="2405"/>
      <c r="G404" s="2405"/>
      <c r="H404" s="2405"/>
      <c r="I404" s="2406"/>
      <c r="J404" s="1094"/>
      <c r="K404" s="1094"/>
      <c r="L404" s="1049"/>
      <c r="M404" s="1049"/>
      <c r="N404" s="1087"/>
      <c r="O404" s="1087"/>
    </row>
    <row r="405" spans="1:16" ht="14.4">
      <c r="A405" s="1046"/>
      <c r="B405" s="1170" t="s">
        <v>2540</v>
      </c>
      <c r="C405" s="1048">
        <v>14</v>
      </c>
      <c r="D405" s="1048" t="s">
        <v>1472</v>
      </c>
      <c r="E405" s="1048">
        <v>1</v>
      </c>
      <c r="F405" s="1194">
        <v>18.850000000000001</v>
      </c>
      <c r="G405" s="1049">
        <v>8.7200000000000006</v>
      </c>
      <c r="H405" s="1069"/>
      <c r="I405" s="1049">
        <f>G405*F405*E405*C405</f>
        <v>2301.2080000000001</v>
      </c>
      <c r="J405" s="1049"/>
      <c r="K405" s="1053"/>
      <c r="L405" s="1049"/>
      <c r="M405" s="1049"/>
      <c r="N405" s="1087"/>
      <c r="O405" s="1087"/>
    </row>
    <row r="406" spans="1:16" ht="14.4">
      <c r="A406" s="1046"/>
      <c r="B406" s="1170"/>
      <c r="C406" s="1048"/>
      <c r="D406" s="1048"/>
      <c r="E406" s="1048"/>
      <c r="F406" s="1049"/>
      <c r="G406" s="1049"/>
      <c r="H406" s="1069"/>
      <c r="I406" s="1049"/>
      <c r="J406" s="1049"/>
      <c r="K406" s="1053"/>
      <c r="L406" s="1049"/>
      <c r="M406" s="1049"/>
      <c r="N406" s="1087"/>
      <c r="O406" s="1087"/>
    </row>
    <row r="407" spans="1:16" ht="14.4">
      <c r="A407" s="1046"/>
      <c r="B407" s="1170"/>
      <c r="C407" s="1048"/>
      <c r="D407" s="1048"/>
      <c r="E407" s="1048"/>
      <c r="F407" s="1194"/>
      <c r="G407" s="1049"/>
      <c r="H407" s="1069"/>
      <c r="I407" s="1049">
        <f>SUM(I405:I406)</f>
        <v>2301.2080000000001</v>
      </c>
      <c r="J407" s="1049">
        <f>J402</f>
        <v>142.25</v>
      </c>
      <c r="K407" s="1053">
        <f>ROUND(J407*I407/1,0)</f>
        <v>327347</v>
      </c>
      <c r="L407" s="1049"/>
      <c r="M407" s="1049"/>
      <c r="N407" s="1087"/>
      <c r="O407" s="1087"/>
    </row>
    <row r="408" spans="1:16" ht="14.1">
      <c r="A408" s="1046"/>
      <c r="B408" s="1071"/>
      <c r="C408" s="1072"/>
      <c r="D408" s="1072"/>
      <c r="E408" s="1072"/>
      <c r="F408" s="1073"/>
      <c r="G408" s="1074"/>
      <c r="H408" s="1069"/>
      <c r="I408" s="1049" t="s">
        <v>1038</v>
      </c>
      <c r="J408" s="1049" t="s">
        <v>2328</v>
      </c>
      <c r="K408" s="1053"/>
      <c r="L408" s="1049"/>
      <c r="M408" s="1049"/>
      <c r="N408" s="1087"/>
      <c r="O408" s="1087"/>
    </row>
    <row r="409" spans="1:16" ht="127.5" customHeight="1">
      <c r="A409" s="1085">
        <v>34</v>
      </c>
      <c r="B409" s="2404" t="s">
        <v>2346</v>
      </c>
      <c r="C409" s="2405"/>
      <c r="D409" s="2405"/>
      <c r="E409" s="2405"/>
      <c r="F409" s="2405"/>
      <c r="G409" s="2405"/>
      <c r="H409" s="2405"/>
      <c r="I409" s="2406"/>
      <c r="J409" s="1094"/>
      <c r="K409" s="1094"/>
      <c r="L409" s="1049"/>
      <c r="M409" s="1049"/>
      <c r="N409" s="1087"/>
      <c r="O409" s="1087"/>
    </row>
    <row r="410" spans="1:16" ht="14.4">
      <c r="A410" s="1046"/>
      <c r="B410" s="1170" t="s">
        <v>2347</v>
      </c>
      <c r="C410" s="1048">
        <v>2</v>
      </c>
      <c r="D410" s="1048" t="s">
        <v>1472</v>
      </c>
      <c r="E410" s="1048"/>
      <c r="F410" s="1194">
        <v>19.350000000000001</v>
      </c>
      <c r="G410" s="1049">
        <v>6.2</v>
      </c>
      <c r="H410" s="1049"/>
      <c r="I410" s="1049">
        <f>G410*F410*C410</f>
        <v>239.94000000000003</v>
      </c>
      <c r="J410" s="1094"/>
      <c r="K410" s="1094"/>
      <c r="L410" s="1049"/>
      <c r="M410" s="1049"/>
      <c r="N410" s="1087"/>
      <c r="O410" s="1087"/>
    </row>
    <row r="411" spans="1:16" ht="14.4">
      <c r="A411" s="1046"/>
      <c r="B411" s="1170" t="s">
        <v>2531</v>
      </c>
      <c r="C411" s="1048">
        <v>1</v>
      </c>
      <c r="D411" s="1048" t="s">
        <v>1472</v>
      </c>
      <c r="E411" s="1048"/>
      <c r="F411" s="1194">
        <v>2.4</v>
      </c>
      <c r="G411" s="1049">
        <v>1.5</v>
      </c>
      <c r="H411" s="1049"/>
      <c r="I411" s="1049">
        <f>G411*F411*C411</f>
        <v>3.5999999999999996</v>
      </c>
      <c r="J411" s="1094"/>
      <c r="K411" s="1094"/>
      <c r="L411" s="1049"/>
      <c r="M411" s="1049"/>
      <c r="N411" s="1087"/>
      <c r="O411" s="1087"/>
    </row>
    <row r="412" spans="1:16" ht="14.4">
      <c r="A412" s="1046"/>
      <c r="B412" s="1170" t="s">
        <v>2349</v>
      </c>
      <c r="C412" s="1048">
        <v>1</v>
      </c>
      <c r="D412" s="1048" t="s">
        <v>1472</v>
      </c>
      <c r="E412" s="1048"/>
      <c r="F412" s="1049">
        <v>19.350000000000001</v>
      </c>
      <c r="G412" s="1049">
        <v>0.4</v>
      </c>
      <c r="H412" s="1069"/>
      <c r="I412" s="1049">
        <f>G412*F412*C412</f>
        <v>7.7400000000000011</v>
      </c>
      <c r="J412" s="1094"/>
      <c r="K412" s="1094"/>
      <c r="L412" s="1049"/>
      <c r="M412" s="1049"/>
      <c r="N412" s="1087"/>
      <c r="O412" s="1087"/>
    </row>
    <row r="413" spans="1:16" ht="14.4">
      <c r="A413" s="1046"/>
      <c r="B413" s="1170"/>
      <c r="C413" s="1048"/>
      <c r="D413" s="1048"/>
      <c r="E413" s="1048"/>
      <c r="F413" s="1049"/>
      <c r="G413" s="1049"/>
      <c r="H413" s="1069"/>
      <c r="I413" s="1049">
        <f>SUM(I410:I412)</f>
        <v>251.28000000000003</v>
      </c>
      <c r="J413" s="1049">
        <f>Datas!G1173</f>
        <v>735.21</v>
      </c>
      <c r="K413" s="1053">
        <f>ROUND(J413*I413/1,0)</f>
        <v>184744</v>
      </c>
      <c r="L413" s="1049"/>
      <c r="M413" s="1049"/>
      <c r="N413" s="1087"/>
      <c r="O413" s="1087"/>
    </row>
    <row r="414" spans="1:16" ht="14.1">
      <c r="A414" s="1046"/>
      <c r="B414" s="1071"/>
      <c r="C414" s="1072"/>
      <c r="D414" s="1072"/>
      <c r="E414" s="1072"/>
      <c r="F414" s="1073"/>
      <c r="G414" s="1074"/>
      <c r="H414" s="1069"/>
      <c r="I414" s="1049" t="s">
        <v>1478</v>
      </c>
      <c r="J414" s="1049" t="s">
        <v>2348</v>
      </c>
      <c r="K414" s="1053"/>
      <c r="L414" s="1049"/>
      <c r="M414" s="1049"/>
      <c r="N414" s="1087"/>
      <c r="O414" s="1087"/>
      <c r="P414" s="1087">
        <f>O414-N414</f>
        <v>0</v>
      </c>
    </row>
    <row r="415" spans="1:16" ht="98.25" customHeight="1">
      <c r="A415" s="1085">
        <v>35</v>
      </c>
      <c r="B415" s="2415" t="s">
        <v>2442</v>
      </c>
      <c r="C415" s="2416"/>
      <c r="D415" s="2416"/>
      <c r="E415" s="2416"/>
      <c r="F415" s="2416"/>
      <c r="G415" s="2416"/>
      <c r="H415" s="2416"/>
      <c r="I415" s="2417"/>
      <c r="J415" s="1049"/>
      <c r="K415" s="1049"/>
      <c r="L415" s="1049"/>
      <c r="M415" s="1049"/>
      <c r="N415" s="1087"/>
      <c r="O415" s="1087"/>
    </row>
    <row r="416" spans="1:16" ht="14.1">
      <c r="A416" s="1046"/>
      <c r="B416" s="1060" t="s">
        <v>466</v>
      </c>
      <c r="C416" s="1082"/>
      <c r="D416" s="1082"/>
      <c r="E416" s="1082"/>
      <c r="F416" s="1083"/>
      <c r="G416" s="1083"/>
      <c r="H416" s="1083"/>
      <c r="I416" s="1083"/>
      <c r="J416" s="1049"/>
      <c r="K416" s="1049"/>
      <c r="L416" s="1049"/>
      <c r="M416" s="1049"/>
      <c r="N416" s="1087"/>
      <c r="O416" s="1087"/>
    </row>
    <row r="417" spans="1:15" ht="14.1">
      <c r="A417" s="1046"/>
      <c r="B417" s="1050" t="s">
        <v>2115</v>
      </c>
      <c r="C417" s="1048">
        <v>1</v>
      </c>
      <c r="D417" s="1048" t="s">
        <v>1472</v>
      </c>
      <c r="E417" s="1048">
        <v>2</v>
      </c>
      <c r="F417" s="1049">
        <f>(60.75-0.23*2)*0.3048</f>
        <v>18.376391999999999</v>
      </c>
      <c r="G417" s="1049"/>
      <c r="H417" s="1049">
        <v>3.6</v>
      </c>
      <c r="I417" s="1049">
        <f>ROUND(C417*E417*F417*H417,2)</f>
        <v>132.31</v>
      </c>
      <c r="J417" s="1049"/>
      <c r="K417" s="1049"/>
      <c r="L417" s="1049"/>
      <c r="M417" s="1049"/>
      <c r="N417" s="1087"/>
      <c r="O417" s="1087"/>
    </row>
    <row r="418" spans="1:15" ht="14.1">
      <c r="A418" s="1046"/>
      <c r="B418" s="1050" t="s">
        <v>2033</v>
      </c>
      <c r="C418" s="1048">
        <v>1</v>
      </c>
      <c r="D418" s="1048" t="s">
        <v>1472</v>
      </c>
      <c r="E418" s="1048">
        <v>2</v>
      </c>
      <c r="F418" s="1049">
        <f>(31.5-2*0.23)*0.3048</f>
        <v>9.460992000000001</v>
      </c>
      <c r="G418" s="1049"/>
      <c r="H418" s="1164" t="s">
        <v>2287</v>
      </c>
      <c r="I418" s="1049">
        <f>ROUND(C418*E418*F418*AVERAGE(3.6,5.4,3.6),2)</f>
        <v>79.47</v>
      </c>
      <c r="J418" s="1049"/>
      <c r="K418" s="1049"/>
      <c r="L418" s="1049"/>
      <c r="M418" s="1049"/>
      <c r="N418" s="1087"/>
      <c r="O418" s="1087"/>
    </row>
    <row r="419" spans="1:15" ht="27.6">
      <c r="A419" s="1046"/>
      <c r="B419" s="1050" t="s">
        <v>2116</v>
      </c>
      <c r="C419" s="1048">
        <v>1</v>
      </c>
      <c r="D419" s="1048" t="s">
        <v>1472</v>
      </c>
      <c r="E419" s="1048">
        <v>2</v>
      </c>
      <c r="F419" s="1049">
        <f>(31.5-2*0.23)*0.3048</f>
        <v>9.460992000000001</v>
      </c>
      <c r="G419" s="1049"/>
      <c r="H419" s="1049">
        <v>3.6</v>
      </c>
      <c r="I419" s="1049">
        <f>ROUND(C419*E419*F419*H419,2)</f>
        <v>68.12</v>
      </c>
      <c r="J419" s="1049"/>
      <c r="K419" s="1049"/>
      <c r="L419" s="1049"/>
      <c r="M419" s="1049"/>
      <c r="N419" s="1087"/>
      <c r="O419" s="1087"/>
    </row>
    <row r="420" spans="1:15" ht="27.6">
      <c r="A420" s="1046"/>
      <c r="B420" s="1050" t="s">
        <v>2134</v>
      </c>
      <c r="C420" s="1048">
        <v>1</v>
      </c>
      <c r="D420" s="1048" t="s">
        <v>1472</v>
      </c>
      <c r="E420" s="1048">
        <v>2</v>
      </c>
      <c r="F420" s="1049">
        <v>3.6</v>
      </c>
      <c r="G420" s="1049"/>
      <c r="H420" s="1049">
        <v>3.6</v>
      </c>
      <c r="I420" s="1049">
        <f>ROUND(C420*E420*F420*H420,2)</f>
        <v>25.92</v>
      </c>
      <c r="J420" s="1049"/>
      <c r="K420" s="1049"/>
      <c r="L420" s="1049"/>
      <c r="M420" s="1049"/>
      <c r="N420" s="1087"/>
      <c r="O420" s="1087"/>
    </row>
    <row r="421" spans="1:15" ht="14.1">
      <c r="A421" s="1046"/>
      <c r="B421" s="1060" t="s">
        <v>675</v>
      </c>
      <c r="C421" s="1048"/>
      <c r="D421" s="1048"/>
      <c r="E421" s="1048"/>
      <c r="F421" s="1049"/>
      <c r="G421" s="1049"/>
      <c r="H421" s="1049"/>
      <c r="I421" s="1049"/>
      <c r="J421" s="1049"/>
      <c r="K421" s="1049"/>
      <c r="L421" s="1049"/>
      <c r="M421" s="1049"/>
      <c r="N421" s="1087"/>
      <c r="O421" s="1087"/>
    </row>
    <row r="422" spans="1:15">
      <c r="A422" s="1076"/>
      <c r="B422" s="1061" t="s">
        <v>2223</v>
      </c>
      <c r="C422" s="1048">
        <v>1</v>
      </c>
      <c r="D422" s="1048" t="s">
        <v>1472</v>
      </c>
      <c r="E422" s="1048">
        <v>1</v>
      </c>
      <c r="F422" s="1049">
        <v>1.8</v>
      </c>
      <c r="G422" s="1084">
        <v>1</v>
      </c>
      <c r="H422" s="1049">
        <v>2.4</v>
      </c>
      <c r="I422" s="1049">
        <f t="shared" ref="I422:I427" si="15">-ROUND(C422*E422*F422*G422*H422,2)</f>
        <v>-4.32</v>
      </c>
      <c r="J422" s="1049"/>
      <c r="K422" s="1049"/>
      <c r="L422" s="1049"/>
      <c r="M422" s="1049"/>
      <c r="N422" s="1087"/>
      <c r="O422" s="1087"/>
    </row>
    <row r="423" spans="1:15">
      <c r="A423" s="1076"/>
      <c r="B423" s="1061" t="s">
        <v>980</v>
      </c>
      <c r="C423" s="1048">
        <v>1</v>
      </c>
      <c r="D423" s="1048" t="s">
        <v>1472</v>
      </c>
      <c r="E423" s="1048">
        <v>2</v>
      </c>
      <c r="F423" s="1049">
        <v>1.5</v>
      </c>
      <c r="G423" s="1084">
        <v>1</v>
      </c>
      <c r="H423" s="1049">
        <v>2.4</v>
      </c>
      <c r="I423" s="1049">
        <f t="shared" si="15"/>
        <v>-7.2</v>
      </c>
      <c r="J423" s="1049"/>
      <c r="K423" s="1049"/>
      <c r="L423" s="1049"/>
      <c r="M423" s="1049"/>
      <c r="N423" s="1087"/>
      <c r="O423" s="1087"/>
    </row>
    <row r="424" spans="1:15">
      <c r="A424" s="1076"/>
      <c r="B424" s="1061" t="s">
        <v>981</v>
      </c>
      <c r="C424" s="1048">
        <v>1</v>
      </c>
      <c r="D424" s="1048" t="s">
        <v>1472</v>
      </c>
      <c r="E424" s="1048">
        <v>2</v>
      </c>
      <c r="F424" s="1049">
        <v>0.9</v>
      </c>
      <c r="G424" s="1084">
        <v>1</v>
      </c>
      <c r="H424" s="1049">
        <v>2.1</v>
      </c>
      <c r="I424" s="1049">
        <f t="shared" si="15"/>
        <v>-3.78</v>
      </c>
      <c r="J424" s="1049"/>
      <c r="K424" s="1049"/>
      <c r="L424" s="1049"/>
      <c r="M424" s="1049"/>
      <c r="N424" s="1087"/>
      <c r="O424" s="1087"/>
    </row>
    <row r="425" spans="1:15">
      <c r="A425" s="1076"/>
      <c r="B425" s="1061" t="s">
        <v>2466</v>
      </c>
      <c r="C425" s="1048">
        <v>1</v>
      </c>
      <c r="D425" s="1048" t="s">
        <v>1472</v>
      </c>
      <c r="E425" s="1048">
        <v>1</v>
      </c>
      <c r="F425" s="1049">
        <v>1.5</v>
      </c>
      <c r="G425" s="1084">
        <v>1</v>
      </c>
      <c r="H425" s="1049">
        <v>1.2</v>
      </c>
      <c r="I425" s="1049">
        <f t="shared" si="15"/>
        <v>-1.8</v>
      </c>
      <c r="J425" s="1049"/>
      <c r="K425" s="1049"/>
      <c r="L425" s="1049"/>
      <c r="M425" s="1049"/>
      <c r="N425" s="1087"/>
      <c r="O425" s="1087"/>
    </row>
    <row r="426" spans="1:15" ht="14.1">
      <c r="A426" s="1046"/>
      <c r="B426" s="1061" t="s">
        <v>2215</v>
      </c>
      <c r="C426" s="1048">
        <v>1</v>
      </c>
      <c r="D426" s="1048" t="s">
        <v>1472</v>
      </c>
      <c r="E426" s="1048">
        <v>6</v>
      </c>
      <c r="F426" s="1049">
        <f>11*0.3048</f>
        <v>3.3528000000000002</v>
      </c>
      <c r="G426" s="1084">
        <v>1</v>
      </c>
      <c r="H426" s="1049">
        <v>0.9</v>
      </c>
      <c r="I426" s="1049">
        <f t="shared" si="15"/>
        <v>-18.11</v>
      </c>
      <c r="J426" s="1049"/>
      <c r="K426" s="1049"/>
      <c r="L426" s="1049"/>
      <c r="M426" s="1049"/>
      <c r="N426" s="1087"/>
      <c r="O426" s="1087"/>
    </row>
    <row r="427" spans="1:15" ht="14.1">
      <c r="A427" s="1046"/>
      <c r="B427" s="1061" t="s">
        <v>2216</v>
      </c>
      <c r="C427" s="1048">
        <v>1</v>
      </c>
      <c r="D427" s="1048" t="s">
        <v>1472</v>
      </c>
      <c r="E427" s="1048">
        <v>2</v>
      </c>
      <c r="F427" s="1049">
        <v>2.4</v>
      </c>
      <c r="G427" s="1084">
        <v>1</v>
      </c>
      <c r="H427" s="1049">
        <v>2</v>
      </c>
      <c r="I427" s="1049">
        <f t="shared" si="15"/>
        <v>-9.6</v>
      </c>
      <c r="J427" s="1049"/>
      <c r="K427" s="1049"/>
      <c r="L427" s="1049"/>
      <c r="M427" s="1049"/>
      <c r="N427" s="1087"/>
      <c r="O427" s="1087"/>
    </row>
    <row r="428" spans="1:15" ht="14.1">
      <c r="A428" s="1048"/>
      <c r="B428" s="1060" t="s">
        <v>2124</v>
      </c>
      <c r="C428" s="1048"/>
      <c r="D428" s="1048"/>
      <c r="E428" s="1048"/>
      <c r="F428" s="1049"/>
      <c r="G428" s="1049"/>
      <c r="H428" s="1049"/>
      <c r="I428" s="1049"/>
      <c r="J428" s="1049"/>
      <c r="K428" s="1049"/>
      <c r="L428" s="1049"/>
      <c r="M428" s="1049"/>
      <c r="N428" s="1087"/>
      <c r="O428" s="1087"/>
    </row>
    <row r="429" spans="1:15" ht="14.1">
      <c r="A429" s="1046"/>
      <c r="B429" s="1050" t="s">
        <v>2093</v>
      </c>
      <c r="C429" s="1048">
        <v>1</v>
      </c>
      <c r="D429" s="1048" t="s">
        <v>1472</v>
      </c>
      <c r="E429" s="1048">
        <v>2</v>
      </c>
      <c r="F429" s="1049">
        <f>10.5*0.3048</f>
        <v>3.2004000000000001</v>
      </c>
      <c r="G429" s="1084">
        <v>1</v>
      </c>
      <c r="H429" s="1049">
        <v>2.9</v>
      </c>
      <c r="I429" s="1049">
        <f>ROUND(C429*E429*F429*G429*H429,2)</f>
        <v>18.559999999999999</v>
      </c>
      <c r="J429" s="1049"/>
      <c r="K429" s="1049"/>
      <c r="L429" s="1049"/>
      <c r="M429" s="1049"/>
      <c r="N429" s="1087"/>
      <c r="O429" s="1087"/>
    </row>
    <row r="430" spans="1:15" ht="14.1">
      <c r="A430" s="1046"/>
      <c r="B430" s="1050" t="s">
        <v>2094</v>
      </c>
      <c r="C430" s="1048">
        <v>1</v>
      </c>
      <c r="D430" s="1048" t="s">
        <v>1472</v>
      </c>
      <c r="E430" s="1048">
        <v>2</v>
      </c>
      <c r="F430" s="1049">
        <f>10*0.3048</f>
        <v>3.048</v>
      </c>
      <c r="G430" s="1084">
        <v>1</v>
      </c>
      <c r="H430" s="1049">
        <v>2.9</v>
      </c>
      <c r="I430" s="1049">
        <f>ROUND(C430*E430*F430*G430*H430,2)</f>
        <v>17.68</v>
      </c>
      <c r="J430" s="1049"/>
      <c r="K430" s="1049"/>
      <c r="L430" s="1049"/>
      <c r="M430" s="1049"/>
      <c r="N430" s="1087"/>
      <c r="O430" s="1087"/>
    </row>
    <row r="431" spans="1:15">
      <c r="A431" s="1048"/>
      <c r="B431" s="1061" t="s">
        <v>2125</v>
      </c>
      <c r="C431" s="1048">
        <v>1</v>
      </c>
      <c r="D431" s="1048" t="s">
        <v>1472</v>
      </c>
      <c r="E431" s="1048">
        <v>2</v>
      </c>
      <c r="F431" s="1049">
        <f>10.5*0.3048</f>
        <v>3.2004000000000001</v>
      </c>
      <c r="G431" s="1084">
        <v>1</v>
      </c>
      <c r="H431" s="1049">
        <v>2.1</v>
      </c>
      <c r="I431" s="1049">
        <f>ROUND(C431*E431*F431*G431*H431,2)</f>
        <v>13.44</v>
      </c>
      <c r="J431" s="1049"/>
      <c r="K431" s="1049"/>
      <c r="L431" s="1049"/>
      <c r="M431" s="1049"/>
      <c r="N431" s="1087"/>
      <c r="O431" s="1087"/>
    </row>
    <row r="432" spans="1:15">
      <c r="A432" s="1048"/>
      <c r="B432" s="1061" t="s">
        <v>2125</v>
      </c>
      <c r="C432" s="1048">
        <v>1</v>
      </c>
      <c r="D432" s="1048" t="s">
        <v>1472</v>
      </c>
      <c r="E432" s="1048">
        <v>2</v>
      </c>
      <c r="F432" s="1049">
        <v>3.42</v>
      </c>
      <c r="G432" s="1084">
        <v>1</v>
      </c>
      <c r="H432" s="1049">
        <v>2.1</v>
      </c>
      <c r="I432" s="1049">
        <f>ROUND(C432*E432*F432*G432*H432,2)</f>
        <v>14.36</v>
      </c>
      <c r="J432" s="1049"/>
      <c r="K432" s="1049"/>
      <c r="L432" s="1049"/>
      <c r="M432" s="1049"/>
      <c r="N432" s="1087"/>
      <c r="O432" s="1087"/>
    </row>
    <row r="433" spans="1:15" ht="14.1">
      <c r="A433" s="1048"/>
      <c r="B433" s="1060" t="s">
        <v>675</v>
      </c>
      <c r="C433" s="1048"/>
      <c r="D433" s="1048"/>
      <c r="E433" s="1048"/>
      <c r="F433" s="1049"/>
      <c r="G433" s="1049"/>
      <c r="H433" s="1049"/>
      <c r="I433" s="1049"/>
      <c r="J433" s="1049"/>
      <c r="K433" s="1049"/>
      <c r="L433" s="1049"/>
      <c r="M433" s="1049"/>
      <c r="N433" s="1087"/>
      <c r="O433" s="1087"/>
    </row>
    <row r="434" spans="1:15">
      <c r="A434" s="1048"/>
      <c r="B434" s="1061" t="s">
        <v>2126</v>
      </c>
      <c r="C434" s="1048">
        <v>1</v>
      </c>
      <c r="D434" s="1048" t="s">
        <v>1472</v>
      </c>
      <c r="E434" s="1048">
        <v>2</v>
      </c>
      <c r="F434" s="1049">
        <v>0.9</v>
      </c>
      <c r="G434" s="1084">
        <v>1</v>
      </c>
      <c r="H434" s="1049">
        <v>2.1</v>
      </c>
      <c r="I434" s="1049">
        <f>-ROUND(C434*E434*F434*G434*H434,2)</f>
        <v>-3.78</v>
      </c>
      <c r="J434" s="1049"/>
      <c r="K434" s="1049"/>
      <c r="L434" s="1049"/>
      <c r="M434" s="1049"/>
      <c r="N434" s="1087"/>
      <c r="O434" s="1087"/>
    </row>
    <row r="435" spans="1:15">
      <c r="A435" s="1048"/>
      <c r="B435" s="1061" t="s">
        <v>101</v>
      </c>
      <c r="C435" s="1048">
        <v>1</v>
      </c>
      <c r="D435" s="1048" t="s">
        <v>1472</v>
      </c>
      <c r="E435" s="1048">
        <v>2</v>
      </c>
      <c r="F435" s="1049">
        <v>0.75</v>
      </c>
      <c r="G435" s="1084">
        <v>1</v>
      </c>
      <c r="H435" s="1049">
        <v>2.1</v>
      </c>
      <c r="I435" s="1049">
        <f>-ROUND(C435*E435*F435*G435*H435,2)</f>
        <v>-3.15</v>
      </c>
      <c r="J435" s="1049"/>
      <c r="K435" s="1049"/>
      <c r="L435" s="1049"/>
      <c r="M435" s="1049"/>
      <c r="N435" s="1087"/>
      <c r="O435" s="1087"/>
    </row>
    <row r="436" spans="1:15">
      <c r="A436" s="1048"/>
      <c r="B436" s="1061" t="s">
        <v>2224</v>
      </c>
      <c r="C436" s="1048">
        <v>1</v>
      </c>
      <c r="D436" s="1048" t="s">
        <v>1472</v>
      </c>
      <c r="E436" s="1048">
        <v>2</v>
      </c>
      <c r="F436" s="1049">
        <v>0.75</v>
      </c>
      <c r="G436" s="1084">
        <v>1</v>
      </c>
      <c r="H436" s="1049">
        <v>0.3</v>
      </c>
      <c r="I436" s="1049">
        <f>-ROUND(C436*E436*F436*G436*H436,2)</f>
        <v>-0.45</v>
      </c>
      <c r="J436" s="1049"/>
      <c r="K436" s="1049"/>
      <c r="L436" s="1049"/>
      <c r="M436" s="1049"/>
      <c r="N436" s="1087"/>
      <c r="O436" s="1087"/>
    </row>
    <row r="437" spans="1:15" ht="14.1">
      <c r="A437" s="1046"/>
      <c r="B437" s="1065"/>
      <c r="C437" s="1048"/>
      <c r="D437" s="1048"/>
      <c r="E437" s="1048"/>
      <c r="F437" s="1049"/>
      <c r="G437" s="1049"/>
      <c r="H437" s="1049"/>
      <c r="I437" s="1049">
        <f>SUM(I417:I436)</f>
        <v>317.67000000000007</v>
      </c>
      <c r="J437" s="1049">
        <f>Datas!G892</f>
        <v>1206.3</v>
      </c>
      <c r="K437" s="1053">
        <f>ROUND(J437*I437/10,0)</f>
        <v>38321</v>
      </c>
      <c r="L437" s="1049"/>
      <c r="M437" s="1049"/>
      <c r="N437" s="1087"/>
      <c r="O437" s="1087"/>
    </row>
    <row r="438" spans="1:15" ht="14.1">
      <c r="A438" s="1046"/>
      <c r="B438" s="1071"/>
      <c r="C438" s="1086"/>
      <c r="D438" s="1086"/>
      <c r="E438" s="1086"/>
      <c r="F438" s="1049"/>
      <c r="G438" s="1086"/>
      <c r="H438" s="1086"/>
      <c r="I438" s="1097" t="s">
        <v>1478</v>
      </c>
      <c r="J438" s="1049" t="s">
        <v>37</v>
      </c>
      <c r="K438" s="1049"/>
      <c r="L438" s="1049"/>
      <c r="M438" s="1049"/>
      <c r="N438" s="1087"/>
      <c r="O438" s="1087"/>
    </row>
    <row r="439" spans="1:15" ht="98.25" customHeight="1">
      <c r="A439" s="1085">
        <v>36</v>
      </c>
      <c r="B439" s="2415" t="s">
        <v>2244</v>
      </c>
      <c r="C439" s="2416"/>
      <c r="D439" s="2416"/>
      <c r="E439" s="2416"/>
      <c r="F439" s="2416"/>
      <c r="G439" s="2416"/>
      <c r="H439" s="2416"/>
      <c r="I439" s="2417"/>
      <c r="J439" s="1049"/>
      <c r="K439" s="1049"/>
      <c r="L439" s="1049"/>
      <c r="M439" s="1049"/>
      <c r="N439" s="1087"/>
      <c r="O439" s="1087"/>
    </row>
    <row r="440" spans="1:15" ht="14.1">
      <c r="A440" s="1046"/>
      <c r="B440" s="1060" t="s">
        <v>2135</v>
      </c>
      <c r="C440" s="1082"/>
      <c r="D440" s="1082"/>
      <c r="E440" s="1082"/>
      <c r="F440" s="1083"/>
      <c r="G440" s="1083"/>
      <c r="H440" s="1083"/>
      <c r="I440" s="1083"/>
      <c r="J440" s="1049"/>
      <c r="K440" s="1049"/>
      <c r="L440" s="1049"/>
      <c r="M440" s="1049"/>
      <c r="N440" s="1087"/>
      <c r="O440" s="1087"/>
    </row>
    <row r="441" spans="1:15" ht="14.1">
      <c r="A441" s="1046"/>
      <c r="B441" s="1050" t="s">
        <v>2115</v>
      </c>
      <c r="C441" s="1048">
        <v>1</v>
      </c>
      <c r="D441" s="1048" t="s">
        <v>1472</v>
      </c>
      <c r="E441" s="1048">
        <v>2</v>
      </c>
      <c r="F441" s="1049">
        <f>60.75*0.3048</f>
        <v>18.5166</v>
      </c>
      <c r="G441" s="1084">
        <v>1</v>
      </c>
      <c r="H441" s="1049">
        <v>3.6</v>
      </c>
      <c r="I441" s="1049">
        <f>ROUND(C441*E441*F441*G441*H441,2)</f>
        <v>133.32</v>
      </c>
      <c r="J441" s="1049"/>
      <c r="K441" s="1049"/>
      <c r="L441" s="1049"/>
      <c r="M441" s="1049"/>
      <c r="N441" s="1087"/>
      <c r="O441" s="1087"/>
    </row>
    <row r="442" spans="1:15" ht="14.1">
      <c r="A442" s="1046"/>
      <c r="B442" s="1050" t="s">
        <v>2033</v>
      </c>
      <c r="C442" s="1048">
        <v>1</v>
      </c>
      <c r="D442" s="1048" t="s">
        <v>1472</v>
      </c>
      <c r="E442" s="1048">
        <v>2</v>
      </c>
      <c r="F442" s="1049">
        <f>31.5*0.3048</f>
        <v>9.6012000000000004</v>
      </c>
      <c r="G442" s="1084">
        <v>1</v>
      </c>
      <c r="H442" s="1164" t="s">
        <v>2286</v>
      </c>
      <c r="I442" s="1049">
        <f>ROUND(C442*E442*F442*G442*AVERAGE(3.6,5.5,3.6),2)</f>
        <v>81.290000000000006</v>
      </c>
      <c r="J442" s="1049"/>
      <c r="K442" s="1049"/>
      <c r="L442" s="1049"/>
      <c r="M442" s="1049"/>
      <c r="N442" s="1087"/>
      <c r="O442" s="1087"/>
    </row>
    <row r="443" spans="1:15" ht="14.1">
      <c r="A443" s="1046"/>
      <c r="B443" s="1060" t="s">
        <v>2136</v>
      </c>
      <c r="C443" s="1048"/>
      <c r="D443" s="1048"/>
      <c r="E443" s="1048"/>
      <c r="F443" s="1049"/>
      <c r="G443" s="1084"/>
      <c r="H443" s="1049"/>
      <c r="I443" s="1068"/>
      <c r="J443" s="1049"/>
      <c r="K443" s="1049"/>
      <c r="L443" s="1049"/>
      <c r="M443" s="1068"/>
      <c r="N443" s="1087"/>
      <c r="O443" s="1087"/>
    </row>
    <row r="444" spans="1:15" ht="14.1">
      <c r="A444" s="1046"/>
      <c r="B444" s="1050" t="s">
        <v>2093</v>
      </c>
      <c r="C444" s="1048">
        <v>1</v>
      </c>
      <c r="D444" s="1048" t="s">
        <v>1472</v>
      </c>
      <c r="E444" s="1048">
        <v>2</v>
      </c>
      <c r="F444" s="1049">
        <f>12*0.3048</f>
        <v>3.6576000000000004</v>
      </c>
      <c r="G444" s="1084">
        <v>1</v>
      </c>
      <c r="H444" s="1049">
        <v>2.4</v>
      </c>
      <c r="I444" s="1049">
        <f>ROUND(C444*E444*F444*G444*H444,2)</f>
        <v>17.559999999999999</v>
      </c>
      <c r="J444" s="1049"/>
      <c r="K444" s="1049"/>
      <c r="L444" s="1049"/>
      <c r="M444" s="1049"/>
      <c r="N444" s="1087"/>
      <c r="O444" s="1087"/>
    </row>
    <row r="445" spans="1:15" ht="14.1">
      <c r="A445" s="1046"/>
      <c r="B445" s="1050" t="s">
        <v>2094</v>
      </c>
      <c r="C445" s="1048">
        <v>1</v>
      </c>
      <c r="D445" s="1048" t="s">
        <v>1472</v>
      </c>
      <c r="E445" s="1048">
        <v>2</v>
      </c>
      <c r="F445" s="1049">
        <f>11.5*0.3048</f>
        <v>3.5052000000000003</v>
      </c>
      <c r="G445" s="1084">
        <v>1</v>
      </c>
      <c r="H445" s="1049">
        <v>2.4</v>
      </c>
      <c r="I445" s="1049">
        <f>ROUND(C445*E445*F445*G445*H445,2)</f>
        <v>16.82</v>
      </c>
      <c r="J445" s="1049"/>
      <c r="K445" s="1049"/>
      <c r="L445" s="1049"/>
      <c r="M445" s="1049"/>
      <c r="N445" s="1087"/>
      <c r="O445" s="1087"/>
    </row>
    <row r="446" spans="1:15" ht="14.1">
      <c r="A446" s="1046"/>
      <c r="B446" s="1061"/>
      <c r="C446" s="1048"/>
      <c r="D446" s="1048"/>
      <c r="E446" s="1048"/>
      <c r="F446" s="1049"/>
      <c r="G446" s="1049"/>
      <c r="H446" s="1049" t="s">
        <v>982</v>
      </c>
      <c r="I446" s="1052">
        <f>SUM(I441:I445)</f>
        <v>248.99</v>
      </c>
      <c r="J446" s="1049">
        <f>Datas!G983</f>
        <v>2032.3400000000001</v>
      </c>
      <c r="K446" s="1053">
        <f>ROUND(J446*I446/10,0)</f>
        <v>50603</v>
      </c>
      <c r="L446" s="1049">
        <f>0.12*9+1.1*8</f>
        <v>9.8800000000000008</v>
      </c>
      <c r="M446" s="1055">
        <f>L446*I446</f>
        <v>2460.0212000000001</v>
      </c>
      <c r="N446" s="1087"/>
      <c r="O446" s="1087"/>
    </row>
    <row r="447" spans="1:15" ht="14.1">
      <c r="A447" s="1046"/>
      <c r="B447" s="1060"/>
      <c r="C447" s="1048"/>
      <c r="D447" s="1048"/>
      <c r="E447" s="1048"/>
      <c r="F447" s="1049"/>
      <c r="G447" s="1049"/>
      <c r="H447" s="1049"/>
      <c r="I447" s="1053" t="s">
        <v>1478</v>
      </c>
      <c r="J447" s="1049" t="s">
        <v>37</v>
      </c>
      <c r="K447" s="1053"/>
      <c r="L447" s="1049"/>
      <c r="M447" s="1049"/>
      <c r="N447" s="1087"/>
      <c r="O447" s="1087"/>
    </row>
    <row r="448" spans="1:15" ht="48.75" customHeight="1">
      <c r="A448" s="1085">
        <v>37</v>
      </c>
      <c r="B448" s="2428" t="s">
        <v>2180</v>
      </c>
      <c r="C448" s="2429"/>
      <c r="D448" s="2429"/>
      <c r="E448" s="2429"/>
      <c r="F448" s="2429"/>
      <c r="G448" s="2429"/>
      <c r="H448" s="2429"/>
      <c r="I448" s="2430"/>
      <c r="J448" s="1049"/>
      <c r="K448" s="1049"/>
      <c r="L448" s="1049"/>
      <c r="M448" s="1049"/>
      <c r="N448" s="1087"/>
      <c r="O448" s="1087"/>
    </row>
    <row r="449" spans="1:16">
      <c r="A449" s="1048"/>
      <c r="B449" s="1061" t="s">
        <v>2242</v>
      </c>
      <c r="C449" s="1048">
        <v>1</v>
      </c>
      <c r="D449" s="1048" t="s">
        <v>1472</v>
      </c>
      <c r="E449" s="1048">
        <v>1</v>
      </c>
      <c r="F449" s="1049">
        <v>2.25</v>
      </c>
      <c r="G449" s="1049">
        <v>1.8</v>
      </c>
      <c r="H449" s="1049">
        <v>2.4</v>
      </c>
      <c r="I449" s="1049">
        <f>ROUND(C449*E449*F449*G449*H449,2)</f>
        <v>9.7200000000000006</v>
      </c>
      <c r="J449" s="1049"/>
      <c r="K449" s="1049"/>
      <c r="L449" s="1049"/>
      <c r="M449" s="1049"/>
      <c r="N449" s="1087"/>
      <c r="O449" s="1087"/>
    </row>
    <row r="450" spans="1:16">
      <c r="A450" s="1048"/>
      <c r="B450" s="1061" t="s">
        <v>2181</v>
      </c>
      <c r="C450" s="1048">
        <v>1</v>
      </c>
      <c r="D450" s="1048" t="s">
        <v>1472</v>
      </c>
      <c r="E450" s="1048">
        <v>2</v>
      </c>
      <c r="F450" s="1049">
        <v>2.25</v>
      </c>
      <c r="G450" s="1049">
        <v>1.5</v>
      </c>
      <c r="H450" s="1049">
        <v>2.4</v>
      </c>
      <c r="I450" s="1049">
        <f>ROUND(C450*E450*F450*G450*H450,2)</f>
        <v>16.2</v>
      </c>
      <c r="J450" s="1049"/>
      <c r="K450" s="1049"/>
      <c r="L450" s="1049"/>
      <c r="M450" s="1049"/>
      <c r="N450" s="1087"/>
      <c r="O450" s="1087"/>
    </row>
    <row r="451" spans="1:16">
      <c r="A451" s="1048"/>
      <c r="B451" s="1061" t="s">
        <v>981</v>
      </c>
      <c r="C451" s="1048">
        <v>1</v>
      </c>
      <c r="D451" s="1048" t="s">
        <v>1472</v>
      </c>
      <c r="E451" s="1048">
        <v>2</v>
      </c>
      <c r="F451" s="1049">
        <v>2.25</v>
      </c>
      <c r="G451" s="1049">
        <v>0.9</v>
      </c>
      <c r="H451" s="1049">
        <v>2.1</v>
      </c>
      <c r="I451" s="1049">
        <f>ROUND(C451*E451*F451*G451*H451,2)</f>
        <v>8.51</v>
      </c>
      <c r="J451" s="1049"/>
      <c r="K451" s="1049"/>
      <c r="L451" s="1049"/>
      <c r="M451" s="1049"/>
      <c r="N451" s="1087"/>
      <c r="O451" s="1087"/>
    </row>
    <row r="452" spans="1:16">
      <c r="A452" s="1048"/>
      <c r="B452" s="1061" t="s">
        <v>2182</v>
      </c>
      <c r="C452" s="1048">
        <v>1</v>
      </c>
      <c r="D452" s="1048" t="s">
        <v>1472</v>
      </c>
      <c r="E452" s="1048">
        <v>2</v>
      </c>
      <c r="F452" s="1049">
        <v>2.25</v>
      </c>
      <c r="G452" s="1049">
        <v>0.75</v>
      </c>
      <c r="H452" s="1049">
        <v>2.1</v>
      </c>
      <c r="I452" s="1049">
        <f>ROUND(C452*E452*F452*G452*H452,2)</f>
        <v>7.09</v>
      </c>
      <c r="J452" s="1049"/>
      <c r="K452" s="1049"/>
      <c r="L452" s="1049"/>
      <c r="M452" s="1049"/>
      <c r="N452" s="1087"/>
      <c r="O452" s="1087"/>
    </row>
    <row r="453" spans="1:16">
      <c r="A453" s="1048"/>
      <c r="B453" s="1061" t="s">
        <v>2466</v>
      </c>
      <c r="C453" s="1048">
        <v>1</v>
      </c>
      <c r="D453" s="1048" t="s">
        <v>1472</v>
      </c>
      <c r="E453" s="1048">
        <v>4</v>
      </c>
      <c r="F453" s="1049">
        <v>2.75</v>
      </c>
      <c r="G453" s="1049">
        <v>1.5</v>
      </c>
      <c r="H453" s="1049">
        <v>1.2</v>
      </c>
      <c r="I453" s="1049">
        <f>ROUND(C453*E453*F453*G453*H453,2)</f>
        <v>19.8</v>
      </c>
      <c r="J453" s="1049"/>
      <c r="K453" s="1049"/>
      <c r="L453" s="1049"/>
      <c r="M453" s="1049"/>
      <c r="N453" s="1087"/>
      <c r="O453" s="1087"/>
    </row>
    <row r="454" spans="1:16" ht="14.1">
      <c r="A454" s="1046"/>
      <c r="B454" s="1061"/>
      <c r="C454" s="1048"/>
      <c r="D454" s="1048"/>
      <c r="E454" s="1048"/>
      <c r="F454" s="1049"/>
      <c r="G454" s="1049"/>
      <c r="H454" s="1049"/>
      <c r="I454" s="1049">
        <f>SUM(I449:I453)</f>
        <v>61.319999999999993</v>
      </c>
      <c r="J454" s="1049"/>
      <c r="K454" s="1049"/>
      <c r="L454" s="1049"/>
      <c r="M454" s="1049"/>
      <c r="N454" s="1087"/>
      <c r="O454" s="1087"/>
    </row>
    <row r="455" spans="1:16" ht="14.1">
      <c r="A455" s="1046"/>
      <c r="B455" s="1060"/>
      <c r="C455" s="1048"/>
      <c r="D455" s="1048"/>
      <c r="E455" s="1048"/>
      <c r="F455" s="1049"/>
      <c r="G455" s="1049"/>
      <c r="H455" s="1049" t="s">
        <v>471</v>
      </c>
      <c r="I455" s="1053">
        <f>CEILING(I454,0.05)</f>
        <v>61.35</v>
      </c>
      <c r="J455" s="1049">
        <f>Datas!G925</f>
        <v>113.67999999999999</v>
      </c>
      <c r="K455" s="1053">
        <f>ROUND(J455*I455/10,0)</f>
        <v>697</v>
      </c>
      <c r="L455" s="1049"/>
      <c r="M455" s="1049"/>
      <c r="N455" s="1087"/>
      <c r="O455" s="1087"/>
    </row>
    <row r="456" spans="1:16" ht="14.1">
      <c r="A456" s="1046"/>
      <c r="B456" s="1060"/>
      <c r="C456" s="1048"/>
      <c r="D456" s="1048"/>
      <c r="E456" s="1048"/>
      <c r="F456" s="1049"/>
      <c r="G456" s="1049"/>
      <c r="H456" s="1049"/>
      <c r="I456" s="1053" t="s">
        <v>1478</v>
      </c>
      <c r="J456" s="1049" t="s">
        <v>37</v>
      </c>
      <c r="K456" s="1053"/>
      <c r="L456" s="1049"/>
      <c r="M456" s="1049"/>
      <c r="N456" s="1087"/>
      <c r="O456" s="1087"/>
    </row>
    <row r="457" spans="1:16" ht="129" customHeight="1">
      <c r="A457" s="1085">
        <v>38</v>
      </c>
      <c r="B457" s="2415" t="s">
        <v>2462</v>
      </c>
      <c r="C457" s="2416"/>
      <c r="D457" s="2416"/>
      <c r="E457" s="2416"/>
      <c r="F457" s="2416"/>
      <c r="G457" s="2416"/>
      <c r="H457" s="2416"/>
      <c r="I457" s="2417"/>
      <c r="J457" s="1049"/>
      <c r="K457" s="1049"/>
      <c r="L457" s="1049"/>
      <c r="M457" s="1049"/>
      <c r="N457" s="1087">
        <f>3.2-2.63</f>
        <v>0.57000000000000028</v>
      </c>
      <c r="O457" s="1087" t="e">
        <f>N45262098.50</f>
        <v>#NAME?</v>
      </c>
    </row>
    <row r="458" spans="1:16" ht="15" customHeight="1">
      <c r="A458" s="1046"/>
      <c r="B458" s="1060" t="s">
        <v>2477</v>
      </c>
      <c r="C458" s="1048"/>
      <c r="D458" s="1048"/>
      <c r="E458" s="1048"/>
      <c r="F458" s="1049"/>
      <c r="G458" s="1049"/>
      <c r="H458" s="1049"/>
      <c r="I458" s="1053">
        <f>P3</f>
        <v>3.61</v>
      </c>
      <c r="J458" s="1049">
        <f>Datas!$G$584</f>
        <v>77799</v>
      </c>
      <c r="K458" s="1053">
        <f>ROUND(J458*I458,0)</f>
        <v>280854</v>
      </c>
      <c r="L458" s="1049"/>
      <c r="M458" s="1049"/>
      <c r="N458" s="1223">
        <v>3.3</v>
      </c>
      <c r="O458" s="1087"/>
      <c r="P458" s="1224">
        <f>K539</f>
        <v>2200000</v>
      </c>
    </row>
    <row r="459" spans="1:16" ht="20.25" customHeight="1">
      <c r="A459" s="1046"/>
      <c r="B459" s="1060"/>
      <c r="C459" s="1048"/>
      <c r="D459" s="1048"/>
      <c r="E459" s="1048"/>
      <c r="F459" s="1049"/>
      <c r="G459" s="1049"/>
      <c r="H459" s="1049"/>
      <c r="I459" s="1053" t="s">
        <v>205</v>
      </c>
      <c r="J459" s="1049" t="s">
        <v>206</v>
      </c>
      <c r="K459" s="1053"/>
      <c r="L459" s="1049"/>
      <c r="M459" s="1049"/>
      <c r="N459" s="1087"/>
      <c r="O459" s="1087"/>
    </row>
    <row r="460" spans="1:16" s="1055" customFormat="1" ht="26.25" customHeight="1">
      <c r="A460" s="1030"/>
      <c r="B460" s="2431" t="s">
        <v>1165</v>
      </c>
      <c r="C460" s="2431"/>
      <c r="D460" s="2431"/>
      <c r="E460" s="2431"/>
      <c r="F460" s="2431"/>
      <c r="G460" s="2431"/>
      <c r="H460" s="2431"/>
      <c r="I460" s="2431"/>
      <c r="J460" s="1098"/>
      <c r="K460" s="1029"/>
      <c r="L460" s="1029"/>
      <c r="N460" s="1147"/>
      <c r="O460" s="1147"/>
    </row>
    <row r="461" spans="1:16" s="1055" customFormat="1" ht="66" customHeight="1">
      <c r="A461" s="1085">
        <v>39</v>
      </c>
      <c r="B461" s="2415" t="s">
        <v>1</v>
      </c>
      <c r="C461" s="2416"/>
      <c r="D461" s="2416"/>
      <c r="E461" s="2416"/>
      <c r="F461" s="2416"/>
      <c r="G461" s="2416"/>
      <c r="H461" s="2416"/>
      <c r="I461" s="2417"/>
      <c r="J461" s="1098"/>
      <c r="K461" s="1029"/>
      <c r="L461" s="1029"/>
      <c r="N461" s="1147"/>
      <c r="O461" s="1147"/>
    </row>
    <row r="462" spans="1:16" s="1055" customFormat="1" ht="14.1">
      <c r="A462" s="1046"/>
      <c r="B462" s="1076"/>
      <c r="C462" s="1076"/>
      <c r="D462" s="1076"/>
      <c r="E462" s="1098"/>
      <c r="F462" s="1099"/>
      <c r="G462" s="1099"/>
      <c r="H462" s="1100"/>
      <c r="I462" s="1099">
        <v>80</v>
      </c>
      <c r="J462" s="1049">
        <f>'data-Elec '!$H$60</f>
        <v>111.43</v>
      </c>
      <c r="K462" s="1053">
        <f>ROUND(J462*I462,0)</f>
        <v>8914</v>
      </c>
      <c r="L462" s="1029"/>
      <c r="N462" s="1147"/>
      <c r="O462" s="1147"/>
    </row>
    <row r="463" spans="1:16" s="1055" customFormat="1" ht="18.75" customHeight="1">
      <c r="A463" s="1046"/>
      <c r="B463" s="1076"/>
      <c r="C463" s="1076"/>
      <c r="D463" s="1076"/>
      <c r="E463" s="1098"/>
      <c r="F463" s="1099"/>
      <c r="G463" s="1099"/>
      <c r="H463" s="1100"/>
      <c r="I463" s="1099" t="s">
        <v>495</v>
      </c>
      <c r="J463" s="1049" t="s">
        <v>453</v>
      </c>
      <c r="K463" s="1053"/>
      <c r="L463" s="1029"/>
      <c r="N463" s="1147"/>
      <c r="O463" s="1147"/>
    </row>
    <row r="464" spans="1:16" s="1055" customFormat="1" ht="42" customHeight="1">
      <c r="A464" s="1085">
        <v>40</v>
      </c>
      <c r="B464" s="2415" t="s">
        <v>1245</v>
      </c>
      <c r="C464" s="2416"/>
      <c r="D464" s="2416"/>
      <c r="E464" s="2416"/>
      <c r="F464" s="2416"/>
      <c r="G464" s="2416"/>
      <c r="H464" s="2416"/>
      <c r="I464" s="2417"/>
      <c r="J464" s="1098"/>
      <c r="K464" s="1029"/>
      <c r="L464" s="1029"/>
      <c r="N464" s="1147"/>
      <c r="O464" s="1147"/>
    </row>
    <row r="465" spans="1:15" s="1055" customFormat="1" ht="14.1">
      <c r="A465" s="1046"/>
      <c r="B465" s="1076"/>
      <c r="C465" s="1076">
        <v>1</v>
      </c>
      <c r="D465" s="1076" t="s">
        <v>1472</v>
      </c>
      <c r="E465" s="1098">
        <v>1</v>
      </c>
      <c r="F465" s="1099"/>
      <c r="G465" s="1099"/>
      <c r="H465" s="1100"/>
      <c r="I465" s="1099">
        <v>30</v>
      </c>
      <c r="J465" s="1049">
        <f>'data-Elec '!$H$92</f>
        <v>554.66999999999996</v>
      </c>
      <c r="K465" s="1053">
        <f>ROUND(J465*I465,0)</f>
        <v>16640</v>
      </c>
      <c r="L465" s="1029"/>
      <c r="N465" s="1147"/>
      <c r="O465" s="1147"/>
    </row>
    <row r="466" spans="1:15" s="1055" customFormat="1" ht="18.75" customHeight="1">
      <c r="A466" s="1046"/>
      <c r="B466" s="1076"/>
      <c r="C466" s="1076"/>
      <c r="D466" s="1076"/>
      <c r="E466" s="1098"/>
      <c r="F466" s="1099"/>
      <c r="G466" s="1099"/>
      <c r="H466" s="1100"/>
      <c r="I466" s="1099" t="s">
        <v>1164</v>
      </c>
      <c r="J466" s="1049" t="s">
        <v>3</v>
      </c>
      <c r="K466" s="1053"/>
      <c r="L466" s="1029"/>
      <c r="N466" s="1147"/>
      <c r="O466" s="1147"/>
    </row>
    <row r="467" spans="1:15" s="1055" customFormat="1" ht="50.25" customHeight="1">
      <c r="A467" s="1085">
        <v>41</v>
      </c>
      <c r="B467" s="2415" t="s">
        <v>1248</v>
      </c>
      <c r="C467" s="2416"/>
      <c r="D467" s="2416"/>
      <c r="E467" s="2416"/>
      <c r="F467" s="2416"/>
      <c r="G467" s="2416"/>
      <c r="H467" s="2416"/>
      <c r="I467" s="2417"/>
      <c r="J467" s="1101"/>
      <c r="K467" s="1029"/>
      <c r="L467" s="1029"/>
      <c r="N467" s="1147"/>
      <c r="O467" s="1147"/>
    </row>
    <row r="468" spans="1:15" s="1055" customFormat="1" ht="14.1">
      <c r="A468" s="1046"/>
      <c r="B468" s="1076" t="s">
        <v>199</v>
      </c>
      <c r="C468" s="1076">
        <v>1</v>
      </c>
      <c r="D468" s="1076" t="s">
        <v>1472</v>
      </c>
      <c r="E468" s="1098">
        <v>1</v>
      </c>
      <c r="F468" s="1099"/>
      <c r="G468" s="1099"/>
      <c r="H468" s="1100"/>
      <c r="I468" s="1099">
        <v>150</v>
      </c>
      <c r="J468" s="1049">
        <f>'data-Elec '!$H$136</f>
        <v>60.25</v>
      </c>
      <c r="K468" s="1053">
        <f>ROUND(J468*I468,0)</f>
        <v>9038</v>
      </c>
      <c r="L468" s="1029"/>
      <c r="N468" s="1147"/>
      <c r="O468" s="1147"/>
    </row>
    <row r="469" spans="1:15" s="1055" customFormat="1" ht="14.1">
      <c r="A469" s="1046"/>
      <c r="B469" s="1076"/>
      <c r="C469" s="1076"/>
      <c r="D469" s="1076"/>
      <c r="E469" s="1098"/>
      <c r="F469" s="1099"/>
      <c r="G469" s="1099"/>
      <c r="H469" s="1100"/>
      <c r="I469" s="1099" t="s">
        <v>495</v>
      </c>
      <c r="J469" s="1049" t="s">
        <v>5</v>
      </c>
      <c r="K469" s="1053"/>
      <c r="L469" s="1029"/>
      <c r="N469" s="1147"/>
      <c r="O469" s="1147"/>
    </row>
    <row r="470" spans="1:15" s="1055" customFormat="1" ht="14.1">
      <c r="A470" s="1046"/>
      <c r="B470" s="1076" t="s">
        <v>200</v>
      </c>
      <c r="C470" s="1076">
        <v>1</v>
      </c>
      <c r="D470" s="1076" t="s">
        <v>1472</v>
      </c>
      <c r="E470" s="1098">
        <v>1</v>
      </c>
      <c r="F470" s="1099"/>
      <c r="G470" s="1099"/>
      <c r="H470" s="1100"/>
      <c r="I470" s="1099">
        <v>150</v>
      </c>
      <c r="J470" s="1049">
        <f>'data-Elec '!$H$149</f>
        <v>100.55</v>
      </c>
      <c r="K470" s="1053">
        <f>ROUND(J470*I470,0)</f>
        <v>15083</v>
      </c>
      <c r="L470" s="1029"/>
      <c r="N470" s="1147"/>
      <c r="O470" s="1147"/>
    </row>
    <row r="471" spans="1:15" s="1055" customFormat="1" ht="14.1">
      <c r="A471" s="1046"/>
      <c r="B471" s="1076"/>
      <c r="C471" s="1076"/>
      <c r="D471" s="1076"/>
      <c r="E471" s="1098"/>
      <c r="F471" s="1099"/>
      <c r="G471" s="1099"/>
      <c r="H471" s="1100"/>
      <c r="I471" s="1099" t="s">
        <v>495</v>
      </c>
      <c r="J471" s="1049" t="s">
        <v>5</v>
      </c>
      <c r="K471" s="1053"/>
      <c r="L471" s="1029"/>
      <c r="N471" s="1147"/>
      <c r="O471" s="1147"/>
    </row>
    <row r="472" spans="1:15" s="1055" customFormat="1" ht="69.75" customHeight="1">
      <c r="A472" s="1085">
        <v>42</v>
      </c>
      <c r="B472" s="2415" t="s">
        <v>48</v>
      </c>
      <c r="C472" s="2416"/>
      <c r="D472" s="2416"/>
      <c r="E472" s="2416"/>
      <c r="F472" s="2416"/>
      <c r="G472" s="2416"/>
      <c r="H472" s="2416"/>
      <c r="I472" s="2417"/>
      <c r="J472" s="1098"/>
      <c r="K472" s="1029"/>
      <c r="L472" s="1029"/>
      <c r="N472" s="1147"/>
      <c r="O472" s="1147"/>
    </row>
    <row r="473" spans="1:15" s="1055" customFormat="1" ht="18" customHeight="1">
      <c r="A473" s="1046"/>
      <c r="B473" s="1076"/>
      <c r="C473" s="1076">
        <v>1</v>
      </c>
      <c r="D473" s="1076" t="s">
        <v>1472</v>
      </c>
      <c r="E473" s="1098">
        <v>1</v>
      </c>
      <c r="F473" s="1099">
        <v>1</v>
      </c>
      <c r="G473" s="1099"/>
      <c r="H473" s="1100"/>
      <c r="I473" s="1099">
        <f>F473</f>
        <v>1</v>
      </c>
      <c r="J473" s="1049">
        <f>'data-Elec '!$H$438</f>
        <v>4622.5</v>
      </c>
      <c r="K473" s="1053">
        <f>ROUND(J473*I473,0)</f>
        <v>4623</v>
      </c>
      <c r="L473" s="1029"/>
      <c r="N473" s="1147"/>
      <c r="O473" s="1147"/>
    </row>
    <row r="474" spans="1:15" s="1055" customFormat="1" ht="18" customHeight="1">
      <c r="A474" s="1046"/>
      <c r="B474" s="1076"/>
      <c r="C474" s="1076"/>
      <c r="D474" s="1076"/>
      <c r="E474" s="1098"/>
      <c r="F474" s="1099"/>
      <c r="G474" s="1099"/>
      <c r="H474" s="1100"/>
      <c r="I474" s="1099" t="s">
        <v>857</v>
      </c>
      <c r="J474" s="1049" t="s">
        <v>4</v>
      </c>
      <c r="K474" s="1053"/>
      <c r="L474" s="1029"/>
      <c r="N474" s="1147"/>
      <c r="O474" s="1147"/>
    </row>
    <row r="475" spans="1:15" s="1055" customFormat="1" ht="34.5" customHeight="1">
      <c r="A475" s="1085">
        <v>43</v>
      </c>
      <c r="B475" s="2415" t="s">
        <v>865</v>
      </c>
      <c r="C475" s="2416"/>
      <c r="D475" s="2416"/>
      <c r="E475" s="2416"/>
      <c r="F475" s="2416"/>
      <c r="G475" s="2416"/>
      <c r="H475" s="2416"/>
      <c r="I475" s="2417"/>
      <c r="J475" s="1076"/>
      <c r="K475" s="1031"/>
      <c r="L475" s="1029"/>
      <c r="N475" s="1147"/>
      <c r="O475" s="1147"/>
    </row>
    <row r="476" spans="1:15" s="1055" customFormat="1" ht="17.25" customHeight="1">
      <c r="A476" s="1046"/>
      <c r="B476" s="1076" t="s">
        <v>451</v>
      </c>
      <c r="C476" s="1076">
        <v>1</v>
      </c>
      <c r="D476" s="1076" t="s">
        <v>1472</v>
      </c>
      <c r="E476" s="1102">
        <v>1</v>
      </c>
      <c r="F476" s="1099"/>
      <c r="G476" s="1099"/>
      <c r="H476" s="1100"/>
      <c r="I476" s="1103">
        <v>16</v>
      </c>
      <c r="J476" s="1049">
        <f>'data-Elec '!H407</f>
        <v>485.96</v>
      </c>
      <c r="K476" s="1053">
        <f>ROUND(J476*I476,0)</f>
        <v>7775</v>
      </c>
      <c r="L476" s="1029"/>
      <c r="N476" s="1147"/>
      <c r="O476" s="1147"/>
    </row>
    <row r="477" spans="1:15" s="1055" customFormat="1" ht="17.25" customHeight="1">
      <c r="A477" s="1046"/>
      <c r="B477" s="1076"/>
      <c r="C477" s="1076"/>
      <c r="D477" s="1076"/>
      <c r="E477" s="1102"/>
      <c r="F477" s="1099"/>
      <c r="G477" s="1099"/>
      <c r="H477" s="1100"/>
      <c r="I477" s="1103" t="s">
        <v>472</v>
      </c>
      <c r="J477" s="1049" t="s">
        <v>4</v>
      </c>
      <c r="K477" s="1053"/>
      <c r="L477" s="1029"/>
      <c r="N477" s="1147"/>
      <c r="O477" s="1147"/>
    </row>
    <row r="478" spans="1:15" s="1055" customFormat="1" ht="17.25" customHeight="1">
      <c r="A478" s="1046"/>
      <c r="B478" s="1076"/>
      <c r="C478" s="1076"/>
      <c r="D478" s="1076"/>
      <c r="E478" s="1102"/>
      <c r="F478" s="1099"/>
      <c r="G478" s="1099"/>
      <c r="H478" s="1100"/>
      <c r="I478" s="1103"/>
      <c r="J478" s="1049"/>
      <c r="K478" s="1053"/>
      <c r="L478" s="1029"/>
      <c r="N478" s="1147"/>
      <c r="O478" s="1147"/>
    </row>
    <row r="479" spans="1:15" s="1055" customFormat="1" ht="24.75" customHeight="1">
      <c r="A479" s="1085">
        <v>44</v>
      </c>
      <c r="B479" s="2415" t="s">
        <v>2183</v>
      </c>
      <c r="C479" s="2416"/>
      <c r="D479" s="2416"/>
      <c r="E479" s="2416"/>
      <c r="F479" s="2416"/>
      <c r="G479" s="2416"/>
      <c r="H479" s="2416"/>
      <c r="I479" s="2417"/>
      <c r="J479" s="1076"/>
      <c r="K479" s="1031"/>
      <c r="L479" s="1029"/>
    </row>
    <row r="480" spans="1:15" s="1055" customFormat="1" ht="17.25" customHeight="1">
      <c r="A480" s="1046"/>
      <c r="B480" s="1076"/>
      <c r="C480" s="1076">
        <v>1</v>
      </c>
      <c r="D480" s="1076" t="s">
        <v>1472</v>
      </c>
      <c r="E480" s="1102">
        <v>1</v>
      </c>
      <c r="F480" s="1099"/>
      <c r="G480" s="1099"/>
      <c r="H480" s="1100"/>
      <c r="I480" s="1103">
        <v>16</v>
      </c>
      <c r="J480" s="1049">
        <v>2200</v>
      </c>
      <c r="K480" s="1053">
        <f>ROUND(J480*I480,0)</f>
        <v>35200</v>
      </c>
      <c r="L480" s="1029"/>
    </row>
    <row r="481" spans="1:18" s="1055" customFormat="1" ht="17.25" customHeight="1">
      <c r="A481" s="1046"/>
      <c r="B481" s="1076"/>
      <c r="C481" s="1076"/>
      <c r="D481" s="1076"/>
      <c r="E481" s="1102"/>
      <c r="F481" s="1099"/>
      <c r="G481" s="1099"/>
      <c r="H481" s="1100"/>
      <c r="I481" s="1103" t="s">
        <v>472</v>
      </c>
      <c r="J481" s="1049" t="s">
        <v>4</v>
      </c>
      <c r="K481" s="1053"/>
      <c r="L481" s="1029"/>
    </row>
    <row r="482" spans="1:18" s="1055" customFormat="1" ht="71.25" customHeight="1">
      <c r="A482" s="1085">
        <v>45</v>
      </c>
      <c r="B482" s="2415" t="s">
        <v>1386</v>
      </c>
      <c r="C482" s="2416"/>
      <c r="D482" s="2416"/>
      <c r="E482" s="2416"/>
      <c r="F482" s="2416"/>
      <c r="G482" s="2416"/>
      <c r="H482" s="2416"/>
      <c r="I482" s="2417"/>
      <c r="J482" s="1076"/>
      <c r="K482" s="1031"/>
      <c r="L482" s="1029"/>
      <c r="N482" s="1147"/>
      <c r="O482" s="1147"/>
    </row>
    <row r="483" spans="1:18" s="1055" customFormat="1" ht="17.25" customHeight="1">
      <c r="A483" s="1046"/>
      <c r="B483" s="1076"/>
      <c r="C483" s="1076">
        <v>1</v>
      </c>
      <c r="D483" s="1076" t="s">
        <v>1472</v>
      </c>
      <c r="E483" s="1102">
        <v>1</v>
      </c>
      <c r="F483" s="1099"/>
      <c r="G483" s="1099"/>
      <c r="H483" s="1100"/>
      <c r="I483" s="1103">
        <v>1</v>
      </c>
      <c r="J483" s="1049">
        <f>'data-Elec '!H458</f>
        <v>4910.21</v>
      </c>
      <c r="K483" s="1053">
        <f>ROUND(J483*I483,0)</f>
        <v>4910</v>
      </c>
      <c r="L483" s="1029"/>
      <c r="N483" s="1147"/>
      <c r="O483" s="1147"/>
    </row>
    <row r="484" spans="1:18" s="1055" customFormat="1" ht="17.25" customHeight="1">
      <c r="A484" s="1046"/>
      <c r="B484" s="1076"/>
      <c r="C484" s="1076"/>
      <c r="D484" s="1076"/>
      <c r="E484" s="1102"/>
      <c r="F484" s="1099"/>
      <c r="G484" s="1099"/>
      <c r="H484" s="1100"/>
      <c r="I484" s="1103" t="s">
        <v>472</v>
      </c>
      <c r="J484" s="1049" t="s">
        <v>4</v>
      </c>
      <c r="K484" s="1053"/>
      <c r="L484" s="1029"/>
      <c r="N484" s="1147"/>
      <c r="O484" s="1147"/>
    </row>
    <row r="485" spans="1:18" s="1055" customFormat="1" ht="42" customHeight="1">
      <c r="A485" s="1085">
        <v>46</v>
      </c>
      <c r="B485" s="2415" t="s">
        <v>1147</v>
      </c>
      <c r="C485" s="2416"/>
      <c r="D485" s="2416"/>
      <c r="E485" s="2416"/>
      <c r="F485" s="2416"/>
      <c r="G485" s="2416"/>
      <c r="H485" s="2416"/>
      <c r="I485" s="2417"/>
      <c r="J485" s="1076"/>
      <c r="K485" s="1031"/>
      <c r="L485" s="1029"/>
      <c r="N485" s="1147"/>
      <c r="O485" s="1147"/>
    </row>
    <row r="486" spans="1:18" s="1055" customFormat="1" ht="17.25" customHeight="1">
      <c r="A486" s="1046"/>
      <c r="B486" s="1076"/>
      <c r="C486" s="1076">
        <v>1</v>
      </c>
      <c r="D486" s="1076" t="s">
        <v>1472</v>
      </c>
      <c r="E486" s="1102">
        <v>1</v>
      </c>
      <c r="F486" s="1099"/>
      <c r="G486" s="1099"/>
      <c r="H486" s="1100"/>
      <c r="I486" s="1103">
        <v>1</v>
      </c>
      <c r="J486" s="1049">
        <f>'data-Elec '!H381</f>
        <v>5291.56</v>
      </c>
      <c r="K486" s="1053">
        <f>ROUND(J486*I486,0)</f>
        <v>5292</v>
      </c>
      <c r="L486" s="1029"/>
      <c r="N486" s="1147"/>
      <c r="O486" s="1147"/>
    </row>
    <row r="487" spans="1:18" s="1055" customFormat="1" ht="17.25" customHeight="1">
      <c r="A487" s="1046"/>
      <c r="B487" s="1076"/>
      <c r="C487" s="1076"/>
      <c r="D487" s="1076"/>
      <c r="E487" s="1102"/>
      <c r="F487" s="1099"/>
      <c r="G487" s="1099"/>
      <c r="H487" s="1100"/>
      <c r="I487" s="1103" t="s">
        <v>472</v>
      </c>
      <c r="J487" s="1049" t="s">
        <v>4</v>
      </c>
      <c r="K487" s="1053"/>
      <c r="L487" s="1029"/>
      <c r="N487" s="1147"/>
      <c r="O487" s="1147"/>
    </row>
    <row r="488" spans="1:18" s="1107" customFormat="1" ht="27.75" customHeight="1">
      <c r="A488" s="1104"/>
      <c r="B488" s="2411" t="s">
        <v>1163</v>
      </c>
      <c r="C488" s="2411"/>
      <c r="D488" s="2411"/>
      <c r="E488" s="2411"/>
      <c r="F488" s="2411"/>
      <c r="G488" s="2411"/>
      <c r="H488" s="2411"/>
      <c r="I488" s="1105"/>
      <c r="J488" s="1106"/>
      <c r="K488" s="1032"/>
      <c r="L488" s="1032"/>
      <c r="N488" s="1186"/>
      <c r="O488" s="1186"/>
    </row>
    <row r="489" spans="1:18" s="1107" customFormat="1" ht="48" customHeight="1">
      <c r="A489" s="1085">
        <v>47</v>
      </c>
      <c r="B489" s="2408" t="s">
        <v>211</v>
      </c>
      <c r="C489" s="2409"/>
      <c r="D489" s="2409"/>
      <c r="E489" s="2409"/>
      <c r="F489" s="2409"/>
      <c r="G489" s="2409"/>
      <c r="H489" s="2409"/>
      <c r="I489" s="2410"/>
      <c r="J489" s="1109"/>
      <c r="K489" s="1032"/>
      <c r="L489" s="1032"/>
      <c r="M489" s="1110"/>
      <c r="N489" s="1111"/>
      <c r="O489" s="1111"/>
      <c r="P489" s="1110"/>
      <c r="Q489" s="1111"/>
      <c r="R489" s="1110"/>
    </row>
    <row r="490" spans="1:18" s="1107" customFormat="1" ht="14.1">
      <c r="A490" s="1104"/>
      <c r="B490" s="1112"/>
      <c r="C490" s="1106">
        <v>1</v>
      </c>
      <c r="D490" s="1112" t="s">
        <v>1472</v>
      </c>
      <c r="E490" s="1106">
        <v>1</v>
      </c>
      <c r="F490" s="1113">
        <v>1</v>
      </c>
      <c r="G490" s="1113"/>
      <c r="H490" s="1113"/>
      <c r="I490" s="1113">
        <v>2</v>
      </c>
      <c r="J490" s="1114">
        <f>' DATA -Sanitary&amp;water supply'!$G$5</f>
        <v>2207</v>
      </c>
      <c r="K490" s="1115">
        <f>ROUND(J490*I490,0)</f>
        <v>4414</v>
      </c>
      <c r="L490" s="1032"/>
      <c r="M490" s="1110"/>
      <c r="N490" s="1111"/>
      <c r="O490" s="1111"/>
      <c r="P490" s="1110"/>
      <c r="Q490" s="1111"/>
      <c r="R490" s="1110"/>
    </row>
    <row r="491" spans="1:18" s="1107" customFormat="1" ht="14.1">
      <c r="A491" s="1104"/>
      <c r="B491" s="1112"/>
      <c r="C491" s="1112"/>
      <c r="D491" s="1112"/>
      <c r="E491" s="1106"/>
      <c r="F491" s="1105"/>
      <c r="G491" s="1105"/>
      <c r="H491" s="1105"/>
      <c r="I491" s="1105" t="s">
        <v>857</v>
      </c>
      <c r="J491" s="1114" t="s">
        <v>4</v>
      </c>
      <c r="K491" s="1115"/>
      <c r="L491" s="1032"/>
      <c r="M491" s="1110"/>
      <c r="N491" s="1111"/>
      <c r="O491" s="1111"/>
      <c r="P491" s="1110"/>
      <c r="Q491" s="1111"/>
      <c r="R491" s="1110"/>
    </row>
    <row r="492" spans="1:18" s="1107" customFormat="1" ht="30" customHeight="1">
      <c r="A492" s="1085">
        <v>48</v>
      </c>
      <c r="B492" s="2408" t="s">
        <v>2086</v>
      </c>
      <c r="C492" s="2409"/>
      <c r="D492" s="2409"/>
      <c r="E492" s="2409"/>
      <c r="F492" s="2409"/>
      <c r="G492" s="2409"/>
      <c r="H492" s="2409"/>
      <c r="I492" s="2410"/>
      <c r="J492" s="1109"/>
      <c r="K492" s="1032"/>
      <c r="L492" s="1032"/>
      <c r="M492" s="1110"/>
      <c r="N492" s="1111"/>
      <c r="O492" s="1111"/>
      <c r="P492" s="1110"/>
      <c r="Q492" s="1111"/>
      <c r="R492" s="1110"/>
    </row>
    <row r="493" spans="1:18" s="1107" customFormat="1" ht="27.6">
      <c r="A493" s="1104"/>
      <c r="B493" s="1112" t="s">
        <v>2056</v>
      </c>
      <c r="C493" s="1106">
        <v>1</v>
      </c>
      <c r="D493" s="1112" t="s">
        <v>1472</v>
      </c>
      <c r="E493" s="1106">
        <v>2</v>
      </c>
      <c r="F493" s="1113">
        <v>5</v>
      </c>
      <c r="G493" s="1113"/>
      <c r="H493" s="1113"/>
      <c r="I493" s="1113">
        <f>F493*E493</f>
        <v>10</v>
      </c>
      <c r="J493" s="1114">
        <v>400</v>
      </c>
      <c r="K493" s="1115">
        <f>ROUND(J493*I493,0)</f>
        <v>4000</v>
      </c>
      <c r="L493" s="1032"/>
      <c r="M493" s="1110"/>
      <c r="N493" s="1111"/>
      <c r="O493" s="1111"/>
      <c r="P493" s="1110"/>
      <c r="Q493" s="1111"/>
      <c r="R493" s="1110"/>
    </row>
    <row r="494" spans="1:18" s="1107" customFormat="1" ht="14.1">
      <c r="A494" s="1104"/>
      <c r="B494" s="1112"/>
      <c r="C494" s="1112"/>
      <c r="D494" s="1112"/>
      <c r="E494" s="1106"/>
      <c r="F494" s="1105"/>
      <c r="G494" s="1105"/>
      <c r="H494" s="1105"/>
      <c r="I494" s="1105" t="s">
        <v>857</v>
      </c>
      <c r="J494" s="1114" t="s">
        <v>4</v>
      </c>
      <c r="K494" s="1115"/>
      <c r="L494" s="1032"/>
      <c r="M494" s="1110"/>
      <c r="N494" s="1111"/>
      <c r="O494" s="1111"/>
      <c r="P494" s="1110"/>
      <c r="Q494" s="1111"/>
      <c r="R494" s="1110"/>
    </row>
    <row r="495" spans="1:18" s="1107" customFormat="1" ht="34.5" customHeight="1">
      <c r="A495" s="1085">
        <v>49</v>
      </c>
      <c r="B495" s="2408" t="s">
        <v>2087</v>
      </c>
      <c r="C495" s="2409"/>
      <c r="D495" s="2409"/>
      <c r="E495" s="2409"/>
      <c r="F495" s="2409"/>
      <c r="G495" s="2409"/>
      <c r="H495" s="2409"/>
      <c r="I495" s="2410"/>
      <c r="J495" s="1109"/>
      <c r="K495" s="1032"/>
      <c r="L495" s="1032"/>
      <c r="M495" s="1110"/>
      <c r="N495" s="1111"/>
      <c r="O495" s="1111"/>
      <c r="P495" s="1110"/>
      <c r="Q495" s="1111"/>
      <c r="R495" s="1110"/>
    </row>
    <row r="496" spans="1:18" s="1107" customFormat="1" ht="27.6">
      <c r="A496" s="1104"/>
      <c r="B496" s="1112" t="s">
        <v>2088</v>
      </c>
      <c r="C496" s="1106">
        <v>1</v>
      </c>
      <c r="D496" s="1112" t="s">
        <v>1472</v>
      </c>
      <c r="E496" s="1106">
        <v>2</v>
      </c>
      <c r="F496" s="1113">
        <v>1</v>
      </c>
      <c r="G496" s="1113"/>
      <c r="H496" s="1113"/>
      <c r="I496" s="1113">
        <f>F496*E496</f>
        <v>2</v>
      </c>
      <c r="J496" s="1114">
        <v>732</v>
      </c>
      <c r="K496" s="1115">
        <f>ROUND(J496*I496,0)</f>
        <v>1464</v>
      </c>
      <c r="L496" s="1032"/>
      <c r="M496" s="1110"/>
      <c r="N496" s="1111"/>
      <c r="O496" s="1111"/>
      <c r="P496" s="1110"/>
      <c r="Q496" s="1111"/>
      <c r="R496" s="1110"/>
    </row>
    <row r="497" spans="1:18" s="1107" customFormat="1" ht="14.1">
      <c r="A497" s="1104"/>
      <c r="B497" s="1112"/>
      <c r="C497" s="1112"/>
      <c r="D497" s="1112"/>
      <c r="E497" s="1106"/>
      <c r="F497" s="1105"/>
      <c r="G497" s="1105"/>
      <c r="H497" s="1105"/>
      <c r="I497" s="1105" t="s">
        <v>857</v>
      </c>
      <c r="J497" s="1114" t="s">
        <v>4</v>
      </c>
      <c r="K497" s="1115"/>
      <c r="L497" s="1032"/>
      <c r="M497" s="1110"/>
      <c r="N497" s="1111"/>
      <c r="O497" s="1111"/>
      <c r="P497" s="1110"/>
      <c r="Q497" s="1111"/>
      <c r="R497" s="1110"/>
    </row>
    <row r="498" spans="1:18" s="1107" customFormat="1" ht="22.5" customHeight="1">
      <c r="A498" s="1085">
        <v>50</v>
      </c>
      <c r="B498" s="2408" t="s">
        <v>2037</v>
      </c>
      <c r="C498" s="2409"/>
      <c r="D498" s="2409"/>
      <c r="E498" s="2409"/>
      <c r="F498" s="2409"/>
      <c r="G498" s="2409"/>
      <c r="H498" s="2409"/>
      <c r="I498" s="1105"/>
      <c r="J498" s="1106"/>
      <c r="K498" s="1033"/>
      <c r="L498" s="1032"/>
      <c r="M498" s="1110"/>
      <c r="N498" s="1111"/>
      <c r="O498" s="1111"/>
      <c r="P498" s="1111"/>
      <c r="Q498" s="1111"/>
      <c r="R498" s="1110"/>
    </row>
    <row r="499" spans="1:18" s="1107" customFormat="1" ht="14.1">
      <c r="A499" s="1104"/>
      <c r="B499" s="1116" t="s">
        <v>2038</v>
      </c>
      <c r="C499" s="1117"/>
      <c r="D499" s="1117"/>
      <c r="E499" s="1117"/>
      <c r="F499" s="1117"/>
      <c r="G499" s="1117"/>
      <c r="H499" s="1117"/>
      <c r="I499" s="1105">
        <v>6</v>
      </c>
      <c r="J499" s="1114">
        <f>' DATA -Sanitary&amp;water supply'!$G$160</f>
        <v>178</v>
      </c>
      <c r="K499" s="1115">
        <f>ROUND(J499*I499,0)</f>
        <v>1068</v>
      </c>
      <c r="L499" s="1032"/>
      <c r="M499" s="1110"/>
      <c r="N499" s="1111"/>
      <c r="O499" s="1111"/>
      <c r="P499" s="1111"/>
      <c r="Q499" s="1111"/>
      <c r="R499" s="1110"/>
    </row>
    <row r="500" spans="1:18" s="1107" customFormat="1" ht="14.1">
      <c r="A500" s="1104"/>
      <c r="B500" s="1117"/>
      <c r="C500" s="1117"/>
      <c r="D500" s="1117"/>
      <c r="E500" s="1117"/>
      <c r="F500" s="1117"/>
      <c r="G500" s="1117"/>
      <c r="H500" s="1117"/>
      <c r="I500" s="1105" t="s">
        <v>452</v>
      </c>
      <c r="J500" s="1114" t="s">
        <v>453</v>
      </c>
      <c r="K500" s="1115"/>
      <c r="L500" s="1032"/>
      <c r="M500" s="1110"/>
      <c r="N500" s="1111"/>
      <c r="O500" s="1111"/>
      <c r="P500" s="1111"/>
      <c r="Q500" s="1111"/>
      <c r="R500" s="1110"/>
    </row>
    <row r="501" spans="1:18" s="1107" customFormat="1" ht="14.1">
      <c r="A501" s="1085">
        <v>51</v>
      </c>
      <c r="B501" s="1116" t="s">
        <v>2039</v>
      </c>
      <c r="C501" s="1117"/>
      <c r="D501" s="1117"/>
      <c r="E501" s="1117"/>
      <c r="F501" s="1117"/>
      <c r="G501" s="1117"/>
      <c r="H501" s="1117"/>
      <c r="I501" s="1105">
        <v>6</v>
      </c>
      <c r="J501" s="1114">
        <f>' DATA -Sanitary&amp;water supply'!$G$156</f>
        <v>155</v>
      </c>
      <c r="K501" s="1115">
        <f>ROUND(J501*I501,0)</f>
        <v>930</v>
      </c>
      <c r="L501" s="1032"/>
      <c r="M501" s="1110"/>
      <c r="N501" s="1111"/>
      <c r="O501" s="1111"/>
      <c r="P501" s="1111"/>
      <c r="Q501" s="1111"/>
      <c r="R501" s="1110"/>
    </row>
    <row r="502" spans="1:18" s="1107" customFormat="1" ht="14.1">
      <c r="A502" s="1104"/>
      <c r="B502" s="1117"/>
      <c r="C502" s="1117"/>
      <c r="D502" s="1117"/>
      <c r="E502" s="1117"/>
      <c r="F502" s="1117"/>
      <c r="G502" s="1117"/>
      <c r="H502" s="1117"/>
      <c r="I502" s="1105" t="s">
        <v>452</v>
      </c>
      <c r="J502" s="1114" t="s">
        <v>453</v>
      </c>
      <c r="K502" s="1115"/>
      <c r="L502" s="1032"/>
      <c r="M502" s="1110"/>
      <c r="N502" s="1111"/>
      <c r="O502" s="1111"/>
      <c r="P502" s="1111"/>
      <c r="Q502" s="1111"/>
      <c r="R502" s="1110"/>
    </row>
    <row r="503" spans="1:18" s="1107" customFormat="1" ht="30.75" customHeight="1">
      <c r="A503" s="1085">
        <v>52</v>
      </c>
      <c r="B503" s="2412" t="s">
        <v>2245</v>
      </c>
      <c r="C503" s="2413"/>
      <c r="D503" s="2413"/>
      <c r="E503" s="2413"/>
      <c r="F503" s="2413"/>
      <c r="G503" s="2413"/>
      <c r="H503" s="2414"/>
      <c r="I503" s="1106"/>
      <c r="J503" s="1109"/>
      <c r="K503" s="1033"/>
      <c r="L503" s="1032"/>
      <c r="M503" s="1110"/>
      <c r="N503" s="1111"/>
      <c r="O503" s="1111"/>
      <c r="P503" s="1110"/>
      <c r="Q503" s="1111"/>
      <c r="R503" s="1110"/>
    </row>
    <row r="504" spans="1:18" s="1107" customFormat="1" ht="14.1">
      <c r="A504" s="1104"/>
      <c r="B504" s="1117"/>
      <c r="C504" s="1117"/>
      <c r="D504" s="1117"/>
      <c r="E504" s="1117"/>
      <c r="F504" s="1117"/>
      <c r="G504" s="1117"/>
      <c r="H504" s="1117"/>
      <c r="I504" s="1105">
        <v>6</v>
      </c>
      <c r="J504" s="1114">
        <f>' DATA -Sanitary&amp;water supply'!$G$39</f>
        <v>204.33</v>
      </c>
      <c r="K504" s="1115">
        <f>ROUND(J504*I504,0)</f>
        <v>1226</v>
      </c>
      <c r="L504" s="1032"/>
      <c r="M504" s="1110"/>
      <c r="N504" s="1111"/>
      <c r="O504" s="1111"/>
      <c r="P504" s="1110"/>
      <c r="Q504" s="1111"/>
      <c r="R504" s="1110"/>
    </row>
    <row r="505" spans="1:18" s="1107" customFormat="1" ht="14.1">
      <c r="A505" s="1104"/>
      <c r="B505" s="1117"/>
      <c r="C505" s="1117"/>
      <c r="D505" s="1117"/>
      <c r="E505" s="1117"/>
      <c r="F505" s="1117"/>
      <c r="G505" s="1117"/>
      <c r="H505" s="1117"/>
      <c r="I505" s="1105" t="s">
        <v>452</v>
      </c>
      <c r="J505" s="1106" t="s">
        <v>453</v>
      </c>
      <c r="K505" s="1033"/>
      <c r="L505" s="1032"/>
      <c r="M505" s="1110"/>
      <c r="N505" s="1111"/>
      <c r="O505" s="1111"/>
      <c r="P505" s="1111"/>
      <c r="Q505" s="1111"/>
      <c r="R505" s="1110"/>
    </row>
    <row r="506" spans="1:18" s="1107" customFormat="1" ht="31.5" customHeight="1">
      <c r="A506" s="1085">
        <v>53</v>
      </c>
      <c r="B506" s="2412" t="s">
        <v>207</v>
      </c>
      <c r="C506" s="2413"/>
      <c r="D506" s="2413"/>
      <c r="E506" s="2413"/>
      <c r="F506" s="2413"/>
      <c r="G506" s="2413"/>
      <c r="H506" s="2414"/>
      <c r="I506" s="1105"/>
      <c r="J506" s="1109"/>
      <c r="K506" s="1033"/>
      <c r="L506" s="1032"/>
      <c r="M506" s="1110"/>
      <c r="N506" s="1111"/>
      <c r="O506" s="1111"/>
      <c r="P506" s="1110"/>
      <c r="Q506" s="1111"/>
      <c r="R506" s="1110"/>
    </row>
    <row r="507" spans="1:18" s="1107" customFormat="1" ht="14.1">
      <c r="A507" s="1104"/>
      <c r="B507" s="2407"/>
      <c r="C507" s="2407"/>
      <c r="D507" s="2407"/>
      <c r="E507" s="2407"/>
      <c r="F507" s="2407"/>
      <c r="G507" s="2407"/>
      <c r="H507" s="2407"/>
      <c r="I507" s="1105">
        <v>6</v>
      </c>
      <c r="J507" s="1114">
        <f>' DATA -Sanitary&amp;water supply'!$G$33</f>
        <v>293.67</v>
      </c>
      <c r="K507" s="1115">
        <f>ROUND(J507*I507,0)</f>
        <v>1762</v>
      </c>
      <c r="L507" s="1032"/>
      <c r="M507" s="1110"/>
      <c r="N507" s="1111"/>
      <c r="O507" s="1111"/>
      <c r="P507" s="1110"/>
      <c r="Q507" s="1111"/>
      <c r="R507" s="1110"/>
    </row>
    <row r="508" spans="1:18" s="1107" customFormat="1" ht="14.1">
      <c r="A508" s="1104"/>
      <c r="B508" s="1117"/>
      <c r="C508" s="1117"/>
      <c r="D508" s="1117"/>
      <c r="E508" s="1117"/>
      <c r="F508" s="1117"/>
      <c r="G508" s="1117"/>
      <c r="H508" s="1117"/>
      <c r="I508" s="1105" t="s">
        <v>452</v>
      </c>
      <c r="J508" s="1106" t="s">
        <v>453</v>
      </c>
      <c r="K508" s="1033"/>
      <c r="L508" s="1032"/>
      <c r="M508" s="1110"/>
      <c r="N508" s="1111"/>
      <c r="O508" s="1111"/>
      <c r="P508" s="1111"/>
      <c r="Q508" s="1111"/>
      <c r="R508" s="1110"/>
    </row>
    <row r="509" spans="1:18" s="1107" customFormat="1" ht="60.75" customHeight="1">
      <c r="A509" s="1085">
        <v>54</v>
      </c>
      <c r="B509" s="2412" t="s">
        <v>1252</v>
      </c>
      <c r="C509" s="2413"/>
      <c r="D509" s="2413"/>
      <c r="E509" s="2413"/>
      <c r="F509" s="2413"/>
      <c r="G509" s="2413"/>
      <c r="H509" s="2414"/>
      <c r="I509" s="1105"/>
      <c r="J509" s="1109"/>
      <c r="K509" s="1033"/>
      <c r="L509" s="1032"/>
      <c r="M509" s="1110"/>
      <c r="N509" s="1111"/>
      <c r="O509" s="1111"/>
      <c r="P509" s="1110"/>
      <c r="Q509" s="1111"/>
      <c r="R509" s="1110"/>
    </row>
    <row r="510" spans="1:18" s="1107" customFormat="1" ht="14.1">
      <c r="A510" s="1104"/>
      <c r="B510" s="2407"/>
      <c r="C510" s="2407"/>
      <c r="D510" s="2407"/>
      <c r="E510" s="2407"/>
      <c r="F510" s="2407"/>
      <c r="G510" s="2407"/>
      <c r="H510" s="2407"/>
      <c r="I510" s="1105">
        <v>2</v>
      </c>
      <c r="J510" s="1114">
        <f>' DATA -Sanitary&amp;water supply'!$G$26</f>
        <v>171</v>
      </c>
      <c r="K510" s="1115">
        <f>ROUND(J510*I510,0)</f>
        <v>342</v>
      </c>
      <c r="L510" s="1032"/>
      <c r="M510" s="1110"/>
      <c r="N510" s="1111"/>
      <c r="O510" s="1111"/>
      <c r="P510" s="1110"/>
      <c r="Q510" s="1111"/>
      <c r="R510" s="1110"/>
    </row>
    <row r="511" spans="1:18" s="1107" customFormat="1" ht="14.1">
      <c r="A511" s="1104"/>
      <c r="B511" s="1117"/>
      <c r="C511" s="1117"/>
      <c r="D511" s="1117"/>
      <c r="E511" s="1117"/>
      <c r="F511" s="1117"/>
      <c r="G511" s="1117"/>
      <c r="H511" s="1117"/>
      <c r="I511" s="1105" t="s">
        <v>472</v>
      </c>
      <c r="J511" s="1106" t="s">
        <v>4</v>
      </c>
      <c r="K511" s="1033"/>
      <c r="L511" s="1032"/>
      <c r="M511" s="1110"/>
      <c r="N511" s="1111"/>
      <c r="O511" s="1111"/>
      <c r="P511" s="1111"/>
      <c r="Q511" s="1111"/>
      <c r="R511" s="1110"/>
    </row>
    <row r="512" spans="1:18" s="1107" customFormat="1" ht="60" customHeight="1">
      <c r="A512" s="1085">
        <v>55</v>
      </c>
      <c r="B512" s="2412" t="s">
        <v>1031</v>
      </c>
      <c r="C512" s="2413"/>
      <c r="D512" s="2413"/>
      <c r="E512" s="2413"/>
      <c r="F512" s="2413"/>
      <c r="G512" s="2413"/>
      <c r="H512" s="2414"/>
      <c r="I512" s="1105"/>
      <c r="J512" s="1106"/>
      <c r="K512" s="1033"/>
      <c r="L512" s="1032"/>
      <c r="M512" s="1110"/>
      <c r="N512" s="1111"/>
      <c r="O512" s="1111"/>
      <c r="P512" s="1110"/>
      <c r="Q512" s="1111"/>
      <c r="R512" s="1110"/>
    </row>
    <row r="513" spans="1:18" s="1107" customFormat="1" ht="14.1">
      <c r="A513" s="1104"/>
      <c r="B513" s="2407"/>
      <c r="C513" s="2407"/>
      <c r="D513" s="2407"/>
      <c r="E513" s="2407"/>
      <c r="F513" s="2407"/>
      <c r="G513" s="2407"/>
      <c r="H513" s="2407"/>
      <c r="I513" s="1105">
        <v>2</v>
      </c>
      <c r="J513" s="1114">
        <f>' DATA -Sanitary&amp;water supply'!$G$140</f>
        <v>84</v>
      </c>
      <c r="K513" s="1115">
        <f>ROUND(J513*I513,0)</f>
        <v>168</v>
      </c>
      <c r="L513" s="1032"/>
      <c r="M513" s="1110"/>
      <c r="N513" s="1111"/>
      <c r="O513" s="1111"/>
      <c r="P513" s="1110"/>
      <c r="Q513" s="1111"/>
      <c r="R513" s="1110"/>
    </row>
    <row r="514" spans="1:18" s="1107" customFormat="1" ht="14.1">
      <c r="A514" s="1104"/>
      <c r="B514" s="1117"/>
      <c r="C514" s="1117"/>
      <c r="D514" s="1117"/>
      <c r="E514" s="1117"/>
      <c r="F514" s="1117"/>
      <c r="G514" s="1117"/>
      <c r="H514" s="1117"/>
      <c r="I514" s="1105" t="s">
        <v>472</v>
      </c>
      <c r="J514" s="1106" t="s">
        <v>4</v>
      </c>
      <c r="K514" s="1033"/>
      <c r="L514" s="1032"/>
      <c r="M514" s="1110"/>
      <c r="N514" s="1111"/>
      <c r="O514" s="1111"/>
      <c r="P514" s="1111"/>
      <c r="Q514" s="1111"/>
      <c r="R514" s="1110"/>
    </row>
    <row r="515" spans="1:18" s="1107" customFormat="1" ht="48.75" customHeight="1">
      <c r="A515" s="1085">
        <v>56</v>
      </c>
      <c r="B515" s="2412" t="s">
        <v>447</v>
      </c>
      <c r="C515" s="2418"/>
      <c r="D515" s="2418"/>
      <c r="E515" s="2418"/>
      <c r="F515" s="2418"/>
      <c r="G515" s="2418"/>
      <c r="H515" s="2419"/>
      <c r="I515" s="1105"/>
      <c r="J515" s="1106"/>
      <c r="K515" s="1033"/>
      <c r="L515" s="1032"/>
      <c r="M515" s="1110"/>
      <c r="N515" s="1111"/>
      <c r="O515" s="1111"/>
      <c r="P515" s="1110"/>
      <c r="Q515" s="1111"/>
      <c r="R515" s="1110"/>
    </row>
    <row r="516" spans="1:18" s="1107" customFormat="1" ht="27.75" customHeight="1">
      <c r="A516" s="1104"/>
      <c r="B516" s="2407"/>
      <c r="C516" s="2407"/>
      <c r="D516" s="2407"/>
      <c r="E516" s="2407"/>
      <c r="F516" s="2407"/>
      <c r="G516" s="2407"/>
      <c r="H516" s="2407"/>
      <c r="I516" s="1105">
        <v>4</v>
      </c>
      <c r="J516" s="1114">
        <f>' DATA -Sanitary&amp;water supply'!$G$144</f>
        <v>47</v>
      </c>
      <c r="K516" s="1115">
        <f>ROUND(J516*I516,0)</f>
        <v>188</v>
      </c>
      <c r="L516" s="1032"/>
      <c r="M516" s="1110"/>
      <c r="N516" s="1111"/>
      <c r="O516" s="1111"/>
      <c r="P516" s="1110"/>
      <c r="Q516" s="1111"/>
      <c r="R516" s="1110"/>
    </row>
    <row r="517" spans="1:18" s="1107" customFormat="1" ht="14.1">
      <c r="A517" s="1104"/>
      <c r="B517" s="1117"/>
      <c r="C517" s="1117"/>
      <c r="D517" s="1117"/>
      <c r="E517" s="1117"/>
      <c r="F517" s="1117"/>
      <c r="G517" s="1117"/>
      <c r="H517" s="1117"/>
      <c r="I517" s="1105" t="s">
        <v>472</v>
      </c>
      <c r="J517" s="1106" t="s">
        <v>4</v>
      </c>
      <c r="K517" s="1033"/>
      <c r="L517" s="1032"/>
      <c r="M517" s="1110"/>
      <c r="N517" s="1111"/>
      <c r="O517" s="1111"/>
      <c r="P517" s="1111"/>
      <c r="Q517" s="1111"/>
      <c r="R517" s="1110"/>
    </row>
    <row r="518" spans="1:18" s="1107" customFormat="1" ht="29.25" customHeight="1">
      <c r="A518" s="1085">
        <v>57</v>
      </c>
      <c r="B518" s="2412" t="s">
        <v>448</v>
      </c>
      <c r="C518" s="2418"/>
      <c r="D518" s="2418"/>
      <c r="E518" s="2418"/>
      <c r="F518" s="2418"/>
      <c r="G518" s="2418"/>
      <c r="H518" s="2419"/>
      <c r="I518" s="1113"/>
      <c r="J518" s="1109"/>
      <c r="K518" s="1033"/>
      <c r="L518" s="1032"/>
      <c r="M518" s="1110"/>
      <c r="N518" s="1111"/>
      <c r="O518" s="1111"/>
      <c r="P518" s="1110"/>
      <c r="Q518" s="1111"/>
      <c r="R518" s="1110"/>
    </row>
    <row r="519" spans="1:18" s="1107" customFormat="1" ht="14.1">
      <c r="A519" s="1104"/>
      <c r="B519" s="2407"/>
      <c r="C519" s="2407"/>
      <c r="D519" s="2407"/>
      <c r="E519" s="2407"/>
      <c r="F519" s="2407"/>
      <c r="G519" s="2407"/>
      <c r="H519" s="2407"/>
      <c r="I519" s="1105">
        <v>2</v>
      </c>
      <c r="J519" s="1114">
        <f>' DATA -Sanitary&amp;water supply'!$G$148</f>
        <v>23</v>
      </c>
      <c r="K519" s="1115">
        <f>ROUND(J519*I519,0)</f>
        <v>46</v>
      </c>
      <c r="L519" s="1032"/>
      <c r="M519" s="1110"/>
      <c r="N519" s="1111"/>
      <c r="O519" s="1111"/>
      <c r="P519" s="1110"/>
      <c r="Q519" s="1111"/>
      <c r="R519" s="1110"/>
    </row>
    <row r="520" spans="1:18" s="1107" customFormat="1" ht="14.1">
      <c r="A520" s="1104"/>
      <c r="B520" s="1117"/>
      <c r="C520" s="1117"/>
      <c r="D520" s="1117"/>
      <c r="E520" s="1117"/>
      <c r="F520" s="1117"/>
      <c r="G520" s="1117"/>
      <c r="H520" s="1117"/>
      <c r="I520" s="1105" t="s">
        <v>472</v>
      </c>
      <c r="J520" s="1106" t="s">
        <v>4</v>
      </c>
      <c r="K520" s="1033"/>
      <c r="L520" s="1032"/>
      <c r="M520" s="1110"/>
      <c r="N520" s="1111"/>
      <c r="O520" s="1111"/>
      <c r="P520" s="1111"/>
      <c r="Q520" s="1111"/>
      <c r="R520" s="1110"/>
    </row>
    <row r="521" spans="1:18" s="1107" customFormat="1" ht="89.25" customHeight="1">
      <c r="A521" s="1085">
        <v>58</v>
      </c>
      <c r="B521" s="2412" t="s">
        <v>1441</v>
      </c>
      <c r="C521" s="2418"/>
      <c r="D521" s="2418"/>
      <c r="E521" s="2418"/>
      <c r="F521" s="2418"/>
      <c r="G521" s="2418"/>
      <c r="H521" s="2419"/>
      <c r="I521" s="1105"/>
      <c r="J521" s="1109"/>
      <c r="K521" s="1033"/>
      <c r="L521" s="1032"/>
      <c r="M521" s="1110"/>
      <c r="N521" s="1111"/>
      <c r="O521" s="1111"/>
      <c r="P521" s="1110"/>
      <c r="Q521" s="1111"/>
      <c r="R521" s="1110"/>
    </row>
    <row r="522" spans="1:18" s="1107" customFormat="1" ht="14.1">
      <c r="A522" s="1104"/>
      <c r="B522" s="2407"/>
      <c r="C522" s="2407"/>
      <c r="D522" s="2407"/>
      <c r="E522" s="2407"/>
      <c r="F522" s="2407"/>
      <c r="G522" s="2407"/>
      <c r="H522" s="2407"/>
      <c r="I522" s="1105">
        <v>2</v>
      </c>
      <c r="J522" s="1114">
        <f>' DATA -Sanitary&amp;water supply'!G83</f>
        <v>4610</v>
      </c>
      <c r="K522" s="1115">
        <f>ROUND(J522*I522,0)</f>
        <v>9220</v>
      </c>
      <c r="L522" s="1032"/>
      <c r="M522" s="1110"/>
      <c r="N522" s="1111"/>
      <c r="O522" s="1111"/>
      <c r="P522" s="1110"/>
      <c r="Q522" s="1111"/>
      <c r="R522" s="1110"/>
    </row>
    <row r="523" spans="1:18" s="1107" customFormat="1" ht="14.1">
      <c r="A523" s="1104"/>
      <c r="B523" s="1117"/>
      <c r="C523" s="1117"/>
      <c r="D523" s="1117"/>
      <c r="E523" s="1117"/>
      <c r="F523" s="1117"/>
      <c r="G523" s="1117"/>
      <c r="H523" s="1117"/>
      <c r="I523" s="1105" t="s">
        <v>472</v>
      </c>
      <c r="J523" s="1106" t="s">
        <v>4</v>
      </c>
      <c r="K523" s="1033"/>
      <c r="L523" s="1032"/>
      <c r="M523" s="1110"/>
      <c r="N523" s="1111"/>
      <c r="O523" s="1111"/>
      <c r="P523" s="1111"/>
      <c r="Q523" s="1111"/>
      <c r="R523" s="1110"/>
    </row>
    <row r="524" spans="1:18" s="1107" customFormat="1" ht="59.25" customHeight="1">
      <c r="A524" s="1085">
        <v>59</v>
      </c>
      <c r="B524" s="2412" t="s">
        <v>2040</v>
      </c>
      <c r="C524" s="2418"/>
      <c r="D524" s="2418"/>
      <c r="E524" s="2418"/>
      <c r="F524" s="2418"/>
      <c r="G524" s="2418"/>
      <c r="H524" s="2419"/>
      <c r="I524" s="1105"/>
      <c r="J524" s="1106"/>
      <c r="K524" s="1033"/>
      <c r="L524" s="1032"/>
      <c r="M524" s="1110"/>
      <c r="N524" s="1111"/>
      <c r="O524" s="1111"/>
      <c r="P524" s="1110"/>
      <c r="Q524" s="1111"/>
      <c r="R524" s="1110"/>
    </row>
    <row r="525" spans="1:18" s="1107" customFormat="1" ht="14.1">
      <c r="A525" s="1104"/>
      <c r="B525" s="2407"/>
      <c r="C525" s="2407"/>
      <c r="D525" s="2407"/>
      <c r="E525" s="2407"/>
      <c r="F525" s="2407"/>
      <c r="G525" s="2407"/>
      <c r="H525" s="2407"/>
      <c r="I525" s="1105">
        <v>1000</v>
      </c>
      <c r="J525" s="1114">
        <f>' DATA -Sanitary&amp;water supply'!G124</f>
        <v>10</v>
      </c>
      <c r="K525" s="1115">
        <f>ROUND(J525*I525,0)</f>
        <v>10000</v>
      </c>
      <c r="L525" s="1032"/>
      <c r="M525" s="1110"/>
      <c r="N525" s="1111"/>
      <c r="O525" s="1111"/>
      <c r="P525" s="1110"/>
      <c r="Q525" s="1111"/>
      <c r="R525" s="1110"/>
    </row>
    <row r="526" spans="1:18" s="1107" customFormat="1" ht="14.1">
      <c r="A526" s="1104"/>
      <c r="B526" s="1117"/>
      <c r="C526" s="1117"/>
      <c r="D526" s="1117"/>
      <c r="E526" s="1117"/>
      <c r="F526" s="1117"/>
      <c r="G526" s="1117"/>
      <c r="H526" s="1117"/>
      <c r="I526" s="1105" t="s">
        <v>1426</v>
      </c>
      <c r="J526" s="1106" t="s">
        <v>883</v>
      </c>
      <c r="K526" s="1115"/>
      <c r="L526" s="1032"/>
      <c r="M526" s="1110"/>
      <c r="N526" s="1111"/>
      <c r="O526" s="1111"/>
      <c r="P526" s="1111"/>
      <c r="Q526" s="1111"/>
      <c r="R526" s="1110"/>
    </row>
    <row r="527" spans="1:18" s="1107" customFormat="1" ht="72.75" customHeight="1">
      <c r="A527" s="1085">
        <v>60</v>
      </c>
      <c r="B527" s="2412" t="s">
        <v>1353</v>
      </c>
      <c r="C527" s="2418"/>
      <c r="D527" s="2418"/>
      <c r="E527" s="2418"/>
      <c r="F527" s="2418"/>
      <c r="G527" s="2418"/>
      <c r="H527" s="2419"/>
      <c r="I527" s="1105"/>
      <c r="J527" s="1109"/>
      <c r="K527" s="1033"/>
      <c r="L527" s="1032"/>
      <c r="M527" s="1110"/>
      <c r="N527" s="1111"/>
      <c r="O527" s="1111"/>
      <c r="P527" s="1110"/>
      <c r="Q527" s="1111"/>
      <c r="R527" s="1110"/>
    </row>
    <row r="528" spans="1:18" s="1107" customFormat="1" ht="14.1">
      <c r="A528" s="1104"/>
      <c r="B528" s="2420"/>
      <c r="C528" s="2421"/>
      <c r="D528" s="2421"/>
      <c r="E528" s="2421"/>
      <c r="F528" s="2421"/>
      <c r="G528" s="2421"/>
      <c r="H528" s="2422"/>
      <c r="I528" s="1105">
        <v>6</v>
      </c>
      <c r="J528" s="1114">
        <f>' DATA -Sanitary&amp;water supply'!G117</f>
        <v>531</v>
      </c>
      <c r="K528" s="1115">
        <f>ROUND(J528*I528,0)</f>
        <v>3186</v>
      </c>
      <c r="L528" s="1032"/>
      <c r="M528" s="1110"/>
      <c r="N528" s="1111"/>
      <c r="O528" s="1111"/>
      <c r="P528" s="1110"/>
      <c r="Q528" s="1111"/>
      <c r="R528" s="1110"/>
    </row>
    <row r="529" spans="1:18" s="1107" customFormat="1" ht="14.1">
      <c r="A529" s="1104"/>
      <c r="B529" s="1108"/>
      <c r="C529" s="1121"/>
      <c r="D529" s="1121"/>
      <c r="E529" s="1121"/>
      <c r="F529" s="1121"/>
      <c r="G529" s="1121"/>
      <c r="H529" s="1122"/>
      <c r="I529" s="1105" t="s">
        <v>6</v>
      </c>
      <c r="J529" s="1106" t="s">
        <v>453</v>
      </c>
      <c r="K529" s="1115"/>
      <c r="L529" s="1032"/>
      <c r="M529" s="1110"/>
      <c r="N529" s="1111"/>
      <c r="O529" s="1111"/>
      <c r="P529" s="1110"/>
      <c r="Q529" s="1111"/>
      <c r="R529" s="1110"/>
    </row>
    <row r="530" spans="1:18" s="1107" customFormat="1" ht="99.75" customHeight="1">
      <c r="A530" s="1085">
        <v>61</v>
      </c>
      <c r="B530" s="2570" t="s">
        <v>1922</v>
      </c>
      <c r="C530" s="2571"/>
      <c r="D530" s="2571"/>
      <c r="E530" s="2571"/>
      <c r="F530" s="2571"/>
      <c r="G530" s="2571"/>
      <c r="H530" s="2572"/>
      <c r="I530" s="1105"/>
      <c r="J530" s="1109"/>
      <c r="K530" s="1033"/>
      <c r="L530" s="1032"/>
      <c r="M530" s="1110"/>
      <c r="N530" s="1111"/>
      <c r="O530" s="1111"/>
      <c r="P530" s="1110"/>
      <c r="Q530" s="1111"/>
      <c r="R530" s="1110"/>
    </row>
    <row r="531" spans="1:18" s="1107" customFormat="1" ht="14.1">
      <c r="A531" s="1104"/>
      <c r="B531" s="2420"/>
      <c r="C531" s="2421"/>
      <c r="D531" s="2421"/>
      <c r="E531" s="2421"/>
      <c r="F531" s="2421"/>
      <c r="G531" s="2421"/>
      <c r="H531" s="2422"/>
      <c r="I531" s="1105">
        <v>2</v>
      </c>
      <c r="J531" s="1114">
        <f>' DATA -Sanitary&amp;water supply'!G152</f>
        <v>2045</v>
      </c>
      <c r="K531" s="1115">
        <f>ROUND(J531*I531,0)</f>
        <v>4090</v>
      </c>
      <c r="L531" s="1032"/>
      <c r="M531" s="1110"/>
      <c r="N531" s="1111"/>
      <c r="O531" s="1111"/>
      <c r="P531" s="1110"/>
      <c r="Q531" s="1111"/>
      <c r="R531" s="1110"/>
    </row>
    <row r="532" spans="1:18" s="1107" customFormat="1" ht="14.1">
      <c r="A532" s="1104"/>
      <c r="B532" s="1108"/>
      <c r="C532" s="1121"/>
      <c r="D532" s="1121"/>
      <c r="E532" s="1121"/>
      <c r="F532" s="1121"/>
      <c r="G532" s="1121"/>
      <c r="H532" s="1122"/>
      <c r="I532" s="1105" t="s">
        <v>6</v>
      </c>
      <c r="J532" s="1106" t="s">
        <v>453</v>
      </c>
      <c r="K532" s="1115"/>
      <c r="L532" s="1032"/>
      <c r="M532" s="1110"/>
      <c r="N532" s="1111"/>
      <c r="O532" s="1111"/>
      <c r="P532" s="1110"/>
      <c r="Q532" s="1111"/>
      <c r="R532" s="1110"/>
    </row>
    <row r="533" spans="1:18" s="1107" customFormat="1" ht="14.1">
      <c r="A533" s="1123"/>
      <c r="B533" s="1124"/>
      <c r="C533" s="1124"/>
      <c r="D533" s="1124"/>
      <c r="E533" s="1124"/>
      <c r="F533" s="1124"/>
      <c r="G533" s="1124"/>
      <c r="H533" s="1124"/>
      <c r="I533" s="1125"/>
      <c r="J533" s="1126"/>
      <c r="K533" s="1127">
        <f>SUM(K6:K531)</f>
        <v>2632421</v>
      </c>
      <c r="L533" s="1034"/>
      <c r="M533" s="1110"/>
      <c r="N533" s="1111"/>
      <c r="O533" s="1127"/>
      <c r="P533" s="1110"/>
      <c r="Q533" s="1111"/>
      <c r="R533" s="1110"/>
    </row>
    <row r="534" spans="1:18" s="1107" customFormat="1" ht="14.1">
      <c r="A534" s="1123"/>
      <c r="B534" s="1124" t="s">
        <v>2580</v>
      </c>
      <c r="C534" s="1124"/>
      <c r="D534" s="1124"/>
      <c r="E534" s="1124"/>
      <c r="F534" s="1124"/>
      <c r="G534" s="1124"/>
      <c r="H534" s="1124"/>
      <c r="I534" s="1125">
        <f>Q3</f>
        <v>28</v>
      </c>
      <c r="J534" s="1126">
        <v>4600</v>
      </c>
      <c r="K534" s="1243">
        <f>ROUND(J534*I534,0)</f>
        <v>128800</v>
      </c>
      <c r="L534" s="1034"/>
      <c r="M534" s="1110"/>
      <c r="N534" s="1111"/>
      <c r="O534" s="1241"/>
      <c r="P534" s="1110"/>
      <c r="Q534" s="1111"/>
      <c r="R534" s="1110"/>
    </row>
    <row r="535" spans="1:18" s="1107" customFormat="1" ht="14.1">
      <c r="A535" s="1123"/>
      <c r="B535" s="1124"/>
      <c r="C535" s="1124"/>
      <c r="D535" s="1124"/>
      <c r="E535" s="1124"/>
      <c r="F535" s="1124"/>
      <c r="G535" s="1124"/>
      <c r="H535" s="1124"/>
      <c r="I535" s="1125"/>
      <c r="J535" s="1126"/>
      <c r="K535" s="1242">
        <f>SUM(K533:K534)</f>
        <v>2761221</v>
      </c>
      <c r="L535" s="1034"/>
      <c r="M535" s="1110"/>
      <c r="N535" s="1111"/>
      <c r="O535" s="1241"/>
      <c r="P535" s="1110"/>
      <c r="Q535" s="1111"/>
      <c r="R535" s="1110"/>
    </row>
    <row r="536" spans="1:18" s="1107" customFormat="1" ht="15" customHeight="1">
      <c r="A536" s="1085">
        <v>62</v>
      </c>
      <c r="B536" s="2561" t="s">
        <v>2288</v>
      </c>
      <c r="C536" s="2562"/>
      <c r="D536" s="2562"/>
      <c r="E536" s="2562"/>
      <c r="F536" s="2562"/>
      <c r="G536" s="2562"/>
      <c r="H536" s="2563"/>
      <c r="I536" s="1196"/>
      <c r="J536" s="1109"/>
      <c r="K536" s="1244">
        <v>1000</v>
      </c>
      <c r="L536" s="1198"/>
      <c r="Q536" s="1186"/>
    </row>
    <row r="537" spans="1:18" s="1107" customFormat="1" ht="16.5" customHeight="1">
      <c r="A537" s="1085">
        <v>63</v>
      </c>
      <c r="B537" s="1229" t="s">
        <v>2582</v>
      </c>
      <c r="C537" s="1230"/>
      <c r="D537" s="1230"/>
      <c r="E537" s="1230"/>
      <c r="F537" s="1230"/>
      <c r="G537" s="1230"/>
      <c r="H537" s="1231"/>
      <c r="I537" s="1196"/>
      <c r="J537" s="1109"/>
      <c r="K537" s="1244">
        <v>4000</v>
      </c>
      <c r="L537" s="1198"/>
      <c r="Q537" s="1186"/>
    </row>
    <row r="538" spans="1:18" s="1107" customFormat="1" ht="33" customHeight="1">
      <c r="A538" s="1085">
        <v>64</v>
      </c>
      <c r="B538" s="2412" t="s">
        <v>2581</v>
      </c>
      <c r="C538" s="2418"/>
      <c r="D538" s="2418"/>
      <c r="E538" s="2418"/>
      <c r="F538" s="2418"/>
      <c r="G538" s="2418"/>
      <c r="H538" s="2419"/>
      <c r="I538" s="1105"/>
      <c r="J538" s="1109"/>
      <c r="K538" s="1033">
        <f>K539-K535-K536-K537</f>
        <v>-566221</v>
      </c>
      <c r="L538" s="1034"/>
      <c r="M538" s="1110"/>
      <c r="N538" s="1245" t="s">
        <v>2583</v>
      </c>
      <c r="O538" s="1110"/>
      <c r="P538" s="1110"/>
      <c r="Q538" s="1111"/>
      <c r="R538" s="1110"/>
    </row>
    <row r="539" spans="1:18" s="1132" customFormat="1" ht="24.9" customHeight="1">
      <c r="A539" s="1128"/>
      <c r="B539" s="1128" t="s">
        <v>2059</v>
      </c>
      <c r="C539" s="1128"/>
      <c r="D539" s="1128"/>
      <c r="E539" s="1128"/>
      <c r="F539" s="1129"/>
      <c r="G539" s="1129"/>
      <c r="H539" s="1129"/>
      <c r="I539" s="1129"/>
      <c r="J539" s="1129"/>
      <c r="K539" s="1127">
        <v>2200000</v>
      </c>
      <c r="L539" s="1130">
        <f>K539-1260000</f>
        <v>940000</v>
      </c>
      <c r="M539" s="1131"/>
      <c r="O539" s="1133"/>
    </row>
    <row r="542" spans="1:18">
      <c r="A542" s="1069"/>
      <c r="C542" s="1069"/>
      <c r="E542" s="1069"/>
      <c r="F542" s="1069"/>
      <c r="G542" s="1069"/>
      <c r="P542" s="1196"/>
      <c r="Q542" s="1109"/>
    </row>
    <row r="543" spans="1:18" ht="14.1">
      <c r="B543" s="1069" t="str">
        <f>'Lead- Input sheet '!B44</f>
        <v xml:space="preserve">  Assistant Exc.Engineer  </v>
      </c>
      <c r="F543" s="1136" t="str">
        <f>'Lead- Input sheet '!H44</f>
        <v>Deputy Executive Engineer</v>
      </c>
      <c r="O543" s="1095" t="s">
        <v>2547</v>
      </c>
    </row>
    <row r="544" spans="1:18">
      <c r="B544" s="1069" t="str">
        <f>'Lead- Input sheet '!B45</f>
        <v>PR MPP Kalwakurthy</v>
      </c>
      <c r="F544" s="1136" t="str">
        <f>'Lead- Input sheet '!H45</f>
        <v>PR SD Kalwakurthy</v>
      </c>
    </row>
  </sheetData>
  <mergeCells count="94">
    <mergeCell ref="B538:H538"/>
    <mergeCell ref="B518:H518"/>
    <mergeCell ref="B479:I479"/>
    <mergeCell ref="B536:H536"/>
    <mergeCell ref="B439:I439"/>
    <mergeCell ref="B467:I467"/>
    <mergeCell ref="B516:H516"/>
    <mergeCell ref="B530:H530"/>
    <mergeCell ref="B527:H527"/>
    <mergeCell ref="B492:I492"/>
    <mergeCell ref="B512:H512"/>
    <mergeCell ref="B519:H519"/>
    <mergeCell ref="B521:H521"/>
    <mergeCell ref="B522:H522"/>
    <mergeCell ref="B515:H515"/>
    <mergeCell ref="B507:H507"/>
    <mergeCell ref="A3:A4"/>
    <mergeCell ref="B3:B4"/>
    <mergeCell ref="B531:H531"/>
    <mergeCell ref="B513:H513"/>
    <mergeCell ref="B503:H503"/>
    <mergeCell ref="B506:H506"/>
    <mergeCell ref="B488:H488"/>
    <mergeCell ref="B528:H528"/>
    <mergeCell ref="B525:H525"/>
    <mergeCell ref="B524:H524"/>
    <mergeCell ref="B24:H24"/>
    <mergeCell ref="B206:H206"/>
    <mergeCell ref="B149:I149"/>
    <mergeCell ref="B257:H257"/>
    <mergeCell ref="B108:H108"/>
    <mergeCell ref="B29:H29"/>
    <mergeCell ref="B279:I279"/>
    <mergeCell ref="B54:I54"/>
    <mergeCell ref="A1:K1"/>
    <mergeCell ref="B260:I260"/>
    <mergeCell ref="B188:I188"/>
    <mergeCell ref="B135:I135"/>
    <mergeCell ref="B31:I31"/>
    <mergeCell ref="C5:E5"/>
    <mergeCell ref="B6:I6"/>
    <mergeCell ref="K3:K4"/>
    <mergeCell ref="B225:H225"/>
    <mergeCell ref="J3:J4"/>
    <mergeCell ref="B156:I156"/>
    <mergeCell ref="F3:H3"/>
    <mergeCell ref="B227:I227"/>
    <mergeCell ref="A2:K2"/>
    <mergeCell ref="B448:I448"/>
    <mergeCell ref="B475:I475"/>
    <mergeCell ref="L3:L4"/>
    <mergeCell ref="M3:M4"/>
    <mergeCell ref="C3:E4"/>
    <mergeCell ref="B292:I292"/>
    <mergeCell ref="B337:I337"/>
    <mergeCell ref="B331:I331"/>
    <mergeCell ref="B154:H154"/>
    <mergeCell ref="B88:I88"/>
    <mergeCell ref="B52:H52"/>
    <mergeCell ref="B86:H86"/>
    <mergeCell ref="B26:I26"/>
    <mergeCell ref="I3:I4"/>
    <mergeCell ref="B142:I142"/>
    <mergeCell ref="B208:I208"/>
    <mergeCell ref="B482:I482"/>
    <mergeCell ref="B460:I460"/>
    <mergeCell ref="B461:I461"/>
    <mergeCell ref="B489:I489"/>
    <mergeCell ref="B472:I472"/>
    <mergeCell ref="B485:I485"/>
    <mergeCell ref="B464:I464"/>
    <mergeCell ref="B341:I341"/>
    <mergeCell ref="B299:I299"/>
    <mergeCell ref="B306:I306"/>
    <mergeCell ref="B310:I310"/>
    <mergeCell ref="B368:I368"/>
    <mergeCell ref="B346:I346"/>
    <mergeCell ref="B357:I357"/>
    <mergeCell ref="B395:I395"/>
    <mergeCell ref="B372:I372"/>
    <mergeCell ref="B510:H510"/>
    <mergeCell ref="B392:I392"/>
    <mergeCell ref="B378:I378"/>
    <mergeCell ref="B386:I386"/>
    <mergeCell ref="B382:I382"/>
    <mergeCell ref="B457:I457"/>
    <mergeCell ref="B399:I399"/>
    <mergeCell ref="B375:I375"/>
    <mergeCell ref="B409:I409"/>
    <mergeCell ref="B415:I415"/>
    <mergeCell ref="B498:H498"/>
    <mergeCell ref="B404:I404"/>
    <mergeCell ref="B509:H509"/>
    <mergeCell ref="B495:I495"/>
  </mergeCells>
  <printOptions gridLines="1"/>
  <pageMargins left="0.51181102362204722" right="0.23622047244094491" top="0.27559055118110237" bottom="0.51181102362204722" header="0.51181102362204722" footer="0.51181102362204722"/>
  <pageSetup paperSize="9" scale="80" orientation="portrait" r:id="rId1"/>
  <headerFooter alignWithMargins="0">
    <oddFooter>Page &amp;P of &amp;N</oddFooter>
  </headerFooter>
  <rowBreaks count="2" manualBreakCount="2">
    <brk id="459" max="10" man="1"/>
    <brk id="487" max="10"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50"/>
  </sheetPr>
  <dimension ref="A1:IV537"/>
  <sheetViews>
    <sheetView topLeftCell="A61" zoomScale="130" zoomScaleNormal="130" zoomScaleSheetLayoutView="150" workbookViewId="0">
      <selection activeCell="H66" sqref="A1:IV65536"/>
    </sheetView>
  </sheetViews>
  <sheetFormatPr defaultRowHeight="13.8"/>
  <cols>
    <col min="1" max="1" width="6.5546875" style="1134" customWidth="1"/>
    <col min="2" max="2" width="37.6640625" style="1069" customWidth="1"/>
    <col min="3" max="3" width="3.109375" style="1135" customWidth="1"/>
    <col min="4" max="4" width="2.5546875" style="1069" customWidth="1"/>
    <col min="5" max="5" width="3.44140625" style="1135" customWidth="1"/>
    <col min="6" max="6" width="11.44140625" style="1136" customWidth="1"/>
    <col min="7" max="7" width="7.33203125" style="1136" customWidth="1"/>
    <col min="8" max="8" width="11.109375" style="1087" customWidth="1"/>
    <col min="9" max="9" width="10.109375" style="1087" customWidth="1"/>
    <col min="10" max="10" width="11.44140625" style="1087" customWidth="1"/>
    <col min="11" max="11" width="19.33203125" style="1087" customWidth="1"/>
    <col min="12" max="12" width="11.109375" style="1087" hidden="1" customWidth="1"/>
    <col min="13" max="13" width="9.6640625" style="1087" hidden="1" customWidth="1"/>
    <col min="14" max="14" width="14.88671875" style="1069" customWidth="1"/>
    <col min="15" max="15" width="16" style="1069" customWidth="1"/>
    <col min="16" max="16" width="18.5546875" style="1069" bestFit="1" customWidth="1"/>
    <col min="17" max="17" width="9.5546875" style="1069" bestFit="1" customWidth="1"/>
    <col min="18" max="256" width="9.109375" style="1069"/>
  </cols>
  <sheetData>
    <row r="1" spans="1:13" ht="14.1">
      <c r="A1" s="2435" t="s">
        <v>2243</v>
      </c>
      <c r="B1" s="2436"/>
      <c r="C1" s="2436"/>
      <c r="D1" s="2436"/>
      <c r="E1" s="2436"/>
      <c r="F1" s="2436"/>
      <c r="G1" s="2436"/>
      <c r="H1" s="2436"/>
      <c r="I1" s="2436"/>
      <c r="J1" s="2436"/>
      <c r="K1" s="2436"/>
      <c r="L1" s="1028"/>
      <c r="M1" s="1028"/>
    </row>
    <row r="2" spans="1:13" ht="25.5" customHeight="1">
      <c r="A2" s="2449" t="str">
        <f>'Lead- Input sheet '!A2</f>
        <v xml:space="preserve"> Construction of  Anganwadi Building at Jeedipally Thanda (V) of Kalwakurthy (M) of Nagarkurnool District </v>
      </c>
      <c r="B2" s="2450"/>
      <c r="C2" s="2450"/>
      <c r="D2" s="2450"/>
      <c r="E2" s="2450"/>
      <c r="F2" s="2450"/>
      <c r="G2" s="2450"/>
      <c r="H2" s="2450"/>
      <c r="I2" s="2450"/>
      <c r="J2" s="2450"/>
      <c r="K2" s="2451"/>
      <c r="L2" s="1035"/>
      <c r="M2" s="1035"/>
    </row>
    <row r="3" spans="1:13" ht="14.1">
      <c r="A3" s="2437" t="s">
        <v>1200</v>
      </c>
      <c r="B3" s="2437" t="s">
        <v>1201</v>
      </c>
      <c r="C3" s="2453" t="s">
        <v>527</v>
      </c>
      <c r="D3" s="2454"/>
      <c r="E3" s="2455"/>
      <c r="F3" s="2439" t="s">
        <v>1202</v>
      </c>
      <c r="G3" s="2440"/>
      <c r="H3" s="2441"/>
      <c r="I3" s="2459" t="s">
        <v>786</v>
      </c>
      <c r="J3" s="2459" t="s">
        <v>1203</v>
      </c>
      <c r="K3" s="2461" t="s">
        <v>1115</v>
      </c>
      <c r="L3" s="2452" t="s">
        <v>1204</v>
      </c>
      <c r="M3" s="2452" t="s">
        <v>1205</v>
      </c>
    </row>
    <row r="4" spans="1:13" ht="14.1">
      <c r="A4" s="2438"/>
      <c r="B4" s="2438"/>
      <c r="C4" s="2456"/>
      <c r="D4" s="2457"/>
      <c r="E4" s="2458"/>
      <c r="F4" s="1036" t="s">
        <v>1417</v>
      </c>
      <c r="G4" s="1036" t="s">
        <v>859</v>
      </c>
      <c r="H4" s="1036" t="s">
        <v>785</v>
      </c>
      <c r="I4" s="2460"/>
      <c r="J4" s="2460"/>
      <c r="K4" s="2462"/>
      <c r="L4" s="2452"/>
      <c r="M4" s="2452"/>
    </row>
    <row r="5" spans="1:13" s="1070" customFormat="1" ht="15" customHeight="1">
      <c r="A5" s="1037">
        <v>1</v>
      </c>
      <c r="B5" s="1037">
        <f>A5+1</f>
        <v>2</v>
      </c>
      <c r="C5" s="2442">
        <f>B5+1</f>
        <v>3</v>
      </c>
      <c r="D5" s="2443"/>
      <c r="E5" s="2444"/>
      <c r="F5" s="1038">
        <f>C5+1</f>
        <v>4</v>
      </c>
      <c r="G5" s="1038">
        <f>F5+1</f>
        <v>5</v>
      </c>
      <c r="H5" s="1038">
        <f t="shared" ref="H5:M5" si="0">G5+1</f>
        <v>6</v>
      </c>
      <c r="I5" s="1038">
        <f t="shared" si="0"/>
        <v>7</v>
      </c>
      <c r="J5" s="1038">
        <f t="shared" si="0"/>
        <v>8</v>
      </c>
      <c r="K5" s="1038">
        <v>9</v>
      </c>
      <c r="L5" s="1038">
        <f t="shared" si="0"/>
        <v>10</v>
      </c>
      <c r="M5" s="1038">
        <f t="shared" si="0"/>
        <v>11</v>
      </c>
    </row>
    <row r="6" spans="1:13" ht="75.75" customHeight="1">
      <c r="A6" s="1039">
        <v>1</v>
      </c>
      <c r="B6" s="2445" t="s">
        <v>2042</v>
      </c>
      <c r="C6" s="2446"/>
      <c r="D6" s="2446"/>
      <c r="E6" s="2446"/>
      <c r="F6" s="2446"/>
      <c r="G6" s="2446"/>
      <c r="H6" s="2446"/>
      <c r="I6" s="2447"/>
      <c r="J6" s="1040"/>
      <c r="K6" s="1040"/>
      <c r="L6" s="1040"/>
      <c r="M6" s="1040"/>
    </row>
    <row r="7" spans="1:13" ht="14.1">
      <c r="A7" s="1041"/>
      <c r="B7" s="1042" t="s">
        <v>2536</v>
      </c>
      <c r="C7" s="1043"/>
      <c r="D7" s="1043"/>
      <c r="E7" s="1043"/>
      <c r="F7" s="1044"/>
      <c r="G7" s="1044"/>
      <c r="H7" s="1044"/>
      <c r="I7" s="1044"/>
      <c r="J7" s="1045"/>
      <c r="K7" s="1045"/>
      <c r="L7" s="1045"/>
      <c r="M7" s="1045"/>
    </row>
    <row r="8" spans="1:13" ht="14.1">
      <c r="A8" s="1046"/>
      <c r="B8" s="1173" t="s">
        <v>2486</v>
      </c>
      <c r="C8" s="1048">
        <v>1</v>
      </c>
      <c r="D8" s="1048" t="s">
        <v>1472</v>
      </c>
      <c r="E8" s="1048">
        <v>10</v>
      </c>
      <c r="F8" s="1049">
        <v>1.45</v>
      </c>
      <c r="G8" s="1049">
        <v>1.45</v>
      </c>
      <c r="H8" s="1049">
        <v>1.8</v>
      </c>
      <c r="I8" s="1049">
        <f t="shared" ref="I8:I22" si="1">ROUND(C8*E8*F8*G8*H8,2)</f>
        <v>37.85</v>
      </c>
      <c r="J8" s="1049"/>
      <c r="K8" s="1049"/>
      <c r="L8" s="1049"/>
      <c r="M8" s="1049"/>
    </row>
    <row r="9" spans="1:13" ht="14.1">
      <c r="A9" s="1046"/>
      <c r="B9" s="1173" t="s">
        <v>2487</v>
      </c>
      <c r="C9" s="1048">
        <v>1</v>
      </c>
      <c r="D9" s="1048" t="s">
        <v>1472</v>
      </c>
      <c r="E9" s="1048">
        <v>6</v>
      </c>
      <c r="F9" s="1049">
        <v>1.7</v>
      </c>
      <c r="G9" s="1049">
        <v>1.2</v>
      </c>
      <c r="H9" s="1049">
        <v>1.8</v>
      </c>
      <c r="I9" s="1049">
        <f>ROUND(C9*E9*F9*G9*H9,2)</f>
        <v>22.03</v>
      </c>
      <c r="J9" s="1049"/>
      <c r="K9" s="1049"/>
      <c r="L9" s="1049"/>
      <c r="M9" s="1049"/>
    </row>
    <row r="10" spans="1:13" ht="14.1">
      <c r="A10" s="1046"/>
      <c r="B10" s="1174" t="s">
        <v>2489</v>
      </c>
      <c r="C10" s="1048">
        <v>1</v>
      </c>
      <c r="D10" s="1048" t="s">
        <v>1472</v>
      </c>
      <c r="E10" s="1048">
        <v>2</v>
      </c>
      <c r="F10" s="1049">
        <f>60.75*0.3048+0.3</f>
        <v>18.816600000000001</v>
      </c>
      <c r="G10" s="1049">
        <v>0.6</v>
      </c>
      <c r="H10" s="1049">
        <v>0.6</v>
      </c>
      <c r="I10" s="1049">
        <f t="shared" si="1"/>
        <v>13.55</v>
      </c>
      <c r="J10" s="1049"/>
      <c r="K10" s="1049"/>
      <c r="L10" s="1049"/>
      <c r="M10" s="1049"/>
    </row>
    <row r="11" spans="1:13" ht="14.1">
      <c r="A11" s="1046"/>
      <c r="B11" s="1174" t="s">
        <v>2488</v>
      </c>
      <c r="C11" s="1048">
        <v>1</v>
      </c>
      <c r="D11" s="1048" t="s">
        <v>1472</v>
      </c>
      <c r="E11" s="1048">
        <v>2</v>
      </c>
      <c r="F11" s="1049">
        <f>(30.75)*0.3048-0.6+2.4</f>
        <v>11.172600000000001</v>
      </c>
      <c r="G11" s="1049">
        <v>0.6</v>
      </c>
      <c r="H11" s="1049">
        <v>0.6</v>
      </c>
      <c r="I11" s="1049">
        <f t="shared" si="1"/>
        <v>8.0399999999999991</v>
      </c>
      <c r="J11" s="1049"/>
      <c r="K11" s="1049"/>
      <c r="L11" s="1049"/>
      <c r="M11" s="1049"/>
    </row>
    <row r="12" spans="1:13" ht="14.1">
      <c r="A12" s="1046"/>
      <c r="B12" s="1174" t="s">
        <v>2093</v>
      </c>
      <c r="C12" s="1048">
        <v>1</v>
      </c>
      <c r="D12" s="1048" t="s">
        <v>1472</v>
      </c>
      <c r="E12" s="1048">
        <v>2</v>
      </c>
      <c r="F12" s="1049">
        <v>4.49</v>
      </c>
      <c r="G12" s="1049">
        <v>0.6</v>
      </c>
      <c r="H12" s="1049">
        <v>0.6</v>
      </c>
      <c r="I12" s="1049">
        <f t="shared" si="1"/>
        <v>3.23</v>
      </c>
      <c r="J12" s="1049"/>
      <c r="K12" s="1049"/>
      <c r="L12" s="1049"/>
      <c r="M12" s="1049"/>
    </row>
    <row r="13" spans="1:13" ht="14.1">
      <c r="A13" s="1046"/>
      <c r="B13" s="1174" t="s">
        <v>2094</v>
      </c>
      <c r="C13" s="1048">
        <v>1</v>
      </c>
      <c r="D13" s="1048" t="s">
        <v>1472</v>
      </c>
      <c r="E13" s="1048">
        <v>2</v>
      </c>
      <c r="F13" s="1049">
        <v>2.68</v>
      </c>
      <c r="G13" s="1049">
        <v>0.6</v>
      </c>
      <c r="H13" s="1049">
        <v>0.6</v>
      </c>
      <c r="I13" s="1049">
        <f t="shared" si="1"/>
        <v>1.93</v>
      </c>
      <c r="J13" s="1049"/>
      <c r="K13" s="1049"/>
      <c r="L13" s="1049"/>
      <c r="M13" s="1049"/>
    </row>
    <row r="14" spans="1:13" ht="24.6">
      <c r="A14" s="1046"/>
      <c r="B14" s="1174" t="s">
        <v>2380</v>
      </c>
      <c r="C14" s="1048">
        <v>1</v>
      </c>
      <c r="D14" s="1048" t="s">
        <v>1472</v>
      </c>
      <c r="E14" s="1048">
        <v>1</v>
      </c>
      <c r="F14" s="1049">
        <v>1.5</v>
      </c>
      <c r="G14" s="1049">
        <v>0.6</v>
      </c>
      <c r="H14" s="1049">
        <v>0.6</v>
      </c>
      <c r="I14" s="1049">
        <f>ROUND(C14*E14*F14*G14*H14,2)</f>
        <v>0.54</v>
      </c>
      <c r="J14" s="1049"/>
      <c r="K14" s="1049"/>
      <c r="L14" s="1049"/>
      <c r="M14" s="1049"/>
    </row>
    <row r="15" spans="1:13" ht="24.6">
      <c r="A15" s="1046"/>
      <c r="B15" s="1174" t="s">
        <v>2380</v>
      </c>
      <c r="C15" s="1048">
        <v>1</v>
      </c>
      <c r="D15" s="1048" t="s">
        <v>1472</v>
      </c>
      <c r="E15" s="1048">
        <v>1</v>
      </c>
      <c r="F15" s="1049">
        <v>3</v>
      </c>
      <c r="G15" s="1049">
        <v>0.6</v>
      </c>
      <c r="H15" s="1049">
        <v>0.6</v>
      </c>
      <c r="I15" s="1049">
        <f>ROUND(C15*E15*F15*G15*H15,2)</f>
        <v>1.08</v>
      </c>
      <c r="J15" s="1049"/>
      <c r="K15" s="1049"/>
      <c r="L15" s="1049"/>
      <c r="M15" s="1049"/>
    </row>
    <row r="16" spans="1:13" ht="14.1">
      <c r="A16" s="1046"/>
      <c r="B16" s="1174" t="s">
        <v>2289</v>
      </c>
      <c r="C16" s="1165" t="s">
        <v>2290</v>
      </c>
      <c r="D16" s="1048" t="s">
        <v>1472</v>
      </c>
      <c r="E16" s="1048">
        <v>2</v>
      </c>
      <c r="F16" s="1049">
        <v>1.35</v>
      </c>
      <c r="G16" s="1049">
        <v>1.35</v>
      </c>
      <c r="H16" s="1049">
        <v>2</v>
      </c>
      <c r="I16" s="1049">
        <f>ROUND(PI()/4*E16*F16*G16*H16,2)</f>
        <v>5.73</v>
      </c>
      <c r="J16" s="1049"/>
      <c r="K16" s="1049"/>
      <c r="L16" s="1049"/>
      <c r="M16" s="1049"/>
    </row>
    <row r="17" spans="1:15" ht="14.1">
      <c r="A17" s="1046"/>
      <c r="B17" s="1175" t="s">
        <v>2375</v>
      </c>
      <c r="C17" s="1048">
        <v>1</v>
      </c>
      <c r="D17" s="1048" t="s">
        <v>1472</v>
      </c>
      <c r="E17" s="1048">
        <v>1</v>
      </c>
      <c r="F17" s="1049">
        <f>(31.5-6-4)*0.3048</f>
        <v>6.5532000000000004</v>
      </c>
      <c r="G17" s="1049">
        <v>0.6</v>
      </c>
      <c r="H17" s="1049">
        <v>0.3</v>
      </c>
      <c r="I17" s="1049">
        <f t="shared" si="1"/>
        <v>1.18</v>
      </c>
      <c r="J17" s="1049"/>
      <c r="K17" s="1049"/>
      <c r="L17" s="1049"/>
      <c r="M17" s="1049"/>
    </row>
    <row r="18" spans="1:15" ht="14.1">
      <c r="A18" s="1046"/>
      <c r="B18" s="1175" t="s">
        <v>2376</v>
      </c>
      <c r="C18" s="1048">
        <v>1</v>
      </c>
      <c r="D18" s="1048" t="s">
        <v>1472</v>
      </c>
      <c r="E18" s="1048">
        <v>2</v>
      </c>
      <c r="F18" s="1049">
        <v>3</v>
      </c>
      <c r="G18" s="1049">
        <v>0.6</v>
      </c>
      <c r="H18" s="1049">
        <v>0.3</v>
      </c>
      <c r="I18" s="1049">
        <f t="shared" si="1"/>
        <v>1.08</v>
      </c>
      <c r="J18" s="1049"/>
      <c r="K18" s="1049"/>
      <c r="L18" s="1049"/>
      <c r="M18" s="1049"/>
    </row>
    <row r="19" spans="1:15" ht="14.1">
      <c r="A19" s="1046"/>
      <c r="B19" s="1175" t="s">
        <v>2100</v>
      </c>
      <c r="C19" s="1048">
        <v>1</v>
      </c>
      <c r="D19" s="1048" t="s">
        <v>1472</v>
      </c>
      <c r="E19" s="1048">
        <v>1</v>
      </c>
      <c r="F19" s="1049">
        <f>(31.5-6)*0.3048</f>
        <v>7.7724000000000002</v>
      </c>
      <c r="G19" s="1049">
        <v>1.2</v>
      </c>
      <c r="H19" s="1049">
        <v>0.3</v>
      </c>
      <c r="I19" s="1049">
        <f t="shared" si="1"/>
        <v>2.8</v>
      </c>
      <c r="J19" s="1049"/>
      <c r="K19" s="1049"/>
      <c r="L19" s="1049"/>
      <c r="M19" s="1049"/>
    </row>
    <row r="20" spans="1:15" ht="14.1">
      <c r="A20" s="1046"/>
      <c r="B20" s="1175" t="s">
        <v>2099</v>
      </c>
      <c r="C20" s="1048">
        <v>1</v>
      </c>
      <c r="D20" s="1048" t="s">
        <v>1472</v>
      </c>
      <c r="E20" s="1048">
        <v>2</v>
      </c>
      <c r="F20" s="1049">
        <v>4.2</v>
      </c>
      <c r="G20" s="1049">
        <v>1.2</v>
      </c>
      <c r="H20" s="1049">
        <v>0.3</v>
      </c>
      <c r="I20" s="1049">
        <f>ROUND(C20*E20*F20*G20*H20,2)</f>
        <v>3.02</v>
      </c>
      <c r="J20" s="1049"/>
      <c r="K20" s="1049"/>
      <c r="L20" s="1049"/>
      <c r="M20" s="1049"/>
    </row>
    <row r="21" spans="1:15" ht="14.1">
      <c r="A21" s="1046"/>
      <c r="B21" s="1175" t="s">
        <v>2490</v>
      </c>
      <c r="C21" s="1048">
        <v>3</v>
      </c>
      <c r="D21" s="1048" t="s">
        <v>1472</v>
      </c>
      <c r="E21" s="1048">
        <v>2</v>
      </c>
      <c r="F21" s="1049">
        <v>0.75</v>
      </c>
      <c r="G21" s="1049">
        <v>0.75</v>
      </c>
      <c r="H21" s="1049">
        <v>0.6</v>
      </c>
      <c r="I21" s="1049">
        <f>ROUND(C21*E21*F21*G21*H21,2)</f>
        <v>2.0299999999999998</v>
      </c>
      <c r="J21" s="1049"/>
      <c r="K21" s="1049"/>
      <c r="L21" s="1049"/>
      <c r="M21" s="1049"/>
    </row>
    <row r="22" spans="1:15" ht="14.1">
      <c r="A22" s="1046"/>
      <c r="B22" s="1175" t="s">
        <v>2463</v>
      </c>
      <c r="C22" s="1048">
        <v>1</v>
      </c>
      <c r="D22" s="1048" t="s">
        <v>1472</v>
      </c>
      <c r="E22" s="1048">
        <v>2</v>
      </c>
      <c r="F22" s="1049">
        <v>3</v>
      </c>
      <c r="G22" s="1049">
        <v>1.2</v>
      </c>
      <c r="H22" s="1049">
        <v>0.15</v>
      </c>
      <c r="I22" s="1049">
        <f t="shared" si="1"/>
        <v>1.08</v>
      </c>
      <c r="J22" s="1049"/>
      <c r="K22" s="1049"/>
      <c r="L22" s="1049"/>
      <c r="M22" s="1049"/>
    </row>
    <row r="23" spans="1:15" ht="14.1">
      <c r="A23" s="1046"/>
      <c r="B23" s="1051"/>
      <c r="C23" s="1048"/>
      <c r="D23" s="1048"/>
      <c r="E23" s="1048"/>
      <c r="F23" s="1049"/>
      <c r="G23" s="1049"/>
      <c r="H23" s="1049"/>
      <c r="I23" s="1049">
        <f>SUM(I8:I22)</f>
        <v>105.17000000000002</v>
      </c>
      <c r="J23" s="1049"/>
      <c r="K23" s="1049"/>
      <c r="L23" s="1049"/>
      <c r="M23" s="1049"/>
    </row>
    <row r="24" spans="1:15" ht="14.1">
      <c r="A24" s="1046"/>
      <c r="B24" s="2448" t="s">
        <v>2381</v>
      </c>
      <c r="C24" s="2448"/>
      <c r="D24" s="2448"/>
      <c r="E24" s="2448"/>
      <c r="F24" s="2448"/>
      <c r="G24" s="2448"/>
      <c r="H24" s="2448"/>
      <c r="I24" s="1052">
        <f>CEILING(I23,0.05)</f>
        <v>105.2</v>
      </c>
      <c r="J24" s="1053">
        <v>221.47</v>
      </c>
      <c r="K24" s="1054">
        <f>ROUND(J24*I24/1,0)</f>
        <v>23299</v>
      </c>
      <c r="L24" s="1029">
        <v>30</v>
      </c>
      <c r="M24" s="1055">
        <f>L24*I24</f>
        <v>3156</v>
      </c>
      <c r="N24" s="1087"/>
      <c r="O24" s="1087">
        <f>ROUND(I24*N24,0)</f>
        <v>0</v>
      </c>
    </row>
    <row r="25" spans="1:15" ht="14.1">
      <c r="A25" s="1046"/>
      <c r="B25" s="1056"/>
      <c r="C25" s="1048"/>
      <c r="D25" s="1048"/>
      <c r="E25" s="1048"/>
      <c r="F25" s="1049"/>
      <c r="G25" s="1049"/>
      <c r="H25" s="1049"/>
      <c r="I25" s="1053" t="s">
        <v>656</v>
      </c>
      <c r="J25" s="1049" t="s">
        <v>2041</v>
      </c>
      <c r="K25" s="1049"/>
      <c r="L25" s="1049"/>
      <c r="M25" s="1049"/>
      <c r="N25" s="1087"/>
      <c r="O25" s="1087"/>
    </row>
    <row r="26" spans="1:15" ht="155.25" customHeight="1">
      <c r="A26" s="1046">
        <v>2</v>
      </c>
      <c r="B26" s="2415" t="s">
        <v>2443</v>
      </c>
      <c r="C26" s="2426"/>
      <c r="D26" s="2426"/>
      <c r="E26" s="2426"/>
      <c r="F26" s="2426"/>
      <c r="G26" s="2426"/>
      <c r="H26" s="2426"/>
      <c r="I26" s="2427"/>
      <c r="J26" s="1049"/>
      <c r="K26" s="1049"/>
      <c r="L26" s="1049"/>
      <c r="M26" s="1049"/>
      <c r="N26" s="1087"/>
      <c r="O26" s="1087"/>
    </row>
    <row r="27" spans="1:15" ht="14.1">
      <c r="A27" s="1046"/>
      <c r="B27" s="1173" t="s">
        <v>2486</v>
      </c>
      <c r="C27" s="1048">
        <v>1</v>
      </c>
      <c r="D27" s="1048" t="s">
        <v>1472</v>
      </c>
      <c r="E27" s="1048">
        <v>10</v>
      </c>
      <c r="F27" s="1049">
        <v>1.45</v>
      </c>
      <c r="G27" s="1049">
        <v>1.45</v>
      </c>
      <c r="H27" s="1049">
        <v>0.15</v>
      </c>
      <c r="I27" s="1049">
        <f>ROUND(C27*E27*F27*G27*H27,2)</f>
        <v>3.15</v>
      </c>
      <c r="J27" s="1049"/>
      <c r="K27" s="1049"/>
      <c r="L27" s="1049"/>
      <c r="M27" s="1049"/>
    </row>
    <row r="28" spans="1:15" ht="14.1">
      <c r="A28" s="1046"/>
      <c r="B28" s="1173" t="s">
        <v>2487</v>
      </c>
      <c r="C28" s="1048">
        <v>1</v>
      </c>
      <c r="D28" s="1048" t="s">
        <v>1472</v>
      </c>
      <c r="E28" s="1048">
        <v>6</v>
      </c>
      <c r="F28" s="1049">
        <v>1.7</v>
      </c>
      <c r="G28" s="1049">
        <v>1.2</v>
      </c>
      <c r="H28" s="1049">
        <v>0.15</v>
      </c>
      <c r="I28" s="1049">
        <f>ROUND(C28*E28*F28*G28*H28,2)</f>
        <v>1.84</v>
      </c>
      <c r="J28" s="1049"/>
      <c r="K28" s="1049"/>
      <c r="L28" s="1049"/>
      <c r="M28" s="1049"/>
    </row>
    <row r="29" spans="1:15" ht="14.1">
      <c r="A29" s="1046"/>
      <c r="B29" s="2432"/>
      <c r="C29" s="2433"/>
      <c r="D29" s="2433"/>
      <c r="E29" s="2433"/>
      <c r="F29" s="2433"/>
      <c r="G29" s="2433"/>
      <c r="H29" s="2434"/>
      <c r="I29" s="1052">
        <f>SUM(I27:I28)</f>
        <v>4.99</v>
      </c>
      <c r="J29" s="1049">
        <f>Datas!G154</f>
        <v>4371.4635670906127</v>
      </c>
      <c r="K29" s="1053">
        <f>ROUND(J29*I29,0)</f>
        <v>21814</v>
      </c>
      <c r="L29" s="1049">
        <v>108</v>
      </c>
      <c r="M29" s="1055">
        <f>L29*I29</f>
        <v>538.92000000000007</v>
      </c>
      <c r="N29" s="1087">
        <v>108</v>
      </c>
      <c r="O29" s="1087">
        <f>ROUND(I29*N29,0)</f>
        <v>539</v>
      </c>
    </row>
    <row r="30" spans="1:15" ht="14.1">
      <c r="A30" s="1046"/>
      <c r="B30" s="1060"/>
      <c r="C30" s="1048"/>
      <c r="D30" s="1048"/>
      <c r="E30" s="1048"/>
      <c r="F30" s="1049"/>
      <c r="G30" s="1049"/>
      <c r="H30" s="1049"/>
      <c r="I30" s="1053" t="s">
        <v>656</v>
      </c>
      <c r="J30" s="1053" t="s">
        <v>656</v>
      </c>
      <c r="K30" s="1053"/>
      <c r="L30" s="1053"/>
      <c r="M30" s="1053"/>
      <c r="N30" s="1087"/>
      <c r="O30" s="1087"/>
    </row>
    <row r="31" spans="1:15" ht="161.25" customHeight="1">
      <c r="A31" s="1046">
        <v>3</v>
      </c>
      <c r="B31" s="2415" t="s">
        <v>2444</v>
      </c>
      <c r="C31" s="2426"/>
      <c r="D31" s="2426"/>
      <c r="E31" s="2426"/>
      <c r="F31" s="2426"/>
      <c r="G31" s="2426"/>
      <c r="H31" s="2426"/>
      <c r="I31" s="2427"/>
      <c r="J31" s="1049"/>
      <c r="K31" s="1049"/>
      <c r="L31" s="1049"/>
      <c r="M31" s="1049"/>
      <c r="N31" s="1087"/>
      <c r="O31" s="1087"/>
    </row>
    <row r="32" spans="1:15" s="1095" customFormat="1" ht="14.1">
      <c r="A32" s="1093"/>
      <c r="B32" s="1182" t="s">
        <v>2218</v>
      </c>
      <c r="C32" s="1183">
        <v>1</v>
      </c>
      <c r="D32" s="1183" t="s">
        <v>1472</v>
      </c>
      <c r="E32" s="1183">
        <v>1</v>
      </c>
      <c r="F32" s="1184">
        <f>(46.5)*0.3048</f>
        <v>14.173200000000001</v>
      </c>
      <c r="G32" s="1184">
        <f>(30)*0.3048</f>
        <v>9.1440000000000001</v>
      </c>
      <c r="H32" s="1228">
        <v>7.4999999999999997E-2</v>
      </c>
      <c r="I32" s="1094">
        <f t="shared" ref="I32:I51" si="2">ROUND(C32*E32*F32*G32*H32,2)</f>
        <v>9.7200000000000006</v>
      </c>
      <c r="J32" s="1094"/>
      <c r="K32" s="1094"/>
      <c r="L32" s="1094"/>
      <c r="M32" s="1094"/>
      <c r="N32" s="1166"/>
      <c r="O32" s="1166"/>
    </row>
    <row r="33" spans="1:15" s="1095" customFormat="1" ht="14.1">
      <c r="A33" s="1093"/>
      <c r="B33" s="1182" t="s">
        <v>2219</v>
      </c>
      <c r="C33" s="1183">
        <v>1</v>
      </c>
      <c r="D33" s="1183" t="s">
        <v>1472</v>
      </c>
      <c r="E33" s="1183">
        <v>1</v>
      </c>
      <c r="F33" s="1184">
        <v>3.6</v>
      </c>
      <c r="G33" s="1184">
        <f>(12)*0.3048</f>
        <v>3.6576000000000004</v>
      </c>
      <c r="H33" s="1228">
        <v>7.4999999999999997E-2</v>
      </c>
      <c r="I33" s="1094">
        <f t="shared" si="2"/>
        <v>0.99</v>
      </c>
      <c r="J33" s="1094"/>
      <c r="K33" s="1094"/>
      <c r="L33" s="1094"/>
      <c r="M33" s="1094"/>
      <c r="N33" s="1166"/>
      <c r="O33" s="1166"/>
    </row>
    <row r="34" spans="1:15" s="1095" customFormat="1" ht="14.1">
      <c r="A34" s="1093"/>
      <c r="B34" s="1182" t="s">
        <v>2220</v>
      </c>
      <c r="C34" s="1183">
        <v>1</v>
      </c>
      <c r="D34" s="1183" t="s">
        <v>1472</v>
      </c>
      <c r="E34" s="1183">
        <v>1</v>
      </c>
      <c r="F34" s="1184">
        <v>3.6</v>
      </c>
      <c r="G34" s="1184">
        <f>(17.33)*0.3048</f>
        <v>5.282184</v>
      </c>
      <c r="H34" s="1184">
        <v>0.1</v>
      </c>
      <c r="I34" s="1094">
        <f t="shared" si="2"/>
        <v>1.9</v>
      </c>
      <c r="J34" s="1094"/>
      <c r="K34" s="1094"/>
      <c r="L34" s="1094"/>
      <c r="M34" s="1094"/>
      <c r="N34" s="1166"/>
      <c r="O34" s="1166"/>
    </row>
    <row r="35" spans="1:15" ht="14.1">
      <c r="A35" s="1046"/>
      <c r="B35" s="1174" t="s">
        <v>2221</v>
      </c>
      <c r="C35" s="1176">
        <v>1</v>
      </c>
      <c r="D35" s="1176" t="s">
        <v>1472</v>
      </c>
      <c r="E35" s="1176">
        <v>1</v>
      </c>
      <c r="F35" s="1177">
        <v>3.2</v>
      </c>
      <c r="G35" s="1177">
        <v>1.5</v>
      </c>
      <c r="H35" s="1177">
        <v>0.1</v>
      </c>
      <c r="I35" s="1049">
        <f t="shared" si="2"/>
        <v>0.48</v>
      </c>
      <c r="J35" s="1049"/>
      <c r="K35" s="1049"/>
      <c r="L35" s="1049"/>
      <c r="M35" s="1049"/>
      <c r="N35" s="1087"/>
      <c r="O35" s="1087"/>
    </row>
    <row r="36" spans="1:15" ht="14.1">
      <c r="A36" s="1046"/>
      <c r="B36" s="1174" t="s">
        <v>2222</v>
      </c>
      <c r="C36" s="1176">
        <v>1</v>
      </c>
      <c r="D36" s="1176" t="s">
        <v>1472</v>
      </c>
      <c r="E36" s="1176">
        <v>1</v>
      </c>
      <c r="F36" s="1177">
        <v>3.6</v>
      </c>
      <c r="G36" s="1177">
        <v>1.5</v>
      </c>
      <c r="H36" s="1177">
        <v>0.1</v>
      </c>
      <c r="I36" s="1049">
        <f t="shared" si="2"/>
        <v>0.54</v>
      </c>
      <c r="J36" s="1049"/>
      <c r="K36" s="1049"/>
      <c r="L36" s="1049"/>
      <c r="M36" s="1049"/>
      <c r="N36" s="1087"/>
      <c r="O36" s="1087"/>
    </row>
    <row r="37" spans="1:15" ht="14.1">
      <c r="A37" s="1046"/>
      <c r="B37" s="1174" t="s">
        <v>2489</v>
      </c>
      <c r="C37" s="1048">
        <v>1</v>
      </c>
      <c r="D37" s="1048" t="s">
        <v>1472</v>
      </c>
      <c r="E37" s="1048">
        <v>2</v>
      </c>
      <c r="F37" s="1049">
        <f>60.75*0.3048+0.3</f>
        <v>18.816600000000001</v>
      </c>
      <c r="G37" s="1049">
        <v>0.6</v>
      </c>
      <c r="H37" s="1177">
        <v>0.1</v>
      </c>
      <c r="I37" s="1049">
        <f t="shared" si="2"/>
        <v>2.2599999999999998</v>
      </c>
      <c r="J37" s="1049"/>
      <c r="K37" s="1049"/>
      <c r="L37" s="1049"/>
      <c r="M37" s="1049"/>
    </row>
    <row r="38" spans="1:15" ht="14.1">
      <c r="A38" s="1046"/>
      <c r="B38" s="1174" t="s">
        <v>2488</v>
      </c>
      <c r="C38" s="1048">
        <v>1</v>
      </c>
      <c r="D38" s="1048" t="s">
        <v>1472</v>
      </c>
      <c r="E38" s="1048">
        <v>2</v>
      </c>
      <c r="F38" s="1049">
        <f>(30.75)*0.3048-0.6+2.4</f>
        <v>11.172600000000001</v>
      </c>
      <c r="G38" s="1049">
        <v>0.6</v>
      </c>
      <c r="H38" s="1177">
        <v>0.1</v>
      </c>
      <c r="I38" s="1049">
        <f t="shared" si="2"/>
        <v>1.34</v>
      </c>
      <c r="J38" s="1049"/>
      <c r="K38" s="1049"/>
      <c r="L38" s="1049"/>
      <c r="M38" s="1049"/>
    </row>
    <row r="39" spans="1:15" ht="14.1">
      <c r="A39" s="1046"/>
      <c r="B39" s="1174" t="s">
        <v>2093</v>
      </c>
      <c r="C39" s="1048">
        <v>1</v>
      </c>
      <c r="D39" s="1048" t="s">
        <v>1472</v>
      </c>
      <c r="E39" s="1048">
        <v>2</v>
      </c>
      <c r="F39" s="1049">
        <v>4.49</v>
      </c>
      <c r="G39" s="1049">
        <v>0.6</v>
      </c>
      <c r="H39" s="1177">
        <v>0.1</v>
      </c>
      <c r="I39" s="1049">
        <f t="shared" si="2"/>
        <v>0.54</v>
      </c>
      <c r="J39" s="1049"/>
      <c r="K39" s="1049"/>
      <c r="L39" s="1049"/>
      <c r="M39" s="1049"/>
    </row>
    <row r="40" spans="1:15" ht="14.1">
      <c r="A40" s="1046"/>
      <c r="B40" s="1174" t="s">
        <v>2094</v>
      </c>
      <c r="C40" s="1048">
        <v>1</v>
      </c>
      <c r="D40" s="1048" t="s">
        <v>1472</v>
      </c>
      <c r="E40" s="1048">
        <v>2</v>
      </c>
      <c r="F40" s="1049">
        <v>2.68</v>
      </c>
      <c r="G40" s="1049">
        <v>0.6</v>
      </c>
      <c r="H40" s="1177">
        <v>0.1</v>
      </c>
      <c r="I40" s="1049">
        <f t="shared" si="2"/>
        <v>0.32</v>
      </c>
      <c r="J40" s="1049"/>
      <c r="K40" s="1049"/>
      <c r="L40" s="1049"/>
      <c r="M40" s="1049"/>
    </row>
    <row r="41" spans="1:15" ht="24.6">
      <c r="A41" s="1046"/>
      <c r="B41" s="1174" t="s">
        <v>2380</v>
      </c>
      <c r="C41" s="1048">
        <v>1</v>
      </c>
      <c r="D41" s="1048" t="s">
        <v>1472</v>
      </c>
      <c r="E41" s="1048">
        <v>1</v>
      </c>
      <c r="F41" s="1049">
        <v>1.5</v>
      </c>
      <c r="G41" s="1049">
        <v>0.6</v>
      </c>
      <c r="H41" s="1177">
        <v>0.1</v>
      </c>
      <c r="I41" s="1049">
        <f t="shared" si="2"/>
        <v>0.09</v>
      </c>
      <c r="J41" s="1049"/>
      <c r="K41" s="1049"/>
      <c r="L41" s="1049"/>
      <c r="M41" s="1049"/>
    </row>
    <row r="42" spans="1:15" ht="24.6">
      <c r="A42" s="1046"/>
      <c r="B42" s="1174" t="s">
        <v>2380</v>
      </c>
      <c r="C42" s="1048">
        <v>1</v>
      </c>
      <c r="D42" s="1048" t="s">
        <v>1472</v>
      </c>
      <c r="E42" s="1048">
        <v>1</v>
      </c>
      <c r="F42" s="1049">
        <v>3</v>
      </c>
      <c r="G42" s="1049">
        <v>0.6</v>
      </c>
      <c r="H42" s="1177">
        <v>0.1</v>
      </c>
      <c r="I42" s="1049">
        <f t="shared" si="2"/>
        <v>0.18</v>
      </c>
      <c r="J42" s="1049"/>
      <c r="K42" s="1049"/>
      <c r="L42" s="1049"/>
      <c r="M42" s="1049"/>
    </row>
    <row r="43" spans="1:15" ht="14.1">
      <c r="A43" s="1046"/>
      <c r="B43" s="1175" t="s">
        <v>2375</v>
      </c>
      <c r="C43" s="1048">
        <v>1</v>
      </c>
      <c r="D43" s="1048" t="s">
        <v>1472</v>
      </c>
      <c r="E43" s="1048">
        <v>1</v>
      </c>
      <c r="F43" s="1049">
        <f>(31.5-6-4)*0.3048</f>
        <v>6.5532000000000004</v>
      </c>
      <c r="G43" s="1049">
        <v>0.6</v>
      </c>
      <c r="H43" s="1177">
        <v>0.1</v>
      </c>
      <c r="I43" s="1049">
        <f t="shared" si="2"/>
        <v>0.39</v>
      </c>
      <c r="J43" s="1049"/>
      <c r="K43" s="1049"/>
      <c r="L43" s="1049"/>
      <c r="M43" s="1049"/>
    </row>
    <row r="44" spans="1:15" ht="14.1">
      <c r="A44" s="1046"/>
      <c r="B44" s="1175" t="s">
        <v>2376</v>
      </c>
      <c r="C44" s="1048">
        <v>1</v>
      </c>
      <c r="D44" s="1048" t="s">
        <v>1472</v>
      </c>
      <c r="E44" s="1048">
        <v>2</v>
      </c>
      <c r="F44" s="1049">
        <v>3</v>
      </c>
      <c r="G44" s="1049">
        <v>0.6</v>
      </c>
      <c r="H44" s="1177">
        <v>0.1</v>
      </c>
      <c r="I44" s="1049">
        <f t="shared" si="2"/>
        <v>0.36</v>
      </c>
      <c r="J44" s="1049"/>
      <c r="K44" s="1049"/>
      <c r="L44" s="1049"/>
      <c r="M44" s="1049"/>
    </row>
    <row r="45" spans="1:15" ht="14.1">
      <c r="A45" s="1046"/>
      <c r="B45" s="1175" t="s">
        <v>2100</v>
      </c>
      <c r="C45" s="1048">
        <v>1</v>
      </c>
      <c r="D45" s="1048" t="s">
        <v>1472</v>
      </c>
      <c r="E45" s="1048">
        <v>1</v>
      </c>
      <c r="F45" s="1049">
        <f>(31.5-6)*0.3048</f>
        <v>7.7724000000000002</v>
      </c>
      <c r="G45" s="1049">
        <v>1.2</v>
      </c>
      <c r="H45" s="1177">
        <v>0.1</v>
      </c>
      <c r="I45" s="1049">
        <f t="shared" si="2"/>
        <v>0.93</v>
      </c>
      <c r="J45" s="1049"/>
      <c r="K45" s="1049"/>
      <c r="L45" s="1049"/>
      <c r="M45" s="1049"/>
    </row>
    <row r="46" spans="1:15" ht="14.1">
      <c r="A46" s="1046"/>
      <c r="B46" s="1175" t="s">
        <v>2099</v>
      </c>
      <c r="C46" s="1048">
        <v>1</v>
      </c>
      <c r="D46" s="1048" t="s">
        <v>1472</v>
      </c>
      <c r="E46" s="1048">
        <v>2</v>
      </c>
      <c r="F46" s="1049">
        <v>4.2</v>
      </c>
      <c r="G46" s="1049">
        <v>1.2</v>
      </c>
      <c r="H46" s="1177">
        <v>0.1</v>
      </c>
      <c r="I46" s="1049">
        <f t="shared" si="2"/>
        <v>1.01</v>
      </c>
      <c r="J46" s="1049"/>
      <c r="K46" s="1049"/>
      <c r="L46" s="1049"/>
      <c r="M46" s="1049"/>
    </row>
    <row r="47" spans="1:15" ht="14.1">
      <c r="A47" s="1046"/>
      <c r="B47" s="1175" t="s">
        <v>2490</v>
      </c>
      <c r="C47" s="1048">
        <v>3</v>
      </c>
      <c r="D47" s="1048" t="s">
        <v>1472</v>
      </c>
      <c r="E47" s="1048">
        <v>2</v>
      </c>
      <c r="F47" s="1049">
        <v>0.75</v>
      </c>
      <c r="G47" s="1049">
        <v>0.75</v>
      </c>
      <c r="H47" s="1049">
        <v>0.6</v>
      </c>
      <c r="I47" s="1049">
        <f t="shared" si="2"/>
        <v>2.0299999999999998</v>
      </c>
      <c r="J47" s="1049"/>
      <c r="K47" s="1049"/>
      <c r="L47" s="1049"/>
      <c r="M47" s="1049"/>
    </row>
    <row r="48" spans="1:15" ht="14.1">
      <c r="A48" s="1046"/>
      <c r="B48" s="1175" t="s">
        <v>2463</v>
      </c>
      <c r="C48" s="1048">
        <v>1</v>
      </c>
      <c r="D48" s="1048" t="s">
        <v>1472</v>
      </c>
      <c r="E48" s="1048">
        <v>2</v>
      </c>
      <c r="F48" s="1049">
        <v>3</v>
      </c>
      <c r="G48" s="1049">
        <v>1.2</v>
      </c>
      <c r="H48" s="1177">
        <v>0.1</v>
      </c>
      <c r="I48" s="1049">
        <f t="shared" si="2"/>
        <v>0.72</v>
      </c>
      <c r="J48" s="1049"/>
      <c r="K48" s="1049"/>
      <c r="L48" s="1049"/>
      <c r="M48" s="1049"/>
    </row>
    <row r="49" spans="1:15" ht="14.1">
      <c r="A49" s="1046"/>
      <c r="B49" s="1050" t="s">
        <v>2533</v>
      </c>
      <c r="C49" s="1048">
        <v>1</v>
      </c>
      <c r="D49" s="1048" t="s">
        <v>1472</v>
      </c>
      <c r="E49" s="1048">
        <v>2</v>
      </c>
      <c r="F49" s="1049">
        <f>61.5*0.3048-6*0.225</f>
        <v>17.395199999999999</v>
      </c>
      <c r="G49" s="1049">
        <v>0.3</v>
      </c>
      <c r="H49" s="1094">
        <v>0.1</v>
      </c>
      <c r="I49" s="1049">
        <f t="shared" si="2"/>
        <v>1.04</v>
      </c>
      <c r="J49" s="1049"/>
      <c r="K49" s="1049"/>
      <c r="L49" s="1049"/>
      <c r="M49" s="1049"/>
      <c r="N49" s="1087"/>
      <c r="O49" s="1087"/>
    </row>
    <row r="50" spans="1:15" ht="27.6">
      <c r="A50" s="1046"/>
      <c r="B50" s="1050" t="s">
        <v>2534</v>
      </c>
      <c r="C50" s="1048">
        <v>1</v>
      </c>
      <c r="D50" s="1048" t="s">
        <v>1472</v>
      </c>
      <c r="E50" s="1048">
        <v>4</v>
      </c>
      <c r="F50" s="1049">
        <f>30*0.3048-0.45*2</f>
        <v>8.2439999999999998</v>
      </c>
      <c r="G50" s="1049">
        <v>0.3</v>
      </c>
      <c r="H50" s="1094">
        <v>0.1</v>
      </c>
      <c r="I50" s="1049">
        <f t="shared" si="2"/>
        <v>0.99</v>
      </c>
      <c r="J50" s="1049"/>
      <c r="K50" s="1049"/>
      <c r="L50" s="1049"/>
      <c r="M50" s="1049"/>
      <c r="N50" s="1087"/>
      <c r="O50" s="1087"/>
    </row>
    <row r="51" spans="1:15" ht="14.1">
      <c r="A51" s="1046"/>
      <c r="B51" s="1050" t="s">
        <v>2535</v>
      </c>
      <c r="C51" s="1048">
        <v>1</v>
      </c>
      <c r="D51" s="1048" t="s">
        <v>1472</v>
      </c>
      <c r="E51" s="1048">
        <v>1</v>
      </c>
      <c r="F51" s="1049">
        <v>3.6</v>
      </c>
      <c r="G51" s="1049">
        <v>0.3</v>
      </c>
      <c r="H51" s="1094">
        <v>0.1</v>
      </c>
      <c r="I51" s="1049">
        <f t="shared" si="2"/>
        <v>0.11</v>
      </c>
      <c r="J51" s="1049"/>
      <c r="K51" s="1049"/>
      <c r="L51" s="1049"/>
      <c r="M51" s="1049"/>
    </row>
    <row r="52" spans="1:15" ht="14.1">
      <c r="A52" s="1046"/>
      <c r="B52" s="2564"/>
      <c r="C52" s="2565"/>
      <c r="D52" s="2565"/>
      <c r="E52" s="2565"/>
      <c r="F52" s="2565"/>
      <c r="G52" s="2565"/>
      <c r="H52" s="2566"/>
      <c r="I52" s="1052">
        <f>SUM(I32:I51)</f>
        <v>25.94</v>
      </c>
      <c r="J52" s="1049">
        <f>Datas!G174</f>
        <v>4155.8100000000004</v>
      </c>
      <c r="K52" s="1053">
        <f>ROUND(J52*I52,0)</f>
        <v>107802</v>
      </c>
      <c r="L52" s="1049">
        <v>108</v>
      </c>
      <c r="M52" s="1055">
        <f>L52*I52</f>
        <v>2801.52</v>
      </c>
      <c r="N52" s="1087">
        <v>108</v>
      </c>
      <c r="O52" s="1087">
        <f>ROUND(I52*N52,0)</f>
        <v>2802</v>
      </c>
    </row>
    <row r="53" spans="1:15" ht="14.1">
      <c r="A53" s="1046"/>
      <c r="B53" s="1060"/>
      <c r="C53" s="1048"/>
      <c r="D53" s="1048"/>
      <c r="E53" s="1048"/>
      <c r="F53" s="1049"/>
      <c r="G53" s="1049"/>
      <c r="H53" s="1049"/>
      <c r="I53" s="1053" t="s">
        <v>656</v>
      </c>
      <c r="J53" s="1053" t="s">
        <v>656</v>
      </c>
      <c r="K53" s="1053"/>
      <c r="L53" s="1053"/>
      <c r="M53" s="1053"/>
      <c r="N53" s="1087"/>
      <c r="O53" s="1087"/>
    </row>
    <row r="54" spans="1:15" ht="126.75" customHeight="1">
      <c r="A54" s="1046">
        <v>4</v>
      </c>
      <c r="B54" s="2415" t="s">
        <v>2445</v>
      </c>
      <c r="C54" s="2426"/>
      <c r="D54" s="2426"/>
      <c r="E54" s="2426"/>
      <c r="F54" s="2426"/>
      <c r="G54" s="2426"/>
      <c r="H54" s="2426"/>
      <c r="I54" s="2427"/>
      <c r="J54" s="1049"/>
      <c r="K54" s="1049"/>
      <c r="L54" s="1049"/>
      <c r="M54" s="1049"/>
      <c r="N54" s="1087"/>
      <c r="O54" s="1087"/>
    </row>
    <row r="55" spans="1:15" ht="14.1">
      <c r="A55" s="1046"/>
      <c r="B55" s="1060" t="s">
        <v>657</v>
      </c>
      <c r="C55" s="1061"/>
      <c r="D55" s="1061"/>
      <c r="E55" s="1061"/>
      <c r="F55" s="1062"/>
      <c r="G55" s="1062"/>
      <c r="H55" s="1062"/>
      <c r="I55" s="1062"/>
      <c r="J55" s="1049"/>
      <c r="K55" s="1049"/>
      <c r="L55" s="1049"/>
      <c r="M55" s="1049"/>
      <c r="N55" s="1087"/>
      <c r="O55" s="1087"/>
    </row>
    <row r="56" spans="1:15" ht="14.1">
      <c r="A56" s="1046"/>
      <c r="B56" s="1174" t="s">
        <v>2489</v>
      </c>
      <c r="C56" s="1048">
        <v>1</v>
      </c>
      <c r="D56" s="1048" t="s">
        <v>1472</v>
      </c>
      <c r="E56" s="1048">
        <v>2</v>
      </c>
      <c r="F56" s="1049">
        <f>(60.75)*0.3048+0.45</f>
        <v>18.9666</v>
      </c>
      <c r="G56" s="1049">
        <v>0.45</v>
      </c>
      <c r="H56" s="1049">
        <v>0.5</v>
      </c>
      <c r="I56" s="1049">
        <f>ROUND(C56*E56*F56*G56*H56,2)</f>
        <v>8.5299999999999994</v>
      </c>
      <c r="J56" s="1049"/>
      <c r="K56" s="1049"/>
      <c r="L56" s="1049"/>
      <c r="M56" s="1049"/>
      <c r="N56" s="1087"/>
      <c r="O56" s="1087"/>
    </row>
    <row r="57" spans="1:15" ht="14.1">
      <c r="A57" s="1046"/>
      <c r="B57" s="1174" t="s">
        <v>2488</v>
      </c>
      <c r="C57" s="1048">
        <v>1</v>
      </c>
      <c r="D57" s="1048" t="s">
        <v>1472</v>
      </c>
      <c r="E57" s="1048">
        <v>2</v>
      </c>
      <c r="F57" s="1049">
        <f>(30.75+4*4)*0.3048-0.45</f>
        <v>13.799400000000002</v>
      </c>
      <c r="G57" s="1049">
        <v>0.45</v>
      </c>
      <c r="H57" s="1049">
        <v>0.5</v>
      </c>
      <c r="I57" s="1049">
        <f t="shared" ref="I57:I62" si="3">ROUND(C57*E57*F57*G57*H57,2)</f>
        <v>6.21</v>
      </c>
      <c r="J57" s="1049"/>
      <c r="K57" s="1049"/>
      <c r="L57" s="1049"/>
      <c r="M57" s="1049"/>
      <c r="N57" s="1087"/>
      <c r="O57" s="1087"/>
    </row>
    <row r="58" spans="1:15" ht="14.1">
      <c r="A58" s="1046"/>
      <c r="B58" s="1174" t="s">
        <v>2093</v>
      </c>
      <c r="C58" s="1048">
        <v>1</v>
      </c>
      <c r="D58" s="1048" t="s">
        <v>1472</v>
      </c>
      <c r="E58" s="1048">
        <v>2</v>
      </c>
      <c r="F58" s="1049">
        <f>12.75*0.3048+0.45</f>
        <v>4.3361999999999998</v>
      </c>
      <c r="G58" s="1049">
        <v>0.45</v>
      </c>
      <c r="H58" s="1049">
        <v>0.5</v>
      </c>
      <c r="I58" s="1049">
        <f t="shared" si="3"/>
        <v>1.95</v>
      </c>
      <c r="J58" s="1049"/>
      <c r="K58" s="1049"/>
      <c r="L58" s="1049"/>
      <c r="M58" s="1049"/>
      <c r="N58" s="1087"/>
      <c r="O58" s="1087"/>
    </row>
    <row r="59" spans="1:15" ht="14.1">
      <c r="A59" s="1046"/>
      <c r="B59" s="1174" t="s">
        <v>2094</v>
      </c>
      <c r="C59" s="1048">
        <v>1</v>
      </c>
      <c r="D59" s="1048" t="s">
        <v>1472</v>
      </c>
      <c r="E59" s="1048">
        <v>2</v>
      </c>
      <c r="F59" s="1049">
        <f>10.75*0.3048-0.45</f>
        <v>2.8266</v>
      </c>
      <c r="G59" s="1049">
        <v>0.45</v>
      </c>
      <c r="H59" s="1049">
        <v>0.5</v>
      </c>
      <c r="I59" s="1049">
        <f t="shared" si="3"/>
        <v>1.27</v>
      </c>
      <c r="J59" s="1049"/>
      <c r="K59" s="1049"/>
      <c r="L59" s="1049"/>
      <c r="M59" s="1049"/>
      <c r="N59" s="1087"/>
      <c r="O59" s="1087"/>
    </row>
    <row r="60" spans="1:15" ht="24.6">
      <c r="A60" s="1046"/>
      <c r="B60" s="1174" t="s">
        <v>2390</v>
      </c>
      <c r="C60" s="1176">
        <v>1</v>
      </c>
      <c r="D60" s="1176" t="s">
        <v>1472</v>
      </c>
      <c r="E60" s="1176">
        <v>1</v>
      </c>
      <c r="F60" s="1177">
        <v>4.1500000000000004</v>
      </c>
      <c r="G60" s="1049">
        <v>0.45</v>
      </c>
      <c r="H60" s="1049">
        <v>0.5</v>
      </c>
      <c r="I60" s="1049">
        <f>ROUND(C60*E60*F60*G60*H60,2)</f>
        <v>0.93</v>
      </c>
      <c r="J60" s="1049"/>
      <c r="K60" s="1049"/>
      <c r="L60" s="1049"/>
      <c r="M60" s="1049"/>
      <c r="N60" s="1087"/>
      <c r="O60" s="1087"/>
    </row>
    <row r="61" spans="1:15" ht="24.6">
      <c r="A61" s="1046"/>
      <c r="B61" s="1174" t="s">
        <v>2389</v>
      </c>
      <c r="C61" s="1176">
        <v>1</v>
      </c>
      <c r="D61" s="1176" t="s">
        <v>1472</v>
      </c>
      <c r="E61" s="1176">
        <v>2</v>
      </c>
      <c r="F61" s="1177">
        <v>1.35</v>
      </c>
      <c r="G61" s="1049">
        <v>0.45</v>
      </c>
      <c r="H61" s="1049">
        <v>0.5</v>
      </c>
      <c r="I61" s="1049">
        <f t="shared" si="3"/>
        <v>0.61</v>
      </c>
      <c r="J61" s="1049"/>
      <c r="K61" s="1049"/>
      <c r="L61" s="1049"/>
      <c r="M61" s="1049"/>
      <c r="N61" s="1087"/>
      <c r="O61" s="1087"/>
    </row>
    <row r="62" spans="1:15" ht="14.1">
      <c r="A62" s="1046"/>
      <c r="B62" s="1175" t="s">
        <v>2096</v>
      </c>
      <c r="C62" s="1048">
        <v>1</v>
      </c>
      <c r="D62" s="1048" t="s">
        <v>1472</v>
      </c>
      <c r="E62" s="1048">
        <v>1</v>
      </c>
      <c r="F62" s="1049">
        <f>(31.5-6-4)*0.3048</f>
        <v>6.5532000000000004</v>
      </c>
      <c r="G62" s="1049">
        <v>0.45</v>
      </c>
      <c r="H62" s="1049">
        <v>0.2</v>
      </c>
      <c r="I62" s="1049">
        <f t="shared" si="3"/>
        <v>0.59</v>
      </c>
      <c r="J62" s="1049"/>
      <c r="K62" s="1049"/>
      <c r="L62" s="1049"/>
      <c r="M62" s="1049"/>
      <c r="N62" s="1087"/>
      <c r="O62" s="1087"/>
    </row>
    <row r="63" spans="1:15" ht="14.1">
      <c r="A63" s="1046"/>
      <c r="B63" s="1175" t="s">
        <v>2097</v>
      </c>
      <c r="C63" s="1048">
        <v>1</v>
      </c>
      <c r="D63" s="1048" t="s">
        <v>1472</v>
      </c>
      <c r="E63" s="1048">
        <v>2</v>
      </c>
      <c r="F63" s="1049">
        <v>3</v>
      </c>
      <c r="G63" s="1049">
        <v>0.45</v>
      </c>
      <c r="H63" s="1049">
        <v>0.2</v>
      </c>
      <c r="I63" s="1049">
        <f>ROUND(C63*E63*F63*G63*H63,2)</f>
        <v>0.54</v>
      </c>
      <c r="J63" s="1049"/>
      <c r="K63" s="1049"/>
      <c r="L63" s="1049"/>
      <c r="M63" s="1049"/>
      <c r="N63" s="1087"/>
      <c r="O63" s="1087"/>
    </row>
    <row r="64" spans="1:15" ht="14.1">
      <c r="A64" s="1046"/>
      <c r="B64" s="1175" t="s">
        <v>2490</v>
      </c>
      <c r="C64" s="1048">
        <v>3</v>
      </c>
      <c r="D64" s="1048" t="s">
        <v>1472</v>
      </c>
      <c r="E64" s="1048">
        <v>2</v>
      </c>
      <c r="F64" s="1049">
        <v>0.6</v>
      </c>
      <c r="G64" s="1049">
        <v>0.6</v>
      </c>
      <c r="H64" s="1049">
        <v>0.5</v>
      </c>
      <c r="I64" s="1049">
        <f>ROUND(C64*E64*F64*G64*H64,2)</f>
        <v>1.08</v>
      </c>
      <c r="J64" s="1049"/>
      <c r="K64" s="1049"/>
      <c r="L64" s="1049"/>
      <c r="M64" s="1049"/>
    </row>
    <row r="65" spans="1:15" ht="14.1">
      <c r="A65" s="1046"/>
      <c r="B65" s="1190" t="s">
        <v>2017</v>
      </c>
      <c r="C65" s="1061"/>
      <c r="D65" s="1061"/>
      <c r="E65" s="1061"/>
      <c r="F65" s="1062"/>
      <c r="G65" s="1062"/>
      <c r="H65" s="1062"/>
      <c r="I65" s="1063">
        <f>SUM(I56:I64)</f>
        <v>21.709999999999994</v>
      </c>
      <c r="J65" s="1049"/>
      <c r="K65" s="1049"/>
      <c r="L65" s="1049"/>
      <c r="M65" s="1049"/>
      <c r="N65" s="1087"/>
      <c r="O65" s="1087"/>
    </row>
    <row r="66" spans="1:15" ht="24.6">
      <c r="A66" s="1046"/>
      <c r="B66" s="1174" t="s">
        <v>2090</v>
      </c>
      <c r="C66" s="1048">
        <v>1</v>
      </c>
      <c r="D66" s="1048" t="s">
        <v>1472</v>
      </c>
      <c r="E66" s="1048">
        <v>2</v>
      </c>
      <c r="F66" s="1049">
        <f>(60.75)*0.3048+0.45</f>
        <v>18.9666</v>
      </c>
      <c r="G66" s="1049">
        <v>0.45</v>
      </c>
      <c r="H66" s="1049">
        <v>0.45</v>
      </c>
      <c r="I66" s="1049">
        <f t="shared" ref="I66:I73" si="4">ROUND(C66*E66*F66*G66*H66,2)</f>
        <v>7.68</v>
      </c>
      <c r="J66" s="1049"/>
      <c r="K66" s="1049"/>
      <c r="L66" s="1049"/>
      <c r="M66" s="1049"/>
      <c r="N66" s="1087"/>
      <c r="O66" s="1087"/>
    </row>
    <row r="67" spans="1:15" ht="24.6">
      <c r="A67" s="1046"/>
      <c r="B67" s="1174" t="s">
        <v>2091</v>
      </c>
      <c r="C67" s="1048">
        <v>1</v>
      </c>
      <c r="D67" s="1048" t="s">
        <v>1472</v>
      </c>
      <c r="E67" s="1048">
        <v>2</v>
      </c>
      <c r="F67" s="1049">
        <f>(30.75+4*4)*0.3048-0.45</f>
        <v>13.799400000000002</v>
      </c>
      <c r="G67" s="1049">
        <v>0.45</v>
      </c>
      <c r="H67" s="1049">
        <v>0.45</v>
      </c>
      <c r="I67" s="1049">
        <f t="shared" si="4"/>
        <v>5.59</v>
      </c>
      <c r="J67" s="1049"/>
      <c r="K67" s="1049"/>
      <c r="L67" s="1049"/>
      <c r="M67" s="1049"/>
      <c r="N67" s="1087"/>
      <c r="O67" s="1087"/>
    </row>
    <row r="68" spans="1:15" ht="14.1">
      <c r="A68" s="1046"/>
      <c r="B68" s="1174" t="s">
        <v>2388</v>
      </c>
      <c r="C68" s="1048">
        <v>1</v>
      </c>
      <c r="D68" s="1048" t="s">
        <v>1472</v>
      </c>
      <c r="E68" s="1048">
        <v>1</v>
      </c>
      <c r="F68" s="1049">
        <v>3.89</v>
      </c>
      <c r="G68" s="1049">
        <v>0.45</v>
      </c>
      <c r="H68" s="1049">
        <v>0.45</v>
      </c>
      <c r="I68" s="1049">
        <f t="shared" si="4"/>
        <v>0.79</v>
      </c>
      <c r="J68" s="1049"/>
      <c r="K68" s="1049"/>
      <c r="L68" s="1049"/>
      <c r="M68" s="1049"/>
      <c r="N68" s="1087"/>
      <c r="O68" s="1087"/>
    </row>
    <row r="69" spans="1:15" ht="14.1">
      <c r="A69" s="1046"/>
      <c r="B69" s="1174" t="s">
        <v>2093</v>
      </c>
      <c r="C69" s="1048">
        <v>1</v>
      </c>
      <c r="D69" s="1048" t="s">
        <v>1472</v>
      </c>
      <c r="E69" s="1048">
        <v>2</v>
      </c>
      <c r="F69" s="1049">
        <f>12.75*0.3048+0.45</f>
        <v>4.3361999999999998</v>
      </c>
      <c r="G69" s="1049">
        <v>0.45</v>
      </c>
      <c r="H69" s="1049">
        <v>0.45</v>
      </c>
      <c r="I69" s="1049">
        <f t="shared" si="4"/>
        <v>1.76</v>
      </c>
      <c r="J69" s="1049"/>
      <c r="K69" s="1049"/>
      <c r="L69" s="1049"/>
      <c r="M69" s="1049"/>
      <c r="N69" s="1087"/>
      <c r="O69" s="1087"/>
    </row>
    <row r="70" spans="1:15" ht="14.1">
      <c r="A70" s="1046"/>
      <c r="B70" s="1174" t="s">
        <v>2094</v>
      </c>
      <c r="C70" s="1048">
        <v>1</v>
      </c>
      <c r="D70" s="1048" t="s">
        <v>1472</v>
      </c>
      <c r="E70" s="1048">
        <v>2</v>
      </c>
      <c r="F70" s="1049">
        <f>10.75*0.3048-0.45</f>
        <v>2.8266</v>
      </c>
      <c r="G70" s="1049">
        <v>0.45</v>
      </c>
      <c r="H70" s="1049">
        <v>0.45</v>
      </c>
      <c r="I70" s="1049">
        <f t="shared" si="4"/>
        <v>1.1399999999999999</v>
      </c>
      <c r="J70" s="1049"/>
      <c r="K70" s="1049"/>
      <c r="L70" s="1049"/>
      <c r="M70" s="1049"/>
      <c r="N70" s="1087"/>
      <c r="O70" s="1087"/>
    </row>
    <row r="71" spans="1:15" ht="24.6">
      <c r="A71" s="1046"/>
      <c r="B71" s="1174" t="s">
        <v>2390</v>
      </c>
      <c r="C71" s="1176">
        <v>1</v>
      </c>
      <c r="D71" s="1176" t="s">
        <v>1472</v>
      </c>
      <c r="E71" s="1176">
        <v>1</v>
      </c>
      <c r="F71" s="1177">
        <v>4.1500000000000004</v>
      </c>
      <c r="G71" s="1049">
        <v>0.45</v>
      </c>
      <c r="H71" s="1049">
        <v>0.45</v>
      </c>
      <c r="I71" s="1049">
        <f t="shared" si="4"/>
        <v>0.84</v>
      </c>
      <c r="J71" s="1049"/>
      <c r="K71" s="1049"/>
      <c r="L71" s="1049"/>
      <c r="M71" s="1049"/>
      <c r="N71" s="1087"/>
      <c r="O71" s="1087"/>
    </row>
    <row r="72" spans="1:15" ht="24.6">
      <c r="A72" s="1046"/>
      <c r="B72" s="1174" t="s">
        <v>2389</v>
      </c>
      <c r="C72" s="1176">
        <v>1</v>
      </c>
      <c r="D72" s="1176" t="s">
        <v>1472</v>
      </c>
      <c r="E72" s="1176">
        <v>2</v>
      </c>
      <c r="F72" s="1177">
        <v>1.35</v>
      </c>
      <c r="G72" s="1049">
        <v>0.45</v>
      </c>
      <c r="H72" s="1049">
        <v>0.45</v>
      </c>
      <c r="I72" s="1049">
        <f>ROUND(C72*E72*F72*G72*H72,2)</f>
        <v>0.55000000000000004</v>
      </c>
      <c r="J72" s="1049"/>
      <c r="K72" s="1049"/>
      <c r="L72" s="1049"/>
      <c r="M72" s="1049"/>
      <c r="N72" s="1087"/>
      <c r="O72" s="1087"/>
    </row>
    <row r="73" spans="1:15" ht="14.1">
      <c r="A73" s="1046"/>
      <c r="B73" s="1175" t="s">
        <v>2096</v>
      </c>
      <c r="C73" s="1048">
        <v>1</v>
      </c>
      <c r="D73" s="1048" t="s">
        <v>1472</v>
      </c>
      <c r="E73" s="1048">
        <v>1</v>
      </c>
      <c r="F73" s="1049">
        <f>(31.5-6-4)*0.3048</f>
        <v>6.5532000000000004</v>
      </c>
      <c r="G73" s="1049">
        <v>0.45</v>
      </c>
      <c r="H73" s="1049">
        <v>0.45</v>
      </c>
      <c r="I73" s="1049">
        <f t="shared" si="4"/>
        <v>1.33</v>
      </c>
      <c r="J73" s="1049"/>
      <c r="K73" s="1049"/>
      <c r="L73" s="1049"/>
      <c r="M73" s="1049"/>
      <c r="N73" s="1087"/>
      <c r="O73" s="1087"/>
    </row>
    <row r="74" spans="1:15" ht="14.1">
      <c r="A74" s="1046"/>
      <c r="B74" s="1175" t="s">
        <v>2097</v>
      </c>
      <c r="C74" s="1048">
        <v>1</v>
      </c>
      <c r="D74" s="1048" t="s">
        <v>1472</v>
      </c>
      <c r="E74" s="1048">
        <v>2</v>
      </c>
      <c r="F74" s="1049">
        <v>3</v>
      </c>
      <c r="G74" s="1049">
        <v>0.45</v>
      </c>
      <c r="H74" s="1049">
        <v>0.45</v>
      </c>
      <c r="I74" s="1049">
        <f>ROUND(C74*E74*F74*G74*H74,2)</f>
        <v>1.22</v>
      </c>
      <c r="J74" s="1049"/>
      <c r="K74" s="1049"/>
      <c r="L74" s="1049"/>
      <c r="M74" s="1049"/>
      <c r="N74" s="1087"/>
      <c r="O74" s="1087"/>
    </row>
    <row r="75" spans="1:15" ht="14.1">
      <c r="A75" s="1046"/>
      <c r="B75" s="1175" t="s">
        <v>2422</v>
      </c>
      <c r="C75" s="1048">
        <v>1</v>
      </c>
      <c r="D75" s="1048" t="s">
        <v>1472</v>
      </c>
      <c r="E75" s="1048">
        <v>2</v>
      </c>
      <c r="F75" s="1049">
        <v>3</v>
      </c>
      <c r="G75" s="1049">
        <v>1.2</v>
      </c>
      <c r="H75" s="1222" t="s">
        <v>2464</v>
      </c>
      <c r="I75" s="1049">
        <f>ROUND(C75*E75*F75*G75*0.3,2)</f>
        <v>2.16</v>
      </c>
      <c r="J75" s="1049"/>
      <c r="K75" s="1049"/>
      <c r="L75" s="1049"/>
      <c r="M75" s="1049"/>
      <c r="N75" s="1087"/>
      <c r="O75" s="1087"/>
    </row>
    <row r="76" spans="1:15" ht="14.1">
      <c r="A76" s="1046"/>
      <c r="B76" s="1175" t="s">
        <v>2490</v>
      </c>
      <c r="C76" s="1048">
        <v>3</v>
      </c>
      <c r="D76" s="1048" t="s">
        <v>1472</v>
      </c>
      <c r="E76" s="1048">
        <v>2</v>
      </c>
      <c r="F76" s="1049">
        <v>0.45</v>
      </c>
      <c r="G76" s="1049">
        <v>0.45</v>
      </c>
      <c r="H76" s="1049">
        <v>0.3</v>
      </c>
      <c r="I76" s="1049">
        <f>ROUND(C76*E76*F76*G76*H76,2)</f>
        <v>0.36</v>
      </c>
      <c r="J76" s="1049"/>
      <c r="K76" s="1049"/>
      <c r="L76" s="1049"/>
      <c r="M76" s="1049"/>
    </row>
    <row r="77" spans="1:15" ht="14.1">
      <c r="A77" s="1046"/>
      <c r="B77" s="1179"/>
      <c r="C77" s="1048"/>
      <c r="D77" s="1048"/>
      <c r="E77" s="1048"/>
      <c r="F77" s="1049"/>
      <c r="G77" s="1049"/>
      <c r="H77" s="1049"/>
      <c r="I77" s="1053">
        <f>SUM(I66:I76)</f>
        <v>23.419999999999998</v>
      </c>
      <c r="J77" s="1049"/>
      <c r="K77" s="1049"/>
      <c r="L77" s="1049"/>
      <c r="M77" s="1049"/>
      <c r="N77" s="1087"/>
      <c r="O77" s="1087"/>
    </row>
    <row r="78" spans="1:15" ht="14.1">
      <c r="A78" s="1046"/>
      <c r="B78" s="1179" t="s">
        <v>421</v>
      </c>
      <c r="C78" s="1048"/>
      <c r="D78" s="1048"/>
      <c r="E78" s="1048"/>
      <c r="F78" s="1049"/>
      <c r="G78" s="1049"/>
      <c r="H78" s="1049"/>
      <c r="I78" s="1049"/>
      <c r="J78" s="1049"/>
      <c r="K78" s="1049"/>
      <c r="L78" s="1049"/>
      <c r="M78" s="1049"/>
      <c r="N78" s="1087"/>
      <c r="O78" s="1087"/>
    </row>
    <row r="79" spans="1:15" ht="14.1">
      <c r="A79" s="1046"/>
      <c r="B79" s="1179" t="s">
        <v>2102</v>
      </c>
      <c r="C79" s="1048">
        <v>1</v>
      </c>
      <c r="D79" s="1048" t="s">
        <v>1472</v>
      </c>
      <c r="E79" s="1048">
        <v>1</v>
      </c>
      <c r="F79" s="1049">
        <f>(31.5-6)*0.3048</f>
        <v>7.7724000000000002</v>
      </c>
      <c r="G79" s="1049">
        <v>1.2</v>
      </c>
      <c r="H79" s="1049">
        <v>0.15</v>
      </c>
      <c r="I79" s="1049">
        <f t="shared" ref="I79:I86" si="5">ROUND(C79*E79*F79*G79*H79,2)</f>
        <v>1.4</v>
      </c>
      <c r="J79" s="1049"/>
      <c r="K79" s="1049"/>
      <c r="L79" s="1049"/>
      <c r="M79" s="1049"/>
      <c r="N79" s="1049"/>
      <c r="O79" s="1087"/>
    </row>
    <row r="80" spans="1:15" ht="14.1">
      <c r="A80" s="1046"/>
      <c r="B80" s="1179" t="s">
        <v>2103</v>
      </c>
      <c r="C80" s="1048">
        <v>1</v>
      </c>
      <c r="D80" s="1048" t="s">
        <v>1472</v>
      </c>
      <c r="E80" s="1048">
        <v>1</v>
      </c>
      <c r="F80" s="1049">
        <f>(31.5-6-2)*0.3048</f>
        <v>7.1628000000000007</v>
      </c>
      <c r="G80" s="1049">
        <v>0.9</v>
      </c>
      <c r="H80" s="1049">
        <v>0.15</v>
      </c>
      <c r="I80" s="1049">
        <f t="shared" si="5"/>
        <v>0.97</v>
      </c>
      <c r="J80" s="1049"/>
      <c r="K80" s="1049"/>
      <c r="L80" s="1049"/>
      <c r="M80" s="1049"/>
      <c r="N80" s="1049"/>
      <c r="O80" s="1087"/>
    </row>
    <row r="81" spans="1:15" ht="14.1">
      <c r="A81" s="1046"/>
      <c r="B81" s="1179" t="s">
        <v>2101</v>
      </c>
      <c r="C81" s="1048">
        <v>1</v>
      </c>
      <c r="D81" s="1048" t="s">
        <v>1472</v>
      </c>
      <c r="E81" s="1048">
        <v>1</v>
      </c>
      <c r="F81" s="1049">
        <f>(31.5-6-2-2)*0.3048</f>
        <v>6.5532000000000004</v>
      </c>
      <c r="G81" s="1049">
        <v>0.6</v>
      </c>
      <c r="H81" s="1049">
        <v>0.15</v>
      </c>
      <c r="I81" s="1049">
        <f t="shared" si="5"/>
        <v>0.59</v>
      </c>
      <c r="J81" s="1049"/>
      <c r="K81" s="1049"/>
      <c r="L81" s="1049"/>
      <c r="M81" s="1049"/>
      <c r="N81" s="1049"/>
      <c r="O81" s="1087"/>
    </row>
    <row r="82" spans="1:15" ht="14.1">
      <c r="A82" s="1046"/>
      <c r="B82" s="1179" t="s">
        <v>2104</v>
      </c>
      <c r="C82" s="1048">
        <v>1</v>
      </c>
      <c r="D82" s="1048" t="s">
        <v>1472</v>
      </c>
      <c r="E82" s="1048">
        <v>1</v>
      </c>
      <c r="F82" s="1049">
        <f>(31.5-6-2-2-2)*0.3048</f>
        <v>5.9436</v>
      </c>
      <c r="G82" s="1049">
        <v>0.3</v>
      </c>
      <c r="H82" s="1049">
        <v>0.15</v>
      </c>
      <c r="I82" s="1049">
        <f t="shared" si="5"/>
        <v>0.27</v>
      </c>
      <c r="J82" s="1049"/>
      <c r="K82" s="1049"/>
      <c r="L82" s="1049"/>
      <c r="M82" s="1049"/>
      <c r="N82" s="1049"/>
      <c r="O82" s="1087"/>
    </row>
    <row r="83" spans="1:15" ht="14.1">
      <c r="A83" s="1046"/>
      <c r="B83" s="1179" t="s">
        <v>2105</v>
      </c>
      <c r="C83" s="1048">
        <v>1</v>
      </c>
      <c r="D83" s="1048" t="s">
        <v>1472</v>
      </c>
      <c r="E83" s="1048">
        <v>1</v>
      </c>
      <c r="F83" s="1049">
        <f>(10)*0.3048</f>
        <v>3.048</v>
      </c>
      <c r="G83" s="1049">
        <v>1.2</v>
      </c>
      <c r="H83" s="1049">
        <v>0.15</v>
      </c>
      <c r="I83" s="1049">
        <f t="shared" si="5"/>
        <v>0.55000000000000004</v>
      </c>
      <c r="J83" s="1049"/>
      <c r="K83" s="1049"/>
      <c r="L83" s="1049"/>
      <c r="M83" s="1049"/>
      <c r="N83" s="1049"/>
      <c r="O83" s="1087"/>
    </row>
    <row r="84" spans="1:15" ht="14.1">
      <c r="A84" s="1046"/>
      <c r="B84" s="1179" t="s">
        <v>2106</v>
      </c>
      <c r="C84" s="1048">
        <v>1</v>
      </c>
      <c r="D84" s="1048" t="s">
        <v>1472</v>
      </c>
      <c r="E84" s="1048">
        <v>1</v>
      </c>
      <c r="F84" s="1049">
        <f>(10-1)*0.3048</f>
        <v>2.7432000000000003</v>
      </c>
      <c r="G84" s="1049">
        <v>0.9</v>
      </c>
      <c r="H84" s="1049">
        <v>0.15</v>
      </c>
      <c r="I84" s="1049">
        <f t="shared" si="5"/>
        <v>0.37</v>
      </c>
      <c r="J84" s="1049"/>
      <c r="K84" s="1049"/>
      <c r="L84" s="1049"/>
      <c r="M84" s="1049"/>
      <c r="N84" s="1049"/>
      <c r="O84" s="1087"/>
    </row>
    <row r="85" spans="1:15" ht="14.1">
      <c r="A85" s="1046"/>
      <c r="B85" s="1179" t="s">
        <v>2107</v>
      </c>
      <c r="C85" s="1048">
        <v>1</v>
      </c>
      <c r="D85" s="1048" t="s">
        <v>1472</v>
      </c>
      <c r="E85" s="1048">
        <v>1</v>
      </c>
      <c r="F85" s="1049">
        <f>(10-2)*0.3048</f>
        <v>2.4384000000000001</v>
      </c>
      <c r="G85" s="1049">
        <v>0.6</v>
      </c>
      <c r="H85" s="1049">
        <v>0.15</v>
      </c>
      <c r="I85" s="1049">
        <f t="shared" si="5"/>
        <v>0.22</v>
      </c>
      <c r="J85" s="1049"/>
      <c r="K85" s="1049"/>
      <c r="L85" s="1049"/>
      <c r="M85" s="1049"/>
      <c r="N85" s="1049"/>
      <c r="O85" s="1087"/>
    </row>
    <row r="86" spans="1:15" ht="14.1">
      <c r="A86" s="1046"/>
      <c r="B86" s="1179" t="s">
        <v>2108</v>
      </c>
      <c r="C86" s="1048">
        <v>1</v>
      </c>
      <c r="D86" s="1048" t="s">
        <v>1472</v>
      </c>
      <c r="E86" s="1048">
        <v>1</v>
      </c>
      <c r="F86" s="1049">
        <f>(10-3)*0.3048</f>
        <v>2.1335999999999999</v>
      </c>
      <c r="G86" s="1049">
        <v>0.3</v>
      </c>
      <c r="H86" s="1049">
        <v>0.15</v>
      </c>
      <c r="I86" s="1049">
        <f t="shared" si="5"/>
        <v>0.1</v>
      </c>
      <c r="J86" s="1049"/>
      <c r="K86" s="1049"/>
      <c r="L86" s="1049"/>
      <c r="M86" s="1049"/>
      <c r="N86" s="1049"/>
      <c r="O86" s="1087"/>
    </row>
    <row r="87" spans="1:15" ht="14.1">
      <c r="A87" s="1046"/>
      <c r="B87" s="1179"/>
      <c r="C87" s="1048"/>
      <c r="D87" s="1048"/>
      <c r="E87" s="1048"/>
      <c r="F87" s="1049"/>
      <c r="G87" s="1049"/>
      <c r="H87" s="1049"/>
      <c r="I87" s="1053">
        <f>SUM(I79:I86)</f>
        <v>4.47</v>
      </c>
      <c r="J87" s="1049"/>
      <c r="K87" s="1049"/>
      <c r="L87" s="1049"/>
      <c r="M87" s="1049"/>
      <c r="N87" s="1068"/>
      <c r="O87" s="1087"/>
    </row>
    <row r="88" spans="1:15" ht="14.1">
      <c r="A88" s="1046"/>
      <c r="B88" s="2432"/>
      <c r="C88" s="2433"/>
      <c r="D88" s="2433"/>
      <c r="E88" s="2433"/>
      <c r="F88" s="2433"/>
      <c r="G88" s="2433"/>
      <c r="H88" s="2434"/>
      <c r="I88" s="1053">
        <f>I87+I77+I65</f>
        <v>49.599999999999994</v>
      </c>
      <c r="J88" s="1049">
        <f>Datas!$G$212</f>
        <v>3494.84</v>
      </c>
      <c r="K88" s="1053">
        <f>ROUND(J88*I88,0)</f>
        <v>173344</v>
      </c>
      <c r="L88" s="1049">
        <f>1.1*75+0.33*90</f>
        <v>112.2</v>
      </c>
      <c r="M88" s="1055">
        <f>L88*I88</f>
        <v>5565.12</v>
      </c>
      <c r="N88" s="1087">
        <f>(1.1*75+0.33*90)</f>
        <v>112.2</v>
      </c>
      <c r="O88" s="1087">
        <f>ROUND(I88*N88,0)</f>
        <v>5565</v>
      </c>
    </row>
    <row r="89" spans="1:15" ht="14.1">
      <c r="A89" s="1046"/>
      <c r="B89" s="1051"/>
      <c r="C89" s="1048"/>
      <c r="D89" s="1048"/>
      <c r="E89" s="1048"/>
      <c r="F89" s="1049"/>
      <c r="G89" s="1049"/>
      <c r="H89" s="1049"/>
      <c r="I89" s="1053" t="s">
        <v>656</v>
      </c>
      <c r="J89" s="1049" t="s">
        <v>197</v>
      </c>
      <c r="K89" s="1049"/>
      <c r="L89" s="1049"/>
      <c r="M89" s="1049"/>
      <c r="N89" s="1087"/>
      <c r="O89" s="1087"/>
    </row>
    <row r="90" spans="1:15" ht="157.5" customHeight="1">
      <c r="A90" s="1046">
        <v>5</v>
      </c>
      <c r="B90" s="2415" t="s">
        <v>2446</v>
      </c>
      <c r="C90" s="2426"/>
      <c r="D90" s="2426"/>
      <c r="E90" s="2426"/>
      <c r="F90" s="2426"/>
      <c r="G90" s="2426"/>
      <c r="H90" s="2426"/>
      <c r="I90" s="2427"/>
      <c r="J90" s="1049"/>
      <c r="K90" s="1049"/>
      <c r="L90" s="1049"/>
      <c r="M90" s="1049"/>
      <c r="N90" s="1087"/>
      <c r="O90" s="1087"/>
    </row>
    <row r="91" spans="1:15" ht="14.1">
      <c r="A91" s="1046" t="s">
        <v>659</v>
      </c>
      <c r="B91" s="1066" t="s">
        <v>660</v>
      </c>
      <c r="C91" s="1048"/>
      <c r="D91" s="1048"/>
      <c r="E91" s="1048"/>
      <c r="F91" s="1049"/>
      <c r="G91" s="1049"/>
      <c r="H91" s="1049"/>
      <c r="I91" s="1049"/>
      <c r="J91" s="1049"/>
      <c r="K91" s="1049"/>
      <c r="L91" s="1049"/>
      <c r="M91" s="1049"/>
      <c r="N91" s="1087"/>
      <c r="O91" s="1087"/>
    </row>
    <row r="92" spans="1:15" ht="14.1">
      <c r="A92" s="1046"/>
      <c r="B92" s="1066" t="s">
        <v>2491</v>
      </c>
      <c r="C92" s="1048">
        <v>1</v>
      </c>
      <c r="D92" s="1048" t="s">
        <v>1472</v>
      </c>
      <c r="E92" s="1048">
        <v>10</v>
      </c>
      <c r="F92" s="1049">
        <v>1.25</v>
      </c>
      <c r="G92" s="1049">
        <v>1.25</v>
      </c>
      <c r="H92" s="1049">
        <v>0.3</v>
      </c>
      <c r="I92" s="1049">
        <f>ROUND(C92*E92*F92*G92*H92,2)</f>
        <v>4.6900000000000004</v>
      </c>
      <c r="J92" s="1049"/>
      <c r="K92" s="1049"/>
      <c r="L92" s="1049"/>
      <c r="M92" s="1049"/>
      <c r="N92" s="1087"/>
      <c r="O92" s="1087"/>
    </row>
    <row r="93" spans="1:15" ht="14.1">
      <c r="A93" s="1046"/>
      <c r="B93" s="1066" t="s">
        <v>2492</v>
      </c>
      <c r="C93" s="1048">
        <v>1</v>
      </c>
      <c r="D93" s="1048" t="s">
        <v>1472</v>
      </c>
      <c r="E93" s="1048">
        <v>6</v>
      </c>
      <c r="F93" s="1049">
        <v>1.5</v>
      </c>
      <c r="G93" s="1049">
        <v>1</v>
      </c>
      <c r="H93" s="1049">
        <v>0.3</v>
      </c>
      <c r="I93" s="1049">
        <f>ROUND(C93*E93*F93*G93*H93,2)</f>
        <v>2.7</v>
      </c>
      <c r="J93" s="1049"/>
      <c r="K93" s="1049"/>
      <c r="L93" s="1049"/>
      <c r="M93" s="1049"/>
      <c r="N93" s="1087"/>
      <c r="O93" s="1087"/>
    </row>
    <row r="94" spans="1:15" ht="14.1">
      <c r="A94" s="1046"/>
      <c r="B94" s="1065"/>
      <c r="C94" s="1048"/>
      <c r="D94" s="1048"/>
      <c r="E94" s="1048"/>
      <c r="F94" s="1049"/>
      <c r="G94" s="1049"/>
      <c r="H94" s="1049"/>
      <c r="I94" s="1052">
        <f>SUM(I91:I93)</f>
        <v>7.3900000000000006</v>
      </c>
      <c r="J94" s="1049">
        <f>Datas!$G$318</f>
        <v>8788.51</v>
      </c>
      <c r="K94" s="1053">
        <f>ROUND(J94*I94,0)</f>
        <v>64947</v>
      </c>
      <c r="L94" s="1049">
        <v>108</v>
      </c>
      <c r="M94" s="1055">
        <f>L94*I94</f>
        <v>798.12000000000012</v>
      </c>
      <c r="N94" s="1087">
        <v>108</v>
      </c>
      <c r="O94" s="1087">
        <f>ROUND(I94*N94,0)</f>
        <v>798</v>
      </c>
    </row>
    <row r="95" spans="1:15" ht="14.1">
      <c r="A95" s="1046"/>
      <c r="B95" s="1065"/>
      <c r="C95" s="1048"/>
      <c r="D95" s="1048"/>
      <c r="E95" s="1048"/>
      <c r="F95" s="1049"/>
      <c r="G95" s="1049"/>
      <c r="H95" s="1049"/>
      <c r="I95" s="1053" t="s">
        <v>656</v>
      </c>
      <c r="J95" s="1049" t="s">
        <v>658</v>
      </c>
      <c r="K95" s="1053"/>
      <c r="L95" s="1053"/>
      <c r="M95" s="1053"/>
      <c r="N95" s="1087"/>
      <c r="O95" s="1087"/>
    </row>
    <row r="96" spans="1:15" ht="14.1">
      <c r="A96" s="1046" t="s">
        <v>950</v>
      </c>
      <c r="B96" s="1066" t="s">
        <v>662</v>
      </c>
      <c r="C96" s="1048"/>
      <c r="D96" s="1048"/>
      <c r="E96" s="1048"/>
      <c r="F96" s="1049"/>
      <c r="G96" s="1049"/>
      <c r="H96" s="1049"/>
      <c r="I96" s="1049"/>
      <c r="J96" s="1049"/>
      <c r="K96" s="1049"/>
      <c r="L96" s="1049"/>
      <c r="M96" s="1049"/>
      <c r="N96" s="1087"/>
      <c r="O96" s="1087"/>
    </row>
    <row r="97" spans="1:15" ht="14.1">
      <c r="A97" s="1046"/>
      <c r="B97" s="1065" t="s">
        <v>2493</v>
      </c>
      <c r="C97" s="1048">
        <v>1</v>
      </c>
      <c r="D97" s="1048" t="s">
        <v>1472</v>
      </c>
      <c r="E97" s="1048">
        <v>4</v>
      </c>
      <c r="F97" s="1049">
        <v>0.23</v>
      </c>
      <c r="G97" s="1049">
        <v>0.3</v>
      </c>
      <c r="H97" s="1049">
        <f>1.8-0.15-0.3</f>
        <v>1.35</v>
      </c>
      <c r="I97" s="1049">
        <f>ROUND(C97*E97*F97*G97*H97,2)</f>
        <v>0.37</v>
      </c>
      <c r="J97" s="1049"/>
      <c r="K97" s="1049"/>
      <c r="L97" s="1049"/>
      <c r="M97" s="1049"/>
      <c r="N97" s="1087"/>
      <c r="O97" s="1087"/>
    </row>
    <row r="98" spans="1:15" ht="14.1">
      <c r="A98" s="1046"/>
      <c r="B98" s="1065" t="s">
        <v>2494</v>
      </c>
      <c r="C98" s="1048">
        <v>1</v>
      </c>
      <c r="D98" s="1048" t="s">
        <v>1472</v>
      </c>
      <c r="E98" s="1048">
        <v>6</v>
      </c>
      <c r="F98" s="1049">
        <v>0.23</v>
      </c>
      <c r="G98" s="1193">
        <v>0.375</v>
      </c>
      <c r="H98" s="1049">
        <f>1.8-0.15-0.3</f>
        <v>1.35</v>
      </c>
      <c r="I98" s="1049">
        <f>ROUND(C98*E98*F98*G98*H98,2)</f>
        <v>0.7</v>
      </c>
      <c r="J98" s="1049"/>
      <c r="K98" s="1049"/>
      <c r="L98" s="1049"/>
      <c r="M98" s="1049"/>
      <c r="N98" s="1087"/>
      <c r="O98" s="1087"/>
    </row>
    <row r="99" spans="1:15" ht="14.1">
      <c r="A99" s="1046"/>
      <c r="B99" s="1065" t="s">
        <v>2495</v>
      </c>
      <c r="C99" s="1048">
        <v>1</v>
      </c>
      <c r="D99" s="1048" t="s">
        <v>1472</v>
      </c>
      <c r="E99" s="1048">
        <v>6</v>
      </c>
      <c r="F99" s="1049">
        <v>0.23</v>
      </c>
      <c r="G99" s="1193">
        <v>0.375</v>
      </c>
      <c r="H99" s="1049">
        <f>1.8-0.15-0.3</f>
        <v>1.35</v>
      </c>
      <c r="I99" s="1049">
        <f>ROUND(C99*E99*F99*G99*H99,2)</f>
        <v>0.7</v>
      </c>
      <c r="J99" s="1049"/>
      <c r="K99" s="1049"/>
      <c r="L99" s="1049"/>
      <c r="M99" s="1049"/>
      <c r="N99" s="1087"/>
      <c r="O99" s="1087"/>
    </row>
    <row r="100" spans="1:15" ht="14.1">
      <c r="A100" s="1046"/>
      <c r="B100" s="1066" t="s">
        <v>665</v>
      </c>
      <c r="C100" s="1048"/>
      <c r="D100" s="1048"/>
      <c r="E100" s="1048"/>
      <c r="F100" s="1049"/>
      <c r="G100" s="1049"/>
      <c r="H100" s="1049"/>
      <c r="I100" s="1053"/>
      <c r="J100" s="1049"/>
      <c r="K100" s="1049"/>
      <c r="L100" s="1049"/>
      <c r="M100" s="1049"/>
      <c r="N100" s="1087"/>
      <c r="O100" s="1087"/>
    </row>
    <row r="101" spans="1:15" ht="14.1">
      <c r="A101" s="1046"/>
      <c r="B101" s="1065" t="s">
        <v>2537</v>
      </c>
      <c r="C101" s="1048">
        <v>1</v>
      </c>
      <c r="D101" s="1048" t="s">
        <v>1472</v>
      </c>
      <c r="E101" s="1048">
        <v>4</v>
      </c>
      <c r="F101" s="1049">
        <v>0.23</v>
      </c>
      <c r="G101" s="1049">
        <v>0.3</v>
      </c>
      <c r="H101" s="1049">
        <v>3.6</v>
      </c>
      <c r="I101" s="1049">
        <f>ROUND(C101*E101*F101*G101*H101,2)</f>
        <v>0.99</v>
      </c>
      <c r="J101" s="1049"/>
      <c r="K101" s="1049"/>
      <c r="L101" s="1049"/>
      <c r="M101" s="1049"/>
      <c r="N101" s="1087"/>
      <c r="O101" s="1087"/>
    </row>
    <row r="102" spans="1:15" ht="14.1">
      <c r="A102" s="1046"/>
      <c r="B102" s="1065" t="s">
        <v>2494</v>
      </c>
      <c r="C102" s="1048">
        <v>1</v>
      </c>
      <c r="D102" s="1048" t="s">
        <v>1472</v>
      </c>
      <c r="E102" s="1048">
        <v>6</v>
      </c>
      <c r="F102" s="1049">
        <v>0.23</v>
      </c>
      <c r="G102" s="1193">
        <v>0.375</v>
      </c>
      <c r="H102" s="1049">
        <v>3.6</v>
      </c>
      <c r="I102" s="1049">
        <f>ROUND(C102*E102*F102*G102*H102,2)</f>
        <v>1.86</v>
      </c>
      <c r="J102" s="1049"/>
      <c r="K102" s="1049"/>
      <c r="L102" s="1049"/>
      <c r="M102" s="1049"/>
      <c r="N102" s="1087"/>
      <c r="O102" s="1087"/>
    </row>
    <row r="103" spans="1:15" ht="14.1">
      <c r="A103" s="1046"/>
      <c r="B103" s="1065" t="s">
        <v>2495</v>
      </c>
      <c r="C103" s="1048">
        <v>1</v>
      </c>
      <c r="D103" s="1048" t="s">
        <v>1472</v>
      </c>
      <c r="E103" s="1048">
        <v>6</v>
      </c>
      <c r="F103" s="1049">
        <v>0.23</v>
      </c>
      <c r="G103" s="1193">
        <v>0.375</v>
      </c>
      <c r="H103" s="1049">
        <v>3.6</v>
      </c>
      <c r="I103" s="1049">
        <f>ROUND(C103*E103*F103*G103*H103,2)</f>
        <v>1.86</v>
      </c>
      <c r="J103" s="1049"/>
      <c r="K103" s="1049"/>
      <c r="L103" s="1049"/>
      <c r="M103" s="1049"/>
      <c r="N103" s="1087"/>
      <c r="O103" s="1087"/>
    </row>
    <row r="104" spans="1:15" ht="14.1">
      <c r="A104" s="1046"/>
      <c r="B104" s="1065"/>
      <c r="C104" s="1048"/>
      <c r="D104" s="1048"/>
      <c r="E104" s="1048"/>
      <c r="F104" s="1049"/>
      <c r="G104" s="1049"/>
      <c r="H104" s="1049"/>
      <c r="I104" s="1053">
        <f>SUM(I97:I103)</f>
        <v>6.48</v>
      </c>
      <c r="J104" s="1049"/>
      <c r="K104" s="1049"/>
      <c r="L104" s="1049"/>
      <c r="M104" s="1049"/>
      <c r="N104" s="1087"/>
      <c r="O104" s="1087"/>
    </row>
    <row r="105" spans="1:15" ht="14.1">
      <c r="A105" s="1046"/>
      <c r="B105" s="2432"/>
      <c r="C105" s="2433"/>
      <c r="D105" s="2433"/>
      <c r="E105" s="2433"/>
      <c r="F105" s="2433"/>
      <c r="G105" s="2433"/>
      <c r="H105" s="2434"/>
      <c r="I105" s="1052">
        <f>I104</f>
        <v>6.48</v>
      </c>
      <c r="J105" s="1049">
        <f>Datas!$E$388</f>
        <v>11842.03</v>
      </c>
      <c r="K105" s="1053">
        <f>ROUND(J105*I105,0)</f>
        <v>76736</v>
      </c>
      <c r="L105" s="1049">
        <v>108</v>
      </c>
      <c r="M105" s="1055">
        <f>L105*I105</f>
        <v>699.84</v>
      </c>
      <c r="N105" s="1087">
        <v>108</v>
      </c>
      <c r="O105" s="1087">
        <f>ROUND(I105*N105,0)</f>
        <v>700</v>
      </c>
    </row>
    <row r="106" spans="1:15" ht="14.1">
      <c r="A106" s="1046"/>
      <c r="B106" s="1065"/>
      <c r="C106" s="1048"/>
      <c r="D106" s="1048"/>
      <c r="E106" s="1048"/>
      <c r="F106" s="1049"/>
      <c r="G106" s="1049"/>
      <c r="H106" s="1049"/>
      <c r="I106" s="1053" t="s">
        <v>656</v>
      </c>
      <c r="J106" s="1049" t="s">
        <v>668</v>
      </c>
      <c r="K106" s="1053"/>
      <c r="L106" s="1053"/>
      <c r="M106" s="1053"/>
      <c r="N106" s="1087"/>
      <c r="O106" s="1087"/>
    </row>
    <row r="107" spans="1:15" ht="14.1">
      <c r="A107" s="1046" t="s">
        <v>661</v>
      </c>
      <c r="B107" s="1064" t="s">
        <v>154</v>
      </c>
      <c r="C107" s="1067"/>
      <c r="D107" s="1067"/>
      <c r="E107" s="1048"/>
      <c r="F107" s="1049"/>
      <c r="G107" s="1049"/>
      <c r="H107" s="1049"/>
      <c r="I107" s="1049"/>
      <c r="J107" s="1049"/>
      <c r="K107" s="1053"/>
      <c r="L107" s="1049"/>
      <c r="M107" s="1049"/>
      <c r="N107" s="1087"/>
      <c r="O107" s="1087"/>
    </row>
    <row r="108" spans="1:15" ht="14.1">
      <c r="A108" s="1046"/>
      <c r="B108" s="1051" t="s">
        <v>2497</v>
      </c>
      <c r="C108" s="1048">
        <v>1</v>
      </c>
      <c r="D108" s="1048" t="s">
        <v>1472</v>
      </c>
      <c r="E108" s="1048">
        <v>2</v>
      </c>
      <c r="F108" s="1049">
        <f>30*0.3048</f>
        <v>9.1440000000000001</v>
      </c>
      <c r="G108" s="1049">
        <v>0.23</v>
      </c>
      <c r="H108" s="1094">
        <v>0.3</v>
      </c>
      <c r="I108" s="1049">
        <f>ROUND(C108*E108*F108*G108*H108,2)</f>
        <v>1.26</v>
      </c>
      <c r="J108" s="1049"/>
      <c r="K108" s="1049"/>
      <c r="L108" s="1049"/>
      <c r="M108" s="1049"/>
      <c r="N108" s="1087"/>
      <c r="O108" s="1087"/>
    </row>
    <row r="109" spans="1:15" ht="14.1">
      <c r="A109" s="1046"/>
      <c r="B109" s="1051" t="s">
        <v>2496</v>
      </c>
      <c r="C109" s="1048">
        <v>1</v>
      </c>
      <c r="D109" s="1048" t="s">
        <v>1472</v>
      </c>
      <c r="E109" s="1048">
        <v>1</v>
      </c>
      <c r="F109" s="1049">
        <f>30*0.3048</f>
        <v>9.1440000000000001</v>
      </c>
      <c r="G109" s="1049">
        <v>0.23</v>
      </c>
      <c r="H109" s="1094">
        <v>0.3</v>
      </c>
      <c r="I109" s="1049">
        <f>ROUND(C109*E109*F109*G109*H109,2)</f>
        <v>0.63</v>
      </c>
      <c r="J109" s="1049"/>
      <c r="K109" s="1049"/>
      <c r="L109" s="1049"/>
      <c r="M109" s="1049"/>
      <c r="N109" s="1087"/>
      <c r="O109" s="1087"/>
    </row>
    <row r="110" spans="1:15" ht="27.6">
      <c r="A110" s="1046"/>
      <c r="B110" s="1050" t="s">
        <v>2498</v>
      </c>
      <c r="C110" s="1048">
        <v>1</v>
      </c>
      <c r="D110" s="1048" t="s">
        <v>1472</v>
      </c>
      <c r="E110" s="1048">
        <v>3</v>
      </c>
      <c r="F110" s="1049">
        <f>30*0.3048</f>
        <v>9.1440000000000001</v>
      </c>
      <c r="G110" s="1049">
        <v>0.23</v>
      </c>
      <c r="H110" s="1094">
        <v>0.3</v>
      </c>
      <c r="I110" s="1049">
        <f>ROUND(C110*E110*F110*G110*H110,2)</f>
        <v>1.89</v>
      </c>
      <c r="J110" s="1049"/>
      <c r="K110" s="1049"/>
      <c r="L110" s="1049"/>
      <c r="M110" s="1049"/>
      <c r="N110" s="1087"/>
      <c r="O110" s="1087"/>
    </row>
    <row r="111" spans="1:15" ht="14.1">
      <c r="A111" s="1046"/>
      <c r="B111" s="1050" t="s">
        <v>2539</v>
      </c>
      <c r="C111" s="1048">
        <v>1</v>
      </c>
      <c r="D111" s="1048" t="s">
        <v>1472</v>
      </c>
      <c r="E111" s="1048">
        <v>2</v>
      </c>
      <c r="F111" s="1049">
        <f>61.5*0.3048</f>
        <v>18.745200000000001</v>
      </c>
      <c r="G111" s="1049">
        <v>0.23</v>
      </c>
      <c r="H111" s="1094">
        <v>0.3</v>
      </c>
      <c r="I111" s="1049">
        <f>ROUND(C111*E111*F111*G111*H111,2)</f>
        <v>2.59</v>
      </c>
      <c r="J111" s="1049"/>
      <c r="K111" s="1049"/>
      <c r="L111" s="1049"/>
      <c r="M111" s="1049"/>
      <c r="N111" s="1087"/>
      <c r="O111" s="1087"/>
    </row>
    <row r="112" spans="1:15" ht="14.1">
      <c r="A112" s="1046"/>
      <c r="B112" s="1050" t="s">
        <v>2499</v>
      </c>
      <c r="C112" s="1048">
        <v>1</v>
      </c>
      <c r="D112" s="1048" t="s">
        <v>1472</v>
      </c>
      <c r="E112" s="1048">
        <v>1</v>
      </c>
      <c r="F112" s="1049">
        <v>4.05</v>
      </c>
      <c r="G112" s="1049">
        <v>0.23</v>
      </c>
      <c r="H112" s="1094">
        <v>0.3</v>
      </c>
      <c r="I112" s="1049">
        <f>ROUND(C112*E112*F112*G112*H112,2)</f>
        <v>0.28000000000000003</v>
      </c>
      <c r="J112" s="1049"/>
      <c r="K112" s="1049"/>
      <c r="L112" s="1049"/>
      <c r="M112" s="1049"/>
      <c r="N112" s="1087"/>
      <c r="O112" s="1087"/>
    </row>
    <row r="113" spans="1:15" ht="14.1">
      <c r="A113" s="1046"/>
      <c r="B113" s="1065"/>
      <c r="C113" s="1048"/>
      <c r="D113" s="1048"/>
      <c r="E113" s="1048"/>
      <c r="F113" s="1049"/>
      <c r="G113" s="1049"/>
      <c r="H113" s="1049"/>
      <c r="I113" s="1052">
        <f>SUM(I108:I112)</f>
        <v>6.65</v>
      </c>
      <c r="J113" s="1049">
        <f>Datas!$G$340</f>
        <v>11378.51</v>
      </c>
      <c r="K113" s="1053">
        <f>ROUND(J113*I113,0)</f>
        <v>75667</v>
      </c>
      <c r="L113" s="1049">
        <v>108</v>
      </c>
      <c r="M113" s="1055">
        <f>L113*I113</f>
        <v>718.2</v>
      </c>
      <c r="N113" s="1087">
        <v>108</v>
      </c>
      <c r="O113" s="1087">
        <f>ROUND(I113*N113,0)</f>
        <v>718</v>
      </c>
    </row>
    <row r="114" spans="1:15" ht="14.1">
      <c r="A114" s="1046"/>
      <c r="B114" s="1065"/>
      <c r="C114" s="1048"/>
      <c r="D114" s="1048"/>
      <c r="E114" s="1048"/>
      <c r="F114" s="1049"/>
      <c r="G114" s="1049"/>
      <c r="H114" s="1049"/>
      <c r="I114" s="1053" t="s">
        <v>656</v>
      </c>
      <c r="J114" s="1053" t="s">
        <v>670</v>
      </c>
      <c r="K114" s="1053"/>
      <c r="L114" s="1053"/>
      <c r="M114" s="1053"/>
      <c r="N114" s="1087"/>
      <c r="O114" s="1087"/>
    </row>
    <row r="115" spans="1:15" ht="14.1">
      <c r="A115" s="1046" t="s">
        <v>669</v>
      </c>
      <c r="B115" s="1064" t="s">
        <v>2510</v>
      </c>
      <c r="C115" s="1067"/>
      <c r="D115" s="1067"/>
      <c r="E115" s="1048"/>
      <c r="F115" s="1049"/>
      <c r="G115" s="1049"/>
      <c r="H115" s="1049"/>
      <c r="I115" s="1049"/>
      <c r="J115" s="1049"/>
      <c r="K115" s="1049"/>
      <c r="L115" s="1049"/>
      <c r="M115" s="1049"/>
      <c r="N115" s="1087"/>
      <c r="O115" s="1087"/>
    </row>
    <row r="116" spans="1:15" ht="14.1">
      <c r="A116" s="1046"/>
      <c r="B116" s="1051" t="s">
        <v>2506</v>
      </c>
      <c r="C116" s="1048">
        <v>1</v>
      </c>
      <c r="D116" s="1048" t="s">
        <v>1472</v>
      </c>
      <c r="E116" s="1048">
        <v>1</v>
      </c>
      <c r="F116" s="1049">
        <f>30*0.3048</f>
        <v>9.1440000000000001</v>
      </c>
      <c r="G116" s="1049">
        <v>0.23</v>
      </c>
      <c r="H116" s="1094">
        <v>0.3</v>
      </c>
      <c r="I116" s="1049">
        <f>ROUND(C116*E116*F116*G116*H116,2)</f>
        <v>0.63</v>
      </c>
      <c r="J116" s="1049"/>
      <c r="K116" s="1049"/>
      <c r="L116" s="1049"/>
      <c r="M116" s="1049"/>
      <c r="N116" s="1087"/>
      <c r="O116" s="1087"/>
    </row>
    <row r="117" spans="1:15" ht="14.1">
      <c r="A117" s="1046"/>
      <c r="B117" s="1050" t="s">
        <v>2508</v>
      </c>
      <c r="C117" s="1048">
        <v>1</v>
      </c>
      <c r="D117" s="1048" t="s">
        <v>1472</v>
      </c>
      <c r="E117" s="1048">
        <v>2</v>
      </c>
      <c r="F117" s="1049">
        <v>4.05</v>
      </c>
      <c r="G117" s="1049">
        <v>0.23</v>
      </c>
      <c r="H117" s="1094">
        <v>0.3</v>
      </c>
      <c r="I117" s="1049">
        <f>ROUND(C117*E117*F117*G117*H117,2)</f>
        <v>0.56000000000000005</v>
      </c>
      <c r="J117" s="1049"/>
      <c r="K117" s="1049"/>
      <c r="L117" s="1049"/>
      <c r="M117" s="1049"/>
      <c r="N117" s="1087"/>
      <c r="O117" s="1087"/>
    </row>
    <row r="118" spans="1:15" ht="14.1">
      <c r="A118" s="1046"/>
      <c r="B118" s="1051" t="s">
        <v>2507</v>
      </c>
      <c r="C118" s="1048">
        <v>1</v>
      </c>
      <c r="D118" s="1048" t="s">
        <v>1472</v>
      </c>
      <c r="E118" s="1048">
        <v>1</v>
      </c>
      <c r="F118" s="1049">
        <f>30*0.3048</f>
        <v>9.1440000000000001</v>
      </c>
      <c r="G118" s="1049">
        <v>0.23</v>
      </c>
      <c r="H118" s="1094">
        <v>0.3</v>
      </c>
      <c r="I118" s="1049">
        <f>ROUND(C118*E118*F118*G118*H118,2)</f>
        <v>0.63</v>
      </c>
      <c r="J118" s="1049"/>
      <c r="K118" s="1049"/>
      <c r="L118" s="1049"/>
      <c r="M118" s="1049"/>
      <c r="N118" s="1087"/>
      <c r="O118" s="1087"/>
    </row>
    <row r="119" spans="1:15" ht="14.1">
      <c r="A119" s="1046"/>
      <c r="B119" s="1050" t="s">
        <v>2532</v>
      </c>
      <c r="C119" s="1048">
        <v>1</v>
      </c>
      <c r="D119" s="1048" t="s">
        <v>1472</v>
      </c>
      <c r="E119" s="1048">
        <v>2</v>
      </c>
      <c r="F119" s="1049">
        <f>(11.83*4+0.75)*0.3048</f>
        <v>14.651736000000001</v>
      </c>
      <c r="G119" s="1049">
        <v>0.23</v>
      </c>
      <c r="H119" s="1094">
        <v>0.3</v>
      </c>
      <c r="I119" s="1049">
        <f>ROUND(C119*E119*F119*G119*H119,2)</f>
        <v>2.02</v>
      </c>
      <c r="J119" s="1049"/>
      <c r="K119" s="1049"/>
      <c r="L119" s="1049"/>
      <c r="M119" s="1049"/>
      <c r="N119" s="1087"/>
      <c r="O119" s="1087"/>
    </row>
    <row r="120" spans="1:15" ht="14.1">
      <c r="A120" s="1046"/>
      <c r="B120" s="1064" t="s">
        <v>2500</v>
      </c>
      <c r="C120" s="1067"/>
      <c r="D120" s="1067"/>
      <c r="E120" s="1048"/>
      <c r="F120" s="1049"/>
      <c r="G120" s="1049"/>
      <c r="H120" s="1049"/>
      <c r="I120" s="1049"/>
      <c r="J120" s="1049"/>
      <c r="K120" s="1049"/>
      <c r="L120" s="1049"/>
      <c r="M120" s="1049"/>
      <c r="N120" s="1087"/>
      <c r="O120" s="1087"/>
    </row>
    <row r="121" spans="1:15" ht="14.1">
      <c r="A121" s="1046"/>
      <c r="B121" s="1051" t="s">
        <v>2501</v>
      </c>
      <c r="C121" s="1048">
        <v>1</v>
      </c>
      <c r="D121" s="1048" t="s">
        <v>1472</v>
      </c>
      <c r="E121" s="1048">
        <v>1</v>
      </c>
      <c r="F121" s="1049">
        <f>30*0.3048</f>
        <v>9.1440000000000001</v>
      </c>
      <c r="G121" s="1049">
        <v>0.23</v>
      </c>
      <c r="H121" s="1094">
        <v>0.3</v>
      </c>
      <c r="I121" s="1049">
        <f>ROUND(C121*E121*F121*G121*H121,2)</f>
        <v>0.63</v>
      </c>
      <c r="J121" s="1049"/>
      <c r="K121" s="1049"/>
      <c r="L121" s="1049"/>
      <c r="M121" s="1049"/>
      <c r="N121" s="1087"/>
      <c r="O121" s="1087"/>
    </row>
    <row r="122" spans="1:15" ht="14.1">
      <c r="A122" s="1046"/>
      <c r="B122" s="1051" t="s">
        <v>2504</v>
      </c>
      <c r="C122" s="1048">
        <v>1</v>
      </c>
      <c r="D122" s="1048" t="s">
        <v>1472</v>
      </c>
      <c r="E122" s="1048">
        <v>1</v>
      </c>
      <c r="F122" s="1049">
        <f>30*0.3048</f>
        <v>9.1440000000000001</v>
      </c>
      <c r="G122" s="1049">
        <v>0.23</v>
      </c>
      <c r="H122" s="1094">
        <v>0.3</v>
      </c>
      <c r="I122" s="1049">
        <f>ROUND(C122*E122*F122*G122*H122,2)</f>
        <v>0.63</v>
      </c>
      <c r="J122" s="1049"/>
      <c r="K122" s="1049"/>
      <c r="L122" s="1049"/>
      <c r="M122" s="1049"/>
      <c r="N122" s="1087"/>
      <c r="O122" s="1087"/>
    </row>
    <row r="123" spans="1:15" ht="14.1">
      <c r="A123" s="1046"/>
      <c r="B123" s="1051" t="s">
        <v>2502</v>
      </c>
      <c r="C123" s="1048">
        <v>1</v>
      </c>
      <c r="D123" s="1048" t="s">
        <v>1472</v>
      </c>
      <c r="E123" s="1048">
        <v>1</v>
      </c>
      <c r="F123" s="1049">
        <f>30*0.3048</f>
        <v>9.1440000000000001</v>
      </c>
      <c r="G123" s="1049">
        <v>0.23</v>
      </c>
      <c r="H123" s="1094">
        <v>0.3</v>
      </c>
      <c r="I123" s="1049">
        <f>ROUND(C123*E123*F123*G123*H123,2)</f>
        <v>0.63</v>
      </c>
      <c r="J123" s="1049"/>
      <c r="K123" s="1049"/>
      <c r="L123" s="1049"/>
      <c r="M123" s="1049"/>
      <c r="N123" s="1087"/>
      <c r="O123" s="1087"/>
    </row>
    <row r="124" spans="1:15" ht="14.1">
      <c r="A124" s="1046"/>
      <c r="B124" s="1050" t="s">
        <v>2538</v>
      </c>
      <c r="C124" s="1048">
        <v>1</v>
      </c>
      <c r="D124" s="1048" t="s">
        <v>1472</v>
      </c>
      <c r="E124" s="1048">
        <v>2</v>
      </c>
      <c r="F124" s="1049">
        <f>61.5*0.3048</f>
        <v>18.745200000000001</v>
      </c>
      <c r="G124" s="1049">
        <v>0.23</v>
      </c>
      <c r="H124" s="1094">
        <v>0.3</v>
      </c>
      <c r="I124" s="1049">
        <f>ROUND(C124*E124*F124*G124*H124,2)</f>
        <v>2.59</v>
      </c>
      <c r="J124" s="1049"/>
      <c r="K124" s="1049"/>
      <c r="L124" s="1049"/>
      <c r="M124" s="1049"/>
      <c r="N124" s="1087"/>
      <c r="O124" s="1087"/>
    </row>
    <row r="125" spans="1:15" ht="14.1">
      <c r="A125" s="1046"/>
      <c r="B125" s="1050" t="s">
        <v>2505</v>
      </c>
      <c r="C125" s="1048">
        <v>1</v>
      </c>
      <c r="D125" s="1048" t="s">
        <v>1472</v>
      </c>
      <c r="E125" s="1048">
        <v>1</v>
      </c>
      <c r="F125" s="1049">
        <v>4.05</v>
      </c>
      <c r="G125" s="1049">
        <v>0.23</v>
      </c>
      <c r="H125" s="1094">
        <v>0.3</v>
      </c>
      <c r="I125" s="1049">
        <f>ROUND(C125*E125*F125*G125*H125,2)</f>
        <v>0.28000000000000003</v>
      </c>
      <c r="J125" s="1049"/>
      <c r="K125" s="1049"/>
      <c r="L125" s="1049"/>
      <c r="M125" s="1049"/>
      <c r="N125" s="1087"/>
      <c r="O125" s="1087"/>
    </row>
    <row r="126" spans="1:15" ht="14.1">
      <c r="A126" s="1046"/>
      <c r="B126" s="1065"/>
      <c r="C126" s="1048"/>
      <c r="D126" s="1048"/>
      <c r="E126" s="1048"/>
      <c r="F126" s="1049"/>
      <c r="G126" s="1049"/>
      <c r="H126" s="1049" t="s">
        <v>667</v>
      </c>
      <c r="I126" s="1052">
        <f>SUM(I116:I125)</f>
        <v>8.6</v>
      </c>
      <c r="J126" s="1049">
        <f>Datas!$E$419</f>
        <v>11257.84</v>
      </c>
      <c r="K126" s="1053">
        <f>ROUND(J126*I126,0)</f>
        <v>96817</v>
      </c>
      <c r="L126" s="1049">
        <v>108</v>
      </c>
      <c r="M126" s="1055">
        <f>L126*I126</f>
        <v>928.8</v>
      </c>
      <c r="N126" s="1087">
        <v>108</v>
      </c>
      <c r="O126" s="1087">
        <f>ROUND(I126*N126,0)</f>
        <v>929</v>
      </c>
    </row>
    <row r="127" spans="1:15" ht="14.1">
      <c r="A127" s="1046"/>
      <c r="B127" s="1065"/>
      <c r="C127" s="1048"/>
      <c r="D127" s="1048"/>
      <c r="E127" s="1048"/>
      <c r="F127" s="1049"/>
      <c r="G127" s="1049"/>
      <c r="H127" s="1049"/>
      <c r="I127" s="1053" t="s">
        <v>656</v>
      </c>
      <c r="J127" s="1053" t="s">
        <v>670</v>
      </c>
      <c r="K127" s="1053"/>
      <c r="L127" s="1053"/>
      <c r="M127" s="1053"/>
      <c r="N127" s="1087"/>
      <c r="O127" s="1087"/>
    </row>
    <row r="128" spans="1:15" ht="14.1">
      <c r="A128" s="1046" t="s">
        <v>671</v>
      </c>
      <c r="B128" s="1064" t="s">
        <v>2411</v>
      </c>
      <c r="C128" s="1067"/>
      <c r="D128" s="1067"/>
      <c r="E128" s="1048"/>
      <c r="F128" s="1049"/>
      <c r="G128" s="1049"/>
      <c r="H128" s="1049"/>
      <c r="I128" s="1049"/>
      <c r="J128" s="1049"/>
      <c r="K128" s="1049"/>
      <c r="L128" s="1049"/>
      <c r="M128" s="1049"/>
      <c r="N128" s="1087"/>
      <c r="O128" s="1087"/>
    </row>
    <row r="129" spans="1:15" ht="14.1">
      <c r="A129" s="1046"/>
      <c r="B129" s="1051"/>
      <c r="C129" s="1048">
        <v>1</v>
      </c>
      <c r="D129" s="1048" t="s">
        <v>1472</v>
      </c>
      <c r="E129" s="1048">
        <v>1</v>
      </c>
      <c r="F129" s="1049">
        <f>14*0.3048</f>
        <v>4.2671999999999999</v>
      </c>
      <c r="G129" s="1084">
        <v>1</v>
      </c>
      <c r="H129" s="1049">
        <f>13.5*0.3048</f>
        <v>4.1147999999999998</v>
      </c>
      <c r="I129" s="1049">
        <f>ROUND(C129*E129*F129*G129*H129,2)</f>
        <v>17.559999999999999</v>
      </c>
      <c r="J129" s="1049"/>
      <c r="K129" s="1049"/>
      <c r="L129" s="1049"/>
      <c r="M129" s="1049"/>
      <c r="N129" s="1087"/>
      <c r="O129" s="1087"/>
    </row>
    <row r="130" spans="1:15" ht="14.1">
      <c r="A130" s="1046"/>
      <c r="B130" s="1065"/>
      <c r="C130" s="1048"/>
      <c r="D130" s="1048"/>
      <c r="E130" s="1048"/>
      <c r="F130" s="1049"/>
      <c r="G130" s="1049"/>
      <c r="H130" s="1049" t="s">
        <v>667</v>
      </c>
      <c r="I130" s="1052">
        <f>SUM(I129:I129)</f>
        <v>17.559999999999999</v>
      </c>
      <c r="J130" s="1049">
        <f>Datas!E470</f>
        <v>1346.355</v>
      </c>
      <c r="K130" s="1053">
        <f>ROUND(J130*I130/10,0)</f>
        <v>2364</v>
      </c>
      <c r="L130" s="1049">
        <v>108</v>
      </c>
      <c r="M130" s="1055">
        <f>L130*I130</f>
        <v>1896.4799999999998</v>
      </c>
      <c r="N130" s="1087">
        <v>108</v>
      </c>
      <c r="O130" s="1087">
        <f>ROUND(I130*N130*0.125,0)</f>
        <v>237</v>
      </c>
    </row>
    <row r="131" spans="1:15" ht="14.1">
      <c r="A131" s="1046"/>
      <c r="B131" s="1065"/>
      <c r="C131" s="1048"/>
      <c r="D131" s="1048"/>
      <c r="E131" s="1048"/>
      <c r="F131" s="1049"/>
      <c r="G131" s="1049"/>
      <c r="H131" s="1049"/>
      <c r="I131" s="1053" t="s">
        <v>2260</v>
      </c>
      <c r="J131" s="1053" t="s">
        <v>2169</v>
      </c>
      <c r="K131" s="1053"/>
      <c r="L131" s="1053"/>
      <c r="M131" s="1053"/>
      <c r="N131" s="1087"/>
      <c r="O131" s="1087"/>
    </row>
    <row r="132" spans="1:15" ht="159" customHeight="1">
      <c r="A132" s="1046">
        <v>6</v>
      </c>
      <c r="B132" s="2415" t="s">
        <v>2511</v>
      </c>
      <c r="C132" s="2426"/>
      <c r="D132" s="2426"/>
      <c r="E132" s="2426"/>
      <c r="F132" s="2426"/>
      <c r="G132" s="2426"/>
      <c r="H132" s="2426"/>
      <c r="I132" s="2427"/>
      <c r="J132" s="1049"/>
      <c r="K132" s="1049"/>
      <c r="L132" s="1049"/>
      <c r="M132" s="1049"/>
      <c r="N132" s="1087"/>
      <c r="O132" s="1087"/>
    </row>
    <row r="133" spans="1:15">
      <c r="A133" s="1048"/>
      <c r="B133" s="1061" t="s">
        <v>2512</v>
      </c>
      <c r="C133" s="1048">
        <v>1</v>
      </c>
      <c r="D133" s="1048" t="s">
        <v>1472</v>
      </c>
      <c r="E133" s="1048">
        <v>1</v>
      </c>
      <c r="F133" s="1049">
        <v>1.6</v>
      </c>
      <c r="G133" s="88">
        <v>0.15</v>
      </c>
      <c r="H133" s="1049">
        <v>0.1</v>
      </c>
      <c r="I133" s="1049">
        <f>ROUND(C133*E133*F133*G133*H133,2)</f>
        <v>0.02</v>
      </c>
      <c r="J133" s="1049"/>
      <c r="K133" s="1049"/>
      <c r="L133" s="1049"/>
      <c r="M133" s="1049"/>
      <c r="N133" s="1087"/>
      <c r="O133" s="1087"/>
    </row>
    <row r="134" spans="1:15">
      <c r="A134" s="1048"/>
      <c r="B134" s="1061" t="s">
        <v>2513</v>
      </c>
      <c r="C134" s="1048">
        <v>1</v>
      </c>
      <c r="D134" s="1048" t="s">
        <v>1472</v>
      </c>
      <c r="E134" s="1048">
        <v>2</v>
      </c>
      <c r="F134" s="1049">
        <v>1.05</v>
      </c>
      <c r="G134" s="88">
        <v>0.115</v>
      </c>
      <c r="H134" s="1049">
        <v>0.1</v>
      </c>
      <c r="I134" s="1049">
        <f>ROUND(C134*E134*F134*G134*H134,2)</f>
        <v>0.02</v>
      </c>
      <c r="J134" s="1049"/>
      <c r="K134" s="1049"/>
      <c r="L134" s="1049"/>
      <c r="M134" s="1049"/>
      <c r="N134" s="1087"/>
      <c r="O134" s="1087"/>
    </row>
    <row r="135" spans="1:15" ht="14.1">
      <c r="A135" s="1046"/>
      <c r="B135" s="1061"/>
      <c r="C135" s="1048"/>
      <c r="D135" s="1048"/>
      <c r="E135" s="1048"/>
      <c r="F135" s="1049"/>
      <c r="G135" s="1049"/>
      <c r="H135" s="1049"/>
      <c r="I135" s="1052">
        <f>SUM(I133:I134)</f>
        <v>0.04</v>
      </c>
      <c r="J135" s="1049">
        <f>Datas!$E$372</f>
        <v>11905.03</v>
      </c>
      <c r="K135" s="1053">
        <f>ROUND(J135*I135,0)</f>
        <v>476</v>
      </c>
      <c r="L135" s="1049">
        <v>108</v>
      </c>
      <c r="M135" s="1055">
        <f>L135*I135</f>
        <v>4.32</v>
      </c>
      <c r="N135" s="1087">
        <v>108</v>
      </c>
      <c r="O135" s="1087">
        <f>ROUND(I135*N135,0)</f>
        <v>4</v>
      </c>
    </row>
    <row r="136" spans="1:15" ht="14.1">
      <c r="A136" s="1046"/>
      <c r="B136" s="1061"/>
      <c r="C136" s="1048"/>
      <c r="D136" s="1048"/>
      <c r="E136" s="1048"/>
      <c r="F136" s="1049"/>
      <c r="G136" s="1049"/>
      <c r="H136" s="1049"/>
      <c r="I136" s="1053" t="s">
        <v>656</v>
      </c>
      <c r="J136" s="1053" t="s">
        <v>670</v>
      </c>
      <c r="K136" s="1053"/>
      <c r="L136" s="1049"/>
      <c r="M136" s="1049"/>
      <c r="N136" s="1087"/>
      <c r="O136" s="1087"/>
    </row>
    <row r="137" spans="1:15" ht="180" customHeight="1">
      <c r="A137" s="1046">
        <v>7</v>
      </c>
      <c r="B137" s="2415" t="s">
        <v>2470</v>
      </c>
      <c r="C137" s="2426"/>
      <c r="D137" s="2426"/>
      <c r="E137" s="2426"/>
      <c r="F137" s="2426"/>
      <c r="G137" s="2426"/>
      <c r="H137" s="2426"/>
      <c r="I137" s="2427"/>
      <c r="J137" s="1049"/>
      <c r="K137" s="1049"/>
      <c r="L137" s="1049"/>
      <c r="M137" s="1049"/>
      <c r="N137" s="1087"/>
      <c r="O137" s="1087"/>
    </row>
    <row r="138" spans="1:15">
      <c r="A138" s="1048"/>
      <c r="B138" s="1061" t="s">
        <v>2471</v>
      </c>
      <c r="C138" s="1048">
        <v>1</v>
      </c>
      <c r="D138" s="1048" t="s">
        <v>1472</v>
      </c>
      <c r="E138" s="1048">
        <v>2</v>
      </c>
      <c r="F138" s="1049">
        <v>14.42</v>
      </c>
      <c r="G138" s="1049"/>
      <c r="H138" s="1049"/>
      <c r="I138" s="1049">
        <f>ROUND(C138*E138*F138,2)</f>
        <v>28.84</v>
      </c>
      <c r="J138" s="1049"/>
      <c r="K138" s="1049"/>
      <c r="L138" s="1049"/>
      <c r="M138" s="1068"/>
      <c r="N138" s="1087"/>
      <c r="O138" s="1087"/>
    </row>
    <row r="139" spans="1:15">
      <c r="A139" s="1048"/>
      <c r="B139" s="1061" t="s">
        <v>2472</v>
      </c>
      <c r="C139" s="1048">
        <v>1</v>
      </c>
      <c r="D139" s="1048" t="s">
        <v>1472</v>
      </c>
      <c r="E139" s="1048">
        <v>2</v>
      </c>
      <c r="F139" s="1049">
        <v>2.74</v>
      </c>
      <c r="G139" s="1049"/>
      <c r="H139" s="1049"/>
      <c r="I139" s="1049">
        <f>ROUND(C139*E139*F139,2)</f>
        <v>5.48</v>
      </c>
      <c r="J139" s="1049"/>
      <c r="K139" s="1049"/>
      <c r="L139" s="1049"/>
      <c r="M139" s="1068"/>
      <c r="N139" s="1087"/>
      <c r="O139" s="1087"/>
    </row>
    <row r="140" spans="1:15" ht="14.1">
      <c r="A140" s="1046"/>
      <c r="B140" s="1178" t="s">
        <v>2434</v>
      </c>
      <c r="C140" s="1048">
        <v>1</v>
      </c>
      <c r="D140" s="1048" t="s">
        <v>1472</v>
      </c>
      <c r="E140" s="1048">
        <v>1</v>
      </c>
      <c r="F140" s="1049">
        <f>22*0.3048</f>
        <v>6.7056000000000004</v>
      </c>
      <c r="G140" s="1049"/>
      <c r="H140" s="1049"/>
      <c r="I140" s="1049">
        <f>ROUND(C140*E140*F140,2)</f>
        <v>6.71</v>
      </c>
      <c r="J140" s="1049"/>
      <c r="K140" s="1049"/>
      <c r="L140" s="1049"/>
      <c r="M140" s="1068"/>
      <c r="N140" s="1087"/>
      <c r="O140" s="1087"/>
    </row>
    <row r="141" spans="1:15">
      <c r="A141" s="1048"/>
      <c r="B141" s="1061" t="s">
        <v>2468</v>
      </c>
      <c r="C141" s="1048">
        <v>1</v>
      </c>
      <c r="D141" s="1048" t="s">
        <v>1472</v>
      </c>
      <c r="E141" s="1048">
        <v>2</v>
      </c>
      <c r="F141" s="1049">
        <v>1.8</v>
      </c>
      <c r="G141" s="1049"/>
      <c r="H141" s="1049"/>
      <c r="I141" s="1049">
        <f>ROUND(C141*E141*F141,2)</f>
        <v>3.6</v>
      </c>
      <c r="J141" s="1049"/>
      <c r="K141" s="1049"/>
      <c r="L141" s="1049"/>
      <c r="M141" s="1049"/>
      <c r="N141" s="1087"/>
      <c r="O141" s="1087"/>
    </row>
    <row r="142" spans="1:15" ht="14.1">
      <c r="A142" s="1046"/>
      <c r="B142" s="1061" t="s">
        <v>674</v>
      </c>
      <c r="C142" s="1048"/>
      <c r="D142" s="1048"/>
      <c r="E142" s="1048"/>
      <c r="F142" s="1049"/>
      <c r="G142" s="1049"/>
      <c r="H142" s="1049"/>
      <c r="I142" s="1053">
        <f>SUM(I138:I141)</f>
        <v>44.63</v>
      </c>
      <c r="J142" s="1049">
        <f>Datas!$E$500</f>
        <v>606.11</v>
      </c>
      <c r="K142" s="1053">
        <f>ROUND(J142*I142,0)</f>
        <v>27051</v>
      </c>
      <c r="L142" s="1049">
        <f>0.0625*108</f>
        <v>6.75</v>
      </c>
      <c r="M142" s="1055">
        <f>L142*I142</f>
        <v>301.2525</v>
      </c>
      <c r="N142" s="1087">
        <v>108</v>
      </c>
      <c r="O142" s="1087">
        <f>ROUND(I142*N142*0.0375,0)</f>
        <v>181</v>
      </c>
    </row>
    <row r="143" spans="1:15" ht="14.1">
      <c r="A143" s="1046"/>
      <c r="B143" s="1061"/>
      <c r="C143" s="1048"/>
      <c r="D143" s="1048"/>
      <c r="E143" s="1048"/>
      <c r="F143" s="1049"/>
      <c r="G143" s="1049"/>
      <c r="H143" s="1049"/>
      <c r="I143" s="1053" t="s">
        <v>495</v>
      </c>
      <c r="J143" s="1053" t="s">
        <v>2</v>
      </c>
      <c r="K143" s="1053"/>
      <c r="L143" s="1049"/>
      <c r="M143" s="1049"/>
      <c r="N143" s="1087"/>
      <c r="O143" s="1087"/>
    </row>
    <row r="144" spans="1:15" ht="135" customHeight="1">
      <c r="A144" s="1046">
        <v>8</v>
      </c>
      <c r="B144" s="2415" t="s">
        <v>2514</v>
      </c>
      <c r="C144" s="2426"/>
      <c r="D144" s="2426"/>
      <c r="E144" s="2426"/>
      <c r="F144" s="2426"/>
      <c r="G144" s="2426"/>
      <c r="H144" s="2426"/>
      <c r="I144" s="2427"/>
      <c r="J144" s="1049"/>
      <c r="K144" s="1049"/>
      <c r="L144" s="1049"/>
      <c r="M144" s="1049"/>
      <c r="N144" s="1087"/>
      <c r="O144" s="1087"/>
    </row>
    <row r="145" spans="1:15">
      <c r="A145" s="1048"/>
      <c r="B145" s="1061" t="s">
        <v>2213</v>
      </c>
      <c r="C145" s="1048">
        <v>4</v>
      </c>
      <c r="D145" s="1048" t="s">
        <v>1472</v>
      </c>
      <c r="E145" s="1048">
        <v>7</v>
      </c>
      <c r="F145" s="1049">
        <v>0.23</v>
      </c>
      <c r="G145" s="88">
        <v>0.15</v>
      </c>
      <c r="H145" s="1049">
        <v>0.15</v>
      </c>
      <c r="I145" s="1049">
        <f>ROUND(C145*E145*F145*G145*H145,2)</f>
        <v>0.14000000000000001</v>
      </c>
      <c r="J145" s="1049"/>
      <c r="K145" s="1049"/>
      <c r="L145" s="1049"/>
      <c r="M145" s="1049"/>
      <c r="N145" s="1087"/>
      <c r="O145" s="1087"/>
    </row>
    <row r="146" spans="1:15">
      <c r="A146" s="1048"/>
      <c r="B146" s="1061" t="s">
        <v>2212</v>
      </c>
      <c r="C146" s="1048">
        <v>4</v>
      </c>
      <c r="D146" s="1048" t="s">
        <v>1472</v>
      </c>
      <c r="E146" s="1048">
        <v>2</v>
      </c>
      <c r="F146" s="1049">
        <v>0.23</v>
      </c>
      <c r="G146" s="88">
        <v>0.15</v>
      </c>
      <c r="H146" s="1049">
        <v>0.15</v>
      </c>
      <c r="I146" s="1049">
        <f>ROUND(C146*E146*F146*G146*H146,2)</f>
        <v>0.04</v>
      </c>
      <c r="J146" s="1049"/>
      <c r="K146" s="1049"/>
      <c r="L146" s="1049"/>
      <c r="M146" s="1049"/>
      <c r="N146" s="1087"/>
      <c r="O146" s="1087"/>
    </row>
    <row r="147" spans="1:15">
      <c r="A147" s="1048"/>
      <c r="B147" s="1061" t="s">
        <v>2469</v>
      </c>
      <c r="C147" s="1048">
        <v>4</v>
      </c>
      <c r="D147" s="1048" t="s">
        <v>1472</v>
      </c>
      <c r="E147" s="1048">
        <v>4</v>
      </c>
      <c r="F147" s="1049">
        <v>0.23</v>
      </c>
      <c r="G147" s="88">
        <v>0.15</v>
      </c>
      <c r="H147" s="1049">
        <v>0.15</v>
      </c>
      <c r="I147" s="1049">
        <f>ROUND(C147*E147*F147*G147*H147,2)</f>
        <v>0.08</v>
      </c>
      <c r="J147" s="1049"/>
      <c r="K147" s="1049"/>
      <c r="L147" s="1049"/>
      <c r="M147" s="1049"/>
      <c r="N147" s="1087"/>
      <c r="O147" s="1087"/>
    </row>
    <row r="148" spans="1:15">
      <c r="A148" s="1048"/>
      <c r="B148" s="1061" t="s">
        <v>2475</v>
      </c>
      <c r="C148" s="1048">
        <v>6</v>
      </c>
      <c r="D148" s="1048" t="s">
        <v>1472</v>
      </c>
      <c r="E148" s="1048">
        <v>2</v>
      </c>
      <c r="F148" s="1049">
        <v>0.23</v>
      </c>
      <c r="G148" s="88">
        <v>0.2</v>
      </c>
      <c r="H148" s="1049">
        <v>0.15</v>
      </c>
      <c r="I148" s="1049">
        <f>ROUND(C148*E148*F148*G148*H148,2)</f>
        <v>0.08</v>
      </c>
      <c r="J148" s="1049"/>
      <c r="K148" s="1049"/>
      <c r="L148" s="1049"/>
      <c r="M148" s="1068"/>
      <c r="N148" s="1087"/>
      <c r="O148" s="1087"/>
    </row>
    <row r="149" spans="1:15" ht="14.1">
      <c r="A149" s="1046"/>
      <c r="B149" s="2432"/>
      <c r="C149" s="2433"/>
      <c r="D149" s="2433"/>
      <c r="E149" s="2433"/>
      <c r="F149" s="2433"/>
      <c r="G149" s="2433"/>
      <c r="H149" s="2434"/>
      <c r="I149" s="1053">
        <f>SUM(I145:I147)</f>
        <v>0.26</v>
      </c>
      <c r="J149" s="1049">
        <f>Datas!$G$536</f>
        <v>5340.5599999999995</v>
      </c>
      <c r="K149" s="1053">
        <f>ROUND(J149*I149,0)</f>
        <v>1389</v>
      </c>
      <c r="L149" s="1049">
        <v>108</v>
      </c>
      <c r="M149" s="1055">
        <f>L149*I149</f>
        <v>28.080000000000002</v>
      </c>
      <c r="N149" s="1087">
        <v>108</v>
      </c>
      <c r="O149" s="1087">
        <f>ROUND(I149*N149,0)</f>
        <v>28</v>
      </c>
    </row>
    <row r="150" spans="1:15" ht="14.1">
      <c r="A150" s="1046"/>
      <c r="B150" s="1061"/>
      <c r="C150" s="1048"/>
      <c r="D150" s="1048"/>
      <c r="E150" s="1048"/>
      <c r="F150" s="1049"/>
      <c r="G150" s="1049"/>
      <c r="H150" s="1049"/>
      <c r="I150" s="1053" t="s">
        <v>656</v>
      </c>
      <c r="J150" s="1053" t="s">
        <v>658</v>
      </c>
      <c r="K150" s="1053"/>
      <c r="L150" s="1049"/>
      <c r="M150" s="1049"/>
      <c r="N150" s="1087"/>
      <c r="O150" s="1087"/>
    </row>
    <row r="151" spans="1:15" ht="117.75" customHeight="1">
      <c r="A151" s="1046">
        <v>9</v>
      </c>
      <c r="B151" s="2415" t="s">
        <v>2448</v>
      </c>
      <c r="C151" s="2426"/>
      <c r="D151" s="2426"/>
      <c r="E151" s="2426"/>
      <c r="F151" s="2426"/>
      <c r="G151" s="2426"/>
      <c r="H151" s="2426"/>
      <c r="I151" s="2427"/>
      <c r="J151" s="1049"/>
      <c r="K151" s="1049"/>
      <c r="L151" s="1049"/>
      <c r="M151" s="1049"/>
      <c r="N151" s="1087"/>
      <c r="O151" s="1087"/>
    </row>
    <row r="152" spans="1:15" ht="14.1">
      <c r="A152" s="1046"/>
      <c r="B152" s="1075" t="s">
        <v>2515</v>
      </c>
      <c r="C152" s="1058"/>
      <c r="D152" s="1058"/>
      <c r="E152" s="1058"/>
      <c r="F152" s="1058"/>
      <c r="G152" s="1058"/>
      <c r="H152" s="1058"/>
      <c r="I152" s="1059"/>
      <c r="J152" s="1049"/>
      <c r="K152" s="1049"/>
      <c r="L152" s="1049"/>
      <c r="M152" s="1049"/>
      <c r="N152" s="1087"/>
      <c r="O152" s="1087"/>
    </row>
    <row r="153" spans="1:15" ht="14.1">
      <c r="A153" s="1046"/>
      <c r="B153" s="1174" t="s">
        <v>2516</v>
      </c>
      <c r="C153" s="1048">
        <v>1</v>
      </c>
      <c r="D153" s="1048" t="s">
        <v>1472</v>
      </c>
      <c r="E153" s="1048">
        <v>2</v>
      </c>
      <c r="F153" s="88">
        <f>(60.75*0.3048-6*0.225)</f>
        <v>17.166599999999999</v>
      </c>
      <c r="G153" s="88">
        <v>0.15</v>
      </c>
      <c r="H153" s="1049">
        <v>3.6</v>
      </c>
      <c r="I153" s="1049">
        <f>ROUND(C153*E153*F153*G153*H153,2)</f>
        <v>18.54</v>
      </c>
      <c r="J153" s="1049"/>
      <c r="K153" s="1049"/>
      <c r="L153" s="1049"/>
      <c r="M153" s="1049"/>
      <c r="N153" s="1087"/>
      <c r="O153" s="1087"/>
    </row>
    <row r="154" spans="1:15" ht="14.1">
      <c r="A154" s="1046"/>
      <c r="B154" s="1174" t="s">
        <v>2517</v>
      </c>
      <c r="C154" s="1048">
        <v>1</v>
      </c>
      <c r="D154" s="1048" t="s">
        <v>1472</v>
      </c>
      <c r="E154" s="1048">
        <v>2</v>
      </c>
      <c r="F154" s="88">
        <f>((30)*0.3048-0.3)</f>
        <v>8.8439999999999994</v>
      </c>
      <c r="G154" s="88">
        <v>0.15</v>
      </c>
      <c r="H154" s="1049">
        <v>3.6</v>
      </c>
      <c r="I154" s="1049">
        <f>ROUND(C154*E154*F154*G154*AVERAGE(3.6,5.48,3.6),2)</f>
        <v>11.21</v>
      </c>
      <c r="J154" s="1049"/>
      <c r="K154" s="1049"/>
      <c r="L154" s="1049"/>
      <c r="M154" s="1049"/>
      <c r="N154" s="1169" t="s">
        <v>2261</v>
      </c>
      <c r="O154" s="1087"/>
    </row>
    <row r="155" spans="1:15" ht="14.1">
      <c r="A155" s="1046"/>
      <c r="B155" s="1174" t="s">
        <v>2518</v>
      </c>
      <c r="C155" s="1048">
        <v>1</v>
      </c>
      <c r="D155" s="1048" t="s">
        <v>1472</v>
      </c>
      <c r="E155" s="1048">
        <v>1</v>
      </c>
      <c r="F155" s="88">
        <f>((30)*0.3048-0.3*2)</f>
        <v>8.5440000000000005</v>
      </c>
      <c r="G155" s="88">
        <v>0.15</v>
      </c>
      <c r="H155" s="1049">
        <v>3.6</v>
      </c>
      <c r="I155" s="1049">
        <f>ROUND(C155*E155*F155*G155*AVERAGE(3.6,5.48,3.6),2)</f>
        <v>5.42</v>
      </c>
      <c r="J155" s="1049"/>
      <c r="K155" s="1049"/>
      <c r="L155" s="1049"/>
      <c r="M155" s="1049"/>
      <c r="N155" s="1169" t="s">
        <v>2261</v>
      </c>
      <c r="O155" s="1087"/>
    </row>
    <row r="156" spans="1:15" ht="14.1">
      <c r="A156" s="1046"/>
      <c r="B156" s="1174" t="s">
        <v>2519</v>
      </c>
      <c r="C156" s="1048">
        <v>1</v>
      </c>
      <c r="D156" s="1048" t="s">
        <v>1472</v>
      </c>
      <c r="E156" s="1048">
        <v>1</v>
      </c>
      <c r="F156" s="88">
        <v>3.6</v>
      </c>
      <c r="G156" s="88">
        <v>0.15</v>
      </c>
      <c r="H156" s="1049">
        <v>3.6</v>
      </c>
      <c r="I156" s="1049">
        <f>ROUND(C156*E156*F156*G156*AVERAGE(3.6,5.48,3.6),2)</f>
        <v>2.2799999999999998</v>
      </c>
      <c r="J156" s="1049"/>
      <c r="K156" s="1049"/>
      <c r="L156" s="1049"/>
      <c r="M156" s="1049"/>
      <c r="N156" s="1087"/>
      <c r="O156" s="1087"/>
    </row>
    <row r="157" spans="1:15" ht="14.1">
      <c r="A157" s="1046"/>
      <c r="B157" s="1195" t="s">
        <v>675</v>
      </c>
      <c r="C157" s="1048"/>
      <c r="D157" s="1048"/>
      <c r="E157" s="1048"/>
      <c r="F157" s="88"/>
      <c r="G157" s="88"/>
      <c r="H157" s="1049"/>
      <c r="I157" s="1049"/>
      <c r="J157" s="1049"/>
      <c r="K157" s="1049"/>
      <c r="L157" s="1049"/>
      <c r="M157" s="1049"/>
      <c r="N157" s="1087"/>
      <c r="O157" s="1087"/>
    </row>
    <row r="158" spans="1:15">
      <c r="A158" s="1076"/>
      <c r="B158" s="1178" t="s">
        <v>2214</v>
      </c>
      <c r="C158" s="1048">
        <v>1</v>
      </c>
      <c r="D158" s="1048" t="s">
        <v>1472</v>
      </c>
      <c r="E158" s="1048">
        <v>1</v>
      </c>
      <c r="F158" s="88">
        <v>1.8</v>
      </c>
      <c r="G158" s="88">
        <v>0.15</v>
      </c>
      <c r="H158" s="1049">
        <v>2.4</v>
      </c>
      <c r="I158" s="1049">
        <f t="shared" ref="I158:I163" si="6">-ROUND(C158*E158*F158*G158*H158,2)</f>
        <v>-0.65</v>
      </c>
      <c r="J158" s="1049"/>
      <c r="K158" s="1049"/>
      <c r="L158" s="1049"/>
      <c r="M158" s="1049"/>
      <c r="N158" s="1087"/>
      <c r="O158" s="1087"/>
    </row>
    <row r="159" spans="1:15">
      <c r="A159" s="1076"/>
      <c r="B159" s="1178" t="s">
        <v>980</v>
      </c>
      <c r="C159" s="1048">
        <v>1</v>
      </c>
      <c r="D159" s="1048" t="s">
        <v>1472</v>
      </c>
      <c r="E159" s="1048">
        <v>2</v>
      </c>
      <c r="F159" s="88">
        <v>1.5</v>
      </c>
      <c r="G159" s="88">
        <v>0.15</v>
      </c>
      <c r="H159" s="1049">
        <v>2.4</v>
      </c>
      <c r="I159" s="1049">
        <f t="shared" si="6"/>
        <v>-1.08</v>
      </c>
      <c r="J159" s="1049"/>
      <c r="K159" s="1049"/>
      <c r="L159" s="1049"/>
      <c r="M159" s="1049"/>
      <c r="N159" s="1087"/>
      <c r="O159" s="1087"/>
    </row>
    <row r="160" spans="1:15">
      <c r="A160" s="1076"/>
      <c r="B160" s="1178" t="s">
        <v>981</v>
      </c>
      <c r="C160" s="1048">
        <v>1</v>
      </c>
      <c r="D160" s="1048" t="s">
        <v>1472</v>
      </c>
      <c r="E160" s="1048">
        <v>2</v>
      </c>
      <c r="F160" s="88">
        <v>0.9</v>
      </c>
      <c r="G160" s="88">
        <v>0.15</v>
      </c>
      <c r="H160" s="1049">
        <v>2.1</v>
      </c>
      <c r="I160" s="1049">
        <f t="shared" si="6"/>
        <v>-0.56999999999999995</v>
      </c>
      <c r="J160" s="1049"/>
      <c r="K160" s="1049"/>
      <c r="L160" s="1049"/>
      <c r="M160" s="1049"/>
      <c r="N160" s="1087"/>
      <c r="O160" s="1087"/>
    </row>
    <row r="161" spans="1:15">
      <c r="A161" s="1076"/>
      <c r="B161" s="1178" t="s">
        <v>2466</v>
      </c>
      <c r="C161" s="1048">
        <v>1</v>
      </c>
      <c r="D161" s="1048" t="s">
        <v>1472</v>
      </c>
      <c r="E161" s="1048">
        <v>4</v>
      </c>
      <c r="F161" s="88">
        <v>1.5</v>
      </c>
      <c r="G161" s="88">
        <v>0.15</v>
      </c>
      <c r="H161" s="1049">
        <v>1.2</v>
      </c>
      <c r="I161" s="1049">
        <f t="shared" si="6"/>
        <v>-1.08</v>
      </c>
      <c r="J161" s="1049"/>
      <c r="K161" s="1049"/>
      <c r="L161" s="1049"/>
      <c r="M161" s="1049"/>
      <c r="N161" s="1087"/>
      <c r="O161" s="1087"/>
    </row>
    <row r="162" spans="1:15" ht="14.1">
      <c r="A162" s="1046"/>
      <c r="B162" s="1178" t="s">
        <v>2215</v>
      </c>
      <c r="C162" s="1048">
        <v>1</v>
      </c>
      <c r="D162" s="1048" t="s">
        <v>1472</v>
      </c>
      <c r="E162" s="1048">
        <v>6</v>
      </c>
      <c r="F162" s="88">
        <f>11*0.3048</f>
        <v>3.3528000000000002</v>
      </c>
      <c r="G162" s="88">
        <v>0.15</v>
      </c>
      <c r="H162" s="1194">
        <v>1.2</v>
      </c>
      <c r="I162" s="1049">
        <f t="shared" si="6"/>
        <v>-3.62</v>
      </c>
      <c r="J162" s="1049"/>
      <c r="K162" s="1049"/>
      <c r="L162" s="1049"/>
      <c r="M162" s="1049"/>
      <c r="N162" s="1087"/>
      <c r="O162" s="1087"/>
    </row>
    <row r="163" spans="1:15" ht="14.1">
      <c r="A163" s="1046"/>
      <c r="B163" s="1178" t="s">
        <v>2216</v>
      </c>
      <c r="C163" s="1048">
        <v>1</v>
      </c>
      <c r="D163" s="1048" t="s">
        <v>1472</v>
      </c>
      <c r="E163" s="1048">
        <v>2</v>
      </c>
      <c r="F163" s="88">
        <v>2.4</v>
      </c>
      <c r="G163" s="88">
        <v>0.15</v>
      </c>
      <c r="H163" s="1049">
        <v>2</v>
      </c>
      <c r="I163" s="1049">
        <f t="shared" si="6"/>
        <v>-1.44</v>
      </c>
      <c r="J163" s="1049"/>
      <c r="K163" s="1049"/>
      <c r="L163" s="1049"/>
      <c r="M163" s="1049"/>
      <c r="N163" s="1087"/>
      <c r="O163" s="1087"/>
    </row>
    <row r="164" spans="1:15" ht="14.1">
      <c r="A164" s="1046"/>
      <c r="B164" s="1190" t="s">
        <v>2121</v>
      </c>
      <c r="C164" s="1048"/>
      <c r="D164" s="1048"/>
      <c r="E164" s="1048"/>
      <c r="F164" s="88"/>
      <c r="G164" s="88"/>
      <c r="H164" s="1049"/>
      <c r="I164" s="1049"/>
      <c r="J164" s="1049"/>
      <c r="K164" s="1049"/>
      <c r="L164" s="1049"/>
      <c r="M164" s="1049"/>
      <c r="N164" s="1087"/>
      <c r="O164" s="1087"/>
    </row>
    <row r="165" spans="1:15" ht="14.1">
      <c r="A165" s="1046"/>
      <c r="B165" s="1051" t="s">
        <v>2506</v>
      </c>
      <c r="C165" s="1048">
        <v>1</v>
      </c>
      <c r="D165" s="1048" t="s">
        <v>1472</v>
      </c>
      <c r="E165" s="1048">
        <v>1</v>
      </c>
      <c r="F165" s="1049">
        <f>30*0.3048-0.375</f>
        <v>8.7690000000000001</v>
      </c>
      <c r="G165" s="1049">
        <v>0.23</v>
      </c>
      <c r="H165" s="1094">
        <v>0.3</v>
      </c>
      <c r="I165" s="1049">
        <f>-ROUND(C165*E165*F165*G165*H165,2)</f>
        <v>-0.61</v>
      </c>
      <c r="J165" s="1049"/>
      <c r="K165" s="1049"/>
      <c r="L165" s="1049"/>
      <c r="M165" s="1049"/>
      <c r="N165" s="1087"/>
      <c r="O165" s="1087"/>
    </row>
    <row r="166" spans="1:15" ht="14.1">
      <c r="A166" s="1046"/>
      <c r="B166" s="1051" t="s">
        <v>2507</v>
      </c>
      <c r="C166" s="1048">
        <v>1</v>
      </c>
      <c r="D166" s="1048" t="s">
        <v>1472</v>
      </c>
      <c r="E166" s="1048">
        <v>1</v>
      </c>
      <c r="F166" s="1049">
        <f>30*0.3048-2*0.3</f>
        <v>8.5440000000000005</v>
      </c>
      <c r="G166" s="1049">
        <v>0.23</v>
      </c>
      <c r="H166" s="1094">
        <v>0.3</v>
      </c>
      <c r="I166" s="1049">
        <f t="shared" ref="I166:I174" si="7">-ROUND(C166*E166*F166*G166*H166,2)</f>
        <v>-0.59</v>
      </c>
      <c r="J166" s="1049"/>
      <c r="K166" s="1049"/>
      <c r="L166" s="1049"/>
      <c r="M166" s="1049"/>
      <c r="N166" s="1087"/>
      <c r="O166" s="1087"/>
    </row>
    <row r="167" spans="1:15" ht="14.1">
      <c r="A167" s="1046"/>
      <c r="B167" s="1050" t="s">
        <v>2508</v>
      </c>
      <c r="C167" s="1048">
        <v>1</v>
      </c>
      <c r="D167" s="1048" t="s">
        <v>1472</v>
      </c>
      <c r="E167" s="1048">
        <v>2</v>
      </c>
      <c r="F167" s="1049">
        <v>3.6</v>
      </c>
      <c r="G167" s="1049">
        <v>0.23</v>
      </c>
      <c r="H167" s="1094">
        <v>0.3</v>
      </c>
      <c r="I167" s="1049">
        <f t="shared" si="7"/>
        <v>-0.5</v>
      </c>
      <c r="J167" s="1049"/>
      <c r="K167" s="1049"/>
      <c r="L167" s="1049"/>
      <c r="M167" s="1049"/>
      <c r="N167" s="1087"/>
      <c r="O167" s="1087"/>
    </row>
    <row r="168" spans="1:15" ht="14.1">
      <c r="A168" s="1046"/>
      <c r="B168" s="1050" t="s">
        <v>2509</v>
      </c>
      <c r="C168" s="1048">
        <v>1</v>
      </c>
      <c r="D168" s="1048" t="s">
        <v>1472</v>
      </c>
      <c r="E168" s="1048">
        <v>2</v>
      </c>
      <c r="F168" s="1049">
        <f>61.5*0.3048-6*0.225-3.6</f>
        <v>13.795199999999999</v>
      </c>
      <c r="G168" s="1049">
        <v>0.23</v>
      </c>
      <c r="H168" s="1094">
        <v>0.3</v>
      </c>
      <c r="I168" s="1049">
        <f t="shared" si="7"/>
        <v>-1.9</v>
      </c>
      <c r="J168" s="1049"/>
      <c r="K168" s="1049"/>
      <c r="L168" s="1049"/>
      <c r="M168" s="1049"/>
      <c r="N168" s="1087"/>
      <c r="O168" s="1087"/>
    </row>
    <row r="169" spans="1:15" ht="14.1">
      <c r="A169" s="1046"/>
      <c r="B169" s="1064" t="s">
        <v>2500</v>
      </c>
      <c r="C169" s="1067"/>
      <c r="D169" s="1067"/>
      <c r="E169" s="1048"/>
      <c r="F169" s="1049"/>
      <c r="G169" s="1049"/>
      <c r="H169" s="1049"/>
      <c r="I169" s="1049"/>
      <c r="J169" s="1049"/>
      <c r="K169" s="1049"/>
      <c r="L169" s="1049"/>
      <c r="M169" s="1049"/>
      <c r="N169" s="1087"/>
      <c r="O169" s="1087"/>
    </row>
    <row r="170" spans="1:15" ht="14.1">
      <c r="A170" s="1046"/>
      <c r="B170" s="1051" t="s">
        <v>2501</v>
      </c>
      <c r="C170" s="1048">
        <v>1</v>
      </c>
      <c r="D170" s="1048" t="s">
        <v>1472</v>
      </c>
      <c r="E170" s="1048">
        <v>1</v>
      </c>
      <c r="F170" s="1049">
        <f>30*0.3048-0.375</f>
        <v>8.7690000000000001</v>
      </c>
      <c r="G170" s="1049">
        <v>0.23</v>
      </c>
      <c r="H170" s="1094">
        <v>0.3</v>
      </c>
      <c r="I170" s="1049">
        <f t="shared" si="7"/>
        <v>-0.61</v>
      </c>
      <c r="J170" s="1049"/>
      <c r="K170" s="1049"/>
      <c r="L170" s="1049"/>
      <c r="M170" s="1049"/>
      <c r="N170" s="1087"/>
      <c r="O170" s="1087"/>
    </row>
    <row r="171" spans="1:15" ht="14.1">
      <c r="A171" s="1046"/>
      <c r="B171" s="1051" t="s">
        <v>2504</v>
      </c>
      <c r="C171" s="1048">
        <v>1</v>
      </c>
      <c r="D171" s="1048" t="s">
        <v>1472</v>
      </c>
      <c r="E171" s="1048">
        <v>1</v>
      </c>
      <c r="F171" s="1049">
        <f>30*0.3048-0.375</f>
        <v>8.7690000000000001</v>
      </c>
      <c r="G171" s="1049">
        <v>0.23</v>
      </c>
      <c r="H171" s="1094">
        <v>0.3</v>
      </c>
      <c r="I171" s="1049">
        <f t="shared" si="7"/>
        <v>-0.61</v>
      </c>
      <c r="J171" s="1049"/>
      <c r="K171" s="1049"/>
      <c r="L171" s="1049"/>
      <c r="M171" s="1049"/>
      <c r="N171" s="1087"/>
      <c r="O171" s="1087"/>
    </row>
    <row r="172" spans="1:15" ht="14.1">
      <c r="A172" s="1046"/>
      <c r="B172" s="1051" t="s">
        <v>2502</v>
      </c>
      <c r="C172" s="1048">
        <v>1</v>
      </c>
      <c r="D172" s="1048" t="s">
        <v>1472</v>
      </c>
      <c r="E172" s="1048">
        <v>1</v>
      </c>
      <c r="F172" s="1049">
        <f>30*0.3048-2*0.3</f>
        <v>8.5440000000000005</v>
      </c>
      <c r="G172" s="1049">
        <v>0.23</v>
      </c>
      <c r="H172" s="1094">
        <v>0.3</v>
      </c>
      <c r="I172" s="1049">
        <f t="shared" si="7"/>
        <v>-0.59</v>
      </c>
      <c r="J172" s="1049"/>
      <c r="K172" s="1049"/>
      <c r="L172" s="1049"/>
      <c r="M172" s="1049"/>
      <c r="N172" s="1087"/>
      <c r="O172" s="1087"/>
    </row>
    <row r="173" spans="1:15" ht="27.6">
      <c r="A173" s="1046"/>
      <c r="B173" s="1050" t="s">
        <v>2503</v>
      </c>
      <c r="C173" s="1048">
        <v>1</v>
      </c>
      <c r="D173" s="1048" t="s">
        <v>1472</v>
      </c>
      <c r="E173" s="1048">
        <v>2</v>
      </c>
      <c r="F173" s="1049">
        <f>61.5*0.3048-6*0.225</f>
        <v>17.395199999999999</v>
      </c>
      <c r="G173" s="1049">
        <v>0.23</v>
      </c>
      <c r="H173" s="1094">
        <v>0.3</v>
      </c>
      <c r="I173" s="1049">
        <f t="shared" si="7"/>
        <v>-2.4</v>
      </c>
      <c r="J173" s="1049"/>
      <c r="K173" s="1049"/>
      <c r="L173" s="1049"/>
      <c r="M173" s="1049"/>
      <c r="N173" s="1087"/>
      <c r="O173" s="1087"/>
    </row>
    <row r="174" spans="1:15" ht="14.1">
      <c r="A174" s="1046"/>
      <c r="B174" s="1050" t="s">
        <v>2505</v>
      </c>
      <c r="C174" s="1048">
        <v>1</v>
      </c>
      <c r="D174" s="1048" t="s">
        <v>1472</v>
      </c>
      <c r="E174" s="1048">
        <v>1</v>
      </c>
      <c r="F174" s="1049">
        <v>3.6</v>
      </c>
      <c r="G174" s="1049">
        <v>0.23</v>
      </c>
      <c r="H174" s="1094">
        <v>0.3</v>
      </c>
      <c r="I174" s="1049">
        <f t="shared" si="7"/>
        <v>-0.25</v>
      </c>
      <c r="J174" s="1049"/>
      <c r="K174" s="1049"/>
      <c r="L174" s="1049"/>
      <c r="M174" s="1049"/>
      <c r="N174" s="1087"/>
      <c r="O174" s="1087"/>
    </row>
    <row r="175" spans="1:15" ht="14.1">
      <c r="A175" s="1046"/>
      <c r="B175" s="1225" t="s">
        <v>2118</v>
      </c>
      <c r="C175" s="1048"/>
      <c r="D175" s="1048"/>
      <c r="E175" s="1048"/>
      <c r="F175" s="88"/>
      <c r="G175" s="88"/>
      <c r="H175" s="1049"/>
      <c r="I175" s="1049"/>
      <c r="J175" s="1049"/>
      <c r="K175" s="1049"/>
      <c r="L175" s="1049"/>
      <c r="M175" s="1049"/>
      <c r="N175" s="1087"/>
      <c r="O175" s="1087"/>
    </row>
    <row r="176" spans="1:15">
      <c r="A176" s="1048"/>
      <c r="B176" s="1178" t="s">
        <v>2209</v>
      </c>
      <c r="C176" s="1048">
        <v>1</v>
      </c>
      <c r="D176" s="1048" t="s">
        <v>1472</v>
      </c>
      <c r="E176" s="1048">
        <v>1</v>
      </c>
      <c r="F176" s="88">
        <v>1.6</v>
      </c>
      <c r="G176" s="88">
        <v>0.15</v>
      </c>
      <c r="H176" s="1049">
        <v>0.1</v>
      </c>
      <c r="I176" s="1049">
        <f>-ROUND(C176*E176*F176*G176*H176,2)</f>
        <v>-0.02</v>
      </c>
      <c r="J176" s="1049"/>
      <c r="K176" s="1049"/>
      <c r="L176" s="1049"/>
      <c r="M176" s="1049"/>
      <c r="N176" s="1087"/>
      <c r="O176" s="1087"/>
    </row>
    <row r="177" spans="1:16">
      <c r="A177" s="1048"/>
      <c r="B177" s="1178" t="s">
        <v>2467</v>
      </c>
      <c r="C177" s="1048">
        <v>2</v>
      </c>
      <c r="D177" s="1048" t="s">
        <v>1472</v>
      </c>
      <c r="E177" s="1048">
        <v>2</v>
      </c>
      <c r="F177" s="1049">
        <v>1.8</v>
      </c>
      <c r="G177" s="1049">
        <v>0.23</v>
      </c>
      <c r="H177" s="1049">
        <v>0.15</v>
      </c>
      <c r="I177" s="1049">
        <f>-ROUND(C177*E177*F177*G177*H177,2)</f>
        <v>-0.25</v>
      </c>
      <c r="J177" s="1049"/>
      <c r="K177" s="1049"/>
      <c r="L177" s="1049"/>
      <c r="M177" s="1049"/>
      <c r="N177" s="1087"/>
      <c r="O177" s="1087"/>
    </row>
    <row r="178" spans="1:16">
      <c r="A178" s="1048"/>
      <c r="B178" s="1195" t="s">
        <v>38</v>
      </c>
      <c r="C178" s="1048"/>
      <c r="D178" s="1048"/>
      <c r="E178" s="1048"/>
      <c r="F178" s="88"/>
      <c r="G178" s="88"/>
      <c r="H178" s="1049"/>
      <c r="I178" s="1049"/>
      <c r="J178" s="1049"/>
      <c r="K178" s="1049"/>
      <c r="L178" s="1049"/>
      <c r="M178" s="1049"/>
      <c r="N178" s="1087"/>
      <c r="O178" s="1087"/>
    </row>
    <row r="179" spans="1:16">
      <c r="A179" s="1048"/>
      <c r="B179" s="1178" t="s">
        <v>2113</v>
      </c>
      <c r="C179" s="1048">
        <v>4</v>
      </c>
      <c r="D179" s="1048" t="s">
        <v>1472</v>
      </c>
      <c r="E179" s="1048">
        <v>7</v>
      </c>
      <c r="F179" s="88">
        <v>0.23</v>
      </c>
      <c r="G179" s="88">
        <v>0.15</v>
      </c>
      <c r="H179" s="1049">
        <v>0.15</v>
      </c>
      <c r="I179" s="1049">
        <f>-ROUND(C179*E179*F179*G179*H179,2)</f>
        <v>-0.14000000000000001</v>
      </c>
      <c r="J179" s="1049"/>
      <c r="K179" s="1049"/>
      <c r="L179" s="1049"/>
      <c r="M179" s="1049"/>
      <c r="N179" s="1087"/>
      <c r="O179" s="1087"/>
    </row>
    <row r="180" spans="1:16">
      <c r="A180" s="1048"/>
      <c r="B180" s="1178" t="s">
        <v>2469</v>
      </c>
      <c r="C180" s="1048">
        <v>4</v>
      </c>
      <c r="D180" s="1048" t="s">
        <v>1472</v>
      </c>
      <c r="E180" s="1048">
        <v>4</v>
      </c>
      <c r="F180" s="88">
        <v>0.23</v>
      </c>
      <c r="G180" s="88">
        <v>0.15</v>
      </c>
      <c r="H180" s="1049">
        <v>0.15</v>
      </c>
      <c r="I180" s="1049">
        <f>-ROUND(C180*E180*F180*G180*H180,2)</f>
        <v>-0.08</v>
      </c>
      <c r="J180" s="1049"/>
      <c r="K180" s="1049"/>
      <c r="L180" s="1049"/>
      <c r="M180" s="1049"/>
      <c r="N180" s="1087"/>
      <c r="O180" s="1087"/>
    </row>
    <row r="181" spans="1:16" ht="14.1">
      <c r="A181" s="1048"/>
      <c r="B181" s="1178"/>
      <c r="C181" s="1048"/>
      <c r="D181" s="1048"/>
      <c r="E181" s="1048"/>
      <c r="F181" s="88"/>
      <c r="G181" s="88"/>
      <c r="H181" s="1049"/>
      <c r="I181" s="1053">
        <f>SUM(I153:I180)</f>
        <v>20.460000000000012</v>
      </c>
      <c r="J181" s="1049">
        <f>Datas!G1328</f>
        <v>7785.37</v>
      </c>
      <c r="K181" s="1053">
        <f>ROUND(J181*I181,0)</f>
        <v>159289</v>
      </c>
      <c r="L181" s="1049"/>
      <c r="M181" s="1049"/>
      <c r="N181" s="1087"/>
      <c r="O181" s="1087"/>
    </row>
    <row r="182" spans="1:16">
      <c r="A182" s="1048"/>
      <c r="B182" s="1178"/>
      <c r="C182" s="1048"/>
      <c r="D182" s="1048"/>
      <c r="E182" s="1048"/>
      <c r="F182" s="88"/>
      <c r="G182" s="88"/>
      <c r="H182" s="1049"/>
      <c r="I182" s="1049"/>
      <c r="J182" s="1049"/>
      <c r="K182" s="1049"/>
      <c r="L182" s="1049"/>
      <c r="M182" s="1049"/>
      <c r="N182" s="1087"/>
      <c r="O182" s="1087"/>
    </row>
    <row r="183" spans="1:16" ht="131.25" customHeight="1">
      <c r="A183" s="1046">
        <v>10</v>
      </c>
      <c r="B183" s="2415" t="s">
        <v>2447</v>
      </c>
      <c r="C183" s="2426"/>
      <c r="D183" s="2426"/>
      <c r="E183" s="2426"/>
      <c r="F183" s="2426"/>
      <c r="G183" s="2426"/>
      <c r="H183" s="2426"/>
      <c r="I183" s="2427"/>
      <c r="J183" s="1049"/>
      <c r="K183" s="1049"/>
      <c r="L183" s="1049"/>
      <c r="M183" s="1049"/>
      <c r="N183" s="1087"/>
      <c r="O183" s="1087"/>
    </row>
    <row r="184" spans="1:16">
      <c r="A184" s="1048"/>
      <c r="B184" s="1190" t="s">
        <v>2520</v>
      </c>
      <c r="C184" s="1048"/>
      <c r="D184" s="1048"/>
      <c r="E184" s="1048"/>
      <c r="F184" s="1049"/>
      <c r="G184" s="1049"/>
      <c r="H184" s="1049"/>
      <c r="I184" s="1049"/>
      <c r="J184" s="1049"/>
      <c r="K184" s="1049"/>
      <c r="L184" s="1049"/>
      <c r="M184" s="1049"/>
      <c r="N184" s="1087"/>
      <c r="O184" s="1087"/>
    </row>
    <row r="185" spans="1:16" ht="14.1">
      <c r="A185" s="1046"/>
      <c r="B185" s="1174" t="s">
        <v>2521</v>
      </c>
      <c r="C185" s="1048">
        <v>1</v>
      </c>
      <c r="D185" s="1048" t="s">
        <v>1472</v>
      </c>
      <c r="E185" s="1048">
        <v>1</v>
      </c>
      <c r="F185" s="88">
        <f>((30)*0.3048-0.3)</f>
        <v>8.8439999999999994</v>
      </c>
      <c r="G185" s="88">
        <v>0.22500000000000001</v>
      </c>
      <c r="H185" s="1169" t="s">
        <v>2522</v>
      </c>
      <c r="I185" s="1049">
        <f>ROUND(C185*E185*F185*G185*0.5,2)</f>
        <v>0.99</v>
      </c>
      <c r="J185" s="1049"/>
      <c r="K185" s="1049"/>
      <c r="L185" s="1049"/>
      <c r="M185" s="1049"/>
      <c r="N185" s="1169">
        <f>(0.1+1.3+0.1)/3</f>
        <v>0.50000000000000011</v>
      </c>
      <c r="O185" s="1087"/>
      <c r="P185" s="1087"/>
    </row>
    <row r="186" spans="1:16" ht="14.1">
      <c r="A186" s="1046"/>
      <c r="B186" s="1174" t="s">
        <v>2518</v>
      </c>
      <c r="C186" s="1048">
        <v>1</v>
      </c>
      <c r="D186" s="1048" t="s">
        <v>1472</v>
      </c>
      <c r="E186" s="1048">
        <v>1</v>
      </c>
      <c r="F186" s="88">
        <f>((30)*0.3048-0.3*2)</f>
        <v>8.5440000000000005</v>
      </c>
      <c r="G186" s="88">
        <v>0.15</v>
      </c>
      <c r="H186" s="1169" t="s">
        <v>2522</v>
      </c>
      <c r="I186" s="1049">
        <f>ROUND(C186*E186*F186*G186*0.5,2)</f>
        <v>0.64</v>
      </c>
      <c r="J186" s="1049"/>
      <c r="K186" s="1049"/>
      <c r="L186" s="1049"/>
      <c r="M186" s="1049"/>
      <c r="N186" s="1169"/>
      <c r="O186" s="1087"/>
    </row>
    <row r="187" spans="1:16">
      <c r="A187" s="1048"/>
      <c r="B187" s="1190" t="s">
        <v>2124</v>
      </c>
      <c r="C187" s="1048"/>
      <c r="D187" s="1048"/>
      <c r="E187" s="1048"/>
      <c r="F187" s="1049"/>
      <c r="G187" s="1049"/>
      <c r="H187" s="1049"/>
      <c r="I187" s="1049"/>
      <c r="J187" s="1049"/>
      <c r="K187" s="1049"/>
      <c r="L187" s="1049"/>
      <c r="M187" s="1049"/>
      <c r="N187" s="1087"/>
      <c r="O187" s="1087"/>
    </row>
    <row r="188" spans="1:16" ht="14.1">
      <c r="A188" s="1046"/>
      <c r="B188" s="1174" t="s">
        <v>2093</v>
      </c>
      <c r="C188" s="1048">
        <v>1</v>
      </c>
      <c r="D188" s="1048" t="s">
        <v>1472</v>
      </c>
      <c r="E188" s="1048">
        <v>2</v>
      </c>
      <c r="F188" s="1049">
        <f>12.75*0.3048+0.23</f>
        <v>4.1162000000000001</v>
      </c>
      <c r="G188" s="1049">
        <v>0.23</v>
      </c>
      <c r="H188" s="1049">
        <v>2.4</v>
      </c>
      <c r="I188" s="1049">
        <f>ROUND(C188*E188*F188*G188*H188,2)</f>
        <v>4.54</v>
      </c>
      <c r="J188" s="1049"/>
      <c r="K188" s="1049"/>
      <c r="L188" s="1049"/>
      <c r="M188" s="1049"/>
      <c r="N188" s="1087"/>
      <c r="O188" s="1087"/>
    </row>
    <row r="189" spans="1:16" ht="14.1">
      <c r="A189" s="1046"/>
      <c r="B189" s="1174" t="s">
        <v>2094</v>
      </c>
      <c r="C189" s="1048">
        <v>1</v>
      </c>
      <c r="D189" s="1048" t="s">
        <v>1472</v>
      </c>
      <c r="E189" s="1048">
        <v>2</v>
      </c>
      <c r="F189" s="1049">
        <f>10*0.3048</f>
        <v>3.048</v>
      </c>
      <c r="G189" s="1049">
        <v>0.23</v>
      </c>
      <c r="H189" s="1049">
        <v>2.4</v>
      </c>
      <c r="I189" s="1049">
        <f>ROUND(C189*E189*F189*G189*H189,2)</f>
        <v>3.36</v>
      </c>
      <c r="J189" s="1049"/>
      <c r="K189" s="1049"/>
      <c r="L189" s="1049"/>
      <c r="M189" s="1049"/>
      <c r="N189" s="1087"/>
      <c r="O189" s="1087"/>
    </row>
    <row r="190" spans="1:16">
      <c r="A190" s="1048"/>
      <c r="B190" s="1178" t="s">
        <v>2125</v>
      </c>
      <c r="C190" s="1048">
        <v>1</v>
      </c>
      <c r="D190" s="1048" t="s">
        <v>1472</v>
      </c>
      <c r="E190" s="1048">
        <v>1</v>
      </c>
      <c r="F190" s="1049">
        <f>12*0.3048</f>
        <v>3.6576000000000004</v>
      </c>
      <c r="G190" s="1049">
        <v>0.115</v>
      </c>
      <c r="H190" s="1049">
        <v>2.1</v>
      </c>
      <c r="I190" s="1049">
        <f>ROUND(C190*E190*F190*G190*H190,2)</f>
        <v>0.88</v>
      </c>
      <c r="J190" s="1049"/>
      <c r="K190" s="1049"/>
      <c r="L190" s="1049"/>
      <c r="M190" s="1049"/>
      <c r="N190" s="1087"/>
      <c r="O190" s="1087"/>
    </row>
    <row r="191" spans="1:16">
      <c r="A191" s="1048"/>
      <c r="B191" s="1178" t="s">
        <v>2125</v>
      </c>
      <c r="C191" s="1048">
        <v>1</v>
      </c>
      <c r="D191" s="1048" t="s">
        <v>1472</v>
      </c>
      <c r="E191" s="1048">
        <v>1</v>
      </c>
      <c r="F191" s="1049">
        <f>10*0.3048</f>
        <v>3.048</v>
      </c>
      <c r="G191" s="1049">
        <v>0.115</v>
      </c>
      <c r="H191" s="1049">
        <v>2.1</v>
      </c>
      <c r="I191" s="1049">
        <f>ROUND(C191*E191*F191*G191*H191,2)</f>
        <v>0.74</v>
      </c>
      <c r="J191" s="1049"/>
      <c r="K191" s="1049"/>
      <c r="L191" s="1049"/>
      <c r="M191" s="1049"/>
      <c r="N191" s="1087"/>
      <c r="O191" s="1087">
        <v>60</v>
      </c>
      <c r="P191" s="1069">
        <f t="shared" ref="P191:P196" si="8">O191*N191</f>
        <v>0</v>
      </c>
    </row>
    <row r="192" spans="1:16">
      <c r="A192" s="1048"/>
      <c r="B192" s="1190" t="s">
        <v>675</v>
      </c>
      <c r="C192" s="1048"/>
      <c r="D192" s="1048"/>
      <c r="E192" s="1048"/>
      <c r="F192" s="1049"/>
      <c r="G192" s="1049"/>
      <c r="H192" s="1049"/>
      <c r="I192" s="1049"/>
      <c r="J192" s="1049"/>
      <c r="K192" s="1049"/>
      <c r="L192" s="1049"/>
      <c r="M192" s="1049"/>
      <c r="N192" s="1087"/>
      <c r="O192" s="1087">
        <v>120</v>
      </c>
      <c r="P192" s="1069">
        <f t="shared" si="8"/>
        <v>0</v>
      </c>
    </row>
    <row r="193" spans="1:16">
      <c r="A193" s="1048"/>
      <c r="B193" s="1178" t="s">
        <v>2126</v>
      </c>
      <c r="C193" s="1048">
        <v>1</v>
      </c>
      <c r="D193" s="1048" t="s">
        <v>1472</v>
      </c>
      <c r="E193" s="1048">
        <v>2</v>
      </c>
      <c r="F193" s="1049">
        <v>0.9</v>
      </c>
      <c r="G193" s="1049">
        <v>0.23</v>
      </c>
      <c r="H193" s="1049">
        <v>2.1</v>
      </c>
      <c r="I193" s="1049">
        <f>-ROUND(C193*E193*F193*G193*H193,2)</f>
        <v>-0.87</v>
      </c>
      <c r="J193" s="1049"/>
      <c r="K193" s="1049"/>
      <c r="L193" s="1049"/>
      <c r="M193" s="1049"/>
      <c r="N193" s="1087"/>
      <c r="O193" s="1087">
        <v>120</v>
      </c>
      <c r="P193" s="1069">
        <f t="shared" si="8"/>
        <v>0</v>
      </c>
    </row>
    <row r="194" spans="1:16">
      <c r="A194" s="1048"/>
      <c r="B194" s="1178" t="s">
        <v>980</v>
      </c>
      <c r="C194" s="1048">
        <v>1</v>
      </c>
      <c r="D194" s="1048" t="s">
        <v>1472</v>
      </c>
      <c r="E194" s="1048">
        <v>2</v>
      </c>
      <c r="F194" s="1049">
        <v>0.75</v>
      </c>
      <c r="G194" s="1193">
        <v>0.115</v>
      </c>
      <c r="H194" s="1049">
        <v>2.1</v>
      </c>
      <c r="I194" s="1049">
        <f>-ROUND(C194*E194*F194*G194*H194,2)</f>
        <v>-0.36</v>
      </c>
      <c r="J194" s="1049"/>
      <c r="K194" s="1049"/>
      <c r="L194" s="1049"/>
      <c r="M194" s="1049"/>
      <c r="N194" s="1087"/>
      <c r="O194" s="1087">
        <v>120</v>
      </c>
      <c r="P194" s="1069">
        <f t="shared" si="8"/>
        <v>0</v>
      </c>
    </row>
    <row r="195" spans="1:16" ht="14.1">
      <c r="A195" s="1046"/>
      <c r="B195" s="1178" t="s">
        <v>2118</v>
      </c>
      <c r="C195" s="1048"/>
      <c r="D195" s="1048"/>
      <c r="E195" s="1048"/>
      <c r="F195" s="1049"/>
      <c r="G195" s="1193"/>
      <c r="H195" s="1049"/>
      <c r="I195" s="1049"/>
      <c r="J195" s="1049"/>
      <c r="K195" s="1049"/>
      <c r="L195" s="1049"/>
      <c r="M195" s="1049"/>
      <c r="N195" s="1087"/>
      <c r="O195" s="1087">
        <v>100</v>
      </c>
      <c r="P195" s="1069">
        <f t="shared" si="8"/>
        <v>0</v>
      </c>
    </row>
    <row r="196" spans="1:16">
      <c r="A196" s="1048"/>
      <c r="B196" s="1178" t="s">
        <v>2217</v>
      </c>
      <c r="C196" s="1048">
        <v>1</v>
      </c>
      <c r="D196" s="1048" t="s">
        <v>1472</v>
      </c>
      <c r="E196" s="1048">
        <v>2</v>
      </c>
      <c r="F196" s="1049">
        <v>1.05</v>
      </c>
      <c r="G196" s="1193">
        <v>0.115</v>
      </c>
      <c r="H196" s="1049">
        <v>0.15</v>
      </c>
      <c r="I196" s="1049">
        <f>-ROUND(C196*E196*F196*G196*H196,2)</f>
        <v>-0.04</v>
      </c>
      <c r="J196" s="1049"/>
      <c r="K196" s="1049"/>
      <c r="L196" s="1049"/>
      <c r="M196" s="1049"/>
      <c r="N196" s="1087"/>
      <c r="O196" s="1087">
        <v>80</v>
      </c>
      <c r="P196" s="1069">
        <f t="shared" si="8"/>
        <v>0</v>
      </c>
    </row>
    <row r="197" spans="1:16">
      <c r="A197" s="1048"/>
      <c r="B197" s="1178" t="s">
        <v>38</v>
      </c>
      <c r="C197" s="1048"/>
      <c r="D197" s="1048"/>
      <c r="E197" s="1048"/>
      <c r="F197" s="1049"/>
      <c r="G197" s="1049"/>
      <c r="H197" s="1049"/>
      <c r="I197" s="1049"/>
      <c r="J197" s="1049"/>
      <c r="K197" s="1049"/>
      <c r="L197" s="1049"/>
      <c r="M197" s="1049"/>
      <c r="N197" s="1087"/>
      <c r="O197" s="1087"/>
      <c r="P197" s="1069">
        <f>SUM(P191:P196)</f>
        <v>0</v>
      </c>
    </row>
    <row r="198" spans="1:16">
      <c r="A198" s="1048"/>
      <c r="B198" s="1061" t="s">
        <v>2475</v>
      </c>
      <c r="C198" s="1048">
        <v>6</v>
      </c>
      <c r="D198" s="1048" t="s">
        <v>1472</v>
      </c>
      <c r="E198" s="1048">
        <v>2</v>
      </c>
      <c r="F198" s="1049">
        <v>0.23</v>
      </c>
      <c r="G198" s="88">
        <v>0.2</v>
      </c>
      <c r="H198" s="1049">
        <v>0.15</v>
      </c>
      <c r="I198" s="1049">
        <f>-ROUND(C198*E198*F198*G198*H198,2)</f>
        <v>-0.08</v>
      </c>
      <c r="J198" s="1049"/>
      <c r="K198" s="1049"/>
      <c r="L198" s="1049"/>
      <c r="M198" s="1049"/>
      <c r="N198" s="1087"/>
      <c r="O198" s="1087"/>
    </row>
    <row r="199" spans="1:16">
      <c r="A199" s="1048"/>
      <c r="B199" s="1178" t="s">
        <v>2212</v>
      </c>
      <c r="C199" s="1048">
        <v>4</v>
      </c>
      <c r="D199" s="1048" t="s">
        <v>1472</v>
      </c>
      <c r="E199" s="1048">
        <v>2</v>
      </c>
      <c r="F199" s="1049">
        <v>0.23</v>
      </c>
      <c r="G199" s="1049">
        <v>0.2</v>
      </c>
      <c r="H199" s="1049">
        <v>0.15</v>
      </c>
      <c r="I199" s="1049">
        <f>-ROUND(C199*E199*F199*G199*H199,2)</f>
        <v>-0.06</v>
      </c>
      <c r="J199" s="1049"/>
      <c r="K199" s="1049"/>
      <c r="L199" s="1049"/>
      <c r="M199" s="1049"/>
      <c r="N199" s="1087"/>
      <c r="O199" s="1087"/>
    </row>
    <row r="200" spans="1:16" ht="14.1">
      <c r="A200" s="1046"/>
      <c r="B200" s="1178" t="s">
        <v>84</v>
      </c>
      <c r="C200" s="1048"/>
      <c r="D200" s="1048"/>
      <c r="E200" s="1048"/>
      <c r="F200" s="1049"/>
      <c r="G200" s="1049"/>
      <c r="H200" s="1049"/>
      <c r="I200" s="1053">
        <f>SUM(I185:I199)</f>
        <v>9.740000000000002</v>
      </c>
      <c r="J200" s="1049"/>
      <c r="K200" s="1049"/>
      <c r="L200" s="1049"/>
      <c r="M200" s="1049"/>
      <c r="N200" s="1087"/>
      <c r="O200" s="1087"/>
    </row>
    <row r="201" spans="1:16" ht="14.1">
      <c r="A201" s="1046"/>
      <c r="B201" s="2432"/>
      <c r="C201" s="2433"/>
      <c r="D201" s="2433"/>
      <c r="E201" s="2433"/>
      <c r="F201" s="2433"/>
      <c r="G201" s="2433"/>
      <c r="H201" s="2434"/>
      <c r="I201" s="1052">
        <f>I200</f>
        <v>9.740000000000002</v>
      </c>
      <c r="J201" s="1049">
        <f>Datas!$E$632</f>
        <v>6936.09</v>
      </c>
      <c r="K201" s="1053">
        <f>ROUND(J201*I201,0)</f>
        <v>67558</v>
      </c>
      <c r="L201" s="1049">
        <f>0.2*90+0.512*60</f>
        <v>48.72</v>
      </c>
      <c r="M201" s="1055">
        <f>L201*I201</f>
        <v>474.53280000000007</v>
      </c>
      <c r="N201" s="1087"/>
      <c r="O201" s="1087">
        <f>ROUND(I201*N201,0)</f>
        <v>0</v>
      </c>
    </row>
    <row r="202" spans="1:16" ht="14.1">
      <c r="A202" s="1046"/>
      <c r="B202" s="1061"/>
      <c r="C202" s="1048"/>
      <c r="D202" s="1048"/>
      <c r="E202" s="1048"/>
      <c r="F202" s="1049"/>
      <c r="G202" s="1049"/>
      <c r="H202" s="1049"/>
      <c r="I202" s="1053" t="s">
        <v>656</v>
      </c>
      <c r="J202" s="1053" t="s">
        <v>658</v>
      </c>
      <c r="K202" s="1053"/>
      <c r="L202" s="1049"/>
      <c r="M202" s="1049"/>
      <c r="N202" s="1087"/>
      <c r="O202" s="1087"/>
    </row>
    <row r="203" spans="1:16" ht="79.5" customHeight="1">
      <c r="A203" s="1046">
        <v>11</v>
      </c>
      <c r="B203" s="2415" t="s">
        <v>2304</v>
      </c>
      <c r="C203" s="2426"/>
      <c r="D203" s="2426"/>
      <c r="E203" s="2426"/>
      <c r="F203" s="2426"/>
      <c r="G203" s="2426"/>
      <c r="H203" s="2426"/>
      <c r="I203" s="2427"/>
      <c r="J203" s="1049"/>
      <c r="K203" s="1049"/>
      <c r="L203" s="1049"/>
      <c r="M203" s="1049"/>
      <c r="N203" s="1087"/>
      <c r="O203" s="1087"/>
    </row>
    <row r="204" spans="1:16" ht="14.1">
      <c r="A204" s="1041"/>
      <c r="B204" s="1043" t="s">
        <v>39</v>
      </c>
      <c r="C204" s="1043"/>
      <c r="D204" s="1043"/>
      <c r="E204" s="1043"/>
      <c r="F204" s="1044"/>
      <c r="G204" s="1044"/>
      <c r="H204" s="1044"/>
      <c r="I204" s="1044"/>
      <c r="J204" s="1045"/>
      <c r="K204" s="1045"/>
      <c r="L204" s="1045"/>
      <c r="M204" s="1045"/>
      <c r="N204" s="1087"/>
      <c r="O204" s="1087"/>
    </row>
    <row r="205" spans="1:16" ht="14.1">
      <c r="A205" s="1046"/>
      <c r="B205" s="1047" t="s">
        <v>2004</v>
      </c>
      <c r="C205" s="1048">
        <v>2</v>
      </c>
      <c r="D205" s="1048" t="s">
        <v>1472</v>
      </c>
      <c r="E205" s="1048">
        <v>6</v>
      </c>
      <c r="F205" s="1049">
        <v>1.8</v>
      </c>
      <c r="G205" s="1049">
        <v>1.8</v>
      </c>
      <c r="H205" s="1049">
        <v>1.65</v>
      </c>
      <c r="I205" s="1049">
        <f t="shared" ref="I205:I214" si="9">ROUND(C205*E205*F205*G205*H205,2)</f>
        <v>64.150000000000006</v>
      </c>
      <c r="J205" s="1049"/>
      <c r="K205" s="1049"/>
      <c r="L205" s="1049"/>
      <c r="M205" s="1049"/>
      <c r="N205" s="1087"/>
      <c r="O205" s="1087"/>
    </row>
    <row r="206" spans="1:16" ht="27.6">
      <c r="A206" s="1046"/>
      <c r="B206" s="1050" t="s">
        <v>2090</v>
      </c>
      <c r="C206" s="1048">
        <v>1</v>
      </c>
      <c r="D206" s="1048" t="s">
        <v>1472</v>
      </c>
      <c r="E206" s="1048">
        <v>2</v>
      </c>
      <c r="F206" s="1049">
        <f>60.75*0.3048</f>
        <v>18.5166</v>
      </c>
      <c r="G206" s="1049">
        <v>0.6</v>
      </c>
      <c r="H206" s="1049">
        <v>0.6</v>
      </c>
      <c r="I206" s="1049">
        <f t="shared" si="9"/>
        <v>13.33</v>
      </c>
      <c r="J206" s="1049"/>
      <c r="K206" s="1049"/>
      <c r="L206" s="1049"/>
      <c r="M206" s="1049"/>
      <c r="N206" s="1087"/>
      <c r="O206" s="1087"/>
    </row>
    <row r="207" spans="1:16" ht="27.6">
      <c r="A207" s="1046"/>
      <c r="B207" s="1050" t="s">
        <v>2091</v>
      </c>
      <c r="C207" s="1048">
        <v>1</v>
      </c>
      <c r="D207" s="1048" t="s">
        <v>1472</v>
      </c>
      <c r="E207" s="1048">
        <v>2</v>
      </c>
      <c r="F207" s="1049">
        <f>31.5*0.3048</f>
        <v>9.6012000000000004</v>
      </c>
      <c r="G207" s="1049">
        <v>0.6</v>
      </c>
      <c r="H207" s="1049">
        <v>0.6</v>
      </c>
      <c r="I207" s="1049">
        <f t="shared" si="9"/>
        <v>6.91</v>
      </c>
      <c r="J207" s="1049"/>
      <c r="K207" s="1049"/>
      <c r="L207" s="1049"/>
      <c r="M207" s="1049"/>
      <c r="N207" s="1087"/>
      <c r="O207" s="1087"/>
    </row>
    <row r="208" spans="1:16" ht="14.1">
      <c r="A208" s="1046"/>
      <c r="B208" s="1050" t="s">
        <v>2092</v>
      </c>
      <c r="C208" s="1048">
        <v>2</v>
      </c>
      <c r="D208" s="1048" t="s">
        <v>1472</v>
      </c>
      <c r="E208" s="1048">
        <v>2</v>
      </c>
      <c r="F208" s="1049">
        <v>2.4</v>
      </c>
      <c r="G208" s="1049">
        <v>0.6</v>
      </c>
      <c r="H208" s="1049">
        <v>0.6</v>
      </c>
      <c r="I208" s="1049">
        <f t="shared" si="9"/>
        <v>3.46</v>
      </c>
      <c r="J208" s="1049"/>
      <c r="K208" s="1049"/>
      <c r="L208" s="1049"/>
      <c r="M208" s="1049"/>
      <c r="N208" s="1087"/>
      <c r="O208" s="1087"/>
    </row>
    <row r="209" spans="1:15" ht="14.1">
      <c r="A209" s="1046"/>
      <c r="B209" s="1050" t="s">
        <v>2093</v>
      </c>
      <c r="C209" s="1048">
        <v>2</v>
      </c>
      <c r="D209" s="1048" t="s">
        <v>1472</v>
      </c>
      <c r="E209" s="1048">
        <v>2</v>
      </c>
      <c r="F209" s="1049">
        <v>4.1500000000000004</v>
      </c>
      <c r="G209" s="1049">
        <v>0.6</v>
      </c>
      <c r="H209" s="1049">
        <v>0.6</v>
      </c>
      <c r="I209" s="1049">
        <f t="shared" si="9"/>
        <v>5.98</v>
      </c>
      <c r="J209" s="1049"/>
      <c r="K209" s="1049"/>
      <c r="L209" s="1049"/>
      <c r="M209" s="1049"/>
      <c r="N209" s="1087"/>
      <c r="O209" s="1087"/>
    </row>
    <row r="210" spans="1:15" ht="14.1">
      <c r="A210" s="1046"/>
      <c r="B210" s="1050" t="s">
        <v>2094</v>
      </c>
      <c r="C210" s="1048">
        <v>2</v>
      </c>
      <c r="D210" s="1048" t="s">
        <v>1472</v>
      </c>
      <c r="E210" s="1048">
        <v>2</v>
      </c>
      <c r="F210" s="1049">
        <v>4</v>
      </c>
      <c r="G210" s="1049">
        <v>0.6</v>
      </c>
      <c r="H210" s="1049">
        <v>0.6</v>
      </c>
      <c r="I210" s="1049">
        <f t="shared" si="9"/>
        <v>5.76</v>
      </c>
      <c r="J210" s="1049"/>
      <c r="K210" s="1049"/>
      <c r="L210" s="1049"/>
      <c r="M210" s="1049"/>
      <c r="N210" s="1087"/>
      <c r="O210" s="1087"/>
    </row>
    <row r="211" spans="1:15" ht="27.6">
      <c r="A211" s="1046"/>
      <c r="B211" s="1050" t="s">
        <v>2095</v>
      </c>
      <c r="C211" s="1048">
        <v>1</v>
      </c>
      <c r="D211" s="1048" t="s">
        <v>1472</v>
      </c>
      <c r="E211" s="1048">
        <v>2</v>
      </c>
      <c r="F211" s="1049">
        <v>1.8</v>
      </c>
      <c r="G211" s="1049">
        <v>0.6</v>
      </c>
      <c r="H211" s="1049">
        <v>0.6</v>
      </c>
      <c r="I211" s="1049">
        <f t="shared" si="9"/>
        <v>1.3</v>
      </c>
      <c r="J211" s="1049"/>
      <c r="K211" s="1049"/>
      <c r="L211" s="1049"/>
      <c r="M211" s="1049"/>
      <c r="N211" s="1087"/>
      <c r="O211" s="1087"/>
    </row>
    <row r="212" spans="1:15" ht="14.1">
      <c r="A212" s="1046"/>
      <c r="B212" s="1051" t="s">
        <v>2096</v>
      </c>
      <c r="C212" s="1048">
        <v>1</v>
      </c>
      <c r="D212" s="1048" t="s">
        <v>1472</v>
      </c>
      <c r="E212" s="1048">
        <v>1</v>
      </c>
      <c r="F212" s="1049">
        <f>(31.5-6-4)*0.3048</f>
        <v>6.5532000000000004</v>
      </c>
      <c r="G212" s="1049">
        <v>0.6</v>
      </c>
      <c r="H212" s="1049">
        <v>0.3</v>
      </c>
      <c r="I212" s="1049">
        <f t="shared" si="9"/>
        <v>1.18</v>
      </c>
      <c r="J212" s="1049"/>
      <c r="K212" s="1049"/>
      <c r="L212" s="1049"/>
      <c r="M212" s="1049"/>
      <c r="N212" s="1087"/>
      <c r="O212" s="1087"/>
    </row>
    <row r="213" spans="1:15" ht="14.1">
      <c r="A213" s="1046"/>
      <c r="B213" s="1051" t="s">
        <v>2097</v>
      </c>
      <c r="C213" s="1048">
        <v>1</v>
      </c>
      <c r="D213" s="1048" t="s">
        <v>1472</v>
      </c>
      <c r="E213" s="1048">
        <v>2</v>
      </c>
      <c r="F213" s="1049">
        <v>3</v>
      </c>
      <c r="G213" s="1049">
        <v>0.6</v>
      </c>
      <c r="H213" s="1049">
        <v>0.3</v>
      </c>
      <c r="I213" s="1049">
        <f t="shared" si="9"/>
        <v>1.08</v>
      </c>
      <c r="J213" s="1049"/>
      <c r="K213" s="1049"/>
      <c r="L213" s="1049"/>
      <c r="M213" s="1049"/>
      <c r="N213" s="1087"/>
      <c r="O213" s="1087"/>
    </row>
    <row r="214" spans="1:15" ht="14.1">
      <c r="A214" s="1046"/>
      <c r="B214" s="1047" t="s">
        <v>2122</v>
      </c>
      <c r="C214" s="1048">
        <v>1</v>
      </c>
      <c r="D214" s="1048" t="s">
        <v>1472</v>
      </c>
      <c r="E214" s="1048">
        <v>1</v>
      </c>
      <c r="F214" s="1049">
        <f>60.75*0.3048</f>
        <v>18.5166</v>
      </c>
      <c r="G214" s="1049">
        <f>31.5*0.3048</f>
        <v>9.6012000000000004</v>
      </c>
      <c r="H214" s="1049">
        <v>0.6</v>
      </c>
      <c r="I214" s="1049">
        <f t="shared" si="9"/>
        <v>106.67</v>
      </c>
      <c r="J214" s="1049"/>
      <c r="K214" s="1049"/>
      <c r="L214" s="1049"/>
      <c r="M214" s="1049"/>
      <c r="N214" s="1087"/>
      <c r="O214" s="1087"/>
    </row>
    <row r="215" spans="1:15" ht="14.1">
      <c r="A215" s="1046"/>
      <c r="B215" s="2423" t="s">
        <v>2425</v>
      </c>
      <c r="C215" s="2424"/>
      <c r="D215" s="2424"/>
      <c r="E215" s="2424"/>
      <c r="F215" s="2424"/>
      <c r="G215" s="2424"/>
      <c r="H215" s="2425"/>
      <c r="I215" s="1053">
        <f>I214</f>
        <v>106.67</v>
      </c>
      <c r="J215" s="1049">
        <v>28.75</v>
      </c>
      <c r="K215" s="1054">
        <f>ROUND(J215*I215,0)</f>
        <v>3067</v>
      </c>
      <c r="L215" s="1049">
        <v>30</v>
      </c>
      <c r="M215" s="1055">
        <f>L215*I215</f>
        <v>3200.1</v>
      </c>
      <c r="N215" s="1087">
        <v>1</v>
      </c>
      <c r="O215" s="1087"/>
    </row>
    <row r="216" spans="1:15" ht="14.1">
      <c r="A216" s="1046"/>
      <c r="B216" s="1061"/>
      <c r="C216" s="1048"/>
      <c r="D216" s="1048"/>
      <c r="E216" s="1048"/>
      <c r="F216" s="1049"/>
      <c r="G216" s="1049"/>
      <c r="H216" s="1049"/>
      <c r="I216" s="1053"/>
      <c r="J216" s="1053" t="s">
        <v>658</v>
      </c>
      <c r="K216" s="1053"/>
      <c r="L216" s="1049"/>
      <c r="M216" s="1049"/>
      <c r="N216" s="1087"/>
      <c r="O216" s="1087"/>
    </row>
    <row r="217" spans="1:15" ht="93" customHeight="1">
      <c r="A217" s="1046">
        <v>12</v>
      </c>
      <c r="B217" s="2415" t="s">
        <v>2449</v>
      </c>
      <c r="C217" s="2426"/>
      <c r="D217" s="2426"/>
      <c r="E217" s="2426"/>
      <c r="F217" s="2426"/>
      <c r="G217" s="2426"/>
      <c r="H217" s="2426"/>
      <c r="I217" s="2427"/>
      <c r="J217" s="1049"/>
      <c r="K217" s="1049"/>
      <c r="L217" s="1049"/>
      <c r="M217" s="1049"/>
      <c r="N217" s="1087"/>
      <c r="O217" s="1087"/>
    </row>
    <row r="218" spans="1:15" ht="14.1">
      <c r="A218" s="1046"/>
      <c r="B218" s="1047" t="s">
        <v>2004</v>
      </c>
      <c r="C218" s="1048">
        <v>2</v>
      </c>
      <c r="D218" s="1048" t="s">
        <v>1472</v>
      </c>
      <c r="E218" s="1048">
        <v>6</v>
      </c>
      <c r="F218" s="1049">
        <v>1.8</v>
      </c>
      <c r="G218" s="1049">
        <v>1.8</v>
      </c>
      <c r="H218" s="1049">
        <v>1.65</v>
      </c>
      <c r="I218" s="1049">
        <f t="shared" ref="I218:I226" si="10">ROUND(C218*E218*F218*G218*H218,2)</f>
        <v>64.150000000000006</v>
      </c>
      <c r="J218" s="1049"/>
      <c r="K218" s="1049"/>
      <c r="L218" s="1049"/>
      <c r="M218" s="1049"/>
      <c r="N218" s="1087"/>
      <c r="O218" s="1087"/>
    </row>
    <row r="219" spans="1:15" ht="27.6">
      <c r="A219" s="1046"/>
      <c r="B219" s="1050" t="s">
        <v>2090</v>
      </c>
      <c r="C219" s="1048">
        <v>1</v>
      </c>
      <c r="D219" s="1048" t="s">
        <v>1472</v>
      </c>
      <c r="E219" s="1048">
        <v>2</v>
      </c>
      <c r="F219" s="1049">
        <f>60.75*0.3048</f>
        <v>18.5166</v>
      </c>
      <c r="G219" s="1049">
        <v>0.6</v>
      </c>
      <c r="H219" s="1049">
        <v>0.6</v>
      </c>
      <c r="I219" s="1049">
        <f t="shared" si="10"/>
        <v>13.33</v>
      </c>
      <c r="J219" s="1049"/>
      <c r="K219" s="1049"/>
      <c r="L219" s="1049"/>
      <c r="M219" s="1049"/>
      <c r="N219" s="1087"/>
      <c r="O219" s="1087"/>
    </row>
    <row r="220" spans="1:15" ht="27.6">
      <c r="A220" s="1046"/>
      <c r="B220" s="1050" t="s">
        <v>2091</v>
      </c>
      <c r="C220" s="1048">
        <v>1</v>
      </c>
      <c r="D220" s="1048" t="s">
        <v>1472</v>
      </c>
      <c r="E220" s="1048">
        <v>2</v>
      </c>
      <c r="F220" s="1049">
        <f>31.5*0.3048</f>
        <v>9.6012000000000004</v>
      </c>
      <c r="G220" s="1049">
        <v>0.6</v>
      </c>
      <c r="H220" s="1049">
        <v>0.6</v>
      </c>
      <c r="I220" s="1049">
        <f t="shared" si="10"/>
        <v>6.91</v>
      </c>
      <c r="J220" s="1049"/>
      <c r="K220" s="1049"/>
      <c r="L220" s="1049"/>
      <c r="M220" s="1049"/>
      <c r="N220" s="1087"/>
      <c r="O220" s="1087"/>
    </row>
    <row r="221" spans="1:15" ht="14.1">
      <c r="A221" s="1046"/>
      <c r="B221" s="1050" t="s">
        <v>2092</v>
      </c>
      <c r="C221" s="1048">
        <v>2</v>
      </c>
      <c r="D221" s="1048" t="s">
        <v>1472</v>
      </c>
      <c r="E221" s="1048">
        <v>2</v>
      </c>
      <c r="F221" s="1049">
        <v>2.4</v>
      </c>
      <c r="G221" s="1049">
        <v>0.6</v>
      </c>
      <c r="H221" s="1049">
        <v>0.6</v>
      </c>
      <c r="I221" s="1049">
        <f t="shared" si="10"/>
        <v>3.46</v>
      </c>
      <c r="J221" s="1049"/>
      <c r="K221" s="1049"/>
      <c r="L221" s="1049"/>
      <c r="M221" s="1049"/>
      <c r="N221" s="1087"/>
      <c r="O221" s="1087"/>
    </row>
    <row r="222" spans="1:15" ht="14.1">
      <c r="A222" s="1046"/>
      <c r="B222" s="1050" t="s">
        <v>2093</v>
      </c>
      <c r="C222" s="1048">
        <v>2</v>
      </c>
      <c r="D222" s="1048" t="s">
        <v>1472</v>
      </c>
      <c r="E222" s="1048">
        <v>2</v>
      </c>
      <c r="F222" s="1049">
        <v>4.1500000000000004</v>
      </c>
      <c r="G222" s="1049">
        <v>0.6</v>
      </c>
      <c r="H222" s="1049">
        <v>0.6</v>
      </c>
      <c r="I222" s="1049">
        <f t="shared" si="10"/>
        <v>5.98</v>
      </c>
      <c r="J222" s="1049"/>
      <c r="K222" s="1049"/>
      <c r="L222" s="1049"/>
      <c r="M222" s="1049"/>
      <c r="N222" s="1087"/>
      <c r="O222" s="1087"/>
    </row>
    <row r="223" spans="1:15" ht="14.1">
      <c r="A223" s="1046"/>
      <c r="B223" s="1050" t="s">
        <v>2094</v>
      </c>
      <c r="C223" s="1048">
        <v>2</v>
      </c>
      <c r="D223" s="1048" t="s">
        <v>1472</v>
      </c>
      <c r="E223" s="1048">
        <v>2</v>
      </c>
      <c r="F223" s="1049">
        <v>4</v>
      </c>
      <c r="G223" s="1049">
        <v>0.6</v>
      </c>
      <c r="H223" s="1049">
        <v>0.6</v>
      </c>
      <c r="I223" s="1049">
        <f t="shared" si="10"/>
        <v>5.76</v>
      </c>
      <c r="J223" s="1049"/>
      <c r="K223" s="1049"/>
      <c r="L223" s="1049"/>
      <c r="M223" s="1049"/>
      <c r="N223" s="1087"/>
      <c r="O223" s="1087"/>
    </row>
    <row r="224" spans="1:15" ht="27.6">
      <c r="A224" s="1046"/>
      <c r="B224" s="1050" t="s">
        <v>2095</v>
      </c>
      <c r="C224" s="1048">
        <v>1</v>
      </c>
      <c r="D224" s="1048" t="s">
        <v>1472</v>
      </c>
      <c r="E224" s="1048">
        <v>2</v>
      </c>
      <c r="F224" s="1049">
        <v>1.8</v>
      </c>
      <c r="G224" s="1049">
        <v>0.6</v>
      </c>
      <c r="H224" s="1049">
        <v>0.6</v>
      </c>
      <c r="I224" s="1049">
        <f t="shared" si="10"/>
        <v>1.3</v>
      </c>
      <c r="J224" s="1049"/>
      <c r="K224" s="1049"/>
      <c r="L224" s="1049"/>
      <c r="M224" s="1049"/>
      <c r="N224" s="1087"/>
      <c r="O224" s="1087"/>
    </row>
    <row r="225" spans="1:15" ht="14.1">
      <c r="A225" s="1046"/>
      <c r="B225" s="1051" t="s">
        <v>2096</v>
      </c>
      <c r="C225" s="1048">
        <v>1</v>
      </c>
      <c r="D225" s="1048" t="s">
        <v>1472</v>
      </c>
      <c r="E225" s="1048">
        <v>1</v>
      </c>
      <c r="F225" s="1049">
        <f>(31.5-6-4)*0.3048</f>
        <v>6.5532000000000004</v>
      </c>
      <c r="G225" s="1049">
        <v>0.6</v>
      </c>
      <c r="H225" s="1049">
        <v>0.3</v>
      </c>
      <c r="I225" s="1049">
        <f t="shared" si="10"/>
        <v>1.18</v>
      </c>
      <c r="J225" s="1049"/>
      <c r="K225" s="1049"/>
      <c r="L225" s="1049"/>
      <c r="M225" s="1049"/>
      <c r="N225" s="1087"/>
      <c r="O225" s="1087"/>
    </row>
    <row r="226" spans="1:15" ht="14.1">
      <c r="A226" s="1046"/>
      <c r="B226" s="1051" t="s">
        <v>2097</v>
      </c>
      <c r="C226" s="1048">
        <v>1</v>
      </c>
      <c r="D226" s="1048" t="s">
        <v>1472</v>
      </c>
      <c r="E226" s="1048">
        <v>2</v>
      </c>
      <c r="F226" s="1049">
        <v>3</v>
      </c>
      <c r="G226" s="1049">
        <v>0.6</v>
      </c>
      <c r="H226" s="1049">
        <v>0.3</v>
      </c>
      <c r="I226" s="1049">
        <f t="shared" si="10"/>
        <v>1.08</v>
      </c>
      <c r="J226" s="1049"/>
      <c r="K226" s="1049"/>
      <c r="L226" s="1049"/>
      <c r="M226" s="1049"/>
      <c r="N226" s="1087"/>
      <c r="O226" s="1087"/>
    </row>
    <row r="227" spans="1:15" ht="14.1">
      <c r="A227" s="1046"/>
      <c r="B227" s="1060" t="s">
        <v>85</v>
      </c>
      <c r="C227" s="1061"/>
      <c r="D227" s="1061"/>
      <c r="E227" s="1061"/>
      <c r="F227" s="1062"/>
      <c r="G227" s="1062"/>
      <c r="H227" s="1062"/>
      <c r="I227" s="1077">
        <f>SUM(I218:I226)</f>
        <v>103.15</v>
      </c>
      <c r="J227" s="1049"/>
      <c r="K227" s="1049"/>
      <c r="L227" s="1049"/>
      <c r="M227" s="1049"/>
      <c r="N227" s="1087"/>
      <c r="O227" s="1087"/>
    </row>
    <row r="228" spans="1:15" ht="14.1">
      <c r="A228" s="1046"/>
      <c r="B228" s="1047" t="s">
        <v>2122</v>
      </c>
      <c r="C228" s="1048">
        <v>1</v>
      </c>
      <c r="D228" s="1048" t="s">
        <v>1472</v>
      </c>
      <c r="E228" s="1048">
        <v>1</v>
      </c>
      <c r="F228" s="1049">
        <f>60.75*0.3048</f>
        <v>18.5166</v>
      </c>
      <c r="G228" s="1049">
        <f>31.5*0.3048</f>
        <v>9.6012000000000004</v>
      </c>
      <c r="H228" s="1049">
        <v>0.6</v>
      </c>
      <c r="I228" s="1049">
        <f t="shared" ref="I228:I234" si="11">ROUND(C228*E228*F228*G228*H228,2)</f>
        <v>106.67</v>
      </c>
      <c r="J228" s="1049"/>
      <c r="K228" s="1049"/>
      <c r="L228" s="1049"/>
      <c r="M228" s="1049"/>
      <c r="N228" s="1087"/>
      <c r="O228" s="1087"/>
    </row>
    <row r="229" spans="1:15" ht="14.1">
      <c r="A229" s="1046"/>
      <c r="B229" s="1061" t="s">
        <v>2127</v>
      </c>
      <c r="C229" s="1048">
        <v>1</v>
      </c>
      <c r="D229" s="1048" t="s">
        <v>1472</v>
      </c>
      <c r="E229" s="1048">
        <v>1</v>
      </c>
      <c r="F229" s="1049">
        <v>14.55</v>
      </c>
      <c r="G229" s="1049">
        <v>2</v>
      </c>
      <c r="H229" s="1049">
        <v>0.6</v>
      </c>
      <c r="I229" s="1049">
        <f t="shared" si="11"/>
        <v>17.46</v>
      </c>
      <c r="J229" s="1049"/>
      <c r="K229" s="1049"/>
      <c r="L229" s="1049"/>
      <c r="M229" s="1049"/>
      <c r="N229" s="1087"/>
      <c r="O229" s="1087"/>
    </row>
    <row r="230" spans="1:15" ht="14.1">
      <c r="A230" s="1046"/>
      <c r="B230" s="1061" t="s">
        <v>2128</v>
      </c>
      <c r="C230" s="1048">
        <v>1</v>
      </c>
      <c r="D230" s="1048" t="s">
        <v>1472</v>
      </c>
      <c r="E230" s="1048">
        <v>1</v>
      </c>
      <c r="F230" s="1049">
        <v>14.55</v>
      </c>
      <c r="G230" s="1049">
        <v>2</v>
      </c>
      <c r="H230" s="1049">
        <v>0.6</v>
      </c>
      <c r="I230" s="1049">
        <f t="shared" si="11"/>
        <v>17.46</v>
      </c>
      <c r="J230" s="1049"/>
      <c r="K230" s="1049"/>
      <c r="L230" s="1049"/>
      <c r="M230" s="1049"/>
      <c r="N230" s="1087"/>
      <c r="O230" s="1087"/>
    </row>
    <row r="231" spans="1:15" ht="14.1">
      <c r="A231" s="1046"/>
      <c r="B231" s="1061" t="s">
        <v>2132</v>
      </c>
      <c r="C231" s="1048">
        <v>1</v>
      </c>
      <c r="D231" s="1048" t="s">
        <v>1472</v>
      </c>
      <c r="E231" s="1048">
        <v>1</v>
      </c>
      <c r="F231" s="1049">
        <v>4.4000000000000004</v>
      </c>
      <c r="G231" s="1049">
        <v>2.4</v>
      </c>
      <c r="H231" s="1049">
        <v>0.6</v>
      </c>
      <c r="I231" s="1049">
        <f t="shared" si="11"/>
        <v>6.34</v>
      </c>
      <c r="J231" s="1049"/>
      <c r="K231" s="1049"/>
      <c r="L231" s="1049"/>
      <c r="M231" s="1049"/>
      <c r="N231" s="1087"/>
      <c r="O231" s="1087"/>
    </row>
    <row r="232" spans="1:15" ht="14.1">
      <c r="A232" s="1046"/>
      <c r="B232" s="1061" t="s">
        <v>2133</v>
      </c>
      <c r="C232" s="1048">
        <v>1</v>
      </c>
      <c r="D232" s="1048" t="s">
        <v>1472</v>
      </c>
      <c r="E232" s="1048">
        <v>1</v>
      </c>
      <c r="F232" s="1049">
        <v>5</v>
      </c>
      <c r="G232" s="1049">
        <v>1.87</v>
      </c>
      <c r="H232" s="1049">
        <v>0.45</v>
      </c>
      <c r="I232" s="1049">
        <f t="shared" si="11"/>
        <v>4.21</v>
      </c>
      <c r="J232" s="1049"/>
      <c r="K232" s="1049"/>
      <c r="L232" s="1049"/>
      <c r="M232" s="1049"/>
      <c r="N232" s="1087"/>
      <c r="O232" s="1087"/>
    </row>
    <row r="233" spans="1:15" ht="14.1">
      <c r="A233" s="1046"/>
      <c r="B233" s="1061" t="s">
        <v>2130</v>
      </c>
      <c r="C233" s="1048">
        <v>1</v>
      </c>
      <c r="D233" s="1048" t="s">
        <v>1472</v>
      </c>
      <c r="E233" s="1048">
        <v>1</v>
      </c>
      <c r="F233" s="1049">
        <v>2.75</v>
      </c>
      <c r="G233" s="1049">
        <v>2.6</v>
      </c>
      <c r="H233" s="1049">
        <v>0.6</v>
      </c>
      <c r="I233" s="1049">
        <f t="shared" si="11"/>
        <v>4.29</v>
      </c>
      <c r="J233" s="1049"/>
      <c r="K233" s="1049"/>
      <c r="L233" s="1049"/>
      <c r="M233" s="1049"/>
      <c r="N233" s="1087"/>
      <c r="O233" s="1087"/>
    </row>
    <row r="234" spans="1:15" ht="14.1">
      <c r="A234" s="1046"/>
      <c r="B234" s="1061" t="s">
        <v>2129</v>
      </c>
      <c r="C234" s="1048">
        <v>1</v>
      </c>
      <c r="D234" s="1048" t="s">
        <v>1472</v>
      </c>
      <c r="E234" s="1048">
        <v>2</v>
      </c>
      <c r="F234" s="1049">
        <v>1.65</v>
      </c>
      <c r="G234" s="1049">
        <v>1.2</v>
      </c>
      <c r="H234" s="1049">
        <v>0.6</v>
      </c>
      <c r="I234" s="1049">
        <f t="shared" si="11"/>
        <v>2.38</v>
      </c>
      <c r="J234" s="1049"/>
      <c r="K234" s="1049"/>
      <c r="L234" s="1049"/>
      <c r="M234" s="1049"/>
      <c r="N234" s="1087"/>
      <c r="O234" s="1087"/>
    </row>
    <row r="235" spans="1:15" ht="14.1">
      <c r="A235" s="1046"/>
      <c r="B235" s="1061"/>
      <c r="C235" s="1048"/>
      <c r="D235" s="1048"/>
      <c r="E235" s="1048"/>
      <c r="F235" s="1049"/>
      <c r="G235" s="1049"/>
      <c r="H235" s="1049"/>
      <c r="I235" s="1053">
        <f>SUM(I227:I234)</f>
        <v>261.96000000000004</v>
      </c>
      <c r="J235" s="1049"/>
      <c r="K235" s="1049"/>
      <c r="L235" s="1049"/>
      <c r="M235" s="1049"/>
      <c r="N235" s="1087"/>
      <c r="O235" s="1087"/>
    </row>
    <row r="236" spans="1:15" ht="14.1">
      <c r="A236" s="1046"/>
      <c r="B236" s="1060" t="s">
        <v>1036</v>
      </c>
      <c r="C236" s="1061"/>
      <c r="D236" s="1061"/>
      <c r="E236" s="1061"/>
      <c r="F236" s="1062"/>
      <c r="G236" s="1062"/>
      <c r="H236" s="1062"/>
      <c r="I236" s="1062"/>
      <c r="J236" s="1049"/>
      <c r="K236" s="1049"/>
      <c r="L236" s="1049"/>
      <c r="M236" s="1049"/>
      <c r="N236" s="1087"/>
      <c r="O236" s="1087"/>
    </row>
    <row r="237" spans="1:15" ht="14.1">
      <c r="A237" s="1046"/>
      <c r="B237" s="1061" t="s">
        <v>2131</v>
      </c>
      <c r="C237" s="1061"/>
      <c r="D237" s="1061"/>
      <c r="E237" s="1061"/>
      <c r="F237" s="1062">
        <f>I29</f>
        <v>4.99</v>
      </c>
      <c r="G237" s="1062"/>
      <c r="H237" s="1062"/>
      <c r="I237" s="1062"/>
      <c r="J237" s="1049"/>
      <c r="K237" s="1049"/>
      <c r="L237" s="1049"/>
      <c r="M237" s="1049"/>
      <c r="N237" s="1087"/>
      <c r="O237" s="1087"/>
    </row>
    <row r="238" spans="1:15">
      <c r="A238" s="1061"/>
      <c r="B238" s="1061" t="s">
        <v>2026</v>
      </c>
      <c r="C238" s="1061"/>
      <c r="D238" s="1061"/>
      <c r="E238" s="1061"/>
      <c r="F238" s="1062">
        <f>I52</f>
        <v>25.94</v>
      </c>
      <c r="G238" s="1062"/>
      <c r="H238" s="1062"/>
      <c r="I238" s="1062"/>
      <c r="J238" s="1049"/>
      <c r="K238" s="1049"/>
      <c r="L238" s="1049"/>
      <c r="M238" s="1049"/>
      <c r="N238" s="1087"/>
      <c r="O238" s="1087"/>
    </row>
    <row r="239" spans="1:15" ht="14.1">
      <c r="A239" s="1046"/>
      <c r="B239" s="1061" t="s">
        <v>86</v>
      </c>
      <c r="C239" s="1061"/>
      <c r="D239" s="1061"/>
      <c r="E239" s="1061"/>
      <c r="F239" s="1062">
        <f>I65</f>
        <v>21.709999999999994</v>
      </c>
      <c r="G239" s="1062"/>
      <c r="H239" s="1062"/>
      <c r="I239" s="1062"/>
      <c r="J239" s="1049"/>
      <c r="K239" s="1049"/>
      <c r="L239" s="1049"/>
      <c r="M239" s="1049"/>
      <c r="N239" s="1087"/>
      <c r="O239" s="1087"/>
    </row>
    <row r="240" spans="1:15" ht="14.1">
      <c r="A240" s="1046"/>
      <c r="B240" s="1061" t="s">
        <v>2004</v>
      </c>
      <c r="C240" s="1061"/>
      <c r="D240" s="1061"/>
      <c r="E240" s="1061"/>
      <c r="F240" s="1062">
        <f>I94</f>
        <v>7.3900000000000006</v>
      </c>
      <c r="G240" s="1062"/>
      <c r="H240" s="1062"/>
      <c r="I240" s="1062"/>
      <c r="J240" s="1049"/>
      <c r="K240" s="1049"/>
      <c r="L240" s="1049"/>
      <c r="M240" s="1049"/>
      <c r="N240" s="1087"/>
      <c r="O240" s="1087"/>
    </row>
    <row r="241" spans="1:15" ht="14.1">
      <c r="A241" s="1046"/>
      <c r="B241" s="1061" t="s">
        <v>87</v>
      </c>
      <c r="C241" s="1061"/>
      <c r="D241" s="1061"/>
      <c r="E241" s="1061"/>
      <c r="F241" s="1062">
        <v>1.17</v>
      </c>
      <c r="G241" s="1062"/>
      <c r="H241" s="1062"/>
      <c r="I241" s="1062"/>
      <c r="J241" s="1049"/>
      <c r="K241" s="1049"/>
      <c r="L241" s="1049"/>
      <c r="M241" s="1049"/>
      <c r="N241" s="1087"/>
      <c r="O241" s="1087"/>
    </row>
    <row r="242" spans="1:15" ht="14.1">
      <c r="A242" s="1046"/>
      <c r="B242" s="1061" t="s">
        <v>88</v>
      </c>
      <c r="C242" s="1061"/>
      <c r="D242" s="1061"/>
      <c r="E242" s="1061"/>
      <c r="F242" s="1062">
        <v>4.59</v>
      </c>
      <c r="G242" s="1062"/>
      <c r="H242" s="1062"/>
      <c r="I242" s="1062"/>
      <c r="J242" s="1049"/>
      <c r="K242" s="1049"/>
      <c r="L242" s="1049"/>
      <c r="M242" s="1049"/>
      <c r="N242" s="1087"/>
      <c r="O242" s="1087"/>
    </row>
    <row r="243" spans="1:15" ht="14.1">
      <c r="A243" s="1046"/>
      <c r="B243" s="1061"/>
      <c r="C243" s="1061"/>
      <c r="D243" s="1061"/>
      <c r="E243" s="1061"/>
      <c r="F243" s="1078">
        <f>SUM(F237:F242)</f>
        <v>65.789999999999992</v>
      </c>
      <c r="G243" s="1062"/>
      <c r="H243" s="1062"/>
      <c r="I243" s="1062"/>
      <c r="J243" s="1049"/>
      <c r="K243" s="1049"/>
      <c r="L243" s="1049"/>
      <c r="M243" s="1049"/>
      <c r="N243" s="1087"/>
      <c r="O243" s="1087"/>
    </row>
    <row r="244" spans="1:15" ht="14.1">
      <c r="A244" s="1046"/>
      <c r="B244" s="1079" t="s">
        <v>89</v>
      </c>
      <c r="C244" s="1048"/>
      <c r="D244" s="1048"/>
      <c r="E244" s="1048"/>
      <c r="F244" s="1053">
        <f>I235</f>
        <v>261.96000000000004</v>
      </c>
      <c r="G244" s="1049" t="s">
        <v>524</v>
      </c>
      <c r="H244" s="1053">
        <f>F243</f>
        <v>65.789999999999992</v>
      </c>
      <c r="I244" s="1053">
        <f>F244-H244</f>
        <v>196.17000000000004</v>
      </c>
      <c r="J244" s="1049"/>
      <c r="K244" s="1049"/>
      <c r="L244" s="1049"/>
      <c r="M244" s="1049"/>
      <c r="N244" s="1087"/>
      <c r="O244" s="1087"/>
    </row>
    <row r="245" spans="1:15" ht="14.1">
      <c r="A245" s="1046"/>
      <c r="B245" s="2423"/>
      <c r="C245" s="2424"/>
      <c r="D245" s="2424"/>
      <c r="E245" s="2424"/>
      <c r="F245" s="2424"/>
      <c r="G245" s="2424"/>
      <c r="H245" s="2425"/>
      <c r="I245" s="1053"/>
      <c r="J245" s="1049"/>
      <c r="K245" s="1049"/>
      <c r="L245" s="1049"/>
      <c r="M245" s="1049"/>
      <c r="N245" s="1087"/>
      <c r="O245" s="1087"/>
    </row>
    <row r="246" spans="1:15" ht="28.2">
      <c r="A246" s="1046"/>
      <c r="B246" s="1078" t="s">
        <v>2051</v>
      </c>
      <c r="C246" s="1067"/>
      <c r="D246" s="1067"/>
      <c r="E246" s="1048"/>
      <c r="F246" s="1053">
        <f>I244</f>
        <v>196.17000000000004</v>
      </c>
      <c r="G246" s="1049" t="s">
        <v>524</v>
      </c>
      <c r="H246" s="1053">
        <f>I215</f>
        <v>106.67</v>
      </c>
      <c r="I246" s="1053">
        <f>F246-H246</f>
        <v>89.500000000000043</v>
      </c>
      <c r="J246" s="1049">
        <f>Datas!G54</f>
        <v>228.33</v>
      </c>
      <c r="K246" s="1053">
        <f>ROUND(J246*I246,0)</f>
        <v>20436</v>
      </c>
      <c r="L246" s="1049">
        <v>30</v>
      </c>
      <c r="M246" s="1055">
        <f>L246*I246</f>
        <v>2685.0000000000014</v>
      </c>
      <c r="N246" s="1087">
        <v>30</v>
      </c>
      <c r="O246" s="1087">
        <f>ROUND(I246*N246,0)</f>
        <v>2685</v>
      </c>
    </row>
    <row r="247" spans="1:15" ht="14.1">
      <c r="A247" s="1046"/>
      <c r="B247" s="1060"/>
      <c r="C247" s="1048"/>
      <c r="D247" s="1048"/>
      <c r="E247" s="1048"/>
      <c r="F247" s="1049"/>
      <c r="G247" s="1049"/>
      <c r="H247" s="1049"/>
      <c r="I247" s="1053" t="s">
        <v>1473</v>
      </c>
      <c r="J247" s="1053" t="s">
        <v>658</v>
      </c>
      <c r="K247" s="1053"/>
      <c r="L247" s="1049"/>
      <c r="M247" s="1049"/>
      <c r="N247" s="1087"/>
      <c r="O247" s="1087"/>
    </row>
    <row r="248" spans="1:15" ht="171" customHeight="1">
      <c r="A248" s="1046">
        <v>13</v>
      </c>
      <c r="B248" s="2415" t="s">
        <v>2450</v>
      </c>
      <c r="C248" s="2416"/>
      <c r="D248" s="2416"/>
      <c r="E248" s="2416"/>
      <c r="F248" s="2416"/>
      <c r="G248" s="2416"/>
      <c r="H248" s="2416"/>
      <c r="I248" s="2417"/>
      <c r="J248" s="1049"/>
      <c r="K248" s="1049"/>
      <c r="L248" s="1049"/>
      <c r="M248" s="1049"/>
      <c r="N248" s="1087"/>
      <c r="O248" s="1087"/>
    </row>
    <row r="249" spans="1:15" ht="14.1">
      <c r="A249" s="1046"/>
      <c r="B249" s="1060" t="s">
        <v>466</v>
      </c>
      <c r="C249" s="1082"/>
      <c r="D249" s="1082"/>
      <c r="E249" s="1082"/>
      <c r="F249" s="1083"/>
      <c r="G249" s="1083"/>
      <c r="H249" s="1083"/>
      <c r="I249" s="1083"/>
      <c r="J249" s="1049"/>
      <c r="K249" s="1049"/>
      <c r="L249" s="1049"/>
      <c r="M249" s="1049"/>
      <c r="N249" s="1087"/>
      <c r="O249" s="1087"/>
    </row>
    <row r="250" spans="1:15" ht="14.1">
      <c r="A250" s="1046"/>
      <c r="B250" s="1174" t="s">
        <v>2523</v>
      </c>
      <c r="C250" s="1048">
        <v>1</v>
      </c>
      <c r="D250" s="1048" t="s">
        <v>1472</v>
      </c>
      <c r="E250" s="1048">
        <v>2</v>
      </c>
      <c r="F250" s="1049">
        <f>(46.5)*0.3048</f>
        <v>14.173200000000001</v>
      </c>
      <c r="G250" s="1049"/>
      <c r="H250" s="1049">
        <v>3.6</v>
      </c>
      <c r="I250" s="1049">
        <f>ROUND(C250*E250*F250*H250,2)</f>
        <v>102.05</v>
      </c>
      <c r="J250" s="1049"/>
      <c r="K250" s="1049"/>
      <c r="L250" s="1049"/>
      <c r="M250" s="1049"/>
      <c r="N250" s="1087"/>
      <c r="O250" s="1087"/>
    </row>
    <row r="251" spans="1:15" ht="14.1">
      <c r="A251" s="1046"/>
      <c r="B251" s="1174" t="s">
        <v>2524</v>
      </c>
      <c r="C251" s="1048">
        <v>1</v>
      </c>
      <c r="D251" s="1048" t="s">
        <v>1472</v>
      </c>
      <c r="E251" s="1048">
        <v>2</v>
      </c>
      <c r="F251" s="1049">
        <f>(30)*0.3048</f>
        <v>9.1440000000000001</v>
      </c>
      <c r="G251" s="1049"/>
      <c r="H251" s="1049">
        <v>3.6</v>
      </c>
      <c r="I251" s="1049">
        <f>ROUND(C251*E251*F251*H251,2)</f>
        <v>65.84</v>
      </c>
      <c r="J251" s="1049"/>
      <c r="K251" s="1049"/>
      <c r="L251" s="1049"/>
      <c r="M251" s="1049"/>
      <c r="N251" s="1087"/>
      <c r="O251" s="1087"/>
    </row>
    <row r="252" spans="1:15" ht="14.1">
      <c r="A252" s="1046"/>
      <c r="B252" s="1174" t="s">
        <v>2525</v>
      </c>
      <c r="C252" s="1048">
        <v>1</v>
      </c>
      <c r="D252" s="1048" t="s">
        <v>1472</v>
      </c>
      <c r="E252" s="1048">
        <v>4</v>
      </c>
      <c r="F252" s="1049">
        <f>(12)*0.3048</f>
        <v>3.6576000000000004</v>
      </c>
      <c r="G252" s="1049"/>
      <c r="H252" s="1049">
        <v>3.6</v>
      </c>
      <c r="I252" s="1049">
        <f>ROUND(C252*E252*F252*H252,2)</f>
        <v>52.67</v>
      </c>
      <c r="J252" s="1049"/>
      <c r="K252" s="1049"/>
      <c r="L252" s="1049"/>
      <c r="M252" s="1049"/>
      <c r="N252" s="1087"/>
      <c r="O252" s="1087"/>
    </row>
    <row r="253" spans="1:15" ht="14.1">
      <c r="A253" s="1046"/>
      <c r="B253" s="1174" t="s">
        <v>2526</v>
      </c>
      <c r="C253" s="1048">
        <v>1</v>
      </c>
      <c r="D253" s="1048" t="s">
        <v>1472</v>
      </c>
      <c r="E253" s="1048">
        <v>1</v>
      </c>
      <c r="F253" s="1049">
        <f>(12*2+17.5*2)*0.3048</f>
        <v>17.9832</v>
      </c>
      <c r="G253" s="1049"/>
      <c r="H253" s="1049">
        <v>3.6</v>
      </c>
      <c r="I253" s="1049">
        <f>ROUND(C253*E253*F253*H253,2)</f>
        <v>64.739999999999995</v>
      </c>
      <c r="J253" s="1049"/>
      <c r="K253" s="1049"/>
      <c r="L253" s="1049"/>
      <c r="M253" s="1049"/>
      <c r="N253" s="1087"/>
      <c r="O253" s="1087"/>
    </row>
    <row r="254" spans="1:15" ht="14.1">
      <c r="A254" s="1046"/>
      <c r="B254" s="1226" t="s">
        <v>2528</v>
      </c>
      <c r="C254" s="1048">
        <v>1</v>
      </c>
      <c r="D254" s="1048" t="s">
        <v>1472</v>
      </c>
      <c r="E254" s="1048">
        <v>2</v>
      </c>
      <c r="F254" s="1049">
        <f>(30)*0.3048</f>
        <v>9.1440000000000001</v>
      </c>
      <c r="G254" s="1049"/>
      <c r="H254" s="1169" t="s">
        <v>2522</v>
      </c>
      <c r="I254" s="1049">
        <f>ROUND(C254*E254*F254*0.5,2)</f>
        <v>9.14</v>
      </c>
      <c r="J254" s="1049"/>
      <c r="K254" s="1049"/>
      <c r="L254" s="1049"/>
      <c r="M254" s="1049"/>
      <c r="N254" s="1087"/>
      <c r="O254" s="1087"/>
    </row>
    <row r="255" spans="1:15" ht="14.1">
      <c r="A255" s="1046"/>
      <c r="B255" s="1190" t="s">
        <v>675</v>
      </c>
      <c r="C255" s="1048"/>
      <c r="D255" s="1048"/>
      <c r="E255" s="1048"/>
      <c r="F255" s="1049"/>
      <c r="G255" s="1049"/>
      <c r="H255" s="1049"/>
      <c r="I255" s="1049"/>
      <c r="J255" s="1049"/>
      <c r="K255" s="1049"/>
      <c r="L255" s="1049"/>
      <c r="M255" s="1049"/>
      <c r="N255" s="1087"/>
      <c r="O255" s="1087"/>
    </row>
    <row r="256" spans="1:15">
      <c r="A256" s="1076"/>
      <c r="B256" s="1178" t="s">
        <v>2223</v>
      </c>
      <c r="C256" s="1048">
        <v>1</v>
      </c>
      <c r="D256" s="1048" t="s">
        <v>1472</v>
      </c>
      <c r="E256" s="1048">
        <v>1</v>
      </c>
      <c r="F256" s="1049">
        <v>1.8</v>
      </c>
      <c r="G256" s="1084">
        <v>1</v>
      </c>
      <c r="H256" s="1049">
        <v>2.4</v>
      </c>
      <c r="I256" s="1049">
        <f t="shared" ref="I256:I261" si="12">-ROUND(C256*E256*F256*G256*H256,2)</f>
        <v>-4.32</v>
      </c>
      <c r="J256" s="1049"/>
      <c r="K256" s="1049"/>
      <c r="L256" s="1049"/>
      <c r="M256" s="1049"/>
      <c r="N256" s="1087"/>
      <c r="O256" s="1087"/>
    </row>
    <row r="257" spans="1:15">
      <c r="A257" s="1076"/>
      <c r="B257" s="1178" t="s">
        <v>980</v>
      </c>
      <c r="C257" s="1048">
        <v>1</v>
      </c>
      <c r="D257" s="1048" t="s">
        <v>1472</v>
      </c>
      <c r="E257" s="1048">
        <v>2</v>
      </c>
      <c r="F257" s="1049">
        <v>1.5</v>
      </c>
      <c r="G257" s="1084">
        <v>1</v>
      </c>
      <c r="H257" s="1049">
        <v>2.4</v>
      </c>
      <c r="I257" s="1049">
        <f t="shared" si="12"/>
        <v>-7.2</v>
      </c>
      <c r="J257" s="1049"/>
      <c r="K257" s="1049"/>
      <c r="L257" s="1049"/>
      <c r="M257" s="1049"/>
      <c r="N257" s="1087"/>
      <c r="O257" s="1087"/>
    </row>
    <row r="258" spans="1:15">
      <c r="A258" s="1076"/>
      <c r="B258" s="1178" t="s">
        <v>981</v>
      </c>
      <c r="C258" s="1048">
        <v>1</v>
      </c>
      <c r="D258" s="1048" t="s">
        <v>1472</v>
      </c>
      <c r="E258" s="1048">
        <v>2</v>
      </c>
      <c r="F258" s="1049">
        <v>0.9</v>
      </c>
      <c r="G258" s="1084">
        <v>1</v>
      </c>
      <c r="H258" s="1049">
        <v>2.1</v>
      </c>
      <c r="I258" s="1049">
        <f t="shared" si="12"/>
        <v>-3.78</v>
      </c>
      <c r="J258" s="1049"/>
      <c r="K258" s="1049"/>
      <c r="L258" s="1049"/>
      <c r="M258" s="1049"/>
      <c r="N258" s="1087"/>
      <c r="O258" s="1087"/>
    </row>
    <row r="259" spans="1:15">
      <c r="A259" s="1076"/>
      <c r="B259" s="1178" t="s">
        <v>2466</v>
      </c>
      <c r="C259" s="1048">
        <v>1</v>
      </c>
      <c r="D259" s="1048" t="s">
        <v>1472</v>
      </c>
      <c r="E259" s="1048">
        <v>4</v>
      </c>
      <c r="F259" s="1049">
        <v>1.5</v>
      </c>
      <c r="G259" s="1084">
        <v>1</v>
      </c>
      <c r="H259" s="1049">
        <v>1.2</v>
      </c>
      <c r="I259" s="1049">
        <f t="shared" si="12"/>
        <v>-7.2</v>
      </c>
      <c r="J259" s="1049"/>
      <c r="K259" s="1049"/>
      <c r="L259" s="1049"/>
      <c r="M259" s="1049"/>
      <c r="N259" s="1087"/>
      <c r="O259" s="1087"/>
    </row>
    <row r="260" spans="1:15" ht="14.1">
      <c r="A260" s="1046"/>
      <c r="B260" s="1178" t="s">
        <v>2215</v>
      </c>
      <c r="C260" s="1048">
        <v>1</v>
      </c>
      <c r="D260" s="1048" t="s">
        <v>1472</v>
      </c>
      <c r="E260" s="1048">
        <v>6</v>
      </c>
      <c r="F260" s="1049">
        <f>11*0.3048</f>
        <v>3.3528000000000002</v>
      </c>
      <c r="G260" s="1084">
        <v>1</v>
      </c>
      <c r="H260" s="1049">
        <v>0.9</v>
      </c>
      <c r="I260" s="1049">
        <f t="shared" si="12"/>
        <v>-18.11</v>
      </c>
      <c r="J260" s="1049"/>
      <c r="K260" s="1049"/>
      <c r="L260" s="1049"/>
      <c r="M260" s="1049"/>
      <c r="N260" s="1087"/>
      <c r="O260" s="1087"/>
    </row>
    <row r="261" spans="1:15" ht="14.1">
      <c r="A261" s="1046"/>
      <c r="B261" s="1178" t="s">
        <v>2216</v>
      </c>
      <c r="C261" s="1048">
        <v>1</v>
      </c>
      <c r="D261" s="1048" t="s">
        <v>1472</v>
      </c>
      <c r="E261" s="1048">
        <v>2</v>
      </c>
      <c r="F261" s="1049">
        <v>2.4</v>
      </c>
      <c r="G261" s="1084">
        <v>1</v>
      </c>
      <c r="H261" s="1049">
        <v>2</v>
      </c>
      <c r="I261" s="1049">
        <f t="shared" si="12"/>
        <v>-9.6</v>
      </c>
      <c r="J261" s="1049"/>
      <c r="K261" s="1049"/>
      <c r="L261" s="1049"/>
      <c r="M261" s="1049"/>
      <c r="N261" s="1087"/>
      <c r="O261" s="1087"/>
    </row>
    <row r="262" spans="1:15" ht="14.1">
      <c r="A262" s="1046"/>
      <c r="B262" s="1190" t="s">
        <v>2135</v>
      </c>
      <c r="C262" s="1082"/>
      <c r="D262" s="1082"/>
      <c r="E262" s="1082"/>
      <c r="F262" s="1083"/>
      <c r="G262" s="1083"/>
      <c r="H262" s="1083"/>
      <c r="I262" s="1083"/>
      <c r="J262" s="1049"/>
      <c r="K262" s="1049"/>
      <c r="L262" s="1049"/>
      <c r="M262" s="1049"/>
      <c r="N262" s="1087"/>
      <c r="O262" s="1087"/>
    </row>
    <row r="263" spans="1:15" ht="14.1">
      <c r="A263" s="1046"/>
      <c r="B263" s="1174" t="s">
        <v>2115</v>
      </c>
      <c r="C263" s="1048">
        <v>1</v>
      </c>
      <c r="D263" s="1048" t="s">
        <v>1472</v>
      </c>
      <c r="E263" s="1048">
        <v>2</v>
      </c>
      <c r="F263" s="1049">
        <f>61.75*0.3048</f>
        <v>18.821400000000001</v>
      </c>
      <c r="G263" s="1084">
        <v>1</v>
      </c>
      <c r="H263" s="1049">
        <v>3.6</v>
      </c>
      <c r="I263" s="1049">
        <f>ROUND(C263*E263*F263*G263*H263,2)</f>
        <v>135.51</v>
      </c>
      <c r="J263" s="1049"/>
      <c r="K263" s="1049"/>
      <c r="L263" s="1049"/>
      <c r="M263" s="1049"/>
      <c r="N263" s="1087"/>
      <c r="O263" s="1087"/>
    </row>
    <row r="264" spans="1:15" ht="14.1">
      <c r="A264" s="1046"/>
      <c r="B264" s="1174" t="s">
        <v>2033</v>
      </c>
      <c r="C264" s="1048">
        <v>1</v>
      </c>
      <c r="D264" s="1048" t="s">
        <v>1472</v>
      </c>
      <c r="E264" s="1048">
        <v>2</v>
      </c>
      <c r="F264" s="1049">
        <f>31.5*0.3048</f>
        <v>9.6012000000000004</v>
      </c>
      <c r="G264" s="1084">
        <v>1</v>
      </c>
      <c r="H264" s="1164" t="s">
        <v>2287</v>
      </c>
      <c r="I264" s="1049">
        <f>ROUND(C264*E264*F264*AVERAGE(4.26,6,4.26),2)</f>
        <v>92.94</v>
      </c>
      <c r="J264" s="1049"/>
      <c r="K264" s="1049"/>
      <c r="L264" s="1049"/>
      <c r="M264" s="1049"/>
      <c r="N264" s="1087"/>
      <c r="O264" s="1087"/>
    </row>
    <row r="265" spans="1:15" ht="14.1">
      <c r="A265" s="1046"/>
      <c r="B265" s="1178"/>
      <c r="C265" s="1048"/>
      <c r="D265" s="1048"/>
      <c r="E265" s="1048"/>
      <c r="F265" s="1049"/>
      <c r="G265" s="1084"/>
      <c r="H265" s="1049"/>
      <c r="I265" s="1049">
        <f>SUM(I250:I264)</f>
        <v>472.68</v>
      </c>
      <c r="J265" s="1049">
        <f>Datas!G1337</f>
        <v>1621.6200000000001</v>
      </c>
      <c r="K265" s="1053">
        <f>ROUND(J265*I265/10,0)</f>
        <v>76651</v>
      </c>
      <c r="L265" s="1049"/>
      <c r="M265" s="1049"/>
      <c r="N265" s="1087"/>
      <c r="O265" s="1087"/>
    </row>
    <row r="266" spans="1:15" ht="14.1">
      <c r="A266" s="1046"/>
      <c r="B266" s="1178"/>
      <c r="C266" s="1048"/>
      <c r="D266" s="1048"/>
      <c r="E266" s="1048"/>
      <c r="F266" s="1049"/>
      <c r="G266" s="1084"/>
      <c r="H266" s="1049"/>
      <c r="I266" s="1049" t="s">
        <v>1478</v>
      </c>
      <c r="J266" s="1049" t="s">
        <v>2420</v>
      </c>
      <c r="K266" s="1049"/>
      <c r="L266" s="1049"/>
      <c r="M266" s="1049"/>
      <c r="N266" s="1087"/>
      <c r="O266" s="1087"/>
    </row>
    <row r="267" spans="1:15" ht="158.25" customHeight="1">
      <c r="A267" s="1046">
        <v>14</v>
      </c>
      <c r="B267" s="2415" t="s">
        <v>2451</v>
      </c>
      <c r="C267" s="2416"/>
      <c r="D267" s="2416"/>
      <c r="E267" s="2416"/>
      <c r="F267" s="2416"/>
      <c r="G267" s="2416"/>
      <c r="H267" s="2416"/>
      <c r="I267" s="2417"/>
      <c r="J267" s="1049"/>
      <c r="K267" s="1049"/>
      <c r="L267" s="1049"/>
      <c r="M267" s="1049"/>
      <c r="N267" s="1087"/>
      <c r="O267" s="1087"/>
    </row>
    <row r="268" spans="1:15">
      <c r="A268" s="1048"/>
      <c r="B268" s="1190" t="s">
        <v>2124</v>
      </c>
      <c r="C268" s="1048"/>
      <c r="D268" s="1048"/>
      <c r="E268" s="1048"/>
      <c r="F268" s="1049"/>
      <c r="G268" s="1049"/>
      <c r="H268" s="1049"/>
      <c r="I268" s="1049"/>
      <c r="J268" s="1049"/>
      <c r="K268" s="1049"/>
      <c r="L268" s="1049"/>
      <c r="M268" s="1049"/>
      <c r="N268" s="1087"/>
      <c r="O268" s="1087"/>
    </row>
    <row r="269" spans="1:15" ht="14.1">
      <c r="A269" s="1046"/>
      <c r="B269" s="1174" t="s">
        <v>2093</v>
      </c>
      <c r="C269" s="1048">
        <v>1</v>
      </c>
      <c r="D269" s="1048" t="s">
        <v>1472</v>
      </c>
      <c r="E269" s="1048">
        <v>2</v>
      </c>
      <c r="F269" s="1049">
        <f>10.5*0.3048</f>
        <v>3.2004000000000001</v>
      </c>
      <c r="G269" s="1084">
        <v>1</v>
      </c>
      <c r="H269" s="1049">
        <v>2.4</v>
      </c>
      <c r="I269" s="1049">
        <f>ROUND(C269*E269*F269*G269*H269,2)</f>
        <v>15.36</v>
      </c>
      <c r="J269" s="1049"/>
      <c r="K269" s="1049"/>
      <c r="L269" s="1049"/>
      <c r="M269" s="1049"/>
      <c r="N269" s="1087"/>
      <c r="O269" s="1087"/>
    </row>
    <row r="270" spans="1:15" ht="14.1">
      <c r="A270" s="1046"/>
      <c r="B270" s="1174" t="s">
        <v>2094</v>
      </c>
      <c r="C270" s="1048">
        <v>1</v>
      </c>
      <c r="D270" s="1048" t="s">
        <v>1472</v>
      </c>
      <c r="E270" s="1048">
        <v>2</v>
      </c>
      <c r="F270" s="1049">
        <f>10*0.3048</f>
        <v>3.048</v>
      </c>
      <c r="G270" s="1084">
        <v>1</v>
      </c>
      <c r="H270" s="1049">
        <v>2.4</v>
      </c>
      <c r="I270" s="1049">
        <f>ROUND(C270*E270*F270*G270*H270,2)</f>
        <v>14.63</v>
      </c>
      <c r="J270" s="1049"/>
      <c r="K270" s="1049"/>
      <c r="L270" s="1049"/>
      <c r="M270" s="1049"/>
      <c r="N270" s="1087"/>
      <c r="O270" s="1087"/>
    </row>
    <row r="271" spans="1:15">
      <c r="A271" s="1048"/>
      <c r="B271" s="1178" t="s">
        <v>2125</v>
      </c>
      <c r="C271" s="1048">
        <v>1</v>
      </c>
      <c r="D271" s="1048" t="s">
        <v>1472</v>
      </c>
      <c r="E271" s="1048">
        <v>2</v>
      </c>
      <c r="F271" s="1049">
        <f>10.5*0.3048</f>
        <v>3.2004000000000001</v>
      </c>
      <c r="G271" s="1084">
        <v>1</v>
      </c>
      <c r="H271" s="1049">
        <v>2.1</v>
      </c>
      <c r="I271" s="1049">
        <f>ROUND(C271*E271*F271*G271*H271,2)</f>
        <v>13.44</v>
      </c>
      <c r="J271" s="1049"/>
      <c r="K271" s="1049"/>
      <c r="L271" s="1049"/>
      <c r="M271" s="1049"/>
      <c r="N271" s="1087"/>
      <c r="O271" s="1087"/>
    </row>
    <row r="272" spans="1:15">
      <c r="A272" s="1048"/>
      <c r="B272" s="1178" t="s">
        <v>2125</v>
      </c>
      <c r="C272" s="1048">
        <v>1</v>
      </c>
      <c r="D272" s="1048" t="s">
        <v>1472</v>
      </c>
      <c r="E272" s="1048">
        <v>2</v>
      </c>
      <c r="F272" s="1049">
        <v>3.42</v>
      </c>
      <c r="G272" s="1084">
        <v>1</v>
      </c>
      <c r="H272" s="1049">
        <v>2.1</v>
      </c>
      <c r="I272" s="1049">
        <f>ROUND(C272*E272*F272*G272*H272,2)</f>
        <v>14.36</v>
      </c>
      <c r="J272" s="1049"/>
      <c r="K272" s="1049"/>
      <c r="L272" s="1049"/>
      <c r="M272" s="1049"/>
      <c r="N272" s="1087"/>
      <c r="O272" s="1087"/>
    </row>
    <row r="273" spans="1:15">
      <c r="A273" s="1048"/>
      <c r="B273" s="1190" t="s">
        <v>675</v>
      </c>
      <c r="C273" s="1048"/>
      <c r="D273" s="1048"/>
      <c r="E273" s="1048"/>
      <c r="F273" s="1049"/>
      <c r="G273" s="1049"/>
      <c r="H273" s="1049"/>
      <c r="I273" s="1049"/>
      <c r="J273" s="1049"/>
      <c r="K273" s="1049"/>
      <c r="L273" s="1049"/>
      <c r="M273" s="1049"/>
      <c r="N273" s="1087"/>
      <c r="O273" s="1087"/>
    </row>
    <row r="274" spans="1:15">
      <c r="A274" s="1048"/>
      <c r="B274" s="1178" t="s">
        <v>2126</v>
      </c>
      <c r="C274" s="1048">
        <v>1</v>
      </c>
      <c r="D274" s="1048" t="s">
        <v>1472</v>
      </c>
      <c r="E274" s="1048">
        <v>2</v>
      </c>
      <c r="F274" s="1049">
        <v>0.9</v>
      </c>
      <c r="G274" s="1084">
        <v>1</v>
      </c>
      <c r="H274" s="1049">
        <v>2.1</v>
      </c>
      <c r="I274" s="1049">
        <f>-ROUND(C274*E274*F274*G274*H274,2)</f>
        <v>-3.78</v>
      </c>
      <c r="J274" s="1049"/>
      <c r="K274" s="1049"/>
      <c r="L274" s="1049"/>
      <c r="M274" s="1049"/>
      <c r="N274" s="1087"/>
      <c r="O274" s="1087"/>
    </row>
    <row r="275" spans="1:15">
      <c r="A275" s="1048"/>
      <c r="B275" s="1178" t="s">
        <v>101</v>
      </c>
      <c r="C275" s="1048">
        <v>1</v>
      </c>
      <c r="D275" s="1048" t="s">
        <v>1472</v>
      </c>
      <c r="E275" s="1048">
        <v>2</v>
      </c>
      <c r="F275" s="1049">
        <v>0.75</v>
      </c>
      <c r="G275" s="1084">
        <v>1</v>
      </c>
      <c r="H275" s="1049">
        <v>2.1</v>
      </c>
      <c r="I275" s="1049">
        <f>-ROUND(C275*E275*F275*G275*H275,2)</f>
        <v>-3.15</v>
      </c>
      <c r="J275" s="1049"/>
      <c r="K275" s="1049"/>
      <c r="L275" s="1049"/>
      <c r="M275" s="1049"/>
      <c r="N275" s="1087"/>
      <c r="O275" s="1087"/>
    </row>
    <row r="276" spans="1:15">
      <c r="A276" s="1048"/>
      <c r="B276" s="1178" t="s">
        <v>2527</v>
      </c>
      <c r="C276" s="1048">
        <v>1</v>
      </c>
      <c r="D276" s="1048" t="s">
        <v>1472</v>
      </c>
      <c r="E276" s="1048">
        <v>2</v>
      </c>
      <c r="F276" s="1049">
        <v>0.75</v>
      </c>
      <c r="G276" s="1084">
        <v>1</v>
      </c>
      <c r="H276" s="1049">
        <v>0.3</v>
      </c>
      <c r="I276" s="1049">
        <f>-ROUND(C276*E276*F276*G276*H276,2)</f>
        <v>-0.45</v>
      </c>
      <c r="J276" s="1049"/>
      <c r="K276" s="1049"/>
      <c r="L276" s="1049"/>
      <c r="M276" s="1049"/>
      <c r="N276" s="1087"/>
      <c r="O276" s="1087"/>
    </row>
    <row r="277" spans="1:15" ht="14.1">
      <c r="A277" s="1046"/>
      <c r="B277" s="1179"/>
      <c r="C277" s="1048"/>
      <c r="D277" s="1048"/>
      <c r="E277" s="1048"/>
      <c r="F277" s="1049"/>
      <c r="G277" s="1049"/>
      <c r="H277" s="1049"/>
      <c r="I277" s="1049">
        <f>SUM(I269:I276)</f>
        <v>50.41</v>
      </c>
      <c r="J277" s="1049"/>
      <c r="K277" s="1049"/>
      <c r="L277" s="1049"/>
      <c r="M277" s="1049"/>
      <c r="N277" s="1087"/>
      <c r="O277" s="1087"/>
    </row>
    <row r="278" spans="1:15" ht="14.1">
      <c r="A278" s="1046"/>
      <c r="B278" s="1065"/>
      <c r="C278" s="1048"/>
      <c r="D278" s="1048"/>
      <c r="E278" s="1048"/>
      <c r="F278" s="1049"/>
      <c r="G278" s="1049" t="s">
        <v>667</v>
      </c>
      <c r="H278" s="1049"/>
      <c r="I278" s="1052">
        <f>I277</f>
        <v>50.41</v>
      </c>
      <c r="J278" s="1049">
        <f>Datas!$E$679</f>
        <v>4266.8500000000004</v>
      </c>
      <c r="K278" s="1053">
        <f>ROUND(J278*I278/10,0)</f>
        <v>21509</v>
      </c>
      <c r="L278" s="1049"/>
      <c r="M278" s="1055"/>
      <c r="N278" s="1087">
        <f>(0.15*9)</f>
        <v>1.3499999999999999</v>
      </c>
      <c r="O278" s="1087">
        <f>ROUND(I278*N278,0)</f>
        <v>68</v>
      </c>
    </row>
    <row r="279" spans="1:15" ht="14.1">
      <c r="A279" s="1046"/>
      <c r="B279" s="1061"/>
      <c r="C279" s="1085"/>
      <c r="D279" s="1085"/>
      <c r="E279" s="1048"/>
      <c r="F279" s="1049"/>
      <c r="G279" s="1049"/>
      <c r="H279" s="1049"/>
      <c r="I279" s="1053" t="s">
        <v>1478</v>
      </c>
      <c r="J279" s="1053" t="s">
        <v>37</v>
      </c>
      <c r="K279" s="1053"/>
      <c r="L279" s="1049"/>
      <c r="M279" s="1049"/>
      <c r="N279" s="1087"/>
      <c r="O279" s="1087"/>
    </row>
    <row r="280" spans="1:15" ht="156" customHeight="1">
      <c r="A280" s="1046">
        <v>15</v>
      </c>
      <c r="B280" s="2415" t="s">
        <v>2452</v>
      </c>
      <c r="C280" s="2416"/>
      <c r="D280" s="2416"/>
      <c r="E280" s="2416"/>
      <c r="F280" s="2416"/>
      <c r="G280" s="2416"/>
      <c r="H280" s="2416"/>
      <c r="I280" s="2417"/>
      <c r="J280" s="1049"/>
      <c r="K280" s="1049"/>
      <c r="L280" s="1049"/>
      <c r="M280" s="1049"/>
      <c r="N280" s="1087"/>
      <c r="O280" s="1087"/>
    </row>
    <row r="281" spans="1:15" ht="14.1">
      <c r="A281" s="1046"/>
      <c r="B281" s="1190" t="s">
        <v>2136</v>
      </c>
      <c r="C281" s="1048"/>
      <c r="D281" s="1048"/>
      <c r="E281" s="1048"/>
      <c r="F281" s="1049"/>
      <c r="G281" s="1084"/>
      <c r="H281" s="1049"/>
      <c r="I281" s="1068"/>
      <c r="J281" s="1049"/>
      <c r="K281" s="1049"/>
      <c r="L281" s="1049"/>
      <c r="M281" s="1068"/>
      <c r="N281" s="1087"/>
      <c r="O281" s="1087"/>
    </row>
    <row r="282" spans="1:15" ht="14.1">
      <c r="A282" s="1046"/>
      <c r="B282" s="1174" t="s">
        <v>2093</v>
      </c>
      <c r="C282" s="1048">
        <v>1</v>
      </c>
      <c r="D282" s="1048" t="s">
        <v>1472</v>
      </c>
      <c r="E282" s="1048">
        <v>2</v>
      </c>
      <c r="F282" s="1049">
        <f>12*0.3048</f>
        <v>3.6576000000000004</v>
      </c>
      <c r="G282" s="1084">
        <v>1</v>
      </c>
      <c r="H282" s="1049">
        <v>2.4</v>
      </c>
      <c r="I282" s="1049">
        <f>ROUND(C282*E282*F282*G282*H282,2)</f>
        <v>17.559999999999999</v>
      </c>
      <c r="J282" s="1049"/>
      <c r="K282" s="1049"/>
      <c r="L282" s="1049"/>
      <c r="M282" s="1049"/>
      <c r="N282" s="1087"/>
      <c r="O282" s="1087"/>
    </row>
    <row r="283" spans="1:15" ht="14.1">
      <c r="A283" s="1046"/>
      <c r="B283" s="1174" t="s">
        <v>2094</v>
      </c>
      <c r="C283" s="1048">
        <v>1</v>
      </c>
      <c r="D283" s="1048" t="s">
        <v>1472</v>
      </c>
      <c r="E283" s="1048">
        <v>2</v>
      </c>
      <c r="F283" s="1049">
        <f>11.5*0.3048</f>
        <v>3.5052000000000003</v>
      </c>
      <c r="G283" s="1084">
        <v>1</v>
      </c>
      <c r="H283" s="1049">
        <v>2.4</v>
      </c>
      <c r="I283" s="1049">
        <f>ROUND(C283*E283*F283*G283*H283,2)</f>
        <v>16.82</v>
      </c>
      <c r="J283" s="1049"/>
      <c r="K283" s="1049"/>
      <c r="L283" s="1049"/>
      <c r="M283" s="1049"/>
      <c r="N283" s="1087"/>
      <c r="O283" s="1087"/>
    </row>
    <row r="284" spans="1:15" ht="14.1">
      <c r="A284" s="1046"/>
      <c r="B284" s="1226" t="s">
        <v>2528</v>
      </c>
      <c r="C284" s="1048">
        <v>1</v>
      </c>
      <c r="D284" s="1048" t="s">
        <v>1472</v>
      </c>
      <c r="E284" s="1048">
        <v>2</v>
      </c>
      <c r="F284" s="1049">
        <f>(30)*0.3048</f>
        <v>9.1440000000000001</v>
      </c>
      <c r="G284" s="1049"/>
      <c r="H284" s="1169" t="s">
        <v>2522</v>
      </c>
      <c r="I284" s="1049">
        <f>ROUND(C284*E284*F284*0.5,2)</f>
        <v>9.14</v>
      </c>
      <c r="J284" s="1049"/>
      <c r="K284" s="1049"/>
      <c r="L284" s="1049"/>
      <c r="M284" s="1049"/>
      <c r="N284" s="1087"/>
      <c r="O284" s="1087"/>
    </row>
    <row r="285" spans="1:15" ht="14.1">
      <c r="A285" s="1046"/>
      <c r="B285" s="1061"/>
      <c r="C285" s="1048"/>
      <c r="D285" s="1048"/>
      <c r="E285" s="1048"/>
      <c r="F285" s="1049"/>
      <c r="G285" s="1049"/>
      <c r="H285" s="1049" t="s">
        <v>982</v>
      </c>
      <c r="I285" s="1052">
        <f>SUM(I281:I284)</f>
        <v>43.519999999999996</v>
      </c>
      <c r="J285" s="1049">
        <f>Datas!E706</f>
        <v>439.762</v>
      </c>
      <c r="K285" s="1053">
        <f>ROUND(J285*I285/10,0)</f>
        <v>1914</v>
      </c>
      <c r="L285" s="1049">
        <f>0.12*9+1.1*8</f>
        <v>9.8800000000000008</v>
      </c>
      <c r="M285" s="1055">
        <f>L285*I285</f>
        <v>429.9776</v>
      </c>
      <c r="N285" s="1087">
        <f>(0.22*9)</f>
        <v>1.98</v>
      </c>
      <c r="O285" s="1087">
        <f>ROUND(I285*N285,0)</f>
        <v>86</v>
      </c>
    </row>
    <row r="286" spans="1:15" ht="14.1">
      <c r="A286" s="1046"/>
      <c r="B286" s="1061"/>
      <c r="C286" s="1048"/>
      <c r="D286" s="1048"/>
      <c r="E286" s="1048"/>
      <c r="F286" s="1049"/>
      <c r="G286" s="1049"/>
      <c r="H286" s="1049"/>
      <c r="I286" s="1053" t="s">
        <v>1478</v>
      </c>
      <c r="J286" s="1053" t="s">
        <v>37</v>
      </c>
      <c r="K286" s="1053"/>
      <c r="L286" s="1049"/>
      <c r="M286" s="1049"/>
      <c r="N286" s="1087"/>
      <c r="O286" s="1087"/>
    </row>
    <row r="287" spans="1:15" ht="145.5" customHeight="1">
      <c r="A287" s="1046">
        <v>16</v>
      </c>
      <c r="B287" s="2415" t="s">
        <v>2453</v>
      </c>
      <c r="C287" s="2416"/>
      <c r="D287" s="2416"/>
      <c r="E287" s="2416"/>
      <c r="F287" s="2416"/>
      <c r="G287" s="2416"/>
      <c r="H287" s="2416"/>
      <c r="I287" s="2417"/>
      <c r="J287" s="1049"/>
      <c r="K287" s="1049"/>
      <c r="L287" s="1049"/>
      <c r="M287" s="1049"/>
      <c r="N287" s="1087"/>
      <c r="O287" s="1087"/>
    </row>
    <row r="288" spans="1:15" ht="14.1">
      <c r="A288" s="1046"/>
      <c r="B288" s="1174" t="s">
        <v>2319</v>
      </c>
      <c r="C288" s="1048">
        <v>1</v>
      </c>
      <c r="D288" s="1048" t="s">
        <v>1472</v>
      </c>
      <c r="E288" s="1048">
        <v>1</v>
      </c>
      <c r="F288" s="1049">
        <f>10*0.3048</f>
        <v>3.048</v>
      </c>
      <c r="G288" s="1084">
        <v>1</v>
      </c>
      <c r="H288" s="1049">
        <f>9*0.3048</f>
        <v>2.7432000000000003</v>
      </c>
      <c r="I288" s="1049">
        <f>ROUND(C288*E288*F288*G288*H288,2)</f>
        <v>8.36</v>
      </c>
      <c r="J288" s="1049"/>
      <c r="K288" s="1049"/>
      <c r="L288" s="1049"/>
      <c r="M288" s="1049"/>
      <c r="N288" s="1087"/>
      <c r="O288" s="1087"/>
    </row>
    <row r="289" spans="1:15" ht="14.1">
      <c r="A289" s="1046"/>
      <c r="B289" s="1178" t="s">
        <v>2321</v>
      </c>
      <c r="C289" s="1048">
        <v>1</v>
      </c>
      <c r="D289" s="1048" t="s">
        <v>1472</v>
      </c>
      <c r="E289" s="1048">
        <v>2</v>
      </c>
      <c r="F289" s="1049">
        <f>(60.75-3)*0.3048</f>
        <v>17.6022</v>
      </c>
      <c r="G289" s="1049"/>
      <c r="H289" s="1049"/>
      <c r="I289" s="1049">
        <f>ROUND(C289*E289*F289,2)</f>
        <v>35.200000000000003</v>
      </c>
      <c r="J289" s="1049"/>
      <c r="K289" s="1049"/>
      <c r="L289" s="1049"/>
      <c r="M289" s="1068"/>
      <c r="N289" s="1087"/>
      <c r="O289" s="1087"/>
    </row>
    <row r="290" spans="1:15" ht="14.1">
      <c r="A290" s="1046"/>
      <c r="B290" s="1178" t="s">
        <v>2321</v>
      </c>
      <c r="C290" s="1048">
        <v>1</v>
      </c>
      <c r="D290" s="1048" t="s">
        <v>1472</v>
      </c>
      <c r="E290" s="1048">
        <v>1</v>
      </c>
      <c r="F290" s="1049">
        <f>22*0.3048</f>
        <v>6.7056000000000004</v>
      </c>
      <c r="G290" s="1049"/>
      <c r="H290" s="1049"/>
      <c r="I290" s="1049">
        <f>ROUND(C290*E290*F290,2)</f>
        <v>6.71</v>
      </c>
      <c r="J290" s="1049"/>
      <c r="K290" s="1049"/>
      <c r="L290" s="1049"/>
      <c r="M290" s="1068"/>
      <c r="N290" s="1087"/>
      <c r="O290" s="1087"/>
    </row>
    <row r="291" spans="1:15" ht="14.1">
      <c r="A291" s="1046"/>
      <c r="B291" s="1178" t="s">
        <v>2465</v>
      </c>
      <c r="C291" s="1048">
        <v>1</v>
      </c>
      <c r="D291" s="1048" t="s">
        <v>1472</v>
      </c>
      <c r="E291" s="1048">
        <v>2</v>
      </c>
      <c r="F291" s="1049">
        <v>1.8</v>
      </c>
      <c r="G291" s="1049"/>
      <c r="H291" s="1049"/>
      <c r="I291" s="1049">
        <f>ROUND(C291*E291*F291,2)</f>
        <v>3.6</v>
      </c>
      <c r="J291" s="1049"/>
      <c r="K291" s="1049"/>
      <c r="L291" s="1049"/>
      <c r="M291" s="1068"/>
      <c r="N291" s="1087"/>
      <c r="O291" s="1087"/>
    </row>
    <row r="292" spans="1:15" ht="14.1">
      <c r="A292" s="1046"/>
      <c r="B292" s="1178"/>
      <c r="C292" s="1048"/>
      <c r="D292" s="1048"/>
      <c r="E292" s="1048"/>
      <c r="F292" s="1049"/>
      <c r="G292" s="1049"/>
      <c r="H292" s="1049" t="s">
        <v>982</v>
      </c>
      <c r="I292" s="1052">
        <f>SUM(I288:I291)</f>
        <v>53.870000000000005</v>
      </c>
      <c r="J292" s="1049">
        <f>Datas!E654</f>
        <v>1489.73</v>
      </c>
      <c r="K292" s="1053">
        <f>ROUND(J292*I292/10,0)</f>
        <v>8025</v>
      </c>
      <c r="L292" s="1049">
        <f>0.12*9+1.1*8</f>
        <v>9.8800000000000008</v>
      </c>
      <c r="M292" s="1055">
        <f>L292*I292</f>
        <v>532.23560000000009</v>
      </c>
      <c r="N292" s="1087">
        <f>(0.15*9)</f>
        <v>1.3499999999999999</v>
      </c>
      <c r="O292" s="1087">
        <f>ROUND(I292*N292,0)</f>
        <v>73</v>
      </c>
    </row>
    <row r="293" spans="1:15" ht="14.1">
      <c r="A293" s="1046"/>
      <c r="B293" s="1061"/>
      <c r="C293" s="1048"/>
      <c r="D293" s="1048"/>
      <c r="E293" s="1048"/>
      <c r="F293" s="1049"/>
      <c r="G293" s="1049"/>
      <c r="H293" s="1049"/>
      <c r="I293" s="1053" t="s">
        <v>1478</v>
      </c>
      <c r="J293" s="1053" t="s">
        <v>37</v>
      </c>
      <c r="K293" s="1053"/>
      <c r="L293" s="1049"/>
      <c r="M293" s="1049"/>
      <c r="N293" s="1087"/>
      <c r="O293" s="1087"/>
    </row>
    <row r="294" spans="1:15" ht="128.25" customHeight="1">
      <c r="A294" s="1046">
        <v>17</v>
      </c>
      <c r="B294" s="2415" t="s">
        <v>2454</v>
      </c>
      <c r="C294" s="2416"/>
      <c r="D294" s="2416"/>
      <c r="E294" s="2416"/>
      <c r="F294" s="2416"/>
      <c r="G294" s="2416"/>
      <c r="H294" s="2416"/>
      <c r="I294" s="2417"/>
      <c r="J294" s="1049"/>
      <c r="K294" s="1049"/>
      <c r="L294" s="1049"/>
      <c r="M294" s="1049"/>
      <c r="N294" s="1087"/>
      <c r="O294" s="1087"/>
    </row>
    <row r="295" spans="1:15" ht="14.1">
      <c r="A295" s="1046"/>
      <c r="B295" s="1226" t="s">
        <v>2319</v>
      </c>
      <c r="C295" s="1048">
        <v>1</v>
      </c>
      <c r="D295" s="1048" t="s">
        <v>1472</v>
      </c>
      <c r="E295" s="1048">
        <v>1</v>
      </c>
      <c r="F295" s="1049">
        <f>14*0.3048</f>
        <v>4.2671999999999999</v>
      </c>
      <c r="G295" s="1084">
        <v>1</v>
      </c>
      <c r="H295" s="1049">
        <f>13.5*0.3048</f>
        <v>4.1147999999999998</v>
      </c>
      <c r="I295" s="1049">
        <f>ROUND(C295*E295*F295*G295*H295,2)</f>
        <v>17.559999999999999</v>
      </c>
      <c r="J295" s="1049"/>
      <c r="K295" s="1049"/>
      <c r="L295" s="1049"/>
      <c r="M295" s="1049"/>
      <c r="N295" s="1087"/>
      <c r="O295" s="1087"/>
    </row>
    <row r="296" spans="1:15" ht="14.1">
      <c r="A296" s="1046"/>
      <c r="B296" s="1061"/>
      <c r="C296" s="1048"/>
      <c r="D296" s="1048"/>
      <c r="E296" s="1048"/>
      <c r="F296" s="1049"/>
      <c r="G296" s="1049"/>
      <c r="H296" s="1049" t="s">
        <v>982</v>
      </c>
      <c r="I296" s="1052">
        <f>I295</f>
        <v>17.559999999999999</v>
      </c>
      <c r="J296" s="1049">
        <f>Datas!E867</f>
        <v>489.39799999999997</v>
      </c>
      <c r="K296" s="1053">
        <f>ROUND(J296*I296/10,0)</f>
        <v>859</v>
      </c>
      <c r="L296" s="1049">
        <f>0.12*9+1.1*8</f>
        <v>9.8800000000000008</v>
      </c>
      <c r="M296" s="1055">
        <f>L296*I296</f>
        <v>173.49279999999999</v>
      </c>
      <c r="N296" s="1087">
        <f>(0.21*9)</f>
        <v>1.89</v>
      </c>
      <c r="O296" s="1087">
        <f>ROUND(I296*N296,0)</f>
        <v>33</v>
      </c>
    </row>
    <row r="297" spans="1:15" ht="14.1">
      <c r="A297" s="1046"/>
      <c r="B297" s="1061"/>
      <c r="C297" s="1048"/>
      <c r="D297" s="1048"/>
      <c r="E297" s="1048"/>
      <c r="F297" s="1049"/>
      <c r="G297" s="1049"/>
      <c r="H297" s="1049"/>
      <c r="I297" s="1053" t="s">
        <v>1478</v>
      </c>
      <c r="J297" s="1053" t="s">
        <v>37</v>
      </c>
      <c r="K297" s="1053"/>
      <c r="L297" s="1049"/>
      <c r="M297" s="1049"/>
      <c r="N297" s="1087"/>
      <c r="O297" s="1087"/>
    </row>
    <row r="298" spans="1:15" ht="145.5" customHeight="1">
      <c r="A298" s="1046">
        <v>18</v>
      </c>
      <c r="B298" s="2415" t="s">
        <v>2455</v>
      </c>
      <c r="C298" s="2426"/>
      <c r="D298" s="2426"/>
      <c r="E298" s="2426"/>
      <c r="F298" s="2426"/>
      <c r="G298" s="2426"/>
      <c r="H298" s="2426"/>
      <c r="I298" s="2427"/>
      <c r="J298" s="1049"/>
      <c r="K298" s="1049"/>
      <c r="L298" s="1049"/>
      <c r="M298" s="1049"/>
      <c r="N298" s="1087"/>
      <c r="O298" s="1087"/>
    </row>
    <row r="299" spans="1:15" ht="14.1">
      <c r="A299" s="1046"/>
      <c r="B299" s="1178" t="s">
        <v>2018</v>
      </c>
      <c r="C299" s="1048">
        <v>1</v>
      </c>
      <c r="D299" s="1048" t="s">
        <v>1472</v>
      </c>
      <c r="E299" s="1048">
        <v>1</v>
      </c>
      <c r="F299" s="1049">
        <f>(46.5)*0.3048</f>
        <v>14.173200000000001</v>
      </c>
      <c r="G299" s="1049">
        <f>(31.5-1.5)*0.3048</f>
        <v>9.1440000000000001</v>
      </c>
      <c r="H299" s="1069"/>
      <c r="I299" s="1049">
        <f>ROUND(C299*E299*F299*G299,2)</f>
        <v>129.6</v>
      </c>
      <c r="J299" s="1049"/>
      <c r="K299" s="1049"/>
      <c r="L299" s="1049"/>
      <c r="M299" s="1049"/>
      <c r="N299" s="1087"/>
      <c r="O299" s="1087"/>
    </row>
    <row r="300" spans="1:15" ht="14.1">
      <c r="A300" s="1046"/>
      <c r="B300" s="1178" t="s">
        <v>2137</v>
      </c>
      <c r="C300" s="1048">
        <v>1</v>
      </c>
      <c r="D300" s="1048" t="s">
        <v>1472</v>
      </c>
      <c r="E300" s="1048">
        <v>1</v>
      </c>
      <c r="F300" s="1049">
        <f>(12)*0.3048</f>
        <v>3.6576000000000004</v>
      </c>
      <c r="G300" s="1049">
        <f>(12)*0.3048</f>
        <v>3.6576000000000004</v>
      </c>
      <c r="H300" s="1069"/>
      <c r="I300" s="1049">
        <f>ROUND(C300*E300*F300*G300,2)</f>
        <v>13.38</v>
      </c>
      <c r="J300" s="1049"/>
      <c r="K300" s="1049"/>
      <c r="L300" s="1049"/>
      <c r="M300" s="1049"/>
      <c r="N300" s="1087"/>
      <c r="O300" s="1087"/>
    </row>
    <row r="301" spans="1:15" ht="14.1">
      <c r="A301" s="1046"/>
      <c r="B301" s="1178" t="s">
        <v>2138</v>
      </c>
      <c r="C301" s="1048">
        <v>1</v>
      </c>
      <c r="D301" s="1048" t="s">
        <v>1472</v>
      </c>
      <c r="E301" s="1048">
        <v>1</v>
      </c>
      <c r="F301" s="1049">
        <f>(17.625)*0.3048</f>
        <v>5.3721000000000005</v>
      </c>
      <c r="G301" s="1049">
        <f>(12)*0.3048</f>
        <v>3.6576000000000004</v>
      </c>
      <c r="H301" s="1069"/>
      <c r="I301" s="1049">
        <f>ROUND(C301*E301*F301*G301,2)</f>
        <v>19.649999999999999</v>
      </c>
      <c r="J301" s="1049"/>
      <c r="K301" s="1049"/>
      <c r="L301" s="1049"/>
      <c r="M301" s="1049"/>
      <c r="N301" s="1087"/>
      <c r="O301" s="1087"/>
    </row>
    <row r="302" spans="1:15" ht="14.1">
      <c r="A302" s="1046"/>
      <c r="B302" s="1178" t="s">
        <v>2262</v>
      </c>
      <c r="C302" s="1048">
        <v>1</v>
      </c>
      <c r="D302" s="1048" t="s">
        <v>1472</v>
      </c>
      <c r="E302" s="1048">
        <v>1</v>
      </c>
      <c r="F302" s="1049">
        <f>(31.5-12)*0.3048</f>
        <v>5.9436</v>
      </c>
      <c r="G302" s="1049">
        <f>(7)*0.3048</f>
        <v>2.1335999999999999</v>
      </c>
      <c r="H302" s="1069"/>
      <c r="I302" s="1049">
        <f>ROUND(C302*E302*F302*G302,2)</f>
        <v>12.68</v>
      </c>
      <c r="J302" s="1049"/>
      <c r="K302" s="1049"/>
      <c r="L302" s="1049"/>
      <c r="M302" s="1049"/>
      <c r="N302" s="1087"/>
      <c r="O302" s="1087"/>
    </row>
    <row r="303" spans="1:15" ht="14.1">
      <c r="A303" s="1046"/>
      <c r="B303" s="1178" t="s">
        <v>2414</v>
      </c>
      <c r="C303" s="1048">
        <v>1</v>
      </c>
      <c r="D303" s="1048" t="s">
        <v>1472</v>
      </c>
      <c r="E303" s="1048">
        <v>2</v>
      </c>
      <c r="F303" s="1049">
        <v>1.65</v>
      </c>
      <c r="G303" s="1049">
        <v>1.35</v>
      </c>
      <c r="H303" s="1069"/>
      <c r="I303" s="1049">
        <f>ROUND(C303*E303*F303*G303,2)</f>
        <v>4.46</v>
      </c>
      <c r="J303" s="1049"/>
      <c r="K303" s="1049"/>
      <c r="L303" s="1049"/>
      <c r="M303" s="1049"/>
      <c r="N303" s="1087"/>
      <c r="O303" s="1087"/>
    </row>
    <row r="304" spans="1:15" ht="14.1">
      <c r="A304" s="1046"/>
      <c r="B304" s="1227" t="s">
        <v>421</v>
      </c>
      <c r="C304" s="1048"/>
      <c r="D304" s="1048"/>
      <c r="E304" s="1048"/>
      <c r="F304" s="1049"/>
      <c r="G304" s="1049"/>
      <c r="H304" s="1049"/>
      <c r="I304" s="1049"/>
      <c r="J304" s="1049"/>
      <c r="K304" s="1049"/>
      <c r="L304" s="1049"/>
      <c r="M304" s="1049"/>
      <c r="N304" s="1087"/>
      <c r="O304" s="1087"/>
    </row>
    <row r="305" spans="1:15" ht="14.1">
      <c r="A305" s="1046"/>
      <c r="B305" s="1179" t="s">
        <v>2185</v>
      </c>
      <c r="C305" s="1048">
        <v>1</v>
      </c>
      <c r="D305" s="1048" t="s">
        <v>1472</v>
      </c>
      <c r="E305" s="1048">
        <v>1</v>
      </c>
      <c r="F305" s="1049">
        <f>(31.5-6)*0.3048</f>
        <v>7.7724000000000002</v>
      </c>
      <c r="G305" s="1049"/>
      <c r="H305" s="1049">
        <v>0.45</v>
      </c>
      <c r="I305" s="1049">
        <f>ROUND(C305*E305*F305*H305,2)</f>
        <v>3.5</v>
      </c>
      <c r="J305" s="1049"/>
      <c r="K305" s="1049"/>
      <c r="L305" s="1049"/>
      <c r="M305" s="1049"/>
      <c r="N305" s="1049"/>
      <c r="O305" s="1087"/>
    </row>
    <row r="306" spans="1:15" ht="14.1">
      <c r="A306" s="1046"/>
      <c r="B306" s="1179" t="s">
        <v>2186</v>
      </c>
      <c r="C306" s="1048">
        <v>1</v>
      </c>
      <c r="D306" s="1048" t="s">
        <v>1472</v>
      </c>
      <c r="E306" s="1048">
        <v>1</v>
      </c>
      <c r="F306" s="1049">
        <f>(31.5-6-2)*0.3048</f>
        <v>7.1628000000000007</v>
      </c>
      <c r="G306" s="1049"/>
      <c r="H306" s="1049">
        <v>0.45</v>
      </c>
      <c r="I306" s="1049">
        <f t="shared" ref="I306:I312" si="13">ROUND(C306*E306*F306*H306,2)</f>
        <v>3.22</v>
      </c>
      <c r="J306" s="1049"/>
      <c r="K306" s="1049"/>
      <c r="L306" s="1049"/>
      <c r="M306" s="1049"/>
      <c r="N306" s="1049"/>
      <c r="O306" s="1087"/>
    </row>
    <row r="307" spans="1:15" ht="14.1">
      <c r="A307" s="1046"/>
      <c r="B307" s="1179" t="s">
        <v>2187</v>
      </c>
      <c r="C307" s="1048">
        <v>1</v>
      </c>
      <c r="D307" s="1048" t="s">
        <v>1472</v>
      </c>
      <c r="E307" s="1048">
        <v>1</v>
      </c>
      <c r="F307" s="1049">
        <f>(31.5-6-2-2)*0.3048</f>
        <v>6.5532000000000004</v>
      </c>
      <c r="G307" s="1049"/>
      <c r="H307" s="1049">
        <v>0.45</v>
      </c>
      <c r="I307" s="1049">
        <f t="shared" si="13"/>
        <v>2.95</v>
      </c>
      <c r="J307" s="1049"/>
      <c r="K307" s="1049"/>
      <c r="L307" s="1049"/>
      <c r="M307" s="1049"/>
      <c r="N307" s="1049"/>
      <c r="O307" s="1087"/>
    </row>
    <row r="308" spans="1:15" ht="14.1">
      <c r="A308" s="1046"/>
      <c r="B308" s="1179" t="s">
        <v>2188</v>
      </c>
      <c r="C308" s="1048">
        <v>1</v>
      </c>
      <c r="D308" s="1048" t="s">
        <v>1472</v>
      </c>
      <c r="E308" s="1048">
        <v>1</v>
      </c>
      <c r="F308" s="1049">
        <f>(31.5-6-2-2-2)*0.3048</f>
        <v>5.9436</v>
      </c>
      <c r="G308" s="1049"/>
      <c r="H308" s="1049">
        <v>0.45</v>
      </c>
      <c r="I308" s="1049">
        <f t="shared" si="13"/>
        <v>2.67</v>
      </c>
      <c r="J308" s="1049"/>
      <c r="K308" s="1049"/>
      <c r="L308" s="1049"/>
      <c r="M308" s="1049"/>
      <c r="N308" s="1049"/>
      <c r="O308" s="1087"/>
    </row>
    <row r="309" spans="1:15" ht="14.1">
      <c r="A309" s="1046"/>
      <c r="B309" s="1179" t="s">
        <v>2189</v>
      </c>
      <c r="C309" s="1048">
        <v>1</v>
      </c>
      <c r="D309" s="1048" t="s">
        <v>1472</v>
      </c>
      <c r="E309" s="1048">
        <v>2</v>
      </c>
      <c r="F309" s="1049">
        <f>(10)*0.3048</f>
        <v>3.048</v>
      </c>
      <c r="G309" s="1049"/>
      <c r="H309" s="1049">
        <v>0.45</v>
      </c>
      <c r="I309" s="1049">
        <f t="shared" si="13"/>
        <v>2.74</v>
      </c>
      <c r="J309" s="1049"/>
      <c r="K309" s="1049"/>
      <c r="L309" s="1049"/>
      <c r="M309" s="1049"/>
      <c r="N309" s="1049"/>
      <c r="O309" s="1087"/>
    </row>
    <row r="310" spans="1:15" ht="14.1">
      <c r="A310" s="1046"/>
      <c r="B310" s="1179" t="s">
        <v>2190</v>
      </c>
      <c r="C310" s="1048">
        <v>1</v>
      </c>
      <c r="D310" s="1048" t="s">
        <v>1472</v>
      </c>
      <c r="E310" s="1048">
        <v>2</v>
      </c>
      <c r="F310" s="1049">
        <f>(10-1)*0.3048</f>
        <v>2.7432000000000003</v>
      </c>
      <c r="G310" s="1049"/>
      <c r="H310" s="1049">
        <v>0.45</v>
      </c>
      <c r="I310" s="1049">
        <f t="shared" si="13"/>
        <v>2.4700000000000002</v>
      </c>
      <c r="J310" s="1049"/>
      <c r="K310" s="1049"/>
      <c r="L310" s="1049"/>
      <c r="M310" s="1049"/>
      <c r="N310" s="1049"/>
      <c r="O310" s="1087"/>
    </row>
    <row r="311" spans="1:15" ht="14.1">
      <c r="A311" s="1046"/>
      <c r="B311" s="1179" t="s">
        <v>2191</v>
      </c>
      <c r="C311" s="1048">
        <v>1</v>
      </c>
      <c r="D311" s="1048" t="s">
        <v>1472</v>
      </c>
      <c r="E311" s="1048">
        <v>2</v>
      </c>
      <c r="F311" s="1049">
        <f>(10-2)*0.3048</f>
        <v>2.4384000000000001</v>
      </c>
      <c r="G311" s="1049"/>
      <c r="H311" s="1049">
        <v>0.45</v>
      </c>
      <c r="I311" s="1049">
        <f t="shared" si="13"/>
        <v>2.19</v>
      </c>
      <c r="J311" s="1049"/>
      <c r="K311" s="1049"/>
      <c r="L311" s="1049"/>
      <c r="M311" s="1049"/>
      <c r="N311" s="1049"/>
      <c r="O311" s="1087"/>
    </row>
    <row r="312" spans="1:15" ht="14.1">
      <c r="A312" s="1046"/>
      <c r="B312" s="1179" t="s">
        <v>2192</v>
      </c>
      <c r="C312" s="1048">
        <v>1</v>
      </c>
      <c r="D312" s="1048" t="s">
        <v>1472</v>
      </c>
      <c r="E312" s="1048">
        <v>2</v>
      </c>
      <c r="F312" s="1049">
        <f>(10-3)*0.3048</f>
        <v>2.1335999999999999</v>
      </c>
      <c r="G312" s="1049"/>
      <c r="H312" s="1049">
        <v>0.45</v>
      </c>
      <c r="I312" s="1049">
        <f t="shared" si="13"/>
        <v>1.92</v>
      </c>
      <c r="J312" s="1049"/>
      <c r="K312" s="1049"/>
      <c r="L312" s="1049"/>
      <c r="M312" s="1049"/>
      <c r="N312" s="1049"/>
      <c r="O312" s="1087"/>
    </row>
    <row r="313" spans="1:15">
      <c r="A313" s="1048"/>
      <c r="B313" s="1178" t="s">
        <v>2529</v>
      </c>
      <c r="C313" s="1048">
        <v>1</v>
      </c>
      <c r="D313" s="1048" t="s">
        <v>1472</v>
      </c>
      <c r="E313" s="1048">
        <v>1</v>
      </c>
      <c r="F313" s="1049">
        <v>1.8</v>
      </c>
      <c r="G313" s="1049">
        <v>0.23</v>
      </c>
      <c r="H313" s="1069"/>
      <c r="I313" s="1049">
        <f>ROUND(C313*E313*F313*G313,2)</f>
        <v>0.41</v>
      </c>
      <c r="J313" s="1049"/>
      <c r="K313" s="1049"/>
      <c r="L313" s="1049"/>
      <c r="M313" s="1049"/>
      <c r="N313" s="1087"/>
      <c r="O313" s="1087"/>
    </row>
    <row r="314" spans="1:15">
      <c r="A314" s="1048"/>
      <c r="B314" s="1178" t="s">
        <v>40</v>
      </c>
      <c r="C314" s="1048">
        <v>1</v>
      </c>
      <c r="D314" s="1048" t="s">
        <v>1472</v>
      </c>
      <c r="E314" s="1048">
        <v>2</v>
      </c>
      <c r="F314" s="1049">
        <v>1.5</v>
      </c>
      <c r="G314" s="1049">
        <v>0.23</v>
      </c>
      <c r="H314" s="1069"/>
      <c r="I314" s="1049">
        <f>ROUND(C314*E314*F314*G314,2)</f>
        <v>0.69</v>
      </c>
      <c r="J314" s="1049"/>
      <c r="K314" s="1049"/>
      <c r="L314" s="1049"/>
      <c r="M314" s="1049"/>
      <c r="N314" s="1087"/>
      <c r="O314" s="1087"/>
    </row>
    <row r="315" spans="1:15">
      <c r="A315" s="1048"/>
      <c r="B315" s="1178" t="s">
        <v>41</v>
      </c>
      <c r="C315" s="1048">
        <v>1</v>
      </c>
      <c r="D315" s="1048" t="s">
        <v>1472</v>
      </c>
      <c r="E315" s="1048">
        <v>2</v>
      </c>
      <c r="F315" s="1049">
        <v>0.9</v>
      </c>
      <c r="G315" s="1049">
        <v>0.23</v>
      </c>
      <c r="H315" s="1069"/>
      <c r="I315" s="1049">
        <f>ROUND(C315*E315*F315*G315,2)</f>
        <v>0.41</v>
      </c>
      <c r="J315" s="1049"/>
      <c r="K315" s="1049"/>
      <c r="L315" s="1049"/>
      <c r="M315" s="1049"/>
      <c r="N315" s="1087"/>
      <c r="O315" s="1087"/>
    </row>
    <row r="316" spans="1:15">
      <c r="A316" s="1048"/>
      <c r="B316" s="1178" t="s">
        <v>2530</v>
      </c>
      <c r="C316" s="1048">
        <v>1</v>
      </c>
      <c r="D316" s="1048" t="s">
        <v>1472</v>
      </c>
      <c r="E316" s="1048">
        <v>2</v>
      </c>
      <c r="F316" s="1049">
        <v>0.75</v>
      </c>
      <c r="G316" s="1049">
        <v>0.23</v>
      </c>
      <c r="H316" s="1069"/>
      <c r="I316" s="1049">
        <f>ROUND(C316*E316*F316*G316,2)</f>
        <v>0.35</v>
      </c>
      <c r="J316" s="1049"/>
      <c r="K316" s="1049"/>
      <c r="L316" s="1049"/>
      <c r="M316" s="1049"/>
      <c r="N316" s="1087"/>
      <c r="O316" s="1087"/>
    </row>
    <row r="317" spans="1:15" ht="14.1">
      <c r="A317" s="1046"/>
      <c r="B317" s="1061"/>
      <c r="C317" s="1048"/>
      <c r="D317" s="1048"/>
      <c r="E317" s="1048"/>
      <c r="F317" s="1049"/>
      <c r="G317" s="1049"/>
      <c r="H317" s="1049" t="s">
        <v>982</v>
      </c>
      <c r="I317" s="1052">
        <f>SUM(I299:I316)</f>
        <v>203.28999999999996</v>
      </c>
      <c r="J317" s="1049">
        <f>Datas!$G$844</f>
        <v>8348.74</v>
      </c>
      <c r="K317" s="1053">
        <f>ROUND(J317*I317/10,0)</f>
        <v>169722</v>
      </c>
      <c r="L317" s="1049">
        <f>0.12*9+1.1*8</f>
        <v>9.8800000000000008</v>
      </c>
      <c r="M317" s="1055">
        <f>L317*I317</f>
        <v>2008.5051999999998</v>
      </c>
      <c r="N317" s="1087">
        <f>(0.12*9+1.1*8)</f>
        <v>9.8800000000000008</v>
      </c>
      <c r="O317" s="1087">
        <f>ROUND(I317*N317,0)</f>
        <v>2009</v>
      </c>
    </row>
    <row r="318" spans="1:15" ht="14.1">
      <c r="A318" s="1046"/>
      <c r="B318" s="1061"/>
      <c r="C318" s="1048"/>
      <c r="D318" s="1048"/>
      <c r="E318" s="1048"/>
      <c r="F318" s="1049"/>
      <c r="G318" s="1049"/>
      <c r="H318" s="1049"/>
      <c r="I318" s="1053" t="s">
        <v>1478</v>
      </c>
      <c r="J318" s="1053" t="s">
        <v>37</v>
      </c>
      <c r="K318" s="1053"/>
      <c r="L318" s="1049"/>
      <c r="M318" s="1049"/>
      <c r="N318" s="1087"/>
      <c r="O318" s="1087"/>
    </row>
    <row r="319" spans="1:15" ht="103.5" customHeight="1">
      <c r="A319" s="1046">
        <v>19</v>
      </c>
      <c r="B319" s="2415" t="s">
        <v>2456</v>
      </c>
      <c r="C319" s="2426"/>
      <c r="D319" s="2426"/>
      <c r="E319" s="2426"/>
      <c r="F319" s="2426"/>
      <c r="G319" s="2426"/>
      <c r="H319" s="2426"/>
      <c r="I319" s="2427"/>
      <c r="J319" s="1049"/>
      <c r="K319" s="1049"/>
      <c r="L319" s="1049"/>
      <c r="M319" s="1049"/>
      <c r="N319" s="1087"/>
      <c r="O319" s="1087"/>
    </row>
    <row r="320" spans="1:15" ht="14.1">
      <c r="A320" s="1046"/>
      <c r="B320" s="1178" t="s">
        <v>2193</v>
      </c>
      <c r="C320" s="1048">
        <v>1</v>
      </c>
      <c r="D320" s="1048" t="s">
        <v>1472</v>
      </c>
      <c r="E320" s="1048">
        <v>2</v>
      </c>
      <c r="F320" s="1049">
        <f>(54.5)*0.3048</f>
        <v>16.611599999999999</v>
      </c>
      <c r="G320" s="1049">
        <v>1.2</v>
      </c>
      <c r="H320" s="1069"/>
      <c r="I320" s="1049">
        <f>ROUND(C320*E320*F320*G320,2)</f>
        <v>39.869999999999997</v>
      </c>
      <c r="J320" s="1049"/>
      <c r="K320" s="1049"/>
      <c r="L320" s="1049"/>
      <c r="M320" s="1049"/>
      <c r="N320" s="1087"/>
      <c r="O320" s="1087"/>
    </row>
    <row r="321" spans="1:15" ht="14.1">
      <c r="A321" s="1046"/>
      <c r="B321" s="1178" t="s">
        <v>2194</v>
      </c>
      <c r="C321" s="1048">
        <v>1</v>
      </c>
      <c r="D321" s="1048" t="s">
        <v>1472</v>
      </c>
      <c r="E321" s="1048">
        <v>2</v>
      </c>
      <c r="F321" s="1049">
        <v>1.8</v>
      </c>
      <c r="G321" s="1049">
        <v>1.2</v>
      </c>
      <c r="H321" s="1069"/>
      <c r="I321" s="1049">
        <f>ROUND(C321*E321*F321*G321,2)</f>
        <v>4.32</v>
      </c>
      <c r="J321" s="1049"/>
      <c r="K321" s="1049"/>
      <c r="L321" s="1049"/>
      <c r="M321" s="1049"/>
      <c r="N321" s="1087"/>
      <c r="O321" s="1087"/>
    </row>
    <row r="322" spans="1:15" ht="14.1">
      <c r="A322" s="1046"/>
      <c r="B322" s="1178" t="s">
        <v>2421</v>
      </c>
      <c r="C322" s="1048">
        <v>1</v>
      </c>
      <c r="D322" s="1048" t="s">
        <v>1472</v>
      </c>
      <c r="E322" s="1048">
        <v>2</v>
      </c>
      <c r="F322" s="1049">
        <v>3</v>
      </c>
      <c r="G322" s="1049">
        <v>1.2</v>
      </c>
      <c r="H322" s="1069"/>
      <c r="I322" s="1049">
        <f>ROUND(C322*E322*F322*G322,2)</f>
        <v>7.2</v>
      </c>
      <c r="J322" s="1049"/>
      <c r="K322" s="1049"/>
      <c r="L322" s="1049"/>
      <c r="M322" s="1068"/>
      <c r="N322" s="1087"/>
      <c r="O322" s="1087"/>
    </row>
    <row r="323" spans="1:15" ht="14.1">
      <c r="A323" s="1046"/>
      <c r="B323" s="1061"/>
      <c r="C323" s="1048"/>
      <c r="D323" s="1048"/>
      <c r="E323" s="1048"/>
      <c r="F323" s="1049"/>
      <c r="G323" s="1049"/>
      <c r="H323" s="1049" t="s">
        <v>982</v>
      </c>
      <c r="I323" s="1052">
        <f>SUM(I320:I322)</f>
        <v>51.39</v>
      </c>
      <c r="J323" s="1049">
        <f>Datas!G1265</f>
        <v>9150.58</v>
      </c>
      <c r="K323" s="1053">
        <f>ROUND(J323*I323/10,0)</f>
        <v>47025</v>
      </c>
      <c r="L323" s="1049">
        <f>0.12*9+1.1*8</f>
        <v>9.8800000000000008</v>
      </c>
      <c r="M323" s="1055">
        <f>L323*I323</f>
        <v>507.73320000000007</v>
      </c>
      <c r="N323" s="1087">
        <f>(10.8)</f>
        <v>10.8</v>
      </c>
      <c r="O323" s="1087">
        <f>ROUND(I323*N323,0)</f>
        <v>555</v>
      </c>
    </row>
    <row r="324" spans="1:15" ht="14.1">
      <c r="A324" s="1046"/>
      <c r="B324" s="1061"/>
      <c r="C324" s="1048"/>
      <c r="D324" s="1048"/>
      <c r="E324" s="1048"/>
      <c r="F324" s="1049"/>
      <c r="G324" s="1049"/>
      <c r="H324" s="1049"/>
      <c r="I324" s="1053" t="s">
        <v>1478</v>
      </c>
      <c r="J324" s="1053" t="s">
        <v>37</v>
      </c>
      <c r="K324" s="1053"/>
      <c r="L324" s="1049"/>
      <c r="M324" s="1049"/>
      <c r="N324" s="1087"/>
      <c r="O324" s="1087"/>
    </row>
    <row r="325" spans="1:15" ht="174" customHeight="1">
      <c r="A325" s="1046">
        <v>20</v>
      </c>
      <c r="B325" s="2428" t="s">
        <v>2457</v>
      </c>
      <c r="C325" s="2429"/>
      <c r="D325" s="2429"/>
      <c r="E325" s="2429"/>
      <c r="F325" s="2429"/>
      <c r="G325" s="2429"/>
      <c r="H325" s="2429"/>
      <c r="I325" s="2430"/>
      <c r="J325" s="1049"/>
      <c r="K325" s="1049"/>
      <c r="N325" s="1087"/>
      <c r="O325" s="1087"/>
    </row>
    <row r="326" spans="1:15" ht="14.1">
      <c r="A326" s="1088"/>
      <c r="B326" s="1089" t="s">
        <v>2034</v>
      </c>
      <c r="C326" s="1048">
        <v>1</v>
      </c>
      <c r="D326" s="1048" t="s">
        <v>1472</v>
      </c>
      <c r="E326" s="1048">
        <v>2</v>
      </c>
      <c r="F326" s="1049">
        <v>1.5</v>
      </c>
      <c r="G326" s="1049">
        <v>1.45</v>
      </c>
      <c r="H326" s="1069"/>
      <c r="I326" s="1049">
        <f>ROUND(C326*E326*F326*G326,2)</f>
        <v>4.3499999999999996</v>
      </c>
      <c r="J326" s="1049"/>
      <c r="K326" s="1049"/>
      <c r="N326" s="1087"/>
      <c r="O326" s="1087"/>
    </row>
    <row r="327" spans="1:15" ht="14.1">
      <c r="A327" s="1046"/>
      <c r="B327" s="1061"/>
      <c r="C327" s="1048"/>
      <c r="D327" s="1048"/>
      <c r="E327" s="1048"/>
      <c r="F327" s="1049"/>
      <c r="G327" s="1049"/>
      <c r="H327" s="1049" t="s">
        <v>982</v>
      </c>
      <c r="I327" s="1052">
        <f>SUM(I326)</f>
        <v>4.3499999999999996</v>
      </c>
      <c r="J327" s="1049">
        <f>Datas!$G$789</f>
        <v>8076.9498000000003</v>
      </c>
      <c r="K327" s="1053">
        <f>ROUND(J327*I327/10,0)</f>
        <v>3513</v>
      </c>
      <c r="L327" s="1049">
        <f>1.1*0+0.012*9</f>
        <v>0.108</v>
      </c>
      <c r="M327" s="1055">
        <f>L327*I327</f>
        <v>0.46979999999999994</v>
      </c>
      <c r="N327" s="1087">
        <f>(0.12*9)</f>
        <v>1.08</v>
      </c>
      <c r="O327" s="1087">
        <f>ROUND(I327*N327,0)</f>
        <v>5</v>
      </c>
    </row>
    <row r="328" spans="1:15" ht="14.1">
      <c r="A328" s="1046"/>
      <c r="B328" s="1061"/>
      <c r="C328" s="1048"/>
      <c r="D328" s="1048"/>
      <c r="E328" s="1048"/>
      <c r="F328" s="1049"/>
      <c r="G328" s="1049"/>
      <c r="H328" s="1049"/>
      <c r="I328" s="1053" t="s">
        <v>1478</v>
      </c>
      <c r="J328" s="1053" t="s">
        <v>37</v>
      </c>
      <c r="K328" s="1053"/>
      <c r="N328" s="1087"/>
      <c r="O328" s="1087"/>
    </row>
    <row r="329" spans="1:15" ht="165.75" customHeight="1">
      <c r="A329" s="1046">
        <v>21</v>
      </c>
      <c r="B329" s="2428" t="s">
        <v>2458</v>
      </c>
      <c r="C329" s="2429"/>
      <c r="D329" s="2429"/>
      <c r="E329" s="2429"/>
      <c r="F329" s="2429"/>
      <c r="G329" s="2429"/>
      <c r="H329" s="2429"/>
      <c r="I329" s="2430"/>
      <c r="J329" s="1049"/>
      <c r="K329" s="1049"/>
      <c r="N329" s="1087"/>
      <c r="O329" s="1087"/>
    </row>
    <row r="330" spans="1:15" ht="14.1">
      <c r="A330" s="1088"/>
      <c r="B330" s="1180" t="s">
        <v>2184</v>
      </c>
      <c r="C330" s="1048">
        <v>1</v>
      </c>
      <c r="D330" s="1048" t="s">
        <v>1472</v>
      </c>
      <c r="E330" s="1048">
        <v>2</v>
      </c>
      <c r="F330" s="1049">
        <f>2*1.5+2*1.45</f>
        <v>5.9</v>
      </c>
      <c r="G330" s="1090"/>
      <c r="H330" s="1049">
        <v>1.2</v>
      </c>
      <c r="I330" s="1049">
        <f>ROUND(C330*E330*F330*H330,2)</f>
        <v>14.16</v>
      </c>
      <c r="J330" s="1049"/>
      <c r="K330" s="1049"/>
      <c r="N330" s="1087"/>
      <c r="O330" s="1087"/>
    </row>
    <row r="331" spans="1:15" ht="14.1">
      <c r="A331" s="1088"/>
      <c r="B331" s="1180" t="s">
        <v>2035</v>
      </c>
      <c r="C331" s="1048">
        <v>-1</v>
      </c>
      <c r="D331" s="1048" t="s">
        <v>1472</v>
      </c>
      <c r="E331" s="1048">
        <v>2</v>
      </c>
      <c r="F331" s="1049">
        <v>0.75</v>
      </c>
      <c r="G331" s="1090"/>
      <c r="H331" s="1049">
        <v>1.2</v>
      </c>
      <c r="I331" s="1049">
        <f>ROUND(C331*E331*F331*H331,2)</f>
        <v>-1.8</v>
      </c>
      <c r="J331" s="1049"/>
      <c r="K331" s="1049"/>
      <c r="N331" s="1087"/>
      <c r="O331" s="1087"/>
    </row>
    <row r="332" spans="1:15" ht="14.1">
      <c r="A332" s="1046"/>
      <c r="B332" s="1061"/>
      <c r="C332" s="1048"/>
      <c r="D332" s="1048"/>
      <c r="E332" s="1048"/>
      <c r="F332" s="1049"/>
      <c r="G332" s="1049"/>
      <c r="H332" s="1049"/>
      <c r="I332" s="1052">
        <f>SUM(I330:I331)</f>
        <v>12.36</v>
      </c>
      <c r="J332" s="1049">
        <f>Datas!$G$806</f>
        <v>6385.4000000000005</v>
      </c>
      <c r="K332" s="1053">
        <f>ROUND(J332*I332/10,0)</f>
        <v>7892</v>
      </c>
      <c r="L332" s="1049">
        <f>0.012*9</f>
        <v>0.108</v>
      </c>
      <c r="M332" s="1055">
        <f>L332*I332</f>
        <v>1.3348799999999998</v>
      </c>
      <c r="N332" s="1087">
        <f>(0.12*9)</f>
        <v>1.08</v>
      </c>
      <c r="O332" s="1087">
        <f>ROUND(I332*N332,0)</f>
        <v>13</v>
      </c>
    </row>
    <row r="333" spans="1:15" ht="14.1">
      <c r="A333" s="1046"/>
      <c r="B333" s="1061"/>
      <c r="C333" s="1048"/>
      <c r="D333" s="1048"/>
      <c r="E333" s="1048"/>
      <c r="F333" s="1049"/>
      <c r="G333" s="1049"/>
      <c r="H333" s="1049"/>
      <c r="I333" s="1053" t="s">
        <v>1478</v>
      </c>
      <c r="J333" s="1053" t="s">
        <v>37</v>
      </c>
      <c r="K333" s="1053"/>
      <c r="L333" s="1049"/>
      <c r="M333" s="1055"/>
      <c r="N333" s="1087"/>
      <c r="O333" s="1087"/>
    </row>
    <row r="334" spans="1:15" ht="166.5" customHeight="1">
      <c r="A334" s="1046">
        <v>22</v>
      </c>
      <c r="B334" s="2415" t="s">
        <v>2459</v>
      </c>
      <c r="C334" s="2426"/>
      <c r="D334" s="2426"/>
      <c r="E334" s="2426"/>
      <c r="F334" s="2426"/>
      <c r="G334" s="2426"/>
      <c r="H334" s="2426"/>
      <c r="I334" s="2427"/>
      <c r="J334" s="1049"/>
      <c r="K334" s="1049"/>
      <c r="L334" s="1049"/>
      <c r="M334" s="1049"/>
      <c r="N334" s="1087"/>
      <c r="O334" s="1087"/>
    </row>
    <row r="335" spans="1:15" ht="14.1">
      <c r="A335" s="1046"/>
      <c r="B335" s="1178" t="s">
        <v>2141</v>
      </c>
      <c r="C335" s="1048">
        <v>1</v>
      </c>
      <c r="D335" s="1048" t="s">
        <v>1472</v>
      </c>
      <c r="E335" s="1048">
        <v>2</v>
      </c>
      <c r="F335" s="1049">
        <f>(46.5)*0.3048</f>
        <v>14.173200000000001</v>
      </c>
      <c r="G335" s="1049">
        <v>0.1</v>
      </c>
      <c r="H335" s="1069"/>
      <c r="I335" s="1049">
        <f>ROUND(C335*E335*F335*G335,2)</f>
        <v>2.83</v>
      </c>
      <c r="J335" s="1049"/>
      <c r="K335" s="1049"/>
      <c r="L335" s="1049"/>
      <c r="M335" s="1049"/>
      <c r="N335" s="1087"/>
      <c r="O335" s="1087"/>
    </row>
    <row r="336" spans="1:15" ht="14.1">
      <c r="A336" s="1046"/>
      <c r="B336" s="1178" t="s">
        <v>2142</v>
      </c>
      <c r="C336" s="1048">
        <v>1</v>
      </c>
      <c r="D336" s="1048" t="s">
        <v>1472</v>
      </c>
      <c r="E336" s="1048">
        <v>2</v>
      </c>
      <c r="F336" s="1049">
        <f>(30)*0.3048</f>
        <v>9.1440000000000001</v>
      </c>
      <c r="G336" s="1049">
        <v>0.1</v>
      </c>
      <c r="H336" s="1069"/>
      <c r="I336" s="1049">
        <f>ROUND(C336*E336*F336*G336,2)</f>
        <v>1.83</v>
      </c>
      <c r="J336" s="1049"/>
      <c r="K336" s="1049"/>
      <c r="L336" s="1049"/>
      <c r="M336" s="1049"/>
      <c r="N336" s="1087"/>
      <c r="O336" s="1087"/>
    </row>
    <row r="337" spans="1:15" ht="14.1">
      <c r="A337" s="1046"/>
      <c r="B337" s="1178" t="s">
        <v>2423</v>
      </c>
      <c r="C337" s="1048">
        <v>1</v>
      </c>
      <c r="D337" s="1048" t="s">
        <v>1472</v>
      </c>
      <c r="E337" s="1048">
        <v>2</v>
      </c>
      <c r="F337" s="1049">
        <f>(1.35+1.5+0.75)</f>
        <v>3.6</v>
      </c>
      <c r="G337" s="1049">
        <v>0.1</v>
      </c>
      <c r="H337" s="1069"/>
      <c r="I337" s="1049">
        <f>ROUND(C337*E337*F337*G337,2)</f>
        <v>0.72</v>
      </c>
      <c r="J337" s="1049"/>
      <c r="K337" s="1049"/>
      <c r="L337" s="1049"/>
      <c r="M337" s="1049"/>
      <c r="N337" s="1087"/>
      <c r="O337" s="1087"/>
    </row>
    <row r="338" spans="1:15" ht="14.1">
      <c r="A338" s="1046"/>
      <c r="B338" s="1178" t="s">
        <v>2473</v>
      </c>
      <c r="C338" s="1048">
        <v>1</v>
      </c>
      <c r="D338" s="1048" t="s">
        <v>1472</v>
      </c>
      <c r="E338" s="1048">
        <v>4</v>
      </c>
      <c r="F338" s="1049">
        <v>3.6</v>
      </c>
      <c r="G338" s="1049">
        <v>0.1</v>
      </c>
      <c r="H338" s="1069"/>
      <c r="I338" s="1049">
        <f>ROUND(C338*E338*F338*G338,2)</f>
        <v>1.44</v>
      </c>
      <c r="J338" s="1049"/>
      <c r="K338" s="1049"/>
      <c r="L338" s="1049"/>
      <c r="M338" s="1049"/>
      <c r="N338" s="1087"/>
      <c r="O338" s="1087"/>
    </row>
    <row r="339" spans="1:15" ht="14.1">
      <c r="A339" s="1046"/>
      <c r="B339" s="1178" t="s">
        <v>2474</v>
      </c>
      <c r="C339" s="1048">
        <v>1</v>
      </c>
      <c r="D339" s="1048" t="s">
        <v>1472</v>
      </c>
      <c r="E339" s="1048">
        <v>1</v>
      </c>
      <c r="F339" s="1049">
        <f>(3.6*2+5.33*2)</f>
        <v>17.86</v>
      </c>
      <c r="G339" s="1049">
        <v>0.1</v>
      </c>
      <c r="H339" s="1069"/>
      <c r="I339" s="1049">
        <f>ROUND(C339*E339*F339*G339,2)</f>
        <v>1.79</v>
      </c>
      <c r="J339" s="1049"/>
      <c r="K339" s="1049"/>
      <c r="L339" s="1049"/>
      <c r="M339" s="1049"/>
      <c r="N339" s="1087"/>
      <c r="O339" s="1087"/>
    </row>
    <row r="340" spans="1:15">
      <c r="A340" s="1048"/>
      <c r="B340" s="1178" t="s">
        <v>40</v>
      </c>
      <c r="C340" s="1048">
        <v>1</v>
      </c>
      <c r="D340" s="1048" t="s">
        <v>1472</v>
      </c>
      <c r="E340" s="1048">
        <v>1</v>
      </c>
      <c r="F340" s="1049">
        <v>1.8</v>
      </c>
      <c r="G340" s="1049">
        <v>0.1</v>
      </c>
      <c r="H340" s="1049"/>
      <c r="I340" s="1049">
        <f>-ROUND(C340*E340*F340*G340,2)</f>
        <v>-0.18</v>
      </c>
      <c r="J340" s="1049"/>
      <c r="K340" s="1049"/>
      <c r="L340" s="1049"/>
      <c r="M340" s="1049"/>
      <c r="N340" s="1087"/>
      <c r="O340" s="1087"/>
    </row>
    <row r="341" spans="1:15">
      <c r="A341" s="1048"/>
      <c r="B341" s="1178" t="s">
        <v>40</v>
      </c>
      <c r="C341" s="1048">
        <v>1</v>
      </c>
      <c r="D341" s="1048" t="s">
        <v>1472</v>
      </c>
      <c r="E341" s="1048">
        <v>2</v>
      </c>
      <c r="F341" s="1049">
        <v>1.5</v>
      </c>
      <c r="G341" s="1049">
        <v>0.1</v>
      </c>
      <c r="H341" s="1049"/>
      <c r="I341" s="1049">
        <f>-ROUND(C341*E341*F341*G341,2)</f>
        <v>-0.3</v>
      </c>
      <c r="J341" s="1049"/>
      <c r="K341" s="1049"/>
      <c r="L341" s="1049"/>
      <c r="M341" s="1049"/>
      <c r="N341" s="1087"/>
      <c r="O341" s="1087"/>
    </row>
    <row r="342" spans="1:15">
      <c r="A342" s="1048"/>
      <c r="B342" s="1178" t="s">
        <v>41</v>
      </c>
      <c r="C342" s="1048">
        <v>1</v>
      </c>
      <c r="D342" s="1048" t="s">
        <v>1472</v>
      </c>
      <c r="E342" s="1048">
        <v>2</v>
      </c>
      <c r="F342" s="1049">
        <v>0.9</v>
      </c>
      <c r="G342" s="1049">
        <v>0.1</v>
      </c>
      <c r="H342" s="1049"/>
      <c r="I342" s="1049">
        <f>-ROUND(C342*E342*F342*G342,2)</f>
        <v>-0.18</v>
      </c>
      <c r="J342" s="1049"/>
      <c r="K342" s="1049"/>
      <c r="L342" s="1049"/>
      <c r="M342" s="1049"/>
      <c r="N342" s="1087"/>
      <c r="O342" s="1087"/>
    </row>
    <row r="343" spans="1:15" ht="14.1">
      <c r="A343" s="1046"/>
      <c r="B343" s="1178"/>
      <c r="C343" s="1048"/>
      <c r="D343" s="1048"/>
      <c r="E343" s="1048"/>
      <c r="F343" s="1049"/>
      <c r="G343" s="1049"/>
      <c r="H343" s="1049" t="s">
        <v>982</v>
      </c>
      <c r="I343" s="1052">
        <f>SUM(I335:I342)</f>
        <v>7.9499999999999993</v>
      </c>
      <c r="J343" s="1049">
        <f>Datas!$G$844</f>
        <v>8348.74</v>
      </c>
      <c r="K343" s="1053">
        <f>ROUND(J343*I343/10,0)</f>
        <v>6637</v>
      </c>
      <c r="L343" s="1049">
        <f>0.12*9+1.1*8</f>
        <v>9.8800000000000008</v>
      </c>
      <c r="M343" s="1055">
        <f>L343*I343</f>
        <v>78.545999999999992</v>
      </c>
      <c r="N343" s="1087">
        <f>(0.12*9+1.1*8)</f>
        <v>9.8800000000000008</v>
      </c>
      <c r="O343" s="1087">
        <f>ROUND(I343*N343,0)</f>
        <v>79</v>
      </c>
    </row>
    <row r="344" spans="1:15" ht="14.1">
      <c r="A344" s="1046"/>
      <c r="B344" s="1061"/>
      <c r="C344" s="1048"/>
      <c r="D344" s="1048"/>
      <c r="E344" s="1048"/>
      <c r="F344" s="1049"/>
      <c r="G344" s="1049"/>
      <c r="H344" s="1049"/>
      <c r="I344" s="1053" t="s">
        <v>1478</v>
      </c>
      <c r="J344" s="1053" t="s">
        <v>37</v>
      </c>
      <c r="K344" s="1053"/>
      <c r="L344" s="1049"/>
      <c r="M344" s="1049"/>
      <c r="N344" s="1087"/>
      <c r="O344" s="1087"/>
    </row>
    <row r="345" spans="1:15" ht="131.25" customHeight="1">
      <c r="A345" s="1046">
        <v>23</v>
      </c>
      <c r="B345" s="2415" t="s">
        <v>2460</v>
      </c>
      <c r="C345" s="2416"/>
      <c r="D345" s="2416"/>
      <c r="E345" s="2416"/>
      <c r="F345" s="2416"/>
      <c r="G345" s="2416"/>
      <c r="H345" s="2416"/>
      <c r="I345" s="2417"/>
      <c r="J345" s="1049"/>
      <c r="K345" s="1049"/>
      <c r="L345" s="1049"/>
      <c r="M345" s="1049"/>
      <c r="N345" s="1087"/>
      <c r="O345" s="1087"/>
    </row>
    <row r="346" spans="1:15" ht="14.1">
      <c r="A346" s="1046"/>
      <c r="B346" s="1181" t="s">
        <v>2143</v>
      </c>
      <c r="C346" s="1080"/>
      <c r="D346" s="1080"/>
      <c r="E346" s="1080"/>
      <c r="F346" s="1080"/>
      <c r="G346" s="1055"/>
      <c r="H346" s="1080"/>
      <c r="I346" s="1081"/>
      <c r="J346" s="1049"/>
      <c r="K346" s="1049"/>
      <c r="L346" s="1049"/>
      <c r="M346" s="1049"/>
      <c r="N346" s="1087"/>
      <c r="O346" s="1087"/>
    </row>
    <row r="347" spans="1:15" s="1090" customFormat="1" ht="14.1">
      <c r="A347" s="1088"/>
      <c r="B347" s="1178" t="s">
        <v>2141</v>
      </c>
      <c r="C347" s="1048">
        <v>1</v>
      </c>
      <c r="D347" s="1048" t="s">
        <v>1472</v>
      </c>
      <c r="E347" s="1048">
        <v>2</v>
      </c>
      <c r="F347" s="1049">
        <f>(61.5)*0.3048</f>
        <v>18.745200000000001</v>
      </c>
      <c r="H347" s="1049">
        <v>0.6</v>
      </c>
      <c r="I347" s="1049">
        <f>ROUND(C347*E347*F347*H347,2)</f>
        <v>22.49</v>
      </c>
      <c r="J347" s="1049"/>
      <c r="K347" s="1049"/>
      <c r="L347" s="1049"/>
      <c r="M347" s="1049"/>
      <c r="N347" s="1185"/>
      <c r="O347" s="1185"/>
    </row>
    <row r="348" spans="1:15" s="1090" customFormat="1" ht="14.1">
      <c r="A348" s="1088"/>
      <c r="B348" s="1178" t="s">
        <v>2142</v>
      </c>
      <c r="C348" s="1048">
        <v>1</v>
      </c>
      <c r="D348" s="1048" t="s">
        <v>1472</v>
      </c>
      <c r="E348" s="1048">
        <v>2</v>
      </c>
      <c r="F348" s="1049">
        <f>(31.5)*0.3048</f>
        <v>9.6012000000000004</v>
      </c>
      <c r="H348" s="1049">
        <v>0.6</v>
      </c>
      <c r="I348" s="1049">
        <f>ROUND(C348*E348*F348*H348,2)</f>
        <v>11.52</v>
      </c>
      <c r="J348" s="1049"/>
      <c r="K348" s="1049"/>
      <c r="L348" s="1049"/>
      <c r="M348" s="1049"/>
      <c r="N348" s="1185"/>
      <c r="O348" s="1185"/>
    </row>
    <row r="349" spans="1:15" s="1090" customFormat="1" ht="14.1">
      <c r="A349" s="1088"/>
      <c r="B349" s="1180" t="s">
        <v>470</v>
      </c>
      <c r="C349" s="1048">
        <v>1</v>
      </c>
      <c r="D349" s="1048" t="s">
        <v>1472</v>
      </c>
      <c r="E349" s="1048">
        <v>1</v>
      </c>
      <c r="F349" s="1049">
        <f>(31.5-6)*0.3048</f>
        <v>7.7724000000000002</v>
      </c>
      <c r="G349" s="1049"/>
      <c r="H349" s="1049">
        <v>0.6</v>
      </c>
      <c r="I349" s="1049">
        <f>-ROUND(C349*E349*F349*H349,2)</f>
        <v>-4.66</v>
      </c>
      <c r="J349" s="1049"/>
      <c r="K349" s="1049"/>
      <c r="L349" s="1049"/>
      <c r="M349" s="1049"/>
      <c r="N349" s="1185"/>
      <c r="O349" s="1185"/>
    </row>
    <row r="350" spans="1:15" ht="14.1">
      <c r="A350" s="1046"/>
      <c r="B350" s="1181" t="s">
        <v>2124</v>
      </c>
      <c r="C350" s="1080"/>
      <c r="D350" s="1080"/>
      <c r="E350" s="1080"/>
      <c r="F350" s="1080"/>
      <c r="G350" s="1055"/>
      <c r="H350" s="1080"/>
      <c r="I350" s="1081"/>
      <c r="J350" s="1049"/>
      <c r="K350" s="1049"/>
      <c r="L350" s="1049"/>
      <c r="M350" s="1049"/>
      <c r="N350" s="1087"/>
      <c r="O350" s="1087"/>
    </row>
    <row r="351" spans="1:15" s="1090" customFormat="1" ht="14.1">
      <c r="A351" s="1088"/>
      <c r="B351" s="1178" t="s">
        <v>2141</v>
      </c>
      <c r="C351" s="1048">
        <v>1</v>
      </c>
      <c r="D351" s="1048" t="s">
        <v>1472</v>
      </c>
      <c r="E351" s="1048">
        <v>2</v>
      </c>
      <c r="F351" s="1049">
        <f>(12-6)*0.3048</f>
        <v>1.8288000000000002</v>
      </c>
      <c r="H351" s="1049">
        <v>0.6</v>
      </c>
      <c r="I351" s="1049">
        <f>ROUND(C351*E351*F351*H351,2)</f>
        <v>2.19</v>
      </c>
      <c r="J351" s="1049"/>
      <c r="K351" s="1049"/>
      <c r="L351" s="1049"/>
      <c r="M351" s="1049"/>
      <c r="N351" s="1185"/>
      <c r="O351" s="1185"/>
    </row>
    <row r="352" spans="1:15" s="1090" customFormat="1" ht="14.1">
      <c r="A352" s="1088"/>
      <c r="B352" s="1178" t="s">
        <v>2142</v>
      </c>
      <c r="C352" s="1048">
        <v>1</v>
      </c>
      <c r="D352" s="1048" t="s">
        <v>1472</v>
      </c>
      <c r="E352" s="1048">
        <v>1</v>
      </c>
      <c r="F352" s="1049">
        <f>(12)*0.3048</f>
        <v>3.6576000000000004</v>
      </c>
      <c r="H352" s="1049">
        <v>0.6</v>
      </c>
      <c r="I352" s="1049">
        <f>ROUND(C352*E352*F352*H352,2)</f>
        <v>2.19</v>
      </c>
      <c r="J352" s="1049"/>
      <c r="K352" s="1049"/>
      <c r="L352" s="1049"/>
      <c r="M352" s="1049"/>
      <c r="N352" s="1185"/>
      <c r="O352" s="1185"/>
    </row>
    <row r="353" spans="1:16" ht="14.1">
      <c r="A353" s="1046"/>
      <c r="B353" s="1060"/>
      <c r="C353" s="1048"/>
      <c r="D353" s="1048"/>
      <c r="E353" s="1048"/>
      <c r="F353" s="1049"/>
      <c r="G353" s="1049"/>
      <c r="H353" s="1049"/>
      <c r="I353" s="1052">
        <f>SUM(I347:I352)</f>
        <v>33.729999999999997</v>
      </c>
      <c r="J353" s="1049">
        <f>Datas!$G$263</f>
        <v>905.74</v>
      </c>
      <c r="K353" s="1053">
        <f>ROUND(J353*I353/10,0)</f>
        <v>3055</v>
      </c>
      <c r="L353" s="1049">
        <f>0.03*9</f>
        <v>0.27</v>
      </c>
      <c r="M353" s="1055">
        <f>L353*I353</f>
        <v>9.1070999999999991</v>
      </c>
      <c r="N353" s="1087">
        <f>(0.03*9)</f>
        <v>0.27</v>
      </c>
      <c r="O353" s="1087">
        <f>ROUND(I353*N353,0)</f>
        <v>9</v>
      </c>
    </row>
    <row r="354" spans="1:16" ht="14.1">
      <c r="A354" s="1046"/>
      <c r="B354" s="1060"/>
      <c r="C354" s="1048"/>
      <c r="D354" s="1048"/>
      <c r="E354" s="1048"/>
      <c r="F354" s="1049"/>
      <c r="G354" s="1049"/>
      <c r="H354" s="1049"/>
      <c r="I354" s="1053" t="s">
        <v>1478</v>
      </c>
      <c r="J354" s="1053" t="s">
        <v>37</v>
      </c>
      <c r="K354" s="1053"/>
      <c r="L354" s="1053"/>
      <c r="M354" s="1053"/>
      <c r="N354" s="1087"/>
      <c r="O354" s="1087"/>
    </row>
    <row r="355" spans="1:16" ht="14.1">
      <c r="A355" s="1046"/>
      <c r="B355" s="1091"/>
      <c r="C355" s="1072"/>
      <c r="D355" s="1072"/>
      <c r="E355" s="1072"/>
      <c r="F355" s="1073"/>
      <c r="G355" s="1073"/>
      <c r="H355" s="1073"/>
      <c r="I355" s="1092"/>
      <c r="J355" s="1053"/>
      <c r="K355" s="1053"/>
      <c r="L355" s="1053"/>
      <c r="M355" s="1053"/>
      <c r="N355" s="1087"/>
      <c r="O355" s="1087"/>
    </row>
    <row r="356" spans="1:16" ht="147.75" customHeight="1">
      <c r="A356" s="1046">
        <v>24</v>
      </c>
      <c r="B356" s="2415" t="s">
        <v>2439</v>
      </c>
      <c r="C356" s="2416"/>
      <c r="D356" s="2416"/>
      <c r="E356" s="2416"/>
      <c r="F356" s="2416"/>
      <c r="G356" s="2416"/>
      <c r="H356" s="2416"/>
      <c r="I356" s="2417"/>
      <c r="J356" s="1049"/>
      <c r="K356" s="1049"/>
      <c r="L356" s="1049"/>
      <c r="M356" s="1049"/>
      <c r="N356" s="1087"/>
      <c r="O356" s="1087"/>
    </row>
    <row r="357" spans="1:16" ht="14.1">
      <c r="A357" s="1046"/>
      <c r="B357" s="1181" t="s">
        <v>2143</v>
      </c>
      <c r="C357" s="1080"/>
      <c r="D357" s="1080"/>
      <c r="E357" s="1080"/>
      <c r="F357" s="1080"/>
      <c r="G357" s="1055"/>
      <c r="H357" s="1080"/>
      <c r="I357" s="1081"/>
      <c r="J357" s="1049"/>
      <c r="K357" s="1049"/>
      <c r="L357" s="1049"/>
      <c r="M357" s="1049"/>
      <c r="N357" s="1087"/>
      <c r="O357" s="1087"/>
    </row>
    <row r="358" spans="1:16" s="1090" customFormat="1" ht="14.1">
      <c r="A358" s="1088"/>
      <c r="B358" s="1190" t="s">
        <v>2440</v>
      </c>
      <c r="C358" s="1048">
        <v>1</v>
      </c>
      <c r="D358" s="1048" t="s">
        <v>1472</v>
      </c>
      <c r="E358" s="1048">
        <v>1</v>
      </c>
      <c r="F358" s="1049">
        <v>1.8</v>
      </c>
      <c r="H358" s="1049">
        <v>2.4</v>
      </c>
      <c r="I358" s="1049">
        <v>1</v>
      </c>
      <c r="J358" s="1049">
        <f>'data- Doors window- Teak'!J236</f>
        <v>38298.298047999997</v>
      </c>
      <c r="K358" s="1053">
        <f>ROUND(J358*I358,0)</f>
        <v>38298</v>
      </c>
      <c r="L358" s="1049"/>
      <c r="M358" s="1049"/>
      <c r="N358" s="1185"/>
      <c r="O358" s="1185"/>
    </row>
    <row r="359" spans="1:16" ht="14.1">
      <c r="A359" s="1046"/>
      <c r="B359" s="1178"/>
      <c r="C359" s="1048"/>
      <c r="D359" s="1048"/>
      <c r="E359" s="1048"/>
      <c r="F359" s="1049"/>
      <c r="G359" s="1049"/>
      <c r="H359" s="1049"/>
      <c r="I359" s="1053" t="s">
        <v>472</v>
      </c>
      <c r="J359" s="1053" t="s">
        <v>166</v>
      </c>
      <c r="K359" s="1053"/>
      <c r="L359" s="1049">
        <f>0.03*9</f>
        <v>0.27</v>
      </c>
      <c r="M359" s="1055" t="e">
        <f>L359*I359</f>
        <v>#VALUE!</v>
      </c>
      <c r="N359" s="1087"/>
      <c r="O359" s="1087"/>
    </row>
    <row r="360" spans="1:16" ht="147.75" customHeight="1">
      <c r="A360" s="1046">
        <v>25</v>
      </c>
      <c r="B360" s="2415" t="s">
        <v>2269</v>
      </c>
      <c r="C360" s="2416"/>
      <c r="D360" s="2416"/>
      <c r="E360" s="2416"/>
      <c r="F360" s="2416"/>
      <c r="G360" s="2416"/>
      <c r="H360" s="2416"/>
      <c r="I360" s="2417"/>
      <c r="J360" s="1049"/>
      <c r="K360" s="1049"/>
      <c r="L360" s="1049"/>
      <c r="M360" s="1049"/>
      <c r="N360" s="1087"/>
      <c r="O360" s="1087"/>
    </row>
    <row r="361" spans="1:16" s="1090" customFormat="1" ht="14.1">
      <c r="A361" s="1088"/>
      <c r="B361" s="1061" t="s">
        <v>2265</v>
      </c>
      <c r="C361" s="1048">
        <v>1</v>
      </c>
      <c r="D361" s="1048" t="s">
        <v>1472</v>
      </c>
      <c r="E361" s="1048">
        <v>2</v>
      </c>
      <c r="F361" s="1049">
        <v>1.5</v>
      </c>
      <c r="H361" s="1049">
        <v>2.4</v>
      </c>
      <c r="I361" s="1049">
        <v>2</v>
      </c>
      <c r="J361" s="1049">
        <f>' data-Doors window- Sal Wood '!J194</f>
        <v>13907.051390000001</v>
      </c>
      <c r="K361" s="1053">
        <f>ROUND(J361*I361,0)</f>
        <v>27814</v>
      </c>
      <c r="L361" s="1049"/>
      <c r="M361" s="1049"/>
      <c r="N361" s="1185"/>
      <c r="O361" s="1185"/>
    </row>
    <row r="362" spans="1:16" ht="14.1">
      <c r="A362" s="1046"/>
      <c r="B362" s="1060"/>
      <c r="C362" s="1048"/>
      <c r="D362" s="1048"/>
      <c r="E362" s="1048"/>
      <c r="F362" s="1049"/>
      <c r="G362" s="1049"/>
      <c r="H362" s="1049"/>
      <c r="I362" s="1053" t="s">
        <v>472</v>
      </c>
      <c r="J362" s="1053" t="s">
        <v>166</v>
      </c>
      <c r="K362" s="1053"/>
      <c r="L362" s="1049">
        <f>0.03*9</f>
        <v>0.27</v>
      </c>
      <c r="M362" s="1055" t="e">
        <f>L362*I362</f>
        <v>#VALUE!</v>
      </c>
      <c r="N362" s="1087"/>
      <c r="O362" s="1087"/>
    </row>
    <row r="363" spans="1:16" ht="147.75" customHeight="1">
      <c r="A363" s="1046">
        <v>26</v>
      </c>
      <c r="B363" s="2415" t="s">
        <v>2276</v>
      </c>
      <c r="C363" s="2416"/>
      <c r="D363" s="2416"/>
      <c r="E363" s="2416"/>
      <c r="F363" s="2416"/>
      <c r="G363" s="2416"/>
      <c r="H363" s="2416"/>
      <c r="I363" s="2417"/>
      <c r="J363" s="1049"/>
      <c r="K363" s="1049"/>
      <c r="L363" s="1049"/>
      <c r="M363" s="1049"/>
      <c r="N363" s="1087"/>
      <c r="O363" s="1087"/>
    </row>
    <row r="364" spans="1:16" s="1090" customFormat="1" ht="14.1">
      <c r="A364" s="1088"/>
      <c r="B364" s="1061" t="s">
        <v>2277</v>
      </c>
      <c r="C364" s="1048">
        <v>1</v>
      </c>
      <c r="D364" s="1048" t="s">
        <v>1472</v>
      </c>
      <c r="E364" s="1048">
        <v>2</v>
      </c>
      <c r="F364" s="1049">
        <v>0.9</v>
      </c>
      <c r="H364" s="1049">
        <v>2.1</v>
      </c>
      <c r="I364" s="1049">
        <v>2</v>
      </c>
      <c r="J364" s="1049">
        <f>' data-Doors window- Sal Wood '!J85</f>
        <v>12556.041137249998</v>
      </c>
      <c r="K364" s="1053">
        <f>ROUND(J364*I364,0)</f>
        <v>25112</v>
      </c>
      <c r="L364" s="1049"/>
      <c r="M364" s="1049"/>
      <c r="N364" s="1185"/>
      <c r="O364" s="1185"/>
    </row>
    <row r="365" spans="1:16" ht="14.1">
      <c r="A365" s="1046"/>
      <c r="B365" s="1060"/>
      <c r="C365" s="1048"/>
      <c r="D365" s="1048"/>
      <c r="E365" s="1048"/>
      <c r="F365" s="1049"/>
      <c r="G365" s="1049"/>
      <c r="H365" s="1049"/>
      <c r="I365" s="1053" t="s">
        <v>472</v>
      </c>
      <c r="J365" s="1053" t="s">
        <v>166</v>
      </c>
      <c r="K365" s="1053"/>
      <c r="L365" s="1049">
        <f>0.03*9</f>
        <v>0.27</v>
      </c>
      <c r="M365" s="1055" t="e">
        <f>L365*I365</f>
        <v>#VALUE!</v>
      </c>
      <c r="N365" s="1087"/>
      <c r="O365" s="1087"/>
    </row>
    <row r="366" spans="1:16" ht="174.9" customHeight="1">
      <c r="A366" s="1046">
        <v>27</v>
      </c>
      <c r="B366" s="2415" t="s">
        <v>2246</v>
      </c>
      <c r="C366" s="2416"/>
      <c r="D366" s="2416"/>
      <c r="E366" s="2416"/>
      <c r="F366" s="2416"/>
      <c r="G366" s="2416"/>
      <c r="H366" s="2416"/>
      <c r="I366" s="2417"/>
      <c r="J366" s="1049"/>
      <c r="K366" s="1049"/>
      <c r="L366" s="1049"/>
      <c r="M366" s="1049"/>
      <c r="N366" s="1087"/>
      <c r="O366" s="1087"/>
    </row>
    <row r="367" spans="1:16" s="1090" customFormat="1" ht="14.1">
      <c r="A367" s="1088"/>
      <c r="B367" s="1071"/>
      <c r="C367" s="1048"/>
      <c r="D367" s="1048"/>
      <c r="E367" s="1048"/>
      <c r="F367" s="1049"/>
      <c r="H367" s="1049"/>
      <c r="I367" s="1049"/>
      <c r="J367" s="1049"/>
      <c r="K367" s="1053"/>
      <c r="L367" s="1049"/>
      <c r="M367" s="1068"/>
      <c r="N367" s="1185"/>
      <c r="O367" s="1185"/>
      <c r="P367" s="1090">
        <v>6134</v>
      </c>
    </row>
    <row r="368" spans="1:16" s="1090" customFormat="1" ht="14.1">
      <c r="A368" s="1088"/>
      <c r="B368" s="1061" t="s">
        <v>2357</v>
      </c>
      <c r="C368" s="1048">
        <v>1</v>
      </c>
      <c r="D368" s="1048" t="s">
        <v>1472</v>
      </c>
      <c r="E368" s="1048">
        <v>4</v>
      </c>
      <c r="F368" s="1049">
        <v>1.5</v>
      </c>
      <c r="H368" s="1049">
        <v>1.2</v>
      </c>
      <c r="I368" s="1049">
        <f>H368*F368*E368</f>
        <v>7.1999999999999993</v>
      </c>
      <c r="J368" s="1049">
        <v>6134</v>
      </c>
      <c r="K368" s="1053">
        <f>ROUND(J368*I368,0)</f>
        <v>44165</v>
      </c>
      <c r="L368" s="1049"/>
      <c r="M368" s="1049"/>
      <c r="N368" s="1185"/>
      <c r="O368" s="1185"/>
      <c r="P368" s="1090">
        <f>(350/0.3048^2)</f>
        <v>3767.3686458484026</v>
      </c>
    </row>
    <row r="369" spans="1:15" ht="14.1">
      <c r="A369" s="1046"/>
      <c r="B369" s="1060"/>
      <c r="C369" s="1048"/>
      <c r="D369" s="1048"/>
      <c r="E369" s="1048"/>
      <c r="F369" s="1049"/>
      <c r="G369" s="1049"/>
      <c r="H369" s="1049"/>
      <c r="I369" s="1053" t="s">
        <v>1478</v>
      </c>
      <c r="J369" s="1053" t="s">
        <v>2169</v>
      </c>
      <c r="K369" s="1053"/>
      <c r="L369" s="1049">
        <f>0.03*9</f>
        <v>0.27</v>
      </c>
      <c r="M369" s="1055" t="e">
        <f>L369*I369</f>
        <v>#VALUE!</v>
      </c>
      <c r="N369" s="1087"/>
      <c r="O369" s="1087"/>
    </row>
    <row r="370" spans="1:15" ht="138.75" customHeight="1">
      <c r="A370" s="1046">
        <v>28</v>
      </c>
      <c r="B370" s="2415" t="s">
        <v>2274</v>
      </c>
      <c r="C370" s="2416"/>
      <c r="D370" s="2416"/>
      <c r="E370" s="2416"/>
      <c r="F370" s="2416"/>
      <c r="G370" s="2416"/>
      <c r="H370" s="2416"/>
      <c r="I370" s="2417"/>
      <c r="J370" s="1049"/>
      <c r="K370" s="1049"/>
      <c r="L370" s="1049"/>
      <c r="M370" s="1049"/>
      <c r="N370" s="1087"/>
      <c r="O370" s="1087"/>
    </row>
    <row r="371" spans="1:15" ht="14.1">
      <c r="A371" s="1046"/>
      <c r="B371" s="1057" t="s">
        <v>2144</v>
      </c>
      <c r="C371" s="1048"/>
      <c r="D371" s="1048"/>
      <c r="E371" s="1048"/>
      <c r="F371" s="1049"/>
      <c r="G371" s="1049"/>
      <c r="H371" s="1049"/>
      <c r="I371" s="1053"/>
      <c r="J371" s="1053"/>
      <c r="K371" s="1053"/>
      <c r="L371" s="1049">
        <f>0.03*9</f>
        <v>0.27</v>
      </c>
      <c r="M371" s="1055">
        <f>L371*I371</f>
        <v>0</v>
      </c>
      <c r="N371" s="1087"/>
      <c r="O371" s="1087"/>
    </row>
    <row r="372" spans="1:15" s="1090" customFormat="1" ht="14.1">
      <c r="A372" s="1088"/>
      <c r="B372" s="1061" t="s">
        <v>2279</v>
      </c>
      <c r="C372" s="1048">
        <v>1</v>
      </c>
      <c r="D372" s="1048" t="s">
        <v>1472</v>
      </c>
      <c r="E372" s="1048">
        <v>2</v>
      </c>
      <c r="F372" s="1049">
        <v>0.75</v>
      </c>
      <c r="H372" s="1049">
        <v>2.1</v>
      </c>
      <c r="I372" s="1049">
        <v>2</v>
      </c>
      <c r="J372" s="1049">
        <f>' data-Doors window- Sal Wood '!J49</f>
        <v>10819.3</v>
      </c>
      <c r="K372" s="1053">
        <f>ROUND(J372*I372,0)</f>
        <v>21639</v>
      </c>
      <c r="L372" s="1049"/>
      <c r="M372" s="1049"/>
      <c r="N372" s="1185"/>
      <c r="O372" s="1185"/>
    </row>
    <row r="373" spans="1:15" ht="14.1">
      <c r="A373" s="1046"/>
      <c r="B373" s="1060"/>
      <c r="C373" s="1048"/>
      <c r="D373" s="1048"/>
      <c r="E373" s="1048"/>
      <c r="F373" s="1049"/>
      <c r="G373" s="1049"/>
      <c r="H373" s="1049"/>
      <c r="I373" s="1053" t="s">
        <v>472</v>
      </c>
      <c r="J373" s="1053" t="s">
        <v>166</v>
      </c>
      <c r="K373" s="1053"/>
      <c r="L373" s="1049">
        <f>0.03*9</f>
        <v>0.27</v>
      </c>
      <c r="M373" s="1055" t="e">
        <f>L373*I373</f>
        <v>#VALUE!</v>
      </c>
      <c r="N373" s="1087"/>
      <c r="O373" s="1087"/>
    </row>
    <row r="374" spans="1:15" s="1095" customFormat="1" ht="52.5" customHeight="1">
      <c r="A374" s="1093">
        <v>29</v>
      </c>
      <c r="B374" s="2404" t="s">
        <v>909</v>
      </c>
      <c r="C374" s="2405"/>
      <c r="D374" s="2405"/>
      <c r="E374" s="2405"/>
      <c r="F374" s="2405"/>
      <c r="G374" s="2405"/>
      <c r="H374" s="2405"/>
      <c r="I374" s="2406"/>
      <c r="J374" s="1094"/>
      <c r="K374" s="1094"/>
      <c r="L374" s="1094"/>
      <c r="M374" s="1094"/>
      <c r="N374" s="1166"/>
      <c r="O374" s="1166"/>
    </row>
    <row r="375" spans="1:15" ht="14.1">
      <c r="A375" s="1046"/>
      <c r="B375" s="1061" t="s">
        <v>2215</v>
      </c>
      <c r="C375" s="1048">
        <v>1</v>
      </c>
      <c r="D375" s="1048" t="s">
        <v>1472</v>
      </c>
      <c r="E375" s="1048">
        <v>6</v>
      </c>
      <c r="F375" s="1049">
        <f>11*0.3048</f>
        <v>3.3528000000000002</v>
      </c>
      <c r="G375" s="1096">
        <v>1</v>
      </c>
      <c r="H375" s="1049">
        <v>1.2</v>
      </c>
      <c r="I375" s="1049">
        <f>ROUND(C375*E375*F375*G375*H375,2)</f>
        <v>24.14</v>
      </c>
      <c r="J375" s="1049"/>
      <c r="K375" s="1049"/>
      <c r="L375" s="1049"/>
      <c r="M375" s="1049"/>
      <c r="N375" s="1087"/>
      <c r="O375" s="1087"/>
    </row>
    <row r="376" spans="1:15" ht="14.1">
      <c r="A376" s="1046"/>
      <c r="B376" s="1061" t="s">
        <v>2216</v>
      </c>
      <c r="C376" s="1048">
        <v>1</v>
      </c>
      <c r="D376" s="1048" t="s">
        <v>1472</v>
      </c>
      <c r="E376" s="1048">
        <v>2</v>
      </c>
      <c r="F376" s="1049">
        <v>2.4</v>
      </c>
      <c r="G376" s="1096">
        <v>1</v>
      </c>
      <c r="H376" s="1049">
        <v>2</v>
      </c>
      <c r="I376" s="1049">
        <f>ROUND(C376*E376*F376*G376*H376,2)</f>
        <v>9.6</v>
      </c>
      <c r="J376" s="1049"/>
      <c r="K376" s="1049"/>
      <c r="L376" s="1049"/>
      <c r="M376" s="1049"/>
      <c r="N376" s="1087"/>
      <c r="O376" s="1087"/>
    </row>
    <row r="377" spans="1:15" ht="14.1">
      <c r="A377" s="1046"/>
      <c r="B377" s="1061"/>
      <c r="C377" s="1048"/>
      <c r="D377" s="1048"/>
      <c r="E377" s="1048"/>
      <c r="F377" s="1049"/>
      <c r="G377" s="1096"/>
      <c r="H377" s="1049"/>
      <c r="I377" s="1049">
        <f>SUM(I375:I376)</f>
        <v>33.74</v>
      </c>
      <c r="J377" s="1049"/>
      <c r="K377" s="1049"/>
      <c r="L377" s="1049"/>
      <c r="M377" s="1049"/>
      <c r="N377" s="1087"/>
      <c r="O377" s="1087"/>
    </row>
    <row r="378" spans="1:15" ht="14.1">
      <c r="A378" s="1046"/>
      <c r="B378" s="1061"/>
      <c r="C378" s="1048"/>
      <c r="D378" s="1048"/>
      <c r="E378" s="1048"/>
      <c r="F378" s="1049"/>
      <c r="G378" s="1049"/>
      <c r="H378" s="1049"/>
      <c r="I378" s="1049">
        <f>ROUND(I377/0.3048^2*1.65,2)</f>
        <v>599.24</v>
      </c>
      <c r="J378" s="1049">
        <f>Datas!G1054</f>
        <v>116.62</v>
      </c>
      <c r="K378" s="1053">
        <f>ROUND(J378*I378,0)</f>
        <v>69883</v>
      </c>
      <c r="L378" s="1049"/>
      <c r="M378" s="1049"/>
      <c r="N378" s="1087"/>
      <c r="O378" s="1087"/>
    </row>
    <row r="379" spans="1:15" ht="14.1">
      <c r="A379" s="1046"/>
      <c r="B379" s="1061"/>
      <c r="C379" s="1048"/>
      <c r="D379" s="1048"/>
      <c r="E379" s="1048"/>
      <c r="F379" s="1049"/>
      <c r="G379" s="1049"/>
      <c r="H379" s="1049"/>
      <c r="I379" s="1053" t="s">
        <v>2240</v>
      </c>
      <c r="J379" s="1053" t="s">
        <v>2241</v>
      </c>
      <c r="K379" s="1053"/>
      <c r="L379" s="1049"/>
      <c r="M379" s="1049"/>
      <c r="N379" s="1087"/>
      <c r="O379" s="1087"/>
    </row>
    <row r="380" spans="1:15" ht="14.1">
      <c r="A380" s="1046"/>
      <c r="B380" s="1071"/>
      <c r="C380" s="1072"/>
      <c r="D380" s="1072"/>
      <c r="E380" s="1072"/>
      <c r="F380" s="1073"/>
      <c r="G380" s="1073"/>
      <c r="H380" s="1073"/>
      <c r="I380" s="1092"/>
      <c r="J380" s="1053"/>
      <c r="K380" s="1053"/>
      <c r="L380" s="1049"/>
      <c r="M380" s="1049"/>
      <c r="N380" s="1087"/>
      <c r="O380" s="1087"/>
    </row>
    <row r="381" spans="1:15" ht="56.25" customHeight="1">
      <c r="A381" s="1093">
        <v>30</v>
      </c>
      <c r="B381" s="2404" t="s">
        <v>2478</v>
      </c>
      <c r="C381" s="2405"/>
      <c r="D381" s="2405"/>
      <c r="E381" s="2405"/>
      <c r="F381" s="2405"/>
      <c r="G381" s="2405"/>
      <c r="H381" s="2405"/>
      <c r="I381" s="2406"/>
      <c r="J381" s="1094"/>
      <c r="K381" s="1094"/>
      <c r="L381" s="1049"/>
      <c r="M381" s="1049"/>
      <c r="N381" s="1087"/>
      <c r="O381" s="1087"/>
    </row>
    <row r="382" spans="1:15" ht="14.1">
      <c r="A382" s="1046"/>
      <c r="B382" s="1061" t="s">
        <v>2326</v>
      </c>
      <c r="C382" s="1048">
        <v>2</v>
      </c>
      <c r="D382" s="1048" t="s">
        <v>1472</v>
      </c>
      <c r="E382" s="1216">
        <v>6</v>
      </c>
      <c r="F382" s="1049"/>
      <c r="G382" s="1049"/>
      <c r="H382" s="1049"/>
      <c r="I382" s="1049">
        <v>80</v>
      </c>
      <c r="J382" s="1049">
        <v>95.38</v>
      </c>
      <c r="K382" s="1053">
        <f>ROUND(J382*I382/1,0)</f>
        <v>7630</v>
      </c>
      <c r="L382" s="1049"/>
      <c r="M382" s="1049"/>
      <c r="N382" s="1087"/>
      <c r="O382" s="1087"/>
    </row>
    <row r="383" spans="1:15" ht="14.1">
      <c r="A383" s="1046"/>
      <c r="B383" s="1061" t="s">
        <v>2479</v>
      </c>
      <c r="C383" s="1048"/>
      <c r="D383" s="1048"/>
      <c r="E383" s="1048"/>
      <c r="F383" s="1049"/>
      <c r="G383" s="1049"/>
      <c r="H383" s="1049"/>
      <c r="I383" s="1049" t="s">
        <v>1038</v>
      </c>
      <c r="J383" s="1049" t="s">
        <v>2328</v>
      </c>
      <c r="K383" s="1053"/>
      <c r="L383" s="1049"/>
      <c r="M383" s="1049"/>
      <c r="N383" s="1087"/>
      <c r="O383" s="1087"/>
    </row>
    <row r="384" spans="1:15" ht="45" customHeight="1">
      <c r="A384" s="1093">
        <v>31</v>
      </c>
      <c r="B384" s="2404" t="s">
        <v>2480</v>
      </c>
      <c r="C384" s="2405"/>
      <c r="D384" s="2405"/>
      <c r="E384" s="2405"/>
      <c r="F384" s="2405"/>
      <c r="G384" s="2405"/>
      <c r="H384" s="2405"/>
      <c r="I384" s="2406"/>
      <c r="J384" s="1094"/>
      <c r="K384" s="1094"/>
      <c r="L384" s="1049"/>
      <c r="M384" s="1049"/>
      <c r="N384" s="1087"/>
      <c r="O384" s="1087"/>
    </row>
    <row r="385" spans="1:15" ht="14.1">
      <c r="A385" s="1046"/>
      <c r="B385" s="1061" t="s">
        <v>2326</v>
      </c>
      <c r="C385" s="1048">
        <v>12</v>
      </c>
      <c r="D385" s="1048" t="s">
        <v>1472</v>
      </c>
      <c r="E385" s="1048">
        <v>6</v>
      </c>
      <c r="F385" s="1049">
        <v>0.5</v>
      </c>
      <c r="G385" s="1049"/>
      <c r="H385" s="1049"/>
      <c r="I385" s="1049">
        <v>88.92</v>
      </c>
      <c r="J385" s="1049">
        <v>90</v>
      </c>
      <c r="K385" s="1053">
        <f>ROUND(J385*I385/1,0)</f>
        <v>8003</v>
      </c>
      <c r="L385" s="1049"/>
      <c r="M385" s="1049"/>
      <c r="N385" s="1087"/>
      <c r="O385" s="1087"/>
    </row>
    <row r="386" spans="1:15" ht="14.1">
      <c r="A386" s="1046"/>
      <c r="B386" s="1061" t="s">
        <v>2461</v>
      </c>
      <c r="C386" s="1048"/>
      <c r="D386" s="1048"/>
      <c r="E386" s="1048"/>
      <c r="F386" s="1049"/>
      <c r="G386" s="1049"/>
      <c r="H386" s="1049"/>
      <c r="I386" s="1049" t="s">
        <v>1038</v>
      </c>
      <c r="J386" s="1049" t="s">
        <v>2328</v>
      </c>
      <c r="K386" s="1053"/>
      <c r="L386" s="1049"/>
      <c r="M386" s="1049"/>
      <c r="N386" s="1087"/>
      <c r="O386" s="1087"/>
    </row>
    <row r="387" spans="1:15" ht="14.1">
      <c r="A387" s="1046"/>
      <c r="B387" s="1061"/>
      <c r="C387" s="1048"/>
      <c r="D387" s="1048"/>
      <c r="E387" s="1048"/>
      <c r="F387" s="1049"/>
      <c r="G387" s="1049"/>
      <c r="H387" s="1049"/>
      <c r="I387" s="1049"/>
      <c r="J387" s="1049"/>
      <c r="K387" s="1053"/>
      <c r="L387" s="1049"/>
      <c r="M387" s="1049"/>
      <c r="N387" s="1087"/>
      <c r="O387" s="1087"/>
    </row>
    <row r="388" spans="1:15" ht="103.5" customHeight="1">
      <c r="A388" s="1218">
        <v>32</v>
      </c>
      <c r="B388" s="2567" t="s">
        <v>2344</v>
      </c>
      <c r="C388" s="2405"/>
      <c r="D388" s="2405"/>
      <c r="E388" s="2405"/>
      <c r="F388" s="2405"/>
      <c r="G388" s="2405"/>
      <c r="H388" s="2405"/>
      <c r="I388" s="2406"/>
      <c r="J388" s="1094"/>
      <c r="K388" s="1094"/>
      <c r="L388" s="1049"/>
      <c r="M388" s="1049"/>
      <c r="N388" s="1087"/>
      <c r="O388" s="1087"/>
    </row>
    <row r="389" spans="1:15" ht="14.4">
      <c r="A389" s="1220"/>
      <c r="B389" s="1172" t="s">
        <v>2341</v>
      </c>
      <c r="C389" s="1167"/>
      <c r="D389" s="1167"/>
      <c r="E389" s="1167"/>
      <c r="F389" s="1167"/>
      <c r="G389" s="1167"/>
      <c r="H389" s="1167"/>
      <c r="I389" s="1168"/>
      <c r="J389" s="1094"/>
      <c r="K389" s="1094"/>
      <c r="L389" s="1049"/>
      <c r="M389" s="1049"/>
      <c r="N389" s="1087"/>
      <c r="O389" s="1087"/>
    </row>
    <row r="390" spans="1:15" ht="14.4">
      <c r="A390" s="1221"/>
      <c r="B390" s="1172" t="s">
        <v>2413</v>
      </c>
      <c r="C390" s="1217"/>
      <c r="D390" s="1048"/>
      <c r="E390" s="1048"/>
      <c r="F390" s="1049"/>
      <c r="G390" s="1049"/>
      <c r="H390" s="1069"/>
      <c r="I390" s="1049"/>
      <c r="J390" s="1049"/>
      <c r="K390" s="1053"/>
      <c r="L390" s="1049"/>
      <c r="M390" s="1049"/>
      <c r="N390" s="1087"/>
      <c r="O390" s="1087"/>
    </row>
    <row r="391" spans="1:15" ht="14.4">
      <c r="A391" s="1221"/>
      <c r="B391" s="1172" t="s">
        <v>2343</v>
      </c>
      <c r="C391" s="1217">
        <v>1</v>
      </c>
      <c r="D391" s="1048" t="s">
        <v>1472</v>
      </c>
      <c r="E391" s="1048">
        <v>4</v>
      </c>
      <c r="F391" s="1049">
        <v>240</v>
      </c>
      <c r="G391" s="1049"/>
      <c r="H391" s="1049"/>
      <c r="I391" s="1049">
        <f>F391*E391</f>
        <v>960</v>
      </c>
      <c r="J391" s="1049">
        <f>'Data Truss and steel works'!G17</f>
        <v>142.25</v>
      </c>
      <c r="K391" s="1053">
        <f>ROUND(J391*I391/1,0)</f>
        <v>136560</v>
      </c>
      <c r="L391" s="1049"/>
      <c r="M391" s="1049"/>
      <c r="N391" s="1087"/>
      <c r="O391" s="1087"/>
    </row>
    <row r="392" spans="1:15" ht="14.1">
      <c r="A392" s="1041"/>
      <c r="B392" s="1219"/>
      <c r="C392" s="1048"/>
      <c r="D392" s="1048"/>
      <c r="E392" s="1048"/>
      <c r="F392" s="1049"/>
      <c r="G392" s="1049"/>
      <c r="H392" s="1049"/>
      <c r="I392" s="1049" t="s">
        <v>1038</v>
      </c>
      <c r="J392" s="1049" t="s">
        <v>2328</v>
      </c>
      <c r="K392" s="1053"/>
      <c r="L392" s="1049"/>
      <c r="M392" s="1049"/>
      <c r="N392" s="1087"/>
      <c r="O392" s="1087"/>
    </row>
    <row r="393" spans="1:15" ht="30.75" customHeight="1">
      <c r="A393" s="1093">
        <v>33</v>
      </c>
      <c r="B393" s="2404" t="s">
        <v>2345</v>
      </c>
      <c r="C393" s="2405"/>
      <c r="D393" s="2405"/>
      <c r="E393" s="2405"/>
      <c r="F393" s="2405"/>
      <c r="G393" s="2405"/>
      <c r="H393" s="2405"/>
      <c r="I393" s="2406"/>
      <c r="J393" s="1094"/>
      <c r="K393" s="1094"/>
      <c r="L393" s="1049"/>
      <c r="M393" s="1049"/>
      <c r="N393" s="1087"/>
      <c r="O393" s="1087"/>
    </row>
    <row r="394" spans="1:15" ht="14.4">
      <c r="A394" s="1046"/>
      <c r="B394" s="1170" t="s">
        <v>2540</v>
      </c>
      <c r="C394" s="1048">
        <v>14</v>
      </c>
      <c r="D394" s="1048" t="s">
        <v>1472</v>
      </c>
      <c r="E394" s="1048">
        <v>1</v>
      </c>
      <c r="F394" s="1194">
        <v>18.850000000000001</v>
      </c>
      <c r="G394" s="1049">
        <v>8.7200000000000006</v>
      </c>
      <c r="H394" s="1069"/>
      <c r="I394" s="1049">
        <f>G394*F394*E394*C394</f>
        <v>2301.2080000000001</v>
      </c>
      <c r="J394" s="1049"/>
      <c r="K394" s="1053"/>
      <c r="L394" s="1049"/>
      <c r="M394" s="1049"/>
      <c r="N394" s="1087"/>
      <c r="O394" s="1087"/>
    </row>
    <row r="395" spans="1:15" ht="14.4">
      <c r="A395" s="1046"/>
      <c r="B395" s="1170" t="s">
        <v>2541</v>
      </c>
      <c r="C395" s="1048"/>
      <c r="D395" s="1048"/>
      <c r="E395" s="1048"/>
      <c r="F395" s="1049"/>
      <c r="G395" s="1049"/>
      <c r="H395" s="1069"/>
      <c r="I395" s="1049">
        <f>ROUND(I394*5%,0)</f>
        <v>115</v>
      </c>
      <c r="J395" s="1049"/>
      <c r="K395" s="1053"/>
      <c r="L395" s="1049"/>
      <c r="M395" s="1049"/>
      <c r="N395" s="1087"/>
      <c r="O395" s="1087"/>
    </row>
    <row r="396" spans="1:15" ht="14.4">
      <c r="A396" s="1046"/>
      <c r="B396" s="1170"/>
      <c r="C396" s="1048"/>
      <c r="D396" s="1048"/>
      <c r="E396" s="1048"/>
      <c r="F396" s="1194"/>
      <c r="G396" s="1049"/>
      <c r="H396" s="1069"/>
      <c r="I396" s="1049">
        <f>SUM(I394:I395)</f>
        <v>2416.2080000000001</v>
      </c>
      <c r="J396" s="1049">
        <f>J391</f>
        <v>142.25</v>
      </c>
      <c r="K396" s="1053">
        <f>ROUND(J396*I396/1,0)</f>
        <v>343706</v>
      </c>
      <c r="L396" s="1049"/>
      <c r="M396" s="1049"/>
      <c r="N396" s="1087"/>
      <c r="O396" s="1087"/>
    </row>
    <row r="397" spans="1:15" ht="14.1">
      <c r="A397" s="1046"/>
      <c r="B397" s="1071"/>
      <c r="C397" s="1072"/>
      <c r="D397" s="1072"/>
      <c r="E397" s="1072"/>
      <c r="F397" s="1073"/>
      <c r="G397" s="1074"/>
      <c r="H397" s="1069"/>
      <c r="I397" s="1049" t="s">
        <v>1038</v>
      </c>
      <c r="J397" s="1049" t="s">
        <v>2328</v>
      </c>
      <c r="K397" s="1053"/>
      <c r="L397" s="1049"/>
      <c r="M397" s="1049"/>
      <c r="N397" s="1087"/>
      <c r="O397" s="1087"/>
    </row>
    <row r="398" spans="1:15" ht="134.25" customHeight="1">
      <c r="A398" s="1093">
        <v>34</v>
      </c>
      <c r="B398" s="2404" t="s">
        <v>2346</v>
      </c>
      <c r="C398" s="2405"/>
      <c r="D398" s="2405"/>
      <c r="E398" s="2405"/>
      <c r="F398" s="2405"/>
      <c r="G398" s="2405"/>
      <c r="H398" s="2405"/>
      <c r="I398" s="2406"/>
      <c r="J398" s="1094"/>
      <c r="K398" s="1094"/>
      <c r="L398" s="1049"/>
      <c r="M398" s="1049"/>
      <c r="N398" s="1087"/>
      <c r="O398" s="1087"/>
    </row>
    <row r="399" spans="1:15" ht="14.4">
      <c r="A399" s="1093"/>
      <c r="B399" s="1170" t="s">
        <v>2347</v>
      </c>
      <c r="C399" s="1048">
        <v>2</v>
      </c>
      <c r="D399" s="1048" t="s">
        <v>1472</v>
      </c>
      <c r="E399" s="1048"/>
      <c r="F399" s="1194">
        <v>19.350000000000001</v>
      </c>
      <c r="G399" s="1049">
        <v>6.2</v>
      </c>
      <c r="H399" s="1049"/>
      <c r="I399" s="1049">
        <f>G399*F399*C399</f>
        <v>239.94000000000003</v>
      </c>
      <c r="J399" s="1094"/>
      <c r="K399" s="1094"/>
      <c r="L399" s="1049"/>
      <c r="M399" s="1049"/>
      <c r="N399" s="1087"/>
      <c r="O399" s="1087"/>
    </row>
    <row r="400" spans="1:15" ht="14.4">
      <c r="A400" s="1093"/>
      <c r="B400" s="1170" t="s">
        <v>2531</v>
      </c>
      <c r="C400" s="1048">
        <v>1</v>
      </c>
      <c r="D400" s="1048" t="s">
        <v>1472</v>
      </c>
      <c r="E400" s="1048"/>
      <c r="F400" s="1194">
        <v>2.4</v>
      </c>
      <c r="G400" s="1049">
        <v>1.5</v>
      </c>
      <c r="H400" s="1049"/>
      <c r="I400" s="1049">
        <f>G400*F400*C400</f>
        <v>3.5999999999999996</v>
      </c>
      <c r="J400" s="1094"/>
      <c r="K400" s="1094"/>
      <c r="L400" s="1049"/>
      <c r="M400" s="1049"/>
      <c r="N400" s="1087"/>
      <c r="O400" s="1087"/>
    </row>
    <row r="401" spans="1:16" ht="14.4">
      <c r="A401" s="1093"/>
      <c r="B401" s="1170" t="s">
        <v>2349</v>
      </c>
      <c r="C401" s="1048">
        <v>1</v>
      </c>
      <c r="D401" s="1048" t="s">
        <v>1472</v>
      </c>
      <c r="E401" s="1048"/>
      <c r="F401" s="1049">
        <v>19.350000000000001</v>
      </c>
      <c r="G401" s="1049">
        <v>0.4</v>
      </c>
      <c r="H401" s="1069"/>
      <c r="I401" s="1049">
        <f>G401*F401*C401</f>
        <v>7.7400000000000011</v>
      </c>
      <c r="J401" s="1094"/>
      <c r="K401" s="1094"/>
      <c r="L401" s="1049"/>
      <c r="M401" s="1049"/>
      <c r="N401" s="1087"/>
      <c r="O401" s="1087"/>
    </row>
    <row r="402" spans="1:16" ht="14.4">
      <c r="A402" s="1046"/>
      <c r="B402" s="1170"/>
      <c r="C402" s="1048"/>
      <c r="D402" s="1048"/>
      <c r="E402" s="1048"/>
      <c r="F402" s="1049"/>
      <c r="G402" s="1049"/>
      <c r="H402" s="1069"/>
      <c r="I402" s="1049">
        <f>SUM(I399:I401)</f>
        <v>251.28000000000003</v>
      </c>
      <c r="J402" s="1049">
        <f>Datas!G1173</f>
        <v>735.21</v>
      </c>
      <c r="K402" s="1053">
        <f>ROUND(J402*I402/1,0)</f>
        <v>184744</v>
      </c>
      <c r="L402" s="1049"/>
      <c r="M402" s="1049"/>
      <c r="N402" s="1087"/>
      <c r="O402" s="1087"/>
    </row>
    <row r="403" spans="1:16" ht="14.1">
      <c r="A403" s="1046"/>
      <c r="B403" s="1071"/>
      <c r="C403" s="1072"/>
      <c r="D403" s="1072"/>
      <c r="E403" s="1072"/>
      <c r="F403" s="1073"/>
      <c r="G403" s="1074"/>
      <c r="H403" s="1069"/>
      <c r="I403" s="1049" t="s">
        <v>1478</v>
      </c>
      <c r="J403" s="1049" t="s">
        <v>2348</v>
      </c>
      <c r="K403" s="1053"/>
      <c r="L403" s="1049"/>
      <c r="M403" s="1049"/>
      <c r="N403" s="1087"/>
      <c r="O403" s="1087"/>
      <c r="P403" s="1087">
        <f>O403-N403</f>
        <v>0</v>
      </c>
    </row>
    <row r="404" spans="1:16" ht="116.25" customHeight="1">
      <c r="A404" s="1046">
        <v>35</v>
      </c>
      <c r="B404" s="2415" t="s">
        <v>2442</v>
      </c>
      <c r="C404" s="2416"/>
      <c r="D404" s="2416"/>
      <c r="E404" s="2416"/>
      <c r="F404" s="2416"/>
      <c r="G404" s="2416"/>
      <c r="H404" s="2416"/>
      <c r="I404" s="2417"/>
      <c r="J404" s="1049"/>
      <c r="K404" s="1049"/>
      <c r="L404" s="1049"/>
      <c r="M404" s="1049"/>
      <c r="N404" s="1087"/>
      <c r="O404" s="1087"/>
    </row>
    <row r="405" spans="1:16" ht="14.1">
      <c r="A405" s="1046"/>
      <c r="B405" s="1060" t="s">
        <v>466</v>
      </c>
      <c r="C405" s="1082"/>
      <c r="D405" s="1082"/>
      <c r="E405" s="1082"/>
      <c r="F405" s="1083"/>
      <c r="G405" s="1083"/>
      <c r="H405" s="1083"/>
      <c r="I405" s="1083"/>
      <c r="J405" s="1049"/>
      <c r="K405" s="1049"/>
      <c r="L405" s="1049"/>
      <c r="M405" s="1049"/>
      <c r="N405" s="1087"/>
      <c r="O405" s="1087"/>
    </row>
    <row r="406" spans="1:16" ht="14.1">
      <c r="A406" s="1046"/>
      <c r="B406" s="1050" t="s">
        <v>2115</v>
      </c>
      <c r="C406" s="1048">
        <v>1</v>
      </c>
      <c r="D406" s="1048" t="s">
        <v>1472</v>
      </c>
      <c r="E406" s="1048">
        <v>2</v>
      </c>
      <c r="F406" s="1049">
        <f>(60.75-0.23*2)*0.3048</f>
        <v>18.376391999999999</v>
      </c>
      <c r="G406" s="1049"/>
      <c r="H406" s="1049">
        <v>3.6</v>
      </c>
      <c r="I406" s="1049">
        <f>ROUND(C406*E406*F406*H406,2)</f>
        <v>132.31</v>
      </c>
      <c r="J406" s="1049"/>
      <c r="K406" s="1049"/>
      <c r="L406" s="1049"/>
      <c r="M406" s="1049"/>
      <c r="N406" s="1087"/>
      <c r="O406" s="1087"/>
    </row>
    <row r="407" spans="1:16" ht="14.1">
      <c r="A407" s="1046"/>
      <c r="B407" s="1050" t="s">
        <v>2033</v>
      </c>
      <c r="C407" s="1048">
        <v>1</v>
      </c>
      <c r="D407" s="1048" t="s">
        <v>1472</v>
      </c>
      <c r="E407" s="1048">
        <v>2</v>
      </c>
      <c r="F407" s="1049">
        <f>(31.5-2*0.23)*0.3048</f>
        <v>9.460992000000001</v>
      </c>
      <c r="G407" s="1049"/>
      <c r="H407" s="1164" t="s">
        <v>2287</v>
      </c>
      <c r="I407" s="1049">
        <f>ROUND(C407*E407*F407*AVERAGE(3.6,5.4,3.6),2)</f>
        <v>79.47</v>
      </c>
      <c r="J407" s="1049"/>
      <c r="K407" s="1049"/>
      <c r="L407" s="1049"/>
      <c r="M407" s="1049"/>
      <c r="N407" s="1087"/>
      <c r="O407" s="1087"/>
    </row>
    <row r="408" spans="1:16" ht="27.6">
      <c r="A408" s="1046"/>
      <c r="B408" s="1050" t="s">
        <v>2116</v>
      </c>
      <c r="C408" s="1048">
        <v>1</v>
      </c>
      <c r="D408" s="1048" t="s">
        <v>1472</v>
      </c>
      <c r="E408" s="1048">
        <v>2</v>
      </c>
      <c r="F408" s="1049">
        <f>(31.5-2*0.23)*0.3048</f>
        <v>9.460992000000001</v>
      </c>
      <c r="G408" s="1049"/>
      <c r="H408" s="1049">
        <v>3.6</v>
      </c>
      <c r="I408" s="1049">
        <f>ROUND(C408*E408*F408*H408,2)</f>
        <v>68.12</v>
      </c>
      <c r="J408" s="1049"/>
      <c r="K408" s="1049"/>
      <c r="L408" s="1049"/>
      <c r="M408" s="1049"/>
      <c r="N408" s="1087"/>
      <c r="O408" s="1087"/>
    </row>
    <row r="409" spans="1:16" ht="14.1">
      <c r="A409" s="1046"/>
      <c r="B409" s="1050" t="s">
        <v>2134</v>
      </c>
      <c r="C409" s="1048">
        <v>1</v>
      </c>
      <c r="D409" s="1048" t="s">
        <v>1472</v>
      </c>
      <c r="E409" s="1048">
        <v>2</v>
      </c>
      <c r="F409" s="1049">
        <v>3.6</v>
      </c>
      <c r="G409" s="1049"/>
      <c r="H409" s="1049">
        <v>3.6</v>
      </c>
      <c r="I409" s="1049">
        <f>ROUND(C409*E409*F409*H409,2)</f>
        <v>25.92</v>
      </c>
      <c r="J409" s="1049"/>
      <c r="K409" s="1049"/>
      <c r="L409" s="1049"/>
      <c r="M409" s="1049"/>
      <c r="N409" s="1087"/>
      <c r="O409" s="1087"/>
    </row>
    <row r="410" spans="1:16" ht="14.1">
      <c r="A410" s="1046"/>
      <c r="B410" s="1060" t="s">
        <v>675</v>
      </c>
      <c r="C410" s="1048"/>
      <c r="D410" s="1048"/>
      <c r="E410" s="1048"/>
      <c r="F410" s="1049"/>
      <c r="G410" s="1049"/>
      <c r="H410" s="1049"/>
      <c r="I410" s="1049"/>
      <c r="J410" s="1049"/>
      <c r="K410" s="1049"/>
      <c r="L410" s="1049"/>
      <c r="M410" s="1049"/>
      <c r="N410" s="1087"/>
      <c r="O410" s="1087"/>
    </row>
    <row r="411" spans="1:16">
      <c r="A411" s="1076"/>
      <c r="B411" s="1061" t="s">
        <v>2223</v>
      </c>
      <c r="C411" s="1048">
        <v>1</v>
      </c>
      <c r="D411" s="1048" t="s">
        <v>1472</v>
      </c>
      <c r="E411" s="1048">
        <v>1</v>
      </c>
      <c r="F411" s="1049">
        <v>1.8</v>
      </c>
      <c r="G411" s="1084">
        <v>1</v>
      </c>
      <c r="H411" s="1049">
        <v>2.4</v>
      </c>
      <c r="I411" s="1049">
        <f t="shared" ref="I411:I416" si="14">-ROUND(C411*E411*F411*G411*H411,2)</f>
        <v>-4.32</v>
      </c>
      <c r="J411" s="1049"/>
      <c r="K411" s="1049"/>
      <c r="L411" s="1049"/>
      <c r="M411" s="1049"/>
      <c r="N411" s="1087"/>
      <c r="O411" s="1087"/>
    </row>
    <row r="412" spans="1:16">
      <c r="A412" s="1076"/>
      <c r="B412" s="1061" t="s">
        <v>980</v>
      </c>
      <c r="C412" s="1048">
        <v>1</v>
      </c>
      <c r="D412" s="1048" t="s">
        <v>1472</v>
      </c>
      <c r="E412" s="1048">
        <v>2</v>
      </c>
      <c r="F412" s="1049">
        <v>1.5</v>
      </c>
      <c r="G412" s="1084">
        <v>1</v>
      </c>
      <c r="H412" s="1049">
        <v>2.4</v>
      </c>
      <c r="I412" s="1049">
        <f t="shared" si="14"/>
        <v>-7.2</v>
      </c>
      <c r="J412" s="1049"/>
      <c r="K412" s="1049"/>
      <c r="L412" s="1049"/>
      <c r="M412" s="1049"/>
      <c r="N412" s="1087"/>
      <c r="O412" s="1087"/>
    </row>
    <row r="413" spans="1:16">
      <c r="A413" s="1076"/>
      <c r="B413" s="1061" t="s">
        <v>981</v>
      </c>
      <c r="C413" s="1048">
        <v>1</v>
      </c>
      <c r="D413" s="1048" t="s">
        <v>1472</v>
      </c>
      <c r="E413" s="1048">
        <v>2</v>
      </c>
      <c r="F413" s="1049">
        <v>0.9</v>
      </c>
      <c r="G413" s="1084">
        <v>1</v>
      </c>
      <c r="H413" s="1049">
        <v>2.1</v>
      </c>
      <c r="I413" s="1049">
        <f t="shared" si="14"/>
        <v>-3.78</v>
      </c>
      <c r="J413" s="1049"/>
      <c r="K413" s="1049"/>
      <c r="L413" s="1049"/>
      <c r="M413" s="1049"/>
      <c r="N413" s="1087"/>
      <c r="O413" s="1087"/>
    </row>
    <row r="414" spans="1:16">
      <c r="A414" s="1076"/>
      <c r="B414" s="1061" t="s">
        <v>2466</v>
      </c>
      <c r="C414" s="1048">
        <v>1</v>
      </c>
      <c r="D414" s="1048" t="s">
        <v>1472</v>
      </c>
      <c r="E414" s="1048">
        <v>1</v>
      </c>
      <c r="F414" s="1049">
        <v>1.5</v>
      </c>
      <c r="G414" s="1084">
        <v>1</v>
      </c>
      <c r="H414" s="1049">
        <v>1.2</v>
      </c>
      <c r="I414" s="1049">
        <f t="shared" si="14"/>
        <v>-1.8</v>
      </c>
      <c r="J414" s="1049"/>
      <c r="K414" s="1049"/>
      <c r="L414" s="1049"/>
      <c r="M414" s="1049"/>
      <c r="N414" s="1087"/>
      <c r="O414" s="1087"/>
    </row>
    <row r="415" spans="1:16" ht="14.1">
      <c r="A415" s="1046"/>
      <c r="B415" s="1061" t="s">
        <v>2215</v>
      </c>
      <c r="C415" s="1048">
        <v>1</v>
      </c>
      <c r="D415" s="1048" t="s">
        <v>1472</v>
      </c>
      <c r="E415" s="1048">
        <v>6</v>
      </c>
      <c r="F415" s="1049">
        <f>11*0.3048</f>
        <v>3.3528000000000002</v>
      </c>
      <c r="G415" s="1084">
        <v>1</v>
      </c>
      <c r="H415" s="1049">
        <v>0.9</v>
      </c>
      <c r="I415" s="1049">
        <f t="shared" si="14"/>
        <v>-18.11</v>
      </c>
      <c r="J415" s="1049"/>
      <c r="K415" s="1049"/>
      <c r="L415" s="1049"/>
      <c r="M415" s="1049"/>
      <c r="N415" s="1087"/>
      <c r="O415" s="1087"/>
    </row>
    <row r="416" spans="1:16" ht="14.1">
      <c r="A416" s="1046"/>
      <c r="B416" s="1061" t="s">
        <v>2216</v>
      </c>
      <c r="C416" s="1048">
        <v>1</v>
      </c>
      <c r="D416" s="1048" t="s">
        <v>1472</v>
      </c>
      <c r="E416" s="1048">
        <v>2</v>
      </c>
      <c r="F416" s="1049">
        <v>2.4</v>
      </c>
      <c r="G416" s="1084">
        <v>1</v>
      </c>
      <c r="H416" s="1049">
        <v>2</v>
      </c>
      <c r="I416" s="1049">
        <f t="shared" si="14"/>
        <v>-9.6</v>
      </c>
      <c r="J416" s="1049"/>
      <c r="K416" s="1049"/>
      <c r="L416" s="1049"/>
      <c r="M416" s="1049"/>
      <c r="N416" s="1087"/>
      <c r="O416" s="1087"/>
    </row>
    <row r="417" spans="1:15" ht="14.1">
      <c r="A417" s="1048"/>
      <c r="B417" s="1060" t="s">
        <v>2124</v>
      </c>
      <c r="C417" s="1048"/>
      <c r="D417" s="1048"/>
      <c r="E417" s="1048"/>
      <c r="F417" s="1049"/>
      <c r="G417" s="1049"/>
      <c r="H417" s="1049"/>
      <c r="I417" s="1049"/>
      <c r="J417" s="1049"/>
      <c r="K417" s="1049"/>
      <c r="L417" s="1049"/>
      <c r="M417" s="1049"/>
      <c r="N417" s="1087"/>
      <c r="O417" s="1087"/>
    </row>
    <row r="418" spans="1:15" ht="14.1">
      <c r="A418" s="1046"/>
      <c r="B418" s="1050" t="s">
        <v>2093</v>
      </c>
      <c r="C418" s="1048">
        <v>1</v>
      </c>
      <c r="D418" s="1048" t="s">
        <v>1472</v>
      </c>
      <c r="E418" s="1048">
        <v>2</v>
      </c>
      <c r="F418" s="1049">
        <f>10.5*0.3048</f>
        <v>3.2004000000000001</v>
      </c>
      <c r="G418" s="1084">
        <v>1</v>
      </c>
      <c r="H418" s="1049">
        <v>2.9</v>
      </c>
      <c r="I418" s="1049">
        <f>ROUND(C418*E418*F418*G418*H418,2)</f>
        <v>18.559999999999999</v>
      </c>
      <c r="J418" s="1049"/>
      <c r="K418" s="1049"/>
      <c r="L418" s="1049"/>
      <c r="M418" s="1049"/>
      <c r="N418" s="1087"/>
      <c r="O418" s="1087"/>
    </row>
    <row r="419" spans="1:15" ht="14.1">
      <c r="A419" s="1046"/>
      <c r="B419" s="1050" t="s">
        <v>2094</v>
      </c>
      <c r="C419" s="1048">
        <v>1</v>
      </c>
      <c r="D419" s="1048" t="s">
        <v>1472</v>
      </c>
      <c r="E419" s="1048">
        <v>2</v>
      </c>
      <c r="F419" s="1049">
        <f>10*0.3048</f>
        <v>3.048</v>
      </c>
      <c r="G419" s="1084">
        <v>1</v>
      </c>
      <c r="H419" s="1049">
        <v>2.9</v>
      </c>
      <c r="I419" s="1049">
        <f>ROUND(C419*E419*F419*G419*H419,2)</f>
        <v>17.68</v>
      </c>
      <c r="J419" s="1049"/>
      <c r="K419" s="1049"/>
      <c r="L419" s="1049"/>
      <c r="M419" s="1049"/>
      <c r="N419" s="1087"/>
      <c r="O419" s="1087"/>
    </row>
    <row r="420" spans="1:15">
      <c r="A420" s="1048"/>
      <c r="B420" s="1061" t="s">
        <v>2125</v>
      </c>
      <c r="C420" s="1048">
        <v>1</v>
      </c>
      <c r="D420" s="1048" t="s">
        <v>1472</v>
      </c>
      <c r="E420" s="1048">
        <v>2</v>
      </c>
      <c r="F420" s="1049">
        <f>10.5*0.3048</f>
        <v>3.2004000000000001</v>
      </c>
      <c r="G420" s="1084">
        <v>1</v>
      </c>
      <c r="H420" s="1049">
        <v>2.1</v>
      </c>
      <c r="I420" s="1049">
        <f>ROUND(C420*E420*F420*G420*H420,2)</f>
        <v>13.44</v>
      </c>
      <c r="J420" s="1049"/>
      <c r="K420" s="1049"/>
      <c r="L420" s="1049"/>
      <c r="M420" s="1049"/>
      <c r="N420" s="1087"/>
      <c r="O420" s="1087"/>
    </row>
    <row r="421" spans="1:15">
      <c r="A421" s="1048"/>
      <c r="B421" s="1061" t="s">
        <v>2125</v>
      </c>
      <c r="C421" s="1048">
        <v>1</v>
      </c>
      <c r="D421" s="1048" t="s">
        <v>1472</v>
      </c>
      <c r="E421" s="1048">
        <v>2</v>
      </c>
      <c r="F421" s="1049">
        <v>3.42</v>
      </c>
      <c r="G421" s="1084">
        <v>1</v>
      </c>
      <c r="H421" s="1049">
        <v>2.1</v>
      </c>
      <c r="I421" s="1049">
        <f>ROUND(C421*E421*F421*G421*H421,2)</f>
        <v>14.36</v>
      </c>
      <c r="J421" s="1049"/>
      <c r="K421" s="1049"/>
      <c r="L421" s="1049"/>
      <c r="M421" s="1049"/>
      <c r="N421" s="1087"/>
      <c r="O421" s="1087"/>
    </row>
    <row r="422" spans="1:15" ht="14.1">
      <c r="A422" s="1048"/>
      <c r="B422" s="1060" t="s">
        <v>675</v>
      </c>
      <c r="C422" s="1048"/>
      <c r="D422" s="1048"/>
      <c r="E422" s="1048"/>
      <c r="F422" s="1049"/>
      <c r="G422" s="1049"/>
      <c r="H422" s="1049"/>
      <c r="I422" s="1049"/>
      <c r="J422" s="1049"/>
      <c r="K422" s="1049"/>
      <c r="L422" s="1049"/>
      <c r="M422" s="1049"/>
      <c r="N422" s="1087"/>
      <c r="O422" s="1087"/>
    </row>
    <row r="423" spans="1:15">
      <c r="A423" s="1048"/>
      <c r="B423" s="1061" t="s">
        <v>2126</v>
      </c>
      <c r="C423" s="1048">
        <v>1</v>
      </c>
      <c r="D423" s="1048" t="s">
        <v>1472</v>
      </c>
      <c r="E423" s="1048">
        <v>2</v>
      </c>
      <c r="F423" s="1049">
        <v>0.9</v>
      </c>
      <c r="G423" s="1084">
        <v>1</v>
      </c>
      <c r="H423" s="1049">
        <v>2.1</v>
      </c>
      <c r="I423" s="1049">
        <f>-ROUND(C423*E423*F423*G423*H423,2)</f>
        <v>-3.78</v>
      </c>
      <c r="J423" s="1049"/>
      <c r="K423" s="1049"/>
      <c r="L423" s="1049"/>
      <c r="M423" s="1049"/>
      <c r="N423" s="1087"/>
      <c r="O423" s="1087"/>
    </row>
    <row r="424" spans="1:15">
      <c r="A424" s="1048"/>
      <c r="B424" s="1061" t="s">
        <v>101</v>
      </c>
      <c r="C424" s="1048">
        <v>1</v>
      </c>
      <c r="D424" s="1048" t="s">
        <v>1472</v>
      </c>
      <c r="E424" s="1048">
        <v>2</v>
      </c>
      <c r="F424" s="1049">
        <v>0.75</v>
      </c>
      <c r="G424" s="1084">
        <v>1</v>
      </c>
      <c r="H424" s="1049">
        <v>2.1</v>
      </c>
      <c r="I424" s="1049">
        <f>-ROUND(C424*E424*F424*G424*H424,2)</f>
        <v>-3.15</v>
      </c>
      <c r="J424" s="1049"/>
      <c r="K424" s="1049"/>
      <c r="L424" s="1049"/>
      <c r="M424" s="1049"/>
      <c r="N424" s="1087"/>
      <c r="O424" s="1087"/>
    </row>
    <row r="425" spans="1:15">
      <c r="A425" s="1048"/>
      <c r="B425" s="1061" t="s">
        <v>2224</v>
      </c>
      <c r="C425" s="1048">
        <v>1</v>
      </c>
      <c r="D425" s="1048" t="s">
        <v>1472</v>
      </c>
      <c r="E425" s="1048">
        <v>2</v>
      </c>
      <c r="F425" s="1049">
        <v>0.75</v>
      </c>
      <c r="G425" s="1084">
        <v>1</v>
      </c>
      <c r="H425" s="1049">
        <v>0.3</v>
      </c>
      <c r="I425" s="1049">
        <f>-ROUND(C425*E425*F425*G425*H425,2)</f>
        <v>-0.45</v>
      </c>
      <c r="J425" s="1049"/>
      <c r="K425" s="1049"/>
      <c r="L425" s="1049"/>
      <c r="M425" s="1049"/>
      <c r="N425" s="1087"/>
      <c r="O425" s="1087"/>
    </row>
    <row r="426" spans="1:15" ht="14.1">
      <c r="A426" s="1046"/>
      <c r="B426" s="1065"/>
      <c r="C426" s="1048"/>
      <c r="D426" s="1048"/>
      <c r="E426" s="1048"/>
      <c r="F426" s="1049"/>
      <c r="G426" s="1049"/>
      <c r="H426" s="1049"/>
      <c r="I426" s="1049">
        <f>SUM(I406:I425)</f>
        <v>317.67000000000007</v>
      </c>
      <c r="J426" s="1049">
        <f>Datas!G892</f>
        <v>1206.3</v>
      </c>
      <c r="K426" s="1053">
        <f>ROUND(J426*I426/10,0)</f>
        <v>38321</v>
      </c>
      <c r="L426" s="1049"/>
      <c r="M426" s="1049"/>
      <c r="N426" s="1087"/>
      <c r="O426" s="1087"/>
    </row>
    <row r="427" spans="1:15" ht="14.1">
      <c r="A427" s="1046"/>
      <c r="B427" s="1071"/>
      <c r="C427" s="1086"/>
      <c r="D427" s="1086"/>
      <c r="E427" s="1086"/>
      <c r="F427" s="1049"/>
      <c r="G427" s="1086"/>
      <c r="H427" s="1086"/>
      <c r="I427" s="1097" t="s">
        <v>1478</v>
      </c>
      <c r="J427" s="1049" t="s">
        <v>37</v>
      </c>
      <c r="K427" s="1049"/>
      <c r="L427" s="1049"/>
      <c r="M427" s="1049"/>
      <c r="N427" s="1087"/>
      <c r="O427" s="1087"/>
    </row>
    <row r="428" spans="1:15" ht="107.25" customHeight="1">
      <c r="A428" s="1046">
        <v>36</v>
      </c>
      <c r="B428" s="2415" t="s">
        <v>2244</v>
      </c>
      <c r="C428" s="2416"/>
      <c r="D428" s="2416"/>
      <c r="E428" s="2416"/>
      <c r="F428" s="2416"/>
      <c r="G428" s="2416"/>
      <c r="H428" s="2416"/>
      <c r="I428" s="2417"/>
      <c r="J428" s="1049"/>
      <c r="K428" s="1049"/>
      <c r="L428" s="1049"/>
      <c r="M428" s="1049"/>
      <c r="N428" s="1087"/>
      <c r="O428" s="1087"/>
    </row>
    <row r="429" spans="1:15" ht="14.1">
      <c r="A429" s="1046"/>
      <c r="B429" s="1060" t="s">
        <v>2135</v>
      </c>
      <c r="C429" s="1082"/>
      <c r="D429" s="1082"/>
      <c r="E429" s="1082"/>
      <c r="F429" s="1083"/>
      <c r="G429" s="1083"/>
      <c r="H429" s="1083"/>
      <c r="I429" s="1083"/>
      <c r="J429" s="1049"/>
      <c r="K429" s="1049"/>
      <c r="L429" s="1049"/>
      <c r="M429" s="1049"/>
      <c r="N429" s="1087"/>
      <c r="O429" s="1087"/>
    </row>
    <row r="430" spans="1:15" ht="14.1">
      <c r="A430" s="1046"/>
      <c r="B430" s="1050" t="s">
        <v>2115</v>
      </c>
      <c r="C430" s="1048">
        <v>1</v>
      </c>
      <c r="D430" s="1048" t="s">
        <v>1472</v>
      </c>
      <c r="E430" s="1048">
        <v>2</v>
      </c>
      <c r="F430" s="1049">
        <f>60.75*0.3048</f>
        <v>18.5166</v>
      </c>
      <c r="G430" s="1084">
        <v>1</v>
      </c>
      <c r="H430" s="1049">
        <v>3.6</v>
      </c>
      <c r="I430" s="1049">
        <f>ROUND(C430*E430*F430*G430*H430,2)</f>
        <v>133.32</v>
      </c>
      <c r="J430" s="1049"/>
      <c r="K430" s="1049"/>
      <c r="L430" s="1049"/>
      <c r="M430" s="1049"/>
      <c r="N430" s="1087"/>
      <c r="O430" s="1087"/>
    </row>
    <row r="431" spans="1:15" ht="14.1">
      <c r="A431" s="1046"/>
      <c r="B431" s="1050" t="s">
        <v>2033</v>
      </c>
      <c r="C431" s="1048">
        <v>1</v>
      </c>
      <c r="D431" s="1048" t="s">
        <v>1472</v>
      </c>
      <c r="E431" s="1048">
        <v>2</v>
      </c>
      <c r="F431" s="1049">
        <f>31.5*0.3048</f>
        <v>9.6012000000000004</v>
      </c>
      <c r="G431" s="1084">
        <v>1</v>
      </c>
      <c r="H431" s="1164" t="s">
        <v>2286</v>
      </c>
      <c r="I431" s="1049">
        <f>ROUND(C431*E431*F431*G431*AVERAGE(3.6,5.5,3.6),2)</f>
        <v>81.290000000000006</v>
      </c>
      <c r="J431" s="1049"/>
      <c r="K431" s="1049"/>
      <c r="L431" s="1049"/>
      <c r="M431" s="1049"/>
      <c r="N431" s="1087"/>
      <c r="O431" s="1087"/>
    </row>
    <row r="432" spans="1:15" ht="14.1">
      <c r="A432" s="1046"/>
      <c r="B432" s="1060" t="s">
        <v>2136</v>
      </c>
      <c r="C432" s="1048"/>
      <c r="D432" s="1048"/>
      <c r="E432" s="1048"/>
      <c r="F432" s="1049"/>
      <c r="G432" s="1084"/>
      <c r="H432" s="1049"/>
      <c r="I432" s="1068"/>
      <c r="J432" s="1049"/>
      <c r="K432" s="1049"/>
      <c r="L432" s="1049"/>
      <c r="M432" s="1068"/>
      <c r="N432" s="1087"/>
      <c r="O432" s="1087"/>
    </row>
    <row r="433" spans="1:16" ht="14.1">
      <c r="A433" s="1046"/>
      <c r="B433" s="1050" t="s">
        <v>2093</v>
      </c>
      <c r="C433" s="1048">
        <v>1</v>
      </c>
      <c r="D433" s="1048" t="s">
        <v>1472</v>
      </c>
      <c r="E433" s="1048">
        <v>2</v>
      </c>
      <c r="F433" s="1049">
        <f>12*0.3048</f>
        <v>3.6576000000000004</v>
      </c>
      <c r="G433" s="1084">
        <v>1</v>
      </c>
      <c r="H433" s="1049">
        <v>2.4</v>
      </c>
      <c r="I433" s="1049">
        <f>ROUND(C433*E433*F433*G433*H433,2)</f>
        <v>17.559999999999999</v>
      </c>
      <c r="J433" s="1049"/>
      <c r="K433" s="1049"/>
      <c r="L433" s="1049"/>
      <c r="M433" s="1049"/>
      <c r="N433" s="1087"/>
      <c r="O433" s="1087"/>
    </row>
    <row r="434" spans="1:16" ht="14.1">
      <c r="A434" s="1046"/>
      <c r="B434" s="1050" t="s">
        <v>2094</v>
      </c>
      <c r="C434" s="1048">
        <v>1</v>
      </c>
      <c r="D434" s="1048" t="s">
        <v>1472</v>
      </c>
      <c r="E434" s="1048">
        <v>2</v>
      </c>
      <c r="F434" s="1049">
        <f>11.5*0.3048</f>
        <v>3.5052000000000003</v>
      </c>
      <c r="G434" s="1084">
        <v>1</v>
      </c>
      <c r="H434" s="1049">
        <v>2.4</v>
      </c>
      <c r="I434" s="1049">
        <f>ROUND(C434*E434*F434*G434*H434,2)</f>
        <v>16.82</v>
      </c>
      <c r="J434" s="1049"/>
      <c r="K434" s="1049"/>
      <c r="L434" s="1049"/>
      <c r="M434" s="1049"/>
      <c r="N434" s="1087"/>
      <c r="O434" s="1087"/>
    </row>
    <row r="435" spans="1:16" ht="14.1">
      <c r="A435" s="1046"/>
      <c r="B435" s="1061"/>
      <c r="C435" s="1048"/>
      <c r="D435" s="1048"/>
      <c r="E435" s="1048"/>
      <c r="F435" s="1049"/>
      <c r="G435" s="1049"/>
      <c r="H435" s="1049" t="s">
        <v>982</v>
      </c>
      <c r="I435" s="1052">
        <f>SUM(I430:I434)</f>
        <v>248.99</v>
      </c>
      <c r="J435" s="1049">
        <f>Datas!G983</f>
        <v>2032.3400000000001</v>
      </c>
      <c r="K435" s="1053">
        <f>ROUND(J435*I435/10,0)</f>
        <v>50603</v>
      </c>
      <c r="L435" s="1049">
        <f>0.12*9+1.1*8</f>
        <v>9.8800000000000008</v>
      </c>
      <c r="M435" s="1055">
        <f>L435*I435</f>
        <v>2460.0212000000001</v>
      </c>
      <c r="N435" s="1087"/>
      <c r="O435" s="1087"/>
    </row>
    <row r="436" spans="1:16" ht="14.1">
      <c r="A436" s="1046"/>
      <c r="B436" s="1060"/>
      <c r="C436" s="1048"/>
      <c r="D436" s="1048"/>
      <c r="E436" s="1048"/>
      <c r="F436" s="1049"/>
      <c r="G436" s="1049"/>
      <c r="H436" s="1049"/>
      <c r="I436" s="1053" t="s">
        <v>1478</v>
      </c>
      <c r="J436" s="1049" t="s">
        <v>37</v>
      </c>
      <c r="K436" s="1053"/>
      <c r="L436" s="1049"/>
      <c r="M436" s="1049"/>
      <c r="N436" s="1087"/>
      <c r="O436" s="1087"/>
    </row>
    <row r="437" spans="1:16" ht="48.75" customHeight="1">
      <c r="A437" s="1046" t="s">
        <v>2476</v>
      </c>
      <c r="B437" s="2428" t="s">
        <v>2180</v>
      </c>
      <c r="C437" s="2429"/>
      <c r="D437" s="2429"/>
      <c r="E437" s="2429"/>
      <c r="F437" s="2429"/>
      <c r="G437" s="2429"/>
      <c r="H437" s="2429"/>
      <c r="I437" s="2430"/>
      <c r="J437" s="1049"/>
      <c r="K437" s="1049"/>
      <c r="L437" s="1049"/>
      <c r="M437" s="1049"/>
      <c r="N437" s="1087"/>
      <c r="O437" s="1087"/>
    </row>
    <row r="438" spans="1:16">
      <c r="A438" s="1048"/>
      <c r="B438" s="1061" t="s">
        <v>2242</v>
      </c>
      <c r="C438" s="1048">
        <v>1</v>
      </c>
      <c r="D438" s="1048" t="s">
        <v>1472</v>
      </c>
      <c r="E438" s="1048">
        <v>1</v>
      </c>
      <c r="F438" s="1049">
        <v>2.25</v>
      </c>
      <c r="G438" s="1049">
        <v>1.8</v>
      </c>
      <c r="H438" s="1049">
        <v>2.4</v>
      </c>
      <c r="I438" s="1049">
        <f>ROUND(C438*E438*F438*G438*H438,2)</f>
        <v>9.7200000000000006</v>
      </c>
      <c r="J438" s="1049"/>
      <c r="K438" s="1049"/>
      <c r="L438" s="1049"/>
      <c r="M438" s="1049"/>
      <c r="N438" s="1087"/>
      <c r="O438" s="1087"/>
    </row>
    <row r="439" spans="1:16">
      <c r="A439" s="1048"/>
      <c r="B439" s="1061" t="s">
        <v>2181</v>
      </c>
      <c r="C439" s="1048">
        <v>1</v>
      </c>
      <c r="D439" s="1048" t="s">
        <v>1472</v>
      </c>
      <c r="E439" s="1048">
        <v>2</v>
      </c>
      <c r="F439" s="1049">
        <v>2.25</v>
      </c>
      <c r="G439" s="1049">
        <v>1.5</v>
      </c>
      <c r="H439" s="1049">
        <v>2.4</v>
      </c>
      <c r="I439" s="1049">
        <f>ROUND(C439*E439*F439*G439*H439,2)</f>
        <v>16.2</v>
      </c>
      <c r="J439" s="1049"/>
      <c r="K439" s="1049"/>
      <c r="L439" s="1049"/>
      <c r="M439" s="1049"/>
      <c r="N439" s="1087"/>
      <c r="O439" s="1087"/>
    </row>
    <row r="440" spans="1:16">
      <c r="A440" s="1048"/>
      <c r="B440" s="1061" t="s">
        <v>981</v>
      </c>
      <c r="C440" s="1048">
        <v>1</v>
      </c>
      <c r="D440" s="1048" t="s">
        <v>1472</v>
      </c>
      <c r="E440" s="1048">
        <v>2</v>
      </c>
      <c r="F440" s="1049">
        <v>2.25</v>
      </c>
      <c r="G440" s="1049">
        <v>0.9</v>
      </c>
      <c r="H440" s="1049">
        <v>2.1</v>
      </c>
      <c r="I440" s="1049">
        <f>ROUND(C440*E440*F440*G440*H440,2)</f>
        <v>8.51</v>
      </c>
      <c r="J440" s="1049"/>
      <c r="K440" s="1049"/>
      <c r="L440" s="1049"/>
      <c r="M440" s="1049"/>
      <c r="N440" s="1087"/>
      <c r="O440" s="1087"/>
    </row>
    <row r="441" spans="1:16">
      <c r="A441" s="1048"/>
      <c r="B441" s="1061" t="s">
        <v>2182</v>
      </c>
      <c r="C441" s="1048">
        <v>1</v>
      </c>
      <c r="D441" s="1048" t="s">
        <v>1472</v>
      </c>
      <c r="E441" s="1048">
        <v>2</v>
      </c>
      <c r="F441" s="1049">
        <v>2.25</v>
      </c>
      <c r="G441" s="1049">
        <v>0.75</v>
      </c>
      <c r="H441" s="1049">
        <v>2.1</v>
      </c>
      <c r="I441" s="1049">
        <f>ROUND(C441*E441*F441*G441*H441,2)</f>
        <v>7.09</v>
      </c>
      <c r="J441" s="1049"/>
      <c r="K441" s="1049"/>
      <c r="L441" s="1049"/>
      <c r="M441" s="1049"/>
      <c r="N441" s="1087"/>
      <c r="O441" s="1087"/>
    </row>
    <row r="442" spans="1:16">
      <c r="A442" s="1048"/>
      <c r="B442" s="1061" t="s">
        <v>2466</v>
      </c>
      <c r="C442" s="1048">
        <v>1</v>
      </c>
      <c r="D442" s="1048" t="s">
        <v>1472</v>
      </c>
      <c r="E442" s="1048">
        <v>4</v>
      </c>
      <c r="F442" s="1049">
        <v>2.75</v>
      </c>
      <c r="G442" s="1049">
        <v>1.5</v>
      </c>
      <c r="H442" s="1049">
        <v>1.2</v>
      </c>
      <c r="I442" s="1049">
        <f>ROUND(C442*E442*F442*G442*H442,2)</f>
        <v>19.8</v>
      </c>
      <c r="J442" s="1049"/>
      <c r="K442" s="1049"/>
      <c r="L442" s="1049"/>
      <c r="M442" s="1049"/>
      <c r="N442" s="1087"/>
      <c r="O442" s="1087"/>
    </row>
    <row r="443" spans="1:16" ht="14.1">
      <c r="A443" s="1046"/>
      <c r="B443" s="1061"/>
      <c r="C443" s="1048"/>
      <c r="D443" s="1048"/>
      <c r="E443" s="1048"/>
      <c r="F443" s="1049"/>
      <c r="G443" s="1049"/>
      <c r="H443" s="1049"/>
      <c r="I443" s="1049">
        <f>SUM(I438:I442)</f>
        <v>61.319999999999993</v>
      </c>
      <c r="J443" s="1049"/>
      <c r="K443" s="1049"/>
      <c r="L443" s="1049"/>
      <c r="M443" s="1049"/>
      <c r="N443" s="1087"/>
      <c r="O443" s="1087"/>
    </row>
    <row r="444" spans="1:16" ht="14.1">
      <c r="A444" s="1046"/>
      <c r="B444" s="1060"/>
      <c r="C444" s="1048"/>
      <c r="D444" s="1048"/>
      <c r="E444" s="1048"/>
      <c r="F444" s="1049"/>
      <c r="G444" s="1049"/>
      <c r="H444" s="1049" t="s">
        <v>471</v>
      </c>
      <c r="I444" s="1053">
        <f>CEILING(I443,0.05)</f>
        <v>61.35</v>
      </c>
      <c r="J444" s="1049">
        <f>Datas!G925</f>
        <v>113.67999999999999</v>
      </c>
      <c r="K444" s="1053">
        <f>ROUND(J444*I444/10,0)</f>
        <v>697</v>
      </c>
      <c r="L444" s="1049"/>
      <c r="M444" s="1049"/>
      <c r="N444" s="1087"/>
      <c r="O444" s="1087"/>
    </row>
    <row r="445" spans="1:16" ht="14.1">
      <c r="A445" s="1046"/>
      <c r="B445" s="1060"/>
      <c r="C445" s="1048"/>
      <c r="D445" s="1048"/>
      <c r="E445" s="1048"/>
      <c r="F445" s="1049"/>
      <c r="G445" s="1049"/>
      <c r="H445" s="1049"/>
      <c r="I445" s="1053" t="s">
        <v>1478</v>
      </c>
      <c r="J445" s="1049" t="s">
        <v>37</v>
      </c>
      <c r="K445" s="1053"/>
      <c r="L445" s="1049"/>
      <c r="M445" s="1049"/>
      <c r="N445" s="1087"/>
      <c r="O445" s="1087"/>
    </row>
    <row r="446" spans="1:16" ht="138" customHeight="1">
      <c r="A446" s="1046">
        <v>38</v>
      </c>
      <c r="B446" s="2415" t="s">
        <v>2462</v>
      </c>
      <c r="C446" s="2416"/>
      <c r="D446" s="2416"/>
      <c r="E446" s="2416"/>
      <c r="F446" s="2416"/>
      <c r="G446" s="2416"/>
      <c r="H446" s="2416"/>
      <c r="I446" s="2417"/>
      <c r="J446" s="1049"/>
      <c r="K446" s="1049"/>
      <c r="L446" s="1049"/>
      <c r="M446" s="1049"/>
      <c r="N446" s="1087"/>
      <c r="O446" s="1087"/>
    </row>
    <row r="447" spans="1:16" ht="15" customHeight="1">
      <c r="A447" s="1046"/>
      <c r="B447" s="1060" t="s">
        <v>2477</v>
      </c>
      <c r="C447" s="1048"/>
      <c r="D447" s="1048"/>
      <c r="E447" s="1048"/>
      <c r="F447" s="1049"/>
      <c r="G447" s="1049"/>
      <c r="H447" s="1049"/>
      <c r="I447" s="1053">
        <v>3.6</v>
      </c>
      <c r="J447" s="1049">
        <f>Datas!$G$584</f>
        <v>77799</v>
      </c>
      <c r="K447" s="1053">
        <f>ROUND(J447*I447,0)</f>
        <v>280076</v>
      </c>
      <c r="L447" s="1049"/>
      <c r="M447" s="1049"/>
      <c r="N447" s="1223">
        <v>3.3</v>
      </c>
      <c r="O447" s="1087"/>
      <c r="P447" s="1224">
        <f>K527</f>
        <v>2829840</v>
      </c>
    </row>
    <row r="448" spans="1:16" ht="20.25" customHeight="1">
      <c r="A448" s="1046"/>
      <c r="B448" s="1060"/>
      <c r="C448" s="1048"/>
      <c r="D448" s="1048"/>
      <c r="E448" s="1048"/>
      <c r="F448" s="1049"/>
      <c r="G448" s="1049"/>
      <c r="H448" s="1049"/>
      <c r="I448" s="1053" t="s">
        <v>205</v>
      </c>
      <c r="J448" s="1049" t="s">
        <v>206</v>
      </c>
      <c r="K448" s="1053"/>
      <c r="L448" s="1049"/>
      <c r="M448" s="1049"/>
      <c r="N448" s="1087"/>
      <c r="O448" s="1087"/>
    </row>
    <row r="449" spans="1:15" s="1055" customFormat="1" ht="26.25" customHeight="1">
      <c r="A449" s="1030"/>
      <c r="B449" s="2431" t="s">
        <v>1165</v>
      </c>
      <c r="C449" s="2431"/>
      <c r="D449" s="2431"/>
      <c r="E449" s="2431"/>
      <c r="F449" s="2431"/>
      <c r="G449" s="2431"/>
      <c r="H449" s="2431"/>
      <c r="I449" s="2431"/>
      <c r="J449" s="1098"/>
      <c r="K449" s="1029"/>
      <c r="L449" s="1029"/>
      <c r="N449" s="1147"/>
      <c r="O449" s="1147"/>
    </row>
    <row r="450" spans="1:15" s="1055" customFormat="1" ht="66" customHeight="1">
      <c r="A450" s="1046">
        <v>39</v>
      </c>
      <c r="B450" s="2415" t="s">
        <v>1</v>
      </c>
      <c r="C450" s="2416"/>
      <c r="D450" s="2416"/>
      <c r="E450" s="2416"/>
      <c r="F450" s="2416"/>
      <c r="G450" s="2416"/>
      <c r="H450" s="2416"/>
      <c r="I450" s="2417"/>
      <c r="J450" s="1098"/>
      <c r="K450" s="1029"/>
      <c r="L450" s="1029"/>
      <c r="N450" s="1147"/>
      <c r="O450" s="1147"/>
    </row>
    <row r="451" spans="1:15" s="1055" customFormat="1" ht="14.1">
      <c r="A451" s="1046"/>
      <c r="B451" s="1076"/>
      <c r="C451" s="1076"/>
      <c r="D451" s="1076"/>
      <c r="E451" s="1098"/>
      <c r="F451" s="1099"/>
      <c r="G451" s="1099"/>
      <c r="H451" s="1100"/>
      <c r="I451" s="1099">
        <v>80</v>
      </c>
      <c r="J451" s="1049">
        <f>'data-Elec '!$H$60</f>
        <v>111.43</v>
      </c>
      <c r="K451" s="1053">
        <f>ROUND(J451*I451,0)</f>
        <v>8914</v>
      </c>
      <c r="L451" s="1029"/>
      <c r="N451" s="1147"/>
      <c r="O451" s="1147"/>
    </row>
    <row r="452" spans="1:15" s="1055" customFormat="1" ht="18.75" customHeight="1">
      <c r="A452" s="1046"/>
      <c r="B452" s="1076"/>
      <c r="C452" s="1076"/>
      <c r="D452" s="1076"/>
      <c r="E452" s="1098"/>
      <c r="F452" s="1099"/>
      <c r="G452" s="1099"/>
      <c r="H452" s="1100"/>
      <c r="I452" s="1099" t="s">
        <v>495</v>
      </c>
      <c r="J452" s="1049" t="s">
        <v>453</v>
      </c>
      <c r="K452" s="1053"/>
      <c r="L452" s="1029"/>
      <c r="N452" s="1147"/>
      <c r="O452" s="1147"/>
    </row>
    <row r="453" spans="1:15" s="1055" customFormat="1" ht="42" customHeight="1">
      <c r="A453" s="1046">
        <v>40</v>
      </c>
      <c r="B453" s="2415" t="s">
        <v>1245</v>
      </c>
      <c r="C453" s="2416"/>
      <c r="D453" s="2416"/>
      <c r="E453" s="2416"/>
      <c r="F453" s="2416"/>
      <c r="G453" s="2416"/>
      <c r="H453" s="2416"/>
      <c r="I453" s="2417"/>
      <c r="J453" s="1098"/>
      <c r="K453" s="1029"/>
      <c r="L453" s="1029"/>
      <c r="N453" s="1147"/>
      <c r="O453" s="1147"/>
    </row>
    <row r="454" spans="1:15" s="1055" customFormat="1" ht="14.1">
      <c r="A454" s="1046"/>
      <c r="B454" s="1076"/>
      <c r="C454" s="1076">
        <v>1</v>
      </c>
      <c r="D454" s="1076" t="s">
        <v>1472</v>
      </c>
      <c r="E454" s="1098">
        <v>1</v>
      </c>
      <c r="F454" s="1099">
        <v>4</v>
      </c>
      <c r="G454" s="1099"/>
      <c r="H454" s="1100"/>
      <c r="I454" s="1099">
        <v>30</v>
      </c>
      <c r="J454" s="1049">
        <f>'data-Elec '!$H$92</f>
        <v>554.66999999999996</v>
      </c>
      <c r="K454" s="1053">
        <f>ROUND(J454*I454,0)</f>
        <v>16640</v>
      </c>
      <c r="L454" s="1029"/>
      <c r="N454" s="1147"/>
      <c r="O454" s="1147"/>
    </row>
    <row r="455" spans="1:15" s="1055" customFormat="1" ht="18.75" customHeight="1">
      <c r="A455" s="1046"/>
      <c r="B455" s="1076"/>
      <c r="C455" s="1076"/>
      <c r="D455" s="1076"/>
      <c r="E455" s="1098"/>
      <c r="F455" s="1099"/>
      <c r="G455" s="1099"/>
      <c r="H455" s="1100"/>
      <c r="I455" s="1099" t="s">
        <v>1164</v>
      </c>
      <c r="J455" s="1049" t="s">
        <v>3</v>
      </c>
      <c r="K455" s="1053"/>
      <c r="L455" s="1029"/>
      <c r="N455" s="1147"/>
      <c r="O455" s="1147"/>
    </row>
    <row r="456" spans="1:15" s="1055" customFormat="1" ht="50.25" customHeight="1">
      <c r="A456" s="1046">
        <v>41</v>
      </c>
      <c r="B456" s="2415" t="s">
        <v>1248</v>
      </c>
      <c r="C456" s="2416"/>
      <c r="D456" s="2416"/>
      <c r="E456" s="2416"/>
      <c r="F456" s="2416"/>
      <c r="G456" s="2416"/>
      <c r="H456" s="2416"/>
      <c r="I456" s="2417"/>
      <c r="J456" s="1101"/>
      <c r="K456" s="1029"/>
      <c r="L456" s="1029"/>
      <c r="N456" s="1147"/>
      <c r="O456" s="1147"/>
    </row>
    <row r="457" spans="1:15" s="1055" customFormat="1" ht="14.1">
      <c r="A457" s="1046"/>
      <c r="B457" s="1076" t="s">
        <v>199</v>
      </c>
      <c r="C457" s="1076">
        <v>1</v>
      </c>
      <c r="D457" s="1076" t="s">
        <v>1472</v>
      </c>
      <c r="E457" s="1098">
        <v>1</v>
      </c>
      <c r="F457" s="1099">
        <v>10</v>
      </c>
      <c r="G457" s="1099"/>
      <c r="H457" s="1100"/>
      <c r="I457" s="1099">
        <v>200</v>
      </c>
      <c r="J457" s="1049">
        <f>'data-Elec '!$H$136</f>
        <v>60.25</v>
      </c>
      <c r="K457" s="1053">
        <f>ROUND(J457*I457,0)</f>
        <v>12050</v>
      </c>
      <c r="L457" s="1029"/>
      <c r="N457" s="1147"/>
      <c r="O457" s="1147"/>
    </row>
    <row r="458" spans="1:15" s="1055" customFormat="1" ht="14.1">
      <c r="A458" s="1046"/>
      <c r="B458" s="1076"/>
      <c r="C458" s="1076"/>
      <c r="D458" s="1076"/>
      <c r="E458" s="1098"/>
      <c r="F458" s="1099"/>
      <c r="G458" s="1099"/>
      <c r="H458" s="1100"/>
      <c r="I458" s="1099" t="s">
        <v>495</v>
      </c>
      <c r="J458" s="1049" t="s">
        <v>5</v>
      </c>
      <c r="K458" s="1053"/>
      <c r="L458" s="1029"/>
      <c r="N458" s="1147"/>
      <c r="O458" s="1147"/>
    </row>
    <row r="459" spans="1:15" s="1055" customFormat="1" ht="14.1">
      <c r="A459" s="1046"/>
      <c r="B459" s="1076" t="s">
        <v>200</v>
      </c>
      <c r="C459" s="1076">
        <v>1</v>
      </c>
      <c r="D459" s="1076" t="s">
        <v>1472</v>
      </c>
      <c r="E459" s="1098">
        <v>1</v>
      </c>
      <c r="F459" s="1099">
        <v>10</v>
      </c>
      <c r="G459" s="1099"/>
      <c r="H459" s="1100"/>
      <c r="I459" s="1099">
        <v>200</v>
      </c>
      <c r="J459" s="1049">
        <f>'data-Elec '!$H$149</f>
        <v>100.55</v>
      </c>
      <c r="K459" s="1053">
        <f>ROUND(J459*I459,0)</f>
        <v>20110</v>
      </c>
      <c r="L459" s="1029"/>
      <c r="N459" s="1147"/>
      <c r="O459" s="1147"/>
    </row>
    <row r="460" spans="1:15" s="1055" customFormat="1" ht="14.1">
      <c r="A460" s="1046"/>
      <c r="B460" s="1076"/>
      <c r="C460" s="1076"/>
      <c r="D460" s="1076"/>
      <c r="E460" s="1098"/>
      <c r="F460" s="1099"/>
      <c r="G460" s="1099"/>
      <c r="H460" s="1100"/>
      <c r="I460" s="1099" t="s">
        <v>495</v>
      </c>
      <c r="J460" s="1049" t="s">
        <v>5</v>
      </c>
      <c r="K460" s="1053"/>
      <c r="L460" s="1029"/>
      <c r="N460" s="1147"/>
      <c r="O460" s="1147"/>
    </row>
    <row r="461" spans="1:15" s="1055" customFormat="1" ht="69.75" customHeight="1">
      <c r="A461" s="1046">
        <v>42</v>
      </c>
      <c r="B461" s="2415" t="s">
        <v>48</v>
      </c>
      <c r="C461" s="2416"/>
      <c r="D461" s="2416"/>
      <c r="E461" s="2416"/>
      <c r="F461" s="2416"/>
      <c r="G461" s="2416"/>
      <c r="H461" s="2416"/>
      <c r="I461" s="2417"/>
      <c r="J461" s="1098"/>
      <c r="K461" s="1029"/>
      <c r="L461" s="1029"/>
      <c r="N461" s="1147"/>
      <c r="O461" s="1147"/>
    </row>
    <row r="462" spans="1:15" s="1055" customFormat="1" ht="18" customHeight="1">
      <c r="A462" s="1046"/>
      <c r="B462" s="1076"/>
      <c r="C462" s="1076">
        <v>1</v>
      </c>
      <c r="D462" s="1076" t="s">
        <v>1472</v>
      </c>
      <c r="E462" s="1098">
        <v>1</v>
      </c>
      <c r="F462" s="1099">
        <v>1</v>
      </c>
      <c r="G462" s="1099"/>
      <c r="H462" s="1100"/>
      <c r="I462" s="1099">
        <f>F462</f>
        <v>1</v>
      </c>
      <c r="J462" s="1049">
        <f>'data-Elec '!$H$438</f>
        <v>4622.5</v>
      </c>
      <c r="K462" s="1053">
        <f>ROUND(J462*I462,0)</f>
        <v>4623</v>
      </c>
      <c r="L462" s="1029"/>
      <c r="N462" s="1147"/>
      <c r="O462" s="1147"/>
    </row>
    <row r="463" spans="1:15" s="1055" customFormat="1" ht="18" customHeight="1">
      <c r="A463" s="1046"/>
      <c r="B463" s="1076"/>
      <c r="C463" s="1076"/>
      <c r="D463" s="1076"/>
      <c r="E463" s="1098"/>
      <c r="F463" s="1099"/>
      <c r="G463" s="1099"/>
      <c r="H463" s="1100"/>
      <c r="I463" s="1099" t="s">
        <v>857</v>
      </c>
      <c r="J463" s="1049" t="s">
        <v>4</v>
      </c>
      <c r="K463" s="1053"/>
      <c r="L463" s="1029"/>
      <c r="N463" s="1147"/>
      <c r="O463" s="1147"/>
    </row>
    <row r="464" spans="1:15" s="1055" customFormat="1" ht="34.5" customHeight="1">
      <c r="A464" s="1046">
        <v>43</v>
      </c>
      <c r="B464" s="2415" t="s">
        <v>865</v>
      </c>
      <c r="C464" s="2416"/>
      <c r="D464" s="2416"/>
      <c r="E464" s="2416"/>
      <c r="F464" s="2416"/>
      <c r="G464" s="2416"/>
      <c r="H464" s="2416"/>
      <c r="I464" s="2417"/>
      <c r="J464" s="1076"/>
      <c r="K464" s="1031"/>
      <c r="L464" s="1029"/>
      <c r="N464" s="1147"/>
      <c r="O464" s="1147"/>
    </row>
    <row r="465" spans="1:18" s="1055" customFormat="1" ht="17.25" customHeight="1">
      <c r="A465" s="1046"/>
      <c r="B465" s="1076" t="s">
        <v>451</v>
      </c>
      <c r="C465" s="1076">
        <v>1</v>
      </c>
      <c r="D465" s="1076" t="s">
        <v>1472</v>
      </c>
      <c r="E465" s="1102">
        <v>1</v>
      </c>
      <c r="F465" s="1099"/>
      <c r="G465" s="1099"/>
      <c r="H465" s="1100"/>
      <c r="I465" s="1103">
        <v>16</v>
      </c>
      <c r="J465" s="1049">
        <f>'data-Elec '!H407</f>
        <v>485.96</v>
      </c>
      <c r="K465" s="1053">
        <f>ROUND(J465*I465,0)</f>
        <v>7775</v>
      </c>
      <c r="L465" s="1029"/>
      <c r="N465" s="1147"/>
      <c r="O465" s="1147"/>
    </row>
    <row r="466" spans="1:18" s="1055" customFormat="1" ht="17.25" customHeight="1">
      <c r="A466" s="1046"/>
      <c r="B466" s="1076"/>
      <c r="C466" s="1076"/>
      <c r="D466" s="1076"/>
      <c r="E466" s="1102"/>
      <c r="F466" s="1099"/>
      <c r="G466" s="1099"/>
      <c r="H466" s="1100"/>
      <c r="I466" s="1103" t="s">
        <v>472</v>
      </c>
      <c r="J466" s="1049" t="s">
        <v>4</v>
      </c>
      <c r="K466" s="1053"/>
      <c r="L466" s="1029"/>
      <c r="N466" s="1147"/>
      <c r="O466" s="1147"/>
    </row>
    <row r="467" spans="1:18" s="1055" customFormat="1" ht="24.75" customHeight="1">
      <c r="A467" s="1046">
        <v>44</v>
      </c>
      <c r="B467" s="2415" t="s">
        <v>2183</v>
      </c>
      <c r="C467" s="2416"/>
      <c r="D467" s="2416"/>
      <c r="E467" s="2416"/>
      <c r="F467" s="2416"/>
      <c r="G467" s="2416"/>
      <c r="H467" s="2416"/>
      <c r="I467" s="2417"/>
      <c r="J467" s="1076"/>
      <c r="K467" s="1031"/>
      <c r="L467" s="1029"/>
      <c r="N467" s="1147"/>
      <c r="O467" s="1147"/>
    </row>
    <row r="468" spans="1:18" s="1055" customFormat="1" ht="17.25" customHeight="1">
      <c r="A468" s="1046"/>
      <c r="B468" s="1076"/>
      <c r="C468" s="1076">
        <v>1</v>
      </c>
      <c r="D468" s="1076" t="s">
        <v>1472</v>
      </c>
      <c r="E468" s="1102">
        <v>1</v>
      </c>
      <c r="F468" s="1099"/>
      <c r="G468" s="1099"/>
      <c r="H468" s="1100"/>
      <c r="I468" s="1103">
        <v>16</v>
      </c>
      <c r="J468" s="1049">
        <v>2200</v>
      </c>
      <c r="K468" s="1053">
        <f>ROUND(J468*I468,0)</f>
        <v>35200</v>
      </c>
      <c r="L468" s="1029"/>
      <c r="N468" s="1147"/>
      <c r="O468" s="1147"/>
    </row>
    <row r="469" spans="1:18" s="1055" customFormat="1" ht="17.25" customHeight="1">
      <c r="A469" s="1046"/>
      <c r="B469" s="1076"/>
      <c r="C469" s="1076"/>
      <c r="D469" s="1076"/>
      <c r="E469" s="1102"/>
      <c r="F469" s="1099"/>
      <c r="G469" s="1099"/>
      <c r="H469" s="1100"/>
      <c r="I469" s="1103" t="s">
        <v>472</v>
      </c>
      <c r="J469" s="1049" t="s">
        <v>4</v>
      </c>
      <c r="K469" s="1053"/>
      <c r="L469" s="1029"/>
      <c r="N469" s="1147"/>
      <c r="O469" s="1147"/>
    </row>
    <row r="470" spans="1:18" s="1055" customFormat="1" ht="71.25" customHeight="1">
      <c r="A470" s="1046">
        <v>45</v>
      </c>
      <c r="B470" s="2415" t="s">
        <v>1386</v>
      </c>
      <c r="C470" s="2416"/>
      <c r="D470" s="2416"/>
      <c r="E470" s="2416"/>
      <c r="F470" s="2416"/>
      <c r="G470" s="2416"/>
      <c r="H470" s="2416"/>
      <c r="I470" s="2417"/>
      <c r="J470" s="1076"/>
      <c r="K470" s="1031"/>
      <c r="L470" s="1029"/>
      <c r="N470" s="1147"/>
      <c r="O470" s="1147"/>
    </row>
    <row r="471" spans="1:18" s="1055" customFormat="1" ht="17.25" customHeight="1">
      <c r="A471" s="1046"/>
      <c r="B471" s="1076"/>
      <c r="C471" s="1076">
        <v>1</v>
      </c>
      <c r="D471" s="1076" t="s">
        <v>1472</v>
      </c>
      <c r="E471" s="1102">
        <v>1</v>
      </c>
      <c r="F471" s="1099"/>
      <c r="G471" s="1099"/>
      <c r="H471" s="1100"/>
      <c r="I471" s="1103">
        <v>1</v>
      </c>
      <c r="J471" s="1049">
        <f>'data-Elec '!H458</f>
        <v>4910.21</v>
      </c>
      <c r="K471" s="1053">
        <f>ROUND(J471*I471,0)</f>
        <v>4910</v>
      </c>
      <c r="L471" s="1029"/>
      <c r="N471" s="1147"/>
      <c r="O471" s="1147"/>
    </row>
    <row r="472" spans="1:18" s="1055" customFormat="1" ht="17.25" customHeight="1">
      <c r="A472" s="1046"/>
      <c r="B472" s="1076"/>
      <c r="C472" s="1076"/>
      <c r="D472" s="1076"/>
      <c r="E472" s="1102"/>
      <c r="F472" s="1099"/>
      <c r="G472" s="1099"/>
      <c r="H472" s="1100"/>
      <c r="I472" s="1103" t="s">
        <v>472</v>
      </c>
      <c r="J472" s="1049" t="s">
        <v>4</v>
      </c>
      <c r="K472" s="1053"/>
      <c r="L472" s="1029"/>
      <c r="N472" s="1147"/>
      <c r="O472" s="1147"/>
    </row>
    <row r="473" spans="1:18" s="1055" customFormat="1" ht="42" customHeight="1">
      <c r="A473" s="1046">
        <v>46</v>
      </c>
      <c r="B473" s="2415" t="s">
        <v>1147</v>
      </c>
      <c r="C473" s="2416"/>
      <c r="D473" s="2416"/>
      <c r="E473" s="2416"/>
      <c r="F473" s="2416"/>
      <c r="G473" s="2416"/>
      <c r="H473" s="2416"/>
      <c r="I473" s="2417"/>
      <c r="J473" s="1076"/>
      <c r="K473" s="1031"/>
      <c r="L473" s="1029"/>
      <c r="N473" s="1147"/>
      <c r="O473" s="1147"/>
    </row>
    <row r="474" spans="1:18" s="1055" customFormat="1" ht="17.25" customHeight="1">
      <c r="A474" s="1046"/>
      <c r="B474" s="1076"/>
      <c r="C474" s="1076">
        <v>1</v>
      </c>
      <c r="D474" s="1076" t="s">
        <v>1472</v>
      </c>
      <c r="E474" s="1102">
        <v>1</v>
      </c>
      <c r="F474" s="1099"/>
      <c r="G474" s="1099"/>
      <c r="H474" s="1100"/>
      <c r="I474" s="1103">
        <v>1</v>
      </c>
      <c r="J474" s="1049">
        <f>'data-Elec '!H381</f>
        <v>5291.56</v>
      </c>
      <c r="K474" s="1053">
        <f>ROUND(J474*I474,0)</f>
        <v>5292</v>
      </c>
      <c r="L474" s="1029"/>
      <c r="N474" s="1147"/>
      <c r="O474" s="1147"/>
    </row>
    <row r="475" spans="1:18" s="1055" customFormat="1" ht="17.25" customHeight="1">
      <c r="A475" s="1046"/>
      <c r="B475" s="1076"/>
      <c r="C475" s="1076"/>
      <c r="D475" s="1076"/>
      <c r="E475" s="1102"/>
      <c r="F475" s="1099"/>
      <c r="G475" s="1099"/>
      <c r="H475" s="1100"/>
      <c r="I475" s="1103" t="s">
        <v>472</v>
      </c>
      <c r="J475" s="1049" t="s">
        <v>4</v>
      </c>
      <c r="K475" s="1053"/>
      <c r="L475" s="1029"/>
      <c r="N475" s="1147"/>
      <c r="O475" s="1147"/>
    </row>
    <row r="476" spans="1:18" s="1107" customFormat="1" ht="27.75" customHeight="1">
      <c r="A476" s="1104"/>
      <c r="B476" s="2411" t="s">
        <v>1163</v>
      </c>
      <c r="C476" s="2411"/>
      <c r="D476" s="2411"/>
      <c r="E476" s="2411"/>
      <c r="F476" s="2411"/>
      <c r="G476" s="2411"/>
      <c r="H476" s="2411"/>
      <c r="I476" s="1105"/>
      <c r="J476" s="1106"/>
      <c r="K476" s="1032"/>
      <c r="L476" s="1032"/>
      <c r="N476" s="1186"/>
      <c r="O476" s="1186"/>
    </row>
    <row r="477" spans="1:18" s="1107" customFormat="1" ht="48" customHeight="1">
      <c r="A477" s="1104">
        <v>47</v>
      </c>
      <c r="B477" s="2408" t="s">
        <v>211</v>
      </c>
      <c r="C477" s="2409"/>
      <c r="D477" s="2409"/>
      <c r="E477" s="2409"/>
      <c r="F477" s="2409"/>
      <c r="G477" s="2409"/>
      <c r="H477" s="2409"/>
      <c r="I477" s="2410"/>
      <c r="J477" s="1109"/>
      <c r="K477" s="1032"/>
      <c r="L477" s="1032"/>
      <c r="M477" s="1110"/>
      <c r="N477" s="1111"/>
      <c r="O477" s="1111"/>
      <c r="P477" s="1110"/>
      <c r="Q477" s="1111"/>
      <c r="R477" s="1110"/>
    </row>
    <row r="478" spans="1:18" s="1107" customFormat="1" ht="14.1">
      <c r="A478" s="1104"/>
      <c r="B478" s="1112"/>
      <c r="C478" s="1106">
        <v>1</v>
      </c>
      <c r="D478" s="1112" t="s">
        <v>1472</v>
      </c>
      <c r="E478" s="1106">
        <v>1</v>
      </c>
      <c r="F478" s="1113">
        <v>1</v>
      </c>
      <c r="G478" s="1113"/>
      <c r="H478" s="1113"/>
      <c r="I478" s="1113">
        <v>2</v>
      </c>
      <c r="J478" s="1114">
        <f>' DATA -Sanitary&amp;water supply'!$G$5</f>
        <v>2207</v>
      </c>
      <c r="K478" s="1115">
        <f>ROUND(J478*I478,0)</f>
        <v>4414</v>
      </c>
      <c r="L478" s="1032"/>
      <c r="M478" s="1110"/>
      <c r="N478" s="1111"/>
      <c r="O478" s="1111"/>
      <c r="P478" s="1110"/>
      <c r="Q478" s="1111"/>
      <c r="R478" s="1110"/>
    </row>
    <row r="479" spans="1:18" s="1107" customFormat="1" ht="14.1">
      <c r="A479" s="1104"/>
      <c r="B479" s="1112"/>
      <c r="C479" s="1112"/>
      <c r="D479" s="1112"/>
      <c r="E479" s="1106"/>
      <c r="F479" s="1105"/>
      <c r="G479" s="1105"/>
      <c r="H479" s="1105"/>
      <c r="I479" s="1105" t="s">
        <v>857</v>
      </c>
      <c r="J479" s="1114" t="s">
        <v>4</v>
      </c>
      <c r="K479" s="1115"/>
      <c r="L479" s="1032"/>
      <c r="M479" s="1110"/>
      <c r="N479" s="1111"/>
      <c r="O479" s="1111"/>
      <c r="P479" s="1110"/>
      <c r="Q479" s="1111"/>
      <c r="R479" s="1110"/>
    </row>
    <row r="480" spans="1:18" s="1107" customFormat="1" ht="30" customHeight="1">
      <c r="A480" s="1104">
        <v>48</v>
      </c>
      <c r="B480" s="2408" t="s">
        <v>2086</v>
      </c>
      <c r="C480" s="2409"/>
      <c r="D480" s="2409"/>
      <c r="E480" s="2409"/>
      <c r="F480" s="2409"/>
      <c r="G480" s="2409"/>
      <c r="H480" s="2409"/>
      <c r="I480" s="2410"/>
      <c r="J480" s="1109"/>
      <c r="K480" s="1032"/>
      <c r="L480" s="1032"/>
      <c r="M480" s="1110"/>
      <c r="N480" s="1111"/>
      <c r="O480" s="1111"/>
      <c r="P480" s="1110"/>
      <c r="Q480" s="1111"/>
      <c r="R480" s="1110"/>
    </row>
    <row r="481" spans="1:18" s="1107" customFormat="1" ht="14.1">
      <c r="A481" s="1104"/>
      <c r="B481" s="1112" t="s">
        <v>2056</v>
      </c>
      <c r="C481" s="1106">
        <v>1</v>
      </c>
      <c r="D481" s="1112" t="s">
        <v>1472</v>
      </c>
      <c r="E481" s="1106">
        <v>2</v>
      </c>
      <c r="F481" s="1113">
        <v>6</v>
      </c>
      <c r="G481" s="1113"/>
      <c r="H481" s="1113"/>
      <c r="I481" s="1113">
        <f>F481*E481</f>
        <v>12</v>
      </c>
      <c r="J481" s="1114">
        <v>400</v>
      </c>
      <c r="K481" s="1115">
        <f>ROUND(J481*I481,0)</f>
        <v>4800</v>
      </c>
      <c r="L481" s="1032"/>
      <c r="M481" s="1110"/>
      <c r="N481" s="1111"/>
      <c r="O481" s="1111"/>
      <c r="P481" s="1110"/>
      <c r="Q481" s="1111"/>
      <c r="R481" s="1110"/>
    </row>
    <row r="482" spans="1:18" s="1107" customFormat="1" ht="14.1">
      <c r="A482" s="1104"/>
      <c r="B482" s="1112"/>
      <c r="C482" s="1112"/>
      <c r="D482" s="1112"/>
      <c r="E482" s="1106"/>
      <c r="F482" s="1105"/>
      <c r="G482" s="1105"/>
      <c r="H482" s="1105"/>
      <c r="I482" s="1105" t="s">
        <v>857</v>
      </c>
      <c r="J482" s="1114" t="s">
        <v>4</v>
      </c>
      <c r="K482" s="1115"/>
      <c r="L482" s="1032"/>
      <c r="M482" s="1110"/>
      <c r="N482" s="1111"/>
      <c r="O482" s="1111"/>
      <c r="P482" s="1110"/>
      <c r="Q482" s="1111"/>
      <c r="R482" s="1110"/>
    </row>
    <row r="483" spans="1:18" s="1107" customFormat="1" ht="34.5" customHeight="1">
      <c r="A483" s="1104">
        <v>49</v>
      </c>
      <c r="B483" s="2408" t="s">
        <v>2087</v>
      </c>
      <c r="C483" s="2409"/>
      <c r="D483" s="2409"/>
      <c r="E483" s="2409"/>
      <c r="F483" s="2409"/>
      <c r="G483" s="2409"/>
      <c r="H483" s="2409"/>
      <c r="I483" s="2410"/>
      <c r="J483" s="1109"/>
      <c r="K483" s="1032"/>
      <c r="L483" s="1032"/>
      <c r="M483" s="1110"/>
      <c r="N483" s="1111"/>
      <c r="O483" s="1111"/>
      <c r="P483" s="1110"/>
      <c r="Q483" s="1111"/>
      <c r="R483" s="1110"/>
    </row>
    <row r="484" spans="1:18" s="1107" customFormat="1" ht="27.6">
      <c r="A484" s="1104"/>
      <c r="B484" s="1112" t="s">
        <v>2088</v>
      </c>
      <c r="C484" s="1106">
        <v>1</v>
      </c>
      <c r="D484" s="1112" t="s">
        <v>1472</v>
      </c>
      <c r="E484" s="1106">
        <v>2</v>
      </c>
      <c r="F484" s="1113">
        <v>1</v>
      </c>
      <c r="G484" s="1113"/>
      <c r="H484" s="1113"/>
      <c r="I484" s="1113">
        <f>F484*E484</f>
        <v>2</v>
      </c>
      <c r="J484" s="1114">
        <v>732</v>
      </c>
      <c r="K484" s="1115">
        <f>ROUND(J484*I484,0)</f>
        <v>1464</v>
      </c>
      <c r="L484" s="1032"/>
      <c r="M484" s="1110"/>
      <c r="N484" s="1111"/>
      <c r="O484" s="1111"/>
      <c r="P484" s="1110"/>
      <c r="Q484" s="1111"/>
      <c r="R484" s="1110"/>
    </row>
    <row r="485" spans="1:18" s="1107" customFormat="1" ht="14.1">
      <c r="A485" s="1104"/>
      <c r="B485" s="1112"/>
      <c r="C485" s="1112"/>
      <c r="D485" s="1112"/>
      <c r="E485" s="1106"/>
      <c r="F485" s="1105"/>
      <c r="G485" s="1105"/>
      <c r="H485" s="1105"/>
      <c r="I485" s="1105" t="s">
        <v>857</v>
      </c>
      <c r="J485" s="1114" t="s">
        <v>4</v>
      </c>
      <c r="K485" s="1115"/>
      <c r="L485" s="1032"/>
      <c r="M485" s="1110"/>
      <c r="N485" s="1111"/>
      <c r="O485" s="1111"/>
      <c r="P485" s="1110"/>
      <c r="Q485" s="1111"/>
      <c r="R485" s="1110"/>
    </row>
    <row r="486" spans="1:18" s="1107" customFormat="1" ht="22.5" customHeight="1">
      <c r="A486" s="1104">
        <v>50</v>
      </c>
      <c r="B486" s="2408" t="s">
        <v>2037</v>
      </c>
      <c r="C486" s="2409"/>
      <c r="D486" s="2409"/>
      <c r="E486" s="2409"/>
      <c r="F486" s="2409"/>
      <c r="G486" s="2409"/>
      <c r="H486" s="2409"/>
      <c r="I486" s="1105"/>
      <c r="J486" s="1106"/>
      <c r="K486" s="1033"/>
      <c r="L486" s="1032"/>
      <c r="M486" s="1110"/>
      <c r="N486" s="1111"/>
      <c r="O486" s="1111"/>
      <c r="P486" s="1111"/>
      <c r="Q486" s="1111"/>
      <c r="R486" s="1110"/>
    </row>
    <row r="487" spans="1:18" s="1107" customFormat="1" ht="14.1">
      <c r="A487" s="1104"/>
      <c r="B487" s="1116" t="s">
        <v>2038</v>
      </c>
      <c r="C487" s="1117"/>
      <c r="D487" s="1117"/>
      <c r="E487" s="1117"/>
      <c r="F487" s="1117"/>
      <c r="G487" s="1117"/>
      <c r="H487" s="1117"/>
      <c r="I487" s="1105">
        <v>6</v>
      </c>
      <c r="J487" s="1114">
        <f>' DATA -Sanitary&amp;water supply'!$G$160</f>
        <v>178</v>
      </c>
      <c r="K487" s="1115">
        <f>ROUND(J487*I487,0)</f>
        <v>1068</v>
      </c>
      <c r="L487" s="1032"/>
      <c r="M487" s="1110"/>
      <c r="N487" s="1111"/>
      <c r="O487" s="1111"/>
      <c r="P487" s="1111"/>
      <c r="Q487" s="1111"/>
      <c r="R487" s="1110"/>
    </row>
    <row r="488" spans="1:18" s="1107" customFormat="1" ht="14.1">
      <c r="A488" s="1104"/>
      <c r="B488" s="1117"/>
      <c r="C488" s="1117"/>
      <c r="D488" s="1117"/>
      <c r="E488" s="1117"/>
      <c r="F488" s="1117"/>
      <c r="G488" s="1117"/>
      <c r="H488" s="1117"/>
      <c r="I488" s="1105" t="s">
        <v>452</v>
      </c>
      <c r="J488" s="1114" t="s">
        <v>453</v>
      </c>
      <c r="K488" s="1115"/>
      <c r="L488" s="1032"/>
      <c r="M488" s="1110"/>
      <c r="N488" s="1111"/>
      <c r="O488" s="1111"/>
      <c r="P488" s="1111"/>
      <c r="Q488" s="1111"/>
      <c r="R488" s="1110"/>
    </row>
    <row r="489" spans="1:18" s="1107" customFormat="1" ht="14.1">
      <c r="A489" s="1104">
        <v>51</v>
      </c>
      <c r="B489" s="1116" t="s">
        <v>2039</v>
      </c>
      <c r="C489" s="1117"/>
      <c r="D489" s="1117"/>
      <c r="E489" s="1117"/>
      <c r="F489" s="1117"/>
      <c r="G489" s="1117"/>
      <c r="H489" s="1117"/>
      <c r="I489" s="1105">
        <v>6</v>
      </c>
      <c r="J489" s="1114">
        <f>' DATA -Sanitary&amp;water supply'!$G$156</f>
        <v>155</v>
      </c>
      <c r="K489" s="1115">
        <f>ROUND(J489*I489,0)</f>
        <v>930</v>
      </c>
      <c r="L489" s="1032"/>
      <c r="M489" s="1110"/>
      <c r="N489" s="1111"/>
      <c r="O489" s="1111"/>
      <c r="P489" s="1111"/>
      <c r="Q489" s="1111"/>
      <c r="R489" s="1110"/>
    </row>
    <row r="490" spans="1:18" s="1107" customFormat="1" ht="14.1">
      <c r="A490" s="1104"/>
      <c r="B490" s="1117"/>
      <c r="C490" s="1117"/>
      <c r="D490" s="1117"/>
      <c r="E490" s="1117"/>
      <c r="F490" s="1117"/>
      <c r="G490" s="1117"/>
      <c r="H490" s="1117"/>
      <c r="I490" s="1105" t="s">
        <v>452</v>
      </c>
      <c r="J490" s="1114" t="s">
        <v>453</v>
      </c>
      <c r="K490" s="1115"/>
      <c r="L490" s="1032"/>
      <c r="M490" s="1110"/>
      <c r="N490" s="1111"/>
      <c r="O490" s="1111"/>
      <c r="P490" s="1111"/>
      <c r="Q490" s="1111"/>
      <c r="R490" s="1110"/>
    </row>
    <row r="491" spans="1:18" s="1107" customFormat="1" ht="30.75" customHeight="1">
      <c r="A491" s="1104">
        <v>52</v>
      </c>
      <c r="B491" s="2412" t="s">
        <v>2245</v>
      </c>
      <c r="C491" s="2413"/>
      <c r="D491" s="2413"/>
      <c r="E491" s="2413"/>
      <c r="F491" s="2413"/>
      <c r="G491" s="2413"/>
      <c r="H491" s="2414"/>
      <c r="I491" s="1106"/>
      <c r="J491" s="1109"/>
      <c r="K491" s="1033"/>
      <c r="L491" s="1032"/>
      <c r="M491" s="1110"/>
      <c r="N491" s="1111"/>
      <c r="O491" s="1111"/>
      <c r="P491" s="1110"/>
      <c r="Q491" s="1111"/>
      <c r="R491" s="1110"/>
    </row>
    <row r="492" spans="1:18" s="1107" customFormat="1" ht="14.1">
      <c r="A492" s="1104"/>
      <c r="B492" s="1117"/>
      <c r="C492" s="1117"/>
      <c r="D492" s="1117"/>
      <c r="E492" s="1117"/>
      <c r="F492" s="1117"/>
      <c r="G492" s="1117"/>
      <c r="H492" s="1117"/>
      <c r="I492" s="1105">
        <v>6</v>
      </c>
      <c r="J492" s="1114">
        <f>' DATA -Sanitary&amp;water supply'!$G$39</f>
        <v>204.33</v>
      </c>
      <c r="K492" s="1115">
        <f>ROUND(J492*I492,0)</f>
        <v>1226</v>
      </c>
      <c r="L492" s="1032"/>
      <c r="M492" s="1110"/>
      <c r="N492" s="1111"/>
      <c r="O492" s="1111"/>
      <c r="P492" s="1110"/>
      <c r="Q492" s="1111"/>
      <c r="R492" s="1110"/>
    </row>
    <row r="493" spans="1:18" s="1107" customFormat="1" ht="14.1">
      <c r="A493" s="1104"/>
      <c r="B493" s="1117"/>
      <c r="C493" s="1117"/>
      <c r="D493" s="1117"/>
      <c r="E493" s="1117"/>
      <c r="F493" s="1117"/>
      <c r="G493" s="1117"/>
      <c r="H493" s="1117"/>
      <c r="I493" s="1105" t="s">
        <v>452</v>
      </c>
      <c r="J493" s="1106" t="s">
        <v>453</v>
      </c>
      <c r="K493" s="1033"/>
      <c r="L493" s="1032"/>
      <c r="M493" s="1110"/>
      <c r="N493" s="1111"/>
      <c r="O493" s="1111"/>
      <c r="P493" s="1111"/>
      <c r="Q493" s="1111"/>
      <c r="R493" s="1110"/>
    </row>
    <row r="494" spans="1:18" s="1107" customFormat="1" ht="31.5" customHeight="1">
      <c r="A494" s="1104">
        <v>53</v>
      </c>
      <c r="B494" s="2412" t="s">
        <v>207</v>
      </c>
      <c r="C494" s="2413"/>
      <c r="D494" s="2413"/>
      <c r="E494" s="2413"/>
      <c r="F494" s="2413"/>
      <c r="G494" s="2413"/>
      <c r="H494" s="2414"/>
      <c r="I494" s="1105"/>
      <c r="J494" s="1109"/>
      <c r="K494" s="1033"/>
      <c r="L494" s="1032"/>
      <c r="M494" s="1110"/>
      <c r="N494" s="1111"/>
      <c r="O494" s="1111"/>
      <c r="P494" s="1110"/>
      <c r="Q494" s="1111"/>
      <c r="R494" s="1110"/>
    </row>
    <row r="495" spans="1:18" s="1107" customFormat="1" ht="14.1">
      <c r="A495" s="1104"/>
      <c r="B495" s="2407"/>
      <c r="C495" s="2407"/>
      <c r="D495" s="2407"/>
      <c r="E495" s="2407"/>
      <c r="F495" s="2407"/>
      <c r="G495" s="2407"/>
      <c r="H495" s="2407"/>
      <c r="I495" s="1105">
        <v>6</v>
      </c>
      <c r="J495" s="1114">
        <f>' DATA -Sanitary&amp;water supply'!$G$33</f>
        <v>293.67</v>
      </c>
      <c r="K495" s="1115">
        <f>ROUND(J495*I495,0)</f>
        <v>1762</v>
      </c>
      <c r="L495" s="1032"/>
      <c r="M495" s="1110"/>
      <c r="N495" s="1111"/>
      <c r="O495" s="1111"/>
      <c r="P495" s="1110"/>
      <c r="Q495" s="1111"/>
      <c r="R495" s="1110"/>
    </row>
    <row r="496" spans="1:18" s="1107" customFormat="1" ht="14.1">
      <c r="A496" s="1104"/>
      <c r="B496" s="1117"/>
      <c r="C496" s="1117"/>
      <c r="D496" s="1117"/>
      <c r="E496" s="1117"/>
      <c r="F496" s="1117"/>
      <c r="G496" s="1117"/>
      <c r="H496" s="1117"/>
      <c r="I496" s="1105" t="s">
        <v>452</v>
      </c>
      <c r="J496" s="1106" t="s">
        <v>453</v>
      </c>
      <c r="K496" s="1033"/>
      <c r="L496" s="1032"/>
      <c r="M496" s="1110"/>
      <c r="N496" s="1111"/>
      <c r="O496" s="1111"/>
      <c r="P496" s="1111"/>
      <c r="Q496" s="1111"/>
      <c r="R496" s="1110"/>
    </row>
    <row r="497" spans="1:18" s="1107" customFormat="1" ht="72.75" customHeight="1">
      <c r="A497" s="1104">
        <v>54</v>
      </c>
      <c r="B497" s="2412" t="s">
        <v>1252</v>
      </c>
      <c r="C497" s="2413"/>
      <c r="D497" s="2413"/>
      <c r="E497" s="2413"/>
      <c r="F497" s="2413"/>
      <c r="G497" s="2413"/>
      <c r="H497" s="2414"/>
      <c r="I497" s="1105"/>
      <c r="J497" s="1109"/>
      <c r="K497" s="1033"/>
      <c r="L497" s="1032"/>
      <c r="M497" s="1110"/>
      <c r="N497" s="1111"/>
      <c r="O497" s="1111"/>
      <c r="P497" s="1110"/>
      <c r="Q497" s="1111"/>
      <c r="R497" s="1110"/>
    </row>
    <row r="498" spans="1:18" s="1107" customFormat="1" ht="14.1">
      <c r="A498" s="1104"/>
      <c r="B498" s="2407"/>
      <c r="C498" s="2407"/>
      <c r="D498" s="2407"/>
      <c r="E498" s="2407"/>
      <c r="F498" s="2407"/>
      <c r="G498" s="2407"/>
      <c r="H498" s="2407"/>
      <c r="I498" s="1105">
        <v>2</v>
      </c>
      <c r="J498" s="1114">
        <f>' DATA -Sanitary&amp;water supply'!$G$26</f>
        <v>171</v>
      </c>
      <c r="K498" s="1115">
        <f>ROUND(J498*I498,0)</f>
        <v>342</v>
      </c>
      <c r="L498" s="1032"/>
      <c r="M498" s="1110"/>
      <c r="N498" s="1111"/>
      <c r="O498" s="1111"/>
      <c r="P498" s="1110"/>
      <c r="Q498" s="1111"/>
      <c r="R498" s="1110"/>
    </row>
    <row r="499" spans="1:18" s="1107" customFormat="1" ht="14.1">
      <c r="A499" s="1104"/>
      <c r="B499" s="1117"/>
      <c r="C499" s="1117"/>
      <c r="D499" s="1117"/>
      <c r="E499" s="1117"/>
      <c r="F499" s="1117"/>
      <c r="G499" s="1117"/>
      <c r="H499" s="1117"/>
      <c r="I499" s="1105" t="s">
        <v>472</v>
      </c>
      <c r="J499" s="1106" t="s">
        <v>4</v>
      </c>
      <c r="K499" s="1033"/>
      <c r="L499" s="1032"/>
      <c r="M499" s="1110"/>
      <c r="N499" s="1111"/>
      <c r="O499" s="1111"/>
      <c r="P499" s="1111"/>
      <c r="Q499" s="1111"/>
      <c r="R499" s="1110"/>
    </row>
    <row r="500" spans="1:18" s="1107" customFormat="1" ht="81.75" customHeight="1">
      <c r="A500" s="1104">
        <v>55</v>
      </c>
      <c r="B500" s="2412" t="s">
        <v>1031</v>
      </c>
      <c r="C500" s="2413"/>
      <c r="D500" s="2413"/>
      <c r="E500" s="2413"/>
      <c r="F500" s="2413"/>
      <c r="G500" s="2413"/>
      <c r="H500" s="2414"/>
      <c r="I500" s="1105"/>
      <c r="J500" s="1106"/>
      <c r="K500" s="1033"/>
      <c r="L500" s="1032"/>
      <c r="M500" s="1110"/>
      <c r="N500" s="1111"/>
      <c r="O500" s="1111"/>
      <c r="P500" s="1110"/>
      <c r="Q500" s="1111"/>
      <c r="R500" s="1110"/>
    </row>
    <row r="501" spans="1:18" s="1107" customFormat="1" ht="14.1">
      <c r="A501" s="1104"/>
      <c r="B501" s="2407"/>
      <c r="C501" s="2407"/>
      <c r="D501" s="2407"/>
      <c r="E501" s="2407"/>
      <c r="F501" s="2407"/>
      <c r="G501" s="2407"/>
      <c r="H501" s="2407"/>
      <c r="I501" s="1105">
        <v>2</v>
      </c>
      <c r="J501" s="1114">
        <f>' DATA -Sanitary&amp;water supply'!$G$140</f>
        <v>84</v>
      </c>
      <c r="K501" s="1115">
        <f>ROUND(J501*I501,0)</f>
        <v>168</v>
      </c>
      <c r="L501" s="1032"/>
      <c r="M501" s="1110"/>
      <c r="N501" s="1111"/>
      <c r="O501" s="1111"/>
      <c r="P501" s="1110"/>
      <c r="Q501" s="1111"/>
      <c r="R501" s="1110"/>
    </row>
    <row r="502" spans="1:18" s="1107" customFormat="1" ht="14.1">
      <c r="A502" s="1104"/>
      <c r="B502" s="1117"/>
      <c r="C502" s="1117"/>
      <c r="D502" s="1117"/>
      <c r="E502" s="1117"/>
      <c r="F502" s="1117"/>
      <c r="G502" s="1117"/>
      <c r="H502" s="1117"/>
      <c r="I502" s="1105" t="s">
        <v>472</v>
      </c>
      <c r="J502" s="1106" t="s">
        <v>4</v>
      </c>
      <c r="K502" s="1033"/>
      <c r="L502" s="1032"/>
      <c r="M502" s="1110"/>
      <c r="N502" s="1111"/>
      <c r="O502" s="1111"/>
      <c r="P502" s="1111"/>
      <c r="Q502" s="1111"/>
      <c r="R502" s="1110"/>
    </row>
    <row r="503" spans="1:18" s="1107" customFormat="1" ht="81" customHeight="1">
      <c r="A503" s="1104">
        <v>56</v>
      </c>
      <c r="B503" s="2412" t="s">
        <v>447</v>
      </c>
      <c r="C503" s="2418"/>
      <c r="D503" s="2418"/>
      <c r="E503" s="2418"/>
      <c r="F503" s="2418"/>
      <c r="G503" s="2418"/>
      <c r="H503" s="2419"/>
      <c r="I503" s="1105"/>
      <c r="J503" s="1106"/>
      <c r="K503" s="1033"/>
      <c r="L503" s="1032"/>
      <c r="M503" s="1110"/>
      <c r="N503" s="1111"/>
      <c r="O503" s="1111"/>
      <c r="P503" s="1110"/>
      <c r="Q503" s="1111"/>
      <c r="R503" s="1110"/>
    </row>
    <row r="504" spans="1:18" s="1107" customFormat="1" ht="27.75" customHeight="1">
      <c r="A504" s="1104"/>
      <c r="B504" s="2407"/>
      <c r="C504" s="2407"/>
      <c r="D504" s="2407"/>
      <c r="E504" s="2407"/>
      <c r="F504" s="2407"/>
      <c r="G504" s="2407"/>
      <c r="H504" s="2407"/>
      <c r="I504" s="1105">
        <v>4</v>
      </c>
      <c r="J504" s="1114">
        <f>' DATA -Sanitary&amp;water supply'!$G$144</f>
        <v>47</v>
      </c>
      <c r="K504" s="1115">
        <f>ROUND(J504*I504,0)</f>
        <v>188</v>
      </c>
      <c r="L504" s="1032"/>
      <c r="M504" s="1110"/>
      <c r="N504" s="1111"/>
      <c r="O504" s="1111"/>
      <c r="P504" s="1110"/>
      <c r="Q504" s="1111"/>
      <c r="R504" s="1110"/>
    </row>
    <row r="505" spans="1:18" s="1107" customFormat="1" ht="14.1">
      <c r="A505" s="1104"/>
      <c r="B505" s="1117"/>
      <c r="C505" s="1117"/>
      <c r="D505" s="1117"/>
      <c r="E505" s="1117"/>
      <c r="F505" s="1117"/>
      <c r="G505" s="1117"/>
      <c r="H505" s="1117"/>
      <c r="I505" s="1105" t="s">
        <v>472</v>
      </c>
      <c r="J505" s="1106" t="s">
        <v>4</v>
      </c>
      <c r="K505" s="1033"/>
      <c r="L505" s="1032"/>
      <c r="M505" s="1110"/>
      <c r="N505" s="1111"/>
      <c r="O505" s="1111"/>
      <c r="P505" s="1111"/>
      <c r="Q505" s="1111"/>
      <c r="R505" s="1110"/>
    </row>
    <row r="506" spans="1:18" s="1107" customFormat="1" ht="35.25" customHeight="1">
      <c r="A506" s="1104">
        <v>57</v>
      </c>
      <c r="B506" s="2412" t="s">
        <v>448</v>
      </c>
      <c r="C506" s="2418"/>
      <c r="D506" s="2418"/>
      <c r="E506" s="2418"/>
      <c r="F506" s="2418"/>
      <c r="G506" s="2418"/>
      <c r="H506" s="2419"/>
      <c r="I506" s="1113"/>
      <c r="J506" s="1109"/>
      <c r="K506" s="1033"/>
      <c r="L506" s="1032"/>
      <c r="M506" s="1110"/>
      <c r="N506" s="1111"/>
      <c r="O506" s="1111"/>
      <c r="P506" s="1110"/>
      <c r="Q506" s="1111"/>
      <c r="R506" s="1110"/>
    </row>
    <row r="507" spans="1:18" s="1107" customFormat="1" ht="14.1">
      <c r="A507" s="1104"/>
      <c r="B507" s="2407"/>
      <c r="C507" s="2407"/>
      <c r="D507" s="2407"/>
      <c r="E507" s="2407"/>
      <c r="F507" s="2407"/>
      <c r="G507" s="2407"/>
      <c r="H507" s="2407"/>
      <c r="I507" s="1105">
        <v>2</v>
      </c>
      <c r="J507" s="1114">
        <f>' DATA -Sanitary&amp;water supply'!$G$148</f>
        <v>23</v>
      </c>
      <c r="K507" s="1115">
        <f>ROUND(J507*I507,0)</f>
        <v>46</v>
      </c>
      <c r="L507" s="1032"/>
      <c r="M507" s="1110"/>
      <c r="N507" s="1111"/>
      <c r="O507" s="1111"/>
      <c r="P507" s="1110"/>
      <c r="Q507" s="1111"/>
      <c r="R507" s="1110"/>
    </row>
    <row r="508" spans="1:18" s="1107" customFormat="1" ht="14.1">
      <c r="A508" s="1104"/>
      <c r="B508" s="1117"/>
      <c r="C508" s="1117"/>
      <c r="D508" s="1117"/>
      <c r="E508" s="1117"/>
      <c r="F508" s="1117"/>
      <c r="G508" s="1117"/>
      <c r="H508" s="1117"/>
      <c r="I508" s="1105" t="s">
        <v>472</v>
      </c>
      <c r="J508" s="1106" t="s">
        <v>4</v>
      </c>
      <c r="K508" s="1033"/>
      <c r="L508" s="1032"/>
      <c r="M508" s="1110"/>
      <c r="N508" s="1111"/>
      <c r="O508" s="1111"/>
      <c r="P508" s="1111"/>
      <c r="Q508" s="1111"/>
      <c r="R508" s="1110"/>
    </row>
    <row r="509" spans="1:18" s="1107" customFormat="1" ht="109.5" customHeight="1">
      <c r="A509" s="1104">
        <v>58</v>
      </c>
      <c r="B509" s="2412" t="s">
        <v>1441</v>
      </c>
      <c r="C509" s="2418"/>
      <c r="D509" s="2418"/>
      <c r="E509" s="2418"/>
      <c r="F509" s="2418"/>
      <c r="G509" s="2418"/>
      <c r="H509" s="2419"/>
      <c r="I509" s="1105"/>
      <c r="J509" s="1109"/>
      <c r="K509" s="1033"/>
      <c r="L509" s="1032"/>
      <c r="M509" s="1110"/>
      <c r="N509" s="1111"/>
      <c r="O509" s="1111"/>
      <c r="P509" s="1110"/>
      <c r="Q509" s="1111"/>
      <c r="R509" s="1110"/>
    </row>
    <row r="510" spans="1:18" s="1107" customFormat="1" ht="14.1">
      <c r="A510" s="1104"/>
      <c r="B510" s="2407"/>
      <c r="C510" s="2407"/>
      <c r="D510" s="2407"/>
      <c r="E510" s="2407"/>
      <c r="F510" s="2407"/>
      <c r="G510" s="2407"/>
      <c r="H510" s="2407"/>
      <c r="I510" s="1105">
        <v>2</v>
      </c>
      <c r="J510" s="1114">
        <f>' DATA -Sanitary&amp;water supply'!G83</f>
        <v>4610</v>
      </c>
      <c r="K510" s="1115">
        <f>ROUND(J510*I510,0)</f>
        <v>9220</v>
      </c>
      <c r="L510" s="1032"/>
      <c r="M510" s="1110"/>
      <c r="N510" s="1111"/>
      <c r="O510" s="1111"/>
      <c r="P510" s="1110"/>
      <c r="Q510" s="1111"/>
      <c r="R510" s="1110"/>
    </row>
    <row r="511" spans="1:18" s="1107" customFormat="1" ht="14.1">
      <c r="A511" s="1104"/>
      <c r="B511" s="1117"/>
      <c r="C511" s="1117"/>
      <c r="D511" s="1117"/>
      <c r="E511" s="1117"/>
      <c r="F511" s="1117"/>
      <c r="G511" s="1117"/>
      <c r="H511" s="1117"/>
      <c r="I511" s="1105" t="s">
        <v>472</v>
      </c>
      <c r="J511" s="1106" t="s">
        <v>4</v>
      </c>
      <c r="K511" s="1033"/>
      <c r="L511" s="1032"/>
      <c r="M511" s="1110"/>
      <c r="N511" s="1111"/>
      <c r="O511" s="1111"/>
      <c r="P511" s="1111"/>
      <c r="Q511" s="1111"/>
      <c r="R511" s="1110"/>
    </row>
    <row r="512" spans="1:18" s="1107" customFormat="1" ht="14.1">
      <c r="A512" s="1104"/>
      <c r="B512" s="1118"/>
      <c r="C512" s="1119"/>
      <c r="D512" s="1119"/>
      <c r="E512" s="1119"/>
      <c r="F512" s="1119"/>
      <c r="G512" s="1119"/>
      <c r="H512" s="1120"/>
      <c r="I512" s="1105"/>
      <c r="J512" s="1106" t="s">
        <v>4</v>
      </c>
      <c r="K512" s="1115"/>
      <c r="L512" s="1032"/>
      <c r="M512" s="1110"/>
      <c r="N512" s="1111"/>
      <c r="O512" s="1111"/>
      <c r="P512" s="1110"/>
      <c r="Q512" s="1111"/>
      <c r="R512" s="1110"/>
    </row>
    <row r="513" spans="1:18" s="1107" customFormat="1" ht="84" customHeight="1">
      <c r="A513" s="1104">
        <v>59</v>
      </c>
      <c r="B513" s="2412" t="s">
        <v>2040</v>
      </c>
      <c r="C513" s="2418"/>
      <c r="D513" s="2418"/>
      <c r="E513" s="2418"/>
      <c r="F513" s="2418"/>
      <c r="G513" s="2418"/>
      <c r="H513" s="2419"/>
      <c r="I513" s="1105"/>
      <c r="J513" s="1106"/>
      <c r="K513" s="1033"/>
      <c r="L513" s="1032"/>
      <c r="M513" s="1110"/>
      <c r="N513" s="1111"/>
      <c r="O513" s="1111"/>
      <c r="P513" s="1110"/>
      <c r="Q513" s="1111"/>
      <c r="R513" s="1110"/>
    </row>
    <row r="514" spans="1:18" s="1107" customFormat="1" ht="14.1">
      <c r="A514" s="1104"/>
      <c r="B514" s="2407"/>
      <c r="C514" s="2407"/>
      <c r="D514" s="2407"/>
      <c r="E514" s="2407"/>
      <c r="F514" s="2407"/>
      <c r="G514" s="2407"/>
      <c r="H514" s="2407"/>
      <c r="I514" s="1105">
        <v>1000</v>
      </c>
      <c r="J514" s="1114">
        <f>' DATA -Sanitary&amp;water supply'!G124</f>
        <v>10</v>
      </c>
      <c r="K514" s="1115">
        <f>ROUND(J514*I514,0)</f>
        <v>10000</v>
      </c>
      <c r="L514" s="1032"/>
      <c r="M514" s="1110"/>
      <c r="N514" s="1111"/>
      <c r="O514" s="1111"/>
      <c r="P514" s="1110"/>
      <c r="Q514" s="1111"/>
      <c r="R514" s="1110"/>
    </row>
    <row r="515" spans="1:18" s="1107" customFormat="1" ht="14.1">
      <c r="A515" s="1104"/>
      <c r="B515" s="1117"/>
      <c r="C515" s="1117"/>
      <c r="D515" s="1117"/>
      <c r="E515" s="1117"/>
      <c r="F515" s="1117"/>
      <c r="G515" s="1117"/>
      <c r="H515" s="1117"/>
      <c r="I515" s="1105" t="s">
        <v>1426</v>
      </c>
      <c r="J515" s="1106" t="s">
        <v>883</v>
      </c>
      <c r="K515" s="1115"/>
      <c r="L515" s="1032"/>
      <c r="M515" s="1110"/>
      <c r="N515" s="1111"/>
      <c r="O515" s="1111"/>
      <c r="P515" s="1111"/>
      <c r="Q515" s="1111"/>
      <c r="R515" s="1110"/>
    </row>
    <row r="516" spans="1:18" s="1107" customFormat="1" ht="94.5" customHeight="1">
      <c r="A516" s="1104">
        <v>60</v>
      </c>
      <c r="B516" s="2412" t="s">
        <v>1353</v>
      </c>
      <c r="C516" s="2418"/>
      <c r="D516" s="2418"/>
      <c r="E516" s="2418"/>
      <c r="F516" s="2418"/>
      <c r="G516" s="2418"/>
      <c r="H516" s="2419"/>
      <c r="I516" s="1105"/>
      <c r="J516" s="1109"/>
      <c r="K516" s="1033"/>
      <c r="L516" s="1032"/>
      <c r="M516" s="1110"/>
      <c r="N516" s="1111"/>
      <c r="O516" s="1111"/>
      <c r="P516" s="1110"/>
      <c r="Q516" s="1111"/>
      <c r="R516" s="1110"/>
    </row>
    <row r="517" spans="1:18" s="1107" customFormat="1" ht="14.1">
      <c r="A517" s="1104"/>
      <c r="B517" s="2420"/>
      <c r="C517" s="2421"/>
      <c r="D517" s="2421"/>
      <c r="E517" s="2421"/>
      <c r="F517" s="2421"/>
      <c r="G517" s="2421"/>
      <c r="H517" s="2422"/>
      <c r="I517" s="1105">
        <v>6</v>
      </c>
      <c r="J517" s="1114">
        <f>' DATA -Sanitary&amp;water supply'!G117</f>
        <v>531</v>
      </c>
      <c r="K517" s="1115">
        <f>ROUND(J517*I517,0)</f>
        <v>3186</v>
      </c>
      <c r="L517" s="1032"/>
      <c r="M517" s="1110"/>
      <c r="N517" s="1111"/>
      <c r="O517" s="1111"/>
      <c r="P517" s="1110"/>
      <c r="Q517" s="1111"/>
      <c r="R517" s="1110"/>
    </row>
    <row r="518" spans="1:18" s="1107" customFormat="1" ht="14.1">
      <c r="A518" s="1104"/>
      <c r="B518" s="1108"/>
      <c r="C518" s="1121"/>
      <c r="D518" s="1121"/>
      <c r="E518" s="1121"/>
      <c r="F518" s="1121"/>
      <c r="G518" s="1121"/>
      <c r="H518" s="1122"/>
      <c r="I518" s="1105" t="s">
        <v>6</v>
      </c>
      <c r="J518" s="1106" t="s">
        <v>453</v>
      </c>
      <c r="K518" s="1115"/>
      <c r="L518" s="1032"/>
      <c r="M518" s="1110"/>
      <c r="N518" s="1111"/>
      <c r="O518" s="1111"/>
      <c r="P518" s="1110"/>
      <c r="Q518" s="1111"/>
      <c r="R518" s="1110"/>
    </row>
    <row r="519" spans="1:18" s="1107" customFormat="1" ht="114.75" customHeight="1">
      <c r="A519" s="1104">
        <v>61</v>
      </c>
      <c r="B519" s="2412" t="s">
        <v>1922</v>
      </c>
      <c r="C519" s="2418"/>
      <c r="D519" s="2418"/>
      <c r="E519" s="2418"/>
      <c r="F519" s="2418"/>
      <c r="G519" s="2418"/>
      <c r="H519" s="2419"/>
      <c r="I519" s="1105"/>
      <c r="J519" s="1109"/>
      <c r="K519" s="1033"/>
      <c r="L519" s="1032"/>
      <c r="M519" s="1110"/>
      <c r="N519" s="1111"/>
      <c r="O519" s="1111"/>
      <c r="P519" s="1110"/>
      <c r="Q519" s="1111"/>
      <c r="R519" s="1110"/>
    </row>
    <row r="520" spans="1:18" s="1107" customFormat="1" ht="14.1">
      <c r="A520" s="1104"/>
      <c r="B520" s="2420"/>
      <c r="C520" s="2421"/>
      <c r="D520" s="2421"/>
      <c r="E520" s="2421"/>
      <c r="F520" s="2421"/>
      <c r="G520" s="2421"/>
      <c r="H520" s="2422"/>
      <c r="I520" s="1105">
        <v>2</v>
      </c>
      <c r="J520" s="1114">
        <f>' DATA -Sanitary&amp;water supply'!G152</f>
        <v>2045</v>
      </c>
      <c r="K520" s="1115">
        <f>ROUND(J520*I520,0)</f>
        <v>4090</v>
      </c>
      <c r="L520" s="1032"/>
      <c r="M520" s="1110"/>
      <c r="N520" s="1111"/>
      <c r="O520" s="1111"/>
      <c r="P520" s="1110"/>
      <c r="Q520" s="1111"/>
      <c r="R520" s="1110"/>
    </row>
    <row r="521" spans="1:18" s="1107" customFormat="1" ht="14.1">
      <c r="A521" s="1104"/>
      <c r="B521" s="1108"/>
      <c r="C521" s="1121"/>
      <c r="D521" s="1121"/>
      <c r="E521" s="1121"/>
      <c r="F521" s="1121"/>
      <c r="G521" s="1121"/>
      <c r="H521" s="1122"/>
      <c r="I521" s="1105" t="s">
        <v>6</v>
      </c>
      <c r="J521" s="1106" t="s">
        <v>453</v>
      </c>
      <c r="K521" s="1115"/>
      <c r="L521" s="1032"/>
      <c r="M521" s="1110"/>
      <c r="N521" s="1111"/>
      <c r="O521" s="1111"/>
      <c r="P521" s="1110"/>
      <c r="Q521" s="1111"/>
      <c r="R521" s="1110"/>
    </row>
    <row r="522" spans="1:18" s="1107" customFormat="1" ht="14.1">
      <c r="A522" s="1123"/>
      <c r="B522" s="1124"/>
      <c r="C522" s="1124"/>
      <c r="D522" s="1124"/>
      <c r="E522" s="1124"/>
      <c r="F522" s="1124"/>
      <c r="G522" s="1124"/>
      <c r="H522" s="1124"/>
      <c r="I522" s="1125"/>
      <c r="J522" s="1126"/>
      <c r="K522" s="1127">
        <f>SUM(K6:K520)</f>
        <v>2704527</v>
      </c>
      <c r="L522" s="1034"/>
      <c r="M522" s="1110"/>
      <c r="N522" s="1111"/>
      <c r="O522" s="1127">
        <f>SUM(O6:O520)</f>
        <v>18716</v>
      </c>
      <c r="P522" s="1110"/>
      <c r="Q522" s="1111"/>
      <c r="R522" s="1110"/>
    </row>
    <row r="523" spans="1:18" s="1107" customFormat="1" ht="24.9" customHeight="1">
      <c r="A523" s="1104">
        <v>62</v>
      </c>
      <c r="B523" s="2561" t="s">
        <v>2288</v>
      </c>
      <c r="C523" s="2562"/>
      <c r="D523" s="2562"/>
      <c r="E523" s="2562"/>
      <c r="F523" s="2562"/>
      <c r="G523" s="2562"/>
      <c r="H523" s="2563"/>
      <c r="I523" s="1196"/>
      <c r="J523" s="1109"/>
      <c r="K523" s="1033">
        <v>1000</v>
      </c>
      <c r="L523" s="1198"/>
      <c r="Q523" s="1186"/>
    </row>
    <row r="524" spans="1:18" s="1107" customFormat="1" ht="33" customHeight="1">
      <c r="A524" s="1104">
        <f>A523+1</f>
        <v>63</v>
      </c>
      <c r="B524" s="2412" t="s">
        <v>2481</v>
      </c>
      <c r="C524" s="2418"/>
      <c r="D524" s="2418"/>
      <c r="E524" s="2418"/>
      <c r="F524" s="2418"/>
      <c r="G524" s="2418"/>
      <c r="H524" s="2419"/>
      <c r="I524" s="1105"/>
      <c r="J524" s="1109"/>
      <c r="K524" s="1033">
        <v>80000</v>
      </c>
      <c r="L524" s="1034"/>
      <c r="M524" s="1110"/>
      <c r="N524" s="1110"/>
      <c r="O524" s="1110"/>
      <c r="P524" s="1110"/>
      <c r="Q524" s="1111"/>
      <c r="R524" s="1110"/>
    </row>
    <row r="525" spans="1:18" s="1107" customFormat="1" ht="24.9" customHeight="1">
      <c r="A525" s="1104">
        <f>A524+1</f>
        <v>64</v>
      </c>
      <c r="B525" s="2412" t="s">
        <v>2196</v>
      </c>
      <c r="C525" s="2418"/>
      <c r="D525" s="2418"/>
      <c r="E525" s="2418"/>
      <c r="F525" s="2418"/>
      <c r="G525" s="2418"/>
      <c r="H525" s="2419"/>
      <c r="I525" s="1105"/>
      <c r="J525" s="1109"/>
      <c r="K525" s="1033">
        <v>15000</v>
      </c>
      <c r="L525" s="1034"/>
      <c r="M525" s="1110"/>
      <c r="N525" s="1110"/>
      <c r="O525" s="1110"/>
      <c r="P525" s="1110"/>
      <c r="Q525" s="1111"/>
      <c r="R525" s="1110"/>
    </row>
    <row r="526" spans="1:18" s="1107" customFormat="1" ht="23.25" customHeight="1">
      <c r="A526" s="1104">
        <f>A525+1</f>
        <v>65</v>
      </c>
      <c r="B526" s="2412" t="s">
        <v>2323</v>
      </c>
      <c r="C526" s="2418"/>
      <c r="D526" s="2418"/>
      <c r="E526" s="2418"/>
      <c r="F526" s="2418"/>
      <c r="G526" s="2418"/>
      <c r="H526" s="2419"/>
      <c r="I526" s="1105"/>
      <c r="J526" s="1109"/>
      <c r="K526" s="1033">
        <v>29313</v>
      </c>
      <c r="L526" s="1034"/>
      <c r="M526" s="1110"/>
      <c r="N526" s="1110"/>
      <c r="O526" s="1110"/>
      <c r="P526" s="1110"/>
      <c r="Q526" s="1111"/>
      <c r="R526" s="1110"/>
    </row>
    <row r="527" spans="1:18" s="1132" customFormat="1" ht="24.9" customHeight="1">
      <c r="A527" s="1128"/>
      <c r="B527" s="1128" t="s">
        <v>2059</v>
      </c>
      <c r="C527" s="1128"/>
      <c r="D527" s="1128"/>
      <c r="E527" s="1128"/>
      <c r="F527" s="1129"/>
      <c r="G527" s="1129"/>
      <c r="H527" s="1129"/>
      <c r="I527" s="1129"/>
      <c r="J527" s="1129"/>
      <c r="K527" s="1127">
        <f>SUM(K522:K526)</f>
        <v>2829840</v>
      </c>
      <c r="L527" s="1130">
        <f>K527-1260000</f>
        <v>1569840</v>
      </c>
      <c r="M527" s="1131"/>
      <c r="O527" s="1133">
        <f>2450000-K527</f>
        <v>-379840</v>
      </c>
    </row>
    <row r="529" spans="1:17">
      <c r="A529" s="2560"/>
      <c r="B529" s="2560"/>
      <c r="C529" s="2560"/>
      <c r="D529" s="2560"/>
      <c r="E529" s="2560"/>
      <c r="F529" s="2560"/>
      <c r="G529" s="2560"/>
      <c r="P529" s="1196"/>
      <c r="Q529" s="1109"/>
    </row>
    <row r="530" spans="1:17" ht="14.1">
      <c r="B530" s="1069" t="s">
        <v>2441</v>
      </c>
    </row>
    <row r="532" spans="1:17">
      <c r="K532" s="1087">
        <v>7.39</v>
      </c>
      <c r="N532" s="1069">
        <v>80</v>
      </c>
      <c r="O532" s="1069">
        <f>N532*K532</f>
        <v>591.19999999999993</v>
      </c>
    </row>
    <row r="533" spans="1:17">
      <c r="K533" s="1087">
        <v>7.67</v>
      </c>
      <c r="N533" s="1069">
        <v>175</v>
      </c>
      <c r="O533" s="1069">
        <f>N533*K533</f>
        <v>1342.25</v>
      </c>
    </row>
    <row r="534" spans="1:17">
      <c r="K534" s="1087">
        <v>6.35</v>
      </c>
      <c r="N534" s="1069">
        <v>150</v>
      </c>
      <c r="O534" s="1069">
        <f>N534*K534</f>
        <v>952.5</v>
      </c>
    </row>
    <row r="535" spans="1:17">
      <c r="K535" s="1087">
        <v>8.06</v>
      </c>
      <c r="N535" s="1069">
        <v>150</v>
      </c>
      <c r="O535" s="1069">
        <f>N535*K535</f>
        <v>1209</v>
      </c>
    </row>
    <row r="536" spans="1:17">
      <c r="K536" s="1087">
        <f>17.56*0.125</f>
        <v>2.1949999999999998</v>
      </c>
      <c r="N536" s="1069">
        <v>75</v>
      </c>
      <c r="O536" s="1069">
        <f>N536*K536</f>
        <v>164.625</v>
      </c>
    </row>
    <row r="537" spans="1:17">
      <c r="O537" s="1069">
        <f>SUM(O532:O536)</f>
        <v>4259.5749999999998</v>
      </c>
    </row>
  </sheetData>
  <mergeCells count="97">
    <mergeCell ref="B525:H525"/>
    <mergeCell ref="B526:H526"/>
    <mergeCell ref="B52:H52"/>
    <mergeCell ref="B137:I137"/>
    <mergeCell ref="B183:I183"/>
    <mergeCell ref="B360:I360"/>
    <mergeCell ref="B363:I363"/>
    <mergeCell ref="B494:H494"/>
    <mergeCell ref="B495:H495"/>
    <mergeCell ref="B497:H497"/>
    <mergeCell ref="B517:H517"/>
    <mergeCell ref="B132:I132"/>
    <mergeCell ref="B203:I203"/>
    <mergeCell ref="B280:I280"/>
    <mergeCell ref="B287:I287"/>
    <mergeCell ref="B215:H215"/>
    <mergeCell ref="A3:A4"/>
    <mergeCell ref="B144:I144"/>
    <mergeCell ref="B149:H149"/>
    <mergeCell ref="B90:I90"/>
    <mergeCell ref="B467:I467"/>
    <mergeCell ref="B267:I267"/>
    <mergeCell ref="F3:H3"/>
    <mergeCell ref="I3:I4"/>
    <mergeCell ref="B31:I31"/>
    <mergeCell ref="B26:I26"/>
    <mergeCell ref="B151:I151"/>
    <mergeCell ref="C3:E4"/>
    <mergeCell ref="B464:I464"/>
    <mergeCell ref="B446:I446"/>
    <mergeCell ref="B381:I381"/>
    <mergeCell ref="B388:I388"/>
    <mergeCell ref="K3:K4"/>
    <mergeCell ref="B88:H88"/>
    <mergeCell ref="A529:G529"/>
    <mergeCell ref="B509:H509"/>
    <mergeCell ref="B514:H514"/>
    <mergeCell ref="B319:I319"/>
    <mergeCell ref="B245:H245"/>
    <mergeCell ref="B398:I398"/>
    <mergeCell ref="B366:I366"/>
    <mergeCell ref="B356:I356"/>
    <mergeCell ref="J3:J4"/>
    <mergeCell ref="B3:B4"/>
    <mergeCell ref="B24:H24"/>
    <mergeCell ref="B54:I54"/>
    <mergeCell ref="B524:H524"/>
    <mergeCell ref="B506:H506"/>
    <mergeCell ref="B374:I374"/>
    <mergeCell ref="B345:I345"/>
    <mergeCell ref="B294:I294"/>
    <mergeCell ref="B325:I325"/>
    <mergeCell ref="B248:I248"/>
    <mergeCell ref="B334:I334"/>
    <mergeCell ref="A1:K1"/>
    <mergeCell ref="A2:K2"/>
    <mergeCell ref="B105:H105"/>
    <mergeCell ref="B520:H520"/>
    <mergeCell ref="B428:I428"/>
    <mergeCell ref="B500:H500"/>
    <mergeCell ref="B501:H501"/>
    <mergeCell ref="B486:H486"/>
    <mergeCell ref="B473:I473"/>
    <mergeCell ref="B456:I456"/>
    <mergeCell ref="B513:H513"/>
    <mergeCell ref="B461:I461"/>
    <mergeCell ref="B437:I437"/>
    <mergeCell ref="B519:H519"/>
    <mergeCell ref="B404:I404"/>
    <mergeCell ref="B453:I453"/>
    <mergeCell ref="B523:H523"/>
    <mergeCell ref="B498:H498"/>
    <mergeCell ref="B491:H491"/>
    <mergeCell ref="B476:H476"/>
    <mergeCell ref="B477:I477"/>
    <mergeCell ref="B483:I483"/>
    <mergeCell ref="B504:H504"/>
    <mergeCell ref="B510:H510"/>
    <mergeCell ref="B503:H503"/>
    <mergeCell ref="B516:H516"/>
    <mergeCell ref="B480:I480"/>
    <mergeCell ref="B29:H29"/>
    <mergeCell ref="L3:L4"/>
    <mergeCell ref="M3:M4"/>
    <mergeCell ref="B507:H507"/>
    <mergeCell ref="B329:I329"/>
    <mergeCell ref="C5:E5"/>
    <mergeCell ref="B6:I6"/>
    <mergeCell ref="B470:I470"/>
    <mergeCell ref="B201:H201"/>
    <mergeCell ref="B384:I384"/>
    <mergeCell ref="B449:I449"/>
    <mergeCell ref="B450:I450"/>
    <mergeCell ref="B393:I393"/>
    <mergeCell ref="B370:I370"/>
    <mergeCell ref="B298:I298"/>
    <mergeCell ref="B217:I217"/>
  </mergeCells>
  <printOptions gridLines="1"/>
  <pageMargins left="0.51181102362204722" right="0.23622047244094491" top="0.27559055118110237" bottom="0.51181102362204722" header="0.51181102362204722" footer="0.51181102362204722"/>
  <pageSetup paperSize="9" scale="80" orientation="portrait" r:id="rId1"/>
  <headerFooter alignWithMargins="0">
    <oddFooter>Page &amp;P of &amp;N</oddFooter>
  </headerFooter>
  <rowBreaks count="2" manualBreakCount="2">
    <brk id="448" max="10" man="1"/>
    <brk id="475" max="10"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V60"/>
  <sheetViews>
    <sheetView zoomScale="142" zoomScaleNormal="142" workbookViewId="0">
      <selection activeCell="F3" sqref="F3"/>
    </sheetView>
  </sheetViews>
  <sheetFormatPr defaultColWidth="10.109375" defaultRowHeight="13.8"/>
  <cols>
    <col min="1" max="1" width="5.88671875" style="1139" customWidth="1"/>
    <col min="2" max="2" width="30.6640625" style="1139" customWidth="1"/>
    <col min="3" max="3" width="24.44140625" style="1152" customWidth="1"/>
    <col min="4" max="4" width="27.88671875" style="1139" customWidth="1"/>
    <col min="5" max="5" width="19.5546875" style="1152" customWidth="1"/>
    <col min="6" max="6" width="15.5546875" style="1152" customWidth="1"/>
    <col min="7" max="7" width="4.88671875" style="1139" customWidth="1"/>
    <col min="8" max="256" width="10.109375" style="1139"/>
  </cols>
  <sheetData>
    <row r="1" spans="1:13" ht="30.75" customHeight="1">
      <c r="A1" s="1155" t="s">
        <v>986</v>
      </c>
      <c r="B1" s="1137"/>
      <c r="C1" s="1137"/>
      <c r="D1" s="1137"/>
      <c r="E1" s="1137"/>
      <c r="F1" s="1137"/>
      <c r="G1" s="1138"/>
    </row>
    <row r="2" spans="1:13" ht="59.25" customHeight="1">
      <c r="B2" s="1140" t="str">
        <f>CONCATENATE(" Accompanying the Detailed Estimate for the work ",'Lead- Input sheet '!A2," PIU Rangareddy DIST ")</f>
        <v xml:space="preserve"> Accompanying the Detailed Estimate for the work  Construction of  Anganwadi Building at Jeedipally Thanda (V) of Kalwakurthy (M) of Nagarkurnool District  PIU Rangareddy DIST </v>
      </c>
      <c r="C2" s="1140"/>
      <c r="D2" s="1140"/>
      <c r="E2" s="1140"/>
      <c r="F2" s="1140"/>
      <c r="G2" s="1141"/>
    </row>
    <row r="3" spans="1:13" s="1142" customFormat="1" ht="14.1">
      <c r="A3" s="1156"/>
      <c r="B3" s="1157"/>
      <c r="E3" s="1153" t="s">
        <v>497</v>
      </c>
      <c r="F3" s="1158">
        <v>2425000</v>
      </c>
      <c r="G3" s="1139"/>
    </row>
    <row r="4" spans="1:13" s="1142" customFormat="1" ht="74.25" customHeight="1">
      <c r="B4" s="2395" t="s">
        <v>2367</v>
      </c>
      <c r="C4" s="2395"/>
      <c r="D4" s="2395"/>
      <c r="E4" s="2395"/>
      <c r="F4" s="2395"/>
    </row>
    <row r="5" spans="1:13" s="1142" customFormat="1">
      <c r="B5" s="1159" t="s">
        <v>2200</v>
      </c>
      <c r="C5" s="1159" t="s">
        <v>2201</v>
      </c>
      <c r="D5" s="1159" t="s">
        <v>2202</v>
      </c>
      <c r="E5" s="2395" t="s">
        <v>2203</v>
      </c>
      <c r="F5" s="2395"/>
    </row>
    <row r="6" spans="1:13" s="1142" customFormat="1">
      <c r="B6" s="1159" t="s">
        <v>2207</v>
      </c>
      <c r="C6" s="1159" t="s">
        <v>2204</v>
      </c>
      <c r="D6" s="1159" t="s">
        <v>221</v>
      </c>
      <c r="E6" s="2395" t="s">
        <v>2205</v>
      </c>
      <c r="F6" s="2395"/>
    </row>
    <row r="7" spans="1:13" s="1142" customFormat="1">
      <c r="B7" s="1159" t="s">
        <v>2309</v>
      </c>
      <c r="C7" s="1159" t="s">
        <v>2310</v>
      </c>
      <c r="D7" s="1159" t="s">
        <v>2206</v>
      </c>
      <c r="E7" s="1160" t="s">
        <v>2205</v>
      </c>
      <c r="F7" s="1159"/>
    </row>
    <row r="8" spans="1:13" s="1142" customFormat="1">
      <c r="B8" s="1159"/>
      <c r="C8" s="1159"/>
      <c r="D8" s="1159"/>
      <c r="E8" s="1160"/>
      <c r="F8" s="1159"/>
    </row>
    <row r="9" spans="1:13" s="1142" customFormat="1" ht="42" customHeight="1">
      <c r="B9" s="1188" t="s">
        <v>2368</v>
      </c>
      <c r="C9" s="1188" t="s">
        <v>2403</v>
      </c>
      <c r="D9" s="1189" t="s">
        <v>2370</v>
      </c>
      <c r="E9" s="2463" t="s">
        <v>2372</v>
      </c>
      <c r="F9" s="2463"/>
    </row>
    <row r="10" spans="1:13" s="1142" customFormat="1" ht="14.1">
      <c r="B10" s="1157"/>
      <c r="C10" s="1157"/>
      <c r="D10" s="1159"/>
      <c r="E10" s="1159"/>
      <c r="F10" s="1159"/>
    </row>
    <row r="11" spans="1:13" s="1142" customFormat="1" ht="14.1">
      <c r="A11" s="1143"/>
      <c r="B11" s="1161" t="s">
        <v>2208</v>
      </c>
      <c r="C11" s="1162"/>
      <c r="D11" s="1161"/>
      <c r="E11" s="1161"/>
      <c r="F11" s="1161"/>
      <c r="H11" s="2399"/>
      <c r="I11" s="2399"/>
      <c r="J11" s="2399"/>
      <c r="K11" s="2399"/>
      <c r="L11" s="2399"/>
      <c r="M11" s="2399"/>
    </row>
    <row r="12" spans="1:13" s="1142" customFormat="1" ht="14.1">
      <c r="A12" s="1143"/>
      <c r="B12" s="1161"/>
      <c r="C12" s="1162"/>
      <c r="D12" s="1161"/>
      <c r="E12" s="1161"/>
      <c r="F12" s="1161"/>
      <c r="H12" s="1187"/>
      <c r="I12" s="1187"/>
      <c r="J12" s="1187"/>
      <c r="K12" s="1187"/>
      <c r="L12" s="1187"/>
      <c r="M12" s="1187"/>
    </row>
    <row r="13" spans="1:13" s="1146" customFormat="1" ht="67.5" customHeight="1">
      <c r="A13" s="1144">
        <v>1</v>
      </c>
      <c r="B13" s="2395" t="s">
        <v>2057</v>
      </c>
      <c r="C13" s="2395"/>
      <c r="D13" s="2395"/>
      <c r="E13" s="2395"/>
      <c r="F13" s="2395"/>
      <c r="G13" s="1145"/>
    </row>
    <row r="14" spans="1:13" s="1146" customFormat="1" ht="87" customHeight="1">
      <c r="A14" s="1144">
        <f>A13+1</f>
        <v>2</v>
      </c>
      <c r="B14" s="2398" t="s">
        <v>2371</v>
      </c>
      <c r="C14" s="2398"/>
      <c r="D14" s="2398"/>
      <c r="E14" s="2398"/>
      <c r="F14" s="2398"/>
      <c r="G14" s="1144"/>
    </row>
    <row r="15" spans="1:13" s="1146" customFormat="1" ht="77.25" customHeight="1">
      <c r="A15" s="1144">
        <f t="shared" ref="A15:A39" si="0">A14+1</f>
        <v>3</v>
      </c>
      <c r="B15" s="2398" t="s">
        <v>2312</v>
      </c>
      <c r="C15" s="2398"/>
      <c r="D15" s="2398"/>
      <c r="E15" s="2398"/>
      <c r="F15" s="2398"/>
      <c r="G15" s="1144"/>
    </row>
    <row r="16" spans="1:13" s="1146" customFormat="1" ht="60.75" customHeight="1">
      <c r="A16" s="1144">
        <f t="shared" si="0"/>
        <v>4</v>
      </c>
      <c r="B16" s="2398" t="s">
        <v>2313</v>
      </c>
      <c r="C16" s="2398"/>
      <c r="D16" s="2398"/>
      <c r="E16" s="2398"/>
      <c r="F16" s="2398"/>
      <c r="G16" s="1145"/>
    </row>
    <row r="17" spans="1:7" s="1055" customFormat="1" ht="72.75" customHeight="1">
      <c r="A17" s="1144">
        <f t="shared" si="0"/>
        <v>5</v>
      </c>
      <c r="B17" s="2396" t="s">
        <v>2314</v>
      </c>
      <c r="C17" s="2397"/>
      <c r="D17" s="2397"/>
      <c r="E17" s="2397"/>
      <c r="F17" s="2397"/>
      <c r="G17" s="1145"/>
    </row>
    <row r="18" spans="1:7" s="1055" customFormat="1" ht="96.75" customHeight="1">
      <c r="A18" s="1144">
        <f t="shared" si="0"/>
        <v>6</v>
      </c>
      <c r="B18" s="2396" t="s">
        <v>2315</v>
      </c>
      <c r="C18" s="2397"/>
      <c r="D18" s="2397"/>
      <c r="E18" s="2397"/>
      <c r="F18" s="2397"/>
      <c r="G18" s="1145"/>
    </row>
    <row r="19" spans="1:7" s="1055" customFormat="1" ht="69" customHeight="1">
      <c r="A19" s="1144">
        <f t="shared" si="0"/>
        <v>7</v>
      </c>
      <c r="B19" s="2396" t="s">
        <v>2316</v>
      </c>
      <c r="C19" s="2397"/>
      <c r="D19" s="2397"/>
      <c r="E19" s="2397"/>
      <c r="F19" s="2397"/>
      <c r="G19" s="1145"/>
    </row>
    <row r="20" spans="1:7" s="1055" customFormat="1" ht="65.25" customHeight="1">
      <c r="A20" s="1144">
        <f t="shared" si="0"/>
        <v>8</v>
      </c>
      <c r="B20" s="2395" t="s">
        <v>2317</v>
      </c>
      <c r="C20" s="2395"/>
      <c r="D20" s="2395"/>
      <c r="E20" s="2395"/>
      <c r="F20" s="2395"/>
      <c r="G20" s="1145"/>
    </row>
    <row r="21" spans="1:7" s="1055" customFormat="1" ht="97.5" customHeight="1">
      <c r="A21" s="1144">
        <f t="shared" si="0"/>
        <v>9</v>
      </c>
      <c r="B21" s="2395" t="s">
        <v>144</v>
      </c>
      <c r="C21" s="2395"/>
      <c r="D21" s="2395"/>
      <c r="E21" s="2395"/>
      <c r="F21" s="2395"/>
      <c r="G21" s="1147"/>
    </row>
    <row r="22" spans="1:7" s="1055" customFormat="1" ht="86.25" customHeight="1">
      <c r="A22" s="1144">
        <f t="shared" si="0"/>
        <v>10</v>
      </c>
      <c r="B22" s="2395" t="s">
        <v>634</v>
      </c>
      <c r="C22" s="2395"/>
      <c r="D22" s="2395"/>
      <c r="E22" s="2395"/>
      <c r="F22" s="2395"/>
      <c r="G22" s="1147"/>
    </row>
    <row r="23" spans="1:7" s="1055" customFormat="1" ht="76.5" customHeight="1">
      <c r="A23" s="1144">
        <f t="shared" si="0"/>
        <v>11</v>
      </c>
      <c r="B23" s="2398" t="s">
        <v>1376</v>
      </c>
      <c r="C23" s="2398"/>
      <c r="D23" s="2398"/>
      <c r="E23" s="2398"/>
      <c r="F23" s="2398"/>
      <c r="G23" s="1147"/>
    </row>
    <row r="24" spans="1:7" s="1055" customFormat="1">
      <c r="A24" s="1144"/>
      <c r="B24" s="2398"/>
      <c r="C24" s="2398"/>
      <c r="D24" s="2398"/>
      <c r="E24" s="2398"/>
      <c r="F24" s="2398"/>
      <c r="G24" s="1147"/>
    </row>
    <row r="25" spans="1:7" s="1055" customFormat="1" ht="38.25" customHeight="1">
      <c r="A25" s="1144">
        <v>12</v>
      </c>
      <c r="B25" s="2398" t="s">
        <v>2251</v>
      </c>
      <c r="C25" s="2398"/>
      <c r="D25" s="2398"/>
      <c r="E25" s="2398"/>
      <c r="F25" s="2398"/>
      <c r="G25" s="1147"/>
    </row>
    <row r="26" spans="1:7" s="1055" customFormat="1" ht="62.25" customHeight="1">
      <c r="A26" s="1144">
        <f t="shared" si="0"/>
        <v>13</v>
      </c>
      <c r="B26" s="2398" t="s">
        <v>2252</v>
      </c>
      <c r="C26" s="2398"/>
      <c r="D26" s="2398"/>
      <c r="E26" s="2398"/>
      <c r="F26" s="2398"/>
      <c r="G26" s="1147"/>
    </row>
    <row r="27" spans="1:7" s="1055" customFormat="1" ht="76.5" customHeight="1">
      <c r="A27" s="1144">
        <f t="shared" si="0"/>
        <v>14</v>
      </c>
      <c r="B27" s="2398" t="s">
        <v>2253</v>
      </c>
      <c r="C27" s="2398"/>
      <c r="D27" s="2398"/>
      <c r="E27" s="2398"/>
      <c r="F27" s="2398"/>
      <c r="G27" s="1147"/>
    </row>
    <row r="28" spans="1:7" s="1055" customFormat="1" ht="76.5" customHeight="1">
      <c r="A28" s="1144">
        <f t="shared" si="0"/>
        <v>15</v>
      </c>
      <c r="B28" s="2398" t="s">
        <v>2197</v>
      </c>
      <c r="C28" s="2398"/>
      <c r="D28" s="2398"/>
      <c r="E28" s="2398"/>
      <c r="F28" s="2398"/>
      <c r="G28" s="1147"/>
    </row>
    <row r="29" spans="1:7" s="1055" customFormat="1" ht="94.5" customHeight="1">
      <c r="A29" s="1144">
        <f t="shared" si="0"/>
        <v>16</v>
      </c>
      <c r="B29" s="2395" t="s">
        <v>2234</v>
      </c>
      <c r="C29" s="2395"/>
      <c r="D29" s="2395"/>
      <c r="E29" s="2395"/>
      <c r="F29" s="2395"/>
      <c r="G29" s="1147"/>
    </row>
    <row r="30" spans="1:7" s="1055" customFormat="1" ht="39.75" customHeight="1">
      <c r="A30" s="1144">
        <f t="shared" si="0"/>
        <v>17</v>
      </c>
      <c r="B30" s="1163" t="s">
        <v>2249</v>
      </c>
      <c r="C30" s="1163" t="s">
        <v>2230</v>
      </c>
      <c r="D30" s="1163" t="s">
        <v>2248</v>
      </c>
      <c r="E30" s="1159"/>
      <c r="F30" s="1159"/>
      <c r="G30" s="1147"/>
    </row>
    <row r="31" spans="1:7" s="1055" customFormat="1" ht="153.75" customHeight="1">
      <c r="A31" s="1144">
        <f t="shared" si="0"/>
        <v>18</v>
      </c>
      <c r="B31" s="2395" t="s">
        <v>2246</v>
      </c>
      <c r="C31" s="2395"/>
      <c r="D31" s="2395"/>
      <c r="E31" s="2395"/>
      <c r="F31" s="2395"/>
      <c r="G31" s="1147"/>
    </row>
    <row r="32" spans="1:7" s="1055" customFormat="1" ht="21" customHeight="1">
      <c r="A32" s="1144">
        <f t="shared" si="0"/>
        <v>19</v>
      </c>
      <c r="B32" s="1163" t="s">
        <v>2250</v>
      </c>
      <c r="C32" s="1159"/>
      <c r="D32" s="1159"/>
      <c r="E32" s="1159"/>
      <c r="F32" s="1159"/>
      <c r="G32" s="1147"/>
    </row>
    <row r="33" spans="1:7" ht="23.25" customHeight="1">
      <c r="A33" s="1144">
        <f t="shared" si="0"/>
        <v>20</v>
      </c>
      <c r="B33" s="2400" t="s">
        <v>434</v>
      </c>
      <c r="C33" s="2400"/>
      <c r="D33" s="2400"/>
      <c r="E33" s="2400"/>
      <c r="F33" s="2400"/>
    </row>
    <row r="34" spans="1:7" s="1055" customFormat="1" ht="197.25" customHeight="1">
      <c r="A34" s="1144">
        <f t="shared" si="0"/>
        <v>21</v>
      </c>
      <c r="B34" s="2400" t="s">
        <v>2173</v>
      </c>
      <c r="C34" s="2400"/>
      <c r="D34" s="2400"/>
      <c r="E34" s="2400"/>
      <c r="F34" s="2400"/>
      <c r="G34" s="1147"/>
    </row>
    <row r="35" spans="1:7" ht="95.25" customHeight="1">
      <c r="A35" s="1144">
        <f t="shared" si="0"/>
        <v>22</v>
      </c>
      <c r="B35" s="2400" t="s">
        <v>2198</v>
      </c>
      <c r="C35" s="2400"/>
      <c r="D35" s="2400"/>
      <c r="E35" s="2400"/>
      <c r="F35" s="2400"/>
    </row>
    <row r="36" spans="1:7" ht="101.25" customHeight="1">
      <c r="A36" s="1144">
        <f t="shared" si="0"/>
        <v>23</v>
      </c>
      <c r="B36" s="2400" t="s">
        <v>1340</v>
      </c>
      <c r="C36" s="2400"/>
      <c r="D36" s="2400"/>
      <c r="E36" s="2400"/>
      <c r="F36" s="2400"/>
    </row>
    <row r="37" spans="1:7" s="1055" customFormat="1" ht="67.5" customHeight="1">
      <c r="A37" s="1144">
        <f t="shared" si="0"/>
        <v>24</v>
      </c>
      <c r="B37" s="2400" t="s">
        <v>2180</v>
      </c>
      <c r="C37" s="2400"/>
      <c r="D37" s="2400"/>
      <c r="E37" s="2400"/>
      <c r="F37" s="2400"/>
      <c r="G37" s="1145"/>
    </row>
    <row r="38" spans="1:7" s="1055" customFormat="1" ht="28.5" customHeight="1">
      <c r="A38" s="1144">
        <f t="shared" si="0"/>
        <v>25</v>
      </c>
      <c r="B38" s="2400" t="s">
        <v>2254</v>
      </c>
      <c r="C38" s="2400"/>
      <c r="D38" s="2400"/>
      <c r="E38" s="2400"/>
      <c r="F38" s="2400"/>
      <c r="G38" s="1145"/>
    </row>
    <row r="39" spans="1:7" s="1055" customFormat="1">
      <c r="A39" s="1144">
        <f t="shared" si="0"/>
        <v>26</v>
      </c>
      <c r="B39" s="2400" t="s">
        <v>2255</v>
      </c>
      <c r="C39" s="2400"/>
      <c r="D39" s="2400"/>
      <c r="E39" s="2400"/>
      <c r="F39" s="2400"/>
      <c r="G39" s="1145"/>
    </row>
    <row r="40" spans="1:7" s="1055" customFormat="1" ht="18.75" customHeight="1">
      <c r="A40" s="1144"/>
      <c r="B40" s="2400"/>
      <c r="C40" s="2400"/>
      <c r="D40" s="2400"/>
      <c r="E40" s="2400"/>
      <c r="F40" s="2400"/>
      <c r="G40" s="1145"/>
    </row>
    <row r="41" spans="1:7" s="1055" customFormat="1" ht="39" customHeight="1">
      <c r="A41" s="1148"/>
      <c r="B41" s="2401" t="s">
        <v>2199</v>
      </c>
      <c r="C41" s="2401"/>
      <c r="D41" s="2401"/>
      <c r="E41" s="2401"/>
      <c r="F41" s="2401"/>
      <c r="G41" s="1145"/>
    </row>
    <row r="42" spans="1:7" s="1055" customFormat="1">
      <c r="A42" s="1142"/>
      <c r="B42" s="1142"/>
      <c r="C42" s="1142"/>
      <c r="D42" s="1142"/>
      <c r="E42" s="1142"/>
      <c r="F42" s="1142"/>
      <c r="G42" s="1145"/>
    </row>
    <row r="43" spans="1:7" s="1055" customFormat="1">
      <c r="A43" s="1142"/>
      <c r="B43" s="1142"/>
      <c r="C43" s="1142"/>
      <c r="D43" s="1142"/>
      <c r="E43" s="1142"/>
      <c r="F43" s="1142"/>
      <c r="G43" s="1145"/>
    </row>
    <row r="44" spans="1:7">
      <c r="A44" s="1142"/>
      <c r="B44" s="1142"/>
      <c r="C44" s="1142"/>
      <c r="D44" s="1142"/>
      <c r="E44" s="1142"/>
      <c r="F44" s="1142"/>
    </row>
    <row r="45" spans="1:7" s="1151" customFormat="1" ht="15" customHeight="1">
      <c r="A45" s="1149"/>
      <c r="B45" s="1150" t="str">
        <f>'Lead- Input sheet '!B44</f>
        <v xml:space="preserve">  Assistant Exc.Engineer  </v>
      </c>
      <c r="D45" s="1150" t="str">
        <f>'Lead- Input sheet '!H44</f>
        <v>Deputy Executive Engineer</v>
      </c>
      <c r="E45" s="1150"/>
      <c r="F45" s="1150"/>
    </row>
    <row r="46" spans="1:7" s="1142" customFormat="1" ht="14.1">
      <c r="A46" s="1149"/>
      <c r="B46" s="1150" t="str">
        <f>'Lead- Input sheet '!B45</f>
        <v>PR MPP Kalwakurthy</v>
      </c>
      <c r="D46" s="1150" t="str">
        <f>'Lead- Input sheet '!H45</f>
        <v>PR SD Kalwakurthy</v>
      </c>
      <c r="E46" s="1150"/>
      <c r="F46" s="1150"/>
    </row>
    <row r="47" spans="1:7" s="1142" customFormat="1" ht="14.1">
      <c r="A47" s="1149"/>
      <c r="B47" s="1149"/>
      <c r="C47" s="1150"/>
      <c r="D47" s="1149"/>
      <c r="E47" s="1150"/>
      <c r="F47" s="1150"/>
    </row>
    <row r="48" spans="1:7" s="1142" customFormat="1">
      <c r="A48" s="1139"/>
      <c r="B48" s="1139"/>
      <c r="C48" s="1152"/>
      <c r="D48" s="1139"/>
      <c r="E48" s="1152"/>
      <c r="F48" s="1152"/>
    </row>
    <row r="49" spans="1:10" s="1149" customFormat="1" ht="14.1">
      <c r="A49" s="1139"/>
      <c r="B49" s="1139"/>
      <c r="C49" s="1152"/>
      <c r="D49" s="1139"/>
      <c r="E49" s="1152"/>
      <c r="F49" s="1152"/>
      <c r="G49" s="1150"/>
      <c r="H49" s="1150"/>
      <c r="I49" s="1150"/>
      <c r="J49" s="1150"/>
    </row>
    <row r="50" spans="1:10" s="1149" customFormat="1" ht="14.1">
      <c r="A50" s="1139"/>
      <c r="B50" s="1139"/>
      <c r="C50" s="1152"/>
      <c r="D50" s="1139"/>
      <c r="E50" s="1152"/>
      <c r="F50" s="1152"/>
      <c r="G50" s="1150"/>
      <c r="H50" s="1150"/>
      <c r="I50" s="1150"/>
      <c r="J50" s="1150"/>
    </row>
    <row r="51" spans="1:10" s="1149" customFormat="1" ht="14.1">
      <c r="A51" s="1139"/>
      <c r="B51" s="1139"/>
      <c r="C51" s="1152"/>
      <c r="D51" s="1139"/>
      <c r="E51" s="1152"/>
      <c r="F51" s="1152"/>
      <c r="G51" s="1153"/>
    </row>
    <row r="54" spans="1:10">
      <c r="A54" s="1154"/>
      <c r="B54" s="2400"/>
      <c r="C54" s="2400"/>
      <c r="D54" s="2400"/>
      <c r="E54" s="2400"/>
      <c r="F54" s="2400"/>
    </row>
    <row r="55" spans="1:10">
      <c r="A55" s="1154"/>
      <c r="B55" s="2400"/>
      <c r="C55" s="2400"/>
      <c r="D55" s="2400"/>
      <c r="E55" s="2400"/>
      <c r="F55" s="2400"/>
    </row>
    <row r="56" spans="1:10">
      <c r="A56" s="1154"/>
      <c r="B56" s="2400"/>
      <c r="C56" s="2400"/>
      <c r="D56" s="2400"/>
      <c r="E56" s="2400"/>
      <c r="F56" s="2400"/>
    </row>
    <row r="58" spans="1:10" s="1055" customFormat="1" ht="30.75" customHeight="1">
      <c r="A58" s="1139"/>
      <c r="B58" s="1139"/>
      <c r="C58" s="1152"/>
      <c r="D58" s="1139"/>
      <c r="E58" s="1152"/>
      <c r="F58" s="1152"/>
      <c r="G58" s="1145"/>
    </row>
    <row r="59" spans="1:10" s="1055" customFormat="1" ht="61.5" customHeight="1">
      <c r="A59" s="1139"/>
      <c r="B59" s="1139"/>
      <c r="C59" s="1152"/>
      <c r="D59" s="1139"/>
      <c r="E59" s="1152"/>
      <c r="F59" s="1152"/>
      <c r="G59" s="1145"/>
    </row>
    <row r="60" spans="1:10" s="1055" customFormat="1" ht="30.75" customHeight="1">
      <c r="A60" s="1139"/>
      <c r="B60" s="1139"/>
      <c r="C60" s="1152"/>
      <c r="D60" s="1139"/>
      <c r="E60" s="1152"/>
      <c r="F60" s="1152"/>
      <c r="G60" s="1145"/>
    </row>
  </sheetData>
  <mergeCells count="35">
    <mergeCell ref="B56:F56"/>
    <mergeCell ref="B28:F28"/>
    <mergeCell ref="B19:F19"/>
    <mergeCell ref="E5:F5"/>
    <mergeCell ref="B15:F15"/>
    <mergeCell ref="B17:F17"/>
    <mergeCell ref="E9:F9"/>
    <mergeCell ref="B31:F31"/>
    <mergeCell ref="B20:F20"/>
    <mergeCell ref="B21:F21"/>
    <mergeCell ref="B23:F23"/>
    <mergeCell ref="B24:F24"/>
    <mergeCell ref="B25:F25"/>
    <mergeCell ref="H11:M11"/>
    <mergeCell ref="B34:F34"/>
    <mergeCell ref="B55:F55"/>
    <mergeCell ref="B40:F40"/>
    <mergeCell ref="B54:F54"/>
    <mergeCell ref="B37:F37"/>
    <mergeCell ref="B26:F26"/>
    <mergeCell ref="B27:F27"/>
    <mergeCell ref="B39:F39"/>
    <mergeCell ref="B36:F36"/>
    <mergeCell ref="B22:F22"/>
    <mergeCell ref="B41:F41"/>
    <mergeCell ref="B29:F29"/>
    <mergeCell ref="B35:F35"/>
    <mergeCell ref="B38:F38"/>
    <mergeCell ref="B33:F33"/>
    <mergeCell ref="B4:F4"/>
    <mergeCell ref="B18:F18"/>
    <mergeCell ref="B14:F14"/>
    <mergeCell ref="B16:F16"/>
    <mergeCell ref="E6:F6"/>
    <mergeCell ref="B13:F13"/>
  </mergeCells>
  <printOptions horizontalCentered="1"/>
  <pageMargins left="0.5" right="0.25" top="0.75" bottom="0.4" header="0.5" footer="0.5"/>
  <pageSetup paperSize="9" scale="75"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IV505"/>
  <sheetViews>
    <sheetView topLeftCell="A7" zoomScale="140" zoomScaleNormal="140" zoomScaleSheetLayoutView="150" workbookViewId="0">
      <selection activeCell="F13" sqref="F13"/>
    </sheetView>
  </sheetViews>
  <sheetFormatPr defaultRowHeight="13.8"/>
  <cols>
    <col min="1" max="1" width="6.5546875" style="1134" customWidth="1"/>
    <col min="2" max="2" width="37.6640625" style="1069" customWidth="1"/>
    <col min="3" max="3" width="3.109375" style="1135" customWidth="1"/>
    <col min="4" max="4" width="2.5546875" style="1069" customWidth="1"/>
    <col min="5" max="5" width="3" style="1135" customWidth="1"/>
    <col min="6" max="6" width="7.44140625" style="1136" customWidth="1"/>
    <col min="7" max="7" width="7.33203125" style="1136" customWidth="1"/>
    <col min="8" max="8" width="11.109375" style="1087" customWidth="1"/>
    <col min="9" max="9" width="10.109375" style="1087" customWidth="1"/>
    <col min="10" max="10" width="11.44140625" style="1087" customWidth="1"/>
    <col min="11" max="11" width="19.33203125" style="1087" customWidth="1"/>
    <col min="12" max="12" width="11.109375" style="1087" hidden="1" customWidth="1"/>
    <col min="13" max="13" width="9.6640625" style="1087" hidden="1" customWidth="1"/>
    <col min="14" max="14" width="7.88671875" style="1069" customWidth="1"/>
    <col min="15" max="15" width="16.6640625" style="1069" customWidth="1"/>
    <col min="16" max="16" width="12.5546875" style="1069" bestFit="1" customWidth="1"/>
    <col min="17" max="17" width="9.5546875" style="1069" bestFit="1" customWidth="1"/>
    <col min="18" max="256" width="9.109375" style="1069"/>
  </cols>
  <sheetData>
    <row r="1" spans="1:13" ht="14.1">
      <c r="A1" s="2435" t="s">
        <v>2243</v>
      </c>
      <c r="B1" s="2436"/>
      <c r="C1" s="2436"/>
      <c r="D1" s="2436"/>
      <c r="E1" s="2436"/>
      <c r="F1" s="2436"/>
      <c r="G1" s="2436"/>
      <c r="H1" s="2436"/>
      <c r="I1" s="2436"/>
      <c r="J1" s="2436"/>
      <c r="K1" s="2436"/>
      <c r="L1" s="1028"/>
      <c r="M1" s="1028"/>
    </row>
    <row r="2" spans="1:13" ht="25.5" customHeight="1">
      <c r="A2" s="2449" t="str">
        <f>'Lead- Input sheet '!A2</f>
        <v xml:space="preserve"> Construction of  Anganwadi Building at Jeedipally Thanda (V) of Kalwakurthy (M) of Nagarkurnool District </v>
      </c>
      <c r="B2" s="2450"/>
      <c r="C2" s="2450"/>
      <c r="D2" s="2450"/>
      <c r="E2" s="2450"/>
      <c r="F2" s="2450"/>
      <c r="G2" s="2450"/>
      <c r="H2" s="2450"/>
      <c r="I2" s="2450"/>
      <c r="J2" s="2450"/>
      <c r="K2" s="2451"/>
      <c r="L2" s="1035"/>
      <c r="M2" s="1035"/>
    </row>
    <row r="3" spans="1:13" ht="14.1">
      <c r="A3" s="2437" t="s">
        <v>1200</v>
      </c>
      <c r="B3" s="2437" t="s">
        <v>1201</v>
      </c>
      <c r="C3" s="2453" t="s">
        <v>527</v>
      </c>
      <c r="D3" s="2454"/>
      <c r="E3" s="2455"/>
      <c r="F3" s="2439" t="s">
        <v>1202</v>
      </c>
      <c r="G3" s="2440"/>
      <c r="H3" s="2441"/>
      <c r="I3" s="2459" t="s">
        <v>786</v>
      </c>
      <c r="J3" s="2459" t="s">
        <v>1203</v>
      </c>
      <c r="K3" s="2461" t="s">
        <v>1115</v>
      </c>
      <c r="L3" s="2452" t="s">
        <v>1204</v>
      </c>
      <c r="M3" s="2452" t="s">
        <v>1205</v>
      </c>
    </row>
    <row r="4" spans="1:13" ht="14.1">
      <c r="A4" s="2438"/>
      <c r="B4" s="2438"/>
      <c r="C4" s="2456"/>
      <c r="D4" s="2457"/>
      <c r="E4" s="2458"/>
      <c r="F4" s="1036" t="s">
        <v>1417</v>
      </c>
      <c r="G4" s="1036" t="s">
        <v>859</v>
      </c>
      <c r="H4" s="1036" t="s">
        <v>785</v>
      </c>
      <c r="I4" s="2460"/>
      <c r="J4" s="2460"/>
      <c r="K4" s="2462"/>
      <c r="L4" s="2452"/>
      <c r="M4" s="2452"/>
    </row>
    <row r="5" spans="1:13" s="1070" customFormat="1" ht="15" customHeight="1">
      <c r="A5" s="1037">
        <v>1</v>
      </c>
      <c r="B5" s="1037">
        <f>A5+1</f>
        <v>2</v>
      </c>
      <c r="C5" s="2442">
        <f>B5+1</f>
        <v>3</v>
      </c>
      <c r="D5" s="2443"/>
      <c r="E5" s="2444"/>
      <c r="F5" s="1038">
        <f>C5+1</f>
        <v>4</v>
      </c>
      <c r="G5" s="1038">
        <f>F5+1</f>
        <v>5</v>
      </c>
      <c r="H5" s="1038">
        <f t="shared" ref="H5:M5" si="0">G5+1</f>
        <v>6</v>
      </c>
      <c r="I5" s="1038">
        <f t="shared" si="0"/>
        <v>7</v>
      </c>
      <c r="J5" s="1038">
        <f t="shared" si="0"/>
        <v>8</v>
      </c>
      <c r="K5" s="1038">
        <v>9</v>
      </c>
      <c r="L5" s="1038">
        <f t="shared" si="0"/>
        <v>10</v>
      </c>
      <c r="M5" s="1038">
        <f t="shared" si="0"/>
        <v>11</v>
      </c>
    </row>
    <row r="6" spans="1:13" ht="75.75" customHeight="1">
      <c r="A6" s="1039">
        <v>1</v>
      </c>
      <c r="B6" s="2445" t="s">
        <v>2042</v>
      </c>
      <c r="C6" s="2446"/>
      <c r="D6" s="2446"/>
      <c r="E6" s="2446"/>
      <c r="F6" s="2446"/>
      <c r="G6" s="2446"/>
      <c r="H6" s="2446"/>
      <c r="I6" s="2447"/>
      <c r="J6" s="1040"/>
      <c r="K6" s="1040"/>
      <c r="L6" s="1040"/>
      <c r="M6" s="1040"/>
    </row>
    <row r="7" spans="1:13" ht="14.1">
      <c r="A7" s="1041"/>
      <c r="B7" s="1042" t="s">
        <v>2061</v>
      </c>
      <c r="C7" s="1043"/>
      <c r="D7" s="1043"/>
      <c r="E7" s="1043"/>
      <c r="F7" s="1044"/>
      <c r="G7" s="1044"/>
      <c r="H7" s="1044"/>
      <c r="I7" s="1044"/>
      <c r="J7" s="1045"/>
      <c r="K7" s="1045"/>
      <c r="L7" s="1045"/>
      <c r="M7" s="1045"/>
    </row>
    <row r="8" spans="1:13" ht="14.1">
      <c r="A8" s="1046"/>
      <c r="B8" s="1173" t="s">
        <v>2004</v>
      </c>
      <c r="C8" s="1048">
        <v>2</v>
      </c>
      <c r="D8" s="1048" t="s">
        <v>1472</v>
      </c>
      <c r="E8" s="1048">
        <v>6</v>
      </c>
      <c r="F8" s="1049">
        <v>2</v>
      </c>
      <c r="G8" s="1049">
        <v>2</v>
      </c>
      <c r="H8" s="1049">
        <v>1.65</v>
      </c>
      <c r="I8" s="1049">
        <f t="shared" ref="I8:I19" si="1">ROUND(C8*E8*F8*G8*H8,2)</f>
        <v>79.2</v>
      </c>
      <c r="J8" s="1049"/>
      <c r="K8" s="1049"/>
      <c r="L8" s="1049"/>
      <c r="M8" s="1049"/>
    </row>
    <row r="9" spans="1:13" ht="24.6">
      <c r="A9" s="1046"/>
      <c r="B9" s="1174" t="s">
        <v>2090</v>
      </c>
      <c r="C9" s="1048">
        <v>1</v>
      </c>
      <c r="D9" s="1048" t="s">
        <v>1472</v>
      </c>
      <c r="E9" s="1048">
        <v>2</v>
      </c>
      <c r="F9" s="1049">
        <v>18.3</v>
      </c>
      <c r="G9" s="1049">
        <v>0.6</v>
      </c>
      <c r="H9" s="1049">
        <v>0.6</v>
      </c>
      <c r="I9" s="1049">
        <f t="shared" si="1"/>
        <v>13.18</v>
      </c>
      <c r="J9" s="1049"/>
      <c r="K9" s="1049"/>
      <c r="L9" s="1049"/>
      <c r="M9" s="1049"/>
    </row>
    <row r="10" spans="1:13" ht="24.6">
      <c r="A10" s="1046"/>
      <c r="B10" s="1174" t="s">
        <v>2091</v>
      </c>
      <c r="C10" s="1048">
        <v>1</v>
      </c>
      <c r="D10" s="1048" t="s">
        <v>1472</v>
      </c>
      <c r="E10" s="1048">
        <v>2</v>
      </c>
      <c r="F10" s="1049">
        <f>(30.75)*0.3048</f>
        <v>9.3726000000000003</v>
      </c>
      <c r="G10" s="1049">
        <v>0.6</v>
      </c>
      <c r="H10" s="1049">
        <v>0.6</v>
      </c>
      <c r="I10" s="1049">
        <f t="shared" si="1"/>
        <v>6.75</v>
      </c>
      <c r="J10" s="1049"/>
      <c r="K10" s="1049"/>
      <c r="L10" s="1049"/>
      <c r="M10" s="1049"/>
    </row>
    <row r="11" spans="1:13" ht="14.1">
      <c r="A11" s="1046"/>
      <c r="B11" s="1174" t="s">
        <v>2092</v>
      </c>
      <c r="C11" s="1048">
        <v>2</v>
      </c>
      <c r="D11" s="1048" t="s">
        <v>1472</v>
      </c>
      <c r="E11" s="1048">
        <v>2</v>
      </c>
      <c r="F11" s="1049">
        <v>1.2</v>
      </c>
      <c r="G11" s="1049">
        <v>0.6</v>
      </c>
      <c r="H11" s="1049">
        <v>0.6</v>
      </c>
      <c r="I11" s="1049">
        <f t="shared" si="1"/>
        <v>1.73</v>
      </c>
      <c r="J11" s="1049"/>
      <c r="K11" s="1049"/>
      <c r="L11" s="1049"/>
      <c r="M11" s="1049"/>
    </row>
    <row r="12" spans="1:13" ht="14.1">
      <c r="A12" s="1046"/>
      <c r="B12" s="1174" t="s">
        <v>2093</v>
      </c>
      <c r="C12" s="1048">
        <v>2</v>
      </c>
      <c r="D12" s="1048" t="s">
        <v>1472</v>
      </c>
      <c r="E12" s="1048">
        <v>2</v>
      </c>
      <c r="F12" s="1049">
        <v>4.1500000000000004</v>
      </c>
      <c r="G12" s="1049">
        <v>0.6</v>
      </c>
      <c r="H12" s="1049">
        <v>0.6</v>
      </c>
      <c r="I12" s="1049">
        <f t="shared" si="1"/>
        <v>5.98</v>
      </c>
      <c r="J12" s="1049"/>
      <c r="K12" s="1049"/>
      <c r="L12" s="1049"/>
      <c r="M12" s="1049"/>
    </row>
    <row r="13" spans="1:13" ht="14.1">
      <c r="A13" s="1046"/>
      <c r="B13" s="1174" t="s">
        <v>2094</v>
      </c>
      <c r="C13" s="1048">
        <v>2</v>
      </c>
      <c r="D13" s="1048" t="s">
        <v>1472</v>
      </c>
      <c r="E13" s="1048">
        <v>2</v>
      </c>
      <c r="F13" s="1049">
        <v>4</v>
      </c>
      <c r="G13" s="1049">
        <v>0.6</v>
      </c>
      <c r="H13" s="1049">
        <v>0.6</v>
      </c>
      <c r="I13" s="1049">
        <f t="shared" si="1"/>
        <v>5.76</v>
      </c>
      <c r="J13" s="1049"/>
      <c r="K13" s="1049"/>
      <c r="L13" s="1049"/>
      <c r="M13" s="1049"/>
    </row>
    <row r="14" spans="1:13" ht="24.6">
      <c r="A14" s="1046"/>
      <c r="B14" s="1174" t="s">
        <v>2095</v>
      </c>
      <c r="C14" s="1048">
        <v>1</v>
      </c>
      <c r="D14" s="1048" t="s">
        <v>1472</v>
      </c>
      <c r="E14" s="1048">
        <v>2</v>
      </c>
      <c r="F14" s="1049">
        <v>1.8</v>
      </c>
      <c r="G14" s="1049">
        <v>0.6</v>
      </c>
      <c r="H14" s="1049">
        <v>0.6</v>
      </c>
      <c r="I14" s="1049">
        <f t="shared" si="1"/>
        <v>1.3</v>
      </c>
      <c r="J14" s="1049"/>
      <c r="K14" s="1049"/>
      <c r="L14" s="1049"/>
      <c r="M14" s="1049"/>
    </row>
    <row r="15" spans="1:13" ht="14.1">
      <c r="A15" s="1046"/>
      <c r="B15" s="1174" t="s">
        <v>2289</v>
      </c>
      <c r="C15" s="1165" t="s">
        <v>2290</v>
      </c>
      <c r="D15" s="1048" t="s">
        <v>1472</v>
      </c>
      <c r="E15" s="1048">
        <v>2</v>
      </c>
      <c r="F15" s="1049">
        <v>1.35</v>
      </c>
      <c r="G15" s="1049">
        <v>1.35</v>
      </c>
      <c r="H15" s="1049">
        <v>2</v>
      </c>
      <c r="I15" s="1049">
        <f>ROUND(PI()/4*E15*F15*G15*H15,2)</f>
        <v>5.73</v>
      </c>
      <c r="J15" s="1049"/>
      <c r="K15" s="1049"/>
      <c r="L15" s="1049"/>
      <c r="M15" s="1049"/>
    </row>
    <row r="16" spans="1:13" ht="14.1">
      <c r="A16" s="1046"/>
      <c r="B16" s="1175" t="s">
        <v>2096</v>
      </c>
      <c r="C16" s="1048">
        <v>1</v>
      </c>
      <c r="D16" s="1048" t="s">
        <v>1472</v>
      </c>
      <c r="E16" s="1048">
        <v>1</v>
      </c>
      <c r="F16" s="1049">
        <f>(31.5-6-4)*0.3048</f>
        <v>6.5532000000000004</v>
      </c>
      <c r="G16" s="1049">
        <v>0.6</v>
      </c>
      <c r="H16" s="1049">
        <v>0.3</v>
      </c>
      <c r="I16" s="1049">
        <f t="shared" si="1"/>
        <v>1.18</v>
      </c>
      <c r="J16" s="1049"/>
      <c r="K16" s="1049"/>
      <c r="L16" s="1049"/>
      <c r="M16" s="1049"/>
    </row>
    <row r="17" spans="1:15" ht="14.1">
      <c r="A17" s="1046"/>
      <c r="B17" s="1175" t="s">
        <v>2097</v>
      </c>
      <c r="C17" s="1048">
        <v>1</v>
      </c>
      <c r="D17" s="1048" t="s">
        <v>1472</v>
      </c>
      <c r="E17" s="1048">
        <v>2</v>
      </c>
      <c r="F17" s="1049">
        <v>3</v>
      </c>
      <c r="G17" s="1049">
        <v>0.6</v>
      </c>
      <c r="H17" s="1049">
        <v>0.3</v>
      </c>
      <c r="I17" s="1049">
        <f t="shared" si="1"/>
        <v>1.08</v>
      </c>
      <c r="J17" s="1049"/>
      <c r="K17" s="1049"/>
      <c r="L17" s="1049"/>
      <c r="M17" s="1049"/>
    </row>
    <row r="18" spans="1:15" ht="14.1">
      <c r="A18" s="1046"/>
      <c r="B18" s="1175" t="s">
        <v>2100</v>
      </c>
      <c r="C18" s="1048">
        <v>1</v>
      </c>
      <c r="D18" s="1048" t="s">
        <v>1472</v>
      </c>
      <c r="E18" s="1048">
        <v>1</v>
      </c>
      <c r="F18" s="1049">
        <f>(31.5-6)*0.3048</f>
        <v>7.7724000000000002</v>
      </c>
      <c r="G18" s="1049">
        <v>1.2</v>
      </c>
      <c r="H18" s="1049">
        <v>0.3</v>
      </c>
      <c r="I18" s="1049">
        <f t="shared" si="1"/>
        <v>2.8</v>
      </c>
      <c r="J18" s="1049"/>
      <c r="K18" s="1049"/>
      <c r="L18" s="1049"/>
      <c r="M18" s="1049"/>
    </row>
    <row r="19" spans="1:15" ht="14.1">
      <c r="A19" s="1046"/>
      <c r="B19" s="1175" t="s">
        <v>2099</v>
      </c>
      <c r="C19" s="1048">
        <v>1</v>
      </c>
      <c r="D19" s="1048" t="s">
        <v>1472</v>
      </c>
      <c r="E19" s="1048">
        <v>2</v>
      </c>
      <c r="F19" s="1049">
        <v>4.2</v>
      </c>
      <c r="G19" s="1049">
        <v>1.2</v>
      </c>
      <c r="H19" s="1049">
        <v>0.3</v>
      </c>
      <c r="I19" s="1049">
        <f t="shared" si="1"/>
        <v>3.02</v>
      </c>
      <c r="J19" s="1049"/>
      <c r="K19" s="1049"/>
      <c r="L19" s="1049"/>
      <c r="M19" s="1049"/>
    </row>
    <row r="20" spans="1:15" ht="14.1">
      <c r="A20" s="1046"/>
      <c r="B20" s="1175"/>
      <c r="C20" s="1048"/>
      <c r="D20" s="1048"/>
      <c r="E20" s="1048"/>
      <c r="F20" s="1049"/>
      <c r="G20" s="1049"/>
      <c r="H20" s="1049"/>
      <c r="I20" s="1049"/>
      <c r="J20" s="1049"/>
      <c r="K20" s="1049"/>
      <c r="L20" s="1049"/>
      <c r="M20" s="1049"/>
    </row>
    <row r="21" spans="1:15" ht="14.1">
      <c r="A21" s="1046"/>
      <c r="B21" s="1051"/>
      <c r="C21" s="1048"/>
      <c r="D21" s="1048"/>
      <c r="E21" s="1048"/>
      <c r="F21" s="1049"/>
      <c r="G21" s="1049"/>
      <c r="H21" s="1049"/>
      <c r="I21" s="1049">
        <f>SUM(I8:I19)</f>
        <v>127.71000000000001</v>
      </c>
      <c r="J21" s="1049"/>
      <c r="K21" s="1049"/>
      <c r="L21" s="1049"/>
      <c r="M21" s="1049"/>
    </row>
    <row r="22" spans="1:15" ht="14.1">
      <c r="A22" s="1046"/>
      <c r="B22" s="2448" t="s">
        <v>2062</v>
      </c>
      <c r="C22" s="2448"/>
      <c r="D22" s="2448"/>
      <c r="E22" s="2448"/>
      <c r="F22" s="2448"/>
      <c r="G22" s="2448"/>
      <c r="H22" s="2448"/>
      <c r="I22" s="1052">
        <f>CEILING(I21,0.05)</f>
        <v>127.75</v>
      </c>
      <c r="J22" s="1053">
        <v>197.21</v>
      </c>
      <c r="K22" s="1054">
        <f>ROUND(J22*I22/1,0)</f>
        <v>25194</v>
      </c>
      <c r="L22" s="1029">
        <v>30</v>
      </c>
      <c r="M22" s="1055">
        <f>L22*I22</f>
        <v>3832.5</v>
      </c>
      <c r="N22" s="1087">
        <v>30</v>
      </c>
      <c r="O22" s="1087">
        <f>ROUND(I22*30,0)</f>
        <v>3833</v>
      </c>
    </row>
    <row r="23" spans="1:15" ht="14.1">
      <c r="A23" s="1046"/>
      <c r="B23" s="1056"/>
      <c r="C23" s="1048"/>
      <c r="D23" s="1048"/>
      <c r="E23" s="1048"/>
      <c r="F23" s="1049"/>
      <c r="G23" s="1049"/>
      <c r="H23" s="1049"/>
      <c r="I23" s="1053" t="s">
        <v>656</v>
      </c>
      <c r="J23" s="1049" t="s">
        <v>2041</v>
      </c>
      <c r="K23" s="1049"/>
      <c r="L23" s="1049"/>
      <c r="M23" s="1049"/>
      <c r="N23" s="1087"/>
      <c r="O23" s="1087"/>
    </row>
    <row r="24" spans="1:15" ht="136.5" customHeight="1">
      <c r="A24" s="1046">
        <v>2</v>
      </c>
      <c r="B24" s="2415" t="s">
        <v>2291</v>
      </c>
      <c r="C24" s="2426"/>
      <c r="D24" s="2426"/>
      <c r="E24" s="2426"/>
      <c r="F24" s="2426"/>
      <c r="G24" s="2426"/>
      <c r="H24" s="2426"/>
      <c r="I24" s="2427"/>
      <c r="J24" s="1049"/>
      <c r="K24" s="1049"/>
      <c r="L24" s="1049"/>
      <c r="M24" s="1049"/>
      <c r="N24" s="1087"/>
      <c r="O24" s="1087"/>
    </row>
    <row r="25" spans="1:15" ht="14.1">
      <c r="A25" s="1046"/>
      <c r="B25" s="1047" t="s">
        <v>2004</v>
      </c>
      <c r="C25" s="1048">
        <v>2</v>
      </c>
      <c r="D25" s="1048" t="s">
        <v>1472</v>
      </c>
      <c r="E25" s="1048">
        <v>6</v>
      </c>
      <c r="F25" s="1049">
        <v>2</v>
      </c>
      <c r="G25" s="1049">
        <v>2</v>
      </c>
      <c r="H25" s="1049">
        <v>0.15</v>
      </c>
      <c r="I25" s="1049">
        <f>ROUND(C25*E25*F25*G25*H25,2)</f>
        <v>7.2</v>
      </c>
      <c r="J25" s="1049"/>
      <c r="K25" s="1049"/>
      <c r="L25" s="1049"/>
      <c r="M25" s="1049"/>
      <c r="N25" s="1087"/>
      <c r="O25" s="1087"/>
    </row>
    <row r="26" spans="1:15" ht="14.1">
      <c r="A26" s="1046"/>
      <c r="B26" s="2432"/>
      <c r="C26" s="2433"/>
      <c r="D26" s="2433"/>
      <c r="E26" s="2433"/>
      <c r="F26" s="2433"/>
      <c r="G26" s="2433"/>
      <c r="H26" s="2434"/>
      <c r="I26" s="1052">
        <f>I25</f>
        <v>7.2</v>
      </c>
      <c r="J26" s="1049">
        <f>Datas!G154</f>
        <v>4371.4635670906127</v>
      </c>
      <c r="K26" s="1053">
        <f>ROUND(J26*I26,0)</f>
        <v>31475</v>
      </c>
      <c r="L26" s="1049">
        <v>108</v>
      </c>
      <c r="M26" s="1055">
        <f>L26*I26</f>
        <v>777.6</v>
      </c>
      <c r="N26" s="1087">
        <v>108</v>
      </c>
      <c r="O26" s="1087">
        <f>ROUND(I26*N26,0)</f>
        <v>778</v>
      </c>
    </row>
    <row r="27" spans="1:15" ht="14.1">
      <c r="A27" s="1046"/>
      <c r="B27" s="1060"/>
      <c r="C27" s="1048"/>
      <c r="D27" s="1048"/>
      <c r="E27" s="1048"/>
      <c r="F27" s="1049"/>
      <c r="G27" s="1049"/>
      <c r="H27" s="1049"/>
      <c r="I27" s="1053" t="s">
        <v>656</v>
      </c>
      <c r="J27" s="1053" t="s">
        <v>656</v>
      </c>
      <c r="K27" s="1053"/>
      <c r="L27" s="1053"/>
      <c r="M27" s="1053"/>
      <c r="N27" s="1087"/>
      <c r="O27" s="1087"/>
    </row>
    <row r="28" spans="1:15" ht="137.25" customHeight="1">
      <c r="A28" s="1046">
        <v>3</v>
      </c>
      <c r="B28" s="2415" t="s">
        <v>2292</v>
      </c>
      <c r="C28" s="2426"/>
      <c r="D28" s="2426"/>
      <c r="E28" s="2426"/>
      <c r="F28" s="2426"/>
      <c r="G28" s="2426"/>
      <c r="H28" s="2426"/>
      <c r="I28" s="2427"/>
      <c r="J28" s="1049"/>
      <c r="K28" s="1049"/>
      <c r="L28" s="1049"/>
      <c r="M28" s="1049"/>
      <c r="N28" s="1087"/>
      <c r="O28" s="1087"/>
    </row>
    <row r="29" spans="1:15" s="1095" customFormat="1" ht="14.1">
      <c r="A29" s="1093"/>
      <c r="B29" s="1182" t="s">
        <v>2218</v>
      </c>
      <c r="C29" s="1183">
        <v>1</v>
      </c>
      <c r="D29" s="1183" t="s">
        <v>1472</v>
      </c>
      <c r="E29" s="1183">
        <v>1</v>
      </c>
      <c r="F29" s="1184">
        <f>(46.5)*0.3048</f>
        <v>14.173200000000001</v>
      </c>
      <c r="G29" s="1184">
        <f>(30)*0.3048</f>
        <v>9.1440000000000001</v>
      </c>
      <c r="H29" s="1184">
        <v>0.1</v>
      </c>
      <c r="I29" s="1094">
        <f>ROUND(C29*E29*F29*G29*H29,2)</f>
        <v>12.96</v>
      </c>
      <c r="J29" s="1094"/>
      <c r="K29" s="1094"/>
      <c r="L29" s="1094"/>
      <c r="M29" s="1094"/>
      <c r="N29" s="1166"/>
      <c r="O29" s="1166"/>
    </row>
    <row r="30" spans="1:15" s="1095" customFormat="1" ht="14.1">
      <c r="A30" s="1093"/>
      <c r="B30" s="1182" t="s">
        <v>2219</v>
      </c>
      <c r="C30" s="1183">
        <v>1</v>
      </c>
      <c r="D30" s="1183" t="s">
        <v>1472</v>
      </c>
      <c r="E30" s="1183">
        <v>1</v>
      </c>
      <c r="F30" s="1184">
        <v>3.6</v>
      </c>
      <c r="G30" s="1184">
        <f>(12)*0.3048</f>
        <v>3.6576000000000004</v>
      </c>
      <c r="H30" s="1184">
        <v>0.1</v>
      </c>
      <c r="I30" s="1094">
        <f>ROUND(C30*E30*F30*G30*H30,2)</f>
        <v>1.32</v>
      </c>
      <c r="J30" s="1094"/>
      <c r="K30" s="1094"/>
      <c r="L30" s="1094"/>
      <c r="M30" s="1094"/>
      <c r="N30" s="1166"/>
      <c r="O30" s="1166"/>
    </row>
    <row r="31" spans="1:15" s="1095" customFormat="1" ht="14.1">
      <c r="A31" s="1093"/>
      <c r="B31" s="1182" t="s">
        <v>2220</v>
      </c>
      <c r="C31" s="1183">
        <v>1</v>
      </c>
      <c r="D31" s="1183" t="s">
        <v>1472</v>
      </c>
      <c r="E31" s="1183">
        <v>1</v>
      </c>
      <c r="F31" s="1184">
        <v>3.6</v>
      </c>
      <c r="G31" s="1184">
        <f>(17.23)*0.3048</f>
        <v>5.2517040000000001</v>
      </c>
      <c r="H31" s="1184">
        <v>0.1</v>
      </c>
      <c r="I31" s="1094">
        <f>ROUND(C31*E31*F31*G31*H31,2)</f>
        <v>1.89</v>
      </c>
      <c r="J31" s="1094"/>
      <c r="K31" s="1094"/>
      <c r="L31" s="1094"/>
      <c r="M31" s="1094"/>
      <c r="N31" s="1166"/>
      <c r="O31" s="1166"/>
    </row>
    <row r="32" spans="1:15" ht="14.1">
      <c r="A32" s="1046"/>
      <c r="B32" s="1174" t="s">
        <v>2221</v>
      </c>
      <c r="C32" s="1176">
        <v>1</v>
      </c>
      <c r="D32" s="1176" t="s">
        <v>1472</v>
      </c>
      <c r="E32" s="1176">
        <v>1</v>
      </c>
      <c r="F32" s="1177">
        <v>3.2</v>
      </c>
      <c r="G32" s="1177">
        <v>3</v>
      </c>
      <c r="H32" s="1177">
        <v>0.1</v>
      </c>
      <c r="I32" s="1049">
        <f>ROUND(C32*E32*F32*G32*H32,2)</f>
        <v>0.96</v>
      </c>
      <c r="J32" s="1049"/>
      <c r="K32" s="1049"/>
      <c r="L32" s="1049"/>
      <c r="M32" s="1049"/>
      <c r="N32" s="1087"/>
      <c r="O32" s="1087"/>
    </row>
    <row r="33" spans="1:15" ht="14.1">
      <c r="A33" s="1046"/>
      <c r="B33" s="1174" t="s">
        <v>2222</v>
      </c>
      <c r="C33" s="1176">
        <v>1</v>
      </c>
      <c r="D33" s="1176" t="s">
        <v>1472</v>
      </c>
      <c r="E33" s="1176">
        <v>1</v>
      </c>
      <c r="F33" s="1177">
        <v>3.6</v>
      </c>
      <c r="G33" s="1177">
        <f>(17.23)*0.3048</f>
        <v>5.2517040000000001</v>
      </c>
      <c r="H33" s="1177">
        <v>0.1</v>
      </c>
      <c r="I33" s="1049">
        <f>ROUND(C33*E33*F33*G33*H33,2)</f>
        <v>1.89</v>
      </c>
      <c r="J33" s="1049"/>
      <c r="K33" s="1049"/>
      <c r="L33" s="1049"/>
      <c r="M33" s="1049"/>
      <c r="N33" s="1087"/>
      <c r="O33" s="1087"/>
    </row>
    <row r="34" spans="1:15" ht="24.6">
      <c r="A34" s="1046"/>
      <c r="B34" s="1174" t="s">
        <v>2090</v>
      </c>
      <c r="C34" s="1176">
        <v>1</v>
      </c>
      <c r="D34" s="1176" t="s">
        <v>1472</v>
      </c>
      <c r="E34" s="1176">
        <v>2</v>
      </c>
      <c r="F34" s="1177">
        <f>(60+2)*0.3048</f>
        <v>18.897600000000001</v>
      </c>
      <c r="G34" s="1177">
        <v>0.6</v>
      </c>
      <c r="H34" s="1177">
        <v>0.1</v>
      </c>
      <c r="I34" s="1049">
        <f t="shared" ref="I34:I43" si="2">ROUND(C34*E34*F34*G34*H34,2)</f>
        <v>2.27</v>
      </c>
      <c r="J34" s="1049"/>
      <c r="K34" s="1049"/>
      <c r="L34" s="1049"/>
      <c r="M34" s="1049"/>
      <c r="N34" s="1087"/>
      <c r="O34" s="1087"/>
    </row>
    <row r="35" spans="1:15" ht="24.6">
      <c r="A35" s="1046"/>
      <c r="B35" s="1174" t="s">
        <v>2091</v>
      </c>
      <c r="C35" s="1176">
        <v>1</v>
      </c>
      <c r="D35" s="1176" t="s">
        <v>1472</v>
      </c>
      <c r="E35" s="1176">
        <v>2</v>
      </c>
      <c r="F35" s="1177">
        <f>(30.75-2)*0.3048</f>
        <v>8.7629999999999999</v>
      </c>
      <c r="G35" s="1177">
        <v>0.6</v>
      </c>
      <c r="H35" s="1177">
        <v>0.1</v>
      </c>
      <c r="I35" s="1049">
        <f t="shared" si="2"/>
        <v>1.05</v>
      </c>
      <c r="J35" s="1049"/>
      <c r="K35" s="1049"/>
      <c r="L35" s="1049"/>
      <c r="M35" s="1049"/>
      <c r="N35" s="1087"/>
      <c r="O35" s="1087"/>
    </row>
    <row r="36" spans="1:15" ht="14.1">
      <c r="A36" s="1046"/>
      <c r="B36" s="1174" t="s">
        <v>2092</v>
      </c>
      <c r="C36" s="1176">
        <v>2</v>
      </c>
      <c r="D36" s="1176" t="s">
        <v>1472</v>
      </c>
      <c r="E36" s="1176">
        <v>2</v>
      </c>
      <c r="F36" s="1177">
        <v>1.2</v>
      </c>
      <c r="G36" s="1177">
        <v>0.6</v>
      </c>
      <c r="H36" s="1177">
        <v>0.1</v>
      </c>
      <c r="I36" s="1049">
        <f t="shared" si="2"/>
        <v>0.28999999999999998</v>
      </c>
      <c r="J36" s="1049"/>
      <c r="K36" s="1049"/>
      <c r="L36" s="1049"/>
      <c r="M36" s="1049"/>
      <c r="N36" s="1087"/>
      <c r="O36" s="1087"/>
    </row>
    <row r="37" spans="1:15" ht="14.1">
      <c r="A37" s="1046"/>
      <c r="B37" s="1174" t="s">
        <v>2093</v>
      </c>
      <c r="C37" s="1176">
        <v>2</v>
      </c>
      <c r="D37" s="1176" t="s">
        <v>1472</v>
      </c>
      <c r="E37" s="1176">
        <v>2</v>
      </c>
      <c r="F37" s="1177">
        <v>4.1500000000000004</v>
      </c>
      <c r="G37" s="1177">
        <v>0.6</v>
      </c>
      <c r="H37" s="1177">
        <v>0.1</v>
      </c>
      <c r="I37" s="1049">
        <f t="shared" si="2"/>
        <v>1</v>
      </c>
      <c r="J37" s="1049"/>
      <c r="K37" s="1049"/>
      <c r="L37" s="1049"/>
      <c r="M37" s="1049"/>
      <c r="N37" s="1087"/>
      <c r="O37" s="1087"/>
    </row>
    <row r="38" spans="1:15" ht="14.1">
      <c r="A38" s="1046"/>
      <c r="B38" s="1174" t="s">
        <v>2094</v>
      </c>
      <c r="C38" s="1176">
        <v>2</v>
      </c>
      <c r="D38" s="1176" t="s">
        <v>1472</v>
      </c>
      <c r="E38" s="1176">
        <v>2</v>
      </c>
      <c r="F38" s="1177">
        <v>4</v>
      </c>
      <c r="G38" s="1177">
        <v>0.6</v>
      </c>
      <c r="H38" s="1177">
        <v>0.1</v>
      </c>
      <c r="I38" s="1049">
        <f t="shared" si="2"/>
        <v>0.96</v>
      </c>
      <c r="J38" s="1049"/>
      <c r="K38" s="1049"/>
      <c r="L38" s="1049"/>
      <c r="M38" s="1049"/>
      <c r="N38" s="1087"/>
      <c r="O38" s="1087"/>
    </row>
    <row r="39" spans="1:15" ht="24.6">
      <c r="A39" s="1046"/>
      <c r="B39" s="1174" t="s">
        <v>2095</v>
      </c>
      <c r="C39" s="1176">
        <v>1</v>
      </c>
      <c r="D39" s="1176" t="s">
        <v>1472</v>
      </c>
      <c r="E39" s="1176">
        <v>2</v>
      </c>
      <c r="F39" s="1177">
        <v>1.8</v>
      </c>
      <c r="G39" s="1177">
        <v>0.6</v>
      </c>
      <c r="H39" s="1177">
        <v>0.1</v>
      </c>
      <c r="I39" s="1049">
        <f t="shared" si="2"/>
        <v>0.22</v>
      </c>
      <c r="J39" s="1049"/>
      <c r="K39" s="1049"/>
      <c r="L39" s="1049"/>
      <c r="M39" s="1049"/>
      <c r="N39" s="1087"/>
      <c r="O39" s="1087"/>
    </row>
    <row r="40" spans="1:15" ht="14.1">
      <c r="A40" s="1046"/>
      <c r="B40" s="1175" t="s">
        <v>2096</v>
      </c>
      <c r="C40" s="1176">
        <v>1</v>
      </c>
      <c r="D40" s="1176" t="s">
        <v>1472</v>
      </c>
      <c r="E40" s="1176">
        <v>1</v>
      </c>
      <c r="F40" s="1177">
        <f>(31.5-6-4)*0.3048</f>
        <v>6.5532000000000004</v>
      </c>
      <c r="G40" s="1177">
        <v>0.6</v>
      </c>
      <c r="H40" s="1177">
        <v>0.1</v>
      </c>
      <c r="I40" s="1049">
        <f t="shared" si="2"/>
        <v>0.39</v>
      </c>
      <c r="J40" s="1049"/>
      <c r="K40" s="1049"/>
      <c r="L40" s="1049"/>
      <c r="M40" s="1049"/>
      <c r="N40" s="1087"/>
      <c r="O40" s="1087"/>
    </row>
    <row r="41" spans="1:15" ht="14.1">
      <c r="A41" s="1046"/>
      <c r="B41" s="1175" t="s">
        <v>2097</v>
      </c>
      <c r="C41" s="1176">
        <v>1</v>
      </c>
      <c r="D41" s="1176" t="s">
        <v>1472</v>
      </c>
      <c r="E41" s="1176">
        <v>2</v>
      </c>
      <c r="F41" s="1177">
        <v>3</v>
      </c>
      <c r="G41" s="1177">
        <v>0.6</v>
      </c>
      <c r="H41" s="1177">
        <v>0.1</v>
      </c>
      <c r="I41" s="1049">
        <f t="shared" si="2"/>
        <v>0.36</v>
      </c>
      <c r="J41" s="1049"/>
      <c r="K41" s="1049"/>
      <c r="L41" s="1049"/>
      <c r="M41" s="1049"/>
      <c r="N41" s="1087"/>
      <c r="O41" s="1087"/>
    </row>
    <row r="42" spans="1:15" ht="14.1">
      <c r="A42" s="1046"/>
      <c r="B42" s="1175" t="s">
        <v>2098</v>
      </c>
      <c r="C42" s="1176">
        <v>1</v>
      </c>
      <c r="D42" s="1176" t="s">
        <v>1472</v>
      </c>
      <c r="E42" s="1176">
        <v>1</v>
      </c>
      <c r="F42" s="1177">
        <f>(31.5-6)*0.3048</f>
        <v>7.7724000000000002</v>
      </c>
      <c r="G42" s="1177">
        <v>1.2</v>
      </c>
      <c r="H42" s="1177">
        <v>0.1</v>
      </c>
      <c r="I42" s="1049">
        <f t="shared" si="2"/>
        <v>0.93</v>
      </c>
      <c r="J42" s="1049"/>
      <c r="K42" s="1049"/>
      <c r="L42" s="1049"/>
      <c r="M42" s="1049"/>
      <c r="N42" s="1087"/>
      <c r="O42" s="1087"/>
    </row>
    <row r="43" spans="1:15" ht="14.1">
      <c r="A43" s="1046"/>
      <c r="B43" s="1175" t="s">
        <v>2098</v>
      </c>
      <c r="C43" s="1176">
        <v>1</v>
      </c>
      <c r="D43" s="1176" t="s">
        <v>1472</v>
      </c>
      <c r="E43" s="1176">
        <v>2</v>
      </c>
      <c r="F43" s="1177">
        <v>4.2</v>
      </c>
      <c r="G43" s="1177">
        <v>1.2</v>
      </c>
      <c r="H43" s="1177">
        <v>0.1</v>
      </c>
      <c r="I43" s="1049">
        <f t="shared" si="2"/>
        <v>1.01</v>
      </c>
      <c r="J43" s="1049"/>
      <c r="K43" s="1049"/>
      <c r="L43" s="1049"/>
      <c r="M43" s="1049"/>
      <c r="N43" s="1087"/>
      <c r="O43" s="1087"/>
    </row>
    <row r="44" spans="1:15" ht="14.1">
      <c r="A44" s="1046"/>
      <c r="B44" s="2564"/>
      <c r="C44" s="2565"/>
      <c r="D44" s="2565"/>
      <c r="E44" s="2565"/>
      <c r="F44" s="2565"/>
      <c r="G44" s="2565"/>
      <c r="H44" s="2566"/>
      <c r="I44" s="1052">
        <f>SUM(I29:I43)</f>
        <v>27.500000000000004</v>
      </c>
      <c r="J44" s="1049">
        <f>Datas!G174</f>
        <v>4155.8100000000004</v>
      </c>
      <c r="K44" s="1053">
        <f>ROUND(J44*I44,0)</f>
        <v>114285</v>
      </c>
      <c r="L44" s="1049">
        <v>108</v>
      </c>
      <c r="M44" s="1055">
        <f>L44*I44</f>
        <v>2970.0000000000005</v>
      </c>
      <c r="N44" s="1087">
        <v>108</v>
      </c>
      <c r="O44" s="1087">
        <f>ROUND(I44*N44,0)</f>
        <v>2970</v>
      </c>
    </row>
    <row r="45" spans="1:15" ht="14.1">
      <c r="A45" s="1046"/>
      <c r="B45" s="1060"/>
      <c r="C45" s="1048"/>
      <c r="D45" s="1048"/>
      <c r="E45" s="1048"/>
      <c r="F45" s="1049"/>
      <c r="G45" s="1049"/>
      <c r="H45" s="1049"/>
      <c r="I45" s="1053" t="s">
        <v>656</v>
      </c>
      <c r="J45" s="1053" t="s">
        <v>656</v>
      </c>
      <c r="K45" s="1053"/>
      <c r="L45" s="1053"/>
      <c r="M45" s="1053"/>
      <c r="N45" s="1087"/>
      <c r="O45" s="1087"/>
    </row>
    <row r="46" spans="1:15" ht="126.75" customHeight="1">
      <c r="A46" s="1046">
        <v>4</v>
      </c>
      <c r="B46" s="2415" t="s">
        <v>2293</v>
      </c>
      <c r="C46" s="2426"/>
      <c r="D46" s="2426"/>
      <c r="E46" s="2426"/>
      <c r="F46" s="2426"/>
      <c r="G46" s="2426"/>
      <c r="H46" s="2426"/>
      <c r="I46" s="2427"/>
      <c r="J46" s="1049"/>
      <c r="K46" s="1049"/>
      <c r="L46" s="1049"/>
      <c r="M46" s="1049"/>
      <c r="N46" s="1087"/>
      <c r="O46" s="1087"/>
    </row>
    <row r="47" spans="1:15" ht="14.1">
      <c r="A47" s="1046"/>
      <c r="B47" s="1060" t="s">
        <v>657</v>
      </c>
      <c r="C47" s="1061"/>
      <c r="D47" s="1061"/>
      <c r="E47" s="1061"/>
      <c r="F47" s="1062"/>
      <c r="G47" s="1062"/>
      <c r="H47" s="1062"/>
      <c r="I47" s="1062"/>
      <c r="J47" s="1049"/>
      <c r="K47" s="1049"/>
      <c r="L47" s="1049"/>
      <c r="M47" s="1049"/>
      <c r="N47" s="1087"/>
      <c r="O47" s="1087"/>
    </row>
    <row r="48" spans="1:15" ht="24.6">
      <c r="A48" s="1046"/>
      <c r="B48" s="1174" t="s">
        <v>2090</v>
      </c>
      <c r="C48" s="1048">
        <v>1</v>
      </c>
      <c r="D48" s="1048" t="s">
        <v>1472</v>
      </c>
      <c r="E48" s="1048">
        <v>2</v>
      </c>
      <c r="F48" s="1049">
        <f>(60+1.5)*0.3048</f>
        <v>18.745200000000001</v>
      </c>
      <c r="G48" s="1049">
        <v>0.45</v>
      </c>
      <c r="H48" s="1049">
        <v>0.5</v>
      </c>
      <c r="I48" s="1049">
        <f>ROUND(C48*E48*F48*G48*H48,2)</f>
        <v>8.44</v>
      </c>
      <c r="J48" s="1049"/>
      <c r="K48" s="1049"/>
      <c r="L48" s="1049"/>
      <c r="M48" s="1049"/>
      <c r="N48" s="1087"/>
      <c r="O48" s="1087"/>
    </row>
    <row r="49" spans="1:15" ht="24.6">
      <c r="A49" s="1046"/>
      <c r="B49" s="1174" t="s">
        <v>2091</v>
      </c>
      <c r="C49" s="1048">
        <v>1</v>
      </c>
      <c r="D49" s="1048" t="s">
        <v>1472</v>
      </c>
      <c r="E49" s="1048">
        <v>2</v>
      </c>
      <c r="F49" s="1049">
        <f>(30.75-1.5)*0.3048</f>
        <v>8.9154</v>
      </c>
      <c r="G49" s="1049">
        <v>0.45</v>
      </c>
      <c r="H49" s="1049">
        <v>0.5</v>
      </c>
      <c r="I49" s="1049">
        <f t="shared" ref="I49:I55" si="3">ROUND(C49*E49*F49*G49*H49,2)</f>
        <v>4.01</v>
      </c>
      <c r="J49" s="1049"/>
      <c r="K49" s="1049"/>
      <c r="L49" s="1049"/>
      <c r="M49" s="1049"/>
      <c r="N49" s="1087"/>
      <c r="O49" s="1087"/>
    </row>
    <row r="50" spans="1:15" ht="14.1">
      <c r="A50" s="1046"/>
      <c r="B50" s="1174" t="s">
        <v>2092</v>
      </c>
      <c r="C50" s="1048">
        <v>2</v>
      </c>
      <c r="D50" s="1048" t="s">
        <v>1472</v>
      </c>
      <c r="E50" s="1048">
        <v>2</v>
      </c>
      <c r="F50" s="1049">
        <v>1.2</v>
      </c>
      <c r="G50" s="1049">
        <v>0.45</v>
      </c>
      <c r="H50" s="1049">
        <v>0.5</v>
      </c>
      <c r="I50" s="1049">
        <f t="shared" si="3"/>
        <v>1.08</v>
      </c>
      <c r="J50" s="1049"/>
      <c r="K50" s="1049"/>
      <c r="L50" s="1049"/>
      <c r="M50" s="1049"/>
      <c r="N50" s="1087"/>
      <c r="O50" s="1087"/>
    </row>
    <row r="51" spans="1:15" ht="14.1">
      <c r="A51" s="1046"/>
      <c r="B51" s="1174" t="s">
        <v>2093</v>
      </c>
      <c r="C51" s="1048">
        <v>2</v>
      </c>
      <c r="D51" s="1048" t="s">
        <v>1472</v>
      </c>
      <c r="E51" s="1048">
        <v>2</v>
      </c>
      <c r="F51" s="1049">
        <v>4.1500000000000004</v>
      </c>
      <c r="G51" s="1049">
        <v>0.45</v>
      </c>
      <c r="H51" s="1049">
        <v>0.5</v>
      </c>
      <c r="I51" s="1049">
        <f t="shared" si="3"/>
        <v>3.74</v>
      </c>
      <c r="J51" s="1049"/>
      <c r="K51" s="1049"/>
      <c r="L51" s="1049"/>
      <c r="M51" s="1049"/>
      <c r="N51" s="1087"/>
      <c r="O51" s="1087"/>
    </row>
    <row r="52" spans="1:15" ht="14.1">
      <c r="A52" s="1046"/>
      <c r="B52" s="1174" t="s">
        <v>2094</v>
      </c>
      <c r="C52" s="1048">
        <v>2</v>
      </c>
      <c r="D52" s="1048" t="s">
        <v>1472</v>
      </c>
      <c r="E52" s="1048">
        <v>2</v>
      </c>
      <c r="F52" s="1049">
        <v>4</v>
      </c>
      <c r="G52" s="1049">
        <v>0.45</v>
      </c>
      <c r="H52" s="1049">
        <v>0.5</v>
      </c>
      <c r="I52" s="1049">
        <f t="shared" si="3"/>
        <v>3.6</v>
      </c>
      <c r="J52" s="1049"/>
      <c r="K52" s="1049"/>
      <c r="L52" s="1049"/>
      <c r="M52" s="1049"/>
      <c r="N52" s="1087"/>
      <c r="O52" s="1087"/>
    </row>
    <row r="53" spans="1:15" ht="24.6">
      <c r="A53" s="1046"/>
      <c r="B53" s="1174" t="s">
        <v>2095</v>
      </c>
      <c r="C53" s="1048">
        <v>1</v>
      </c>
      <c r="D53" s="1048" t="s">
        <v>1472</v>
      </c>
      <c r="E53" s="1048">
        <v>2</v>
      </c>
      <c r="F53" s="1049">
        <v>1.8</v>
      </c>
      <c r="G53" s="1049">
        <v>0.45</v>
      </c>
      <c r="H53" s="1049">
        <v>0.5</v>
      </c>
      <c r="I53" s="1049">
        <f t="shared" si="3"/>
        <v>0.81</v>
      </c>
      <c r="J53" s="1049"/>
      <c r="K53" s="1049"/>
      <c r="L53" s="1049"/>
      <c r="M53" s="1049"/>
      <c r="N53" s="1087"/>
      <c r="O53" s="1087"/>
    </row>
    <row r="54" spans="1:15" ht="14.1">
      <c r="A54" s="1046"/>
      <c r="B54" s="1175" t="s">
        <v>2096</v>
      </c>
      <c r="C54" s="1048">
        <v>1</v>
      </c>
      <c r="D54" s="1048" t="s">
        <v>1472</v>
      </c>
      <c r="E54" s="1048">
        <v>1</v>
      </c>
      <c r="F54" s="1049">
        <f>(31.5-6-4)*0.3048</f>
        <v>6.5532000000000004</v>
      </c>
      <c r="G54" s="1049">
        <v>0.45</v>
      </c>
      <c r="H54" s="1049">
        <v>0.5</v>
      </c>
      <c r="I54" s="1049">
        <f t="shared" si="3"/>
        <v>1.47</v>
      </c>
      <c r="J54" s="1049"/>
      <c r="K54" s="1049"/>
      <c r="L54" s="1049"/>
      <c r="M54" s="1049"/>
      <c r="N54" s="1087"/>
      <c r="O54" s="1087"/>
    </row>
    <row r="55" spans="1:15" ht="14.1">
      <c r="A55" s="1046"/>
      <c r="B55" s="1175" t="s">
        <v>2097</v>
      </c>
      <c r="C55" s="1048">
        <v>1</v>
      </c>
      <c r="D55" s="1048" t="s">
        <v>1472</v>
      </c>
      <c r="E55" s="1048">
        <v>2</v>
      </c>
      <c r="F55" s="1049">
        <v>3</v>
      </c>
      <c r="G55" s="1049">
        <v>0.45</v>
      </c>
      <c r="H55" s="1049">
        <v>0.5</v>
      </c>
      <c r="I55" s="1049">
        <f t="shared" si="3"/>
        <v>1.35</v>
      </c>
      <c r="J55" s="1049"/>
      <c r="K55" s="1049"/>
      <c r="L55" s="1049"/>
      <c r="M55" s="1049"/>
      <c r="N55" s="1087"/>
      <c r="O55" s="1087"/>
    </row>
    <row r="56" spans="1:15" ht="14.1">
      <c r="A56" s="1046"/>
      <c r="B56" s="1178" t="s">
        <v>2017</v>
      </c>
      <c r="C56" s="1061"/>
      <c r="D56" s="1061"/>
      <c r="E56" s="1061"/>
      <c r="F56" s="1062"/>
      <c r="G56" s="1062"/>
      <c r="H56" s="1062"/>
      <c r="I56" s="1063">
        <f>SUM(I48:I55)</f>
        <v>24.5</v>
      </c>
      <c r="J56" s="1049"/>
      <c r="K56" s="1049"/>
      <c r="L56" s="1049"/>
      <c r="M56" s="1049"/>
      <c r="N56" s="1087"/>
      <c r="O56" s="1087"/>
    </row>
    <row r="57" spans="1:15" ht="24.6">
      <c r="A57" s="1046"/>
      <c r="B57" s="1174" t="s">
        <v>2090</v>
      </c>
      <c r="C57" s="1048">
        <v>1</v>
      </c>
      <c r="D57" s="1048" t="s">
        <v>1472</v>
      </c>
      <c r="E57" s="1048">
        <v>2</v>
      </c>
      <c r="F57" s="1049">
        <f>(60+1.5)*0.3048</f>
        <v>18.745200000000001</v>
      </c>
      <c r="G57" s="1049">
        <v>0.45</v>
      </c>
      <c r="H57" s="1049">
        <v>0.45</v>
      </c>
      <c r="I57" s="1049">
        <f t="shared" ref="I57:I64" si="4">ROUND(C57*E57*F57*G57*H57,2)</f>
        <v>7.59</v>
      </c>
      <c r="J57" s="1049"/>
      <c r="K57" s="1049"/>
      <c r="L57" s="1049"/>
      <c r="M57" s="1049"/>
      <c r="N57" s="1087"/>
      <c r="O57" s="1087"/>
    </row>
    <row r="58" spans="1:15" ht="24.6">
      <c r="A58" s="1046"/>
      <c r="B58" s="1174" t="s">
        <v>2091</v>
      </c>
      <c r="C58" s="1048">
        <v>1</v>
      </c>
      <c r="D58" s="1048" t="s">
        <v>1472</v>
      </c>
      <c r="E58" s="1048">
        <v>2</v>
      </c>
      <c r="F58" s="1049">
        <f>(30.75-1.5)*0.3048</f>
        <v>8.9154</v>
      </c>
      <c r="G58" s="1049">
        <v>0.45</v>
      </c>
      <c r="H58" s="1049">
        <v>0.45</v>
      </c>
      <c r="I58" s="1049">
        <f t="shared" si="4"/>
        <v>3.61</v>
      </c>
      <c r="J58" s="1049"/>
      <c r="K58" s="1049"/>
      <c r="L58" s="1049"/>
      <c r="M58" s="1049"/>
      <c r="N58" s="1087"/>
      <c r="O58" s="1087"/>
    </row>
    <row r="59" spans="1:15" ht="14.1">
      <c r="A59" s="1046"/>
      <c r="B59" s="1174" t="s">
        <v>2092</v>
      </c>
      <c r="C59" s="1048">
        <v>2</v>
      </c>
      <c r="D59" s="1048" t="s">
        <v>1472</v>
      </c>
      <c r="E59" s="1048">
        <v>2</v>
      </c>
      <c r="F59" s="1049">
        <v>1.2</v>
      </c>
      <c r="G59" s="1049">
        <v>0.45</v>
      </c>
      <c r="H59" s="1049">
        <v>0.45</v>
      </c>
      <c r="I59" s="1049">
        <f t="shared" si="4"/>
        <v>0.97</v>
      </c>
      <c r="J59" s="1049"/>
      <c r="K59" s="1049"/>
      <c r="L59" s="1049"/>
      <c r="M59" s="1049"/>
      <c r="N59" s="1087"/>
      <c r="O59" s="1087"/>
    </row>
    <row r="60" spans="1:15" ht="14.1">
      <c r="A60" s="1046"/>
      <c r="B60" s="1174" t="s">
        <v>2093</v>
      </c>
      <c r="C60" s="1048">
        <v>2</v>
      </c>
      <c r="D60" s="1048" t="s">
        <v>1472</v>
      </c>
      <c r="E60" s="1048">
        <v>2</v>
      </c>
      <c r="F60" s="1049">
        <v>4.1500000000000004</v>
      </c>
      <c r="G60" s="1049">
        <v>0.45</v>
      </c>
      <c r="H60" s="1049">
        <v>0.45</v>
      </c>
      <c r="I60" s="1049">
        <f t="shared" si="4"/>
        <v>3.36</v>
      </c>
      <c r="J60" s="1049"/>
      <c r="K60" s="1049"/>
      <c r="L60" s="1049"/>
      <c r="M60" s="1049"/>
      <c r="N60" s="1087"/>
      <c r="O60" s="1087"/>
    </row>
    <row r="61" spans="1:15" ht="14.1">
      <c r="A61" s="1046"/>
      <c r="B61" s="1174" t="s">
        <v>2094</v>
      </c>
      <c r="C61" s="1048">
        <v>2</v>
      </c>
      <c r="D61" s="1048" t="s">
        <v>1472</v>
      </c>
      <c r="E61" s="1048">
        <v>2</v>
      </c>
      <c r="F61" s="1049">
        <v>4</v>
      </c>
      <c r="G61" s="1049">
        <v>0.45</v>
      </c>
      <c r="H61" s="1049">
        <v>0.45</v>
      </c>
      <c r="I61" s="1049">
        <f t="shared" si="4"/>
        <v>3.24</v>
      </c>
      <c r="J61" s="1049"/>
      <c r="K61" s="1049"/>
      <c r="L61" s="1049"/>
      <c r="M61" s="1049"/>
      <c r="N61" s="1087"/>
      <c r="O61" s="1087"/>
    </row>
    <row r="62" spans="1:15" ht="24.6">
      <c r="A62" s="1046"/>
      <c r="B62" s="1174" t="s">
        <v>2095</v>
      </c>
      <c r="C62" s="1048">
        <v>1</v>
      </c>
      <c r="D62" s="1048" t="s">
        <v>1472</v>
      </c>
      <c r="E62" s="1048">
        <v>2</v>
      </c>
      <c r="F62" s="1049">
        <v>1.8</v>
      </c>
      <c r="G62" s="1049">
        <v>0.45</v>
      </c>
      <c r="H62" s="1049">
        <v>0.45</v>
      </c>
      <c r="I62" s="1049">
        <f t="shared" si="4"/>
        <v>0.73</v>
      </c>
      <c r="J62" s="1049"/>
      <c r="K62" s="1049"/>
      <c r="L62" s="1049"/>
      <c r="M62" s="1049"/>
      <c r="N62" s="1087"/>
      <c r="O62" s="1087"/>
    </row>
    <row r="63" spans="1:15" ht="14.1">
      <c r="A63" s="1046"/>
      <c r="B63" s="1175" t="s">
        <v>2096</v>
      </c>
      <c r="C63" s="1048">
        <v>1</v>
      </c>
      <c r="D63" s="1048" t="s">
        <v>1472</v>
      </c>
      <c r="E63" s="1048">
        <v>1</v>
      </c>
      <c r="F63" s="1049">
        <f>(31.5-6-4)*0.3048</f>
        <v>6.5532000000000004</v>
      </c>
      <c r="G63" s="1049">
        <v>0.45</v>
      </c>
      <c r="H63" s="1049">
        <v>0.45</v>
      </c>
      <c r="I63" s="1049">
        <f t="shared" si="4"/>
        <v>1.33</v>
      </c>
      <c r="J63" s="1049"/>
      <c r="K63" s="1049"/>
      <c r="L63" s="1049"/>
      <c r="M63" s="1049"/>
      <c r="N63" s="1087"/>
      <c r="O63" s="1087"/>
    </row>
    <row r="64" spans="1:15" ht="14.1">
      <c r="A64" s="1046"/>
      <c r="B64" s="1175" t="s">
        <v>2097</v>
      </c>
      <c r="C64" s="1048">
        <v>1</v>
      </c>
      <c r="D64" s="1048" t="s">
        <v>1472</v>
      </c>
      <c r="E64" s="1048">
        <v>2</v>
      </c>
      <c r="F64" s="1049">
        <v>3</v>
      </c>
      <c r="G64" s="1049">
        <v>0.45</v>
      </c>
      <c r="H64" s="1049">
        <v>0.45</v>
      </c>
      <c r="I64" s="1049">
        <f t="shared" si="4"/>
        <v>1.22</v>
      </c>
      <c r="J64" s="1049"/>
      <c r="K64" s="1049"/>
      <c r="L64" s="1049"/>
      <c r="M64" s="1049"/>
      <c r="N64" s="1087"/>
      <c r="O64" s="1087"/>
    </row>
    <row r="65" spans="1:15" ht="14.1">
      <c r="A65" s="1046"/>
      <c r="B65" s="1179"/>
      <c r="C65" s="1048"/>
      <c r="D65" s="1048"/>
      <c r="E65" s="1048"/>
      <c r="F65" s="1049"/>
      <c r="G65" s="1049"/>
      <c r="H65" s="1049"/>
      <c r="I65" s="1053">
        <f>SUM(I57:I64)</f>
        <v>22.049999999999997</v>
      </c>
      <c r="J65" s="1049"/>
      <c r="K65" s="1049"/>
      <c r="L65" s="1049"/>
      <c r="M65" s="1049"/>
      <c r="N65" s="1087"/>
      <c r="O65" s="1087"/>
    </row>
    <row r="66" spans="1:15" ht="14.1">
      <c r="A66" s="1046"/>
      <c r="B66" s="1179" t="s">
        <v>421</v>
      </c>
      <c r="C66" s="1048"/>
      <c r="D66" s="1048"/>
      <c r="E66" s="1048"/>
      <c r="F66" s="1049"/>
      <c r="G66" s="1049"/>
      <c r="H66" s="1049"/>
      <c r="I66" s="1049"/>
      <c r="J66" s="1049"/>
      <c r="K66" s="1049"/>
      <c r="L66" s="1049"/>
      <c r="M66" s="1049"/>
      <c r="N66" s="1087"/>
      <c r="O66" s="1087"/>
    </row>
    <row r="67" spans="1:15" ht="14.1">
      <c r="A67" s="1046"/>
      <c r="B67" s="1179" t="s">
        <v>2102</v>
      </c>
      <c r="C67" s="1048">
        <v>1</v>
      </c>
      <c r="D67" s="1048" t="s">
        <v>1472</v>
      </c>
      <c r="E67" s="1048">
        <v>1</v>
      </c>
      <c r="F67" s="1049">
        <f>(31.5-6)*0.3048</f>
        <v>7.7724000000000002</v>
      </c>
      <c r="G67" s="1049">
        <v>1.2</v>
      </c>
      <c r="H67" s="1049">
        <v>0.15</v>
      </c>
      <c r="I67" s="1049">
        <f t="shared" ref="I67:I74" si="5">ROUND(C67*E67*F67*G67*H67,2)</f>
        <v>1.4</v>
      </c>
      <c r="J67" s="1049"/>
      <c r="K67" s="1049"/>
      <c r="L67" s="1049"/>
      <c r="M67" s="1049"/>
      <c r="N67" s="1049"/>
      <c r="O67" s="1087"/>
    </row>
    <row r="68" spans="1:15" ht="14.1">
      <c r="A68" s="1046"/>
      <c r="B68" s="1179" t="s">
        <v>2103</v>
      </c>
      <c r="C68" s="1048">
        <v>1</v>
      </c>
      <c r="D68" s="1048" t="s">
        <v>1472</v>
      </c>
      <c r="E68" s="1048">
        <v>1</v>
      </c>
      <c r="F68" s="1049">
        <f>(31.5-6-2)*0.3048</f>
        <v>7.1628000000000007</v>
      </c>
      <c r="G68" s="1049">
        <v>0.9</v>
      </c>
      <c r="H68" s="1049">
        <v>0.15</v>
      </c>
      <c r="I68" s="1049">
        <f t="shared" si="5"/>
        <v>0.97</v>
      </c>
      <c r="J68" s="1049"/>
      <c r="K68" s="1049"/>
      <c r="L68" s="1049"/>
      <c r="M68" s="1049"/>
      <c r="N68" s="1049"/>
      <c r="O68" s="1087"/>
    </row>
    <row r="69" spans="1:15" ht="14.1">
      <c r="A69" s="1046"/>
      <c r="B69" s="1179" t="s">
        <v>2101</v>
      </c>
      <c r="C69" s="1048">
        <v>1</v>
      </c>
      <c r="D69" s="1048" t="s">
        <v>1472</v>
      </c>
      <c r="E69" s="1048">
        <v>1</v>
      </c>
      <c r="F69" s="1049">
        <f>(31.5-6-2-2)*0.3048</f>
        <v>6.5532000000000004</v>
      </c>
      <c r="G69" s="1049">
        <v>0.6</v>
      </c>
      <c r="H69" s="1049">
        <v>0.15</v>
      </c>
      <c r="I69" s="1049">
        <f t="shared" si="5"/>
        <v>0.59</v>
      </c>
      <c r="J69" s="1049"/>
      <c r="K69" s="1049"/>
      <c r="L69" s="1049"/>
      <c r="M69" s="1049"/>
      <c r="N69" s="1049"/>
      <c r="O69" s="1087"/>
    </row>
    <row r="70" spans="1:15" ht="14.1">
      <c r="A70" s="1046"/>
      <c r="B70" s="1179" t="s">
        <v>2104</v>
      </c>
      <c r="C70" s="1048">
        <v>1</v>
      </c>
      <c r="D70" s="1048" t="s">
        <v>1472</v>
      </c>
      <c r="E70" s="1048">
        <v>1</v>
      </c>
      <c r="F70" s="1049">
        <f>(31.5-6-2-2-2)*0.3048</f>
        <v>5.9436</v>
      </c>
      <c r="G70" s="1049">
        <v>0.3</v>
      </c>
      <c r="H70" s="1049">
        <v>0.15</v>
      </c>
      <c r="I70" s="1049">
        <f t="shared" si="5"/>
        <v>0.27</v>
      </c>
      <c r="J70" s="1049"/>
      <c r="K70" s="1049"/>
      <c r="L70" s="1049"/>
      <c r="M70" s="1049"/>
      <c r="N70" s="1049"/>
      <c r="O70" s="1087"/>
    </row>
    <row r="71" spans="1:15" ht="14.1">
      <c r="A71" s="1046"/>
      <c r="B71" s="1179" t="s">
        <v>2105</v>
      </c>
      <c r="C71" s="1048">
        <v>1</v>
      </c>
      <c r="D71" s="1048" t="s">
        <v>1472</v>
      </c>
      <c r="E71" s="1048">
        <v>1</v>
      </c>
      <c r="F71" s="1049">
        <f>(10)*0.3048</f>
        <v>3.048</v>
      </c>
      <c r="G71" s="1049">
        <v>1.2</v>
      </c>
      <c r="H71" s="1049">
        <v>0.15</v>
      </c>
      <c r="I71" s="1049">
        <f t="shared" si="5"/>
        <v>0.55000000000000004</v>
      </c>
      <c r="J71" s="1049"/>
      <c r="K71" s="1049"/>
      <c r="L71" s="1049"/>
      <c r="M71" s="1049"/>
      <c r="N71" s="1049"/>
      <c r="O71" s="1087"/>
    </row>
    <row r="72" spans="1:15" ht="14.1">
      <c r="A72" s="1046"/>
      <c r="B72" s="1179" t="s">
        <v>2106</v>
      </c>
      <c r="C72" s="1048">
        <v>1</v>
      </c>
      <c r="D72" s="1048" t="s">
        <v>1472</v>
      </c>
      <c r="E72" s="1048">
        <v>1</v>
      </c>
      <c r="F72" s="1049">
        <f>(10-1)*0.3048</f>
        <v>2.7432000000000003</v>
      </c>
      <c r="G72" s="1049">
        <v>0.9</v>
      </c>
      <c r="H72" s="1049">
        <v>0.15</v>
      </c>
      <c r="I72" s="1049">
        <f t="shared" si="5"/>
        <v>0.37</v>
      </c>
      <c r="J72" s="1049"/>
      <c r="K72" s="1049"/>
      <c r="L72" s="1049"/>
      <c r="M72" s="1049"/>
      <c r="N72" s="1049"/>
      <c r="O72" s="1087"/>
    </row>
    <row r="73" spans="1:15" ht="14.1">
      <c r="A73" s="1046"/>
      <c r="B73" s="1179" t="s">
        <v>2107</v>
      </c>
      <c r="C73" s="1048">
        <v>1</v>
      </c>
      <c r="D73" s="1048" t="s">
        <v>1472</v>
      </c>
      <c r="E73" s="1048">
        <v>1</v>
      </c>
      <c r="F73" s="1049">
        <f>(10-2)*0.3048</f>
        <v>2.4384000000000001</v>
      </c>
      <c r="G73" s="1049">
        <v>0.6</v>
      </c>
      <c r="H73" s="1049">
        <v>0.15</v>
      </c>
      <c r="I73" s="1049">
        <f t="shared" si="5"/>
        <v>0.22</v>
      </c>
      <c r="J73" s="1049"/>
      <c r="K73" s="1049"/>
      <c r="L73" s="1049"/>
      <c r="M73" s="1049"/>
      <c r="N73" s="1049"/>
      <c r="O73" s="1087"/>
    </row>
    <row r="74" spans="1:15" ht="14.1">
      <c r="A74" s="1046"/>
      <c r="B74" s="1179" t="s">
        <v>2108</v>
      </c>
      <c r="C74" s="1048">
        <v>1</v>
      </c>
      <c r="D74" s="1048" t="s">
        <v>1472</v>
      </c>
      <c r="E74" s="1048">
        <v>1</v>
      </c>
      <c r="F74" s="1049">
        <f>(10-3)*0.3048</f>
        <v>2.1335999999999999</v>
      </c>
      <c r="G74" s="1049">
        <v>0.3</v>
      </c>
      <c r="H74" s="1049">
        <v>0.15</v>
      </c>
      <c r="I74" s="1049">
        <f t="shared" si="5"/>
        <v>0.1</v>
      </c>
      <c r="J74" s="1049"/>
      <c r="K74" s="1049"/>
      <c r="L74" s="1049"/>
      <c r="M74" s="1049"/>
      <c r="N74" s="1049"/>
      <c r="O74" s="1087"/>
    </row>
    <row r="75" spans="1:15" ht="14.1">
      <c r="A75" s="1046"/>
      <c r="B75" s="1179"/>
      <c r="C75" s="1048"/>
      <c r="D75" s="1048"/>
      <c r="E75" s="1048"/>
      <c r="F75" s="1049"/>
      <c r="G75" s="1049"/>
      <c r="H75" s="1049"/>
      <c r="I75" s="1053">
        <f>SUM(I67:I74)</f>
        <v>4.47</v>
      </c>
      <c r="J75" s="1049"/>
      <c r="K75" s="1049"/>
      <c r="L75" s="1049"/>
      <c r="M75" s="1049"/>
      <c r="N75" s="1068"/>
      <c r="O75" s="1087"/>
    </row>
    <row r="76" spans="1:15" ht="14.1">
      <c r="A76" s="1046"/>
      <c r="B76" s="2432"/>
      <c r="C76" s="2433"/>
      <c r="D76" s="2433"/>
      <c r="E76" s="2433"/>
      <c r="F76" s="2433"/>
      <c r="G76" s="2433"/>
      <c r="H76" s="2434"/>
      <c r="I76" s="1053">
        <f>I75+I65+I56</f>
        <v>51.019999999999996</v>
      </c>
      <c r="J76" s="1049">
        <f>Datas!$G$212</f>
        <v>3494.84</v>
      </c>
      <c r="K76" s="1053">
        <f>ROUND(J76*I76,0)</f>
        <v>178307</v>
      </c>
      <c r="L76" s="1049">
        <f>1.1*75+0.33*90</f>
        <v>112.2</v>
      </c>
      <c r="M76" s="1055">
        <f>L76*I76</f>
        <v>5724.4439999999995</v>
      </c>
      <c r="N76" s="1087">
        <f>(1.1*75+0.33*90)</f>
        <v>112.2</v>
      </c>
      <c r="O76" s="1087">
        <f>ROUND(I76*N76,0)</f>
        <v>5724</v>
      </c>
    </row>
    <row r="77" spans="1:15" ht="14.1">
      <c r="A77" s="1046"/>
      <c r="B77" s="1051"/>
      <c r="C77" s="1048"/>
      <c r="D77" s="1048"/>
      <c r="E77" s="1048"/>
      <c r="F77" s="1049"/>
      <c r="G77" s="1049"/>
      <c r="H77" s="1049"/>
      <c r="I77" s="1053" t="s">
        <v>656</v>
      </c>
      <c r="J77" s="1049" t="s">
        <v>197</v>
      </c>
      <c r="K77" s="1049"/>
      <c r="L77" s="1049"/>
      <c r="M77" s="1049"/>
      <c r="N77" s="1087"/>
      <c r="O77" s="1087"/>
    </row>
    <row r="78" spans="1:15" ht="157.5" customHeight="1">
      <c r="A78" s="1046">
        <v>5</v>
      </c>
      <c r="B78" s="2415" t="s">
        <v>2294</v>
      </c>
      <c r="C78" s="2426"/>
      <c r="D78" s="2426"/>
      <c r="E78" s="2426"/>
      <c r="F78" s="2426"/>
      <c r="G78" s="2426"/>
      <c r="H78" s="2426"/>
      <c r="I78" s="2427"/>
      <c r="J78" s="1049"/>
      <c r="K78" s="1049"/>
      <c r="L78" s="1049"/>
      <c r="M78" s="1049"/>
      <c r="N78" s="1087"/>
      <c r="O78" s="1087"/>
    </row>
    <row r="79" spans="1:15" ht="14.1">
      <c r="A79" s="1046" t="s">
        <v>659</v>
      </c>
      <c r="B79" s="1066" t="s">
        <v>660</v>
      </c>
      <c r="C79" s="1048">
        <v>2</v>
      </c>
      <c r="D79" s="1048" t="s">
        <v>1472</v>
      </c>
      <c r="E79" s="1048">
        <v>6</v>
      </c>
      <c r="F79" s="1049">
        <v>1.5</v>
      </c>
      <c r="G79" s="1049">
        <v>1.5</v>
      </c>
      <c r="H79" s="1049">
        <v>0.4</v>
      </c>
      <c r="I79" s="1049">
        <f>ROUND(C79*E79*F79*G79*H79,2)</f>
        <v>10.8</v>
      </c>
      <c r="J79" s="1049"/>
      <c r="K79" s="1049"/>
      <c r="L79" s="1049"/>
      <c r="M79" s="1049"/>
      <c r="N79" s="1087"/>
      <c r="O79" s="1087"/>
    </row>
    <row r="80" spans="1:15" ht="14.1">
      <c r="A80" s="1046"/>
      <c r="B80" s="1065"/>
      <c r="C80" s="1048"/>
      <c r="D80" s="1048"/>
      <c r="E80" s="1048"/>
      <c r="F80" s="1049"/>
      <c r="G80" s="1049"/>
      <c r="H80" s="1049"/>
      <c r="I80" s="1052">
        <f>I79</f>
        <v>10.8</v>
      </c>
      <c r="J80" s="1049">
        <f>Datas!$G$318</f>
        <v>8788.51</v>
      </c>
      <c r="K80" s="1053">
        <f>ROUND(J80*I80,0)</f>
        <v>94916</v>
      </c>
      <c r="L80" s="1049">
        <v>108</v>
      </c>
      <c r="M80" s="1055">
        <f>L80*I80</f>
        <v>1166.4000000000001</v>
      </c>
      <c r="N80" s="1087">
        <v>108</v>
      </c>
      <c r="O80" s="1087">
        <f>ROUND(I80*N80,0)</f>
        <v>1166</v>
      </c>
    </row>
    <row r="81" spans="1:15" ht="14.1">
      <c r="A81" s="1046"/>
      <c r="B81" s="1065"/>
      <c r="C81" s="1048"/>
      <c r="D81" s="1048"/>
      <c r="E81" s="1048"/>
      <c r="F81" s="1049"/>
      <c r="G81" s="1049"/>
      <c r="H81" s="1049"/>
      <c r="I81" s="1053" t="s">
        <v>656</v>
      </c>
      <c r="J81" s="1049" t="s">
        <v>658</v>
      </c>
      <c r="K81" s="1053"/>
      <c r="L81" s="1053"/>
      <c r="M81" s="1053"/>
      <c r="N81" s="1087"/>
      <c r="O81" s="1087"/>
    </row>
    <row r="82" spans="1:15" ht="14.1">
      <c r="A82" s="1046" t="s">
        <v>950</v>
      </c>
      <c r="B82" s="1066" t="s">
        <v>662</v>
      </c>
      <c r="C82" s="1048"/>
      <c r="D82" s="1048"/>
      <c r="E82" s="1048"/>
      <c r="F82" s="1049"/>
      <c r="G82" s="1049"/>
      <c r="H82" s="1049"/>
      <c r="I82" s="1049"/>
      <c r="J82" s="1049"/>
      <c r="K82" s="1049"/>
      <c r="L82" s="1049"/>
      <c r="M82" s="1049"/>
      <c r="N82" s="1087"/>
      <c r="O82" s="1087"/>
    </row>
    <row r="83" spans="1:15" ht="14.1">
      <c r="A83" s="1046"/>
      <c r="B83" s="1065" t="s">
        <v>155</v>
      </c>
      <c r="C83" s="1048">
        <v>2</v>
      </c>
      <c r="D83" s="1048" t="s">
        <v>1472</v>
      </c>
      <c r="E83" s="1048">
        <v>6</v>
      </c>
      <c r="F83" s="1049">
        <v>0.23</v>
      </c>
      <c r="G83" s="1049">
        <v>0.375</v>
      </c>
      <c r="H83" s="1049">
        <f>1.65-0.15-0.4</f>
        <v>1.1000000000000001</v>
      </c>
      <c r="I83" s="1049">
        <f>ROUND(C83*E83*F83*G83*H83,2)</f>
        <v>1.1399999999999999</v>
      </c>
      <c r="J83" s="1049"/>
      <c r="K83" s="1049"/>
      <c r="L83" s="1049"/>
      <c r="M83" s="1049"/>
      <c r="N83" s="1087"/>
      <c r="O83" s="1087"/>
    </row>
    <row r="84" spans="1:15" ht="14.1">
      <c r="A84" s="1046"/>
      <c r="B84" s="1066" t="s">
        <v>665</v>
      </c>
      <c r="C84" s="1048"/>
      <c r="D84" s="1048"/>
      <c r="E84" s="1048"/>
      <c r="F84" s="1049"/>
      <c r="G84" s="1049"/>
      <c r="H84" s="1049"/>
      <c r="I84" s="1053"/>
      <c r="J84" s="1049"/>
      <c r="K84" s="1049"/>
      <c r="L84" s="1049"/>
      <c r="M84" s="1049"/>
      <c r="N84" s="1087"/>
      <c r="O84" s="1087"/>
    </row>
    <row r="85" spans="1:15" ht="14.1">
      <c r="A85" s="1046"/>
      <c r="B85" s="1065" t="s">
        <v>155</v>
      </c>
      <c r="C85" s="1048">
        <v>2</v>
      </c>
      <c r="D85" s="1048" t="s">
        <v>1472</v>
      </c>
      <c r="E85" s="1048">
        <v>6</v>
      </c>
      <c r="F85" s="1049">
        <v>0.23</v>
      </c>
      <c r="G85" s="1049">
        <v>0.375</v>
      </c>
      <c r="H85" s="1049">
        <v>4.5599999999999996</v>
      </c>
      <c r="I85" s="1049">
        <f>ROUND(C85*E85*F85*G85*H85,2)</f>
        <v>4.72</v>
      </c>
      <c r="J85" s="1049"/>
      <c r="K85" s="1049"/>
      <c r="L85" s="1049"/>
      <c r="M85" s="1049"/>
      <c r="N85" s="1087"/>
      <c r="O85" s="1087"/>
    </row>
    <row r="86" spans="1:15" ht="14.1">
      <c r="A86" s="1046"/>
      <c r="B86" s="1065"/>
      <c r="C86" s="1048"/>
      <c r="D86" s="1048"/>
      <c r="E86" s="1048"/>
      <c r="F86" s="1049"/>
      <c r="G86" s="1049"/>
      <c r="H86" s="1049"/>
      <c r="I86" s="1053">
        <f>SUM(I83:I85)</f>
        <v>5.8599999999999994</v>
      </c>
      <c r="J86" s="1049"/>
      <c r="K86" s="1049"/>
      <c r="L86" s="1049"/>
      <c r="M86" s="1049"/>
      <c r="N86" s="1087"/>
      <c r="O86" s="1087"/>
    </row>
    <row r="87" spans="1:15" ht="14.1">
      <c r="A87" s="1046"/>
      <c r="B87" s="2432"/>
      <c r="C87" s="2433"/>
      <c r="D87" s="2433"/>
      <c r="E87" s="2433"/>
      <c r="F87" s="2433"/>
      <c r="G87" s="2433"/>
      <c r="H87" s="2434"/>
      <c r="I87" s="1052">
        <f>I86</f>
        <v>5.8599999999999994</v>
      </c>
      <c r="J87" s="1049">
        <f>Datas!$E$388</f>
        <v>11842.03</v>
      </c>
      <c r="K87" s="1053">
        <f>ROUND(J87*I87,0)</f>
        <v>69394</v>
      </c>
      <c r="L87" s="1049">
        <v>108</v>
      </c>
      <c r="M87" s="1055">
        <f>L87*I87</f>
        <v>632.87999999999988</v>
      </c>
      <c r="N87" s="1087">
        <v>108</v>
      </c>
      <c r="O87" s="1087">
        <f>ROUND(I87*N87,0)</f>
        <v>633</v>
      </c>
    </row>
    <row r="88" spans="1:15" ht="14.1">
      <c r="A88" s="1046"/>
      <c r="B88" s="1065"/>
      <c r="C88" s="1048"/>
      <c r="D88" s="1048"/>
      <c r="E88" s="1048"/>
      <c r="F88" s="1049"/>
      <c r="G88" s="1049"/>
      <c r="H88" s="1049"/>
      <c r="I88" s="1053" t="s">
        <v>656</v>
      </c>
      <c r="J88" s="1049" t="s">
        <v>668</v>
      </c>
      <c r="K88" s="1053"/>
      <c r="L88" s="1053"/>
      <c r="M88" s="1053"/>
      <c r="N88" s="1087"/>
      <c r="O88" s="1087"/>
    </row>
    <row r="89" spans="1:15" ht="14.1">
      <c r="A89" s="1046" t="s">
        <v>661</v>
      </c>
      <c r="B89" s="1064" t="s">
        <v>154</v>
      </c>
      <c r="C89" s="1067"/>
      <c r="D89" s="1067"/>
      <c r="E89" s="1048"/>
      <c r="F89" s="1049"/>
      <c r="G89" s="1049"/>
      <c r="H89" s="1049"/>
      <c r="I89" s="1049"/>
      <c r="J89" s="1049"/>
      <c r="K89" s="1053"/>
      <c r="L89" s="1049"/>
      <c r="M89" s="1049"/>
      <c r="N89" s="1087"/>
      <c r="O89" s="1087"/>
    </row>
    <row r="90" spans="1:15" ht="14.1">
      <c r="A90" s="1046"/>
      <c r="B90" s="1051" t="s">
        <v>2109</v>
      </c>
      <c r="C90" s="1048">
        <v>1</v>
      </c>
      <c r="D90" s="1048" t="s">
        <v>1472</v>
      </c>
      <c r="E90" s="1048">
        <v>2</v>
      </c>
      <c r="F90" s="1049">
        <f>60.75*0.3048-6*0.225</f>
        <v>17.166599999999999</v>
      </c>
      <c r="G90" s="1049">
        <v>0.23</v>
      </c>
      <c r="H90" s="1049">
        <v>0.3</v>
      </c>
      <c r="I90" s="1049">
        <f>ROUND(C90*E90*F90*G90*H90,2)</f>
        <v>2.37</v>
      </c>
      <c r="J90" s="1049"/>
      <c r="K90" s="1049"/>
      <c r="L90" s="1049"/>
      <c r="M90" s="1049"/>
      <c r="N90" s="1087"/>
      <c r="O90" s="1087"/>
    </row>
    <row r="91" spans="1:15" ht="14.1">
      <c r="A91" s="1046"/>
      <c r="B91" s="1051" t="s">
        <v>2110</v>
      </c>
      <c r="C91" s="1048">
        <v>1</v>
      </c>
      <c r="D91" s="1048" t="s">
        <v>1472</v>
      </c>
      <c r="E91" s="1048">
        <v>3</v>
      </c>
      <c r="F91" s="1049">
        <f>30*0.3048</f>
        <v>9.1440000000000001</v>
      </c>
      <c r="G91" s="1049">
        <v>0.23</v>
      </c>
      <c r="H91" s="1049">
        <v>0.3</v>
      </c>
      <c r="I91" s="1049">
        <f>ROUND(C91*E91*F91*G91*H91,2)</f>
        <v>1.89</v>
      </c>
      <c r="J91" s="1049"/>
      <c r="K91" s="1049"/>
      <c r="L91" s="1049"/>
      <c r="M91" s="1049"/>
      <c r="N91" s="1087"/>
      <c r="O91" s="1087"/>
    </row>
    <row r="92" spans="1:15" ht="14.1">
      <c r="A92" s="1046"/>
      <c r="B92" s="1065"/>
      <c r="C92" s="1048"/>
      <c r="D92" s="1048"/>
      <c r="E92" s="1048"/>
      <c r="F92" s="1049"/>
      <c r="G92" s="1049"/>
      <c r="H92" s="1049"/>
      <c r="I92" s="1052">
        <f>SUM(I90:I91)</f>
        <v>4.26</v>
      </c>
      <c r="J92" s="1049">
        <f>Datas!$G$340</f>
        <v>11378.51</v>
      </c>
      <c r="K92" s="1053">
        <f>ROUND(J92*I92,0)</f>
        <v>48472</v>
      </c>
      <c r="L92" s="1049">
        <v>108</v>
      </c>
      <c r="M92" s="1055">
        <f>L92*I92</f>
        <v>460.08</v>
      </c>
      <c r="N92" s="1087">
        <v>108</v>
      </c>
      <c r="O92" s="1087">
        <f>ROUND(I92*N92,0)</f>
        <v>460</v>
      </c>
    </row>
    <row r="93" spans="1:15" ht="14.1">
      <c r="A93" s="1046"/>
      <c r="B93" s="1065"/>
      <c r="C93" s="1048"/>
      <c r="D93" s="1048"/>
      <c r="E93" s="1048"/>
      <c r="F93" s="1049"/>
      <c r="G93" s="1049"/>
      <c r="H93" s="1049"/>
      <c r="I93" s="1053" t="s">
        <v>656</v>
      </c>
      <c r="J93" s="1053" t="s">
        <v>670</v>
      </c>
      <c r="K93" s="1053"/>
      <c r="L93" s="1053"/>
      <c r="M93" s="1053"/>
      <c r="N93" s="1087"/>
      <c r="O93" s="1087"/>
    </row>
    <row r="94" spans="1:15" ht="14.1">
      <c r="A94" s="1046" t="s">
        <v>669</v>
      </c>
      <c r="B94" s="1064" t="s">
        <v>2324</v>
      </c>
      <c r="C94" s="1067"/>
      <c r="D94" s="1067"/>
      <c r="E94" s="1048"/>
      <c r="F94" s="1049"/>
      <c r="G94" s="1049"/>
      <c r="H94" s="1049"/>
      <c r="I94" s="1049"/>
      <c r="J94" s="1049"/>
      <c r="K94" s="1049"/>
      <c r="L94" s="1049"/>
      <c r="M94" s="1049"/>
      <c r="N94" s="1087"/>
      <c r="O94" s="1087"/>
    </row>
    <row r="95" spans="1:15" ht="14.1">
      <c r="A95" s="1046"/>
      <c r="B95" s="1051" t="s">
        <v>2325</v>
      </c>
      <c r="C95" s="1048">
        <v>1</v>
      </c>
      <c r="D95" s="1048" t="s">
        <v>1472</v>
      </c>
      <c r="E95" s="1048">
        <v>2</v>
      </c>
      <c r="F95" s="1049">
        <f>60.75*0.3048-6*0.225</f>
        <v>17.166599999999999</v>
      </c>
      <c r="G95" s="1049">
        <v>0.23</v>
      </c>
      <c r="H95" s="1049">
        <v>0.3</v>
      </c>
      <c r="I95" s="1049">
        <f>ROUND(C95*E95*F95*G95*H95,2)</f>
        <v>2.37</v>
      </c>
      <c r="J95" s="1049"/>
      <c r="K95" s="1049"/>
      <c r="L95" s="1049"/>
      <c r="M95" s="1049"/>
      <c r="N95" s="1087"/>
      <c r="O95" s="1087"/>
    </row>
    <row r="96" spans="1:15" ht="14.1">
      <c r="A96" s="1046"/>
      <c r="B96" s="1051" t="s">
        <v>2110</v>
      </c>
      <c r="C96" s="1048">
        <v>1</v>
      </c>
      <c r="D96" s="1048" t="s">
        <v>1472</v>
      </c>
      <c r="E96" s="1048">
        <v>2</v>
      </c>
      <c r="F96" s="1049">
        <v>9</v>
      </c>
      <c r="G96" s="1049">
        <v>0.23</v>
      </c>
      <c r="H96" s="1049">
        <v>0.3</v>
      </c>
      <c r="I96" s="1049">
        <f>ROUND(C96*E96*F96*G96*H96,2)</f>
        <v>1.24</v>
      </c>
      <c r="J96" s="1049"/>
      <c r="K96" s="1049"/>
      <c r="L96" s="1049"/>
      <c r="M96" s="1049"/>
      <c r="N96" s="1087"/>
      <c r="O96" s="1087"/>
    </row>
    <row r="97" spans="1:15" ht="14.1">
      <c r="A97" s="1046"/>
      <c r="B97" s="1065"/>
      <c r="C97" s="1048"/>
      <c r="D97" s="1048"/>
      <c r="E97" s="1048"/>
      <c r="F97" s="1049"/>
      <c r="G97" s="1049"/>
      <c r="H97" s="1049" t="s">
        <v>667</v>
      </c>
      <c r="I97" s="1052">
        <f>SUM(I95:I96)</f>
        <v>3.6100000000000003</v>
      </c>
      <c r="J97" s="1049">
        <f>Datas!$E$419</f>
        <v>11257.84</v>
      </c>
      <c r="K97" s="1053">
        <f>ROUND(J97*I97,0)</f>
        <v>40641</v>
      </c>
      <c r="L97" s="1049">
        <v>108</v>
      </c>
      <c r="M97" s="1055">
        <f>L97*I97</f>
        <v>389.88000000000005</v>
      </c>
      <c r="N97" s="1087">
        <v>108</v>
      </c>
      <c r="O97" s="1087">
        <f>ROUND(I97*N97,0)</f>
        <v>390</v>
      </c>
    </row>
    <row r="98" spans="1:15" ht="14.1">
      <c r="A98" s="1046"/>
      <c r="B98" s="1065"/>
      <c r="C98" s="1048"/>
      <c r="D98" s="1048"/>
      <c r="E98" s="1048"/>
      <c r="F98" s="1049"/>
      <c r="G98" s="1049"/>
      <c r="H98" s="1049"/>
      <c r="I98" s="1053" t="s">
        <v>656</v>
      </c>
      <c r="J98" s="1053" t="s">
        <v>670</v>
      </c>
      <c r="K98" s="1053"/>
      <c r="L98" s="1053"/>
      <c r="M98" s="1053"/>
      <c r="N98" s="1087"/>
      <c r="O98" s="1087"/>
    </row>
    <row r="99" spans="1:15" ht="14.1">
      <c r="A99" s="1046" t="s">
        <v>671</v>
      </c>
      <c r="B99" s="1064" t="s">
        <v>2259</v>
      </c>
      <c r="C99" s="1067"/>
      <c r="D99" s="1067"/>
      <c r="E99" s="1048"/>
      <c r="F99" s="1049"/>
      <c r="G99" s="1049"/>
      <c r="H99" s="1049"/>
      <c r="I99" s="1049"/>
      <c r="J99" s="1049"/>
      <c r="K99" s="1049"/>
      <c r="L99" s="1049"/>
      <c r="M99" s="1049"/>
      <c r="N99" s="1087"/>
      <c r="O99" s="1087"/>
    </row>
    <row r="100" spans="1:15" ht="14.1">
      <c r="A100" s="1046"/>
      <c r="B100" s="1051"/>
      <c r="C100" s="1048">
        <v>1</v>
      </c>
      <c r="D100" s="1048" t="s">
        <v>1472</v>
      </c>
      <c r="E100" s="1048">
        <v>1</v>
      </c>
      <c r="F100" s="1049">
        <f>14*0.3048</f>
        <v>4.2671999999999999</v>
      </c>
      <c r="G100" s="1084">
        <v>1</v>
      </c>
      <c r="H100" s="1049">
        <f>13.5*0.3048</f>
        <v>4.1147999999999998</v>
      </c>
      <c r="I100" s="1049">
        <f>ROUND(C100*E100*F100*G100*H100,2)</f>
        <v>17.559999999999999</v>
      </c>
      <c r="J100" s="1049"/>
      <c r="K100" s="1049"/>
      <c r="L100" s="1049"/>
      <c r="M100" s="1049"/>
      <c r="N100" s="1087"/>
      <c r="O100" s="1087"/>
    </row>
    <row r="101" spans="1:15" ht="14.1">
      <c r="A101" s="1046"/>
      <c r="B101" s="1065"/>
      <c r="C101" s="1048"/>
      <c r="D101" s="1048"/>
      <c r="E101" s="1048"/>
      <c r="F101" s="1049"/>
      <c r="G101" s="1049"/>
      <c r="H101" s="1049" t="s">
        <v>667</v>
      </c>
      <c r="I101" s="1052">
        <f>SUM(I100:I100)</f>
        <v>17.559999999999999</v>
      </c>
      <c r="J101" s="1049">
        <f>Datas!E467</f>
        <v>13463.55</v>
      </c>
      <c r="K101" s="1053">
        <f>ROUND(J101*I101/10,0)</f>
        <v>23642</v>
      </c>
      <c r="L101" s="1049">
        <v>108</v>
      </c>
      <c r="M101" s="1055">
        <f>L101*I101</f>
        <v>1896.4799999999998</v>
      </c>
      <c r="N101" s="1087">
        <v>108</v>
      </c>
      <c r="O101" s="1087">
        <f>ROUND(I101*N101*0.125,0)</f>
        <v>237</v>
      </c>
    </row>
    <row r="102" spans="1:15" ht="14.1">
      <c r="A102" s="1046"/>
      <c r="B102" s="1065"/>
      <c r="C102" s="1048"/>
      <c r="D102" s="1048"/>
      <c r="E102" s="1048"/>
      <c r="F102" s="1049"/>
      <c r="G102" s="1049"/>
      <c r="H102" s="1049"/>
      <c r="I102" s="1053" t="s">
        <v>2260</v>
      </c>
      <c r="J102" s="1053" t="s">
        <v>2169</v>
      </c>
      <c r="K102" s="1053"/>
      <c r="L102" s="1053"/>
      <c r="M102" s="1053"/>
      <c r="N102" s="1087"/>
      <c r="O102" s="1087"/>
    </row>
    <row r="103" spans="1:15" ht="131.25" customHeight="1">
      <c r="A103" s="1046">
        <v>6</v>
      </c>
      <c r="B103" s="2415" t="s">
        <v>2295</v>
      </c>
      <c r="C103" s="2426"/>
      <c r="D103" s="2426"/>
      <c r="E103" s="2426"/>
      <c r="F103" s="2426"/>
      <c r="G103" s="2426"/>
      <c r="H103" s="2426"/>
      <c r="I103" s="2427"/>
      <c r="J103" s="1049"/>
      <c r="K103" s="1049"/>
      <c r="L103" s="1049"/>
      <c r="M103" s="1049"/>
      <c r="N103" s="1087"/>
      <c r="O103" s="1087"/>
    </row>
    <row r="104" spans="1:15" ht="14.1">
      <c r="A104" s="1046"/>
      <c r="B104" s="1061" t="s">
        <v>673</v>
      </c>
      <c r="C104" s="1048"/>
      <c r="D104" s="1048"/>
      <c r="E104" s="1048"/>
      <c r="F104" s="1049"/>
      <c r="G104" s="1049"/>
      <c r="H104" s="1049"/>
      <c r="I104" s="1049"/>
      <c r="J104" s="1049"/>
      <c r="K104" s="1049"/>
      <c r="L104" s="1049"/>
      <c r="M104" s="1049"/>
      <c r="N104" s="1087"/>
      <c r="O104" s="1087"/>
    </row>
    <row r="105" spans="1:15">
      <c r="A105" s="1048"/>
      <c r="B105" s="1061" t="s">
        <v>2209</v>
      </c>
      <c r="C105" s="1048">
        <v>1</v>
      </c>
      <c r="D105" s="1048" t="s">
        <v>1472</v>
      </c>
      <c r="E105" s="1048">
        <v>1</v>
      </c>
      <c r="F105" s="1049">
        <v>1.6</v>
      </c>
      <c r="G105" s="1049">
        <v>0.23</v>
      </c>
      <c r="H105" s="1049">
        <v>0.1</v>
      </c>
      <c r="I105" s="1049">
        <f>ROUND(C105*E105*F105*G105*H105,2)</f>
        <v>0.04</v>
      </c>
      <c r="J105" s="1049"/>
      <c r="K105" s="1049"/>
      <c r="L105" s="1049"/>
      <c r="M105" s="1049"/>
      <c r="N105" s="1087"/>
      <c r="O105" s="1087"/>
    </row>
    <row r="106" spans="1:15">
      <c r="A106" s="1048"/>
      <c r="B106" s="1061" t="s">
        <v>2210</v>
      </c>
      <c r="C106" s="1048">
        <v>1</v>
      </c>
      <c r="D106" s="1048" t="s">
        <v>1472</v>
      </c>
      <c r="E106" s="1048">
        <v>2</v>
      </c>
      <c r="F106" s="1049">
        <v>1.05</v>
      </c>
      <c r="G106" s="1049">
        <v>0.115</v>
      </c>
      <c r="H106" s="1049">
        <v>0.1</v>
      </c>
      <c r="I106" s="1049">
        <f>ROUND(C106*E106*F106*G106*H106,2)</f>
        <v>0.02</v>
      </c>
      <c r="J106" s="1049"/>
      <c r="K106" s="1049"/>
      <c r="L106" s="1049"/>
      <c r="M106" s="1049"/>
      <c r="N106" s="1087"/>
      <c r="O106" s="1087"/>
    </row>
    <row r="107" spans="1:15">
      <c r="A107" s="1048"/>
      <c r="B107" s="1061" t="s">
        <v>2112</v>
      </c>
      <c r="C107" s="1048">
        <v>1</v>
      </c>
      <c r="D107" s="1048" t="s">
        <v>1472</v>
      </c>
      <c r="E107" s="1048">
        <v>2</v>
      </c>
      <c r="F107" s="1049">
        <v>1.8</v>
      </c>
      <c r="G107" s="1049">
        <v>0.23</v>
      </c>
      <c r="H107" s="1049">
        <v>0.15</v>
      </c>
      <c r="I107" s="1049">
        <f>ROUND(C107*E107*F107*G107*H107,2)</f>
        <v>0.12</v>
      </c>
      <c r="J107" s="1049"/>
      <c r="K107" s="1049"/>
      <c r="L107" s="1049"/>
      <c r="M107" s="1049"/>
      <c r="N107" s="1087"/>
      <c r="O107" s="1087"/>
    </row>
    <row r="108" spans="1:15" ht="14.1">
      <c r="A108" s="1046"/>
      <c r="B108" s="1061"/>
      <c r="C108" s="1048"/>
      <c r="D108" s="1048"/>
      <c r="E108" s="1048"/>
      <c r="F108" s="1049"/>
      <c r="G108" s="1049"/>
      <c r="H108" s="1049"/>
      <c r="I108" s="1052">
        <f>SUM(I105:I107)</f>
        <v>0.18</v>
      </c>
      <c r="J108" s="1049">
        <f>Datas!$E$372</f>
        <v>11905.03</v>
      </c>
      <c r="K108" s="1053">
        <f>ROUND(J108*I108,0)</f>
        <v>2143</v>
      </c>
      <c r="L108" s="1049">
        <v>108</v>
      </c>
      <c r="M108" s="1055">
        <f>L108*I108</f>
        <v>19.439999999999998</v>
      </c>
      <c r="N108" s="1087">
        <v>108</v>
      </c>
      <c r="O108" s="1087">
        <f>ROUND(I108*N108,0)</f>
        <v>19</v>
      </c>
    </row>
    <row r="109" spans="1:15" ht="14.1">
      <c r="A109" s="1046"/>
      <c r="B109" s="1061"/>
      <c r="C109" s="1048"/>
      <c r="D109" s="1048"/>
      <c r="E109" s="1048"/>
      <c r="F109" s="1049"/>
      <c r="G109" s="1049"/>
      <c r="H109" s="1049"/>
      <c r="I109" s="1053" t="s">
        <v>656</v>
      </c>
      <c r="J109" s="1053" t="s">
        <v>670</v>
      </c>
      <c r="K109" s="1053"/>
      <c r="L109" s="1049"/>
      <c r="M109" s="1049"/>
      <c r="N109" s="1087"/>
      <c r="O109" s="1087"/>
    </row>
    <row r="110" spans="1:15" ht="145.5" customHeight="1">
      <c r="A110" s="1046">
        <v>7</v>
      </c>
      <c r="B110" s="2415" t="s">
        <v>2296</v>
      </c>
      <c r="C110" s="2426"/>
      <c r="D110" s="2426"/>
      <c r="E110" s="2426"/>
      <c r="F110" s="2426"/>
      <c r="G110" s="2426"/>
      <c r="H110" s="2426"/>
      <c r="I110" s="2427"/>
      <c r="J110" s="1049"/>
      <c r="K110" s="1049"/>
      <c r="L110" s="1049"/>
      <c r="M110" s="1049"/>
      <c r="N110" s="1087"/>
      <c r="O110" s="1087"/>
    </row>
    <row r="111" spans="1:15">
      <c r="A111" s="1048"/>
      <c r="B111" s="1061" t="s">
        <v>2211</v>
      </c>
      <c r="C111" s="1048">
        <v>1</v>
      </c>
      <c r="D111" s="1048" t="s">
        <v>1472</v>
      </c>
      <c r="E111" s="1048">
        <v>2</v>
      </c>
      <c r="F111" s="1049">
        <f>(60.75-2.75)*0.3048</f>
        <v>17.6784</v>
      </c>
      <c r="G111" s="1049"/>
      <c r="H111" s="1049"/>
      <c r="I111" s="1049">
        <f>ROUND(C111*E111*F111,2)</f>
        <v>35.36</v>
      </c>
      <c r="J111" s="1049"/>
      <c r="K111" s="1049"/>
      <c r="L111" s="1049"/>
      <c r="M111" s="1068"/>
      <c r="N111" s="1087"/>
      <c r="O111" s="1087"/>
    </row>
    <row r="112" spans="1:15">
      <c r="A112" s="1048"/>
      <c r="B112" s="1061" t="s">
        <v>2111</v>
      </c>
      <c r="C112" s="1048">
        <v>1</v>
      </c>
      <c r="D112" s="1048" t="s">
        <v>1472</v>
      </c>
      <c r="E112" s="1048">
        <v>2</v>
      </c>
      <c r="F112" s="1049">
        <v>1.8</v>
      </c>
      <c r="G112" s="1049"/>
      <c r="H112" s="1049"/>
      <c r="I112" s="1049">
        <f>ROUND(C112*E112*F112,2)</f>
        <v>3.6</v>
      </c>
      <c r="J112" s="1049"/>
      <c r="K112" s="1049"/>
      <c r="L112" s="1049"/>
      <c r="M112" s="1049"/>
      <c r="N112" s="1087"/>
      <c r="O112" s="1087"/>
    </row>
    <row r="113" spans="1:15" ht="14.1">
      <c r="A113" s="1046"/>
      <c r="B113" s="1061" t="s">
        <v>674</v>
      </c>
      <c r="C113" s="1048"/>
      <c r="D113" s="1048"/>
      <c r="E113" s="1048"/>
      <c r="F113" s="1049"/>
      <c r="G113" s="1049"/>
      <c r="H113" s="1049"/>
      <c r="I113" s="1053">
        <f>SUM(I111:I112)</f>
        <v>38.96</v>
      </c>
      <c r="J113" s="1049">
        <f>Datas!$E$500</f>
        <v>606.11</v>
      </c>
      <c r="K113" s="1053">
        <f>ROUND(J113*I113,0)</f>
        <v>23614</v>
      </c>
      <c r="L113" s="1049">
        <f>0.0625*108</f>
        <v>6.75</v>
      </c>
      <c r="M113" s="1055">
        <f>L113*I113</f>
        <v>262.98</v>
      </c>
      <c r="N113" s="1087">
        <v>108</v>
      </c>
      <c r="O113" s="1087">
        <f>ROUND(I113*N113*0.0375,0)</f>
        <v>158</v>
      </c>
    </row>
    <row r="114" spans="1:15" ht="14.1">
      <c r="A114" s="1046"/>
      <c r="B114" s="1061"/>
      <c r="C114" s="1048"/>
      <c r="D114" s="1048"/>
      <c r="E114" s="1048"/>
      <c r="F114" s="1049"/>
      <c r="G114" s="1049"/>
      <c r="H114" s="1049"/>
      <c r="I114" s="1053" t="s">
        <v>495</v>
      </c>
      <c r="J114" s="1053" t="s">
        <v>2</v>
      </c>
      <c r="K114" s="1053"/>
      <c r="L114" s="1049"/>
      <c r="M114" s="1049"/>
      <c r="N114" s="1087"/>
      <c r="O114" s="1087"/>
    </row>
    <row r="115" spans="1:15" ht="125.25" customHeight="1">
      <c r="A115" s="1046">
        <v>8</v>
      </c>
      <c r="B115" s="2415" t="s">
        <v>2297</v>
      </c>
      <c r="C115" s="2426"/>
      <c r="D115" s="2426"/>
      <c r="E115" s="2426"/>
      <c r="F115" s="2426"/>
      <c r="G115" s="2426"/>
      <c r="H115" s="2426"/>
      <c r="I115" s="2427"/>
      <c r="J115" s="1049"/>
      <c r="K115" s="1049"/>
      <c r="L115" s="1049"/>
      <c r="M115" s="1049"/>
      <c r="N115" s="1087"/>
      <c r="O115" s="1087"/>
    </row>
    <row r="116" spans="1:15">
      <c r="A116" s="1048"/>
      <c r="B116" s="1061" t="s">
        <v>2213</v>
      </c>
      <c r="C116" s="1048">
        <v>4</v>
      </c>
      <c r="D116" s="1048" t="s">
        <v>1472</v>
      </c>
      <c r="E116" s="1048">
        <v>7</v>
      </c>
      <c r="F116" s="1049">
        <v>0.23</v>
      </c>
      <c r="G116" s="1049">
        <v>0.2</v>
      </c>
      <c r="H116" s="1049">
        <v>0.15</v>
      </c>
      <c r="I116" s="1049">
        <f>ROUND(C116*E116*F116*G116*H116,2)</f>
        <v>0.19</v>
      </c>
      <c r="J116" s="1049"/>
      <c r="K116" s="1049"/>
      <c r="L116" s="1049"/>
      <c r="M116" s="1049"/>
      <c r="N116" s="1087"/>
      <c r="O116" s="1087"/>
    </row>
    <row r="117" spans="1:15">
      <c r="A117" s="1048"/>
      <c r="B117" s="1061" t="s">
        <v>2212</v>
      </c>
      <c r="C117" s="1048">
        <v>4</v>
      </c>
      <c r="D117" s="1048" t="s">
        <v>1472</v>
      </c>
      <c r="E117" s="1048">
        <v>2</v>
      </c>
      <c r="F117" s="1049">
        <v>0.23</v>
      </c>
      <c r="G117" s="1049">
        <v>0.2</v>
      </c>
      <c r="H117" s="1049">
        <v>0.15</v>
      </c>
      <c r="I117" s="1049">
        <f>ROUND(C117*E117*F117*G117*H117,2)</f>
        <v>0.06</v>
      </c>
      <c r="J117" s="1049"/>
      <c r="K117" s="1049"/>
      <c r="L117" s="1049"/>
      <c r="M117" s="1049"/>
      <c r="N117" s="1087"/>
      <c r="O117" s="1087"/>
    </row>
    <row r="118" spans="1:15">
      <c r="A118" s="1048"/>
      <c r="B118" s="1061" t="s">
        <v>2114</v>
      </c>
      <c r="C118" s="1048">
        <v>4</v>
      </c>
      <c r="D118" s="1048" t="s">
        <v>1472</v>
      </c>
      <c r="E118" s="1048">
        <v>4</v>
      </c>
      <c r="F118" s="1049">
        <v>0.23</v>
      </c>
      <c r="G118" s="1049">
        <v>0.2</v>
      </c>
      <c r="H118" s="1049">
        <v>0.15</v>
      </c>
      <c r="I118" s="1049">
        <f>ROUND(C118*E118*F118*G118*H118,2)</f>
        <v>0.11</v>
      </c>
      <c r="J118" s="1049"/>
      <c r="K118" s="1049"/>
      <c r="L118" s="1049"/>
      <c r="M118" s="1049"/>
      <c r="N118" s="1087"/>
      <c r="O118" s="1087"/>
    </row>
    <row r="119" spans="1:15">
      <c r="A119" s="1048"/>
      <c r="B119" s="1071"/>
      <c r="C119" s="1072"/>
      <c r="D119" s="1072"/>
      <c r="E119" s="1072"/>
      <c r="F119" s="1073"/>
      <c r="G119" s="1073"/>
      <c r="H119" s="1074"/>
      <c r="I119" s="1049"/>
      <c r="J119" s="1049"/>
      <c r="K119" s="1049"/>
      <c r="L119" s="1049"/>
      <c r="M119" s="1068"/>
      <c r="N119" s="1087"/>
      <c r="O119" s="1087"/>
    </row>
    <row r="120" spans="1:15" ht="14.1">
      <c r="A120" s="1046"/>
      <c r="B120" s="2432"/>
      <c r="C120" s="2433"/>
      <c r="D120" s="2433"/>
      <c r="E120" s="2433"/>
      <c r="F120" s="2433"/>
      <c r="G120" s="2433"/>
      <c r="H120" s="2434"/>
      <c r="I120" s="1053">
        <f>SUM(I116:I118)</f>
        <v>0.36</v>
      </c>
      <c r="J120" s="1049">
        <f>Datas!$G$536</f>
        <v>5340.5599999999995</v>
      </c>
      <c r="K120" s="1053">
        <f>ROUND(J120*I120,0)</f>
        <v>1923</v>
      </c>
      <c r="L120" s="1049">
        <v>108</v>
      </c>
      <c r="M120" s="1055">
        <f>L120*I120</f>
        <v>38.879999999999995</v>
      </c>
      <c r="N120" s="1087">
        <v>108</v>
      </c>
      <c r="O120" s="1087">
        <f>ROUND(I120*N120,0)</f>
        <v>39</v>
      </c>
    </row>
    <row r="121" spans="1:15" ht="14.1">
      <c r="A121" s="1046"/>
      <c r="B121" s="1061"/>
      <c r="C121" s="1048"/>
      <c r="D121" s="1048"/>
      <c r="E121" s="1048"/>
      <c r="F121" s="1049"/>
      <c r="G121" s="1049"/>
      <c r="H121" s="1049"/>
      <c r="I121" s="1053" t="s">
        <v>656</v>
      </c>
      <c r="J121" s="1053" t="s">
        <v>658</v>
      </c>
      <c r="K121" s="1053"/>
      <c r="L121" s="1049"/>
      <c r="M121" s="1049"/>
      <c r="N121" s="1087"/>
      <c r="O121" s="1087"/>
    </row>
    <row r="122" spans="1:15" ht="99" customHeight="1">
      <c r="A122" s="1046">
        <v>9</v>
      </c>
      <c r="B122" s="2415" t="s">
        <v>2305</v>
      </c>
      <c r="C122" s="2426"/>
      <c r="D122" s="2426"/>
      <c r="E122" s="2426"/>
      <c r="F122" s="2426"/>
      <c r="G122" s="2426"/>
      <c r="H122" s="2426"/>
      <c r="I122" s="2427"/>
      <c r="J122" s="1049"/>
      <c r="K122" s="1049"/>
      <c r="L122" s="1049"/>
      <c r="M122" s="1049"/>
      <c r="N122" s="1087"/>
      <c r="O122" s="1087"/>
    </row>
    <row r="123" spans="1:15" ht="14.1">
      <c r="A123" s="1046"/>
      <c r="B123" s="1075" t="s">
        <v>2123</v>
      </c>
      <c r="C123" s="1058"/>
      <c r="D123" s="1058"/>
      <c r="E123" s="1058"/>
      <c r="F123" s="1058"/>
      <c r="G123" s="1058"/>
      <c r="H123" s="1058"/>
      <c r="I123" s="1059"/>
      <c r="J123" s="1049"/>
      <c r="K123" s="1049"/>
      <c r="L123" s="1049"/>
      <c r="M123" s="1049"/>
      <c r="N123" s="1087"/>
      <c r="O123" s="1087"/>
    </row>
    <row r="124" spans="1:15" ht="14.1">
      <c r="A124" s="1046"/>
      <c r="B124" s="1174" t="s">
        <v>2115</v>
      </c>
      <c r="C124" s="1048">
        <v>1</v>
      </c>
      <c r="D124" s="1048" t="s">
        <v>1472</v>
      </c>
      <c r="E124" s="1048">
        <v>2</v>
      </c>
      <c r="F124" s="1049">
        <f>(60.75*0.3048-6*0.225)</f>
        <v>17.166599999999999</v>
      </c>
      <c r="G124" s="1049">
        <v>0.23</v>
      </c>
      <c r="H124" s="1049">
        <v>3.6</v>
      </c>
      <c r="I124" s="1049">
        <f>ROUND(C124*E124*F124*G124*H124,2)</f>
        <v>28.43</v>
      </c>
      <c r="J124" s="1049"/>
      <c r="K124" s="1049"/>
      <c r="L124" s="1049"/>
      <c r="M124" s="1049"/>
      <c r="N124" s="1087"/>
      <c r="O124" s="1087"/>
    </row>
    <row r="125" spans="1:15" ht="14.1">
      <c r="A125" s="1046"/>
      <c r="B125" s="1174" t="s">
        <v>2033</v>
      </c>
      <c r="C125" s="1048">
        <v>1</v>
      </c>
      <c r="D125" s="1048" t="s">
        <v>1472</v>
      </c>
      <c r="E125" s="1048">
        <v>2</v>
      </c>
      <c r="F125" s="1049">
        <f>(30.75-2*0.75)*0.3048</f>
        <v>8.9154</v>
      </c>
      <c r="G125" s="1049">
        <v>0.23</v>
      </c>
      <c r="H125" s="1169" t="s">
        <v>2261</v>
      </c>
      <c r="I125" s="1049">
        <f>ROUND(C125*E125*F125*G125*AVERAGE(3.6,5.48,3.6),2)</f>
        <v>17.329999999999998</v>
      </c>
      <c r="J125" s="1049"/>
      <c r="K125" s="1049"/>
      <c r="L125" s="1049"/>
      <c r="M125" s="1049"/>
      <c r="N125" s="1087"/>
      <c r="O125" s="1087"/>
    </row>
    <row r="126" spans="1:15" ht="14.1">
      <c r="A126" s="1046"/>
      <c r="B126" s="1174" t="s">
        <v>2116</v>
      </c>
      <c r="C126" s="1048">
        <v>1</v>
      </c>
      <c r="D126" s="1048" t="s">
        <v>1472</v>
      </c>
      <c r="E126" s="1048">
        <v>1</v>
      </c>
      <c r="F126" s="1049">
        <f>(30.75-2*0.75)*0.3048</f>
        <v>8.9154</v>
      </c>
      <c r="G126" s="1049">
        <v>0.23</v>
      </c>
      <c r="H126" s="1049">
        <v>3.6</v>
      </c>
      <c r="I126" s="1049">
        <f>ROUND(C126*E126*F126*G126*H126,2)</f>
        <v>7.38</v>
      </c>
      <c r="J126" s="1049"/>
      <c r="K126" s="1049"/>
      <c r="L126" s="1049"/>
      <c r="M126" s="1049"/>
      <c r="N126" s="1087"/>
      <c r="O126" s="1087"/>
    </row>
    <row r="127" spans="1:15" ht="14.1">
      <c r="A127" s="1046"/>
      <c r="B127" s="1178" t="s">
        <v>675</v>
      </c>
      <c r="C127" s="1048"/>
      <c r="D127" s="1048"/>
      <c r="E127" s="1048"/>
      <c r="F127" s="1049"/>
      <c r="G127" s="1049"/>
      <c r="H127" s="1049"/>
      <c r="I127" s="1049"/>
      <c r="J127" s="1049"/>
      <c r="K127" s="1049"/>
      <c r="L127" s="1049"/>
      <c r="M127" s="1049"/>
      <c r="N127" s="1087"/>
      <c r="O127" s="1087"/>
    </row>
    <row r="128" spans="1:15">
      <c r="A128" s="1076"/>
      <c r="B128" s="1178" t="s">
        <v>2214</v>
      </c>
      <c r="C128" s="1048">
        <v>1</v>
      </c>
      <c r="D128" s="1048" t="s">
        <v>1472</v>
      </c>
      <c r="E128" s="1048">
        <v>1</v>
      </c>
      <c r="F128" s="1049">
        <v>2.5</v>
      </c>
      <c r="G128" s="1049">
        <v>0.23</v>
      </c>
      <c r="H128" s="1049">
        <v>2.4</v>
      </c>
      <c r="I128" s="1049">
        <f>-ROUND(C128*E128*F128*G128*H128,2)</f>
        <v>-1.38</v>
      </c>
      <c r="J128" s="1049"/>
      <c r="K128" s="1049"/>
      <c r="L128" s="1049"/>
      <c r="M128" s="1049"/>
      <c r="N128" s="1087"/>
      <c r="O128" s="1087"/>
    </row>
    <row r="129" spans="1:15">
      <c r="A129" s="1076"/>
      <c r="B129" s="1178" t="s">
        <v>980</v>
      </c>
      <c r="C129" s="1048">
        <v>1</v>
      </c>
      <c r="D129" s="1048" t="s">
        <v>1472</v>
      </c>
      <c r="E129" s="1048">
        <v>2</v>
      </c>
      <c r="F129" s="1049">
        <v>1.5</v>
      </c>
      <c r="G129" s="1049">
        <v>0.23</v>
      </c>
      <c r="H129" s="1049">
        <v>2.1</v>
      </c>
      <c r="I129" s="1049">
        <f>-ROUND(C129*E129*F129*G129*H129,2)</f>
        <v>-1.45</v>
      </c>
      <c r="J129" s="1049"/>
      <c r="K129" s="1049"/>
      <c r="L129" s="1049"/>
      <c r="M129" s="1049"/>
      <c r="N129" s="1087"/>
      <c r="O129" s="1087"/>
    </row>
    <row r="130" spans="1:15">
      <c r="A130" s="1076"/>
      <c r="B130" s="1178" t="s">
        <v>981</v>
      </c>
      <c r="C130" s="1048">
        <v>1</v>
      </c>
      <c r="D130" s="1048" t="s">
        <v>1472</v>
      </c>
      <c r="E130" s="1048">
        <v>2</v>
      </c>
      <c r="F130" s="1049">
        <v>0.9</v>
      </c>
      <c r="G130" s="1049">
        <v>0.23</v>
      </c>
      <c r="H130" s="1049">
        <v>2.1</v>
      </c>
      <c r="I130" s="1049">
        <f t="shared" ref="I130:I145" si="6">-ROUND(C130*E130*F130*G130*H130,2)</f>
        <v>-0.87</v>
      </c>
      <c r="J130" s="1049"/>
      <c r="K130" s="1049"/>
      <c r="L130" s="1049"/>
      <c r="M130" s="1049"/>
      <c r="N130" s="1087"/>
      <c r="O130" s="1087"/>
    </row>
    <row r="131" spans="1:15">
      <c r="A131" s="1076"/>
      <c r="B131" s="1178" t="s">
        <v>2117</v>
      </c>
      <c r="C131" s="1048">
        <v>1</v>
      </c>
      <c r="D131" s="1048" t="s">
        <v>1472</v>
      </c>
      <c r="E131" s="1048">
        <v>4</v>
      </c>
      <c r="F131" s="1049">
        <v>1.5</v>
      </c>
      <c r="G131" s="1049">
        <v>0.23</v>
      </c>
      <c r="H131" s="1049">
        <v>1.2</v>
      </c>
      <c r="I131" s="1049">
        <f t="shared" si="6"/>
        <v>-1.66</v>
      </c>
      <c r="J131" s="1049"/>
      <c r="K131" s="1049"/>
      <c r="L131" s="1049"/>
      <c r="M131" s="1049"/>
      <c r="N131" s="1087"/>
      <c r="O131" s="1087"/>
    </row>
    <row r="132" spans="1:15" ht="14.1">
      <c r="A132" s="1046"/>
      <c r="B132" s="1178" t="s">
        <v>2215</v>
      </c>
      <c r="C132" s="1048">
        <v>1</v>
      </c>
      <c r="D132" s="1048" t="s">
        <v>1472</v>
      </c>
      <c r="E132" s="1048">
        <v>6</v>
      </c>
      <c r="F132" s="1049">
        <f>11*0.3048</f>
        <v>3.3528000000000002</v>
      </c>
      <c r="G132" s="1049">
        <v>0.23</v>
      </c>
      <c r="H132" s="1049">
        <v>0.9</v>
      </c>
      <c r="I132" s="1049">
        <f>-ROUND(C132*E132*F132*G132*H132,2)</f>
        <v>-4.16</v>
      </c>
      <c r="J132" s="1049"/>
      <c r="K132" s="1049"/>
      <c r="L132" s="1049"/>
      <c r="M132" s="1049"/>
      <c r="N132" s="1087"/>
      <c r="O132" s="1087"/>
    </row>
    <row r="133" spans="1:15" ht="14.1">
      <c r="A133" s="1046"/>
      <c r="B133" s="1178" t="s">
        <v>2216</v>
      </c>
      <c r="C133" s="1048">
        <v>1</v>
      </c>
      <c r="D133" s="1048" t="s">
        <v>1472</v>
      </c>
      <c r="E133" s="1048">
        <v>2</v>
      </c>
      <c r="F133" s="1049">
        <v>2.4</v>
      </c>
      <c r="G133" s="1049">
        <v>0.23</v>
      </c>
      <c r="H133" s="1049">
        <v>2</v>
      </c>
      <c r="I133" s="1049">
        <f>-ROUND(C133*E133*F133*G133*H133,2)</f>
        <v>-2.21</v>
      </c>
      <c r="J133" s="1049"/>
      <c r="K133" s="1049"/>
      <c r="L133" s="1049"/>
      <c r="M133" s="1049"/>
      <c r="N133" s="1087"/>
      <c r="O133" s="1087"/>
    </row>
    <row r="134" spans="1:15" ht="14.1">
      <c r="A134" s="1046"/>
      <c r="B134" s="1178" t="s">
        <v>2121</v>
      </c>
      <c r="C134" s="1048"/>
      <c r="D134" s="1048"/>
      <c r="E134" s="1048"/>
      <c r="F134" s="1049"/>
      <c r="G134" s="1049"/>
      <c r="H134" s="1049"/>
      <c r="I134" s="1049"/>
      <c r="J134" s="1049"/>
      <c r="K134" s="1049"/>
      <c r="L134" s="1049"/>
      <c r="M134" s="1049"/>
      <c r="N134" s="1087"/>
      <c r="O134" s="1087"/>
    </row>
    <row r="135" spans="1:15" ht="14.1">
      <c r="A135" s="1046"/>
      <c r="B135" s="1175" t="s">
        <v>2330</v>
      </c>
      <c r="C135" s="1048">
        <v>1</v>
      </c>
      <c r="D135" s="1048" t="s">
        <v>1472</v>
      </c>
      <c r="E135" s="1048">
        <v>2</v>
      </c>
      <c r="F135" s="1049">
        <f>(60.75*0.3048)</f>
        <v>18.5166</v>
      </c>
      <c r="G135" s="1049">
        <v>0.23</v>
      </c>
      <c r="H135" s="1049">
        <v>0.3</v>
      </c>
      <c r="I135" s="1049">
        <f t="shared" si="6"/>
        <v>-2.56</v>
      </c>
      <c r="J135" s="1049"/>
      <c r="K135" s="1049"/>
      <c r="L135" s="1049"/>
      <c r="M135" s="1049"/>
      <c r="N135" s="1087"/>
      <c r="O135" s="1087"/>
    </row>
    <row r="136" spans="1:15" ht="14.1">
      <c r="A136" s="1046"/>
      <c r="B136" s="1175" t="s">
        <v>2333</v>
      </c>
      <c r="C136" s="1048">
        <v>1</v>
      </c>
      <c r="D136" s="1048" t="s">
        <v>1472</v>
      </c>
      <c r="E136" s="1048">
        <v>2</v>
      </c>
      <c r="F136" s="1049">
        <f>(60.75*0.3048)</f>
        <v>18.5166</v>
      </c>
      <c r="G136" s="1049">
        <v>0.23</v>
      </c>
      <c r="H136" s="1049">
        <v>0.3</v>
      </c>
      <c r="I136" s="1049">
        <f t="shared" si="6"/>
        <v>-2.56</v>
      </c>
      <c r="J136" s="1049"/>
      <c r="K136" s="1049"/>
      <c r="L136" s="1049"/>
      <c r="M136" s="1049"/>
      <c r="N136" s="1087"/>
      <c r="O136" s="1087"/>
    </row>
    <row r="137" spans="1:15" ht="14.1">
      <c r="A137" s="1046"/>
      <c r="B137" s="1175" t="s">
        <v>2332</v>
      </c>
      <c r="C137" s="1048">
        <v>1</v>
      </c>
      <c r="D137" s="1048" t="s">
        <v>1472</v>
      </c>
      <c r="E137" s="1048">
        <v>2</v>
      </c>
      <c r="F137" s="1049">
        <v>9</v>
      </c>
      <c r="G137" s="1049">
        <v>0.23</v>
      </c>
      <c r="H137" s="1049">
        <v>0.3</v>
      </c>
      <c r="I137" s="1049">
        <f t="shared" si="6"/>
        <v>-1.24</v>
      </c>
      <c r="J137" s="1049"/>
      <c r="K137" s="1049"/>
      <c r="L137" s="1049"/>
      <c r="M137" s="1049"/>
      <c r="N137" s="1087"/>
      <c r="O137" s="1087"/>
    </row>
    <row r="138" spans="1:15" ht="14.1">
      <c r="A138" s="1046"/>
      <c r="B138" s="1175" t="s">
        <v>2333</v>
      </c>
      <c r="C138" s="1048">
        <v>1</v>
      </c>
      <c r="D138" s="1048" t="s">
        <v>1472</v>
      </c>
      <c r="E138" s="1048">
        <v>2</v>
      </c>
      <c r="F138" s="1049">
        <v>9</v>
      </c>
      <c r="G138" s="1049">
        <v>0.23</v>
      </c>
      <c r="H138" s="1049">
        <v>0.3</v>
      </c>
      <c r="I138" s="1049">
        <f t="shared" si="6"/>
        <v>-1.24</v>
      </c>
      <c r="J138" s="1049"/>
      <c r="K138" s="1049"/>
      <c r="L138" s="1049"/>
      <c r="M138" s="1049"/>
      <c r="N138" s="1087"/>
      <c r="O138" s="1087"/>
    </row>
    <row r="139" spans="1:15" ht="14.1">
      <c r="A139" s="1046"/>
      <c r="B139" s="1178"/>
      <c r="C139" s="1048"/>
      <c r="D139" s="1048"/>
      <c r="E139" s="1048"/>
      <c r="F139" s="1049"/>
      <c r="G139" s="1049"/>
      <c r="H139" s="1049"/>
      <c r="I139" s="1049"/>
      <c r="J139" s="1049"/>
      <c r="K139" s="1049"/>
      <c r="L139" s="1049"/>
      <c r="M139" s="1049"/>
      <c r="N139" s="1087"/>
      <c r="O139" s="1087"/>
    </row>
    <row r="140" spans="1:15" ht="14.1">
      <c r="A140" s="1046"/>
      <c r="B140" s="1178" t="s">
        <v>2118</v>
      </c>
      <c r="C140" s="1048"/>
      <c r="D140" s="1048"/>
      <c r="E140" s="1048"/>
      <c r="F140" s="1049"/>
      <c r="G140" s="1049"/>
      <c r="H140" s="1049"/>
      <c r="I140" s="1049"/>
      <c r="J140" s="1049"/>
      <c r="K140" s="1049"/>
      <c r="L140" s="1049"/>
      <c r="M140" s="1049"/>
      <c r="N140" s="1087"/>
      <c r="O140" s="1087"/>
    </row>
    <row r="141" spans="1:15">
      <c r="A141" s="1048"/>
      <c r="B141" s="1178" t="s">
        <v>2209</v>
      </c>
      <c r="C141" s="1048">
        <v>1</v>
      </c>
      <c r="D141" s="1048" t="s">
        <v>1472</v>
      </c>
      <c r="E141" s="1048">
        <v>1</v>
      </c>
      <c r="F141" s="1049">
        <v>1.6</v>
      </c>
      <c r="G141" s="1049">
        <v>0.23</v>
      </c>
      <c r="H141" s="1049">
        <v>0.1</v>
      </c>
      <c r="I141" s="1049">
        <f t="shared" si="6"/>
        <v>-0.04</v>
      </c>
      <c r="J141" s="1049"/>
      <c r="K141" s="1049"/>
      <c r="L141" s="1049"/>
      <c r="M141" s="1049"/>
      <c r="N141" s="1087"/>
      <c r="O141" s="1087"/>
    </row>
    <row r="142" spans="1:15">
      <c r="A142" s="1048"/>
      <c r="B142" s="1178"/>
      <c r="C142" s="1048"/>
      <c r="D142" s="1048"/>
      <c r="E142" s="1048"/>
      <c r="F142" s="1049"/>
      <c r="G142" s="1049"/>
      <c r="H142" s="1049"/>
      <c r="I142" s="1049"/>
      <c r="J142" s="1049"/>
      <c r="K142" s="1049"/>
      <c r="L142" s="1049"/>
      <c r="M142" s="1049"/>
      <c r="N142" s="1087"/>
      <c r="O142" s="1087"/>
    </row>
    <row r="143" spans="1:15">
      <c r="A143" s="1048"/>
      <c r="B143" s="1178" t="s">
        <v>38</v>
      </c>
      <c r="C143" s="1048"/>
      <c r="D143" s="1048"/>
      <c r="E143" s="1048"/>
      <c r="F143" s="1049"/>
      <c r="G143" s="1049"/>
      <c r="H143" s="1049"/>
      <c r="I143" s="1049"/>
      <c r="J143" s="1049"/>
      <c r="K143" s="1049"/>
      <c r="L143" s="1049"/>
      <c r="M143" s="1049"/>
      <c r="N143" s="1087"/>
      <c r="O143" s="1087"/>
    </row>
    <row r="144" spans="1:15">
      <c r="A144" s="1048"/>
      <c r="B144" s="1178" t="s">
        <v>2113</v>
      </c>
      <c r="C144" s="1048">
        <v>4</v>
      </c>
      <c r="D144" s="1048" t="s">
        <v>1472</v>
      </c>
      <c r="E144" s="1048">
        <v>7</v>
      </c>
      <c r="F144" s="1049">
        <v>0.23</v>
      </c>
      <c r="G144" s="1049">
        <v>0.2</v>
      </c>
      <c r="H144" s="1049">
        <v>0.15</v>
      </c>
      <c r="I144" s="1049">
        <f t="shared" si="6"/>
        <v>-0.19</v>
      </c>
      <c r="J144" s="1049"/>
      <c r="K144" s="1049"/>
      <c r="L144" s="1049"/>
      <c r="M144" s="1049"/>
      <c r="N144" s="1087"/>
      <c r="O144" s="1087"/>
    </row>
    <row r="145" spans="1:15">
      <c r="A145" s="1048"/>
      <c r="B145" s="1178" t="s">
        <v>2114</v>
      </c>
      <c r="C145" s="1048">
        <v>4</v>
      </c>
      <c r="D145" s="1048" t="s">
        <v>1472</v>
      </c>
      <c r="E145" s="1048">
        <v>4</v>
      </c>
      <c r="F145" s="1049">
        <v>0.23</v>
      </c>
      <c r="G145" s="1049">
        <v>0.2</v>
      </c>
      <c r="H145" s="1049">
        <v>0.15</v>
      </c>
      <c r="I145" s="1049">
        <f t="shared" si="6"/>
        <v>-0.11</v>
      </c>
      <c r="J145" s="1049"/>
      <c r="K145" s="1049"/>
      <c r="L145" s="1049"/>
      <c r="M145" s="1049"/>
      <c r="N145" s="1087"/>
      <c r="O145" s="1087"/>
    </row>
    <row r="146" spans="1:15">
      <c r="A146" s="1048"/>
      <c r="B146" s="1178"/>
      <c r="C146" s="1048"/>
      <c r="D146" s="1048"/>
      <c r="E146" s="1048"/>
      <c r="F146" s="1049"/>
      <c r="G146" s="1049"/>
      <c r="H146" s="1049"/>
      <c r="I146" s="1049"/>
      <c r="J146" s="1049"/>
      <c r="K146" s="1049"/>
      <c r="L146" s="1049"/>
      <c r="M146" s="1049"/>
      <c r="N146" s="1087"/>
      <c r="O146" s="1087"/>
    </row>
    <row r="147" spans="1:15">
      <c r="A147" s="1048"/>
      <c r="B147" s="1178" t="s">
        <v>2124</v>
      </c>
      <c r="C147" s="1048"/>
      <c r="D147" s="1048"/>
      <c r="E147" s="1048"/>
      <c r="F147" s="1049"/>
      <c r="G147" s="1049"/>
      <c r="H147" s="1049"/>
      <c r="I147" s="1049"/>
      <c r="J147" s="1049"/>
      <c r="K147" s="1049"/>
      <c r="L147" s="1049"/>
      <c r="M147" s="1049"/>
      <c r="N147" s="1087"/>
      <c r="O147" s="1087"/>
    </row>
    <row r="148" spans="1:15" ht="14.1">
      <c r="A148" s="1046"/>
      <c r="B148" s="1174" t="s">
        <v>2093</v>
      </c>
      <c r="C148" s="1048">
        <v>1</v>
      </c>
      <c r="D148" s="1048" t="s">
        <v>1472</v>
      </c>
      <c r="E148" s="1048">
        <v>2</v>
      </c>
      <c r="F148" s="1049">
        <f>12*0.3048</f>
        <v>3.6576000000000004</v>
      </c>
      <c r="G148" s="1049">
        <v>0.23</v>
      </c>
      <c r="H148" s="1049">
        <v>2.9</v>
      </c>
      <c r="I148" s="1049">
        <f>ROUND(C148*E148*F148*G148*H148,2)</f>
        <v>4.88</v>
      </c>
      <c r="J148" s="1049"/>
      <c r="K148" s="1049"/>
      <c r="L148" s="1049"/>
      <c r="M148" s="1049"/>
      <c r="N148" s="1087"/>
      <c r="O148" s="1087"/>
    </row>
    <row r="149" spans="1:15" ht="14.1">
      <c r="A149" s="1046"/>
      <c r="B149" s="1174" t="s">
        <v>2094</v>
      </c>
      <c r="C149" s="1048">
        <v>1</v>
      </c>
      <c r="D149" s="1048" t="s">
        <v>1472</v>
      </c>
      <c r="E149" s="1048">
        <v>2</v>
      </c>
      <c r="F149" s="1049">
        <f>11.5*0.3048</f>
        <v>3.5052000000000003</v>
      </c>
      <c r="G149" s="1049">
        <v>0.23</v>
      </c>
      <c r="H149" s="1049">
        <v>2.9</v>
      </c>
      <c r="I149" s="1049">
        <f>ROUND(C149*E149*F149*G149*H149,2)</f>
        <v>4.68</v>
      </c>
      <c r="J149" s="1049"/>
      <c r="K149" s="1049"/>
      <c r="L149" s="1049"/>
      <c r="M149" s="1049"/>
      <c r="N149" s="1087"/>
      <c r="O149" s="1087"/>
    </row>
    <row r="150" spans="1:15">
      <c r="A150" s="1048"/>
      <c r="B150" s="1178" t="s">
        <v>2125</v>
      </c>
      <c r="C150" s="1048">
        <v>1</v>
      </c>
      <c r="D150" s="1048" t="s">
        <v>1472</v>
      </c>
      <c r="E150" s="1048">
        <v>1</v>
      </c>
      <c r="F150" s="1049">
        <f>10.5*0.3048</f>
        <v>3.2004000000000001</v>
      </c>
      <c r="G150" s="1049">
        <v>0.115</v>
      </c>
      <c r="H150" s="1049">
        <v>2.1</v>
      </c>
      <c r="I150" s="1049">
        <f>ROUND(C150*E150*F150*G150*H150,2)</f>
        <v>0.77</v>
      </c>
      <c r="J150" s="1049"/>
      <c r="K150" s="1049"/>
      <c r="L150" s="1049"/>
      <c r="M150" s="1049"/>
      <c r="N150" s="1087"/>
      <c r="O150" s="1087"/>
    </row>
    <row r="151" spans="1:15">
      <c r="A151" s="1048"/>
      <c r="B151" s="1178" t="s">
        <v>2125</v>
      </c>
      <c r="C151" s="1048">
        <v>1</v>
      </c>
      <c r="D151" s="1048" t="s">
        <v>1472</v>
      </c>
      <c r="E151" s="1048">
        <v>1</v>
      </c>
      <c r="F151" s="1049">
        <f>11.25*0.3048</f>
        <v>3.4290000000000003</v>
      </c>
      <c r="G151" s="1049">
        <v>0.115</v>
      </c>
      <c r="H151" s="1049">
        <v>2.1</v>
      </c>
      <c r="I151" s="1049">
        <f>ROUND(C151*E151*F151*G151*H151,2)</f>
        <v>0.83</v>
      </c>
      <c r="J151" s="1049"/>
      <c r="K151" s="1049"/>
      <c r="L151" s="1049"/>
      <c r="M151" s="1049"/>
      <c r="N151" s="1087"/>
      <c r="O151" s="1087"/>
    </row>
    <row r="152" spans="1:15">
      <c r="A152" s="1048"/>
      <c r="B152" s="1178" t="s">
        <v>675</v>
      </c>
      <c r="C152" s="1048"/>
      <c r="D152" s="1048"/>
      <c r="E152" s="1048"/>
      <c r="F152" s="1049"/>
      <c r="G152" s="1049"/>
      <c r="H152" s="1049"/>
      <c r="I152" s="1049"/>
      <c r="J152" s="1049"/>
      <c r="K152" s="1049"/>
      <c r="L152" s="1049"/>
      <c r="M152" s="1049"/>
      <c r="N152" s="1087"/>
      <c r="O152" s="1087"/>
    </row>
    <row r="153" spans="1:15">
      <c r="A153" s="1048"/>
      <c r="B153" s="1178" t="s">
        <v>2126</v>
      </c>
      <c r="C153" s="1048">
        <v>1</v>
      </c>
      <c r="D153" s="1048" t="s">
        <v>1472</v>
      </c>
      <c r="E153" s="1048">
        <v>2</v>
      </c>
      <c r="F153" s="1049">
        <v>0.9</v>
      </c>
      <c r="G153" s="1049">
        <v>0.23</v>
      </c>
      <c r="H153" s="1049">
        <v>2.1</v>
      </c>
      <c r="I153" s="1049">
        <f>-ROUND(C153*E153*F153*G153*H153,2)</f>
        <v>-0.87</v>
      </c>
      <c r="J153" s="1049"/>
      <c r="K153" s="1049"/>
      <c r="L153" s="1049"/>
      <c r="M153" s="1049"/>
      <c r="N153" s="1087"/>
      <c r="O153" s="1087"/>
    </row>
    <row r="154" spans="1:15">
      <c r="A154" s="1048"/>
      <c r="B154" s="1178" t="s">
        <v>980</v>
      </c>
      <c r="C154" s="1048">
        <v>1</v>
      </c>
      <c r="D154" s="1048" t="s">
        <v>1472</v>
      </c>
      <c r="E154" s="1048">
        <v>2</v>
      </c>
      <c r="F154" s="1049">
        <v>0.75</v>
      </c>
      <c r="G154" s="1049">
        <v>0.115</v>
      </c>
      <c r="H154" s="1049">
        <v>2.1</v>
      </c>
      <c r="I154" s="1049">
        <f>-ROUND(C154*E154*F154*G154*H154,2)</f>
        <v>-0.36</v>
      </c>
      <c r="J154" s="1049"/>
      <c r="K154" s="1049"/>
      <c r="L154" s="1049"/>
      <c r="M154" s="1049"/>
      <c r="N154" s="1087"/>
      <c r="O154" s="1087"/>
    </row>
    <row r="155" spans="1:15" ht="14.1">
      <c r="A155" s="1046"/>
      <c r="B155" s="1178" t="s">
        <v>2118</v>
      </c>
      <c r="C155" s="1048"/>
      <c r="D155" s="1048"/>
      <c r="E155" s="1048"/>
      <c r="F155" s="1049"/>
      <c r="G155" s="1049"/>
      <c r="H155" s="1049"/>
      <c r="I155" s="1049"/>
      <c r="J155" s="1049"/>
      <c r="K155" s="1049"/>
      <c r="L155" s="1049"/>
      <c r="M155" s="1049"/>
      <c r="N155" s="1087"/>
      <c r="O155" s="1087"/>
    </row>
    <row r="156" spans="1:15">
      <c r="A156" s="1048"/>
      <c r="B156" s="1178" t="s">
        <v>2217</v>
      </c>
      <c r="C156" s="1048">
        <v>1</v>
      </c>
      <c r="D156" s="1048" t="s">
        <v>1472</v>
      </c>
      <c r="E156" s="1048">
        <v>2</v>
      </c>
      <c r="F156" s="1049">
        <v>1.05</v>
      </c>
      <c r="G156" s="1049">
        <v>0.115</v>
      </c>
      <c r="H156" s="1049">
        <v>0.15</v>
      </c>
      <c r="I156" s="1049">
        <f>-ROUND(C156*E156*F156*G156*H156,2)</f>
        <v>-0.04</v>
      </c>
      <c r="J156" s="1049"/>
      <c r="K156" s="1049"/>
      <c r="L156" s="1049"/>
      <c r="M156" s="1049"/>
      <c r="N156" s="1087"/>
      <c r="O156" s="1087"/>
    </row>
    <row r="157" spans="1:15">
      <c r="A157" s="1048"/>
      <c r="B157" s="1178" t="s">
        <v>2210</v>
      </c>
      <c r="C157" s="1048">
        <v>1</v>
      </c>
      <c r="D157" s="1048" t="s">
        <v>1472</v>
      </c>
      <c r="E157" s="1048">
        <v>2</v>
      </c>
      <c r="F157" s="1049">
        <v>1.05</v>
      </c>
      <c r="G157" s="1049">
        <v>0.115</v>
      </c>
      <c r="H157" s="1049">
        <v>0.1</v>
      </c>
      <c r="I157" s="1049">
        <f t="shared" ref="I157:I162" si="7">-ROUND(C157*E157*F157*G157*H157,2)</f>
        <v>-0.02</v>
      </c>
      <c r="J157" s="1049"/>
      <c r="K157" s="1049"/>
      <c r="L157" s="1049"/>
      <c r="M157" s="1049"/>
      <c r="N157" s="1087"/>
      <c r="O157" s="1087"/>
    </row>
    <row r="158" spans="1:15">
      <c r="A158" s="1048"/>
      <c r="B158" s="1178" t="s">
        <v>2112</v>
      </c>
      <c r="C158" s="1048">
        <v>1</v>
      </c>
      <c r="D158" s="1048" t="s">
        <v>1472</v>
      </c>
      <c r="E158" s="1048">
        <v>2</v>
      </c>
      <c r="F158" s="1049">
        <v>1.8</v>
      </c>
      <c r="G158" s="1049">
        <v>0.23</v>
      </c>
      <c r="H158" s="1049">
        <v>0.15</v>
      </c>
      <c r="I158" s="1049">
        <f t="shared" si="7"/>
        <v>-0.12</v>
      </c>
      <c r="J158" s="1049"/>
      <c r="K158" s="1049"/>
      <c r="L158" s="1049"/>
      <c r="M158" s="1049"/>
      <c r="N158" s="1087"/>
      <c r="O158" s="1087"/>
    </row>
    <row r="159" spans="1:15">
      <c r="A159" s="1048"/>
      <c r="B159" s="1178" t="s">
        <v>38</v>
      </c>
      <c r="C159" s="1048"/>
      <c r="D159" s="1048"/>
      <c r="E159" s="1048"/>
      <c r="F159" s="1049"/>
      <c r="G159" s="1049"/>
      <c r="H159" s="1049"/>
      <c r="I159" s="1049"/>
      <c r="J159" s="1049"/>
      <c r="K159" s="1049"/>
      <c r="L159" s="1049"/>
      <c r="M159" s="1049"/>
      <c r="N159" s="1087"/>
      <c r="O159" s="1087"/>
    </row>
    <row r="160" spans="1:15">
      <c r="A160" s="1048"/>
      <c r="B160" s="1178" t="s">
        <v>2213</v>
      </c>
      <c r="C160" s="1048">
        <v>4</v>
      </c>
      <c r="D160" s="1048" t="s">
        <v>1472</v>
      </c>
      <c r="E160" s="1048">
        <v>7</v>
      </c>
      <c r="F160" s="1049">
        <v>0.23</v>
      </c>
      <c r="G160" s="1049">
        <v>0.2</v>
      </c>
      <c r="H160" s="1049">
        <v>0.15</v>
      </c>
      <c r="I160" s="1049">
        <f t="shared" si="7"/>
        <v>-0.19</v>
      </c>
      <c r="J160" s="1049"/>
      <c r="K160" s="1049"/>
      <c r="L160" s="1049"/>
      <c r="M160" s="1049"/>
      <c r="N160" s="1087"/>
      <c r="O160" s="1087"/>
    </row>
    <row r="161" spans="1:15">
      <c r="A161" s="1048"/>
      <c r="B161" s="1178" t="s">
        <v>2212</v>
      </c>
      <c r="C161" s="1048">
        <v>4</v>
      </c>
      <c r="D161" s="1048" t="s">
        <v>1472</v>
      </c>
      <c r="E161" s="1048">
        <v>2</v>
      </c>
      <c r="F161" s="1049">
        <v>0.23</v>
      </c>
      <c r="G161" s="1049">
        <v>0.2</v>
      </c>
      <c r="H161" s="1049">
        <v>0.15</v>
      </c>
      <c r="I161" s="1049">
        <f t="shared" si="7"/>
        <v>-0.06</v>
      </c>
      <c r="J161" s="1049"/>
      <c r="K161" s="1049"/>
      <c r="L161" s="1049"/>
      <c r="M161" s="1049"/>
      <c r="N161" s="1087"/>
      <c r="O161" s="1087"/>
    </row>
    <row r="162" spans="1:15">
      <c r="A162" s="1048"/>
      <c r="B162" s="1178" t="s">
        <v>2114</v>
      </c>
      <c r="C162" s="1048">
        <v>4</v>
      </c>
      <c r="D162" s="1048" t="s">
        <v>1472</v>
      </c>
      <c r="E162" s="1048">
        <v>4</v>
      </c>
      <c r="F162" s="1049">
        <v>0.23</v>
      </c>
      <c r="G162" s="1049">
        <v>0.2</v>
      </c>
      <c r="H162" s="1049">
        <v>0.15</v>
      </c>
      <c r="I162" s="1049">
        <f t="shared" si="7"/>
        <v>-0.11</v>
      </c>
      <c r="J162" s="1049"/>
      <c r="K162" s="1049"/>
      <c r="L162" s="1049"/>
      <c r="M162" s="1049"/>
      <c r="N162" s="1087"/>
      <c r="O162" s="1087"/>
    </row>
    <row r="163" spans="1:15">
      <c r="A163" s="1048"/>
      <c r="B163" s="1178"/>
      <c r="C163" s="1048"/>
      <c r="D163" s="1048"/>
      <c r="E163" s="1048"/>
      <c r="F163" s="1049"/>
      <c r="G163" s="1049"/>
      <c r="H163" s="1049"/>
      <c r="I163" s="1049"/>
      <c r="J163" s="1049"/>
      <c r="K163" s="1049"/>
      <c r="L163" s="1049"/>
      <c r="M163" s="1049"/>
      <c r="N163" s="1087"/>
      <c r="O163" s="1087"/>
    </row>
    <row r="164" spans="1:15" ht="14.1">
      <c r="A164" s="1046"/>
      <c r="B164" s="1178" t="s">
        <v>84</v>
      </c>
      <c r="C164" s="1048"/>
      <c r="D164" s="1048"/>
      <c r="E164" s="1048"/>
      <c r="F164" s="1049"/>
      <c r="G164" s="1049"/>
      <c r="H164" s="1049"/>
      <c r="I164" s="1053">
        <f>SUM(I124:I163)</f>
        <v>42.860000000000007</v>
      </c>
      <c r="J164" s="1049"/>
      <c r="K164" s="1049"/>
      <c r="L164" s="1049"/>
      <c r="M164" s="1049"/>
      <c r="N164" s="1087"/>
      <c r="O164" s="1087"/>
    </row>
    <row r="165" spans="1:15" ht="14.1">
      <c r="A165" s="1046"/>
      <c r="B165" s="2432"/>
      <c r="C165" s="2433"/>
      <c r="D165" s="2433"/>
      <c r="E165" s="2433"/>
      <c r="F165" s="2433"/>
      <c r="G165" s="2433"/>
      <c r="H165" s="2434"/>
      <c r="I165" s="1052">
        <f>I164</f>
        <v>42.860000000000007</v>
      </c>
      <c r="J165" s="1049">
        <f>Datas!$E$632</f>
        <v>6936.09</v>
      </c>
      <c r="K165" s="1053">
        <f>ROUND(J165*I165,0)</f>
        <v>297281</v>
      </c>
      <c r="L165" s="1049">
        <f>0.2*90+0.512*60</f>
        <v>48.72</v>
      </c>
      <c r="M165" s="1055">
        <f>L165*I165</f>
        <v>2088.1392000000001</v>
      </c>
      <c r="N165" s="1087">
        <f>(0.2*90+0.512*60)</f>
        <v>48.72</v>
      </c>
      <c r="O165" s="1087">
        <f>ROUND(I165*N165,0)</f>
        <v>2088</v>
      </c>
    </row>
    <row r="166" spans="1:15" ht="14.1">
      <c r="A166" s="1046"/>
      <c r="B166" s="1061"/>
      <c r="C166" s="1048"/>
      <c r="D166" s="1048"/>
      <c r="E166" s="1048"/>
      <c r="F166" s="1049"/>
      <c r="G166" s="1049"/>
      <c r="H166" s="1049"/>
      <c r="I166" s="1053" t="s">
        <v>656</v>
      </c>
      <c r="J166" s="1053" t="s">
        <v>658</v>
      </c>
      <c r="K166" s="1053"/>
      <c r="L166" s="1049"/>
      <c r="M166" s="1049"/>
      <c r="N166" s="1087"/>
      <c r="O166" s="1087"/>
    </row>
    <row r="167" spans="1:15" ht="79.5" customHeight="1">
      <c r="A167" s="1046">
        <v>10</v>
      </c>
      <c r="B167" s="2415" t="s">
        <v>2304</v>
      </c>
      <c r="C167" s="2426"/>
      <c r="D167" s="2426"/>
      <c r="E167" s="2426"/>
      <c r="F167" s="2426"/>
      <c r="G167" s="2426"/>
      <c r="H167" s="2426"/>
      <c r="I167" s="2427"/>
      <c r="J167" s="1049"/>
      <c r="K167" s="1049"/>
      <c r="L167" s="1049"/>
      <c r="M167" s="1049"/>
      <c r="N167" s="1087"/>
      <c r="O167" s="1087"/>
    </row>
    <row r="168" spans="1:15" ht="14.1">
      <c r="A168" s="1041"/>
      <c r="B168" s="1043" t="s">
        <v>39</v>
      </c>
      <c r="C168" s="1043"/>
      <c r="D168" s="1043"/>
      <c r="E168" s="1043"/>
      <c r="F168" s="1044"/>
      <c r="G168" s="1044"/>
      <c r="H168" s="1044"/>
      <c r="I168" s="1044"/>
      <c r="J168" s="1045"/>
      <c r="K168" s="1045"/>
      <c r="L168" s="1045"/>
      <c r="M168" s="1045"/>
      <c r="N168" s="1087"/>
      <c r="O168" s="1087"/>
    </row>
    <row r="169" spans="1:15" ht="14.1">
      <c r="A169" s="1046"/>
      <c r="B169" s="1047" t="s">
        <v>2004</v>
      </c>
      <c r="C169" s="1048">
        <v>2</v>
      </c>
      <c r="D169" s="1048" t="s">
        <v>1472</v>
      </c>
      <c r="E169" s="1048">
        <v>6</v>
      </c>
      <c r="F169" s="1049">
        <v>1.8</v>
      </c>
      <c r="G169" s="1049">
        <v>1.8</v>
      </c>
      <c r="H169" s="1049">
        <v>1.65</v>
      </c>
      <c r="I169" s="1049">
        <f t="shared" ref="I169:I178" si="8">ROUND(C169*E169*F169*G169*H169,2)</f>
        <v>64.150000000000006</v>
      </c>
      <c r="J169" s="1049"/>
      <c r="K169" s="1049"/>
      <c r="L169" s="1049"/>
      <c r="M169" s="1049"/>
      <c r="N169" s="1087"/>
      <c r="O169" s="1087"/>
    </row>
    <row r="170" spans="1:15" ht="27.6">
      <c r="A170" s="1046"/>
      <c r="B170" s="1050" t="s">
        <v>2090</v>
      </c>
      <c r="C170" s="1048">
        <v>1</v>
      </c>
      <c r="D170" s="1048" t="s">
        <v>1472</v>
      </c>
      <c r="E170" s="1048">
        <v>2</v>
      </c>
      <c r="F170" s="1049">
        <f>60.75*0.3048</f>
        <v>18.5166</v>
      </c>
      <c r="G170" s="1049">
        <v>0.6</v>
      </c>
      <c r="H170" s="1049">
        <v>0.6</v>
      </c>
      <c r="I170" s="1049">
        <f t="shared" si="8"/>
        <v>13.33</v>
      </c>
      <c r="J170" s="1049"/>
      <c r="K170" s="1049"/>
      <c r="L170" s="1049"/>
      <c r="M170" s="1049"/>
      <c r="N170" s="1087"/>
      <c r="O170" s="1087"/>
    </row>
    <row r="171" spans="1:15" ht="27.6">
      <c r="A171" s="1046"/>
      <c r="B171" s="1050" t="s">
        <v>2091</v>
      </c>
      <c r="C171" s="1048">
        <v>1</v>
      </c>
      <c r="D171" s="1048" t="s">
        <v>1472</v>
      </c>
      <c r="E171" s="1048">
        <v>2</v>
      </c>
      <c r="F171" s="1049">
        <f>31.5*0.3048</f>
        <v>9.6012000000000004</v>
      </c>
      <c r="G171" s="1049">
        <v>0.6</v>
      </c>
      <c r="H171" s="1049">
        <v>0.6</v>
      </c>
      <c r="I171" s="1049">
        <f t="shared" si="8"/>
        <v>6.91</v>
      </c>
      <c r="J171" s="1049"/>
      <c r="K171" s="1049"/>
      <c r="L171" s="1049"/>
      <c r="M171" s="1049"/>
      <c r="N171" s="1087"/>
      <c r="O171" s="1087"/>
    </row>
    <row r="172" spans="1:15" ht="14.1">
      <c r="A172" s="1046"/>
      <c r="B172" s="1050" t="s">
        <v>2092</v>
      </c>
      <c r="C172" s="1048">
        <v>2</v>
      </c>
      <c r="D172" s="1048" t="s">
        <v>1472</v>
      </c>
      <c r="E172" s="1048">
        <v>2</v>
      </c>
      <c r="F172" s="1049">
        <v>2.4</v>
      </c>
      <c r="G172" s="1049">
        <v>0.6</v>
      </c>
      <c r="H172" s="1049">
        <v>0.6</v>
      </c>
      <c r="I172" s="1049">
        <f t="shared" si="8"/>
        <v>3.46</v>
      </c>
      <c r="J172" s="1049"/>
      <c r="K172" s="1049"/>
      <c r="L172" s="1049"/>
      <c r="M172" s="1049"/>
      <c r="N172" s="1087"/>
      <c r="O172" s="1087"/>
    </row>
    <row r="173" spans="1:15" ht="14.1">
      <c r="A173" s="1046"/>
      <c r="B173" s="1050" t="s">
        <v>2093</v>
      </c>
      <c r="C173" s="1048">
        <v>2</v>
      </c>
      <c r="D173" s="1048" t="s">
        <v>1472</v>
      </c>
      <c r="E173" s="1048">
        <v>2</v>
      </c>
      <c r="F173" s="1049">
        <v>4.1500000000000004</v>
      </c>
      <c r="G173" s="1049">
        <v>0.6</v>
      </c>
      <c r="H173" s="1049">
        <v>0.6</v>
      </c>
      <c r="I173" s="1049">
        <f t="shared" si="8"/>
        <v>5.98</v>
      </c>
      <c r="J173" s="1049"/>
      <c r="K173" s="1049"/>
      <c r="L173" s="1049"/>
      <c r="M173" s="1049"/>
      <c r="N173" s="1087"/>
      <c r="O173" s="1087"/>
    </row>
    <row r="174" spans="1:15" ht="14.1">
      <c r="A174" s="1046"/>
      <c r="B174" s="1050" t="s">
        <v>2094</v>
      </c>
      <c r="C174" s="1048">
        <v>2</v>
      </c>
      <c r="D174" s="1048" t="s">
        <v>1472</v>
      </c>
      <c r="E174" s="1048">
        <v>2</v>
      </c>
      <c r="F174" s="1049">
        <v>4</v>
      </c>
      <c r="G174" s="1049">
        <v>0.6</v>
      </c>
      <c r="H174" s="1049">
        <v>0.6</v>
      </c>
      <c r="I174" s="1049">
        <f t="shared" si="8"/>
        <v>5.76</v>
      </c>
      <c r="J174" s="1049"/>
      <c r="K174" s="1049"/>
      <c r="L174" s="1049"/>
      <c r="M174" s="1049"/>
      <c r="N174" s="1087"/>
      <c r="O174" s="1087"/>
    </row>
    <row r="175" spans="1:15" ht="27.6">
      <c r="A175" s="1046"/>
      <c r="B175" s="1050" t="s">
        <v>2095</v>
      </c>
      <c r="C175" s="1048">
        <v>1</v>
      </c>
      <c r="D175" s="1048" t="s">
        <v>1472</v>
      </c>
      <c r="E175" s="1048">
        <v>2</v>
      </c>
      <c r="F175" s="1049">
        <v>1.8</v>
      </c>
      <c r="G175" s="1049">
        <v>0.6</v>
      </c>
      <c r="H175" s="1049">
        <v>0.6</v>
      </c>
      <c r="I175" s="1049">
        <f t="shared" si="8"/>
        <v>1.3</v>
      </c>
      <c r="J175" s="1049"/>
      <c r="K175" s="1049"/>
      <c r="L175" s="1049"/>
      <c r="M175" s="1049"/>
      <c r="N175" s="1087"/>
      <c r="O175" s="1087"/>
    </row>
    <row r="176" spans="1:15" ht="14.1">
      <c r="A176" s="1046"/>
      <c r="B176" s="1051" t="s">
        <v>2096</v>
      </c>
      <c r="C176" s="1048">
        <v>1</v>
      </c>
      <c r="D176" s="1048" t="s">
        <v>1472</v>
      </c>
      <c r="E176" s="1048">
        <v>1</v>
      </c>
      <c r="F176" s="1049">
        <f>(31.5-6-4)*0.3048</f>
        <v>6.5532000000000004</v>
      </c>
      <c r="G176" s="1049">
        <v>0.6</v>
      </c>
      <c r="H176" s="1049">
        <v>0.3</v>
      </c>
      <c r="I176" s="1049">
        <f t="shared" si="8"/>
        <v>1.18</v>
      </c>
      <c r="J176" s="1049"/>
      <c r="K176" s="1049"/>
      <c r="L176" s="1049"/>
      <c r="M176" s="1049"/>
      <c r="N176" s="1087"/>
      <c r="O176" s="1087"/>
    </row>
    <row r="177" spans="1:15" ht="14.1">
      <c r="A177" s="1046"/>
      <c r="B177" s="1051" t="s">
        <v>2097</v>
      </c>
      <c r="C177" s="1048">
        <v>1</v>
      </c>
      <c r="D177" s="1048" t="s">
        <v>1472</v>
      </c>
      <c r="E177" s="1048">
        <v>2</v>
      </c>
      <c r="F177" s="1049">
        <v>3</v>
      </c>
      <c r="G177" s="1049">
        <v>0.6</v>
      </c>
      <c r="H177" s="1049">
        <v>0.3</v>
      </c>
      <c r="I177" s="1049">
        <f t="shared" si="8"/>
        <v>1.08</v>
      </c>
      <c r="J177" s="1049"/>
      <c r="K177" s="1049"/>
      <c r="L177" s="1049"/>
      <c r="M177" s="1049"/>
      <c r="N177" s="1087"/>
      <c r="O177" s="1087"/>
    </row>
    <row r="178" spans="1:15" ht="14.1">
      <c r="A178" s="1046"/>
      <c r="B178" s="1047" t="s">
        <v>2122</v>
      </c>
      <c r="C178" s="1048">
        <v>1</v>
      </c>
      <c r="D178" s="1048" t="s">
        <v>1472</v>
      </c>
      <c r="E178" s="1048">
        <v>1</v>
      </c>
      <c r="F178" s="1049">
        <f>60.75*0.3048</f>
        <v>18.5166</v>
      </c>
      <c r="G178" s="1049">
        <f>31.5*0.3048</f>
        <v>9.6012000000000004</v>
      </c>
      <c r="H178" s="1049">
        <v>0.6</v>
      </c>
      <c r="I178" s="1049">
        <f t="shared" si="8"/>
        <v>106.67</v>
      </c>
      <c r="J178" s="1049"/>
      <c r="K178" s="1049"/>
      <c r="L178" s="1049"/>
      <c r="M178" s="1049"/>
      <c r="N178" s="1087"/>
      <c r="O178" s="1087"/>
    </row>
    <row r="179" spans="1:15" ht="14.1">
      <c r="A179" s="1046"/>
      <c r="B179" s="2423" t="s">
        <v>2063</v>
      </c>
      <c r="C179" s="2424"/>
      <c r="D179" s="2424"/>
      <c r="E179" s="2424"/>
      <c r="F179" s="2424"/>
      <c r="G179" s="2424"/>
      <c r="H179" s="2425"/>
      <c r="I179" s="1053">
        <f>I178</f>
        <v>106.67</v>
      </c>
      <c r="J179" s="1049">
        <v>25.6</v>
      </c>
      <c r="K179" s="1054">
        <f>ROUND(J179*I179,0)</f>
        <v>2731</v>
      </c>
      <c r="L179" s="1049">
        <v>30</v>
      </c>
      <c r="M179" s="1055">
        <f>L179*I179</f>
        <v>3200.1</v>
      </c>
      <c r="N179" s="1087">
        <v>1</v>
      </c>
      <c r="O179" s="1087"/>
    </row>
    <row r="180" spans="1:15" ht="14.1">
      <c r="A180" s="1046"/>
      <c r="B180" s="1061"/>
      <c r="C180" s="1048"/>
      <c r="D180" s="1048"/>
      <c r="E180" s="1048"/>
      <c r="F180" s="1049"/>
      <c r="G180" s="1049"/>
      <c r="H180" s="1049"/>
      <c r="I180" s="1053"/>
      <c r="J180" s="1053" t="s">
        <v>658</v>
      </c>
      <c r="K180" s="1053"/>
      <c r="L180" s="1049"/>
      <c r="M180" s="1049"/>
      <c r="N180" s="1087"/>
      <c r="O180" s="1087"/>
    </row>
    <row r="181" spans="1:15" ht="93" customHeight="1">
      <c r="A181" s="1046">
        <v>11</v>
      </c>
      <c r="B181" s="2415" t="s">
        <v>2303</v>
      </c>
      <c r="C181" s="2426"/>
      <c r="D181" s="2426"/>
      <c r="E181" s="2426"/>
      <c r="F181" s="2426"/>
      <c r="G181" s="2426"/>
      <c r="H181" s="2426"/>
      <c r="I181" s="2427"/>
      <c r="J181" s="1049"/>
      <c r="K181" s="1049"/>
      <c r="L181" s="1049"/>
      <c r="M181" s="1049"/>
      <c r="N181" s="1087"/>
      <c r="O181" s="1087"/>
    </row>
    <row r="182" spans="1:15" ht="14.1">
      <c r="A182" s="1046"/>
      <c r="B182" s="1047" t="s">
        <v>2004</v>
      </c>
      <c r="C182" s="1048">
        <v>2</v>
      </c>
      <c r="D182" s="1048" t="s">
        <v>1472</v>
      </c>
      <c r="E182" s="1048">
        <v>6</v>
      </c>
      <c r="F182" s="1049">
        <v>1.8</v>
      </c>
      <c r="G182" s="1049">
        <v>1.8</v>
      </c>
      <c r="H182" s="1049">
        <v>1.65</v>
      </c>
      <c r="I182" s="1049">
        <f t="shared" ref="I182:I190" si="9">ROUND(C182*E182*F182*G182*H182,2)</f>
        <v>64.150000000000006</v>
      </c>
      <c r="J182" s="1049"/>
      <c r="K182" s="1049"/>
      <c r="L182" s="1049"/>
      <c r="M182" s="1049"/>
      <c r="N182" s="1087"/>
      <c r="O182" s="1087"/>
    </row>
    <row r="183" spans="1:15" ht="27.6">
      <c r="A183" s="1046"/>
      <c r="B183" s="1050" t="s">
        <v>2090</v>
      </c>
      <c r="C183" s="1048">
        <v>1</v>
      </c>
      <c r="D183" s="1048" t="s">
        <v>1472</v>
      </c>
      <c r="E183" s="1048">
        <v>2</v>
      </c>
      <c r="F183" s="1049">
        <f>60.75*0.3048</f>
        <v>18.5166</v>
      </c>
      <c r="G183" s="1049">
        <v>0.6</v>
      </c>
      <c r="H183" s="1049">
        <v>0.6</v>
      </c>
      <c r="I183" s="1049">
        <f t="shared" si="9"/>
        <v>13.33</v>
      </c>
      <c r="J183" s="1049"/>
      <c r="K183" s="1049"/>
      <c r="L183" s="1049"/>
      <c r="M183" s="1049"/>
      <c r="N183" s="1087"/>
      <c r="O183" s="1087"/>
    </row>
    <row r="184" spans="1:15" ht="27.6">
      <c r="A184" s="1046"/>
      <c r="B184" s="1050" t="s">
        <v>2091</v>
      </c>
      <c r="C184" s="1048">
        <v>1</v>
      </c>
      <c r="D184" s="1048" t="s">
        <v>1472</v>
      </c>
      <c r="E184" s="1048">
        <v>2</v>
      </c>
      <c r="F184" s="1049">
        <f>31.5*0.3048</f>
        <v>9.6012000000000004</v>
      </c>
      <c r="G184" s="1049">
        <v>0.6</v>
      </c>
      <c r="H184" s="1049">
        <v>0.6</v>
      </c>
      <c r="I184" s="1049">
        <f t="shared" si="9"/>
        <v>6.91</v>
      </c>
      <c r="J184" s="1049"/>
      <c r="K184" s="1049"/>
      <c r="L184" s="1049"/>
      <c r="M184" s="1049"/>
      <c r="N184" s="1087"/>
      <c r="O184" s="1087"/>
    </row>
    <row r="185" spans="1:15" ht="14.1">
      <c r="A185" s="1046"/>
      <c r="B185" s="1050" t="s">
        <v>2092</v>
      </c>
      <c r="C185" s="1048">
        <v>2</v>
      </c>
      <c r="D185" s="1048" t="s">
        <v>1472</v>
      </c>
      <c r="E185" s="1048">
        <v>2</v>
      </c>
      <c r="F185" s="1049">
        <v>2.4</v>
      </c>
      <c r="G185" s="1049">
        <v>0.6</v>
      </c>
      <c r="H185" s="1049">
        <v>0.6</v>
      </c>
      <c r="I185" s="1049">
        <f t="shared" si="9"/>
        <v>3.46</v>
      </c>
      <c r="J185" s="1049"/>
      <c r="K185" s="1049"/>
      <c r="L185" s="1049"/>
      <c r="M185" s="1049"/>
      <c r="N185" s="1087"/>
      <c r="O185" s="1087"/>
    </row>
    <row r="186" spans="1:15" ht="14.1">
      <c r="A186" s="1046"/>
      <c r="B186" s="1050" t="s">
        <v>2093</v>
      </c>
      <c r="C186" s="1048">
        <v>2</v>
      </c>
      <c r="D186" s="1048" t="s">
        <v>1472</v>
      </c>
      <c r="E186" s="1048">
        <v>2</v>
      </c>
      <c r="F186" s="1049">
        <v>4.1500000000000004</v>
      </c>
      <c r="G186" s="1049">
        <v>0.6</v>
      </c>
      <c r="H186" s="1049">
        <v>0.6</v>
      </c>
      <c r="I186" s="1049">
        <f t="shared" si="9"/>
        <v>5.98</v>
      </c>
      <c r="J186" s="1049"/>
      <c r="K186" s="1049"/>
      <c r="L186" s="1049"/>
      <c r="M186" s="1049"/>
      <c r="N186" s="1087"/>
      <c r="O186" s="1087"/>
    </row>
    <row r="187" spans="1:15" ht="14.1">
      <c r="A187" s="1046"/>
      <c r="B187" s="1050" t="s">
        <v>2094</v>
      </c>
      <c r="C187" s="1048">
        <v>2</v>
      </c>
      <c r="D187" s="1048" t="s">
        <v>1472</v>
      </c>
      <c r="E187" s="1048">
        <v>2</v>
      </c>
      <c r="F187" s="1049">
        <v>4</v>
      </c>
      <c r="G187" s="1049">
        <v>0.6</v>
      </c>
      <c r="H187" s="1049">
        <v>0.6</v>
      </c>
      <c r="I187" s="1049">
        <f t="shared" si="9"/>
        <v>5.76</v>
      </c>
      <c r="J187" s="1049"/>
      <c r="K187" s="1049"/>
      <c r="L187" s="1049"/>
      <c r="M187" s="1049"/>
      <c r="N187" s="1087"/>
      <c r="O187" s="1087"/>
    </row>
    <row r="188" spans="1:15" ht="27.6">
      <c r="A188" s="1046"/>
      <c r="B188" s="1050" t="s">
        <v>2095</v>
      </c>
      <c r="C188" s="1048">
        <v>1</v>
      </c>
      <c r="D188" s="1048" t="s">
        <v>1472</v>
      </c>
      <c r="E188" s="1048">
        <v>2</v>
      </c>
      <c r="F188" s="1049">
        <v>1.8</v>
      </c>
      <c r="G188" s="1049">
        <v>0.6</v>
      </c>
      <c r="H188" s="1049">
        <v>0.6</v>
      </c>
      <c r="I188" s="1049">
        <f t="shared" si="9"/>
        <v>1.3</v>
      </c>
      <c r="J188" s="1049"/>
      <c r="K188" s="1049"/>
      <c r="L188" s="1049"/>
      <c r="M188" s="1049"/>
      <c r="N188" s="1087"/>
      <c r="O188" s="1087"/>
    </row>
    <row r="189" spans="1:15" ht="14.1">
      <c r="A189" s="1046"/>
      <c r="B189" s="1051" t="s">
        <v>2096</v>
      </c>
      <c r="C189" s="1048">
        <v>1</v>
      </c>
      <c r="D189" s="1048" t="s">
        <v>1472</v>
      </c>
      <c r="E189" s="1048">
        <v>1</v>
      </c>
      <c r="F189" s="1049">
        <f>(31.5-6-4)*0.3048</f>
        <v>6.5532000000000004</v>
      </c>
      <c r="G189" s="1049">
        <v>0.6</v>
      </c>
      <c r="H189" s="1049">
        <v>0.3</v>
      </c>
      <c r="I189" s="1049">
        <f t="shared" si="9"/>
        <v>1.18</v>
      </c>
      <c r="J189" s="1049"/>
      <c r="K189" s="1049"/>
      <c r="L189" s="1049"/>
      <c r="M189" s="1049"/>
      <c r="N189" s="1087"/>
      <c r="O189" s="1087"/>
    </row>
    <row r="190" spans="1:15" ht="14.1">
      <c r="A190" s="1046"/>
      <c r="B190" s="1051" t="s">
        <v>2097</v>
      </c>
      <c r="C190" s="1048">
        <v>1</v>
      </c>
      <c r="D190" s="1048" t="s">
        <v>1472</v>
      </c>
      <c r="E190" s="1048">
        <v>2</v>
      </c>
      <c r="F190" s="1049">
        <v>3</v>
      </c>
      <c r="G190" s="1049">
        <v>0.6</v>
      </c>
      <c r="H190" s="1049">
        <v>0.3</v>
      </c>
      <c r="I190" s="1049">
        <f t="shared" si="9"/>
        <v>1.08</v>
      </c>
      <c r="J190" s="1049"/>
      <c r="K190" s="1049"/>
      <c r="L190" s="1049"/>
      <c r="M190" s="1049"/>
      <c r="N190" s="1087"/>
      <c r="O190" s="1087"/>
    </row>
    <row r="191" spans="1:15" ht="14.1">
      <c r="A191" s="1046"/>
      <c r="B191" s="1060" t="s">
        <v>85</v>
      </c>
      <c r="C191" s="1061"/>
      <c r="D191" s="1061"/>
      <c r="E191" s="1061"/>
      <c r="F191" s="1062"/>
      <c r="G191" s="1062"/>
      <c r="H191" s="1062"/>
      <c r="I191" s="1077">
        <f>SUM(I182:I190)</f>
        <v>103.15</v>
      </c>
      <c r="J191" s="1049"/>
      <c r="K191" s="1049"/>
      <c r="L191" s="1049"/>
      <c r="M191" s="1049"/>
      <c r="N191" s="1087"/>
      <c r="O191" s="1087"/>
    </row>
    <row r="192" spans="1:15" ht="14.1">
      <c r="A192" s="1046"/>
      <c r="B192" s="1047" t="s">
        <v>2122</v>
      </c>
      <c r="C192" s="1048">
        <v>1</v>
      </c>
      <c r="D192" s="1048" t="s">
        <v>1472</v>
      </c>
      <c r="E192" s="1048">
        <v>1</v>
      </c>
      <c r="F192" s="1049">
        <f>60.75*0.3048</f>
        <v>18.5166</v>
      </c>
      <c r="G192" s="1049">
        <f>31.5*0.3048</f>
        <v>9.6012000000000004</v>
      </c>
      <c r="H192" s="1049">
        <v>0.6</v>
      </c>
      <c r="I192" s="1049">
        <f t="shared" ref="I192:I198" si="10">ROUND(C192*E192*F192*G192*H192,2)</f>
        <v>106.67</v>
      </c>
      <c r="J192" s="1049"/>
      <c r="K192" s="1049"/>
      <c r="L192" s="1049"/>
      <c r="M192" s="1049"/>
      <c r="N192" s="1087"/>
      <c r="O192" s="1087"/>
    </row>
    <row r="193" spans="1:15" ht="14.1">
      <c r="A193" s="1046"/>
      <c r="B193" s="1061" t="s">
        <v>2127</v>
      </c>
      <c r="C193" s="1048">
        <v>1</v>
      </c>
      <c r="D193" s="1048" t="s">
        <v>1472</v>
      </c>
      <c r="E193" s="1048">
        <v>1</v>
      </c>
      <c r="F193" s="1049">
        <v>14.55</v>
      </c>
      <c r="G193" s="1049">
        <v>2</v>
      </c>
      <c r="H193" s="1049">
        <v>0.6</v>
      </c>
      <c r="I193" s="1049">
        <f t="shared" si="10"/>
        <v>17.46</v>
      </c>
      <c r="J193" s="1049"/>
      <c r="K193" s="1049"/>
      <c r="L193" s="1049"/>
      <c r="M193" s="1049"/>
      <c r="N193" s="1087"/>
      <c r="O193" s="1087"/>
    </row>
    <row r="194" spans="1:15" ht="14.1">
      <c r="A194" s="1046"/>
      <c r="B194" s="1061" t="s">
        <v>2128</v>
      </c>
      <c r="C194" s="1048">
        <v>1</v>
      </c>
      <c r="D194" s="1048" t="s">
        <v>1472</v>
      </c>
      <c r="E194" s="1048">
        <v>1</v>
      </c>
      <c r="F194" s="1049">
        <v>14.55</v>
      </c>
      <c r="G194" s="1049">
        <v>2</v>
      </c>
      <c r="H194" s="1049">
        <v>0.6</v>
      </c>
      <c r="I194" s="1049">
        <f t="shared" si="10"/>
        <v>17.46</v>
      </c>
      <c r="J194" s="1049"/>
      <c r="K194" s="1049"/>
      <c r="L194" s="1049"/>
      <c r="M194" s="1049"/>
      <c r="N194" s="1087"/>
      <c r="O194" s="1087"/>
    </row>
    <row r="195" spans="1:15" ht="14.1">
      <c r="A195" s="1046"/>
      <c r="B195" s="1061" t="s">
        <v>2132</v>
      </c>
      <c r="C195" s="1048">
        <v>1</v>
      </c>
      <c r="D195" s="1048" t="s">
        <v>1472</v>
      </c>
      <c r="E195" s="1048">
        <v>1</v>
      </c>
      <c r="F195" s="1049">
        <v>4.4000000000000004</v>
      </c>
      <c r="G195" s="1049">
        <v>2.4</v>
      </c>
      <c r="H195" s="1049">
        <v>0.6</v>
      </c>
      <c r="I195" s="1049">
        <f t="shared" si="10"/>
        <v>6.34</v>
      </c>
      <c r="J195" s="1049"/>
      <c r="K195" s="1049"/>
      <c r="L195" s="1049"/>
      <c r="M195" s="1049"/>
      <c r="N195" s="1087"/>
      <c r="O195" s="1087"/>
    </row>
    <row r="196" spans="1:15" ht="14.1">
      <c r="A196" s="1046"/>
      <c r="B196" s="1061" t="s">
        <v>2133</v>
      </c>
      <c r="C196" s="1048">
        <v>1</v>
      </c>
      <c r="D196" s="1048" t="s">
        <v>1472</v>
      </c>
      <c r="E196" s="1048">
        <v>1</v>
      </c>
      <c r="F196" s="1049">
        <v>5</v>
      </c>
      <c r="G196" s="1049">
        <v>1.87</v>
      </c>
      <c r="H196" s="1049">
        <v>0.45</v>
      </c>
      <c r="I196" s="1049">
        <f t="shared" si="10"/>
        <v>4.21</v>
      </c>
      <c r="J196" s="1049"/>
      <c r="K196" s="1049"/>
      <c r="L196" s="1049"/>
      <c r="M196" s="1049"/>
      <c r="N196" s="1087"/>
      <c r="O196" s="1087"/>
    </row>
    <row r="197" spans="1:15" ht="14.1">
      <c r="A197" s="1046"/>
      <c r="B197" s="1061" t="s">
        <v>2130</v>
      </c>
      <c r="C197" s="1048">
        <v>1</v>
      </c>
      <c r="D197" s="1048" t="s">
        <v>1472</v>
      </c>
      <c r="E197" s="1048">
        <v>1</v>
      </c>
      <c r="F197" s="1049">
        <v>2.75</v>
      </c>
      <c r="G197" s="1049">
        <v>2.6</v>
      </c>
      <c r="H197" s="1049">
        <v>0.6</v>
      </c>
      <c r="I197" s="1049">
        <f t="shared" si="10"/>
        <v>4.29</v>
      </c>
      <c r="J197" s="1049"/>
      <c r="K197" s="1049"/>
      <c r="L197" s="1049"/>
      <c r="M197" s="1049"/>
      <c r="N197" s="1087"/>
      <c r="O197" s="1087"/>
    </row>
    <row r="198" spans="1:15" ht="14.1">
      <c r="A198" s="1046"/>
      <c r="B198" s="1061" t="s">
        <v>2129</v>
      </c>
      <c r="C198" s="1048">
        <v>1</v>
      </c>
      <c r="D198" s="1048" t="s">
        <v>1472</v>
      </c>
      <c r="E198" s="1048">
        <v>2</v>
      </c>
      <c r="F198" s="1049">
        <v>1.65</v>
      </c>
      <c r="G198" s="1049">
        <v>1.2</v>
      </c>
      <c r="H198" s="1049">
        <v>0.6</v>
      </c>
      <c r="I198" s="1049">
        <f t="shared" si="10"/>
        <v>2.38</v>
      </c>
      <c r="J198" s="1049"/>
      <c r="K198" s="1049"/>
      <c r="L198" s="1049"/>
      <c r="M198" s="1049"/>
      <c r="N198" s="1087"/>
      <c r="O198" s="1087"/>
    </row>
    <row r="199" spans="1:15" ht="14.1">
      <c r="A199" s="1046"/>
      <c r="B199" s="1061"/>
      <c r="C199" s="1048"/>
      <c r="D199" s="1048"/>
      <c r="E199" s="1048"/>
      <c r="F199" s="1049"/>
      <c r="G199" s="1049"/>
      <c r="H199" s="1049"/>
      <c r="I199" s="1053">
        <f>SUM(I191:I198)</f>
        <v>261.96000000000004</v>
      </c>
      <c r="J199" s="1049"/>
      <c r="K199" s="1049"/>
      <c r="L199" s="1049"/>
      <c r="M199" s="1049"/>
      <c r="N199" s="1087"/>
      <c r="O199" s="1087"/>
    </row>
    <row r="200" spans="1:15" ht="14.1">
      <c r="A200" s="1046"/>
      <c r="B200" s="1060" t="s">
        <v>1036</v>
      </c>
      <c r="C200" s="1061"/>
      <c r="D200" s="1061"/>
      <c r="E200" s="1061"/>
      <c r="F200" s="1062"/>
      <c r="G200" s="1062"/>
      <c r="H200" s="1062"/>
      <c r="I200" s="1062"/>
      <c r="J200" s="1049"/>
      <c r="K200" s="1049"/>
      <c r="L200" s="1049"/>
      <c r="M200" s="1049"/>
      <c r="N200" s="1087"/>
      <c r="O200" s="1087"/>
    </row>
    <row r="201" spans="1:15" ht="14.1">
      <c r="A201" s="1046"/>
      <c r="B201" s="1061" t="s">
        <v>2131</v>
      </c>
      <c r="C201" s="1061"/>
      <c r="D201" s="1061"/>
      <c r="E201" s="1061"/>
      <c r="F201" s="1062">
        <f>I26</f>
        <v>7.2</v>
      </c>
      <c r="G201" s="1062"/>
      <c r="H201" s="1062"/>
      <c r="I201" s="1062"/>
      <c r="J201" s="1049"/>
      <c r="K201" s="1049"/>
      <c r="L201" s="1049"/>
      <c r="M201" s="1049"/>
      <c r="N201" s="1087"/>
      <c r="O201" s="1087"/>
    </row>
    <row r="202" spans="1:15">
      <c r="A202" s="1061"/>
      <c r="B202" s="1061" t="s">
        <v>2026</v>
      </c>
      <c r="C202" s="1061"/>
      <c r="D202" s="1061"/>
      <c r="E202" s="1061"/>
      <c r="F202" s="1062">
        <f>I44</f>
        <v>27.500000000000004</v>
      </c>
      <c r="G202" s="1062"/>
      <c r="H202" s="1062"/>
      <c r="I202" s="1062"/>
      <c r="J202" s="1049"/>
      <c r="K202" s="1049"/>
      <c r="L202" s="1049"/>
      <c r="M202" s="1049"/>
      <c r="N202" s="1087"/>
      <c r="O202" s="1087"/>
    </row>
    <row r="203" spans="1:15" ht="14.1">
      <c r="A203" s="1046"/>
      <c r="B203" s="1061" t="s">
        <v>86</v>
      </c>
      <c r="C203" s="1061"/>
      <c r="D203" s="1061"/>
      <c r="E203" s="1061"/>
      <c r="F203" s="1062">
        <f>I56</f>
        <v>24.5</v>
      </c>
      <c r="G203" s="1062"/>
      <c r="H203" s="1062"/>
      <c r="I203" s="1062"/>
      <c r="J203" s="1049"/>
      <c r="K203" s="1049"/>
      <c r="L203" s="1049"/>
      <c r="M203" s="1049"/>
      <c r="N203" s="1087"/>
      <c r="O203" s="1087"/>
    </row>
    <row r="204" spans="1:15" ht="14.1">
      <c r="A204" s="1046"/>
      <c r="B204" s="1061" t="s">
        <v>983</v>
      </c>
      <c r="C204" s="1061"/>
      <c r="D204" s="1061"/>
      <c r="E204" s="1061"/>
      <c r="F204" s="1062">
        <f>I80</f>
        <v>10.8</v>
      </c>
      <c r="G204" s="1062"/>
      <c r="H204" s="1062"/>
      <c r="I204" s="1062"/>
      <c r="J204" s="1049"/>
      <c r="K204" s="1049"/>
      <c r="L204" s="1049"/>
      <c r="M204" s="1049"/>
      <c r="N204" s="1087"/>
      <c r="O204" s="1087"/>
    </row>
    <row r="205" spans="1:15" ht="14.1">
      <c r="A205" s="1046"/>
      <c r="B205" s="1061" t="s">
        <v>87</v>
      </c>
      <c r="C205" s="1061"/>
      <c r="D205" s="1061"/>
      <c r="E205" s="1061"/>
      <c r="F205" s="1062">
        <f>I83</f>
        <v>1.1399999999999999</v>
      </c>
      <c r="G205" s="1062"/>
      <c r="H205" s="1062"/>
      <c r="I205" s="1062"/>
      <c r="J205" s="1049"/>
      <c r="K205" s="1049"/>
      <c r="L205" s="1049"/>
      <c r="M205" s="1049"/>
      <c r="N205" s="1087"/>
      <c r="O205" s="1087"/>
    </row>
    <row r="206" spans="1:15" ht="14.1">
      <c r="A206" s="1046"/>
      <c r="B206" s="1061" t="s">
        <v>88</v>
      </c>
      <c r="C206" s="1061"/>
      <c r="D206" s="1061"/>
      <c r="E206" s="1061"/>
      <c r="F206" s="1062">
        <f>I92</f>
        <v>4.26</v>
      </c>
      <c r="G206" s="1062"/>
      <c r="H206" s="1062"/>
      <c r="I206" s="1062"/>
      <c r="J206" s="1049"/>
      <c r="K206" s="1049"/>
      <c r="L206" s="1049"/>
      <c r="M206" s="1049"/>
      <c r="N206" s="1087"/>
      <c r="O206" s="1087"/>
    </row>
    <row r="207" spans="1:15" ht="14.1">
      <c r="A207" s="1046"/>
      <c r="B207" s="1061"/>
      <c r="C207" s="1061"/>
      <c r="D207" s="1061"/>
      <c r="E207" s="1061"/>
      <c r="F207" s="1078">
        <f>SUM(F201:F206)</f>
        <v>75.400000000000006</v>
      </c>
      <c r="G207" s="1062"/>
      <c r="H207" s="1062"/>
      <c r="I207" s="1062"/>
      <c r="J207" s="1049"/>
      <c r="K207" s="1049"/>
      <c r="L207" s="1049"/>
      <c r="M207" s="1049"/>
      <c r="N207" s="1087"/>
      <c r="O207" s="1087"/>
    </row>
    <row r="208" spans="1:15" ht="14.1">
      <c r="A208" s="1046"/>
      <c r="B208" s="1079" t="s">
        <v>89</v>
      </c>
      <c r="C208" s="1048"/>
      <c r="D208" s="1048"/>
      <c r="E208" s="1048"/>
      <c r="F208" s="1053">
        <f>I199</f>
        <v>261.96000000000004</v>
      </c>
      <c r="G208" s="1049" t="s">
        <v>524</v>
      </c>
      <c r="H208" s="1053">
        <f>F207</f>
        <v>75.400000000000006</v>
      </c>
      <c r="I208" s="1053">
        <f>F208-H208</f>
        <v>186.56000000000003</v>
      </c>
      <c r="J208" s="1049"/>
      <c r="K208" s="1049"/>
      <c r="L208" s="1049"/>
      <c r="M208" s="1049"/>
      <c r="N208" s="1087"/>
      <c r="O208" s="1087"/>
    </row>
    <row r="209" spans="1:15" ht="14.1">
      <c r="A209" s="1046"/>
      <c r="B209" s="2423"/>
      <c r="C209" s="2424"/>
      <c r="D209" s="2424"/>
      <c r="E209" s="2424"/>
      <c r="F209" s="2424"/>
      <c r="G209" s="2424"/>
      <c r="H209" s="2425"/>
      <c r="I209" s="1053"/>
      <c r="J209" s="1049"/>
      <c r="K209" s="1049"/>
      <c r="L209" s="1049"/>
      <c r="M209" s="1049"/>
      <c r="N209" s="1087"/>
      <c r="O209" s="1087"/>
    </row>
    <row r="210" spans="1:15" ht="28.2">
      <c r="A210" s="1046"/>
      <c r="B210" s="1078" t="s">
        <v>2051</v>
      </c>
      <c r="C210" s="1067"/>
      <c r="D210" s="1067"/>
      <c r="E210" s="1048"/>
      <c r="F210" s="1053">
        <f>I208</f>
        <v>186.56000000000003</v>
      </c>
      <c r="G210" s="1049" t="s">
        <v>524</v>
      </c>
      <c r="H210" s="1053">
        <f>I179</f>
        <v>106.67</v>
      </c>
      <c r="I210" s="1053">
        <f>F210-H210</f>
        <v>79.890000000000029</v>
      </c>
      <c r="J210" s="1049">
        <f>Datas!G54</f>
        <v>228.33</v>
      </c>
      <c r="K210" s="1053">
        <f>ROUND(J210*I210,0)</f>
        <v>18241</v>
      </c>
      <c r="L210" s="1049">
        <v>30</v>
      </c>
      <c r="M210" s="1055">
        <f>L210*I210</f>
        <v>2396.7000000000007</v>
      </c>
      <c r="N210" s="1087">
        <v>30</v>
      </c>
      <c r="O210" s="1087">
        <f>ROUND(I210*N210,0)</f>
        <v>2397</v>
      </c>
    </row>
    <row r="211" spans="1:15" ht="14.1">
      <c r="A211" s="1046"/>
      <c r="B211" s="1060"/>
      <c r="C211" s="1048"/>
      <c r="D211" s="1048"/>
      <c r="E211" s="1048"/>
      <c r="F211" s="1049"/>
      <c r="G211" s="1049"/>
      <c r="H211" s="1049"/>
      <c r="I211" s="1053" t="s">
        <v>1473</v>
      </c>
      <c r="J211" s="1053" t="s">
        <v>658</v>
      </c>
      <c r="K211" s="1053"/>
      <c r="L211" s="1049"/>
      <c r="M211" s="1049"/>
      <c r="N211" s="1087"/>
      <c r="O211" s="1087"/>
    </row>
    <row r="212" spans="1:15" ht="120.75" customHeight="1">
      <c r="A212" s="1046">
        <v>12</v>
      </c>
      <c r="B212" s="2415" t="s">
        <v>2302</v>
      </c>
      <c r="C212" s="2416"/>
      <c r="D212" s="2416"/>
      <c r="E212" s="2416"/>
      <c r="F212" s="2416"/>
      <c r="G212" s="2416"/>
      <c r="H212" s="2416"/>
      <c r="I212" s="2417"/>
      <c r="J212" s="1049"/>
      <c r="K212" s="1049"/>
      <c r="L212" s="1049"/>
      <c r="M212" s="1049"/>
      <c r="N212" s="1087"/>
      <c r="O212" s="1087"/>
    </row>
    <row r="213" spans="1:15" ht="14.1">
      <c r="A213" s="1046"/>
      <c r="B213" s="1060" t="s">
        <v>466</v>
      </c>
      <c r="C213" s="1082"/>
      <c r="D213" s="1082"/>
      <c r="E213" s="1082"/>
      <c r="F213" s="1083"/>
      <c r="G213" s="1083"/>
      <c r="H213" s="1083"/>
      <c r="I213" s="1083"/>
      <c r="J213" s="1049"/>
      <c r="K213" s="1049"/>
      <c r="L213" s="1049"/>
      <c r="M213" s="1049"/>
      <c r="N213" s="1087"/>
      <c r="O213" s="1087"/>
    </row>
    <row r="214" spans="1:15" ht="14.1">
      <c r="A214" s="1046"/>
      <c r="B214" s="1174" t="s">
        <v>2115</v>
      </c>
      <c r="C214" s="1048">
        <v>1</v>
      </c>
      <c r="D214" s="1048" t="s">
        <v>1472</v>
      </c>
      <c r="E214" s="1048">
        <v>2</v>
      </c>
      <c r="F214" s="1049">
        <f>(60.75-0.23*2)*0.3048</f>
        <v>18.376391999999999</v>
      </c>
      <c r="G214" s="1049"/>
      <c r="H214" s="1049">
        <v>3.6</v>
      </c>
      <c r="I214" s="1049">
        <f>ROUND(C214*E214*F214*H214,2)</f>
        <v>132.31</v>
      </c>
      <c r="J214" s="1049"/>
      <c r="K214" s="1049"/>
      <c r="L214" s="1049"/>
      <c r="M214" s="1049"/>
      <c r="N214" s="1087"/>
      <c r="O214" s="1087"/>
    </row>
    <row r="215" spans="1:15" ht="14.1">
      <c r="A215" s="1046"/>
      <c r="B215" s="1174" t="s">
        <v>2033</v>
      </c>
      <c r="C215" s="1048">
        <v>1</v>
      </c>
      <c r="D215" s="1048" t="s">
        <v>1472</v>
      </c>
      <c r="E215" s="1048">
        <v>2</v>
      </c>
      <c r="F215" s="1049">
        <f>(31.5-2*0.23)*0.3048</f>
        <v>9.460992000000001</v>
      </c>
      <c r="G215" s="1049"/>
      <c r="H215" s="1164" t="s">
        <v>2287</v>
      </c>
      <c r="I215" s="1049">
        <f>ROUND(C215*E215*F215*AVERAGE(3.6,5.4,3.6),2)</f>
        <v>79.47</v>
      </c>
      <c r="J215" s="1049"/>
      <c r="K215" s="1049"/>
      <c r="L215" s="1049"/>
      <c r="M215" s="1049"/>
      <c r="N215" s="1087"/>
      <c r="O215" s="1087"/>
    </row>
    <row r="216" spans="1:15" ht="14.1">
      <c r="A216" s="1046"/>
      <c r="B216" s="1174" t="s">
        <v>2116</v>
      </c>
      <c r="C216" s="1048">
        <v>1</v>
      </c>
      <c r="D216" s="1048" t="s">
        <v>1472</v>
      </c>
      <c r="E216" s="1048">
        <v>2</v>
      </c>
      <c r="F216" s="1049">
        <f>(31.5-2*0.23)*0.3048</f>
        <v>9.460992000000001</v>
      </c>
      <c r="G216" s="1049"/>
      <c r="H216" s="1049">
        <v>3.6</v>
      </c>
      <c r="I216" s="1049">
        <f>ROUND(C216*E216*F216*H216,2)</f>
        <v>68.12</v>
      </c>
      <c r="J216" s="1049"/>
      <c r="K216" s="1049"/>
      <c r="L216" s="1049"/>
      <c r="M216" s="1049"/>
      <c r="N216" s="1087"/>
      <c r="O216" s="1087"/>
    </row>
    <row r="217" spans="1:15" ht="14.1">
      <c r="A217" s="1046"/>
      <c r="B217" s="1174" t="s">
        <v>2134</v>
      </c>
      <c r="C217" s="1048">
        <v>1</v>
      </c>
      <c r="D217" s="1048" t="s">
        <v>1472</v>
      </c>
      <c r="E217" s="1048">
        <v>2</v>
      </c>
      <c r="F217" s="1049">
        <v>3.6</v>
      </c>
      <c r="G217" s="1049"/>
      <c r="H217" s="1049">
        <v>3.6</v>
      </c>
      <c r="I217" s="1049">
        <f>ROUND(C217*E217*F217*H217,2)</f>
        <v>25.92</v>
      </c>
      <c r="J217" s="1049"/>
      <c r="K217" s="1049"/>
      <c r="L217" s="1049"/>
      <c r="M217" s="1049"/>
      <c r="N217" s="1087"/>
      <c r="O217" s="1087"/>
    </row>
    <row r="218" spans="1:15" ht="14.1">
      <c r="A218" s="1046"/>
      <c r="B218" s="1174" t="s">
        <v>2119</v>
      </c>
      <c r="C218" s="1048">
        <v>1</v>
      </c>
      <c r="D218" s="1048" t="s">
        <v>1472</v>
      </c>
      <c r="E218" s="1048">
        <v>2</v>
      </c>
      <c r="F218" s="1049">
        <v>2.1</v>
      </c>
      <c r="G218" s="1049"/>
      <c r="H218" s="1049">
        <v>0.45</v>
      </c>
      <c r="I218" s="1049">
        <f>ROUND(C218*E218*F218*H218,2)</f>
        <v>1.89</v>
      </c>
      <c r="J218" s="1049"/>
      <c r="K218" s="1049"/>
      <c r="L218" s="1049"/>
      <c r="M218" s="1049"/>
      <c r="N218" s="1087"/>
      <c r="O218" s="1087"/>
    </row>
    <row r="219" spans="1:15" ht="14.1">
      <c r="A219" s="1046"/>
      <c r="B219" s="1174" t="s">
        <v>2120</v>
      </c>
      <c r="C219" s="1048">
        <v>1</v>
      </c>
      <c r="D219" s="1048" t="s">
        <v>1472</v>
      </c>
      <c r="E219" s="1048">
        <v>1</v>
      </c>
      <c r="F219" s="1049">
        <v>4.95</v>
      </c>
      <c r="G219" s="1049"/>
      <c r="H219" s="1049">
        <v>0.45</v>
      </c>
      <c r="I219" s="1049">
        <f>ROUND(C219*E219*F219*H219,2)</f>
        <v>2.23</v>
      </c>
      <c r="J219" s="1049"/>
      <c r="K219" s="1049"/>
      <c r="L219" s="1049"/>
      <c r="M219" s="1049"/>
      <c r="N219" s="1087"/>
      <c r="O219" s="1087"/>
    </row>
    <row r="220" spans="1:15" ht="14.1">
      <c r="A220" s="1046"/>
      <c r="B220" s="1178" t="s">
        <v>675</v>
      </c>
      <c r="C220" s="1048"/>
      <c r="D220" s="1048"/>
      <c r="E220" s="1048"/>
      <c r="F220" s="1049"/>
      <c r="G220" s="1049"/>
      <c r="H220" s="1049"/>
      <c r="I220" s="1049"/>
      <c r="J220" s="1049"/>
      <c r="K220" s="1049"/>
      <c r="L220" s="1049"/>
      <c r="M220" s="1049"/>
      <c r="N220" s="1087"/>
      <c r="O220" s="1087"/>
    </row>
    <row r="221" spans="1:15">
      <c r="A221" s="1076"/>
      <c r="B221" s="1178" t="s">
        <v>2223</v>
      </c>
      <c r="C221" s="1048">
        <v>1</v>
      </c>
      <c r="D221" s="1048" t="s">
        <v>1472</v>
      </c>
      <c r="E221" s="1048">
        <v>1</v>
      </c>
      <c r="F221" s="1049">
        <v>1.8</v>
      </c>
      <c r="G221" s="1084">
        <v>1</v>
      </c>
      <c r="H221" s="1049">
        <v>2.4</v>
      </c>
      <c r="I221" s="1049">
        <f t="shared" ref="I221:I226" si="11">-ROUND(C221*E221*F221*G221*H221,2)</f>
        <v>-4.32</v>
      </c>
      <c r="J221" s="1049"/>
      <c r="K221" s="1049"/>
      <c r="L221" s="1049"/>
      <c r="M221" s="1049"/>
      <c r="N221" s="1087"/>
      <c r="O221" s="1087"/>
    </row>
    <row r="222" spans="1:15">
      <c r="A222" s="1076"/>
      <c r="B222" s="1178" t="s">
        <v>980</v>
      </c>
      <c r="C222" s="1048">
        <v>1</v>
      </c>
      <c r="D222" s="1048" t="s">
        <v>1472</v>
      </c>
      <c r="E222" s="1048">
        <v>2</v>
      </c>
      <c r="F222" s="1049">
        <v>1.5</v>
      </c>
      <c r="G222" s="1084">
        <v>1</v>
      </c>
      <c r="H222" s="1049">
        <v>2.4</v>
      </c>
      <c r="I222" s="1049">
        <f t="shared" si="11"/>
        <v>-7.2</v>
      </c>
      <c r="J222" s="1049"/>
      <c r="K222" s="1049"/>
      <c r="L222" s="1049"/>
      <c r="M222" s="1049"/>
      <c r="N222" s="1087"/>
      <c r="O222" s="1087"/>
    </row>
    <row r="223" spans="1:15">
      <c r="A223" s="1076"/>
      <c r="B223" s="1178" t="s">
        <v>981</v>
      </c>
      <c r="C223" s="1048">
        <v>1</v>
      </c>
      <c r="D223" s="1048" t="s">
        <v>1472</v>
      </c>
      <c r="E223" s="1048">
        <v>2</v>
      </c>
      <c r="F223" s="1049">
        <v>0.9</v>
      </c>
      <c r="G223" s="1084">
        <v>1</v>
      </c>
      <c r="H223" s="1049">
        <v>2.1</v>
      </c>
      <c r="I223" s="1049">
        <f t="shared" si="11"/>
        <v>-3.78</v>
      </c>
      <c r="J223" s="1049"/>
      <c r="K223" s="1049"/>
      <c r="L223" s="1049"/>
      <c r="M223" s="1049"/>
      <c r="N223" s="1087"/>
      <c r="O223" s="1087"/>
    </row>
    <row r="224" spans="1:15">
      <c r="A224" s="1076"/>
      <c r="B224" s="1178" t="s">
        <v>2117</v>
      </c>
      <c r="C224" s="1048">
        <v>1</v>
      </c>
      <c r="D224" s="1048" t="s">
        <v>1472</v>
      </c>
      <c r="E224" s="1048">
        <v>1</v>
      </c>
      <c r="F224" s="1049">
        <v>1.5</v>
      </c>
      <c r="G224" s="1084">
        <v>1</v>
      </c>
      <c r="H224" s="1049">
        <v>1.2</v>
      </c>
      <c r="I224" s="1049">
        <f t="shared" si="11"/>
        <v>-1.8</v>
      </c>
      <c r="J224" s="1049"/>
      <c r="K224" s="1049"/>
      <c r="L224" s="1049"/>
      <c r="M224" s="1049"/>
      <c r="N224" s="1087"/>
      <c r="O224" s="1087"/>
    </row>
    <row r="225" spans="1:15" ht="14.1">
      <c r="A225" s="1046"/>
      <c r="B225" s="1178" t="s">
        <v>2215</v>
      </c>
      <c r="C225" s="1048">
        <v>1</v>
      </c>
      <c r="D225" s="1048" t="s">
        <v>1472</v>
      </c>
      <c r="E225" s="1048">
        <v>6</v>
      </c>
      <c r="F225" s="1049">
        <f>11*0.3048</f>
        <v>3.3528000000000002</v>
      </c>
      <c r="G225" s="1084">
        <v>1</v>
      </c>
      <c r="H225" s="1049">
        <v>0.9</v>
      </c>
      <c r="I225" s="1049">
        <f t="shared" si="11"/>
        <v>-18.11</v>
      </c>
      <c r="J225" s="1049"/>
      <c r="K225" s="1049"/>
      <c r="L225" s="1049"/>
      <c r="M225" s="1049"/>
      <c r="N225" s="1087"/>
      <c r="O225" s="1087"/>
    </row>
    <row r="226" spans="1:15" ht="14.1">
      <c r="A226" s="1046"/>
      <c r="B226" s="1178" t="s">
        <v>2216</v>
      </c>
      <c r="C226" s="1048">
        <v>1</v>
      </c>
      <c r="D226" s="1048" t="s">
        <v>1472</v>
      </c>
      <c r="E226" s="1048">
        <v>2</v>
      </c>
      <c r="F226" s="1049">
        <v>2.4</v>
      </c>
      <c r="G226" s="1084">
        <v>1</v>
      </c>
      <c r="H226" s="1049">
        <v>2</v>
      </c>
      <c r="I226" s="1049">
        <f t="shared" si="11"/>
        <v>-9.6</v>
      </c>
      <c r="J226" s="1049"/>
      <c r="K226" s="1049"/>
      <c r="L226" s="1049"/>
      <c r="M226" s="1049"/>
      <c r="N226" s="1087"/>
      <c r="O226" s="1087"/>
    </row>
    <row r="227" spans="1:15">
      <c r="A227" s="1048"/>
      <c r="B227" s="1178" t="s">
        <v>2124</v>
      </c>
      <c r="C227" s="1048"/>
      <c r="D227" s="1048"/>
      <c r="E227" s="1048"/>
      <c r="F227" s="1049"/>
      <c r="G227" s="1049"/>
      <c r="H227" s="1049"/>
      <c r="I227" s="1049"/>
      <c r="J227" s="1049"/>
      <c r="K227" s="1049"/>
      <c r="L227" s="1049"/>
      <c r="M227" s="1049"/>
      <c r="N227" s="1087"/>
      <c r="O227" s="1087"/>
    </row>
    <row r="228" spans="1:15" ht="14.1">
      <c r="A228" s="1046"/>
      <c r="B228" s="1174" t="s">
        <v>2093</v>
      </c>
      <c r="C228" s="1048">
        <v>1</v>
      </c>
      <c r="D228" s="1048" t="s">
        <v>1472</v>
      </c>
      <c r="E228" s="1048">
        <v>2</v>
      </c>
      <c r="F228" s="1049">
        <f>10.5*0.3048</f>
        <v>3.2004000000000001</v>
      </c>
      <c r="G228" s="1084">
        <v>1</v>
      </c>
      <c r="H228" s="1049">
        <v>2.9</v>
      </c>
      <c r="I228" s="1049">
        <f>ROUND(C228*E228*F228*G228*H228,2)</f>
        <v>18.559999999999999</v>
      </c>
      <c r="J228" s="1049"/>
      <c r="K228" s="1049"/>
      <c r="L228" s="1049"/>
      <c r="M228" s="1049"/>
      <c r="N228" s="1087"/>
      <c r="O228" s="1087"/>
    </row>
    <row r="229" spans="1:15" ht="14.1">
      <c r="A229" s="1046"/>
      <c r="B229" s="1174" t="s">
        <v>2094</v>
      </c>
      <c r="C229" s="1048">
        <v>1</v>
      </c>
      <c r="D229" s="1048" t="s">
        <v>1472</v>
      </c>
      <c r="E229" s="1048">
        <v>2</v>
      </c>
      <c r="F229" s="1049">
        <f>10*0.3048</f>
        <v>3.048</v>
      </c>
      <c r="G229" s="1084">
        <v>1</v>
      </c>
      <c r="H229" s="1049">
        <v>2.9</v>
      </c>
      <c r="I229" s="1049">
        <f>ROUND(C229*E229*F229*G229*H229,2)</f>
        <v>17.68</v>
      </c>
      <c r="J229" s="1049"/>
      <c r="K229" s="1049"/>
      <c r="L229" s="1049"/>
      <c r="M229" s="1049"/>
      <c r="N229" s="1087"/>
      <c r="O229" s="1087"/>
    </row>
    <row r="230" spans="1:15">
      <c r="A230" s="1048"/>
      <c r="B230" s="1178" t="s">
        <v>2125</v>
      </c>
      <c r="C230" s="1048">
        <v>1</v>
      </c>
      <c r="D230" s="1048" t="s">
        <v>1472</v>
      </c>
      <c r="E230" s="1048">
        <v>2</v>
      </c>
      <c r="F230" s="1049">
        <f>10.5*0.3048</f>
        <v>3.2004000000000001</v>
      </c>
      <c r="G230" s="1084">
        <v>1</v>
      </c>
      <c r="H230" s="1049">
        <v>2.1</v>
      </c>
      <c r="I230" s="1049">
        <f>ROUND(C230*E230*F230*G230*H230,2)</f>
        <v>13.44</v>
      </c>
      <c r="J230" s="1049"/>
      <c r="K230" s="1049"/>
      <c r="L230" s="1049"/>
      <c r="M230" s="1049"/>
      <c r="N230" s="1087"/>
      <c r="O230" s="1087"/>
    </row>
    <row r="231" spans="1:15">
      <c r="A231" s="1048"/>
      <c r="B231" s="1178" t="s">
        <v>2125</v>
      </c>
      <c r="C231" s="1048">
        <v>1</v>
      </c>
      <c r="D231" s="1048" t="s">
        <v>1472</v>
      </c>
      <c r="E231" s="1048">
        <v>2</v>
      </c>
      <c r="F231" s="1049">
        <v>3.42</v>
      </c>
      <c r="G231" s="1084">
        <v>1</v>
      </c>
      <c r="H231" s="1049">
        <v>2.1</v>
      </c>
      <c r="I231" s="1049">
        <f>ROUND(C231*E231*F231*G231*H231,2)</f>
        <v>14.36</v>
      </c>
      <c r="J231" s="1049"/>
      <c r="K231" s="1049"/>
      <c r="L231" s="1049"/>
      <c r="M231" s="1049"/>
      <c r="N231" s="1087"/>
      <c r="O231" s="1087"/>
    </row>
    <row r="232" spans="1:15">
      <c r="A232" s="1048"/>
      <c r="B232" s="1178" t="s">
        <v>675</v>
      </c>
      <c r="C232" s="1048"/>
      <c r="D232" s="1048"/>
      <c r="E232" s="1048"/>
      <c r="F232" s="1049"/>
      <c r="G232" s="1049"/>
      <c r="H232" s="1049"/>
      <c r="I232" s="1049"/>
      <c r="J232" s="1049"/>
      <c r="K232" s="1049"/>
      <c r="L232" s="1049"/>
      <c r="M232" s="1049"/>
      <c r="N232" s="1087"/>
      <c r="O232" s="1087"/>
    </row>
    <row r="233" spans="1:15">
      <c r="A233" s="1048"/>
      <c r="B233" s="1178" t="s">
        <v>2126</v>
      </c>
      <c r="C233" s="1048">
        <v>1</v>
      </c>
      <c r="D233" s="1048" t="s">
        <v>1472</v>
      </c>
      <c r="E233" s="1048">
        <v>2</v>
      </c>
      <c r="F233" s="1049">
        <v>0.9</v>
      </c>
      <c r="G233" s="1084">
        <v>1</v>
      </c>
      <c r="H233" s="1049">
        <v>2.1</v>
      </c>
      <c r="I233" s="1049">
        <f>-ROUND(C233*E233*F233*G233*H233,2)</f>
        <v>-3.78</v>
      </c>
      <c r="J233" s="1049"/>
      <c r="K233" s="1049"/>
      <c r="L233" s="1049"/>
      <c r="M233" s="1049"/>
      <c r="N233" s="1087"/>
      <c r="O233" s="1087"/>
    </row>
    <row r="234" spans="1:15">
      <c r="A234" s="1048"/>
      <c r="B234" s="1178" t="s">
        <v>101</v>
      </c>
      <c r="C234" s="1048">
        <v>1</v>
      </c>
      <c r="D234" s="1048" t="s">
        <v>1472</v>
      </c>
      <c r="E234" s="1048">
        <v>2</v>
      </c>
      <c r="F234" s="1049">
        <v>0.75</v>
      </c>
      <c r="G234" s="1084">
        <v>1</v>
      </c>
      <c r="H234" s="1049">
        <v>2.1</v>
      </c>
      <c r="I234" s="1049">
        <f>-ROUND(C234*E234*F234*G234*H234,2)</f>
        <v>-3.15</v>
      </c>
      <c r="J234" s="1049"/>
      <c r="K234" s="1049"/>
      <c r="L234" s="1049"/>
      <c r="M234" s="1049"/>
      <c r="N234" s="1087"/>
      <c r="O234" s="1087"/>
    </row>
    <row r="235" spans="1:15">
      <c r="A235" s="1048"/>
      <c r="B235" s="1178" t="s">
        <v>2224</v>
      </c>
      <c r="C235" s="1048">
        <v>1</v>
      </c>
      <c r="D235" s="1048" t="s">
        <v>1472</v>
      </c>
      <c r="E235" s="1048">
        <v>2</v>
      </c>
      <c r="F235" s="1049">
        <v>0.75</v>
      </c>
      <c r="G235" s="1084">
        <v>1</v>
      </c>
      <c r="H235" s="1049">
        <v>0.3</v>
      </c>
      <c r="I235" s="1049">
        <f>-ROUND(C235*E235*F235*G235*H235,2)</f>
        <v>-0.45</v>
      </c>
      <c r="J235" s="1049"/>
      <c r="K235" s="1049"/>
      <c r="L235" s="1049"/>
      <c r="M235" s="1049"/>
      <c r="N235" s="1087"/>
      <c r="O235" s="1087"/>
    </row>
    <row r="236" spans="1:15" ht="14.1">
      <c r="A236" s="1046"/>
      <c r="B236" s="1179"/>
      <c r="C236" s="1048"/>
      <c r="D236" s="1048"/>
      <c r="E236" s="1048"/>
      <c r="F236" s="1049"/>
      <c r="G236" s="1049"/>
      <c r="H236" s="1049"/>
      <c r="I236" s="1049">
        <f>SUM(I214:I235)</f>
        <v>321.79000000000008</v>
      </c>
      <c r="J236" s="1049"/>
      <c r="K236" s="1049"/>
      <c r="L236" s="1049"/>
      <c r="M236" s="1049"/>
      <c r="N236" s="1087"/>
      <c r="O236" s="1087"/>
    </row>
    <row r="237" spans="1:15" ht="14.1">
      <c r="A237" s="1046"/>
      <c r="B237" s="1065"/>
      <c r="C237" s="1048"/>
      <c r="D237" s="1048"/>
      <c r="E237" s="1048"/>
      <c r="F237" s="1049"/>
      <c r="G237" s="1049" t="s">
        <v>667</v>
      </c>
      <c r="H237" s="1049"/>
      <c r="I237" s="1052">
        <f>I236</f>
        <v>321.79000000000008</v>
      </c>
      <c r="J237" s="1049">
        <f>Datas!$E$679</f>
        <v>4266.8500000000004</v>
      </c>
      <c r="K237" s="1053">
        <f>ROUND(J237*I237/10,0)</f>
        <v>137303</v>
      </c>
      <c r="L237" s="1049"/>
      <c r="M237" s="1055"/>
      <c r="N237" s="1087">
        <f>(0.15*9)</f>
        <v>1.3499999999999999</v>
      </c>
      <c r="O237" s="1087">
        <f>ROUND(I237*N237,0)</f>
        <v>434</v>
      </c>
    </row>
    <row r="238" spans="1:15" ht="14.1">
      <c r="A238" s="1046"/>
      <c r="B238" s="1061"/>
      <c r="C238" s="1085"/>
      <c r="D238" s="1085"/>
      <c r="E238" s="1048"/>
      <c r="F238" s="1049"/>
      <c r="G238" s="1049"/>
      <c r="H238" s="1049"/>
      <c r="I238" s="1053" t="s">
        <v>1478</v>
      </c>
      <c r="J238" s="1053" t="s">
        <v>37</v>
      </c>
      <c r="K238" s="1053"/>
      <c r="L238" s="1049"/>
      <c r="M238" s="1049"/>
      <c r="N238" s="1087"/>
      <c r="O238" s="1087"/>
    </row>
    <row r="239" spans="1:15" ht="132" customHeight="1">
      <c r="A239" s="1046">
        <v>13</v>
      </c>
      <c r="B239" s="2415" t="s">
        <v>2301</v>
      </c>
      <c r="C239" s="2416"/>
      <c r="D239" s="2416"/>
      <c r="E239" s="2416"/>
      <c r="F239" s="2416"/>
      <c r="G239" s="2416"/>
      <c r="H239" s="2416"/>
      <c r="I239" s="2417"/>
      <c r="J239" s="1049"/>
      <c r="K239" s="1049"/>
      <c r="L239" s="1049"/>
      <c r="M239" s="1049"/>
      <c r="N239" s="1087"/>
      <c r="O239" s="1087"/>
    </row>
    <row r="240" spans="1:15" ht="14.1">
      <c r="A240" s="1046"/>
      <c r="B240" s="1178" t="s">
        <v>2135</v>
      </c>
      <c r="C240" s="1082"/>
      <c r="D240" s="1082"/>
      <c r="E240" s="1082"/>
      <c r="F240" s="1083"/>
      <c r="G240" s="1083"/>
      <c r="H240" s="1083"/>
      <c r="I240" s="1083"/>
      <c r="J240" s="1049"/>
      <c r="K240" s="1049"/>
      <c r="L240" s="1049"/>
      <c r="M240" s="1049"/>
      <c r="N240" s="1087"/>
      <c r="O240" s="1087"/>
    </row>
    <row r="241" spans="1:15" ht="14.1">
      <c r="A241" s="1046"/>
      <c r="B241" s="1174" t="s">
        <v>2115</v>
      </c>
      <c r="C241" s="1048">
        <v>1</v>
      </c>
      <c r="D241" s="1048" t="s">
        <v>1472</v>
      </c>
      <c r="E241" s="1048">
        <v>2</v>
      </c>
      <c r="F241" s="1049">
        <f>60.75*0.3048</f>
        <v>18.5166</v>
      </c>
      <c r="G241" s="1084">
        <v>1</v>
      </c>
      <c r="H241" s="1049">
        <v>3.6</v>
      </c>
      <c r="I241" s="1049">
        <f>ROUND(C241*E241*F241*G241*H241,2)</f>
        <v>133.32</v>
      </c>
      <c r="J241" s="1049"/>
      <c r="K241" s="1049"/>
      <c r="L241" s="1049"/>
      <c r="M241" s="1049"/>
      <c r="N241" s="1087"/>
      <c r="O241" s="1087"/>
    </row>
    <row r="242" spans="1:15" ht="14.1">
      <c r="A242" s="1046"/>
      <c r="B242" s="1174" t="s">
        <v>2033</v>
      </c>
      <c r="C242" s="1048">
        <v>1</v>
      </c>
      <c r="D242" s="1048" t="s">
        <v>1472</v>
      </c>
      <c r="E242" s="1048">
        <v>2</v>
      </c>
      <c r="F242" s="1049">
        <f>31.5*0.3048</f>
        <v>9.6012000000000004</v>
      </c>
      <c r="G242" s="1084">
        <v>1</v>
      </c>
      <c r="H242" s="1164" t="s">
        <v>2287</v>
      </c>
      <c r="I242" s="1049">
        <f>ROUND(C242*E242*F242*AVERAGE(4.26,6,4.26),2)</f>
        <v>92.94</v>
      </c>
      <c r="J242" s="1049"/>
      <c r="K242" s="1049"/>
      <c r="L242" s="1049"/>
      <c r="M242" s="1049"/>
      <c r="N242" s="1087"/>
      <c r="O242" s="1087"/>
    </row>
    <row r="243" spans="1:15" ht="14.1">
      <c r="A243" s="1046"/>
      <c r="B243" s="1178" t="s">
        <v>2136</v>
      </c>
      <c r="C243" s="1048"/>
      <c r="D243" s="1048"/>
      <c r="E243" s="1048"/>
      <c r="F243" s="1049"/>
      <c r="G243" s="1084"/>
      <c r="H243" s="1049"/>
      <c r="I243" s="1068"/>
      <c r="J243" s="1049"/>
      <c r="K243" s="1049"/>
      <c r="L243" s="1049"/>
      <c r="M243" s="1068"/>
      <c r="N243" s="1087"/>
      <c r="O243" s="1087"/>
    </row>
    <row r="244" spans="1:15" ht="14.1">
      <c r="A244" s="1046"/>
      <c r="B244" s="1174" t="s">
        <v>2093</v>
      </c>
      <c r="C244" s="1048">
        <v>1</v>
      </c>
      <c r="D244" s="1048" t="s">
        <v>1472</v>
      </c>
      <c r="E244" s="1048">
        <v>2</v>
      </c>
      <c r="F244" s="1049">
        <f>12*0.3048</f>
        <v>3.6576000000000004</v>
      </c>
      <c r="G244" s="1084">
        <v>1</v>
      </c>
      <c r="H244" s="1049">
        <v>2.4</v>
      </c>
      <c r="I244" s="1049">
        <f>ROUND(C244*E244*F244*G244*H244,2)</f>
        <v>17.559999999999999</v>
      </c>
      <c r="J244" s="1049"/>
      <c r="K244" s="1049"/>
      <c r="L244" s="1049"/>
      <c r="M244" s="1049"/>
      <c r="N244" s="1087"/>
      <c r="O244" s="1087"/>
    </row>
    <row r="245" spans="1:15" ht="14.1">
      <c r="A245" s="1046"/>
      <c r="B245" s="1174" t="s">
        <v>2094</v>
      </c>
      <c r="C245" s="1048">
        <v>1</v>
      </c>
      <c r="D245" s="1048" t="s">
        <v>1472</v>
      </c>
      <c r="E245" s="1048">
        <v>2</v>
      </c>
      <c r="F245" s="1049">
        <f>11.5*0.3048</f>
        <v>3.5052000000000003</v>
      </c>
      <c r="G245" s="1084">
        <v>1</v>
      </c>
      <c r="H245" s="1049">
        <v>2.4</v>
      </c>
      <c r="I245" s="1049">
        <f>ROUND(C245*E245*F245*G245*H245,2)</f>
        <v>16.82</v>
      </c>
      <c r="J245" s="1049"/>
      <c r="K245" s="1049"/>
      <c r="L245" s="1049"/>
      <c r="M245" s="1049"/>
      <c r="N245" s="1087"/>
      <c r="O245" s="1087"/>
    </row>
    <row r="246" spans="1:15" ht="14.1">
      <c r="A246" s="1046"/>
      <c r="B246" s="1061"/>
      <c r="C246" s="1048"/>
      <c r="D246" s="1048"/>
      <c r="E246" s="1048"/>
      <c r="F246" s="1049"/>
      <c r="G246" s="1049"/>
      <c r="H246" s="1049" t="s">
        <v>982</v>
      </c>
      <c r="I246" s="1052">
        <f>SUM(I241:I245)</f>
        <v>260.64</v>
      </c>
      <c r="J246" s="1049">
        <f>Datas!$E$748</f>
        <v>7593.7699999999995</v>
      </c>
      <c r="K246" s="1053">
        <f>ROUND(J246*I246/10,0)</f>
        <v>197924</v>
      </c>
      <c r="L246" s="1049">
        <f>0.12*9+1.1*8</f>
        <v>9.8800000000000008</v>
      </c>
      <c r="M246" s="1055">
        <f>L246*I246</f>
        <v>2575.1232</v>
      </c>
      <c r="N246" s="1087">
        <f>(0.22*9)</f>
        <v>1.98</v>
      </c>
      <c r="O246" s="1087">
        <f>ROUND(I246*N246,0)</f>
        <v>516</v>
      </c>
    </row>
    <row r="247" spans="1:15" ht="14.1">
      <c r="A247" s="1046"/>
      <c r="B247" s="1061"/>
      <c r="C247" s="1048"/>
      <c r="D247" s="1048"/>
      <c r="E247" s="1048"/>
      <c r="F247" s="1049"/>
      <c r="G247" s="1049"/>
      <c r="H247" s="1049"/>
      <c r="I247" s="1053" t="s">
        <v>1478</v>
      </c>
      <c r="J247" s="1053" t="s">
        <v>37</v>
      </c>
      <c r="K247" s="1053"/>
      <c r="L247" s="1049"/>
      <c r="M247" s="1049"/>
      <c r="N247" s="1087"/>
      <c r="O247" s="1087"/>
    </row>
    <row r="248" spans="1:15" ht="104.25" customHeight="1">
      <c r="A248" s="1046">
        <v>14</v>
      </c>
      <c r="B248" s="2415" t="s">
        <v>2320</v>
      </c>
      <c r="C248" s="2416"/>
      <c r="D248" s="2416"/>
      <c r="E248" s="2416"/>
      <c r="F248" s="2416"/>
      <c r="G248" s="2416"/>
      <c r="H248" s="2416"/>
      <c r="I248" s="2417"/>
      <c r="J248" s="1049"/>
      <c r="K248" s="1049"/>
      <c r="L248" s="1049"/>
      <c r="M248" s="1049"/>
      <c r="N248" s="1087"/>
      <c r="O248" s="1087"/>
    </row>
    <row r="249" spans="1:15" ht="14.1">
      <c r="A249" s="1046"/>
      <c r="B249" s="1174" t="s">
        <v>2319</v>
      </c>
      <c r="C249" s="1048">
        <v>1</v>
      </c>
      <c r="D249" s="1048" t="s">
        <v>1472</v>
      </c>
      <c r="E249" s="1048">
        <v>1</v>
      </c>
      <c r="F249" s="1049">
        <f>10*0.3048</f>
        <v>3.048</v>
      </c>
      <c r="G249" s="1084">
        <v>1</v>
      </c>
      <c r="H249" s="1049">
        <f>9*0.3048</f>
        <v>2.7432000000000003</v>
      </c>
      <c r="I249" s="1049">
        <f>ROUND(C249*E249*F249*G249*H249,2)</f>
        <v>8.36</v>
      </c>
      <c r="J249" s="1049"/>
      <c r="K249" s="1049"/>
      <c r="L249" s="1049"/>
      <c r="M249" s="1049"/>
      <c r="N249" s="1087"/>
      <c r="O249" s="1087"/>
    </row>
    <row r="250" spans="1:15" ht="14.1">
      <c r="A250" s="1046"/>
      <c r="B250" s="1178" t="s">
        <v>2321</v>
      </c>
      <c r="C250" s="1048">
        <v>1</v>
      </c>
      <c r="D250" s="1048" t="s">
        <v>1472</v>
      </c>
      <c r="E250" s="1048">
        <v>2</v>
      </c>
      <c r="F250" s="1049">
        <f>(60.75-2.75)*0.3048</f>
        <v>17.6784</v>
      </c>
      <c r="G250" s="1049"/>
      <c r="H250" s="1049"/>
      <c r="I250" s="1049">
        <f>ROUND(C250*E250*F250,2)</f>
        <v>35.36</v>
      </c>
      <c r="J250" s="1049"/>
      <c r="K250" s="1049"/>
      <c r="L250" s="1049"/>
      <c r="M250" s="1068"/>
      <c r="N250" s="1087"/>
      <c r="O250" s="1087"/>
    </row>
    <row r="251" spans="1:15" ht="14.1">
      <c r="A251" s="1046"/>
      <c r="B251" s="1178" t="s">
        <v>2322</v>
      </c>
      <c r="C251" s="1048">
        <v>1</v>
      </c>
      <c r="D251" s="1048" t="s">
        <v>1472</v>
      </c>
      <c r="E251" s="1048">
        <v>2</v>
      </c>
      <c r="F251" s="1049">
        <v>1.8</v>
      </c>
      <c r="G251" s="1049"/>
      <c r="H251" s="1049"/>
      <c r="I251" s="1049">
        <f>ROUND(C251*E251*F251,2)</f>
        <v>3.6</v>
      </c>
      <c r="J251" s="1049"/>
      <c r="K251" s="1049"/>
      <c r="L251" s="1049"/>
      <c r="M251" s="1068"/>
      <c r="N251" s="1087"/>
      <c r="O251" s="1087"/>
    </row>
    <row r="252" spans="1:15" ht="14.1">
      <c r="A252" s="1046"/>
      <c r="B252" s="1178"/>
      <c r="C252" s="1048"/>
      <c r="D252" s="1048"/>
      <c r="E252" s="1048"/>
      <c r="F252" s="1049"/>
      <c r="G252" s="1049"/>
      <c r="H252" s="1049" t="s">
        <v>982</v>
      </c>
      <c r="I252" s="1052">
        <f>SUM(I249:I251)</f>
        <v>47.32</v>
      </c>
      <c r="J252" s="1049">
        <f>Datas!E654</f>
        <v>1489.73</v>
      </c>
      <c r="K252" s="1053">
        <f>ROUND(J252*I252/10,0)</f>
        <v>7049</v>
      </c>
      <c r="L252" s="1049">
        <f>0.12*9+1.1*8</f>
        <v>9.8800000000000008</v>
      </c>
      <c r="M252" s="1055">
        <f>L252*I252</f>
        <v>467.52160000000003</v>
      </c>
      <c r="N252" s="1087">
        <f>(0.15*9)</f>
        <v>1.3499999999999999</v>
      </c>
      <c r="O252" s="1087">
        <f>ROUND(I252*N252,0)</f>
        <v>64</v>
      </c>
    </row>
    <row r="253" spans="1:15" ht="14.1">
      <c r="A253" s="1046"/>
      <c r="B253" s="1061"/>
      <c r="C253" s="1048"/>
      <c r="D253" s="1048"/>
      <c r="E253" s="1048"/>
      <c r="F253" s="1049"/>
      <c r="G253" s="1049"/>
      <c r="H253" s="1049"/>
      <c r="I253" s="1053" t="s">
        <v>1478</v>
      </c>
      <c r="J253" s="1053" t="s">
        <v>37</v>
      </c>
      <c r="K253" s="1053"/>
      <c r="L253" s="1049"/>
      <c r="M253" s="1049"/>
      <c r="N253" s="1087"/>
      <c r="O253" s="1087"/>
    </row>
    <row r="254" spans="1:15" ht="91.5" customHeight="1">
      <c r="A254" s="1046">
        <v>15</v>
      </c>
      <c r="B254" s="2415" t="s">
        <v>2318</v>
      </c>
      <c r="C254" s="2416"/>
      <c r="D254" s="2416"/>
      <c r="E254" s="2416"/>
      <c r="F254" s="2416"/>
      <c r="G254" s="2416"/>
      <c r="H254" s="2416"/>
      <c r="I254" s="2417"/>
      <c r="J254" s="1049"/>
      <c r="K254" s="1049"/>
      <c r="L254" s="1049"/>
      <c r="M254" s="1049"/>
      <c r="N254" s="1087"/>
      <c r="O254" s="1087"/>
    </row>
    <row r="255" spans="1:15" ht="14.1">
      <c r="A255" s="1046"/>
      <c r="B255" s="1174" t="s">
        <v>2319</v>
      </c>
      <c r="C255" s="1048">
        <v>1</v>
      </c>
      <c r="D255" s="1048" t="s">
        <v>1472</v>
      </c>
      <c r="E255" s="1048">
        <v>1</v>
      </c>
      <c r="F255" s="1049">
        <f>14*0.3048</f>
        <v>4.2671999999999999</v>
      </c>
      <c r="G255" s="1084">
        <v>1</v>
      </c>
      <c r="H255" s="1049">
        <f>13.5*0.3048</f>
        <v>4.1147999999999998</v>
      </c>
      <c r="I255" s="1049">
        <f>ROUND(C255*E255*F255*G255*H255,2)</f>
        <v>17.559999999999999</v>
      </c>
      <c r="J255" s="1049"/>
      <c r="K255" s="1049"/>
      <c r="L255" s="1049"/>
      <c r="M255" s="1049"/>
      <c r="N255" s="1087"/>
      <c r="O255" s="1087"/>
    </row>
    <row r="256" spans="1:15" ht="14.1">
      <c r="A256" s="1046"/>
      <c r="B256" s="1061"/>
      <c r="C256" s="1048"/>
      <c r="D256" s="1048"/>
      <c r="E256" s="1048"/>
      <c r="F256" s="1049"/>
      <c r="G256" s="1049"/>
      <c r="H256" s="1049" t="s">
        <v>982</v>
      </c>
      <c r="I256" s="1052">
        <f>SUM(I255:I255)</f>
        <v>17.559999999999999</v>
      </c>
      <c r="J256" s="1049">
        <f>Datas!E867</f>
        <v>489.39799999999997</v>
      </c>
      <c r="K256" s="1053">
        <f>ROUND(J256*I256/10,0)</f>
        <v>859</v>
      </c>
      <c r="L256" s="1049">
        <f>0.12*9+1.1*8</f>
        <v>9.8800000000000008</v>
      </c>
      <c r="M256" s="1055">
        <f>L256*I256</f>
        <v>173.49279999999999</v>
      </c>
      <c r="N256" s="1087">
        <f>(0.21*9)</f>
        <v>1.89</v>
      </c>
      <c r="O256" s="1087">
        <f>ROUND(I256*N256,0)</f>
        <v>33</v>
      </c>
    </row>
    <row r="257" spans="1:15" ht="14.1">
      <c r="A257" s="1046"/>
      <c r="B257" s="1061"/>
      <c r="C257" s="1048"/>
      <c r="D257" s="1048"/>
      <c r="E257" s="1048"/>
      <c r="F257" s="1049"/>
      <c r="G257" s="1049"/>
      <c r="H257" s="1049"/>
      <c r="I257" s="1053" t="s">
        <v>1478</v>
      </c>
      <c r="J257" s="1053" t="s">
        <v>37</v>
      </c>
      <c r="K257" s="1053"/>
      <c r="L257" s="1049"/>
      <c r="M257" s="1049"/>
      <c r="N257" s="1087"/>
      <c r="O257" s="1087"/>
    </row>
    <row r="258" spans="1:15" ht="120.75" customHeight="1">
      <c r="A258" s="1046">
        <v>16</v>
      </c>
      <c r="B258" s="2415" t="s">
        <v>2306</v>
      </c>
      <c r="C258" s="2426"/>
      <c r="D258" s="2426"/>
      <c r="E258" s="2426"/>
      <c r="F258" s="2426"/>
      <c r="G258" s="2426"/>
      <c r="H258" s="2426"/>
      <c r="I258" s="2427"/>
      <c r="J258" s="1049"/>
      <c r="K258" s="1049"/>
      <c r="L258" s="1049"/>
      <c r="M258" s="1049"/>
      <c r="N258" s="1087"/>
      <c r="O258" s="1087"/>
    </row>
    <row r="259" spans="1:15" ht="14.1">
      <c r="A259" s="1046"/>
      <c r="B259" s="1178" t="s">
        <v>2018</v>
      </c>
      <c r="C259" s="1048">
        <v>1</v>
      </c>
      <c r="D259" s="1048" t="s">
        <v>1472</v>
      </c>
      <c r="E259" s="1048">
        <v>1</v>
      </c>
      <c r="F259" s="1049">
        <f>(46.5)*0.3048</f>
        <v>14.173200000000001</v>
      </c>
      <c r="G259" s="1069"/>
      <c r="H259" s="1049">
        <f>(31.5-1.5)*0.3048</f>
        <v>9.1440000000000001</v>
      </c>
      <c r="I259" s="1049">
        <f>ROUND(C259*E259*F259*H259,2)</f>
        <v>129.6</v>
      </c>
      <c r="J259" s="1049"/>
      <c r="K259" s="1049"/>
      <c r="L259" s="1049"/>
      <c r="M259" s="1049"/>
      <c r="N259" s="1087"/>
      <c r="O259" s="1087"/>
    </row>
    <row r="260" spans="1:15" ht="14.1">
      <c r="A260" s="1046"/>
      <c r="B260" s="1178" t="s">
        <v>2137</v>
      </c>
      <c r="C260" s="1048">
        <v>1</v>
      </c>
      <c r="D260" s="1048" t="s">
        <v>1472</v>
      </c>
      <c r="E260" s="1048">
        <v>1</v>
      </c>
      <c r="F260" s="1049">
        <f>(12)*0.3048</f>
        <v>3.6576000000000004</v>
      </c>
      <c r="G260" s="1069"/>
      <c r="H260" s="1049">
        <f>(12)*0.3048</f>
        <v>3.6576000000000004</v>
      </c>
      <c r="I260" s="1049">
        <f>ROUND(C260*E260*F260*H260,2)</f>
        <v>13.38</v>
      </c>
      <c r="J260" s="1049"/>
      <c r="K260" s="1049"/>
      <c r="L260" s="1049"/>
      <c r="M260" s="1049"/>
      <c r="N260" s="1087"/>
      <c r="O260" s="1087"/>
    </row>
    <row r="261" spans="1:15" ht="14.1">
      <c r="A261" s="1046"/>
      <c r="B261" s="1178" t="s">
        <v>2138</v>
      </c>
      <c r="C261" s="1048">
        <v>1</v>
      </c>
      <c r="D261" s="1048" t="s">
        <v>1472</v>
      </c>
      <c r="E261" s="1048">
        <v>1</v>
      </c>
      <c r="F261" s="1049">
        <f>(17.625)*0.3048</f>
        <v>5.3721000000000005</v>
      </c>
      <c r="G261" s="1069"/>
      <c r="H261" s="1049">
        <f>(12)*0.3048</f>
        <v>3.6576000000000004</v>
      </c>
      <c r="I261" s="1049">
        <f>ROUND(C261*E261*F261*H261,2)</f>
        <v>19.649999999999999</v>
      </c>
      <c r="J261" s="1049"/>
      <c r="K261" s="1049"/>
      <c r="L261" s="1049"/>
      <c r="M261" s="1049"/>
      <c r="N261" s="1087"/>
      <c r="O261" s="1087"/>
    </row>
    <row r="262" spans="1:15" ht="14.1">
      <c r="A262" s="1046"/>
      <c r="B262" s="1178" t="s">
        <v>2262</v>
      </c>
      <c r="C262" s="1048">
        <v>1</v>
      </c>
      <c r="D262" s="1048" t="s">
        <v>1472</v>
      </c>
      <c r="E262" s="1048">
        <v>1</v>
      </c>
      <c r="F262" s="1049">
        <f>(31.5-12)*0.3048</f>
        <v>5.9436</v>
      </c>
      <c r="G262" s="1069"/>
      <c r="H262" s="1049">
        <f>(7)*0.3048</f>
        <v>2.1335999999999999</v>
      </c>
      <c r="I262" s="1049">
        <f>ROUND(C262*E262*F262*H262,2)</f>
        <v>12.68</v>
      </c>
      <c r="J262" s="1049"/>
      <c r="K262" s="1049"/>
      <c r="L262" s="1049"/>
      <c r="M262" s="1049"/>
      <c r="N262" s="1087"/>
      <c r="O262" s="1087"/>
    </row>
    <row r="263" spans="1:15" ht="14.1">
      <c r="A263" s="1046"/>
      <c r="B263" s="1179" t="s">
        <v>421</v>
      </c>
      <c r="C263" s="1048"/>
      <c r="D263" s="1048"/>
      <c r="E263" s="1048"/>
      <c r="F263" s="1049"/>
      <c r="G263" s="1049"/>
      <c r="H263" s="1049"/>
      <c r="I263" s="1049"/>
      <c r="J263" s="1049"/>
      <c r="K263" s="1049"/>
      <c r="L263" s="1049"/>
      <c r="M263" s="1049"/>
      <c r="N263" s="1087"/>
      <c r="O263" s="1087"/>
    </row>
    <row r="264" spans="1:15" ht="14.1">
      <c r="A264" s="1046"/>
      <c r="B264" s="1179" t="s">
        <v>2185</v>
      </c>
      <c r="C264" s="1048">
        <v>1</v>
      </c>
      <c r="D264" s="1048" t="s">
        <v>1472</v>
      </c>
      <c r="E264" s="1048">
        <v>1</v>
      </c>
      <c r="F264" s="1049">
        <f>(31.5-6)*0.3048</f>
        <v>7.7724000000000002</v>
      </c>
      <c r="G264" s="1049">
        <v>1</v>
      </c>
      <c r="H264" s="1049">
        <v>0.45</v>
      </c>
      <c r="I264" s="1049">
        <f t="shared" ref="I264:I271" si="12">ROUND(C264*E264*F264*G264*H264,2)</f>
        <v>3.5</v>
      </c>
      <c r="J264" s="1049"/>
      <c r="K264" s="1049"/>
      <c r="L264" s="1049"/>
      <c r="M264" s="1049"/>
      <c r="N264" s="1049"/>
      <c r="O264" s="1087"/>
    </row>
    <row r="265" spans="1:15" ht="14.1">
      <c r="A265" s="1046"/>
      <c r="B265" s="1179" t="s">
        <v>2186</v>
      </c>
      <c r="C265" s="1048">
        <v>1</v>
      </c>
      <c r="D265" s="1048" t="s">
        <v>1472</v>
      </c>
      <c r="E265" s="1048">
        <v>1</v>
      </c>
      <c r="F265" s="1049">
        <f>(31.5-6-2)*0.3048</f>
        <v>7.1628000000000007</v>
      </c>
      <c r="G265" s="1049">
        <v>1</v>
      </c>
      <c r="H265" s="1049">
        <v>0.45</v>
      </c>
      <c r="I265" s="1049">
        <f t="shared" si="12"/>
        <v>3.22</v>
      </c>
      <c r="J265" s="1049"/>
      <c r="K265" s="1049"/>
      <c r="L265" s="1049"/>
      <c r="M265" s="1049"/>
      <c r="N265" s="1049"/>
      <c r="O265" s="1087"/>
    </row>
    <row r="266" spans="1:15" ht="14.1">
      <c r="A266" s="1046"/>
      <c r="B266" s="1179" t="s">
        <v>2187</v>
      </c>
      <c r="C266" s="1048">
        <v>1</v>
      </c>
      <c r="D266" s="1048" t="s">
        <v>1472</v>
      </c>
      <c r="E266" s="1048">
        <v>1</v>
      </c>
      <c r="F266" s="1049">
        <f>(31.5-6-2-2)*0.3048</f>
        <v>6.5532000000000004</v>
      </c>
      <c r="G266" s="1049">
        <v>1</v>
      </c>
      <c r="H266" s="1049">
        <v>0.45</v>
      </c>
      <c r="I266" s="1049">
        <f t="shared" si="12"/>
        <v>2.95</v>
      </c>
      <c r="J266" s="1049"/>
      <c r="K266" s="1049"/>
      <c r="L266" s="1049"/>
      <c r="M266" s="1049"/>
      <c r="N266" s="1049"/>
      <c r="O266" s="1087"/>
    </row>
    <row r="267" spans="1:15" ht="14.1">
      <c r="A267" s="1046"/>
      <c r="B267" s="1179" t="s">
        <v>2188</v>
      </c>
      <c r="C267" s="1048">
        <v>1</v>
      </c>
      <c r="D267" s="1048" t="s">
        <v>1472</v>
      </c>
      <c r="E267" s="1048">
        <v>1</v>
      </c>
      <c r="F267" s="1049">
        <f>(31.5-6-2-2-2)*0.3048</f>
        <v>5.9436</v>
      </c>
      <c r="G267" s="1049">
        <v>1</v>
      </c>
      <c r="H267" s="1049">
        <v>0.45</v>
      </c>
      <c r="I267" s="1049">
        <f t="shared" si="12"/>
        <v>2.67</v>
      </c>
      <c r="J267" s="1049"/>
      <c r="K267" s="1049"/>
      <c r="L267" s="1049"/>
      <c r="M267" s="1049"/>
      <c r="N267" s="1049"/>
      <c r="O267" s="1087"/>
    </row>
    <row r="268" spans="1:15" ht="14.1">
      <c r="A268" s="1046"/>
      <c r="B268" s="1179" t="s">
        <v>2189</v>
      </c>
      <c r="C268" s="1048">
        <v>1</v>
      </c>
      <c r="D268" s="1048" t="s">
        <v>1472</v>
      </c>
      <c r="E268" s="1048">
        <v>2</v>
      </c>
      <c r="F268" s="1049">
        <f>(10)*0.3048</f>
        <v>3.048</v>
      </c>
      <c r="G268" s="1049">
        <v>1</v>
      </c>
      <c r="H268" s="1049">
        <v>0.45</v>
      </c>
      <c r="I268" s="1049">
        <f t="shared" si="12"/>
        <v>2.74</v>
      </c>
      <c r="J268" s="1049"/>
      <c r="K268" s="1049"/>
      <c r="L268" s="1049"/>
      <c r="M268" s="1049"/>
      <c r="N268" s="1049"/>
      <c r="O268" s="1087"/>
    </row>
    <row r="269" spans="1:15" ht="14.1">
      <c r="A269" s="1046"/>
      <c r="B269" s="1179" t="s">
        <v>2190</v>
      </c>
      <c r="C269" s="1048">
        <v>1</v>
      </c>
      <c r="D269" s="1048" t="s">
        <v>1472</v>
      </c>
      <c r="E269" s="1048">
        <v>2</v>
      </c>
      <c r="F269" s="1049">
        <f>(10-1)*0.3048</f>
        <v>2.7432000000000003</v>
      </c>
      <c r="G269" s="1049">
        <v>1</v>
      </c>
      <c r="H269" s="1049">
        <v>0.45</v>
      </c>
      <c r="I269" s="1049">
        <f t="shared" si="12"/>
        <v>2.4700000000000002</v>
      </c>
      <c r="J269" s="1049"/>
      <c r="K269" s="1049"/>
      <c r="L269" s="1049"/>
      <c r="M269" s="1049"/>
      <c r="N269" s="1049"/>
      <c r="O269" s="1087"/>
    </row>
    <row r="270" spans="1:15" ht="14.1">
      <c r="A270" s="1046"/>
      <c r="B270" s="1179" t="s">
        <v>2191</v>
      </c>
      <c r="C270" s="1048">
        <v>1</v>
      </c>
      <c r="D270" s="1048" t="s">
        <v>1472</v>
      </c>
      <c r="E270" s="1048">
        <v>2</v>
      </c>
      <c r="F270" s="1049">
        <f>(10-2)*0.3048</f>
        <v>2.4384000000000001</v>
      </c>
      <c r="G270" s="1049">
        <v>1</v>
      </c>
      <c r="H270" s="1049">
        <v>0.45</v>
      </c>
      <c r="I270" s="1049">
        <f t="shared" si="12"/>
        <v>2.19</v>
      </c>
      <c r="J270" s="1049"/>
      <c r="K270" s="1049"/>
      <c r="L270" s="1049"/>
      <c r="M270" s="1049"/>
      <c r="N270" s="1049"/>
      <c r="O270" s="1087"/>
    </row>
    <row r="271" spans="1:15" ht="14.1">
      <c r="A271" s="1046"/>
      <c r="B271" s="1179" t="s">
        <v>2192</v>
      </c>
      <c r="C271" s="1048">
        <v>1</v>
      </c>
      <c r="D271" s="1048" t="s">
        <v>1472</v>
      </c>
      <c r="E271" s="1048">
        <v>2</v>
      </c>
      <c r="F271" s="1049">
        <f>(10-3)*0.3048</f>
        <v>2.1335999999999999</v>
      </c>
      <c r="G271" s="1049">
        <v>1</v>
      </c>
      <c r="H271" s="1049">
        <v>0.45</v>
      </c>
      <c r="I271" s="1049">
        <f t="shared" si="12"/>
        <v>1.92</v>
      </c>
      <c r="J271" s="1049"/>
      <c r="K271" s="1049"/>
      <c r="L271" s="1049"/>
      <c r="M271" s="1049"/>
      <c r="N271" s="1049"/>
      <c r="O271" s="1087"/>
    </row>
    <row r="272" spans="1:15" ht="14.1">
      <c r="A272" s="1046"/>
      <c r="B272" s="1178" t="s">
        <v>2139</v>
      </c>
      <c r="C272" s="1048">
        <v>1</v>
      </c>
      <c r="D272" s="1048" t="s">
        <v>1472</v>
      </c>
      <c r="E272" s="1048">
        <v>2</v>
      </c>
      <c r="F272" s="1049">
        <v>1.8</v>
      </c>
      <c r="G272" s="1069"/>
      <c r="H272" s="1049">
        <v>1.45</v>
      </c>
      <c r="I272" s="1049">
        <f>ROUND(C272*E272*F272*H272,2)</f>
        <v>5.22</v>
      </c>
      <c r="J272" s="1049"/>
      <c r="K272" s="1049"/>
      <c r="L272" s="1049"/>
      <c r="M272" s="1049"/>
      <c r="N272" s="1087"/>
      <c r="O272" s="1087"/>
    </row>
    <row r="273" spans="1:15">
      <c r="A273" s="1048"/>
      <c r="B273" s="1178" t="s">
        <v>40</v>
      </c>
      <c r="C273" s="1048">
        <v>1</v>
      </c>
      <c r="D273" s="1048" t="s">
        <v>1472</v>
      </c>
      <c r="E273" s="1048">
        <v>3</v>
      </c>
      <c r="F273" s="1049">
        <v>1.5</v>
      </c>
      <c r="G273" s="1069"/>
      <c r="H273" s="1049">
        <v>0.23</v>
      </c>
      <c r="I273" s="1049">
        <f>ROUND(C273*E273*F273*H273,2)</f>
        <v>1.04</v>
      </c>
      <c r="J273" s="1049"/>
      <c r="K273" s="1049"/>
      <c r="L273" s="1049"/>
      <c r="M273" s="1049"/>
      <c r="N273" s="1087"/>
      <c r="O273" s="1087"/>
    </row>
    <row r="274" spans="1:15">
      <c r="A274" s="1048"/>
      <c r="B274" s="1178" t="s">
        <v>41</v>
      </c>
      <c r="C274" s="1048">
        <v>1</v>
      </c>
      <c r="D274" s="1048" t="s">
        <v>1472</v>
      </c>
      <c r="E274" s="1048">
        <v>2</v>
      </c>
      <c r="F274" s="1049">
        <v>0.9</v>
      </c>
      <c r="G274" s="1069"/>
      <c r="H274" s="1049">
        <v>0.23</v>
      </c>
      <c r="I274" s="1049">
        <f>ROUND(C274*E274*F274*H274,2)</f>
        <v>0.41</v>
      </c>
      <c r="J274" s="1049"/>
      <c r="K274" s="1049"/>
      <c r="L274" s="1049"/>
      <c r="M274" s="1049"/>
      <c r="N274" s="1087"/>
      <c r="O274" s="1087"/>
    </row>
    <row r="275" spans="1:15">
      <c r="A275" s="1048"/>
      <c r="B275" s="1178" t="s">
        <v>2140</v>
      </c>
      <c r="C275" s="1048">
        <v>1</v>
      </c>
      <c r="D275" s="1048" t="s">
        <v>1472</v>
      </c>
      <c r="E275" s="1048">
        <v>2</v>
      </c>
      <c r="F275" s="1049">
        <v>0.9</v>
      </c>
      <c r="G275" s="1069"/>
      <c r="H275" s="1049">
        <v>0.23</v>
      </c>
      <c r="I275" s="1049">
        <f>ROUND(C275*E275*F275*H275,2)</f>
        <v>0.41</v>
      </c>
      <c r="J275" s="1049"/>
      <c r="K275" s="1049"/>
      <c r="L275" s="1049"/>
      <c r="M275" s="1049"/>
      <c r="N275" s="1087"/>
      <c r="O275" s="1087"/>
    </row>
    <row r="276" spans="1:15" ht="14.1">
      <c r="A276" s="1046"/>
      <c r="B276" s="1061"/>
      <c r="C276" s="1048"/>
      <c r="D276" s="1048"/>
      <c r="E276" s="1048"/>
      <c r="F276" s="1049"/>
      <c r="G276" s="1049"/>
      <c r="H276" s="1049" t="s">
        <v>982</v>
      </c>
      <c r="I276" s="1052">
        <f>SUM(I264:I275)</f>
        <v>28.740000000000002</v>
      </c>
      <c r="J276" s="1049">
        <f>Datas!$G$844</f>
        <v>8348.74</v>
      </c>
      <c r="K276" s="1053">
        <f>ROUND(J276*I276/10,0)</f>
        <v>23994</v>
      </c>
      <c r="L276" s="1049">
        <f>0.12*9+1.1*8</f>
        <v>9.8800000000000008</v>
      </c>
      <c r="M276" s="1055">
        <f>L276*I276</f>
        <v>283.95120000000003</v>
      </c>
      <c r="N276" s="1087">
        <f>(0.12*9+1.1*8)</f>
        <v>9.8800000000000008</v>
      </c>
      <c r="O276" s="1087">
        <f>ROUND(I276*N276,0)</f>
        <v>284</v>
      </c>
    </row>
    <row r="277" spans="1:15" ht="14.1">
      <c r="A277" s="1046"/>
      <c r="B277" s="1061"/>
      <c r="C277" s="1048"/>
      <c r="D277" s="1048"/>
      <c r="E277" s="1048"/>
      <c r="F277" s="1049"/>
      <c r="G277" s="1049"/>
      <c r="H277" s="1049"/>
      <c r="I277" s="1053" t="s">
        <v>1478</v>
      </c>
      <c r="J277" s="1053" t="s">
        <v>37</v>
      </c>
      <c r="K277" s="1053"/>
      <c r="L277" s="1049"/>
      <c r="M277" s="1049"/>
      <c r="N277" s="1087"/>
      <c r="O277" s="1087"/>
    </row>
    <row r="278" spans="1:15" ht="42" customHeight="1">
      <c r="A278" s="1046">
        <v>17</v>
      </c>
      <c r="B278" s="2415" t="s">
        <v>2300</v>
      </c>
      <c r="C278" s="2426"/>
      <c r="D278" s="2426"/>
      <c r="E278" s="2426"/>
      <c r="F278" s="2426"/>
      <c r="G278" s="2426"/>
      <c r="H278" s="2426"/>
      <c r="I278" s="2427"/>
      <c r="J278" s="1049"/>
      <c r="K278" s="1049"/>
      <c r="L278" s="1049"/>
      <c r="M278" s="1049"/>
      <c r="N278" s="1087"/>
      <c r="O278" s="1087"/>
    </row>
    <row r="279" spans="1:15" ht="14.1">
      <c r="A279" s="1046"/>
      <c r="B279" s="1178" t="s">
        <v>2193</v>
      </c>
      <c r="C279" s="1048">
        <v>1</v>
      </c>
      <c r="D279" s="1048" t="s">
        <v>1472</v>
      </c>
      <c r="E279" s="1048">
        <v>2</v>
      </c>
      <c r="F279" s="1049">
        <f>(51.75)*0.3048</f>
        <v>15.773400000000001</v>
      </c>
      <c r="G279" s="1069"/>
      <c r="H279" s="1049">
        <v>1.2</v>
      </c>
      <c r="I279" s="1049">
        <f>ROUND(C279*E279*F279*H279,2)</f>
        <v>37.86</v>
      </c>
      <c r="J279" s="1049"/>
      <c r="K279" s="1049"/>
      <c r="L279" s="1049"/>
      <c r="M279" s="1049"/>
      <c r="N279" s="1087"/>
      <c r="O279" s="1087"/>
    </row>
    <row r="280" spans="1:15" ht="14.1">
      <c r="A280" s="1046"/>
      <c r="B280" s="1178" t="s">
        <v>2194</v>
      </c>
      <c r="C280" s="1048">
        <v>1</v>
      </c>
      <c r="D280" s="1048" t="s">
        <v>1472</v>
      </c>
      <c r="E280" s="1048">
        <v>2</v>
      </c>
      <c r="F280" s="1049">
        <v>1.8</v>
      </c>
      <c r="G280" s="1069"/>
      <c r="H280" s="1049">
        <v>1.2</v>
      </c>
      <c r="I280" s="1049">
        <f>ROUND(C280*E280*F280*H280,2)</f>
        <v>4.32</v>
      </c>
      <c r="J280" s="1049"/>
      <c r="K280" s="1049"/>
      <c r="L280" s="1049"/>
      <c r="M280" s="1049"/>
      <c r="N280" s="1087"/>
      <c r="O280" s="1087"/>
    </row>
    <row r="281" spans="1:15" ht="14.1">
      <c r="A281" s="1046"/>
      <c r="B281" s="1061"/>
      <c r="C281" s="1048"/>
      <c r="D281" s="1048"/>
      <c r="E281" s="1048"/>
      <c r="F281" s="1049"/>
      <c r="G281" s="1049"/>
      <c r="H281" s="1049" t="s">
        <v>982</v>
      </c>
      <c r="I281" s="1052">
        <f>SUM(I279:I280)</f>
        <v>42.18</v>
      </c>
      <c r="J281" s="1049">
        <f>Datas!G1265</f>
        <v>9150.58</v>
      </c>
      <c r="K281" s="1053">
        <f>ROUND(J281*I281/10,0)</f>
        <v>38597</v>
      </c>
      <c r="L281" s="1049">
        <f>0.12*9+1.1*8</f>
        <v>9.8800000000000008</v>
      </c>
      <c r="M281" s="1055">
        <f>L281*I281</f>
        <v>416.73840000000001</v>
      </c>
      <c r="N281" s="1087">
        <f>(10.8)</f>
        <v>10.8</v>
      </c>
      <c r="O281" s="1087">
        <f>ROUND(I281*N281,0)</f>
        <v>456</v>
      </c>
    </row>
    <row r="282" spans="1:15" ht="14.1">
      <c r="A282" s="1046"/>
      <c r="B282" s="1061"/>
      <c r="C282" s="1048"/>
      <c r="D282" s="1048"/>
      <c r="E282" s="1048"/>
      <c r="F282" s="1049"/>
      <c r="G282" s="1049"/>
      <c r="H282" s="1049"/>
      <c r="I282" s="1053" t="s">
        <v>1478</v>
      </c>
      <c r="J282" s="1053" t="s">
        <v>37</v>
      </c>
      <c r="K282" s="1053"/>
      <c r="L282" s="1049"/>
      <c r="M282" s="1049"/>
      <c r="N282" s="1087"/>
      <c r="O282" s="1087"/>
    </row>
    <row r="283" spans="1:15" ht="138" customHeight="1">
      <c r="A283" s="1046">
        <v>18</v>
      </c>
      <c r="B283" s="2428" t="s">
        <v>2299</v>
      </c>
      <c r="C283" s="2429"/>
      <c r="D283" s="2429"/>
      <c r="E283" s="2429"/>
      <c r="F283" s="2429"/>
      <c r="G283" s="2429"/>
      <c r="H283" s="2429"/>
      <c r="I283" s="2430"/>
      <c r="J283" s="1049"/>
      <c r="K283" s="1049"/>
      <c r="N283" s="1087"/>
      <c r="O283" s="1087"/>
    </row>
    <row r="284" spans="1:15" ht="14.1">
      <c r="A284" s="1088"/>
      <c r="B284" s="1089" t="s">
        <v>2034</v>
      </c>
      <c r="C284" s="1048">
        <v>1</v>
      </c>
      <c r="D284" s="1048" t="s">
        <v>1472</v>
      </c>
      <c r="E284" s="1048">
        <v>2</v>
      </c>
      <c r="F284" s="1049">
        <v>1.5</v>
      </c>
      <c r="G284" s="1049">
        <v>1.45</v>
      </c>
      <c r="H284" s="1069"/>
      <c r="I284" s="1049">
        <f>ROUND(C284*E284*F284*G284,2)</f>
        <v>4.3499999999999996</v>
      </c>
      <c r="J284" s="1049"/>
      <c r="K284" s="1049"/>
      <c r="N284" s="1087"/>
      <c r="O284" s="1087"/>
    </row>
    <row r="285" spans="1:15" ht="14.1">
      <c r="A285" s="1046"/>
      <c r="B285" s="1061"/>
      <c r="C285" s="1048"/>
      <c r="D285" s="1048"/>
      <c r="E285" s="1048"/>
      <c r="F285" s="1049"/>
      <c r="G285" s="1049"/>
      <c r="H285" s="1049" t="s">
        <v>982</v>
      </c>
      <c r="I285" s="1052">
        <f>SUM(I284)</f>
        <v>4.3499999999999996</v>
      </c>
      <c r="J285" s="1049">
        <f>Datas!$G$789</f>
        <v>8076.9498000000003</v>
      </c>
      <c r="K285" s="1053">
        <f>ROUND(J285*I285/10,0)</f>
        <v>3513</v>
      </c>
      <c r="L285" s="1049">
        <f>1.1*0+0.012*9</f>
        <v>0.108</v>
      </c>
      <c r="M285" s="1055">
        <f>L285*I285</f>
        <v>0.46979999999999994</v>
      </c>
      <c r="N285" s="1087">
        <f>(0.12*9)</f>
        <v>1.08</v>
      </c>
      <c r="O285" s="1087">
        <f>ROUND(I285*N285,0)</f>
        <v>5</v>
      </c>
    </row>
    <row r="286" spans="1:15" ht="14.1">
      <c r="A286" s="1046"/>
      <c r="B286" s="1061"/>
      <c r="C286" s="1048"/>
      <c r="D286" s="1048"/>
      <c r="E286" s="1048"/>
      <c r="F286" s="1049"/>
      <c r="G286" s="1049"/>
      <c r="H286" s="1049"/>
      <c r="I286" s="1053" t="s">
        <v>1478</v>
      </c>
      <c r="J286" s="1053" t="s">
        <v>37</v>
      </c>
      <c r="K286" s="1053"/>
      <c r="N286" s="1087"/>
      <c r="O286" s="1087"/>
    </row>
    <row r="287" spans="1:15" ht="125.2" customHeight="1">
      <c r="A287" s="1046">
        <v>19</v>
      </c>
      <c r="B287" s="2428" t="s">
        <v>2298</v>
      </c>
      <c r="C287" s="2429"/>
      <c r="D287" s="2429"/>
      <c r="E287" s="2429"/>
      <c r="F287" s="2429"/>
      <c r="G287" s="2429"/>
      <c r="H287" s="2429"/>
      <c r="I287" s="2430"/>
      <c r="J287" s="1049"/>
      <c r="K287" s="1049"/>
      <c r="N287" s="1087"/>
      <c r="O287" s="1087"/>
    </row>
    <row r="288" spans="1:15" ht="14.1">
      <c r="A288" s="1088"/>
      <c r="B288" s="1180" t="s">
        <v>2184</v>
      </c>
      <c r="C288" s="1048">
        <v>1</v>
      </c>
      <c r="D288" s="1048" t="s">
        <v>1472</v>
      </c>
      <c r="E288" s="1048">
        <v>2</v>
      </c>
      <c r="F288" s="1049">
        <f>2*1.5+2*1.45</f>
        <v>5.9</v>
      </c>
      <c r="G288" s="1090"/>
      <c r="H288" s="1049">
        <v>1.2</v>
      </c>
      <c r="I288" s="1049">
        <f>ROUND(C288*E288*F288*H288,2)</f>
        <v>14.16</v>
      </c>
      <c r="J288" s="1049"/>
      <c r="K288" s="1049"/>
      <c r="N288" s="1087"/>
      <c r="O288" s="1087"/>
    </row>
    <row r="289" spans="1:15" ht="14.1">
      <c r="A289" s="1088"/>
      <c r="B289" s="1180" t="s">
        <v>2035</v>
      </c>
      <c r="C289" s="1048">
        <v>-1</v>
      </c>
      <c r="D289" s="1048" t="s">
        <v>1472</v>
      </c>
      <c r="E289" s="1048">
        <v>2</v>
      </c>
      <c r="F289" s="1049">
        <v>0.75</v>
      </c>
      <c r="G289" s="1090"/>
      <c r="H289" s="1049">
        <v>1.2</v>
      </c>
      <c r="I289" s="1049">
        <f>ROUND(C289*E289*F289*H289,2)</f>
        <v>-1.8</v>
      </c>
      <c r="J289" s="1049"/>
      <c r="K289" s="1049"/>
      <c r="N289" s="1087"/>
      <c r="O289" s="1087"/>
    </row>
    <row r="290" spans="1:15" ht="14.1">
      <c r="A290" s="1046"/>
      <c r="B290" s="1061"/>
      <c r="C290" s="1048"/>
      <c r="D290" s="1048"/>
      <c r="E290" s="1048"/>
      <c r="F290" s="1049"/>
      <c r="G290" s="1049"/>
      <c r="H290" s="1049"/>
      <c r="I290" s="1052">
        <f>SUM(I288:I289)</f>
        <v>12.36</v>
      </c>
      <c r="J290" s="1049">
        <f>Datas!$G$806</f>
        <v>6385.4000000000005</v>
      </c>
      <c r="K290" s="1053">
        <f>ROUND(J290*I290/10,0)</f>
        <v>7892</v>
      </c>
      <c r="L290" s="1049">
        <f>0.012*9</f>
        <v>0.108</v>
      </c>
      <c r="M290" s="1055">
        <f>L290*I290</f>
        <v>1.3348799999999998</v>
      </c>
      <c r="N290" s="1087">
        <f>(0.12*9)</f>
        <v>1.08</v>
      </c>
      <c r="O290" s="1087">
        <f>ROUND(I290*N290,0)</f>
        <v>13</v>
      </c>
    </row>
    <row r="291" spans="1:15" ht="14.1">
      <c r="A291" s="1046"/>
      <c r="B291" s="1061"/>
      <c r="C291" s="1048"/>
      <c r="D291" s="1048"/>
      <c r="E291" s="1048"/>
      <c r="F291" s="1049"/>
      <c r="G291" s="1049"/>
      <c r="H291" s="1049"/>
      <c r="I291" s="1053" t="s">
        <v>1478</v>
      </c>
      <c r="J291" s="1053" t="s">
        <v>37</v>
      </c>
      <c r="K291" s="1053"/>
      <c r="L291" s="1049"/>
      <c r="M291" s="1055"/>
      <c r="N291" s="1087"/>
      <c r="O291" s="1087"/>
    </row>
    <row r="292" spans="1:15" ht="132" customHeight="1">
      <c r="A292" s="1046">
        <v>20</v>
      </c>
      <c r="B292" s="2415" t="s">
        <v>2307</v>
      </c>
      <c r="C292" s="2426"/>
      <c r="D292" s="2426"/>
      <c r="E292" s="2426"/>
      <c r="F292" s="2426"/>
      <c r="G292" s="2426"/>
      <c r="H292" s="2426"/>
      <c r="I292" s="2427"/>
      <c r="J292" s="1049"/>
      <c r="K292" s="1049"/>
      <c r="L292" s="1049"/>
      <c r="M292" s="1049"/>
      <c r="N292" s="1087"/>
      <c r="O292" s="1087"/>
    </row>
    <row r="293" spans="1:15" ht="14.1">
      <c r="A293" s="1046"/>
      <c r="B293" s="1178" t="s">
        <v>2141</v>
      </c>
      <c r="C293" s="1048">
        <v>1</v>
      </c>
      <c r="D293" s="1048" t="s">
        <v>1472</v>
      </c>
      <c r="E293" s="1048">
        <v>2</v>
      </c>
      <c r="F293" s="1049">
        <f>(46.5-1.5)*0.3048</f>
        <v>13.716000000000001</v>
      </c>
      <c r="G293" s="1049">
        <v>0.1</v>
      </c>
      <c r="H293" s="1069"/>
      <c r="I293" s="1049">
        <f>ROUND(C293*E293*F293*G293,2)</f>
        <v>2.74</v>
      </c>
      <c r="J293" s="1049"/>
      <c r="K293" s="1049"/>
      <c r="L293" s="1049"/>
      <c r="M293" s="1049"/>
      <c r="N293" s="1087"/>
      <c r="O293" s="1087"/>
    </row>
    <row r="294" spans="1:15" ht="14.1">
      <c r="A294" s="1046"/>
      <c r="B294" s="1178" t="s">
        <v>2142</v>
      </c>
      <c r="C294" s="1048">
        <v>1</v>
      </c>
      <c r="D294" s="1048" t="s">
        <v>1472</v>
      </c>
      <c r="E294" s="1048">
        <v>2</v>
      </c>
      <c r="F294" s="1049">
        <f>(30)*0.3048</f>
        <v>9.1440000000000001</v>
      </c>
      <c r="G294" s="1049">
        <v>0.1</v>
      </c>
      <c r="H294" s="1069"/>
      <c r="I294" s="1049">
        <f>ROUND(C294*E294*F294*G294,2)</f>
        <v>1.83</v>
      </c>
      <c r="J294" s="1049"/>
      <c r="K294" s="1049"/>
      <c r="L294" s="1049"/>
      <c r="M294" s="1049"/>
      <c r="N294" s="1087"/>
      <c r="O294" s="1087"/>
    </row>
    <row r="295" spans="1:15">
      <c r="A295" s="1048"/>
      <c r="B295" s="1178" t="s">
        <v>40</v>
      </c>
      <c r="C295" s="1048">
        <v>1</v>
      </c>
      <c r="D295" s="1048" t="s">
        <v>1472</v>
      </c>
      <c r="E295" s="1048">
        <v>3</v>
      </c>
      <c r="F295" s="1049">
        <v>1.5</v>
      </c>
      <c r="G295" s="1049">
        <v>0.1</v>
      </c>
      <c r="H295" s="1049"/>
      <c r="I295" s="1049">
        <f>-ROUND(C295*E295*F295*G295,2)</f>
        <v>-0.45</v>
      </c>
      <c r="J295" s="1049"/>
      <c r="K295" s="1049"/>
      <c r="L295" s="1049"/>
      <c r="M295" s="1049"/>
      <c r="N295" s="1087"/>
      <c r="O295" s="1087"/>
    </row>
    <row r="296" spans="1:15">
      <c r="A296" s="1048"/>
      <c r="B296" s="1178" t="s">
        <v>41</v>
      </c>
      <c r="C296" s="1048">
        <v>1</v>
      </c>
      <c r="D296" s="1048" t="s">
        <v>1472</v>
      </c>
      <c r="E296" s="1048">
        <v>2</v>
      </c>
      <c r="F296" s="1049">
        <v>0.9</v>
      </c>
      <c r="G296" s="1049">
        <v>0.1</v>
      </c>
      <c r="H296" s="1049"/>
      <c r="I296" s="1049">
        <f>-ROUND(C296*E296*F296*G296,2)</f>
        <v>-0.18</v>
      </c>
      <c r="J296" s="1049"/>
      <c r="K296" s="1049"/>
      <c r="L296" s="1049"/>
      <c r="M296" s="1049"/>
      <c r="N296" s="1087"/>
      <c r="O296" s="1087"/>
    </row>
    <row r="297" spans="1:15" ht="14.1">
      <c r="A297" s="1046"/>
      <c r="B297" s="1178"/>
      <c r="C297" s="1048"/>
      <c r="D297" s="1048"/>
      <c r="E297" s="1048"/>
      <c r="F297" s="1049"/>
      <c r="G297" s="1049"/>
      <c r="H297" s="1049" t="s">
        <v>982</v>
      </c>
      <c r="I297" s="1052">
        <v>0</v>
      </c>
      <c r="J297" s="1049">
        <f>Datas!$G$844</f>
        <v>8348.74</v>
      </c>
      <c r="K297" s="1053">
        <f>ROUND(J297*I297/10,0)</f>
        <v>0</v>
      </c>
      <c r="L297" s="1049">
        <f>0.12*9+1.1*8</f>
        <v>9.8800000000000008</v>
      </c>
      <c r="M297" s="1055">
        <f>L297*I297</f>
        <v>0</v>
      </c>
      <c r="N297" s="1087">
        <f>(0.12*9+1.1*8)</f>
        <v>9.8800000000000008</v>
      </c>
      <c r="O297" s="1087">
        <f>ROUND(I297*N297,0)</f>
        <v>0</v>
      </c>
    </row>
    <row r="298" spans="1:15" ht="14.1">
      <c r="A298" s="1046"/>
      <c r="B298" s="1061"/>
      <c r="C298" s="1048"/>
      <c r="D298" s="1048"/>
      <c r="E298" s="1048"/>
      <c r="F298" s="1049"/>
      <c r="G298" s="1049"/>
      <c r="H298" s="1049"/>
      <c r="I298" s="1053" t="s">
        <v>1478</v>
      </c>
      <c r="J298" s="1053" t="s">
        <v>37</v>
      </c>
      <c r="K298" s="1053"/>
      <c r="L298" s="1049"/>
      <c r="M298" s="1049"/>
      <c r="N298" s="1087"/>
      <c r="O298" s="1087"/>
    </row>
    <row r="299" spans="1:15" ht="91.5" customHeight="1">
      <c r="A299" s="1046">
        <v>21</v>
      </c>
      <c r="B299" s="2415" t="s">
        <v>2308</v>
      </c>
      <c r="C299" s="2416"/>
      <c r="D299" s="2416"/>
      <c r="E299" s="2416"/>
      <c r="F299" s="2416"/>
      <c r="G299" s="2416"/>
      <c r="H299" s="2416"/>
      <c r="I299" s="2417"/>
      <c r="J299" s="1049"/>
      <c r="K299" s="1049"/>
      <c r="L299" s="1049"/>
      <c r="M299" s="1049"/>
      <c r="N299" s="1087"/>
      <c r="O299" s="1087"/>
    </row>
    <row r="300" spans="1:15" ht="14.1">
      <c r="A300" s="1046"/>
      <c r="B300" s="1181" t="s">
        <v>2143</v>
      </c>
      <c r="C300" s="1080"/>
      <c r="D300" s="1080"/>
      <c r="E300" s="1080"/>
      <c r="F300" s="1080"/>
      <c r="G300" s="1055"/>
      <c r="H300" s="1080"/>
      <c r="I300" s="1081"/>
      <c r="J300" s="1049"/>
      <c r="K300" s="1049"/>
      <c r="L300" s="1049"/>
      <c r="M300" s="1049"/>
      <c r="N300" s="1087"/>
      <c r="O300" s="1087"/>
    </row>
    <row r="301" spans="1:15" s="1090" customFormat="1" ht="14.1">
      <c r="A301" s="1088"/>
      <c r="B301" s="1178" t="s">
        <v>2141</v>
      </c>
      <c r="C301" s="1048">
        <v>1</v>
      </c>
      <c r="D301" s="1048" t="s">
        <v>1472</v>
      </c>
      <c r="E301" s="1048">
        <v>2</v>
      </c>
      <c r="F301" s="1049">
        <f>(60.75)*0.3048</f>
        <v>18.5166</v>
      </c>
      <c r="H301" s="1049">
        <v>0.6</v>
      </c>
      <c r="I301" s="1049">
        <f>ROUND(C301*E301*F301*H301,2)</f>
        <v>22.22</v>
      </c>
      <c r="J301" s="1049"/>
      <c r="K301" s="1049"/>
      <c r="L301" s="1049"/>
      <c r="M301" s="1049"/>
      <c r="N301" s="1185"/>
      <c r="O301" s="1185"/>
    </row>
    <row r="302" spans="1:15" s="1090" customFormat="1" ht="14.1">
      <c r="A302" s="1088"/>
      <c r="B302" s="1178" t="s">
        <v>2142</v>
      </c>
      <c r="C302" s="1048">
        <v>1</v>
      </c>
      <c r="D302" s="1048" t="s">
        <v>1472</v>
      </c>
      <c r="E302" s="1048">
        <v>2</v>
      </c>
      <c r="F302" s="1049">
        <f>(31.5)*0.3048</f>
        <v>9.6012000000000004</v>
      </c>
      <c r="H302" s="1049">
        <v>0.6</v>
      </c>
      <c r="I302" s="1049">
        <f>ROUND(C302*E302*F302*H302,2)</f>
        <v>11.52</v>
      </c>
      <c r="J302" s="1049"/>
      <c r="K302" s="1049"/>
      <c r="L302" s="1049"/>
      <c r="M302" s="1049"/>
      <c r="N302" s="1185"/>
      <c r="O302" s="1185"/>
    </row>
    <row r="303" spans="1:15" s="1090" customFormat="1" ht="14.1">
      <c r="A303" s="1088"/>
      <c r="B303" s="1180" t="s">
        <v>470</v>
      </c>
      <c r="C303" s="1048">
        <v>1</v>
      </c>
      <c r="D303" s="1048" t="s">
        <v>1472</v>
      </c>
      <c r="E303" s="1048">
        <v>1</v>
      </c>
      <c r="F303" s="1049">
        <f>(31.5-6)*0.3048</f>
        <v>7.7724000000000002</v>
      </c>
      <c r="G303" s="1049"/>
      <c r="H303" s="1049">
        <v>0.6</v>
      </c>
      <c r="I303" s="1049">
        <f>-ROUND(C303*E303*F303*H303,2)</f>
        <v>-4.66</v>
      </c>
      <c r="J303" s="1049"/>
      <c r="K303" s="1049"/>
      <c r="L303" s="1049"/>
      <c r="M303" s="1049"/>
      <c r="N303" s="1185"/>
      <c r="O303" s="1185"/>
    </row>
    <row r="304" spans="1:15" ht="14.1">
      <c r="A304" s="1046"/>
      <c r="B304" s="1181" t="s">
        <v>2124</v>
      </c>
      <c r="C304" s="1080"/>
      <c r="D304" s="1080"/>
      <c r="E304" s="1080"/>
      <c r="F304" s="1080"/>
      <c r="G304" s="1055"/>
      <c r="H304" s="1080"/>
      <c r="I304" s="1081"/>
      <c r="J304" s="1049"/>
      <c r="K304" s="1049"/>
      <c r="L304" s="1049"/>
      <c r="M304" s="1049"/>
      <c r="N304" s="1087"/>
      <c r="O304" s="1087"/>
    </row>
    <row r="305" spans="1:15" s="1090" customFormat="1" ht="14.1">
      <c r="A305" s="1088"/>
      <c r="B305" s="1178" t="s">
        <v>2141</v>
      </c>
      <c r="C305" s="1048">
        <v>1</v>
      </c>
      <c r="D305" s="1048" t="s">
        <v>1472</v>
      </c>
      <c r="E305" s="1048">
        <v>2</v>
      </c>
      <c r="F305" s="1049">
        <f>(12-6)*0.3048</f>
        <v>1.8288000000000002</v>
      </c>
      <c r="H305" s="1049">
        <v>0.6</v>
      </c>
      <c r="I305" s="1049">
        <f>ROUND(C305*E305*F305*H305,2)</f>
        <v>2.19</v>
      </c>
      <c r="J305" s="1049"/>
      <c r="K305" s="1049"/>
      <c r="L305" s="1049"/>
      <c r="M305" s="1049"/>
      <c r="N305" s="1185"/>
      <c r="O305" s="1185"/>
    </row>
    <row r="306" spans="1:15" s="1090" customFormat="1" ht="14.1">
      <c r="A306" s="1088"/>
      <c r="B306" s="1178" t="s">
        <v>2142</v>
      </c>
      <c r="C306" s="1048">
        <v>1</v>
      </c>
      <c r="D306" s="1048" t="s">
        <v>1472</v>
      </c>
      <c r="E306" s="1048">
        <v>1</v>
      </c>
      <c r="F306" s="1049">
        <f>(12)*0.3048</f>
        <v>3.6576000000000004</v>
      </c>
      <c r="H306" s="1049">
        <v>0.6</v>
      </c>
      <c r="I306" s="1049">
        <f>ROUND(C306*E306*F306*H306,2)</f>
        <v>2.19</v>
      </c>
      <c r="J306" s="1049"/>
      <c r="K306" s="1049"/>
      <c r="L306" s="1049"/>
      <c r="M306" s="1049"/>
      <c r="N306" s="1185"/>
      <c r="O306" s="1185"/>
    </row>
    <row r="307" spans="1:15" ht="14.1">
      <c r="A307" s="1046"/>
      <c r="B307" s="1060"/>
      <c r="C307" s="1048"/>
      <c r="D307" s="1048"/>
      <c r="E307" s="1048"/>
      <c r="F307" s="1049"/>
      <c r="G307" s="1049"/>
      <c r="H307" s="1049"/>
      <c r="I307" s="1052">
        <f>SUM(I301:I306)</f>
        <v>33.459999999999994</v>
      </c>
      <c r="J307" s="1049">
        <f>Datas!$G$263</f>
        <v>905.74</v>
      </c>
      <c r="K307" s="1053">
        <f>ROUND(J307*I307/10,0)</f>
        <v>3031</v>
      </c>
      <c r="L307" s="1049">
        <f>0.03*9</f>
        <v>0.27</v>
      </c>
      <c r="M307" s="1055">
        <f>L307*I307</f>
        <v>9.0341999999999985</v>
      </c>
      <c r="N307" s="1087">
        <f>(0.03*9)</f>
        <v>0.27</v>
      </c>
      <c r="O307" s="1087">
        <f>ROUND(I307*N307,0)</f>
        <v>9</v>
      </c>
    </row>
    <row r="308" spans="1:15" ht="14.1">
      <c r="A308" s="1046"/>
      <c r="B308" s="1060"/>
      <c r="C308" s="1048"/>
      <c r="D308" s="1048"/>
      <c r="E308" s="1048"/>
      <c r="F308" s="1049"/>
      <c r="G308" s="1049"/>
      <c r="H308" s="1049"/>
      <c r="I308" s="1053" t="s">
        <v>1478</v>
      </c>
      <c r="J308" s="1053" t="s">
        <v>37</v>
      </c>
      <c r="K308" s="1053"/>
      <c r="L308" s="1053"/>
      <c r="M308" s="1053"/>
      <c r="N308" s="1087"/>
      <c r="O308" s="1087"/>
    </row>
    <row r="309" spans="1:15" ht="14.1">
      <c r="A309" s="1046"/>
      <c r="B309" s="1091"/>
      <c r="C309" s="1072"/>
      <c r="D309" s="1072"/>
      <c r="E309" s="1072"/>
      <c r="F309" s="1073"/>
      <c r="G309" s="1073"/>
      <c r="H309" s="1073"/>
      <c r="I309" s="1092"/>
      <c r="J309" s="1053"/>
      <c r="K309" s="1053"/>
      <c r="L309" s="1053"/>
      <c r="M309" s="1053"/>
      <c r="N309" s="1087"/>
      <c r="O309" s="1087"/>
    </row>
    <row r="310" spans="1:15" ht="147.75" customHeight="1">
      <c r="A310" s="1046">
        <v>22</v>
      </c>
      <c r="B310" s="2415" t="s">
        <v>2264</v>
      </c>
      <c r="C310" s="2416"/>
      <c r="D310" s="2416"/>
      <c r="E310" s="2416"/>
      <c r="F310" s="2416"/>
      <c r="G310" s="2416"/>
      <c r="H310" s="2416"/>
      <c r="I310" s="2417"/>
      <c r="J310" s="1049"/>
      <c r="K310" s="1049"/>
      <c r="L310" s="1049"/>
      <c r="M310" s="1049"/>
      <c r="N310" s="1087"/>
      <c r="O310" s="1087"/>
    </row>
    <row r="311" spans="1:15" ht="14.1">
      <c r="A311" s="1046"/>
      <c r="B311" s="1181" t="s">
        <v>2143</v>
      </c>
      <c r="C311" s="1080"/>
      <c r="D311" s="1080"/>
      <c r="E311" s="1080"/>
      <c r="F311" s="1080"/>
      <c r="G311" s="1055"/>
      <c r="H311" s="1080"/>
      <c r="I311" s="1081"/>
      <c r="J311" s="1049"/>
      <c r="K311" s="1049"/>
      <c r="L311" s="1049"/>
      <c r="M311" s="1049"/>
      <c r="N311" s="1087"/>
      <c r="O311" s="1087"/>
    </row>
    <row r="312" spans="1:15" s="1090" customFormat="1" ht="14.1">
      <c r="A312" s="1088"/>
      <c r="B312" s="1178" t="s">
        <v>2356</v>
      </c>
      <c r="C312" s="1048">
        <v>1</v>
      </c>
      <c r="D312" s="1048" t="s">
        <v>1472</v>
      </c>
      <c r="E312" s="1048">
        <v>1</v>
      </c>
      <c r="F312" s="1049">
        <v>1.8</v>
      </c>
      <c r="H312" s="1049">
        <v>2.4</v>
      </c>
      <c r="I312" s="1049">
        <v>1</v>
      </c>
      <c r="J312" s="1049">
        <f>' data-Doors window- Sal Wood '!J232</f>
        <v>24316.42139</v>
      </c>
      <c r="K312" s="1053">
        <f>ROUND(J312*I312,0)</f>
        <v>24316</v>
      </c>
      <c r="L312" s="1049"/>
      <c r="M312" s="1049"/>
      <c r="N312" s="1185"/>
      <c r="O312" s="1185"/>
    </row>
    <row r="313" spans="1:15" ht="14.1">
      <c r="A313" s="1046"/>
      <c r="B313" s="1178"/>
      <c r="C313" s="1048"/>
      <c r="D313" s="1048"/>
      <c r="E313" s="1048"/>
      <c r="F313" s="1049"/>
      <c r="G313" s="1049"/>
      <c r="H313" s="1049"/>
      <c r="I313" s="1053" t="s">
        <v>472</v>
      </c>
      <c r="J313" s="1053" t="s">
        <v>166</v>
      </c>
      <c r="K313" s="1053"/>
      <c r="L313" s="1049">
        <f>0.03*9</f>
        <v>0.27</v>
      </c>
      <c r="M313" s="1055" t="e">
        <f>L313*I313</f>
        <v>#VALUE!</v>
      </c>
      <c r="N313" s="1087"/>
      <c r="O313" s="1087"/>
    </row>
    <row r="314" spans="1:15" ht="147.75" customHeight="1">
      <c r="A314" s="1046">
        <v>23</v>
      </c>
      <c r="B314" s="2415" t="s">
        <v>2269</v>
      </c>
      <c r="C314" s="2416"/>
      <c r="D314" s="2416"/>
      <c r="E314" s="2416"/>
      <c r="F314" s="2416"/>
      <c r="G314" s="2416"/>
      <c r="H314" s="2416"/>
      <c r="I314" s="2417"/>
      <c r="J314" s="1049"/>
      <c r="K314" s="1049"/>
      <c r="L314" s="1049"/>
      <c r="M314" s="1049"/>
      <c r="N314" s="1087"/>
      <c r="O314" s="1087"/>
    </row>
    <row r="315" spans="1:15" s="1090" customFormat="1" ht="14.1">
      <c r="A315" s="1088"/>
      <c r="B315" s="1061" t="s">
        <v>2265</v>
      </c>
      <c r="C315" s="1048">
        <v>1</v>
      </c>
      <c r="D315" s="1048" t="s">
        <v>1472</v>
      </c>
      <c r="E315" s="1048">
        <v>2</v>
      </c>
      <c r="F315" s="1049">
        <v>1.5</v>
      </c>
      <c r="H315" s="1049">
        <v>2.4</v>
      </c>
      <c r="I315" s="1049">
        <v>2</v>
      </c>
      <c r="J315" s="1049">
        <f>' data-Doors window- Sal Wood '!J194</f>
        <v>13907.051390000001</v>
      </c>
      <c r="K315" s="1053">
        <f>ROUND(J315*I315,0)</f>
        <v>27814</v>
      </c>
      <c r="L315" s="1049"/>
      <c r="M315" s="1049"/>
      <c r="N315" s="1185"/>
      <c r="O315" s="1185"/>
    </row>
    <row r="316" spans="1:15" ht="14.1">
      <c r="A316" s="1046"/>
      <c r="B316" s="1060"/>
      <c r="C316" s="1048"/>
      <c r="D316" s="1048"/>
      <c r="E316" s="1048"/>
      <c r="F316" s="1049"/>
      <c r="G316" s="1049"/>
      <c r="H316" s="1049"/>
      <c r="I316" s="1053" t="s">
        <v>472</v>
      </c>
      <c r="J316" s="1053" t="s">
        <v>166</v>
      </c>
      <c r="K316" s="1053"/>
      <c r="L316" s="1049">
        <f>0.03*9</f>
        <v>0.27</v>
      </c>
      <c r="M316" s="1055" t="e">
        <f>L316*I316</f>
        <v>#VALUE!</v>
      </c>
      <c r="N316" s="1087"/>
      <c r="O316" s="1087"/>
    </row>
    <row r="317" spans="1:15" ht="147.75" customHeight="1">
      <c r="A317" s="1046">
        <v>24</v>
      </c>
      <c r="B317" s="2415" t="s">
        <v>2276</v>
      </c>
      <c r="C317" s="2416"/>
      <c r="D317" s="2416"/>
      <c r="E317" s="2416"/>
      <c r="F317" s="2416"/>
      <c r="G317" s="2416"/>
      <c r="H317" s="2416"/>
      <c r="I317" s="2417"/>
      <c r="J317" s="1049"/>
      <c r="K317" s="1049"/>
      <c r="L317" s="1049"/>
      <c r="M317" s="1049"/>
      <c r="N317" s="1087"/>
      <c r="O317" s="1087"/>
    </row>
    <row r="318" spans="1:15" s="1090" customFormat="1" ht="14.1">
      <c r="A318" s="1088"/>
      <c r="B318" s="1061" t="s">
        <v>2277</v>
      </c>
      <c r="C318" s="1048">
        <v>1</v>
      </c>
      <c r="D318" s="1048" t="s">
        <v>1472</v>
      </c>
      <c r="E318" s="1048">
        <v>2</v>
      </c>
      <c r="F318" s="1049">
        <v>0.9</v>
      </c>
      <c r="H318" s="1049">
        <v>2.1</v>
      </c>
      <c r="I318" s="1049">
        <v>2</v>
      </c>
      <c r="J318" s="1049">
        <f>' data-Doors window- Sal Wood '!J85</f>
        <v>12556.041137249998</v>
      </c>
      <c r="K318" s="1053">
        <f>ROUND(J318*I318,0)</f>
        <v>25112</v>
      </c>
      <c r="L318" s="1049"/>
      <c r="M318" s="1049"/>
      <c r="N318" s="1185"/>
      <c r="O318" s="1185"/>
    </row>
    <row r="319" spans="1:15" ht="14.1">
      <c r="A319" s="1046"/>
      <c r="B319" s="1060"/>
      <c r="C319" s="1048"/>
      <c r="D319" s="1048"/>
      <c r="E319" s="1048"/>
      <c r="F319" s="1049"/>
      <c r="G319" s="1049"/>
      <c r="H319" s="1049"/>
      <c r="I319" s="1053" t="s">
        <v>472</v>
      </c>
      <c r="J319" s="1053" t="s">
        <v>166</v>
      </c>
      <c r="K319" s="1053"/>
      <c r="L319" s="1049">
        <f>0.03*9</f>
        <v>0.27</v>
      </c>
      <c r="M319" s="1055" t="e">
        <f>L319*I319</f>
        <v>#VALUE!</v>
      </c>
      <c r="N319" s="1087"/>
      <c r="O319" s="1087"/>
    </row>
    <row r="320" spans="1:15" ht="174.9" customHeight="1">
      <c r="A320" s="1046">
        <v>25</v>
      </c>
      <c r="B320" s="2415" t="s">
        <v>2246</v>
      </c>
      <c r="C320" s="2416"/>
      <c r="D320" s="2416"/>
      <c r="E320" s="2416"/>
      <c r="F320" s="2416"/>
      <c r="G320" s="2416"/>
      <c r="H320" s="2416"/>
      <c r="I320" s="2417"/>
      <c r="J320" s="1049"/>
      <c r="K320" s="1049"/>
      <c r="L320" s="1049"/>
      <c r="M320" s="1049"/>
      <c r="N320" s="1087"/>
      <c r="O320" s="1087"/>
    </row>
    <row r="321" spans="1:15" s="1090" customFormat="1" ht="14.1">
      <c r="A321" s="1088"/>
      <c r="B321" s="1071"/>
      <c r="C321" s="1048"/>
      <c r="D321" s="1048"/>
      <c r="E321" s="1048"/>
      <c r="F321" s="1049"/>
      <c r="H321" s="1049"/>
      <c r="I321" s="1049"/>
      <c r="J321" s="1049"/>
      <c r="K321" s="1053"/>
      <c r="L321" s="1049"/>
      <c r="M321" s="1068"/>
      <c r="N321" s="1185"/>
      <c r="O321" s="1185"/>
    </row>
    <row r="322" spans="1:15" s="1090" customFormat="1" ht="14.1">
      <c r="A322" s="1088"/>
      <c r="B322" s="1061" t="s">
        <v>2357</v>
      </c>
      <c r="C322" s="1048">
        <v>1</v>
      </c>
      <c r="D322" s="1048" t="s">
        <v>1472</v>
      </c>
      <c r="E322" s="1048">
        <v>4</v>
      </c>
      <c r="F322" s="1049">
        <v>1.5</v>
      </c>
      <c r="H322" s="1049">
        <v>1.2</v>
      </c>
      <c r="I322" s="1049">
        <f>H322*F322*E322</f>
        <v>7.1999999999999993</v>
      </c>
      <c r="J322" s="1049">
        <v>6134</v>
      </c>
      <c r="K322" s="1053">
        <f>ROUND(J322*I322,0)</f>
        <v>44165</v>
      </c>
      <c r="L322" s="1049"/>
      <c r="M322" s="1049"/>
      <c r="N322" s="1185"/>
      <c r="O322" s="1185"/>
    </row>
    <row r="323" spans="1:15" ht="14.1">
      <c r="A323" s="1046"/>
      <c r="B323" s="1060"/>
      <c r="C323" s="1048"/>
      <c r="D323" s="1048"/>
      <c r="E323" s="1048"/>
      <c r="F323" s="1049"/>
      <c r="G323" s="1049"/>
      <c r="H323" s="1049"/>
      <c r="I323" s="1053" t="s">
        <v>1478</v>
      </c>
      <c r="J323" s="1053" t="s">
        <v>2169</v>
      </c>
      <c r="K323" s="1053"/>
      <c r="L323" s="1049">
        <f>0.03*9</f>
        <v>0.27</v>
      </c>
      <c r="M323" s="1055" t="e">
        <f>L323*I323</f>
        <v>#VALUE!</v>
      </c>
      <c r="N323" s="1087"/>
      <c r="O323" s="1087"/>
    </row>
    <row r="324" spans="1:15" ht="154.5" customHeight="1">
      <c r="A324" s="1046">
        <v>26</v>
      </c>
      <c r="B324" s="2415" t="s">
        <v>2274</v>
      </c>
      <c r="C324" s="2416"/>
      <c r="D324" s="2416"/>
      <c r="E324" s="2416"/>
      <c r="F324" s="2416"/>
      <c r="G324" s="2416"/>
      <c r="H324" s="2416"/>
      <c r="I324" s="2417"/>
      <c r="J324" s="1049"/>
      <c r="K324" s="1049"/>
      <c r="L324" s="1049"/>
      <c r="M324" s="1049"/>
      <c r="N324" s="1087"/>
      <c r="O324" s="1087"/>
    </row>
    <row r="325" spans="1:15" ht="14.1">
      <c r="A325" s="1046"/>
      <c r="B325" s="1057" t="s">
        <v>2144</v>
      </c>
      <c r="C325" s="1048"/>
      <c r="D325" s="1048"/>
      <c r="E325" s="1048"/>
      <c r="F325" s="1049"/>
      <c r="G325" s="1049"/>
      <c r="H325" s="1049"/>
      <c r="I325" s="1053"/>
      <c r="J325" s="1053"/>
      <c r="K325" s="1053"/>
      <c r="L325" s="1049">
        <f>0.03*9</f>
        <v>0.27</v>
      </c>
      <c r="M325" s="1055">
        <f>L325*I325</f>
        <v>0</v>
      </c>
      <c r="N325" s="1087"/>
      <c r="O325" s="1087"/>
    </row>
    <row r="326" spans="1:15" s="1090" customFormat="1" ht="14.1">
      <c r="A326" s="1088"/>
      <c r="B326" s="1061" t="s">
        <v>2279</v>
      </c>
      <c r="C326" s="1048">
        <v>1</v>
      </c>
      <c r="D326" s="1048" t="s">
        <v>1472</v>
      </c>
      <c r="E326" s="1048">
        <v>2</v>
      </c>
      <c r="F326" s="1049">
        <v>0.75</v>
      </c>
      <c r="H326" s="1049">
        <v>2.1</v>
      </c>
      <c r="I326" s="1049">
        <v>2</v>
      </c>
      <c r="J326" s="1049">
        <f>' data-Doors window- Sal Wood '!J49</f>
        <v>10819.3</v>
      </c>
      <c r="K326" s="1053">
        <f>ROUND(J326*I326,0)</f>
        <v>21639</v>
      </c>
      <c r="L326" s="1049"/>
      <c r="M326" s="1049"/>
      <c r="N326" s="1185"/>
      <c r="O326" s="1185"/>
    </row>
    <row r="327" spans="1:15" ht="14.1">
      <c r="A327" s="1046"/>
      <c r="B327" s="1060"/>
      <c r="C327" s="1048"/>
      <c r="D327" s="1048"/>
      <c r="E327" s="1048"/>
      <c r="F327" s="1049"/>
      <c r="G327" s="1049"/>
      <c r="H327" s="1049"/>
      <c r="I327" s="1053" t="s">
        <v>472</v>
      </c>
      <c r="J327" s="1053" t="s">
        <v>166</v>
      </c>
      <c r="K327" s="1053"/>
      <c r="L327" s="1049">
        <f>0.03*9</f>
        <v>0.27</v>
      </c>
      <c r="M327" s="1055" t="e">
        <f>L327*I327</f>
        <v>#VALUE!</v>
      </c>
      <c r="N327" s="1087"/>
      <c r="O327" s="1087"/>
    </row>
    <row r="328" spans="1:15" s="1095" customFormat="1" ht="52.5" customHeight="1">
      <c r="A328" s="1093">
        <v>27</v>
      </c>
      <c r="B328" s="2404" t="s">
        <v>909</v>
      </c>
      <c r="C328" s="2405"/>
      <c r="D328" s="2405"/>
      <c r="E328" s="2405"/>
      <c r="F328" s="2405"/>
      <c r="G328" s="2405"/>
      <c r="H328" s="2405"/>
      <c r="I328" s="2406"/>
      <c r="J328" s="1094"/>
      <c r="K328" s="1094"/>
      <c r="L328" s="1094"/>
      <c r="M328" s="1094"/>
      <c r="N328" s="1166"/>
      <c r="O328" s="1166"/>
    </row>
    <row r="329" spans="1:15" ht="14.1">
      <c r="A329" s="1046"/>
      <c r="B329" s="1061" t="s">
        <v>2215</v>
      </c>
      <c r="C329" s="1048">
        <v>1</v>
      </c>
      <c r="D329" s="1048" t="s">
        <v>1472</v>
      </c>
      <c r="E329" s="1048">
        <v>6</v>
      </c>
      <c r="F329" s="1049">
        <f>11*0.3048</f>
        <v>3.3528000000000002</v>
      </c>
      <c r="G329" s="1096">
        <v>1</v>
      </c>
      <c r="H329" s="1049">
        <v>0.9</v>
      </c>
      <c r="I329" s="1049">
        <f>ROUND(C329*E329*F329*G329*H329,2)</f>
        <v>18.11</v>
      </c>
      <c r="J329" s="1049"/>
      <c r="K329" s="1049"/>
      <c r="L329" s="1049"/>
      <c r="M329" s="1049"/>
      <c r="N329" s="1087"/>
      <c r="O329" s="1087"/>
    </row>
    <row r="330" spans="1:15" ht="14.1">
      <c r="A330" s="1046"/>
      <c r="B330" s="1061" t="s">
        <v>2216</v>
      </c>
      <c r="C330" s="1048">
        <v>1</v>
      </c>
      <c r="D330" s="1048" t="s">
        <v>1472</v>
      </c>
      <c r="E330" s="1048">
        <v>2</v>
      </c>
      <c r="F330" s="1049">
        <v>2.4</v>
      </c>
      <c r="G330" s="1096">
        <v>1</v>
      </c>
      <c r="H330" s="1049">
        <v>2</v>
      </c>
      <c r="I330" s="1049">
        <f>ROUND(C330*E330*F330*G330*H330,2)</f>
        <v>9.6</v>
      </c>
      <c r="J330" s="1049"/>
      <c r="K330" s="1049"/>
      <c r="L330" s="1049"/>
      <c r="M330" s="1049"/>
      <c r="N330" s="1087"/>
      <c r="O330" s="1087"/>
    </row>
    <row r="331" spans="1:15" ht="14.1">
      <c r="A331" s="1046"/>
      <c r="B331" s="1061"/>
      <c r="C331" s="1048"/>
      <c r="D331" s="1048"/>
      <c r="E331" s="1048"/>
      <c r="F331" s="1049"/>
      <c r="G331" s="1096"/>
      <c r="H331" s="1049"/>
      <c r="I331" s="1049">
        <f>SUM(I329:I330)</f>
        <v>27.71</v>
      </c>
      <c r="J331" s="1049"/>
      <c r="K331" s="1049"/>
      <c r="L331" s="1049"/>
      <c r="M331" s="1049"/>
      <c r="N331" s="1087"/>
      <c r="O331" s="1087"/>
    </row>
    <row r="332" spans="1:15" ht="14.1">
      <c r="A332" s="1046"/>
      <c r="B332" s="1061"/>
      <c r="C332" s="1048"/>
      <c r="D332" s="1048"/>
      <c r="E332" s="1048"/>
      <c r="F332" s="1049"/>
      <c r="G332" s="1049"/>
      <c r="H332" s="1049"/>
      <c r="I332" s="1049">
        <f>ROUND(I331/0.3048^2*2,2)</f>
        <v>596.54</v>
      </c>
      <c r="J332" s="1049">
        <f>Datas!G1054</f>
        <v>116.62</v>
      </c>
      <c r="K332" s="1053">
        <f>ROUND(J332*I332,0)</f>
        <v>69568</v>
      </c>
      <c r="L332" s="1049"/>
      <c r="M332" s="1049"/>
      <c r="N332" s="1087"/>
      <c r="O332" s="1087"/>
    </row>
    <row r="333" spans="1:15" ht="14.1">
      <c r="A333" s="1046"/>
      <c r="B333" s="1061"/>
      <c r="C333" s="1048"/>
      <c r="D333" s="1048"/>
      <c r="E333" s="1048"/>
      <c r="F333" s="1049"/>
      <c r="G333" s="1049"/>
      <c r="H333" s="1049"/>
      <c r="I333" s="1053" t="s">
        <v>2240</v>
      </c>
      <c r="J333" s="1053" t="s">
        <v>2241</v>
      </c>
      <c r="K333" s="1053"/>
      <c r="L333" s="1049"/>
      <c r="M333" s="1049"/>
      <c r="N333" s="1087"/>
      <c r="O333" s="1087"/>
    </row>
    <row r="334" spans="1:15" ht="14.1">
      <c r="A334" s="1046"/>
      <c r="B334" s="1071"/>
      <c r="C334" s="1072"/>
      <c r="D334" s="1072"/>
      <c r="E334" s="1072"/>
      <c r="F334" s="1073"/>
      <c r="G334" s="1073"/>
      <c r="H334" s="1073"/>
      <c r="I334" s="1092"/>
      <c r="J334" s="1053"/>
      <c r="K334" s="1053"/>
      <c r="L334" s="1049"/>
      <c r="M334" s="1049"/>
      <c r="N334" s="1087"/>
      <c r="O334" s="1087"/>
    </row>
    <row r="335" spans="1:15" ht="56.25" customHeight="1">
      <c r="A335" s="1093">
        <v>28</v>
      </c>
      <c r="B335" s="2404" t="s">
        <v>2329</v>
      </c>
      <c r="C335" s="2405"/>
      <c r="D335" s="2405"/>
      <c r="E335" s="2405"/>
      <c r="F335" s="2405"/>
      <c r="G335" s="2405"/>
      <c r="H335" s="2405"/>
      <c r="I335" s="2406"/>
      <c r="J335" s="1094"/>
      <c r="K335" s="1094"/>
      <c r="L335" s="1049"/>
      <c r="M335" s="1049"/>
      <c r="N335" s="1087"/>
      <c r="O335" s="1087"/>
    </row>
    <row r="336" spans="1:15" ht="14.1">
      <c r="A336" s="1046"/>
      <c r="B336" s="1061" t="s">
        <v>2326</v>
      </c>
      <c r="C336" s="1048">
        <v>2</v>
      </c>
      <c r="D336" s="1048" t="s">
        <v>1472</v>
      </c>
      <c r="E336" s="1048">
        <v>6</v>
      </c>
      <c r="F336" s="1049"/>
      <c r="G336" s="1049"/>
      <c r="H336" s="1049"/>
      <c r="I336" s="1049">
        <v>33.9</v>
      </c>
      <c r="J336" s="1049">
        <f>'Data Truss and steel works'!G48</f>
        <v>136.70859999999999</v>
      </c>
      <c r="K336" s="1053">
        <f>ROUND(J336*I336/1,0)</f>
        <v>4634</v>
      </c>
      <c r="L336" s="1049"/>
      <c r="M336" s="1049"/>
      <c r="N336" s="1087"/>
      <c r="O336" s="1087"/>
    </row>
    <row r="337" spans="1:15" ht="14.1">
      <c r="A337" s="1046"/>
      <c r="B337" s="1061" t="s">
        <v>2327</v>
      </c>
      <c r="C337" s="1048"/>
      <c r="D337" s="1048"/>
      <c r="E337" s="1048"/>
      <c r="F337" s="1049"/>
      <c r="G337" s="1049"/>
      <c r="H337" s="1049"/>
      <c r="I337" s="1049" t="s">
        <v>1038</v>
      </c>
      <c r="J337" s="1049" t="s">
        <v>2328</v>
      </c>
      <c r="K337" s="1053"/>
      <c r="L337" s="1049"/>
      <c r="M337" s="1049"/>
      <c r="N337" s="1087"/>
      <c r="O337" s="1087"/>
    </row>
    <row r="338" spans="1:15" ht="45" customHeight="1">
      <c r="A338" s="1093">
        <v>29</v>
      </c>
      <c r="B338" s="2404" t="s">
        <v>2336</v>
      </c>
      <c r="C338" s="2405"/>
      <c r="D338" s="2405"/>
      <c r="E338" s="2405"/>
      <c r="F338" s="2405"/>
      <c r="G338" s="2405"/>
      <c r="H338" s="2405"/>
      <c r="I338" s="2406"/>
      <c r="J338" s="1094"/>
      <c r="K338" s="1094"/>
      <c r="L338" s="1049"/>
      <c r="M338" s="1049"/>
      <c r="N338" s="1087"/>
      <c r="O338" s="1087"/>
    </row>
    <row r="339" spans="1:15" ht="14.1">
      <c r="A339" s="1046"/>
      <c r="B339" s="1061" t="s">
        <v>2326</v>
      </c>
      <c r="C339" s="1048">
        <v>12</v>
      </c>
      <c r="D339" s="1048" t="s">
        <v>1472</v>
      </c>
      <c r="E339" s="1048">
        <v>9</v>
      </c>
      <c r="F339" s="1049">
        <v>0.15</v>
      </c>
      <c r="G339" s="1049"/>
      <c r="H339" s="1049"/>
      <c r="I339" s="1049">
        <v>113.04</v>
      </c>
      <c r="J339" s="1049">
        <v>90</v>
      </c>
      <c r="K339" s="1053">
        <f>ROUND(J339*I339/1,0)</f>
        <v>10174</v>
      </c>
      <c r="L339" s="1049"/>
      <c r="M339" s="1049"/>
      <c r="N339" s="1087"/>
      <c r="O339" s="1087"/>
    </row>
    <row r="340" spans="1:15" ht="14.1">
      <c r="A340" s="1046"/>
      <c r="B340" s="1061" t="s">
        <v>2337</v>
      </c>
      <c r="C340" s="1048"/>
      <c r="D340" s="1048"/>
      <c r="E340" s="1048"/>
      <c r="F340" s="1049"/>
      <c r="G340" s="1049"/>
      <c r="H340" s="1049"/>
      <c r="I340" s="1049" t="s">
        <v>1038</v>
      </c>
      <c r="J340" s="1049" t="s">
        <v>2328</v>
      </c>
      <c r="K340" s="1053"/>
      <c r="L340" s="1049"/>
      <c r="M340" s="1049"/>
      <c r="N340" s="1087"/>
      <c r="O340" s="1087"/>
    </row>
    <row r="341" spans="1:15" ht="14.1">
      <c r="A341" s="1046"/>
      <c r="B341" s="1061">
        <f>12*8*0.15*7850/1000</f>
        <v>113.03999999999999</v>
      </c>
      <c r="C341" s="1048"/>
      <c r="D341" s="1048"/>
      <c r="E341" s="1048"/>
      <c r="F341" s="1049"/>
      <c r="G341" s="1049"/>
      <c r="H341" s="1049"/>
      <c r="I341" s="1049"/>
      <c r="J341" s="1049"/>
      <c r="K341" s="1053"/>
      <c r="L341" s="1049"/>
      <c r="M341" s="1049"/>
      <c r="N341" s="1087"/>
      <c r="O341" s="1087"/>
    </row>
    <row r="342" spans="1:15" ht="103.5" customHeight="1">
      <c r="A342" s="1093">
        <v>30</v>
      </c>
      <c r="B342" s="2404" t="s">
        <v>2344</v>
      </c>
      <c r="C342" s="2405"/>
      <c r="D342" s="2405"/>
      <c r="E342" s="2405"/>
      <c r="F342" s="2405"/>
      <c r="G342" s="2405"/>
      <c r="H342" s="2405"/>
      <c r="I342" s="2406"/>
      <c r="J342" s="1094"/>
      <c r="K342" s="1094"/>
      <c r="L342" s="1049"/>
      <c r="M342" s="1049"/>
      <c r="N342" s="1087"/>
      <c r="O342" s="1087"/>
    </row>
    <row r="343" spans="1:15" ht="14.4">
      <c r="A343" s="1093"/>
      <c r="B343" s="1170" t="s">
        <v>2341</v>
      </c>
      <c r="C343" s="1167"/>
      <c r="D343" s="1167"/>
      <c r="E343" s="1167"/>
      <c r="F343" s="1167"/>
      <c r="G343" s="1167"/>
      <c r="H343" s="1167"/>
      <c r="I343" s="1168"/>
      <c r="J343" s="1094"/>
      <c r="K343" s="1094"/>
      <c r="L343" s="1049"/>
      <c r="M343" s="1049"/>
      <c r="N343" s="1087"/>
      <c r="O343" s="1087"/>
    </row>
    <row r="344" spans="1:15" ht="28.8">
      <c r="A344" s="1046"/>
      <c r="B344" s="1171" t="s">
        <v>2359</v>
      </c>
      <c r="C344" s="1048">
        <v>1</v>
      </c>
      <c r="D344" s="1048" t="s">
        <v>1472</v>
      </c>
      <c r="E344" s="1048">
        <v>1</v>
      </c>
      <c r="F344" s="1049">
        <v>9.6</v>
      </c>
      <c r="G344" s="1049">
        <v>8.5299999999999994</v>
      </c>
      <c r="H344" s="1069"/>
      <c r="I344" s="1049">
        <f>G344*F344</f>
        <v>81.887999999999991</v>
      </c>
      <c r="J344" s="1049"/>
      <c r="K344" s="1053"/>
      <c r="L344" s="1049"/>
      <c r="M344" s="1049"/>
      <c r="N344" s="1087"/>
      <c r="O344" s="1087"/>
    </row>
    <row r="345" spans="1:15" ht="28.8">
      <c r="A345" s="1046"/>
      <c r="B345" s="1171" t="s">
        <v>2360</v>
      </c>
      <c r="C345" s="1048">
        <v>2</v>
      </c>
      <c r="D345" s="1048" t="s">
        <v>1472</v>
      </c>
      <c r="E345" s="1048">
        <v>1</v>
      </c>
      <c r="F345" s="1049">
        <v>5.98</v>
      </c>
      <c r="G345" s="1049">
        <v>8.5299999999999994</v>
      </c>
      <c r="H345" s="1069"/>
      <c r="I345" s="1049">
        <f>G345*F345</f>
        <v>51.009399999999999</v>
      </c>
      <c r="J345" s="1049"/>
      <c r="K345" s="1053"/>
      <c r="L345" s="1049"/>
      <c r="M345" s="1049"/>
      <c r="N345" s="1087"/>
      <c r="O345" s="1087"/>
    </row>
    <row r="346" spans="1:15" ht="14.4">
      <c r="A346" s="1046"/>
      <c r="B346" s="1170" t="s">
        <v>2361</v>
      </c>
      <c r="C346" s="1048"/>
      <c r="D346" s="1048"/>
      <c r="E346" s="1048"/>
      <c r="F346" s="1049"/>
      <c r="G346" s="1049"/>
      <c r="H346" s="1069"/>
      <c r="I346" s="1049"/>
      <c r="J346" s="1049"/>
      <c r="K346" s="1053"/>
      <c r="L346" s="1049"/>
      <c r="M346" s="1049"/>
      <c r="N346" s="1087"/>
      <c r="O346" s="1087"/>
    </row>
    <row r="347" spans="1:15" ht="14.4">
      <c r="A347" s="1046"/>
      <c r="B347" s="1170" t="s">
        <v>2338</v>
      </c>
      <c r="C347" s="1048">
        <v>1</v>
      </c>
      <c r="D347" s="1048" t="s">
        <v>1472</v>
      </c>
      <c r="E347" s="1048">
        <v>1</v>
      </c>
      <c r="F347" s="1049">
        <v>1.2</v>
      </c>
      <c r="G347" s="1049">
        <v>5.0999999999999996</v>
      </c>
      <c r="H347" s="1069"/>
      <c r="I347" s="1049">
        <f>G347*F347*E347*C347</f>
        <v>6.1199999999999992</v>
      </c>
      <c r="J347" s="1049"/>
      <c r="K347" s="1053"/>
      <c r="L347" s="1049"/>
      <c r="M347" s="1049"/>
      <c r="N347" s="1087"/>
      <c r="O347" s="1087"/>
    </row>
    <row r="348" spans="1:15" ht="14.4">
      <c r="A348" s="1046"/>
      <c r="B348" s="1170" t="s">
        <v>2353</v>
      </c>
      <c r="C348" s="1048">
        <v>2</v>
      </c>
      <c r="D348" s="1048" t="s">
        <v>1472</v>
      </c>
      <c r="E348" s="1048">
        <v>1</v>
      </c>
      <c r="F348" s="1049">
        <v>0.96</v>
      </c>
      <c r="G348" s="1049">
        <v>5.0999999999999996</v>
      </c>
      <c r="H348" s="1069"/>
      <c r="I348" s="1049">
        <f>G348*F348*E348*C348</f>
        <v>9.7919999999999998</v>
      </c>
      <c r="J348" s="1049"/>
      <c r="K348" s="1053"/>
      <c r="L348" s="1049"/>
      <c r="M348" s="1049"/>
      <c r="N348" s="1087"/>
      <c r="O348" s="1087"/>
    </row>
    <row r="349" spans="1:15" ht="14.4">
      <c r="A349" s="1046"/>
      <c r="B349" s="1170" t="s">
        <v>2352</v>
      </c>
      <c r="C349" s="1048">
        <v>2</v>
      </c>
      <c r="D349" s="1048" t="s">
        <v>1472</v>
      </c>
      <c r="E349" s="1048">
        <v>1</v>
      </c>
      <c r="F349" s="1049">
        <v>0.72</v>
      </c>
      <c r="G349" s="1049">
        <v>5.0999999999999996</v>
      </c>
      <c r="H349" s="1069"/>
      <c r="I349" s="1049">
        <f>G349*F349*E349*C349</f>
        <v>7.3439999999999994</v>
      </c>
      <c r="J349" s="1049"/>
      <c r="K349" s="1053"/>
      <c r="L349" s="1049"/>
      <c r="M349" s="1049"/>
      <c r="N349" s="1087"/>
      <c r="O349" s="1087"/>
    </row>
    <row r="350" spans="1:15" ht="14.4">
      <c r="A350" s="1046"/>
      <c r="B350" s="1170" t="s">
        <v>2351</v>
      </c>
      <c r="C350" s="1048">
        <v>2</v>
      </c>
      <c r="D350" s="1048" t="s">
        <v>1472</v>
      </c>
      <c r="E350" s="1048">
        <v>1</v>
      </c>
      <c r="F350" s="1049">
        <v>0.48</v>
      </c>
      <c r="G350" s="1049">
        <v>5.0999999999999996</v>
      </c>
      <c r="H350" s="1069"/>
      <c r="I350" s="1049">
        <f>G350*F350*E350*C350</f>
        <v>4.8959999999999999</v>
      </c>
      <c r="J350" s="1049"/>
      <c r="K350" s="1053"/>
      <c r="L350" s="1049"/>
      <c r="M350" s="1049"/>
      <c r="N350" s="1087"/>
      <c r="O350" s="1087"/>
    </row>
    <row r="351" spans="1:15" ht="14.4">
      <c r="A351" s="1046"/>
      <c r="B351" s="1170" t="s">
        <v>2350</v>
      </c>
      <c r="C351" s="1048">
        <v>2</v>
      </c>
      <c r="D351" s="1048" t="s">
        <v>1472</v>
      </c>
      <c r="E351" s="1048">
        <v>1</v>
      </c>
      <c r="F351" s="1049">
        <v>0.24</v>
      </c>
      <c r="G351" s="1049">
        <v>5.0999999999999996</v>
      </c>
      <c r="H351" s="1069"/>
      <c r="I351" s="1049">
        <f>G351*F351*E351*C351</f>
        <v>2.448</v>
      </c>
      <c r="J351" s="1049"/>
      <c r="K351" s="1053"/>
      <c r="L351" s="1049"/>
      <c r="M351" s="1049"/>
      <c r="N351" s="1087"/>
      <c r="O351" s="1087"/>
    </row>
    <row r="352" spans="1:15" ht="14.4">
      <c r="A352" s="1046"/>
      <c r="B352" s="1170" t="s">
        <v>2354</v>
      </c>
      <c r="C352" s="1048"/>
      <c r="D352" s="1048"/>
      <c r="E352" s="1048"/>
      <c r="F352" s="1049"/>
      <c r="G352" s="1049"/>
      <c r="H352" s="1069"/>
      <c r="I352" s="1049"/>
      <c r="J352" s="1049"/>
      <c r="K352" s="1053"/>
      <c r="L352" s="1049"/>
      <c r="M352" s="1049"/>
      <c r="N352" s="1087"/>
      <c r="O352" s="1087"/>
    </row>
    <row r="353" spans="1:15" ht="14.4">
      <c r="A353" s="1046"/>
      <c r="B353" s="1170" t="s">
        <v>2353</v>
      </c>
      <c r="C353" s="1048">
        <v>1</v>
      </c>
      <c r="D353" s="1048" t="s">
        <v>1472</v>
      </c>
      <c r="E353" s="1048">
        <v>1</v>
      </c>
      <c r="F353" s="1049">
        <v>1.35</v>
      </c>
      <c r="G353" s="1049">
        <v>5.0999999999999996</v>
      </c>
      <c r="H353" s="1069"/>
      <c r="I353" s="1049">
        <f>G353*F353*E353*C353</f>
        <v>6.8849999999999998</v>
      </c>
      <c r="J353" s="1049"/>
      <c r="K353" s="1053"/>
      <c r="L353" s="1049"/>
      <c r="M353" s="1049"/>
      <c r="N353" s="1087"/>
      <c r="O353" s="1087"/>
    </row>
    <row r="354" spans="1:15" ht="14.4">
      <c r="A354" s="1046"/>
      <c r="B354" s="1170" t="s">
        <v>2352</v>
      </c>
      <c r="C354" s="1048">
        <v>2</v>
      </c>
      <c r="D354" s="1048" t="s">
        <v>1472</v>
      </c>
      <c r="E354" s="1048">
        <v>1</v>
      </c>
      <c r="F354" s="1049">
        <v>1.02</v>
      </c>
      <c r="G354" s="1049">
        <v>5.0999999999999996</v>
      </c>
      <c r="H354" s="1069"/>
      <c r="I354" s="1049">
        <f>G354*F354*E354*C354</f>
        <v>10.404</v>
      </c>
      <c r="J354" s="1049"/>
      <c r="K354" s="1053"/>
      <c r="L354" s="1049"/>
      <c r="M354" s="1049"/>
      <c r="N354" s="1087"/>
      <c r="O354" s="1087"/>
    </row>
    <row r="355" spans="1:15" ht="14.4">
      <c r="A355" s="1046"/>
      <c r="B355" s="1170" t="s">
        <v>2351</v>
      </c>
      <c r="C355" s="1048">
        <v>2</v>
      </c>
      <c r="D355" s="1048" t="s">
        <v>1472</v>
      </c>
      <c r="E355" s="1048">
        <v>1</v>
      </c>
      <c r="F355" s="1049">
        <v>1.07</v>
      </c>
      <c r="G355" s="1049">
        <v>5.0999999999999996</v>
      </c>
      <c r="H355" s="1069"/>
      <c r="I355" s="1049">
        <f>G355*F355*E355*C355</f>
        <v>10.914</v>
      </c>
      <c r="J355" s="1049"/>
      <c r="K355" s="1053"/>
      <c r="L355" s="1049"/>
      <c r="M355" s="1049"/>
      <c r="N355" s="1087"/>
      <c r="O355" s="1087"/>
    </row>
    <row r="356" spans="1:15" ht="14.4">
      <c r="A356" s="1046"/>
      <c r="B356" s="1170" t="s">
        <v>2350</v>
      </c>
      <c r="C356" s="1048">
        <v>2</v>
      </c>
      <c r="D356" s="1048" t="s">
        <v>1472</v>
      </c>
      <c r="E356" s="1048">
        <v>1</v>
      </c>
      <c r="F356" s="1049">
        <v>0.98</v>
      </c>
      <c r="G356" s="1049">
        <v>5.0999999999999996</v>
      </c>
      <c r="H356" s="1069"/>
      <c r="I356" s="1049">
        <f>G356*F356*E356*C356</f>
        <v>9.9959999999999987</v>
      </c>
      <c r="J356" s="1049"/>
      <c r="K356" s="1053"/>
      <c r="L356" s="1049"/>
      <c r="M356" s="1049"/>
      <c r="N356" s="1087"/>
      <c r="O356" s="1087"/>
    </row>
    <row r="357" spans="1:15" ht="14.4">
      <c r="A357" s="1046"/>
      <c r="B357" s="1170"/>
      <c r="C357" s="1048"/>
      <c r="D357" s="1048"/>
      <c r="E357" s="1048"/>
      <c r="F357" s="1049"/>
      <c r="G357" s="1049"/>
      <c r="H357" s="1069"/>
      <c r="I357" s="1049">
        <f>SUM(I344:I356)</f>
        <v>201.69639999999998</v>
      </c>
      <c r="J357" s="1049"/>
      <c r="K357" s="1053"/>
      <c r="L357" s="1049"/>
      <c r="M357" s="1049"/>
      <c r="N357" s="1087"/>
      <c r="O357" s="1087"/>
    </row>
    <row r="358" spans="1:15" ht="14.4">
      <c r="A358" s="1046"/>
      <c r="B358" s="1170"/>
      <c r="C358" s="1048"/>
      <c r="D358" s="1048"/>
      <c r="E358" s="1048"/>
      <c r="F358" s="1049"/>
      <c r="G358" s="1049"/>
      <c r="H358" s="1069"/>
      <c r="I358" s="1049">
        <f>SUM(I357:I357)</f>
        <v>201.69639999999998</v>
      </c>
      <c r="J358" s="1049"/>
      <c r="K358" s="1053"/>
      <c r="L358" s="1049"/>
      <c r="M358" s="1049"/>
      <c r="N358" s="1087"/>
      <c r="O358" s="1087"/>
    </row>
    <row r="359" spans="1:15" ht="14.4">
      <c r="A359" s="1046"/>
      <c r="B359" s="1172" t="s">
        <v>2343</v>
      </c>
      <c r="C359" s="1048">
        <v>1</v>
      </c>
      <c r="D359" s="1048" t="s">
        <v>1472</v>
      </c>
      <c r="E359" s="1048">
        <v>6</v>
      </c>
      <c r="F359" s="1049">
        <f>I358</f>
        <v>201.69639999999998</v>
      </c>
      <c r="G359" s="1049"/>
      <c r="H359" s="1049"/>
      <c r="I359" s="1049">
        <f>F359*E359</f>
        <v>1210.1783999999998</v>
      </c>
      <c r="J359" s="1049">
        <f>'Data Truss and steel works'!G17</f>
        <v>142.25</v>
      </c>
      <c r="K359" s="1053">
        <f>ROUND(J359*I359/1,0)</f>
        <v>172148</v>
      </c>
      <c r="L359" s="1049"/>
      <c r="M359" s="1049"/>
      <c r="N359" s="1087"/>
      <c r="O359" s="1087"/>
    </row>
    <row r="360" spans="1:15" ht="14.1">
      <c r="A360" s="1046"/>
      <c r="B360" s="1061"/>
      <c r="C360" s="1048"/>
      <c r="D360" s="1048"/>
      <c r="E360" s="1048"/>
      <c r="F360" s="1049"/>
      <c r="G360" s="1049"/>
      <c r="H360" s="1049"/>
      <c r="I360" s="1049" t="s">
        <v>1038</v>
      </c>
      <c r="J360" s="1049" t="s">
        <v>2328</v>
      </c>
      <c r="K360" s="1053"/>
      <c r="L360" s="1049"/>
      <c r="M360" s="1049"/>
      <c r="N360" s="1087"/>
      <c r="O360" s="1087"/>
    </row>
    <row r="361" spans="1:15" ht="30.75" customHeight="1">
      <c r="A361" s="1093">
        <v>31</v>
      </c>
      <c r="B361" s="2404" t="s">
        <v>2345</v>
      </c>
      <c r="C361" s="2405"/>
      <c r="D361" s="2405"/>
      <c r="E361" s="2405"/>
      <c r="F361" s="2405"/>
      <c r="G361" s="2405"/>
      <c r="H361" s="2405"/>
      <c r="I361" s="2406"/>
      <c r="J361" s="1094"/>
      <c r="K361" s="1094"/>
      <c r="L361" s="1049"/>
      <c r="M361" s="1049"/>
      <c r="N361" s="1087"/>
      <c r="O361" s="1087"/>
    </row>
    <row r="362" spans="1:15" ht="14.4">
      <c r="A362" s="1046"/>
      <c r="B362" s="1170" t="s">
        <v>2362</v>
      </c>
      <c r="C362" s="1048"/>
      <c r="D362" s="1048"/>
      <c r="E362" s="1048"/>
      <c r="F362" s="1049"/>
      <c r="G362" s="1049"/>
      <c r="H362" s="1069"/>
      <c r="I362" s="1049"/>
      <c r="J362" s="1049"/>
      <c r="K362" s="1053"/>
      <c r="L362" s="1049"/>
      <c r="M362" s="1049"/>
      <c r="N362" s="1087"/>
      <c r="O362" s="1087"/>
    </row>
    <row r="363" spans="1:15" ht="14.4">
      <c r="A363" s="1046"/>
      <c r="B363" s="1170"/>
      <c r="C363" s="1048">
        <v>12</v>
      </c>
      <c r="D363" s="1048" t="s">
        <v>1472</v>
      </c>
      <c r="E363" s="1048">
        <v>1</v>
      </c>
      <c r="F363" s="1049">
        <v>18.75</v>
      </c>
      <c r="G363" s="1049">
        <v>3.6</v>
      </c>
      <c r="H363" s="1069"/>
      <c r="I363" s="1049">
        <f>G363*F363*E363*C363</f>
        <v>810</v>
      </c>
      <c r="J363" s="1049">
        <f>J359</f>
        <v>142.25</v>
      </c>
      <c r="K363" s="1053">
        <f>ROUND(J363*I363/1,0)</f>
        <v>115223</v>
      </c>
      <c r="L363" s="1049"/>
      <c r="M363" s="1049"/>
      <c r="N363" s="1087"/>
      <c r="O363" s="1087"/>
    </row>
    <row r="364" spans="1:15" ht="14.1">
      <c r="A364" s="1046"/>
      <c r="B364" s="1071"/>
      <c r="C364" s="1072"/>
      <c r="D364" s="1072"/>
      <c r="E364" s="1072"/>
      <c r="F364" s="1073"/>
      <c r="G364" s="1074"/>
      <c r="H364" s="1069"/>
      <c r="I364" s="1049" t="s">
        <v>1038</v>
      </c>
      <c r="J364" s="1049" t="s">
        <v>2328</v>
      </c>
      <c r="K364" s="1053"/>
      <c r="L364" s="1049"/>
      <c r="M364" s="1049"/>
      <c r="N364" s="1087"/>
      <c r="O364" s="1087"/>
    </row>
    <row r="365" spans="1:15" ht="134.25" customHeight="1">
      <c r="A365" s="1093">
        <v>32</v>
      </c>
      <c r="B365" s="2404" t="s">
        <v>2346</v>
      </c>
      <c r="C365" s="2405"/>
      <c r="D365" s="2405"/>
      <c r="E365" s="2405"/>
      <c r="F365" s="2405"/>
      <c r="G365" s="2405"/>
      <c r="H365" s="2405"/>
      <c r="I365" s="2406"/>
      <c r="J365" s="1094"/>
      <c r="K365" s="1094"/>
      <c r="L365" s="1049"/>
      <c r="M365" s="1049"/>
      <c r="N365" s="1087"/>
      <c r="O365" s="1087"/>
    </row>
    <row r="366" spans="1:15" ht="14.4">
      <c r="A366" s="1093"/>
      <c r="B366" s="1170" t="s">
        <v>2347</v>
      </c>
      <c r="C366" s="1048">
        <v>2</v>
      </c>
      <c r="D366" s="1048" t="s">
        <v>1472</v>
      </c>
      <c r="E366" s="1048"/>
      <c r="F366" s="1049">
        <v>18.75</v>
      </c>
      <c r="G366" s="1049">
        <v>6.2</v>
      </c>
      <c r="H366" s="1049"/>
      <c r="I366" s="1049">
        <f>G366*F366*C366</f>
        <v>232.5</v>
      </c>
      <c r="J366" s="1094"/>
      <c r="K366" s="1094"/>
      <c r="L366" s="1049"/>
      <c r="M366" s="1049"/>
      <c r="N366" s="1087"/>
      <c r="O366" s="1087"/>
    </row>
    <row r="367" spans="1:15" ht="14.4">
      <c r="A367" s="1093"/>
      <c r="B367" s="1170" t="s">
        <v>2349</v>
      </c>
      <c r="C367" s="1048">
        <v>1</v>
      </c>
      <c r="D367" s="1048" t="s">
        <v>1472</v>
      </c>
      <c r="E367" s="1048"/>
      <c r="F367" s="1049">
        <v>18.75</v>
      </c>
      <c r="G367" s="1049">
        <v>0.4</v>
      </c>
      <c r="H367" s="1069"/>
      <c r="I367" s="1049">
        <f>G367*F367*C367</f>
        <v>7.5</v>
      </c>
      <c r="J367" s="1094"/>
      <c r="K367" s="1094"/>
      <c r="L367" s="1049"/>
      <c r="M367" s="1049"/>
      <c r="N367" s="1087"/>
      <c r="O367" s="1087"/>
    </row>
    <row r="368" spans="1:15" ht="14.4">
      <c r="A368" s="1046"/>
      <c r="B368" s="1170"/>
      <c r="C368" s="1048"/>
      <c r="D368" s="1048"/>
      <c r="E368" s="1048"/>
      <c r="F368" s="1049"/>
      <c r="G368" s="1049"/>
      <c r="H368" s="1069"/>
      <c r="I368" s="1049">
        <f>SUM(I366:I367)</f>
        <v>240</v>
      </c>
      <c r="J368" s="1049">
        <f>Datas!G1173</f>
        <v>735.21</v>
      </c>
      <c r="K368" s="1053">
        <f>ROUND(J368*I368/1,0)</f>
        <v>176450</v>
      </c>
      <c r="L368" s="1049"/>
      <c r="M368" s="1049"/>
      <c r="N368" s="1087"/>
      <c r="O368" s="1087"/>
    </row>
    <row r="369" spans="1:16" ht="14.1">
      <c r="A369" s="1046"/>
      <c r="B369" s="1071"/>
      <c r="C369" s="1072"/>
      <c r="D369" s="1072"/>
      <c r="E369" s="1072"/>
      <c r="F369" s="1073"/>
      <c r="G369" s="1074"/>
      <c r="H369" s="1069"/>
      <c r="I369" s="1049" t="s">
        <v>1478</v>
      </c>
      <c r="J369" s="1049" t="s">
        <v>2348</v>
      </c>
      <c r="K369" s="1053"/>
      <c r="L369" s="1049"/>
      <c r="M369" s="1049"/>
      <c r="N369" s="1087"/>
      <c r="O369" s="1087"/>
      <c r="P369" s="1087"/>
    </row>
    <row r="370" spans="1:16" ht="116.25" customHeight="1">
      <c r="A370" s="1046">
        <v>33</v>
      </c>
      <c r="B370" s="2415" t="s">
        <v>2198</v>
      </c>
      <c r="C370" s="2416"/>
      <c r="D370" s="2416"/>
      <c r="E370" s="2416"/>
      <c r="F370" s="2416"/>
      <c r="G370" s="2416"/>
      <c r="H370" s="2416"/>
      <c r="I370" s="2417"/>
      <c r="J370" s="1049"/>
      <c r="K370" s="1049"/>
      <c r="L370" s="1049"/>
      <c r="M370" s="1049"/>
      <c r="N370" s="1087"/>
      <c r="O370" s="1087"/>
    </row>
    <row r="371" spans="1:16" ht="14.1">
      <c r="A371" s="1046"/>
      <c r="B371" s="1060" t="s">
        <v>466</v>
      </c>
      <c r="C371" s="1082"/>
      <c r="D371" s="1082"/>
      <c r="E371" s="1082"/>
      <c r="F371" s="1083"/>
      <c r="G371" s="1083"/>
      <c r="H371" s="1083"/>
      <c r="I371" s="1083"/>
      <c r="J371" s="1049"/>
      <c r="K371" s="1049"/>
      <c r="L371" s="1049"/>
      <c r="M371" s="1049"/>
      <c r="N371" s="1087"/>
      <c r="O371" s="1087"/>
    </row>
    <row r="372" spans="1:16" ht="14.1">
      <c r="A372" s="1046"/>
      <c r="B372" s="1050" t="s">
        <v>2115</v>
      </c>
      <c r="C372" s="1048">
        <v>1</v>
      </c>
      <c r="D372" s="1048" t="s">
        <v>1472</v>
      </c>
      <c r="E372" s="1048">
        <v>2</v>
      </c>
      <c r="F372" s="1049">
        <f>(60.75-0.23*2)*0.3048</f>
        <v>18.376391999999999</v>
      </c>
      <c r="G372" s="1049"/>
      <c r="H372" s="1049">
        <v>3.6</v>
      </c>
      <c r="I372" s="1049">
        <f>ROUND(C372*E372*F372*H372,2)</f>
        <v>132.31</v>
      </c>
      <c r="J372" s="1049"/>
      <c r="K372" s="1049"/>
      <c r="L372" s="1049"/>
      <c r="M372" s="1049"/>
      <c r="N372" s="1087"/>
      <c r="O372" s="1087"/>
    </row>
    <row r="373" spans="1:16" ht="14.1">
      <c r="A373" s="1046"/>
      <c r="B373" s="1050" t="s">
        <v>2033</v>
      </c>
      <c r="C373" s="1048">
        <v>1</v>
      </c>
      <c r="D373" s="1048" t="s">
        <v>1472</v>
      </c>
      <c r="E373" s="1048">
        <v>2</v>
      </c>
      <c r="F373" s="1049">
        <f>(31.5-2*0.23)*0.3048</f>
        <v>9.460992000000001</v>
      </c>
      <c r="G373" s="1049"/>
      <c r="H373" s="1164" t="s">
        <v>2287</v>
      </c>
      <c r="I373" s="1049">
        <f>ROUND(C373*E373*F373*AVERAGE(3.6,5.4,3.6),2)</f>
        <v>79.47</v>
      </c>
      <c r="J373" s="1049"/>
      <c r="K373" s="1049"/>
      <c r="L373" s="1049"/>
      <c r="M373" s="1049"/>
      <c r="N373" s="1087"/>
      <c r="O373" s="1087"/>
    </row>
    <row r="374" spans="1:16" ht="27.6">
      <c r="A374" s="1046"/>
      <c r="B374" s="1050" t="s">
        <v>2116</v>
      </c>
      <c r="C374" s="1048">
        <v>1</v>
      </c>
      <c r="D374" s="1048" t="s">
        <v>1472</v>
      </c>
      <c r="E374" s="1048">
        <v>2</v>
      </c>
      <c r="F374" s="1049">
        <f>(31.5-2*0.23)*0.3048</f>
        <v>9.460992000000001</v>
      </c>
      <c r="G374" s="1049"/>
      <c r="H374" s="1049">
        <v>3.6</v>
      </c>
      <c r="I374" s="1049">
        <f>ROUND(C374*E374*F374*H374,2)</f>
        <v>68.12</v>
      </c>
      <c r="J374" s="1049"/>
      <c r="K374" s="1049"/>
      <c r="L374" s="1049"/>
      <c r="M374" s="1049"/>
      <c r="N374" s="1087"/>
      <c r="O374" s="1087"/>
    </row>
    <row r="375" spans="1:16" ht="14.1">
      <c r="A375" s="1046"/>
      <c r="B375" s="1050" t="s">
        <v>2134</v>
      </c>
      <c r="C375" s="1048">
        <v>1</v>
      </c>
      <c r="D375" s="1048" t="s">
        <v>1472</v>
      </c>
      <c r="E375" s="1048">
        <v>2</v>
      </c>
      <c r="F375" s="1049">
        <v>3.6</v>
      </c>
      <c r="G375" s="1049"/>
      <c r="H375" s="1049">
        <v>3.6</v>
      </c>
      <c r="I375" s="1049">
        <f>ROUND(C375*E375*F375*H375,2)</f>
        <v>25.92</v>
      </c>
      <c r="J375" s="1049"/>
      <c r="K375" s="1049"/>
      <c r="L375" s="1049"/>
      <c r="M375" s="1049"/>
      <c r="N375" s="1087"/>
      <c r="O375" s="1087"/>
    </row>
    <row r="376" spans="1:16" ht="14.1">
      <c r="A376" s="1046"/>
      <c r="B376" s="1050" t="s">
        <v>2119</v>
      </c>
      <c r="C376" s="1048">
        <v>1</v>
      </c>
      <c r="D376" s="1048" t="s">
        <v>1472</v>
      </c>
      <c r="E376" s="1048">
        <v>2</v>
      </c>
      <c r="F376" s="1049">
        <v>2.1</v>
      </c>
      <c r="G376" s="1049"/>
      <c r="H376" s="1049">
        <v>0.45</v>
      </c>
      <c r="I376" s="1049">
        <f>ROUND(C376*E376*F376*H376,2)</f>
        <v>1.89</v>
      </c>
      <c r="J376" s="1049"/>
      <c r="K376" s="1049"/>
      <c r="L376" s="1049"/>
      <c r="M376" s="1049"/>
      <c r="N376" s="1087"/>
      <c r="O376" s="1087"/>
    </row>
    <row r="377" spans="1:16" ht="14.1">
      <c r="A377" s="1046"/>
      <c r="B377" s="1050" t="s">
        <v>2120</v>
      </c>
      <c r="C377" s="1048">
        <v>1</v>
      </c>
      <c r="D377" s="1048" t="s">
        <v>1472</v>
      </c>
      <c r="E377" s="1048">
        <v>1</v>
      </c>
      <c r="F377" s="1049">
        <v>4.95</v>
      </c>
      <c r="G377" s="1049"/>
      <c r="H377" s="1049">
        <v>0.45</v>
      </c>
      <c r="I377" s="1049">
        <f>ROUND(C377*E377*F377*H377,2)</f>
        <v>2.23</v>
      </c>
      <c r="J377" s="1049"/>
      <c r="K377" s="1049"/>
      <c r="L377" s="1049"/>
      <c r="M377" s="1049"/>
      <c r="N377" s="1087"/>
      <c r="O377" s="1087"/>
    </row>
    <row r="378" spans="1:16" ht="14.1">
      <c r="A378" s="1046"/>
      <c r="B378" s="1060" t="s">
        <v>675</v>
      </c>
      <c r="C378" s="1048"/>
      <c r="D378" s="1048"/>
      <c r="E378" s="1048"/>
      <c r="F378" s="1049"/>
      <c r="G378" s="1049"/>
      <c r="H378" s="1049"/>
      <c r="I378" s="1049"/>
      <c r="J378" s="1049"/>
      <c r="K378" s="1049"/>
      <c r="L378" s="1049"/>
      <c r="M378" s="1049"/>
      <c r="N378" s="1087"/>
      <c r="O378" s="1087"/>
    </row>
    <row r="379" spans="1:16">
      <c r="A379" s="1076"/>
      <c r="B379" s="1061" t="s">
        <v>2223</v>
      </c>
      <c r="C379" s="1048">
        <v>1</v>
      </c>
      <c r="D379" s="1048" t="s">
        <v>1472</v>
      </c>
      <c r="E379" s="1048">
        <v>1</v>
      </c>
      <c r="F379" s="1049">
        <v>1.8</v>
      </c>
      <c r="G379" s="1084">
        <v>1</v>
      </c>
      <c r="H379" s="1049">
        <v>2.4</v>
      </c>
      <c r="I379" s="1049">
        <f t="shared" ref="I379:I384" si="13">-ROUND(C379*E379*F379*G379*H379,2)</f>
        <v>-4.32</v>
      </c>
      <c r="J379" s="1049"/>
      <c r="K379" s="1049"/>
      <c r="L379" s="1049"/>
      <c r="M379" s="1049"/>
      <c r="N379" s="1087"/>
      <c r="O379" s="1087"/>
    </row>
    <row r="380" spans="1:16">
      <c r="A380" s="1076"/>
      <c r="B380" s="1061" t="s">
        <v>980</v>
      </c>
      <c r="C380" s="1048">
        <v>1</v>
      </c>
      <c r="D380" s="1048" t="s">
        <v>1472</v>
      </c>
      <c r="E380" s="1048">
        <v>2</v>
      </c>
      <c r="F380" s="1049">
        <v>1.5</v>
      </c>
      <c r="G380" s="1084">
        <v>1</v>
      </c>
      <c r="H380" s="1049">
        <v>2.4</v>
      </c>
      <c r="I380" s="1049">
        <f t="shared" si="13"/>
        <v>-7.2</v>
      </c>
      <c r="J380" s="1049"/>
      <c r="K380" s="1049"/>
      <c r="L380" s="1049"/>
      <c r="M380" s="1049"/>
      <c r="N380" s="1087"/>
      <c r="O380" s="1087"/>
    </row>
    <row r="381" spans="1:16">
      <c r="A381" s="1076"/>
      <c r="B381" s="1061" t="s">
        <v>981</v>
      </c>
      <c r="C381" s="1048">
        <v>1</v>
      </c>
      <c r="D381" s="1048" t="s">
        <v>1472</v>
      </c>
      <c r="E381" s="1048">
        <v>2</v>
      </c>
      <c r="F381" s="1049">
        <v>0.9</v>
      </c>
      <c r="G381" s="1084">
        <v>1</v>
      </c>
      <c r="H381" s="1049">
        <v>2.1</v>
      </c>
      <c r="I381" s="1049">
        <f t="shared" si="13"/>
        <v>-3.78</v>
      </c>
      <c r="J381" s="1049"/>
      <c r="K381" s="1049"/>
      <c r="L381" s="1049"/>
      <c r="M381" s="1049"/>
      <c r="N381" s="1087"/>
      <c r="O381" s="1087"/>
    </row>
    <row r="382" spans="1:16">
      <c r="A382" s="1076"/>
      <c r="B382" s="1061" t="s">
        <v>2117</v>
      </c>
      <c r="C382" s="1048">
        <v>1</v>
      </c>
      <c r="D382" s="1048" t="s">
        <v>1472</v>
      </c>
      <c r="E382" s="1048">
        <v>1</v>
      </c>
      <c r="F382" s="1049">
        <v>1.5</v>
      </c>
      <c r="G382" s="1084">
        <v>1</v>
      </c>
      <c r="H382" s="1049">
        <v>1.2</v>
      </c>
      <c r="I382" s="1049">
        <f t="shared" si="13"/>
        <v>-1.8</v>
      </c>
      <c r="J382" s="1049"/>
      <c r="K382" s="1049"/>
      <c r="L382" s="1049"/>
      <c r="M382" s="1049"/>
      <c r="N382" s="1087"/>
      <c r="O382" s="1087"/>
    </row>
    <row r="383" spans="1:16" ht="14.1">
      <c r="A383" s="1046"/>
      <c r="B383" s="1061" t="s">
        <v>2215</v>
      </c>
      <c r="C383" s="1048">
        <v>1</v>
      </c>
      <c r="D383" s="1048" t="s">
        <v>1472</v>
      </c>
      <c r="E383" s="1048">
        <v>6</v>
      </c>
      <c r="F383" s="1049">
        <f>11*0.3048</f>
        <v>3.3528000000000002</v>
      </c>
      <c r="G383" s="1084">
        <v>1</v>
      </c>
      <c r="H383" s="1049">
        <v>0.9</v>
      </c>
      <c r="I383" s="1049">
        <f t="shared" si="13"/>
        <v>-18.11</v>
      </c>
      <c r="J383" s="1049"/>
      <c r="K383" s="1049"/>
      <c r="L383" s="1049"/>
      <c r="M383" s="1049"/>
      <c r="N383" s="1087"/>
      <c r="O383" s="1087"/>
    </row>
    <row r="384" spans="1:16" ht="14.1">
      <c r="A384" s="1046"/>
      <c r="B384" s="1061" t="s">
        <v>2216</v>
      </c>
      <c r="C384" s="1048">
        <v>1</v>
      </c>
      <c r="D384" s="1048" t="s">
        <v>1472</v>
      </c>
      <c r="E384" s="1048">
        <v>2</v>
      </c>
      <c r="F384" s="1049">
        <v>2.4</v>
      </c>
      <c r="G384" s="1084">
        <v>1</v>
      </c>
      <c r="H384" s="1049">
        <v>2</v>
      </c>
      <c r="I384" s="1049">
        <f t="shared" si="13"/>
        <v>-9.6</v>
      </c>
      <c r="J384" s="1049"/>
      <c r="K384" s="1049"/>
      <c r="L384" s="1049"/>
      <c r="M384" s="1049"/>
      <c r="N384" s="1087"/>
      <c r="O384" s="1087"/>
    </row>
    <row r="385" spans="1:15" ht="14.1">
      <c r="A385" s="1048"/>
      <c r="B385" s="1060" t="s">
        <v>2124</v>
      </c>
      <c r="C385" s="1048"/>
      <c r="D385" s="1048"/>
      <c r="E385" s="1048"/>
      <c r="F385" s="1049"/>
      <c r="G385" s="1049"/>
      <c r="H385" s="1049"/>
      <c r="I385" s="1049"/>
      <c r="J385" s="1049"/>
      <c r="K385" s="1049"/>
      <c r="L385" s="1049"/>
      <c r="M385" s="1049"/>
      <c r="N385" s="1087"/>
      <c r="O385" s="1087"/>
    </row>
    <row r="386" spans="1:15" ht="14.1">
      <c r="A386" s="1046"/>
      <c r="B386" s="1050" t="s">
        <v>2093</v>
      </c>
      <c r="C386" s="1048">
        <v>1</v>
      </c>
      <c r="D386" s="1048" t="s">
        <v>1472</v>
      </c>
      <c r="E386" s="1048">
        <v>2</v>
      </c>
      <c r="F386" s="1049">
        <f>10.5*0.3048</f>
        <v>3.2004000000000001</v>
      </c>
      <c r="G386" s="1084">
        <v>1</v>
      </c>
      <c r="H386" s="1049">
        <v>2.9</v>
      </c>
      <c r="I386" s="1049">
        <f>ROUND(C386*E386*F386*G386*H386,2)</f>
        <v>18.559999999999999</v>
      </c>
      <c r="J386" s="1049"/>
      <c r="K386" s="1049"/>
      <c r="L386" s="1049"/>
      <c r="M386" s="1049"/>
      <c r="N386" s="1087"/>
      <c r="O386" s="1087"/>
    </row>
    <row r="387" spans="1:15" ht="14.1">
      <c r="A387" s="1046"/>
      <c r="B387" s="1050" t="s">
        <v>2094</v>
      </c>
      <c r="C387" s="1048">
        <v>1</v>
      </c>
      <c r="D387" s="1048" t="s">
        <v>1472</v>
      </c>
      <c r="E387" s="1048">
        <v>2</v>
      </c>
      <c r="F387" s="1049">
        <f>10*0.3048</f>
        <v>3.048</v>
      </c>
      <c r="G387" s="1084">
        <v>1</v>
      </c>
      <c r="H387" s="1049">
        <v>2.9</v>
      </c>
      <c r="I387" s="1049">
        <f>ROUND(C387*E387*F387*G387*H387,2)</f>
        <v>17.68</v>
      </c>
      <c r="J387" s="1049"/>
      <c r="K387" s="1049"/>
      <c r="L387" s="1049"/>
      <c r="M387" s="1049"/>
      <c r="N387" s="1087"/>
      <c r="O387" s="1087"/>
    </row>
    <row r="388" spans="1:15">
      <c r="A388" s="1048"/>
      <c r="B388" s="1061" t="s">
        <v>2125</v>
      </c>
      <c r="C388" s="1048">
        <v>1</v>
      </c>
      <c r="D388" s="1048" t="s">
        <v>1472</v>
      </c>
      <c r="E388" s="1048">
        <v>2</v>
      </c>
      <c r="F388" s="1049">
        <f>10.5*0.3048</f>
        <v>3.2004000000000001</v>
      </c>
      <c r="G388" s="1084">
        <v>1</v>
      </c>
      <c r="H388" s="1049">
        <v>2.1</v>
      </c>
      <c r="I388" s="1049">
        <f>ROUND(C388*E388*F388*G388*H388,2)</f>
        <v>13.44</v>
      </c>
      <c r="J388" s="1049"/>
      <c r="K388" s="1049"/>
      <c r="L388" s="1049"/>
      <c r="M388" s="1049"/>
      <c r="N388" s="1087"/>
      <c r="O388" s="1087"/>
    </row>
    <row r="389" spans="1:15">
      <c r="A389" s="1048"/>
      <c r="B389" s="1061" t="s">
        <v>2125</v>
      </c>
      <c r="C389" s="1048">
        <v>1</v>
      </c>
      <c r="D389" s="1048" t="s">
        <v>1472</v>
      </c>
      <c r="E389" s="1048">
        <v>2</v>
      </c>
      <c r="F389" s="1049">
        <v>3.42</v>
      </c>
      <c r="G389" s="1084">
        <v>1</v>
      </c>
      <c r="H389" s="1049">
        <v>2.1</v>
      </c>
      <c r="I389" s="1049">
        <f>ROUND(C389*E389*F389*G389*H389,2)</f>
        <v>14.36</v>
      </c>
      <c r="J389" s="1049"/>
      <c r="K389" s="1049"/>
      <c r="L389" s="1049"/>
      <c r="M389" s="1049"/>
      <c r="N389" s="1087"/>
      <c r="O389" s="1087"/>
    </row>
    <row r="390" spans="1:15" ht="14.1">
      <c r="A390" s="1048"/>
      <c r="B390" s="1060" t="s">
        <v>675</v>
      </c>
      <c r="C390" s="1048"/>
      <c r="D390" s="1048"/>
      <c r="E390" s="1048"/>
      <c r="F390" s="1049"/>
      <c r="G390" s="1049"/>
      <c r="H390" s="1049"/>
      <c r="I390" s="1049"/>
      <c r="J390" s="1049"/>
      <c r="K390" s="1049"/>
      <c r="L390" s="1049"/>
      <c r="M390" s="1049"/>
      <c r="N390" s="1087"/>
      <c r="O390" s="1087"/>
    </row>
    <row r="391" spans="1:15">
      <c r="A391" s="1048"/>
      <c r="B391" s="1061" t="s">
        <v>2126</v>
      </c>
      <c r="C391" s="1048">
        <v>1</v>
      </c>
      <c r="D391" s="1048" t="s">
        <v>1472</v>
      </c>
      <c r="E391" s="1048">
        <v>2</v>
      </c>
      <c r="F391" s="1049">
        <v>0.9</v>
      </c>
      <c r="G391" s="1084">
        <v>1</v>
      </c>
      <c r="H391" s="1049">
        <v>2.1</v>
      </c>
      <c r="I391" s="1049">
        <f>-ROUND(C391*E391*F391*G391*H391,2)</f>
        <v>-3.78</v>
      </c>
      <c r="J391" s="1049"/>
      <c r="K391" s="1049"/>
      <c r="L391" s="1049"/>
      <c r="M391" s="1049"/>
      <c r="N391" s="1087"/>
      <c r="O391" s="1087"/>
    </row>
    <row r="392" spans="1:15">
      <c r="A392" s="1048"/>
      <c r="B392" s="1061" t="s">
        <v>101</v>
      </c>
      <c r="C392" s="1048">
        <v>1</v>
      </c>
      <c r="D392" s="1048" t="s">
        <v>1472</v>
      </c>
      <c r="E392" s="1048">
        <v>2</v>
      </c>
      <c r="F392" s="1049">
        <v>0.75</v>
      </c>
      <c r="G392" s="1084">
        <v>1</v>
      </c>
      <c r="H392" s="1049">
        <v>2.1</v>
      </c>
      <c r="I392" s="1049">
        <f>-ROUND(C392*E392*F392*G392*H392,2)</f>
        <v>-3.15</v>
      </c>
      <c r="J392" s="1049"/>
      <c r="K392" s="1049"/>
      <c r="L392" s="1049"/>
      <c r="M392" s="1049"/>
      <c r="N392" s="1087"/>
      <c r="O392" s="1087"/>
    </row>
    <row r="393" spans="1:15">
      <c r="A393" s="1048"/>
      <c r="B393" s="1061" t="s">
        <v>2224</v>
      </c>
      <c r="C393" s="1048">
        <v>1</v>
      </c>
      <c r="D393" s="1048" t="s">
        <v>1472</v>
      </c>
      <c r="E393" s="1048">
        <v>2</v>
      </c>
      <c r="F393" s="1049">
        <v>0.75</v>
      </c>
      <c r="G393" s="1084">
        <v>1</v>
      </c>
      <c r="H393" s="1049">
        <v>0.3</v>
      </c>
      <c r="I393" s="1049">
        <f>-ROUND(C393*E393*F393*G393*H393,2)</f>
        <v>-0.45</v>
      </c>
      <c r="J393" s="1049"/>
      <c r="K393" s="1049"/>
      <c r="L393" s="1049"/>
      <c r="M393" s="1049"/>
      <c r="N393" s="1087"/>
      <c r="O393" s="1087"/>
    </row>
    <row r="394" spans="1:15" ht="14.1">
      <c r="A394" s="1046"/>
      <c r="B394" s="1065"/>
      <c r="C394" s="1048"/>
      <c r="D394" s="1048"/>
      <c r="E394" s="1048"/>
      <c r="F394" s="1049"/>
      <c r="G394" s="1049"/>
      <c r="H394" s="1049"/>
      <c r="I394" s="1049">
        <f>SUM(I372:I393)</f>
        <v>321.79000000000008</v>
      </c>
      <c r="J394" s="1049">
        <f>Datas!G892</f>
        <v>1206.3</v>
      </c>
      <c r="K394" s="1053">
        <f>ROUND(J394*I394/10,0)</f>
        <v>38818</v>
      </c>
      <c r="L394" s="1049"/>
      <c r="M394" s="1049"/>
      <c r="N394" s="1087"/>
      <c r="O394" s="1087"/>
    </row>
    <row r="395" spans="1:15" ht="14.1">
      <c r="A395" s="1046"/>
      <c r="B395" s="1071"/>
      <c r="C395" s="1086"/>
      <c r="D395" s="1086"/>
      <c r="E395" s="1086"/>
      <c r="F395" s="1049"/>
      <c r="G395" s="1086"/>
      <c r="H395" s="1086"/>
      <c r="I395" s="1097" t="s">
        <v>1478</v>
      </c>
      <c r="J395" s="1049" t="s">
        <v>37</v>
      </c>
      <c r="K395" s="1049"/>
      <c r="L395" s="1049"/>
      <c r="M395" s="1049"/>
      <c r="N395" s="1087"/>
      <c r="O395" s="1087"/>
    </row>
    <row r="396" spans="1:15" ht="107.25" customHeight="1">
      <c r="A396" s="1046">
        <v>34</v>
      </c>
      <c r="B396" s="2415" t="s">
        <v>2244</v>
      </c>
      <c r="C396" s="2416"/>
      <c r="D396" s="2416"/>
      <c r="E396" s="2416"/>
      <c r="F396" s="2416"/>
      <c r="G396" s="2416"/>
      <c r="H396" s="2416"/>
      <c r="I396" s="2417"/>
      <c r="J396" s="1049"/>
      <c r="K396" s="1049"/>
      <c r="L396" s="1049"/>
      <c r="M396" s="1049"/>
      <c r="N396" s="1087"/>
      <c r="O396" s="1087"/>
    </row>
    <row r="397" spans="1:15" ht="14.1">
      <c r="A397" s="1046"/>
      <c r="B397" s="1060" t="s">
        <v>2135</v>
      </c>
      <c r="C397" s="1082"/>
      <c r="D397" s="1082"/>
      <c r="E397" s="1082"/>
      <c r="F397" s="1083"/>
      <c r="G397" s="1083"/>
      <c r="H397" s="1083"/>
      <c r="I397" s="1083"/>
      <c r="J397" s="1049"/>
      <c r="K397" s="1049"/>
      <c r="L397" s="1049"/>
      <c r="M397" s="1049"/>
      <c r="N397" s="1087"/>
      <c r="O397" s="1087"/>
    </row>
    <row r="398" spans="1:15" ht="14.1">
      <c r="A398" s="1046"/>
      <c r="B398" s="1050" t="s">
        <v>2115</v>
      </c>
      <c r="C398" s="1048">
        <v>1</v>
      </c>
      <c r="D398" s="1048" t="s">
        <v>1472</v>
      </c>
      <c r="E398" s="1048">
        <v>2</v>
      </c>
      <c r="F398" s="1049">
        <f>60.75*0.3048</f>
        <v>18.5166</v>
      </c>
      <c r="G398" s="1084">
        <v>1</v>
      </c>
      <c r="H398" s="1049">
        <v>3.6</v>
      </c>
      <c r="I398" s="1049">
        <f>ROUND(C398*E398*F398*G398*H398,2)</f>
        <v>133.32</v>
      </c>
      <c r="J398" s="1049"/>
      <c r="K398" s="1049"/>
      <c r="L398" s="1049"/>
      <c r="M398" s="1049"/>
      <c r="N398" s="1087"/>
      <c r="O398" s="1087"/>
    </row>
    <row r="399" spans="1:15" ht="14.1">
      <c r="A399" s="1046"/>
      <c r="B399" s="1050" t="s">
        <v>2033</v>
      </c>
      <c r="C399" s="1048">
        <v>1</v>
      </c>
      <c r="D399" s="1048" t="s">
        <v>1472</v>
      </c>
      <c r="E399" s="1048">
        <v>2</v>
      </c>
      <c r="F399" s="1049">
        <f>31.5*0.3048</f>
        <v>9.6012000000000004</v>
      </c>
      <c r="G399" s="1084">
        <v>1</v>
      </c>
      <c r="H399" s="1164" t="s">
        <v>2286</v>
      </c>
      <c r="I399" s="1049">
        <f>ROUND(C399*E399*F399*G399*AVERAGE(3.6,5.5,3.6),2)</f>
        <v>81.290000000000006</v>
      </c>
      <c r="J399" s="1049"/>
      <c r="K399" s="1049"/>
      <c r="L399" s="1049"/>
      <c r="M399" s="1049"/>
      <c r="N399" s="1087"/>
      <c r="O399" s="1087"/>
    </row>
    <row r="400" spans="1:15" ht="14.1">
      <c r="A400" s="1046"/>
      <c r="B400" s="1060" t="s">
        <v>2136</v>
      </c>
      <c r="C400" s="1048"/>
      <c r="D400" s="1048"/>
      <c r="E400" s="1048"/>
      <c r="F400" s="1049"/>
      <c r="G400" s="1084"/>
      <c r="H400" s="1049"/>
      <c r="I400" s="1068"/>
      <c r="J400" s="1049"/>
      <c r="K400" s="1049"/>
      <c r="L400" s="1049"/>
      <c r="M400" s="1068"/>
      <c r="N400" s="1087"/>
      <c r="O400" s="1087"/>
    </row>
    <row r="401" spans="1:15" ht="14.1">
      <c r="A401" s="1046"/>
      <c r="B401" s="1050" t="s">
        <v>2093</v>
      </c>
      <c r="C401" s="1048">
        <v>1</v>
      </c>
      <c r="D401" s="1048" t="s">
        <v>1472</v>
      </c>
      <c r="E401" s="1048">
        <v>2</v>
      </c>
      <c r="F401" s="1049">
        <f>12*0.3048</f>
        <v>3.6576000000000004</v>
      </c>
      <c r="G401" s="1084">
        <v>1</v>
      </c>
      <c r="H401" s="1049">
        <v>2.4</v>
      </c>
      <c r="I401" s="1049">
        <f>ROUND(C401*E401*F401*G401*H401,2)</f>
        <v>17.559999999999999</v>
      </c>
      <c r="J401" s="1049"/>
      <c r="K401" s="1049"/>
      <c r="L401" s="1049"/>
      <c r="M401" s="1049"/>
      <c r="N401" s="1087"/>
      <c r="O401" s="1087"/>
    </row>
    <row r="402" spans="1:15" ht="14.1">
      <c r="A402" s="1046"/>
      <c r="B402" s="1050" t="s">
        <v>2094</v>
      </c>
      <c r="C402" s="1048">
        <v>1</v>
      </c>
      <c r="D402" s="1048" t="s">
        <v>1472</v>
      </c>
      <c r="E402" s="1048">
        <v>2</v>
      </c>
      <c r="F402" s="1049">
        <f>11.5*0.3048</f>
        <v>3.5052000000000003</v>
      </c>
      <c r="G402" s="1084">
        <v>1</v>
      </c>
      <c r="H402" s="1049">
        <v>2.4</v>
      </c>
      <c r="I402" s="1049">
        <f>ROUND(C402*E402*F402*G402*H402,2)</f>
        <v>16.82</v>
      </c>
      <c r="J402" s="1049"/>
      <c r="K402" s="1049"/>
      <c r="L402" s="1049"/>
      <c r="M402" s="1049"/>
      <c r="N402" s="1087"/>
      <c r="O402" s="1087"/>
    </row>
    <row r="403" spans="1:15" ht="14.1">
      <c r="A403" s="1046"/>
      <c r="B403" s="1061"/>
      <c r="C403" s="1048"/>
      <c r="D403" s="1048"/>
      <c r="E403" s="1048"/>
      <c r="F403" s="1049"/>
      <c r="G403" s="1049"/>
      <c r="H403" s="1049" t="s">
        <v>982</v>
      </c>
      <c r="I403" s="1052">
        <f>SUM(I398:I402)</f>
        <v>248.99</v>
      </c>
      <c r="J403" s="1049">
        <f>Datas!G983</f>
        <v>2032.3400000000001</v>
      </c>
      <c r="K403" s="1053">
        <f>ROUND(J403*I403/10,0)</f>
        <v>50603</v>
      </c>
      <c r="L403" s="1049">
        <f>0.12*9+1.1*8</f>
        <v>9.8800000000000008</v>
      </c>
      <c r="M403" s="1055">
        <f>L403*I403</f>
        <v>2460.0212000000001</v>
      </c>
      <c r="N403" s="1087"/>
      <c r="O403" s="1087"/>
    </row>
    <row r="404" spans="1:15" ht="14.1">
      <c r="A404" s="1046"/>
      <c r="B404" s="1060"/>
      <c r="C404" s="1048"/>
      <c r="D404" s="1048"/>
      <c r="E404" s="1048"/>
      <c r="F404" s="1049"/>
      <c r="G404" s="1049"/>
      <c r="H404" s="1049"/>
      <c r="I404" s="1053" t="s">
        <v>1478</v>
      </c>
      <c r="J404" s="1049" t="s">
        <v>37</v>
      </c>
      <c r="K404" s="1053"/>
      <c r="L404" s="1049"/>
      <c r="M404" s="1049"/>
      <c r="N404" s="1087"/>
      <c r="O404" s="1087"/>
    </row>
    <row r="405" spans="1:15" ht="48.75" customHeight="1">
      <c r="A405" s="1046">
        <v>35</v>
      </c>
      <c r="B405" s="2428" t="s">
        <v>2180</v>
      </c>
      <c r="C405" s="2429"/>
      <c r="D405" s="2429"/>
      <c r="E405" s="2429"/>
      <c r="F405" s="2429"/>
      <c r="G405" s="2429"/>
      <c r="H405" s="2429"/>
      <c r="I405" s="2430"/>
      <c r="J405" s="1049"/>
      <c r="K405" s="1049"/>
      <c r="L405" s="1049"/>
      <c r="M405" s="1049"/>
      <c r="N405" s="1087"/>
      <c r="O405" s="1087"/>
    </row>
    <row r="406" spans="1:15">
      <c r="A406" s="1048"/>
      <c r="B406" s="1061" t="s">
        <v>2242</v>
      </c>
      <c r="C406" s="1048">
        <v>1</v>
      </c>
      <c r="D406" s="1048" t="s">
        <v>1472</v>
      </c>
      <c r="E406" s="1048">
        <v>1</v>
      </c>
      <c r="F406" s="1049">
        <v>2.25</v>
      </c>
      <c r="G406" s="1049">
        <v>1.8</v>
      </c>
      <c r="H406" s="1049">
        <v>2.4</v>
      </c>
      <c r="I406" s="1049">
        <f>ROUND(C406*E406*F406*G406*H406,2)</f>
        <v>9.7200000000000006</v>
      </c>
      <c r="J406" s="1049"/>
      <c r="K406" s="1049"/>
      <c r="L406" s="1049"/>
      <c r="M406" s="1049"/>
      <c r="N406" s="1087"/>
      <c r="O406" s="1087"/>
    </row>
    <row r="407" spans="1:15">
      <c r="A407" s="1048"/>
      <c r="B407" s="1061" t="s">
        <v>2181</v>
      </c>
      <c r="C407" s="1048">
        <v>1</v>
      </c>
      <c r="D407" s="1048" t="s">
        <v>1472</v>
      </c>
      <c r="E407" s="1048">
        <v>2</v>
      </c>
      <c r="F407" s="1049">
        <v>2.25</v>
      </c>
      <c r="G407" s="1049">
        <v>1.5</v>
      </c>
      <c r="H407" s="1049">
        <v>2.4</v>
      </c>
      <c r="I407" s="1049">
        <f>ROUND(C407*E407*F407*G407*H407,2)</f>
        <v>16.2</v>
      </c>
      <c r="J407" s="1049"/>
      <c r="K407" s="1049"/>
      <c r="L407" s="1049"/>
      <c r="M407" s="1049"/>
      <c r="N407" s="1087"/>
      <c r="O407" s="1087"/>
    </row>
    <row r="408" spans="1:15">
      <c r="A408" s="1048"/>
      <c r="B408" s="1061" t="s">
        <v>981</v>
      </c>
      <c r="C408" s="1048">
        <v>1</v>
      </c>
      <c r="D408" s="1048" t="s">
        <v>1472</v>
      </c>
      <c r="E408" s="1048">
        <v>2</v>
      </c>
      <c r="F408" s="1049">
        <v>2.25</v>
      </c>
      <c r="G408" s="1049">
        <v>0.9</v>
      </c>
      <c r="H408" s="1049">
        <v>2.1</v>
      </c>
      <c r="I408" s="1049">
        <f>ROUND(C408*E408*F408*G408*H408,2)</f>
        <v>8.51</v>
      </c>
      <c r="J408" s="1049"/>
      <c r="K408" s="1049"/>
      <c r="L408" s="1049"/>
      <c r="M408" s="1049"/>
      <c r="N408" s="1087"/>
      <c r="O408" s="1087"/>
    </row>
    <row r="409" spans="1:15">
      <c r="A409" s="1048"/>
      <c r="B409" s="1061" t="s">
        <v>2182</v>
      </c>
      <c r="C409" s="1048">
        <v>1</v>
      </c>
      <c r="D409" s="1048" t="s">
        <v>1472</v>
      </c>
      <c r="E409" s="1048">
        <v>2</v>
      </c>
      <c r="F409" s="1049">
        <v>2.25</v>
      </c>
      <c r="G409" s="1049">
        <v>0.75</v>
      </c>
      <c r="H409" s="1049">
        <v>2.1</v>
      </c>
      <c r="I409" s="1049">
        <f>ROUND(C409*E409*F409*G409*H409,2)</f>
        <v>7.09</v>
      </c>
      <c r="J409" s="1049"/>
      <c r="K409" s="1049"/>
      <c r="L409" s="1049"/>
      <c r="M409" s="1049"/>
      <c r="N409" s="1087"/>
      <c r="O409" s="1087"/>
    </row>
    <row r="410" spans="1:15">
      <c r="A410" s="1048"/>
      <c r="B410" s="1061" t="s">
        <v>2117</v>
      </c>
      <c r="C410" s="1048">
        <v>1</v>
      </c>
      <c r="D410" s="1048" t="s">
        <v>1472</v>
      </c>
      <c r="E410" s="1048">
        <v>4</v>
      </c>
      <c r="F410" s="1049">
        <v>2.75</v>
      </c>
      <c r="G410" s="1049">
        <v>1.5</v>
      </c>
      <c r="H410" s="1049">
        <v>1.2</v>
      </c>
      <c r="I410" s="1049">
        <f>ROUND(C410*E410*F410*G410*H410,2)</f>
        <v>19.8</v>
      </c>
      <c r="J410" s="1049"/>
      <c r="K410" s="1049"/>
      <c r="L410" s="1049"/>
      <c r="M410" s="1049"/>
      <c r="N410" s="1087"/>
      <c r="O410" s="1087"/>
    </row>
    <row r="411" spans="1:15" ht="14.1">
      <c r="A411" s="1046"/>
      <c r="B411" s="1061"/>
      <c r="C411" s="1048"/>
      <c r="D411" s="1048"/>
      <c r="E411" s="1048"/>
      <c r="F411" s="1049"/>
      <c r="G411" s="1049"/>
      <c r="H411" s="1049"/>
      <c r="I411" s="1049">
        <f>SUM(I406:I410)</f>
        <v>61.319999999999993</v>
      </c>
      <c r="J411" s="1049"/>
      <c r="K411" s="1049"/>
      <c r="L411" s="1049"/>
      <c r="M411" s="1049"/>
      <c r="N411" s="1087"/>
      <c r="O411" s="1087"/>
    </row>
    <row r="412" spans="1:15" ht="14.1">
      <c r="A412" s="1046"/>
      <c r="B412" s="1060"/>
      <c r="C412" s="1048"/>
      <c r="D412" s="1048"/>
      <c r="E412" s="1048"/>
      <c r="F412" s="1049"/>
      <c r="G412" s="1049"/>
      <c r="H412" s="1049" t="s">
        <v>471</v>
      </c>
      <c r="I412" s="1053">
        <f>CEILING(I411,0.05)</f>
        <v>61.35</v>
      </c>
      <c r="J412" s="1049">
        <f>Datas!G925</f>
        <v>113.67999999999999</v>
      </c>
      <c r="K412" s="1053">
        <f>ROUND(J412*I412/10,0)</f>
        <v>697</v>
      </c>
      <c r="L412" s="1049"/>
      <c r="M412" s="1049"/>
      <c r="N412" s="1087"/>
      <c r="O412" s="1087"/>
    </row>
    <row r="413" spans="1:15" ht="14.1">
      <c r="A413" s="1046"/>
      <c r="B413" s="1060"/>
      <c r="C413" s="1048"/>
      <c r="D413" s="1048"/>
      <c r="E413" s="1048"/>
      <c r="F413" s="1049"/>
      <c r="G413" s="1049"/>
      <c r="H413" s="1049"/>
      <c r="I413" s="1053" t="s">
        <v>1478</v>
      </c>
      <c r="J413" s="1049" t="s">
        <v>37</v>
      </c>
      <c r="K413" s="1053"/>
      <c r="L413" s="1049"/>
      <c r="M413" s="1049"/>
      <c r="N413" s="1087"/>
      <c r="O413" s="1087"/>
    </row>
    <row r="414" spans="1:15" ht="138" customHeight="1">
      <c r="A414" s="1046">
        <v>36</v>
      </c>
      <c r="B414" s="2415" t="s">
        <v>0</v>
      </c>
      <c r="C414" s="2416"/>
      <c r="D414" s="2416"/>
      <c r="E414" s="2416"/>
      <c r="F414" s="2416"/>
      <c r="G414" s="2416"/>
      <c r="H414" s="2416"/>
      <c r="I414" s="2417"/>
      <c r="J414" s="1049"/>
      <c r="K414" s="1049"/>
      <c r="L414" s="1049"/>
      <c r="M414" s="1049"/>
      <c r="N414" s="1087"/>
      <c r="O414" s="1087"/>
    </row>
    <row r="415" spans="1:15" ht="20.25" customHeight="1">
      <c r="A415" s="1046"/>
      <c r="B415" s="1060" t="s">
        <v>2050</v>
      </c>
      <c r="C415" s="1048"/>
      <c r="D415" s="1048"/>
      <c r="E415" s="1048"/>
      <c r="F415" s="1049"/>
      <c r="G415" s="1049"/>
      <c r="H415" s="1049"/>
      <c r="I415" s="1053">
        <v>1.6</v>
      </c>
      <c r="J415" s="1049">
        <f>Datas!$G$584</f>
        <v>77799</v>
      </c>
      <c r="K415" s="1053">
        <f>ROUND(J415*I415,0)</f>
        <v>124478</v>
      </c>
      <c r="L415" s="1049"/>
      <c r="M415" s="1049"/>
      <c r="N415" s="1087"/>
      <c r="O415" s="1087"/>
    </row>
    <row r="416" spans="1:15" ht="20.25" customHeight="1">
      <c r="A416" s="1046"/>
      <c r="B416" s="1060"/>
      <c r="C416" s="1048"/>
      <c r="D416" s="1048"/>
      <c r="E416" s="1048"/>
      <c r="F416" s="1049"/>
      <c r="G416" s="1049"/>
      <c r="H416" s="1049"/>
      <c r="I416" s="1053" t="s">
        <v>205</v>
      </c>
      <c r="J416" s="1049" t="s">
        <v>206</v>
      </c>
      <c r="K416" s="1053"/>
      <c r="L416" s="1049"/>
      <c r="M416" s="1049"/>
      <c r="N416" s="1087"/>
      <c r="O416" s="1087"/>
    </row>
    <row r="417" spans="1:15" s="1055" customFormat="1" ht="26.25" customHeight="1">
      <c r="A417" s="1030"/>
      <c r="B417" s="2431" t="s">
        <v>1165</v>
      </c>
      <c r="C417" s="2431"/>
      <c r="D417" s="2431"/>
      <c r="E417" s="2431"/>
      <c r="F417" s="2431"/>
      <c r="G417" s="2431"/>
      <c r="H417" s="2431"/>
      <c r="I417" s="2431"/>
      <c r="J417" s="1098"/>
      <c r="K417" s="1029"/>
      <c r="L417" s="1029"/>
      <c r="N417" s="1147"/>
      <c r="O417" s="1147"/>
    </row>
    <row r="418" spans="1:15" s="1055" customFormat="1" ht="66" customHeight="1">
      <c r="A418" s="1046">
        <v>35</v>
      </c>
      <c r="B418" s="2415" t="s">
        <v>1</v>
      </c>
      <c r="C418" s="2416"/>
      <c r="D418" s="2416"/>
      <c r="E418" s="2416"/>
      <c r="F418" s="2416"/>
      <c r="G418" s="2416"/>
      <c r="H418" s="2416"/>
      <c r="I418" s="2417"/>
      <c r="J418" s="1098"/>
      <c r="K418" s="1029"/>
      <c r="L418" s="1029"/>
      <c r="N418" s="1147"/>
      <c r="O418" s="1147"/>
    </row>
    <row r="419" spans="1:15" s="1055" customFormat="1" ht="14.1">
      <c r="A419" s="1046"/>
      <c r="B419" s="1076"/>
      <c r="C419" s="1076"/>
      <c r="D419" s="1076"/>
      <c r="E419" s="1098"/>
      <c r="F419" s="1099"/>
      <c r="G419" s="1099"/>
      <c r="H419" s="1100"/>
      <c r="I419" s="1099">
        <v>80</v>
      </c>
      <c r="J419" s="1049">
        <f>'data-Elec '!$H$60</f>
        <v>111.43</v>
      </c>
      <c r="K419" s="1053">
        <f>ROUND(J419*I419,0)</f>
        <v>8914</v>
      </c>
      <c r="L419" s="1029"/>
      <c r="N419" s="1147"/>
      <c r="O419" s="1147"/>
    </row>
    <row r="420" spans="1:15" s="1055" customFormat="1" ht="18.75" customHeight="1">
      <c r="A420" s="1046"/>
      <c r="B420" s="1076"/>
      <c r="C420" s="1076"/>
      <c r="D420" s="1076"/>
      <c r="E420" s="1098"/>
      <c r="F420" s="1099"/>
      <c r="G420" s="1099"/>
      <c r="H420" s="1100"/>
      <c r="I420" s="1099" t="s">
        <v>495</v>
      </c>
      <c r="J420" s="1049" t="s">
        <v>453</v>
      </c>
      <c r="K420" s="1053"/>
      <c r="L420" s="1029"/>
      <c r="N420" s="1147"/>
      <c r="O420" s="1147"/>
    </row>
    <row r="421" spans="1:15" s="1055" customFormat="1" ht="42" customHeight="1">
      <c r="A421" s="1046">
        <v>38</v>
      </c>
      <c r="B421" s="2415" t="s">
        <v>1245</v>
      </c>
      <c r="C421" s="2416"/>
      <c r="D421" s="2416"/>
      <c r="E421" s="2416"/>
      <c r="F421" s="2416"/>
      <c r="G421" s="2416"/>
      <c r="H421" s="2416"/>
      <c r="I421" s="2417"/>
      <c r="J421" s="1098"/>
      <c r="K421" s="1029"/>
      <c r="L421" s="1029"/>
      <c r="N421" s="1147"/>
      <c r="O421" s="1147"/>
    </row>
    <row r="422" spans="1:15" s="1055" customFormat="1" ht="14.1">
      <c r="A422" s="1046"/>
      <c r="B422" s="1076"/>
      <c r="C422" s="1076">
        <v>1</v>
      </c>
      <c r="D422" s="1076" t="s">
        <v>1472</v>
      </c>
      <c r="E422" s="1098">
        <v>1</v>
      </c>
      <c r="F422" s="1099">
        <v>4</v>
      </c>
      <c r="G422" s="1099"/>
      <c r="H422" s="1100"/>
      <c r="I422" s="1099">
        <v>30</v>
      </c>
      <c r="J422" s="1049">
        <f>'data-Elec '!$H$92</f>
        <v>554.66999999999996</v>
      </c>
      <c r="K422" s="1053">
        <f>ROUND(J422*I422,0)</f>
        <v>16640</v>
      </c>
      <c r="L422" s="1029"/>
      <c r="N422" s="1147"/>
      <c r="O422" s="1147"/>
    </row>
    <row r="423" spans="1:15" s="1055" customFormat="1" ht="18.75" customHeight="1">
      <c r="A423" s="1046"/>
      <c r="B423" s="1076"/>
      <c r="C423" s="1076"/>
      <c r="D423" s="1076"/>
      <c r="E423" s="1098"/>
      <c r="F423" s="1099"/>
      <c r="G423" s="1099"/>
      <c r="H423" s="1100"/>
      <c r="I423" s="1099" t="s">
        <v>1164</v>
      </c>
      <c r="J423" s="1049" t="s">
        <v>3</v>
      </c>
      <c r="K423" s="1053"/>
      <c r="L423" s="1029"/>
      <c r="N423" s="1147"/>
      <c r="O423" s="1147"/>
    </row>
    <row r="424" spans="1:15" s="1055" customFormat="1" ht="50.25" customHeight="1">
      <c r="A424" s="1046">
        <v>39</v>
      </c>
      <c r="B424" s="2415" t="s">
        <v>1248</v>
      </c>
      <c r="C424" s="2416"/>
      <c r="D424" s="2416"/>
      <c r="E424" s="2416"/>
      <c r="F424" s="2416"/>
      <c r="G424" s="2416"/>
      <c r="H424" s="2416"/>
      <c r="I424" s="2417"/>
      <c r="J424" s="1101"/>
      <c r="K424" s="1029"/>
      <c r="L424" s="1029"/>
      <c r="N424" s="1147"/>
      <c r="O424" s="1147"/>
    </row>
    <row r="425" spans="1:15" s="1055" customFormat="1" ht="14.1">
      <c r="A425" s="1046"/>
      <c r="B425" s="1076" t="s">
        <v>199</v>
      </c>
      <c r="C425" s="1076">
        <v>1</v>
      </c>
      <c r="D425" s="1076" t="s">
        <v>1472</v>
      </c>
      <c r="E425" s="1098">
        <v>1</v>
      </c>
      <c r="F425" s="1099">
        <v>10</v>
      </c>
      <c r="G425" s="1099"/>
      <c r="H425" s="1100"/>
      <c r="I425" s="1099">
        <v>200</v>
      </c>
      <c r="J425" s="1049">
        <f>'data-Elec '!$H$136</f>
        <v>60.25</v>
      </c>
      <c r="K425" s="1053">
        <f>ROUND(J425*I425,0)</f>
        <v>12050</v>
      </c>
      <c r="L425" s="1029"/>
      <c r="N425" s="1147"/>
      <c r="O425" s="1147"/>
    </row>
    <row r="426" spans="1:15" s="1055" customFormat="1" ht="14.1">
      <c r="A426" s="1046"/>
      <c r="B426" s="1076"/>
      <c r="C426" s="1076"/>
      <c r="D426" s="1076"/>
      <c r="E426" s="1098"/>
      <c r="F426" s="1099"/>
      <c r="G426" s="1099"/>
      <c r="H426" s="1100"/>
      <c r="I426" s="1099" t="s">
        <v>495</v>
      </c>
      <c r="J426" s="1049" t="s">
        <v>5</v>
      </c>
      <c r="K426" s="1053"/>
      <c r="L426" s="1029"/>
      <c r="N426" s="1147"/>
      <c r="O426" s="1147"/>
    </row>
    <row r="427" spans="1:15" s="1055" customFormat="1" ht="14.1">
      <c r="A427" s="1046"/>
      <c r="B427" s="1076" t="s">
        <v>200</v>
      </c>
      <c r="C427" s="1076">
        <v>1</v>
      </c>
      <c r="D427" s="1076" t="s">
        <v>1472</v>
      </c>
      <c r="E427" s="1098">
        <v>1</v>
      </c>
      <c r="F427" s="1099">
        <v>10</v>
      </c>
      <c r="G427" s="1099"/>
      <c r="H427" s="1100"/>
      <c r="I427" s="1099">
        <v>200</v>
      </c>
      <c r="J427" s="1049">
        <f>'data-Elec '!$H$149</f>
        <v>100.55</v>
      </c>
      <c r="K427" s="1053">
        <f>ROUND(J427*I427,0)</f>
        <v>20110</v>
      </c>
      <c r="L427" s="1029"/>
      <c r="N427" s="1147"/>
      <c r="O427" s="1147"/>
    </row>
    <row r="428" spans="1:15" s="1055" customFormat="1" ht="14.1">
      <c r="A428" s="1046"/>
      <c r="B428" s="1076"/>
      <c r="C428" s="1076"/>
      <c r="D428" s="1076"/>
      <c r="E428" s="1098"/>
      <c r="F428" s="1099"/>
      <c r="G428" s="1099"/>
      <c r="H428" s="1100"/>
      <c r="I428" s="1099" t="s">
        <v>495</v>
      </c>
      <c r="J428" s="1049" t="s">
        <v>5</v>
      </c>
      <c r="K428" s="1053"/>
      <c r="L428" s="1029"/>
      <c r="N428" s="1147"/>
      <c r="O428" s="1147"/>
    </row>
    <row r="429" spans="1:15" s="1055" customFormat="1" ht="69.75" customHeight="1">
      <c r="A429" s="1046">
        <v>40</v>
      </c>
      <c r="B429" s="2415" t="s">
        <v>48</v>
      </c>
      <c r="C429" s="2416"/>
      <c r="D429" s="2416"/>
      <c r="E429" s="2416"/>
      <c r="F429" s="2416"/>
      <c r="G429" s="2416"/>
      <c r="H429" s="2416"/>
      <c r="I429" s="2417"/>
      <c r="J429" s="1098"/>
      <c r="K429" s="1029"/>
      <c r="L429" s="1029"/>
      <c r="N429" s="1147"/>
      <c r="O429" s="1147"/>
    </row>
    <row r="430" spans="1:15" s="1055" customFormat="1" ht="18" customHeight="1">
      <c r="A430" s="1046"/>
      <c r="B430" s="1076"/>
      <c r="C430" s="1076">
        <v>1</v>
      </c>
      <c r="D430" s="1076" t="s">
        <v>1472</v>
      </c>
      <c r="E430" s="1098">
        <v>1</v>
      </c>
      <c r="F430" s="1099">
        <v>1</v>
      </c>
      <c r="G430" s="1099"/>
      <c r="H430" s="1100"/>
      <c r="I430" s="1099">
        <f>F430</f>
        <v>1</v>
      </c>
      <c r="J430" s="1049">
        <f>'data-Elec '!$H$438</f>
        <v>4622.5</v>
      </c>
      <c r="K430" s="1053">
        <f>ROUND(J430*I430,0)</f>
        <v>4623</v>
      </c>
      <c r="L430" s="1029"/>
      <c r="N430" s="1147"/>
      <c r="O430" s="1147"/>
    </row>
    <row r="431" spans="1:15" s="1055" customFormat="1" ht="18" customHeight="1">
      <c r="A431" s="1046"/>
      <c r="B431" s="1076"/>
      <c r="C431" s="1076"/>
      <c r="D431" s="1076"/>
      <c r="E431" s="1098"/>
      <c r="F431" s="1099"/>
      <c r="G431" s="1099"/>
      <c r="H431" s="1100"/>
      <c r="I431" s="1099" t="s">
        <v>857</v>
      </c>
      <c r="J431" s="1049" t="s">
        <v>4</v>
      </c>
      <c r="K431" s="1053"/>
      <c r="L431" s="1029"/>
      <c r="N431" s="1147"/>
      <c r="O431" s="1147"/>
    </row>
    <row r="432" spans="1:15" s="1055" customFormat="1" ht="34.5" customHeight="1">
      <c r="A432" s="1046">
        <v>41</v>
      </c>
      <c r="B432" s="2415" t="s">
        <v>865</v>
      </c>
      <c r="C432" s="2416"/>
      <c r="D432" s="2416"/>
      <c r="E432" s="2416"/>
      <c r="F432" s="2416"/>
      <c r="G432" s="2416"/>
      <c r="H432" s="2416"/>
      <c r="I432" s="2417"/>
      <c r="J432" s="1076"/>
      <c r="K432" s="1031"/>
      <c r="L432" s="1029"/>
      <c r="N432" s="1147"/>
      <c r="O432" s="1147"/>
    </row>
    <row r="433" spans="1:18" s="1055" customFormat="1" ht="17.25" customHeight="1">
      <c r="A433" s="1046"/>
      <c r="B433" s="1076" t="s">
        <v>451</v>
      </c>
      <c r="C433" s="1076">
        <v>1</v>
      </c>
      <c r="D433" s="1076" t="s">
        <v>1472</v>
      </c>
      <c r="E433" s="1102">
        <v>1</v>
      </c>
      <c r="F433" s="1099"/>
      <c r="G433" s="1099"/>
      <c r="H433" s="1100"/>
      <c r="I433" s="1103">
        <v>16</v>
      </c>
      <c r="J433" s="1049">
        <f>'data-Elec '!H407</f>
        <v>485.96</v>
      </c>
      <c r="K433" s="1053">
        <f>ROUND(J433*I433,0)</f>
        <v>7775</v>
      </c>
      <c r="L433" s="1029"/>
      <c r="N433" s="1147"/>
      <c r="O433" s="1147"/>
    </row>
    <row r="434" spans="1:18" s="1055" customFormat="1" ht="17.25" customHeight="1">
      <c r="A434" s="1046"/>
      <c r="B434" s="1076"/>
      <c r="C434" s="1076"/>
      <c r="D434" s="1076"/>
      <c r="E434" s="1102"/>
      <c r="F434" s="1099"/>
      <c r="G434" s="1099"/>
      <c r="H434" s="1100"/>
      <c r="I434" s="1103" t="s">
        <v>472</v>
      </c>
      <c r="J434" s="1049" t="s">
        <v>4</v>
      </c>
      <c r="K434" s="1053"/>
      <c r="L434" s="1029"/>
      <c r="N434" s="1147"/>
      <c r="O434" s="1147"/>
    </row>
    <row r="435" spans="1:18" s="1055" customFormat="1" ht="24.75" customHeight="1">
      <c r="A435" s="1046">
        <v>42</v>
      </c>
      <c r="B435" s="2415" t="s">
        <v>2183</v>
      </c>
      <c r="C435" s="2416"/>
      <c r="D435" s="2416"/>
      <c r="E435" s="2416"/>
      <c r="F435" s="2416"/>
      <c r="G435" s="2416"/>
      <c r="H435" s="2416"/>
      <c r="I435" s="2417"/>
      <c r="J435" s="1076"/>
      <c r="K435" s="1031"/>
      <c r="L435" s="1029"/>
      <c r="N435" s="1147"/>
      <c r="O435" s="1147"/>
    </row>
    <row r="436" spans="1:18" s="1055" customFormat="1" ht="17.25" customHeight="1">
      <c r="A436" s="1046"/>
      <c r="B436" s="1076"/>
      <c r="C436" s="1076">
        <v>1</v>
      </c>
      <c r="D436" s="1076" t="s">
        <v>1472</v>
      </c>
      <c r="E436" s="1102">
        <v>1</v>
      </c>
      <c r="F436" s="1099"/>
      <c r="G436" s="1099"/>
      <c r="H436" s="1100"/>
      <c r="I436" s="1103">
        <v>16</v>
      </c>
      <c r="J436" s="1049">
        <v>2200</v>
      </c>
      <c r="K436" s="1053">
        <f>ROUND(J436*I436,0)</f>
        <v>35200</v>
      </c>
      <c r="L436" s="1029"/>
      <c r="N436" s="1147"/>
      <c r="O436" s="1147"/>
    </row>
    <row r="437" spans="1:18" s="1055" customFormat="1" ht="17.25" customHeight="1">
      <c r="A437" s="1046"/>
      <c r="B437" s="1076"/>
      <c r="C437" s="1076"/>
      <c r="D437" s="1076"/>
      <c r="E437" s="1102"/>
      <c r="F437" s="1099"/>
      <c r="G437" s="1099"/>
      <c r="H437" s="1100"/>
      <c r="I437" s="1103" t="s">
        <v>472</v>
      </c>
      <c r="J437" s="1049" t="s">
        <v>4</v>
      </c>
      <c r="K437" s="1053"/>
      <c r="L437" s="1029"/>
      <c r="N437" s="1147"/>
      <c r="O437" s="1147"/>
    </row>
    <row r="438" spans="1:18" s="1055" customFormat="1" ht="71.25" customHeight="1">
      <c r="A438" s="1046">
        <v>43</v>
      </c>
      <c r="B438" s="2415" t="s">
        <v>1386</v>
      </c>
      <c r="C438" s="2416"/>
      <c r="D438" s="2416"/>
      <c r="E438" s="2416"/>
      <c r="F438" s="2416"/>
      <c r="G438" s="2416"/>
      <c r="H438" s="2416"/>
      <c r="I438" s="2417"/>
      <c r="J438" s="1076"/>
      <c r="K438" s="1031"/>
      <c r="L438" s="1029"/>
      <c r="N438" s="1147"/>
      <c r="O438" s="1147"/>
    </row>
    <row r="439" spans="1:18" s="1055" customFormat="1" ht="17.25" customHeight="1">
      <c r="A439" s="1046"/>
      <c r="B439" s="1076"/>
      <c r="C439" s="1076">
        <v>1</v>
      </c>
      <c r="D439" s="1076" t="s">
        <v>1472</v>
      </c>
      <c r="E439" s="1102">
        <v>1</v>
      </c>
      <c r="F439" s="1099"/>
      <c r="G439" s="1099"/>
      <c r="H439" s="1100"/>
      <c r="I439" s="1103">
        <v>1</v>
      </c>
      <c r="J439" s="1049">
        <f>'data-Elec '!H458</f>
        <v>4910.21</v>
      </c>
      <c r="K439" s="1053">
        <f>ROUND(J439*I439,0)</f>
        <v>4910</v>
      </c>
      <c r="L439" s="1029"/>
      <c r="N439" s="1147"/>
      <c r="O439" s="1147"/>
    </row>
    <row r="440" spans="1:18" s="1055" customFormat="1" ht="17.25" customHeight="1">
      <c r="A440" s="1046"/>
      <c r="B440" s="1076"/>
      <c r="C440" s="1076"/>
      <c r="D440" s="1076"/>
      <c r="E440" s="1102"/>
      <c r="F440" s="1099"/>
      <c r="G440" s="1099"/>
      <c r="H440" s="1100"/>
      <c r="I440" s="1103" t="s">
        <v>472</v>
      </c>
      <c r="J440" s="1049" t="s">
        <v>4</v>
      </c>
      <c r="K440" s="1053"/>
      <c r="L440" s="1029"/>
      <c r="N440" s="1147"/>
      <c r="O440" s="1147"/>
    </row>
    <row r="441" spans="1:18" s="1055" customFormat="1" ht="42" customHeight="1">
      <c r="A441" s="1046">
        <v>44</v>
      </c>
      <c r="B441" s="2415" t="s">
        <v>1147</v>
      </c>
      <c r="C441" s="2416"/>
      <c r="D441" s="2416"/>
      <c r="E441" s="2416"/>
      <c r="F441" s="2416"/>
      <c r="G441" s="2416"/>
      <c r="H441" s="2416"/>
      <c r="I441" s="2417"/>
      <c r="J441" s="1076"/>
      <c r="K441" s="1031"/>
      <c r="L441" s="1029"/>
      <c r="N441" s="1147"/>
      <c r="O441" s="1147"/>
    </row>
    <row r="442" spans="1:18" s="1055" customFormat="1" ht="17.25" customHeight="1">
      <c r="A442" s="1046"/>
      <c r="B442" s="1076"/>
      <c r="C442" s="1076">
        <v>1</v>
      </c>
      <c r="D442" s="1076" t="s">
        <v>1472</v>
      </c>
      <c r="E442" s="1102">
        <v>1</v>
      </c>
      <c r="F442" s="1099"/>
      <c r="G442" s="1099"/>
      <c r="H442" s="1100"/>
      <c r="I442" s="1103">
        <v>1</v>
      </c>
      <c r="J442" s="1049">
        <f>'data-Elec '!H381</f>
        <v>5291.56</v>
      </c>
      <c r="K442" s="1053">
        <f>ROUND(J442*I442,0)</f>
        <v>5292</v>
      </c>
      <c r="L442" s="1029"/>
      <c r="N442" s="1147"/>
      <c r="O442" s="1147"/>
    </row>
    <row r="443" spans="1:18" s="1055" customFormat="1" ht="17.25" customHeight="1">
      <c r="A443" s="1046"/>
      <c r="B443" s="1076"/>
      <c r="C443" s="1076"/>
      <c r="D443" s="1076"/>
      <c r="E443" s="1102"/>
      <c r="F443" s="1099"/>
      <c r="G443" s="1099"/>
      <c r="H443" s="1100"/>
      <c r="I443" s="1103" t="s">
        <v>472</v>
      </c>
      <c r="J443" s="1049" t="s">
        <v>4</v>
      </c>
      <c r="K443" s="1053"/>
      <c r="L443" s="1029"/>
      <c r="N443" s="1147"/>
      <c r="O443" s="1147"/>
    </row>
    <row r="444" spans="1:18" s="1107" customFormat="1" ht="27.75" customHeight="1">
      <c r="A444" s="1104"/>
      <c r="B444" s="2411" t="s">
        <v>1163</v>
      </c>
      <c r="C444" s="2411"/>
      <c r="D444" s="2411"/>
      <c r="E444" s="2411"/>
      <c r="F444" s="2411"/>
      <c r="G444" s="2411"/>
      <c r="H444" s="2411"/>
      <c r="I444" s="1105"/>
      <c r="J444" s="1106"/>
      <c r="K444" s="1032"/>
      <c r="L444" s="1032"/>
      <c r="N444" s="1186"/>
      <c r="O444" s="1186"/>
    </row>
    <row r="445" spans="1:18" s="1107" customFormat="1" ht="48" customHeight="1">
      <c r="A445" s="1104">
        <v>45</v>
      </c>
      <c r="B445" s="2408" t="s">
        <v>211</v>
      </c>
      <c r="C445" s="2409"/>
      <c r="D445" s="2409"/>
      <c r="E445" s="2409"/>
      <c r="F445" s="2409"/>
      <c r="G445" s="2409"/>
      <c r="H445" s="2409"/>
      <c r="I445" s="2410"/>
      <c r="J445" s="1109"/>
      <c r="K445" s="1032"/>
      <c r="L445" s="1032"/>
      <c r="M445" s="1110"/>
      <c r="N445" s="1111"/>
      <c r="O445" s="1111"/>
      <c r="P445" s="1110"/>
      <c r="Q445" s="1111"/>
      <c r="R445" s="1110"/>
    </row>
    <row r="446" spans="1:18" s="1107" customFormat="1" ht="14.1">
      <c r="A446" s="1104"/>
      <c r="B446" s="1112"/>
      <c r="C446" s="1106">
        <v>1</v>
      </c>
      <c r="D446" s="1112" t="s">
        <v>1472</v>
      </c>
      <c r="E446" s="1106">
        <v>1</v>
      </c>
      <c r="F446" s="1113">
        <v>1</v>
      </c>
      <c r="G446" s="1113"/>
      <c r="H446" s="1113"/>
      <c r="I446" s="1113">
        <v>2</v>
      </c>
      <c r="J446" s="1114">
        <f>' DATA -Sanitary&amp;water supply'!$G$5</f>
        <v>2207</v>
      </c>
      <c r="K446" s="1115">
        <f>ROUND(J446*I446,0)</f>
        <v>4414</v>
      </c>
      <c r="L446" s="1032"/>
      <c r="M446" s="1110"/>
      <c r="N446" s="1111"/>
      <c r="O446" s="1111"/>
      <c r="P446" s="1110"/>
      <c r="Q446" s="1111"/>
      <c r="R446" s="1110"/>
    </row>
    <row r="447" spans="1:18" s="1107" customFormat="1" ht="14.1">
      <c r="A447" s="1104"/>
      <c r="B447" s="1112"/>
      <c r="C447" s="1112"/>
      <c r="D447" s="1112"/>
      <c r="E447" s="1106"/>
      <c r="F447" s="1105"/>
      <c r="G447" s="1105"/>
      <c r="H447" s="1105"/>
      <c r="I447" s="1105" t="s">
        <v>857</v>
      </c>
      <c r="J447" s="1114" t="s">
        <v>4</v>
      </c>
      <c r="K447" s="1115"/>
      <c r="L447" s="1032"/>
      <c r="M447" s="1110"/>
      <c r="N447" s="1111"/>
      <c r="O447" s="1111"/>
      <c r="P447" s="1110"/>
      <c r="Q447" s="1111"/>
      <c r="R447" s="1110"/>
    </row>
    <row r="448" spans="1:18" s="1107" customFormat="1" ht="30" customHeight="1">
      <c r="A448" s="1104">
        <v>46</v>
      </c>
      <c r="B448" s="2408" t="s">
        <v>2086</v>
      </c>
      <c r="C448" s="2409"/>
      <c r="D448" s="2409"/>
      <c r="E448" s="2409"/>
      <c r="F448" s="2409"/>
      <c r="G448" s="2409"/>
      <c r="H448" s="2409"/>
      <c r="I448" s="2410"/>
      <c r="J448" s="1109"/>
      <c r="K448" s="1032"/>
      <c r="L448" s="1032"/>
      <c r="M448" s="1110"/>
      <c r="N448" s="1111"/>
      <c r="O448" s="1111"/>
      <c r="P448" s="1110"/>
      <c r="Q448" s="1111"/>
      <c r="R448" s="1110"/>
    </row>
    <row r="449" spans="1:18" s="1107" customFormat="1" ht="14.1">
      <c r="A449" s="1104"/>
      <c r="B449" s="1112" t="s">
        <v>2056</v>
      </c>
      <c r="C449" s="1106">
        <v>1</v>
      </c>
      <c r="D449" s="1112" t="s">
        <v>1472</v>
      </c>
      <c r="E449" s="1106">
        <v>2</v>
      </c>
      <c r="F449" s="1113">
        <v>6</v>
      </c>
      <c r="G449" s="1113"/>
      <c r="H449" s="1113"/>
      <c r="I449" s="1113">
        <f>F449*E449</f>
        <v>12</v>
      </c>
      <c r="J449" s="1114">
        <v>400</v>
      </c>
      <c r="K449" s="1115">
        <f>ROUND(J449*I449,0)</f>
        <v>4800</v>
      </c>
      <c r="L449" s="1032"/>
      <c r="M449" s="1110"/>
      <c r="N449" s="1111"/>
      <c r="O449" s="1111"/>
      <c r="P449" s="1110"/>
      <c r="Q449" s="1111"/>
      <c r="R449" s="1110"/>
    </row>
    <row r="450" spans="1:18" s="1107" customFormat="1" ht="14.1">
      <c r="A450" s="1104"/>
      <c r="B450" s="1112"/>
      <c r="C450" s="1112"/>
      <c r="D450" s="1112"/>
      <c r="E450" s="1106"/>
      <c r="F450" s="1105"/>
      <c r="G450" s="1105"/>
      <c r="H450" s="1105"/>
      <c r="I450" s="1105" t="s">
        <v>857</v>
      </c>
      <c r="J450" s="1114" t="s">
        <v>4</v>
      </c>
      <c r="K450" s="1115"/>
      <c r="L450" s="1032"/>
      <c r="M450" s="1110"/>
      <c r="N450" s="1111"/>
      <c r="O450" s="1111"/>
      <c r="P450" s="1110"/>
      <c r="Q450" s="1111"/>
      <c r="R450" s="1110"/>
    </row>
    <row r="451" spans="1:18" s="1107" customFormat="1" ht="34.5" customHeight="1">
      <c r="A451" s="1104">
        <v>47</v>
      </c>
      <c r="B451" s="2408" t="s">
        <v>2087</v>
      </c>
      <c r="C451" s="2409"/>
      <c r="D451" s="2409"/>
      <c r="E451" s="2409"/>
      <c r="F451" s="2409"/>
      <c r="G451" s="2409"/>
      <c r="H451" s="2409"/>
      <c r="I451" s="2410"/>
      <c r="J451" s="1109"/>
      <c r="K451" s="1032"/>
      <c r="L451" s="1032"/>
      <c r="M451" s="1110"/>
      <c r="N451" s="1111"/>
      <c r="O451" s="1111"/>
      <c r="P451" s="1110"/>
      <c r="Q451" s="1111"/>
      <c r="R451" s="1110"/>
    </row>
    <row r="452" spans="1:18" s="1107" customFormat="1" ht="27.6">
      <c r="A452" s="1104"/>
      <c r="B452" s="1112" t="s">
        <v>2088</v>
      </c>
      <c r="C452" s="1106">
        <v>1</v>
      </c>
      <c r="D452" s="1112" t="s">
        <v>1472</v>
      </c>
      <c r="E452" s="1106">
        <v>2</v>
      </c>
      <c r="F452" s="1113">
        <v>1</v>
      </c>
      <c r="G452" s="1113"/>
      <c r="H452" s="1113"/>
      <c r="I452" s="1113">
        <f>F452*E452</f>
        <v>2</v>
      </c>
      <c r="J452" s="1114">
        <v>732</v>
      </c>
      <c r="K452" s="1115">
        <f>ROUND(J452*I452,0)</f>
        <v>1464</v>
      </c>
      <c r="L452" s="1032"/>
      <c r="M452" s="1110"/>
      <c r="N452" s="1111"/>
      <c r="O452" s="1111"/>
      <c r="P452" s="1110"/>
      <c r="Q452" s="1111"/>
      <c r="R452" s="1110"/>
    </row>
    <row r="453" spans="1:18" s="1107" customFormat="1" ht="14.1">
      <c r="A453" s="1104"/>
      <c r="B453" s="1112"/>
      <c r="C453" s="1112"/>
      <c r="D453" s="1112"/>
      <c r="E453" s="1106"/>
      <c r="F453" s="1105"/>
      <c r="G453" s="1105"/>
      <c r="H453" s="1105"/>
      <c r="I453" s="1105" t="s">
        <v>857</v>
      </c>
      <c r="J453" s="1114" t="s">
        <v>4</v>
      </c>
      <c r="K453" s="1115"/>
      <c r="L453" s="1032"/>
      <c r="M453" s="1110"/>
      <c r="N453" s="1111"/>
      <c r="O453" s="1111"/>
      <c r="P453" s="1110"/>
      <c r="Q453" s="1111"/>
      <c r="R453" s="1110"/>
    </row>
    <row r="454" spans="1:18" s="1107" customFormat="1" ht="22.5" customHeight="1">
      <c r="A454" s="1104">
        <v>48</v>
      </c>
      <c r="B454" s="2408" t="s">
        <v>2037</v>
      </c>
      <c r="C454" s="2409"/>
      <c r="D454" s="2409"/>
      <c r="E454" s="2409"/>
      <c r="F454" s="2409"/>
      <c r="G454" s="2409"/>
      <c r="H454" s="2409"/>
      <c r="I454" s="1105"/>
      <c r="J454" s="1106"/>
      <c r="K454" s="1033"/>
      <c r="L454" s="1032"/>
      <c r="M454" s="1110"/>
      <c r="N454" s="1111"/>
      <c r="O454" s="1111"/>
      <c r="P454" s="1111"/>
      <c r="Q454" s="1111"/>
      <c r="R454" s="1110"/>
    </row>
    <row r="455" spans="1:18" s="1107" customFormat="1" ht="14.1">
      <c r="A455" s="1104"/>
      <c r="B455" s="1116" t="s">
        <v>2038</v>
      </c>
      <c r="C455" s="1117"/>
      <c r="D455" s="1117"/>
      <c r="E455" s="1117"/>
      <c r="F455" s="1117"/>
      <c r="G455" s="1117"/>
      <c r="H455" s="1117"/>
      <c r="I455" s="1105">
        <v>6</v>
      </c>
      <c r="J455" s="1114">
        <f>' DATA -Sanitary&amp;water supply'!$G$160</f>
        <v>178</v>
      </c>
      <c r="K455" s="1115">
        <f>ROUND(J455*I455,0)</f>
        <v>1068</v>
      </c>
      <c r="L455" s="1032"/>
      <c r="M455" s="1110"/>
      <c r="N455" s="1111"/>
      <c r="O455" s="1111"/>
      <c r="P455" s="1111"/>
      <c r="Q455" s="1111"/>
      <c r="R455" s="1110"/>
    </row>
    <row r="456" spans="1:18" s="1107" customFormat="1" ht="14.1">
      <c r="A456" s="1104"/>
      <c r="B456" s="1117"/>
      <c r="C456" s="1117"/>
      <c r="D456" s="1117"/>
      <c r="E456" s="1117"/>
      <c r="F456" s="1117"/>
      <c r="G456" s="1117"/>
      <c r="H456" s="1117"/>
      <c r="I456" s="1105" t="s">
        <v>452</v>
      </c>
      <c r="J456" s="1114" t="s">
        <v>453</v>
      </c>
      <c r="K456" s="1115"/>
      <c r="L456" s="1032"/>
      <c r="M456" s="1110"/>
      <c r="N456" s="1111"/>
      <c r="O456" s="1111"/>
      <c r="P456" s="1111"/>
      <c r="Q456" s="1111"/>
      <c r="R456" s="1110"/>
    </row>
    <row r="457" spans="1:18" s="1107" customFormat="1" ht="14.1">
      <c r="A457" s="1104">
        <v>49</v>
      </c>
      <c r="B457" s="1116" t="s">
        <v>2039</v>
      </c>
      <c r="C457" s="1117"/>
      <c r="D457" s="1117"/>
      <c r="E457" s="1117"/>
      <c r="F457" s="1117"/>
      <c r="G457" s="1117"/>
      <c r="H457" s="1117"/>
      <c r="I457" s="1105">
        <v>6</v>
      </c>
      <c r="J457" s="1114">
        <f>' DATA -Sanitary&amp;water supply'!$G$156</f>
        <v>155</v>
      </c>
      <c r="K457" s="1115">
        <f>ROUND(J457*I457,0)</f>
        <v>930</v>
      </c>
      <c r="L457" s="1032"/>
      <c r="M457" s="1110"/>
      <c r="N457" s="1111"/>
      <c r="O457" s="1111"/>
      <c r="P457" s="1111"/>
      <c r="Q457" s="1111"/>
      <c r="R457" s="1110"/>
    </row>
    <row r="458" spans="1:18" s="1107" customFormat="1" ht="14.1">
      <c r="A458" s="1104"/>
      <c r="B458" s="1117"/>
      <c r="C458" s="1117"/>
      <c r="D458" s="1117"/>
      <c r="E458" s="1117"/>
      <c r="F458" s="1117"/>
      <c r="G458" s="1117"/>
      <c r="H458" s="1117"/>
      <c r="I458" s="1105" t="s">
        <v>452</v>
      </c>
      <c r="J458" s="1114" t="s">
        <v>453</v>
      </c>
      <c r="K458" s="1115"/>
      <c r="L458" s="1032"/>
      <c r="M458" s="1110"/>
      <c r="N458" s="1111"/>
      <c r="O458" s="1111"/>
      <c r="P458" s="1111"/>
      <c r="Q458" s="1111"/>
      <c r="R458" s="1110"/>
    </row>
    <row r="459" spans="1:18" s="1107" customFormat="1" ht="30.75" customHeight="1">
      <c r="A459" s="1104">
        <v>50</v>
      </c>
      <c r="B459" s="2412" t="s">
        <v>2245</v>
      </c>
      <c r="C459" s="2413"/>
      <c r="D459" s="2413"/>
      <c r="E459" s="2413"/>
      <c r="F459" s="2413"/>
      <c r="G459" s="2413"/>
      <c r="H459" s="2414"/>
      <c r="I459" s="1106"/>
      <c r="J459" s="1109"/>
      <c r="K459" s="1033"/>
      <c r="L459" s="1032"/>
      <c r="M459" s="1110"/>
      <c r="N459" s="1111"/>
      <c r="O459" s="1111"/>
      <c r="P459" s="1110"/>
      <c r="Q459" s="1111"/>
      <c r="R459" s="1110"/>
    </row>
    <row r="460" spans="1:18" s="1107" customFormat="1" ht="14.1">
      <c r="A460" s="1104"/>
      <c r="B460" s="1117"/>
      <c r="C460" s="1117"/>
      <c r="D460" s="1117"/>
      <c r="E460" s="1117"/>
      <c r="F460" s="1117"/>
      <c r="G460" s="1117"/>
      <c r="H460" s="1117"/>
      <c r="I460" s="1105">
        <v>6</v>
      </c>
      <c r="J460" s="1114">
        <f>' DATA -Sanitary&amp;water supply'!$G$39</f>
        <v>204.33</v>
      </c>
      <c r="K460" s="1115">
        <f>ROUND(J460*I460,0)</f>
        <v>1226</v>
      </c>
      <c r="L460" s="1032"/>
      <c r="M460" s="1110"/>
      <c r="N460" s="1111"/>
      <c r="O460" s="1111"/>
      <c r="P460" s="1110"/>
      <c r="Q460" s="1111"/>
      <c r="R460" s="1110"/>
    </row>
    <row r="461" spans="1:18" s="1107" customFormat="1" ht="14.1">
      <c r="A461" s="1104"/>
      <c r="B461" s="1117"/>
      <c r="C461" s="1117"/>
      <c r="D461" s="1117"/>
      <c r="E461" s="1117"/>
      <c r="F461" s="1117"/>
      <c r="G461" s="1117"/>
      <c r="H461" s="1117"/>
      <c r="I461" s="1105" t="s">
        <v>452</v>
      </c>
      <c r="J461" s="1106" t="s">
        <v>453</v>
      </c>
      <c r="K461" s="1033"/>
      <c r="L461" s="1032"/>
      <c r="M461" s="1110"/>
      <c r="N461" s="1111"/>
      <c r="O461" s="1111"/>
      <c r="P461" s="1111"/>
      <c r="Q461" s="1111"/>
      <c r="R461" s="1110"/>
    </row>
    <row r="462" spans="1:18" s="1107" customFormat="1" ht="31.5" customHeight="1">
      <c r="A462" s="1104">
        <v>51</v>
      </c>
      <c r="B462" s="2412" t="s">
        <v>207</v>
      </c>
      <c r="C462" s="2413"/>
      <c r="D462" s="2413"/>
      <c r="E462" s="2413"/>
      <c r="F462" s="2413"/>
      <c r="G462" s="2413"/>
      <c r="H462" s="2414"/>
      <c r="I462" s="1105"/>
      <c r="J462" s="1109"/>
      <c r="K462" s="1033"/>
      <c r="L462" s="1032"/>
      <c r="M462" s="1110"/>
      <c r="N462" s="1111"/>
      <c r="O462" s="1111"/>
      <c r="P462" s="1110"/>
      <c r="Q462" s="1111"/>
      <c r="R462" s="1110"/>
    </row>
    <row r="463" spans="1:18" s="1107" customFormat="1" ht="14.1">
      <c r="A463" s="1104"/>
      <c r="B463" s="2407"/>
      <c r="C463" s="2407"/>
      <c r="D463" s="2407"/>
      <c r="E463" s="2407"/>
      <c r="F463" s="2407"/>
      <c r="G463" s="2407"/>
      <c r="H463" s="2407"/>
      <c r="I463" s="1105">
        <v>6</v>
      </c>
      <c r="J463" s="1114">
        <f>' DATA -Sanitary&amp;water supply'!$G$33</f>
        <v>293.67</v>
      </c>
      <c r="K463" s="1115">
        <f>ROUND(J463*I463,0)</f>
        <v>1762</v>
      </c>
      <c r="L463" s="1032"/>
      <c r="M463" s="1110"/>
      <c r="N463" s="1111"/>
      <c r="O463" s="1111"/>
      <c r="P463" s="1110"/>
      <c r="Q463" s="1111"/>
      <c r="R463" s="1110"/>
    </row>
    <row r="464" spans="1:18" s="1107" customFormat="1" ht="14.1">
      <c r="A464" s="1104"/>
      <c r="B464" s="1117"/>
      <c r="C464" s="1117"/>
      <c r="D464" s="1117"/>
      <c r="E464" s="1117"/>
      <c r="F464" s="1117"/>
      <c r="G464" s="1117"/>
      <c r="H464" s="1117"/>
      <c r="I464" s="1105" t="s">
        <v>452</v>
      </c>
      <c r="J464" s="1106" t="s">
        <v>453</v>
      </c>
      <c r="K464" s="1033"/>
      <c r="L464" s="1032"/>
      <c r="M464" s="1110"/>
      <c r="N464" s="1111"/>
      <c r="O464" s="1111"/>
      <c r="P464" s="1111"/>
      <c r="Q464" s="1111"/>
      <c r="R464" s="1110"/>
    </row>
    <row r="465" spans="1:18" s="1107" customFormat="1" ht="72.75" customHeight="1">
      <c r="A465" s="1104">
        <v>52</v>
      </c>
      <c r="B465" s="2412" t="s">
        <v>1252</v>
      </c>
      <c r="C465" s="2413"/>
      <c r="D465" s="2413"/>
      <c r="E465" s="2413"/>
      <c r="F465" s="2413"/>
      <c r="G465" s="2413"/>
      <c r="H465" s="2414"/>
      <c r="I465" s="1105"/>
      <c r="J465" s="1109"/>
      <c r="K465" s="1033"/>
      <c r="L465" s="1032"/>
      <c r="M465" s="1110"/>
      <c r="N465" s="1111"/>
      <c r="O465" s="1111"/>
      <c r="P465" s="1110"/>
      <c r="Q465" s="1111"/>
      <c r="R465" s="1110"/>
    </row>
    <row r="466" spans="1:18" s="1107" customFormat="1" ht="14.1">
      <c r="A466" s="1104"/>
      <c r="B466" s="2407"/>
      <c r="C466" s="2407"/>
      <c r="D466" s="2407"/>
      <c r="E466" s="2407"/>
      <c r="F466" s="2407"/>
      <c r="G466" s="2407"/>
      <c r="H466" s="2407"/>
      <c r="I466" s="1105">
        <v>2</v>
      </c>
      <c r="J466" s="1114">
        <f>' DATA -Sanitary&amp;water supply'!$G$26</f>
        <v>171</v>
      </c>
      <c r="K466" s="1115">
        <f>ROUND(J466*I466,0)</f>
        <v>342</v>
      </c>
      <c r="L466" s="1032"/>
      <c r="M466" s="1110"/>
      <c r="N466" s="1111"/>
      <c r="O466" s="1111"/>
      <c r="P466" s="1110"/>
      <c r="Q466" s="1111"/>
      <c r="R466" s="1110"/>
    </row>
    <row r="467" spans="1:18" s="1107" customFormat="1" ht="14.1">
      <c r="A467" s="1104"/>
      <c r="B467" s="1117"/>
      <c r="C467" s="1117"/>
      <c r="D467" s="1117"/>
      <c r="E467" s="1117"/>
      <c r="F467" s="1117"/>
      <c r="G467" s="1117"/>
      <c r="H467" s="1117"/>
      <c r="I467" s="1105" t="s">
        <v>472</v>
      </c>
      <c r="J467" s="1106" t="s">
        <v>4</v>
      </c>
      <c r="K467" s="1033"/>
      <c r="L467" s="1032"/>
      <c r="M467" s="1110"/>
      <c r="N467" s="1111"/>
      <c r="O467" s="1111"/>
      <c r="P467" s="1111"/>
      <c r="Q467" s="1111"/>
      <c r="R467" s="1110"/>
    </row>
    <row r="468" spans="1:18" s="1107" customFormat="1" ht="81.75" customHeight="1">
      <c r="A468" s="1104">
        <v>53</v>
      </c>
      <c r="B468" s="2412" t="s">
        <v>1031</v>
      </c>
      <c r="C468" s="2413"/>
      <c r="D468" s="2413"/>
      <c r="E468" s="2413"/>
      <c r="F468" s="2413"/>
      <c r="G468" s="2413"/>
      <c r="H468" s="2414"/>
      <c r="I468" s="1105"/>
      <c r="J468" s="1106"/>
      <c r="K468" s="1033"/>
      <c r="L468" s="1032"/>
      <c r="M468" s="1110"/>
      <c r="N468" s="1111"/>
      <c r="O468" s="1111"/>
      <c r="P468" s="1110"/>
      <c r="Q468" s="1111"/>
      <c r="R468" s="1110"/>
    </row>
    <row r="469" spans="1:18" s="1107" customFormat="1" ht="14.1">
      <c r="A469" s="1104"/>
      <c r="B469" s="2407"/>
      <c r="C469" s="2407"/>
      <c r="D469" s="2407"/>
      <c r="E469" s="2407"/>
      <c r="F469" s="2407"/>
      <c r="G469" s="2407"/>
      <c r="H469" s="2407"/>
      <c r="I469" s="1105">
        <v>2</v>
      </c>
      <c r="J469" s="1114">
        <f>' DATA -Sanitary&amp;water supply'!$G$140</f>
        <v>84</v>
      </c>
      <c r="K469" s="1115">
        <f>ROUND(J469*I469,0)</f>
        <v>168</v>
      </c>
      <c r="L469" s="1032"/>
      <c r="M469" s="1110"/>
      <c r="N469" s="1111"/>
      <c r="O469" s="1111"/>
      <c r="P469" s="1110"/>
      <c r="Q469" s="1111"/>
      <c r="R469" s="1110"/>
    </row>
    <row r="470" spans="1:18" s="1107" customFormat="1" ht="14.1">
      <c r="A470" s="1104"/>
      <c r="B470" s="1117"/>
      <c r="C470" s="1117"/>
      <c r="D470" s="1117"/>
      <c r="E470" s="1117"/>
      <c r="F470" s="1117"/>
      <c r="G470" s="1117"/>
      <c r="H470" s="1117"/>
      <c r="I470" s="1105" t="s">
        <v>472</v>
      </c>
      <c r="J470" s="1106" t="s">
        <v>4</v>
      </c>
      <c r="K470" s="1033"/>
      <c r="L470" s="1032"/>
      <c r="M470" s="1110"/>
      <c r="N470" s="1111"/>
      <c r="O470" s="1111"/>
      <c r="P470" s="1111"/>
      <c r="Q470" s="1111"/>
      <c r="R470" s="1110"/>
    </row>
    <row r="471" spans="1:18" s="1107" customFormat="1" ht="81" customHeight="1">
      <c r="A471" s="1104">
        <v>54</v>
      </c>
      <c r="B471" s="2412" t="s">
        <v>447</v>
      </c>
      <c r="C471" s="2418"/>
      <c r="D471" s="2418"/>
      <c r="E471" s="2418"/>
      <c r="F471" s="2418"/>
      <c r="G471" s="2418"/>
      <c r="H471" s="2419"/>
      <c r="I471" s="1105"/>
      <c r="J471" s="1106"/>
      <c r="K471" s="1033"/>
      <c r="L471" s="1032"/>
      <c r="M471" s="1110"/>
      <c r="N471" s="1111"/>
      <c r="O471" s="1111"/>
      <c r="P471" s="1110"/>
      <c r="Q471" s="1111"/>
      <c r="R471" s="1110"/>
    </row>
    <row r="472" spans="1:18" s="1107" customFormat="1" ht="27.75" customHeight="1">
      <c r="A472" s="1104"/>
      <c r="B472" s="2407"/>
      <c r="C472" s="2407"/>
      <c r="D472" s="2407"/>
      <c r="E472" s="2407"/>
      <c r="F472" s="2407"/>
      <c r="G472" s="2407"/>
      <c r="H472" s="2407"/>
      <c r="I472" s="1105">
        <v>4</v>
      </c>
      <c r="J472" s="1114">
        <f>' DATA -Sanitary&amp;water supply'!$G$144</f>
        <v>47</v>
      </c>
      <c r="K472" s="1115">
        <f>ROUND(J472*I472,0)</f>
        <v>188</v>
      </c>
      <c r="L472" s="1032"/>
      <c r="M472" s="1110"/>
      <c r="N472" s="1111"/>
      <c r="O472" s="1111"/>
      <c r="P472" s="1110"/>
      <c r="Q472" s="1111"/>
      <c r="R472" s="1110"/>
    </row>
    <row r="473" spans="1:18" s="1107" customFormat="1" ht="14.1">
      <c r="A473" s="1104"/>
      <c r="B473" s="1117"/>
      <c r="C473" s="1117"/>
      <c r="D473" s="1117"/>
      <c r="E473" s="1117"/>
      <c r="F473" s="1117"/>
      <c r="G473" s="1117"/>
      <c r="H473" s="1117"/>
      <c r="I473" s="1105" t="s">
        <v>472</v>
      </c>
      <c r="J473" s="1106" t="s">
        <v>4</v>
      </c>
      <c r="K473" s="1033"/>
      <c r="L473" s="1032"/>
      <c r="M473" s="1110"/>
      <c r="N473" s="1111"/>
      <c r="O473" s="1111"/>
      <c r="P473" s="1111"/>
      <c r="Q473" s="1111"/>
      <c r="R473" s="1110"/>
    </row>
    <row r="474" spans="1:18" s="1107" customFormat="1" ht="35.25" customHeight="1">
      <c r="A474" s="1104">
        <v>55</v>
      </c>
      <c r="B474" s="2412" t="s">
        <v>448</v>
      </c>
      <c r="C474" s="2418"/>
      <c r="D474" s="2418"/>
      <c r="E474" s="2418"/>
      <c r="F474" s="2418"/>
      <c r="G474" s="2418"/>
      <c r="H474" s="2419"/>
      <c r="I474" s="1113"/>
      <c r="J474" s="1109"/>
      <c r="K474" s="1033"/>
      <c r="L474" s="1032"/>
      <c r="M474" s="1110"/>
      <c r="N474" s="1111"/>
      <c r="O474" s="1111"/>
      <c r="P474" s="1110"/>
      <c r="Q474" s="1111"/>
      <c r="R474" s="1110"/>
    </row>
    <row r="475" spans="1:18" s="1107" customFormat="1" ht="14.1">
      <c r="A475" s="1104"/>
      <c r="B475" s="2407"/>
      <c r="C475" s="2407"/>
      <c r="D475" s="2407"/>
      <c r="E475" s="2407"/>
      <c r="F475" s="2407"/>
      <c r="G475" s="2407"/>
      <c r="H475" s="2407"/>
      <c r="I475" s="1105">
        <v>2</v>
      </c>
      <c r="J475" s="1114">
        <f>' DATA -Sanitary&amp;water supply'!$G$148</f>
        <v>23</v>
      </c>
      <c r="K475" s="1115">
        <f>ROUND(J475*I475,0)</f>
        <v>46</v>
      </c>
      <c r="L475" s="1032"/>
      <c r="M475" s="1110"/>
      <c r="N475" s="1111"/>
      <c r="O475" s="1111"/>
      <c r="P475" s="1110"/>
      <c r="Q475" s="1111"/>
      <c r="R475" s="1110"/>
    </row>
    <row r="476" spans="1:18" s="1107" customFormat="1" ht="14.1">
      <c r="A476" s="1104"/>
      <c r="B476" s="1117"/>
      <c r="C476" s="1117"/>
      <c r="D476" s="1117"/>
      <c r="E476" s="1117"/>
      <c r="F476" s="1117"/>
      <c r="G476" s="1117"/>
      <c r="H476" s="1117"/>
      <c r="I476" s="1105" t="s">
        <v>472</v>
      </c>
      <c r="J476" s="1106" t="s">
        <v>4</v>
      </c>
      <c r="K476" s="1033"/>
      <c r="L476" s="1032"/>
      <c r="M476" s="1110"/>
      <c r="N476" s="1111"/>
      <c r="O476" s="1111"/>
      <c r="P476" s="1111"/>
      <c r="Q476" s="1111"/>
      <c r="R476" s="1110"/>
    </row>
    <row r="477" spans="1:18" s="1107" customFormat="1" ht="109.5" customHeight="1">
      <c r="A477" s="1104">
        <v>56</v>
      </c>
      <c r="B477" s="2412" t="s">
        <v>1441</v>
      </c>
      <c r="C477" s="2418"/>
      <c r="D477" s="2418"/>
      <c r="E477" s="2418"/>
      <c r="F477" s="2418"/>
      <c r="G477" s="2418"/>
      <c r="H477" s="2419"/>
      <c r="I477" s="1105"/>
      <c r="J477" s="1109"/>
      <c r="K477" s="1033"/>
      <c r="L477" s="1032"/>
      <c r="M477" s="1110"/>
      <c r="N477" s="1111"/>
      <c r="O477" s="1111"/>
      <c r="P477" s="1110"/>
      <c r="Q477" s="1111"/>
      <c r="R477" s="1110"/>
    </row>
    <row r="478" spans="1:18" s="1107" customFormat="1" ht="14.1">
      <c r="A478" s="1104"/>
      <c r="B478" s="2407"/>
      <c r="C478" s="2407"/>
      <c r="D478" s="2407"/>
      <c r="E478" s="2407"/>
      <c r="F478" s="2407"/>
      <c r="G478" s="2407"/>
      <c r="H478" s="2407"/>
      <c r="I478" s="1105">
        <v>2</v>
      </c>
      <c r="J478" s="1114">
        <f>' DATA -Sanitary&amp;water supply'!G83</f>
        <v>4610</v>
      </c>
      <c r="K478" s="1115">
        <f>ROUND(J478*I478,0)</f>
        <v>9220</v>
      </c>
      <c r="L478" s="1032"/>
      <c r="M478" s="1110"/>
      <c r="N478" s="1111"/>
      <c r="O478" s="1111"/>
      <c r="P478" s="1110"/>
      <c r="Q478" s="1111"/>
      <c r="R478" s="1110"/>
    </row>
    <row r="479" spans="1:18" s="1107" customFormat="1" ht="14.1">
      <c r="A479" s="1104"/>
      <c r="B479" s="1117"/>
      <c r="C479" s="1117"/>
      <c r="D479" s="1117"/>
      <c r="E479" s="1117"/>
      <c r="F479" s="1117"/>
      <c r="G479" s="1117"/>
      <c r="H479" s="1117"/>
      <c r="I479" s="1105" t="s">
        <v>472</v>
      </c>
      <c r="J479" s="1106" t="s">
        <v>4</v>
      </c>
      <c r="K479" s="1033"/>
      <c r="L479" s="1032"/>
      <c r="M479" s="1110"/>
      <c r="N479" s="1111"/>
      <c r="O479" s="1111"/>
      <c r="P479" s="1111"/>
      <c r="Q479" s="1111"/>
      <c r="R479" s="1110"/>
    </row>
    <row r="480" spans="1:18" s="1107" customFormat="1" ht="14.1">
      <c r="A480" s="1104"/>
      <c r="B480" s="1118"/>
      <c r="C480" s="1119"/>
      <c r="D480" s="1119"/>
      <c r="E480" s="1119"/>
      <c r="F480" s="1119"/>
      <c r="G480" s="1119"/>
      <c r="H480" s="1120"/>
      <c r="I480" s="1105"/>
      <c r="J480" s="1106" t="s">
        <v>4</v>
      </c>
      <c r="K480" s="1115"/>
      <c r="L480" s="1032"/>
      <c r="M480" s="1110"/>
      <c r="N480" s="1111"/>
      <c r="O480" s="1111"/>
      <c r="P480" s="1110"/>
      <c r="Q480" s="1111"/>
      <c r="R480" s="1110"/>
    </row>
    <row r="481" spans="1:18" s="1107" customFormat="1" ht="49.5" customHeight="1">
      <c r="A481" s="1104">
        <v>57</v>
      </c>
      <c r="B481" s="2412" t="s">
        <v>2040</v>
      </c>
      <c r="C481" s="2418"/>
      <c r="D481" s="2418"/>
      <c r="E481" s="2418"/>
      <c r="F481" s="2418"/>
      <c r="G481" s="2418"/>
      <c r="H481" s="2419"/>
      <c r="I481" s="1105"/>
      <c r="J481" s="1106"/>
      <c r="K481" s="1033"/>
      <c r="L481" s="1032"/>
      <c r="M481" s="1110"/>
      <c r="N481" s="1111"/>
      <c r="O481" s="1111"/>
      <c r="P481" s="1110"/>
      <c r="Q481" s="1111"/>
      <c r="R481" s="1110"/>
    </row>
    <row r="482" spans="1:18" s="1107" customFormat="1" ht="14.1">
      <c r="A482" s="1104"/>
      <c r="B482" s="2407"/>
      <c r="C482" s="2407"/>
      <c r="D482" s="2407"/>
      <c r="E482" s="2407"/>
      <c r="F482" s="2407"/>
      <c r="G482" s="2407"/>
      <c r="H482" s="2407"/>
      <c r="I482" s="1105">
        <v>1000</v>
      </c>
      <c r="J482" s="1114">
        <f>' DATA -Sanitary&amp;water supply'!G124</f>
        <v>10</v>
      </c>
      <c r="K482" s="1115">
        <f>ROUND(J482*I482,0)</f>
        <v>10000</v>
      </c>
      <c r="L482" s="1032"/>
      <c r="M482" s="1110"/>
      <c r="N482" s="1111"/>
      <c r="O482" s="1111"/>
      <c r="P482" s="1110"/>
      <c r="Q482" s="1111"/>
      <c r="R482" s="1110"/>
    </row>
    <row r="483" spans="1:18" s="1107" customFormat="1" ht="14.1">
      <c r="A483" s="1104"/>
      <c r="B483" s="1117"/>
      <c r="C483" s="1117"/>
      <c r="D483" s="1117"/>
      <c r="E483" s="1117"/>
      <c r="F483" s="1117"/>
      <c r="G483" s="1117"/>
      <c r="H483" s="1117"/>
      <c r="I483" s="1105" t="s">
        <v>1426</v>
      </c>
      <c r="J483" s="1106" t="s">
        <v>883</v>
      </c>
      <c r="K483" s="1115"/>
      <c r="L483" s="1032"/>
      <c r="M483" s="1110"/>
      <c r="N483" s="1111"/>
      <c r="O483" s="1111"/>
      <c r="P483" s="1111"/>
      <c r="Q483" s="1111"/>
      <c r="R483" s="1110"/>
    </row>
    <row r="484" spans="1:18" s="1107" customFormat="1" ht="94.5" customHeight="1">
      <c r="A484" s="1104">
        <v>58</v>
      </c>
      <c r="B484" s="2412" t="s">
        <v>1353</v>
      </c>
      <c r="C484" s="2418"/>
      <c r="D484" s="2418"/>
      <c r="E484" s="2418"/>
      <c r="F484" s="2418"/>
      <c r="G484" s="2418"/>
      <c r="H484" s="2419"/>
      <c r="I484" s="1105"/>
      <c r="J484" s="1109"/>
      <c r="K484" s="1033"/>
      <c r="L484" s="1032"/>
      <c r="M484" s="1110"/>
      <c r="N484" s="1111"/>
      <c r="O484" s="1111"/>
      <c r="P484" s="1110"/>
      <c r="Q484" s="1111"/>
      <c r="R484" s="1110"/>
    </row>
    <row r="485" spans="1:18" s="1107" customFormat="1" ht="14.1">
      <c r="A485" s="1104"/>
      <c r="B485" s="2420"/>
      <c r="C485" s="2421"/>
      <c r="D485" s="2421"/>
      <c r="E485" s="2421"/>
      <c r="F485" s="2421"/>
      <c r="G485" s="2421"/>
      <c r="H485" s="2422"/>
      <c r="I485" s="1105">
        <v>6</v>
      </c>
      <c r="J485" s="1114">
        <f>' DATA -Sanitary&amp;water supply'!G117</f>
        <v>531</v>
      </c>
      <c r="K485" s="1115">
        <f>ROUND(J485*I485,0)</f>
        <v>3186</v>
      </c>
      <c r="L485" s="1032"/>
      <c r="M485" s="1110"/>
      <c r="N485" s="1111"/>
      <c r="O485" s="1111"/>
      <c r="P485" s="1110"/>
      <c r="Q485" s="1111"/>
      <c r="R485" s="1110"/>
    </row>
    <row r="486" spans="1:18" s="1107" customFormat="1" ht="14.1">
      <c r="A486" s="1104"/>
      <c r="B486" s="1108"/>
      <c r="C486" s="1121"/>
      <c r="D486" s="1121"/>
      <c r="E486" s="1121"/>
      <c r="F486" s="1121"/>
      <c r="G486" s="1121"/>
      <c r="H486" s="1122"/>
      <c r="I486" s="1105" t="s">
        <v>6</v>
      </c>
      <c r="J486" s="1106" t="s">
        <v>453</v>
      </c>
      <c r="K486" s="1115"/>
      <c r="L486" s="1032"/>
      <c r="M486" s="1110"/>
      <c r="N486" s="1111"/>
      <c r="O486" s="1111"/>
      <c r="P486" s="1110"/>
      <c r="Q486" s="1111"/>
      <c r="R486" s="1110"/>
    </row>
    <row r="487" spans="1:18" s="1107" customFormat="1" ht="114.75" customHeight="1">
      <c r="A487" s="1104">
        <v>59</v>
      </c>
      <c r="B487" s="2412" t="s">
        <v>1922</v>
      </c>
      <c r="C487" s="2418"/>
      <c r="D487" s="2418"/>
      <c r="E487" s="2418"/>
      <c r="F487" s="2418"/>
      <c r="G487" s="2418"/>
      <c r="H487" s="2419"/>
      <c r="I487" s="1105"/>
      <c r="J487" s="1109"/>
      <c r="K487" s="1033"/>
      <c r="L487" s="1032"/>
      <c r="M487" s="1110"/>
      <c r="N487" s="1111"/>
      <c r="O487" s="1111"/>
      <c r="P487" s="1110"/>
      <c r="Q487" s="1111"/>
      <c r="R487" s="1110"/>
    </row>
    <row r="488" spans="1:18" s="1107" customFormat="1" ht="14.1">
      <c r="A488" s="1104"/>
      <c r="B488" s="2420"/>
      <c r="C488" s="2421"/>
      <c r="D488" s="2421"/>
      <c r="E488" s="2421"/>
      <c r="F488" s="2421"/>
      <c r="G488" s="2421"/>
      <c r="H488" s="2422"/>
      <c r="I488" s="1105">
        <v>2</v>
      </c>
      <c r="J488" s="1114">
        <f>' DATA -Sanitary&amp;water supply'!G152</f>
        <v>2045</v>
      </c>
      <c r="K488" s="1115">
        <f>ROUND(J488*I488,0)</f>
        <v>4090</v>
      </c>
      <c r="L488" s="1032"/>
      <c r="M488" s="1110"/>
      <c r="N488" s="1111"/>
      <c r="O488" s="1111"/>
      <c r="P488" s="1110"/>
      <c r="Q488" s="1111"/>
      <c r="R488" s="1110"/>
    </row>
    <row r="489" spans="1:18" s="1107" customFormat="1" ht="14.1">
      <c r="A489" s="1104"/>
      <c r="B489" s="1108"/>
      <c r="C489" s="1121"/>
      <c r="D489" s="1121"/>
      <c r="E489" s="1121"/>
      <c r="F489" s="1121"/>
      <c r="G489" s="1121"/>
      <c r="H489" s="1122"/>
      <c r="I489" s="1105" t="s">
        <v>6</v>
      </c>
      <c r="J489" s="1106" t="s">
        <v>453</v>
      </c>
      <c r="K489" s="1115"/>
      <c r="L489" s="1032"/>
      <c r="M489" s="1110"/>
      <c r="N489" s="1111"/>
      <c r="O489" s="1111"/>
      <c r="P489" s="1110"/>
      <c r="Q489" s="1111"/>
      <c r="R489" s="1110"/>
    </row>
    <row r="490" spans="1:18" s="1107" customFormat="1" ht="14.1">
      <c r="A490" s="1123"/>
      <c r="B490" s="1124"/>
      <c r="C490" s="1124"/>
      <c r="D490" s="1124"/>
      <c r="E490" s="1124"/>
      <c r="F490" s="1124"/>
      <c r="G490" s="1124"/>
      <c r="H490" s="1124"/>
      <c r="I490" s="1125"/>
      <c r="J490" s="1126"/>
      <c r="K490" s="1127">
        <f>SUM(K6:K488)</f>
        <v>2456678</v>
      </c>
      <c r="L490" s="1034"/>
      <c r="M490" s="1110"/>
      <c r="N490" s="1111"/>
      <c r="O490" s="1127">
        <f>SUM(O6:O488)</f>
        <v>22706</v>
      </c>
      <c r="P490" s="1110"/>
      <c r="Q490" s="1111"/>
      <c r="R490" s="1110"/>
    </row>
    <row r="491" spans="1:18" s="1107" customFormat="1" ht="24.9" customHeight="1">
      <c r="A491" s="1104">
        <v>60</v>
      </c>
      <c r="B491" s="2412" t="s">
        <v>2288</v>
      </c>
      <c r="C491" s="2418"/>
      <c r="D491" s="2418"/>
      <c r="E491" s="2418"/>
      <c r="F491" s="2418"/>
      <c r="G491" s="2418"/>
      <c r="H491" s="2419"/>
      <c r="I491" s="1105"/>
      <c r="J491" s="1109"/>
      <c r="K491" s="1033">
        <f>ROUND(K490*0.5%,0)</f>
        <v>12283</v>
      </c>
      <c r="L491" s="1034"/>
      <c r="M491" s="1110"/>
      <c r="N491" s="1110"/>
      <c r="O491" s="1110"/>
      <c r="P491" s="1110"/>
      <c r="Q491" s="1111"/>
      <c r="R491" s="1110"/>
    </row>
    <row r="492" spans="1:18" s="1107" customFormat="1" ht="24.9" customHeight="1">
      <c r="A492" s="1104">
        <v>61</v>
      </c>
      <c r="B492" s="2412" t="s">
        <v>2365</v>
      </c>
      <c r="C492" s="2418"/>
      <c r="D492" s="2418"/>
      <c r="E492" s="2418"/>
      <c r="F492" s="2418"/>
      <c r="G492" s="2418"/>
      <c r="H492" s="2419"/>
      <c r="I492" s="1105"/>
      <c r="J492" s="1109"/>
      <c r="K492" s="1033">
        <f>O490</f>
        <v>22706</v>
      </c>
      <c r="L492" s="1034"/>
      <c r="M492" s="1110"/>
      <c r="N492" s="1110"/>
      <c r="O492" s="1110"/>
      <c r="P492" s="1110"/>
      <c r="Q492" s="1111"/>
      <c r="R492" s="1110"/>
    </row>
    <row r="493" spans="1:18" s="1107" customFormat="1" ht="24.9" customHeight="1">
      <c r="A493" s="1104">
        <f>A491+1</f>
        <v>61</v>
      </c>
      <c r="B493" s="2412" t="s">
        <v>2195</v>
      </c>
      <c r="C493" s="2418"/>
      <c r="D493" s="2418"/>
      <c r="E493" s="2418"/>
      <c r="F493" s="2418"/>
      <c r="G493" s="2418"/>
      <c r="H493" s="2419"/>
      <c r="I493" s="1105"/>
      <c r="J493" s="1109"/>
      <c r="K493" s="1033">
        <v>15000</v>
      </c>
      <c r="L493" s="1034"/>
      <c r="M493" s="1110"/>
      <c r="N493" s="1110"/>
      <c r="O493" s="1110"/>
      <c r="P493" s="1110"/>
      <c r="Q493" s="1111"/>
      <c r="R493" s="1110"/>
    </row>
    <row r="494" spans="1:18" s="1107" customFormat="1" ht="24.9" customHeight="1">
      <c r="A494" s="1104">
        <f>A493+1</f>
        <v>62</v>
      </c>
      <c r="B494" s="2412" t="s">
        <v>2196</v>
      </c>
      <c r="C494" s="2418"/>
      <c r="D494" s="2418"/>
      <c r="E494" s="2418"/>
      <c r="F494" s="2418"/>
      <c r="G494" s="2418"/>
      <c r="H494" s="2419"/>
      <c r="I494" s="1105"/>
      <c r="J494" s="1109"/>
      <c r="K494" s="1033">
        <v>15000</v>
      </c>
      <c r="L494" s="1034"/>
      <c r="M494" s="1110"/>
      <c r="N494" s="1110"/>
      <c r="O494" s="1110"/>
      <c r="P494" s="1110"/>
      <c r="Q494" s="1111"/>
      <c r="R494" s="1110"/>
    </row>
    <row r="495" spans="1:18" s="1107" customFormat="1" ht="24.9" customHeight="1">
      <c r="A495" s="1104">
        <f>A494+1</f>
        <v>63</v>
      </c>
      <c r="B495" s="2412" t="s">
        <v>2323</v>
      </c>
      <c r="C495" s="2418"/>
      <c r="D495" s="2418"/>
      <c r="E495" s="2418"/>
      <c r="F495" s="2418"/>
      <c r="G495" s="2418"/>
      <c r="H495" s="2419"/>
      <c r="I495" s="1105"/>
      <c r="J495" s="1109"/>
      <c r="K495" s="1033">
        <v>24057</v>
      </c>
      <c r="L495" s="1034"/>
      <c r="M495" s="1110"/>
      <c r="N495" s="1110"/>
      <c r="O495" s="1110"/>
      <c r="P495" s="1110"/>
      <c r="Q495" s="1111"/>
      <c r="R495" s="1110"/>
    </row>
    <row r="496" spans="1:18" s="1132" customFormat="1" ht="24.9" customHeight="1">
      <c r="A496" s="1128"/>
      <c r="B496" s="1128" t="s">
        <v>2059</v>
      </c>
      <c r="C496" s="1128"/>
      <c r="D496" s="1128"/>
      <c r="E496" s="1128"/>
      <c r="F496" s="1129"/>
      <c r="G496" s="1129"/>
      <c r="H496" s="1129"/>
      <c r="I496" s="1129"/>
      <c r="J496" s="1129"/>
      <c r="K496" s="1127">
        <f>SUM(K490:K495)</f>
        <v>2545724</v>
      </c>
      <c r="L496" s="1130">
        <f>K496-1260000</f>
        <v>1285724</v>
      </c>
      <c r="M496" s="1131"/>
      <c r="O496" s="1133">
        <f>2200000-K496</f>
        <v>-345724</v>
      </c>
    </row>
    <row r="497" spans="2:11" ht="14.1">
      <c r="I497" s="1087" t="s">
        <v>2256</v>
      </c>
      <c r="K497" s="1127">
        <v>2200000</v>
      </c>
    </row>
    <row r="500" spans="2:11">
      <c r="B500" s="1069" t="str">
        <f>'Lead- Input sheet '!B44</f>
        <v xml:space="preserve">  Assistant Exc.Engineer  </v>
      </c>
      <c r="F500" s="1136" t="str">
        <f>'Lead- Input sheet '!H44</f>
        <v>Deputy Executive Engineer</v>
      </c>
    </row>
    <row r="501" spans="2:11">
      <c r="B501" s="1069" t="str">
        <f>'Lead- Input sheet '!B45</f>
        <v>PR MPP Kalwakurthy</v>
      </c>
      <c r="F501" s="1136" t="str">
        <f>'Lead- Input sheet '!H45</f>
        <v>PR SD Kalwakurthy</v>
      </c>
    </row>
    <row r="505" spans="2:11" ht="50.2" customHeight="1">
      <c r="B505" s="2395" t="s">
        <v>2366</v>
      </c>
      <c r="C505" s="2395"/>
      <c r="D505" s="2395"/>
      <c r="E505" s="2395"/>
      <c r="F505" s="2403"/>
      <c r="G505" s="2403"/>
      <c r="H505" s="2403"/>
      <c r="I505" s="2403"/>
    </row>
  </sheetData>
  <mergeCells count="96">
    <mergeCell ref="A3:A4"/>
    <mergeCell ref="B493:H493"/>
    <mergeCell ref="B429:I429"/>
    <mergeCell ref="B465:H465"/>
    <mergeCell ref="B471:H471"/>
    <mergeCell ref="B481:H481"/>
    <mergeCell ref="B482:H482"/>
    <mergeCell ref="B484:H484"/>
    <mergeCell ref="B432:I432"/>
    <mergeCell ref="B414:I414"/>
    <mergeCell ref="B477:H477"/>
    <mergeCell ref="B492:H492"/>
    <mergeCell ref="B466:H466"/>
    <mergeCell ref="B454:H454"/>
    <mergeCell ref="B441:I441"/>
    <mergeCell ref="B487:H487"/>
    <mergeCell ref="B505:I505"/>
    <mergeCell ref="B310:I310"/>
    <mergeCell ref="B46:I46"/>
    <mergeCell ref="B167:I167"/>
    <mergeCell ref="B44:H44"/>
    <mergeCell ref="B122:I122"/>
    <mergeCell ref="B115:I115"/>
    <mergeCell ref="B120:H120"/>
    <mergeCell ref="B396:I396"/>
    <mergeCell ref="B495:H495"/>
    <mergeCell ref="B478:H478"/>
    <mergeCell ref="B474:H474"/>
    <mergeCell ref="B475:H475"/>
    <mergeCell ref="B494:H494"/>
    <mergeCell ref="B472:H472"/>
    <mergeCell ref="B491:H491"/>
    <mergeCell ref="A1:K1"/>
    <mergeCell ref="B239:I239"/>
    <mergeCell ref="B165:H165"/>
    <mergeCell ref="B103:I103"/>
    <mergeCell ref="B28:I28"/>
    <mergeCell ref="C5:E5"/>
    <mergeCell ref="B6:I6"/>
    <mergeCell ref="B179:H179"/>
    <mergeCell ref="J3:J4"/>
    <mergeCell ref="K3:K4"/>
    <mergeCell ref="A2:K2"/>
    <mergeCell ref="B22:H22"/>
    <mergeCell ref="B110:I110"/>
    <mergeCell ref="B76:H76"/>
    <mergeCell ref="B78:I78"/>
    <mergeCell ref="B24:I24"/>
    <mergeCell ref="B468:H468"/>
    <mergeCell ref="B248:I248"/>
    <mergeCell ref="B417:I417"/>
    <mergeCell ref="B361:I361"/>
    <mergeCell ref="B324:I324"/>
    <mergeCell ref="B338:I338"/>
    <mergeCell ref="B299:I299"/>
    <mergeCell ref="B314:I314"/>
    <mergeCell ref="B424:I424"/>
    <mergeCell ref="B342:I342"/>
    <mergeCell ref="B444:H444"/>
    <mergeCell ref="B445:I445"/>
    <mergeCell ref="B448:I448"/>
    <mergeCell ref="B254:I254"/>
    <mergeCell ref="B258:I258"/>
    <mergeCell ref="B278:I278"/>
    <mergeCell ref="B488:H488"/>
    <mergeCell ref="B328:I328"/>
    <mergeCell ref="B459:H459"/>
    <mergeCell ref="B462:H462"/>
    <mergeCell ref="B435:I435"/>
    <mergeCell ref="B418:I418"/>
    <mergeCell ref="B365:I365"/>
    <mergeCell ref="B405:I405"/>
    <mergeCell ref="B485:H485"/>
    <mergeCell ref="B469:H469"/>
    <mergeCell ref="B451:I451"/>
    <mergeCell ref="B438:I438"/>
    <mergeCell ref="B421:I421"/>
    <mergeCell ref="B370:I370"/>
    <mergeCell ref="B335:I335"/>
    <mergeCell ref="B463:H463"/>
    <mergeCell ref="L3:L4"/>
    <mergeCell ref="M3:M4"/>
    <mergeCell ref="B320:I320"/>
    <mergeCell ref="B287:I287"/>
    <mergeCell ref="B317:I317"/>
    <mergeCell ref="B181:I181"/>
    <mergeCell ref="B87:H87"/>
    <mergeCell ref="B283:I283"/>
    <mergeCell ref="B292:I292"/>
    <mergeCell ref="B209:H209"/>
    <mergeCell ref="B212:I212"/>
    <mergeCell ref="B3:B4"/>
    <mergeCell ref="C3:E4"/>
    <mergeCell ref="F3:H3"/>
    <mergeCell ref="I3:I4"/>
    <mergeCell ref="B26:H26"/>
  </mergeCells>
  <printOptions gridLines="1"/>
  <pageMargins left="0.51181102362204722" right="0.23622047244094491" top="0.27559055118110237" bottom="0.51181102362204722" header="0.51181102362204722" footer="0.51181102362204722"/>
  <pageSetup paperSize="9" scale="80" orientation="portrait" r:id="rId1"/>
  <headerFooter alignWithMargins="0">
    <oddFooter>Page &amp;P of &amp;N</oddFooter>
  </headerFooter>
  <rowBreaks count="2" manualBreakCount="2">
    <brk id="416" max="10" man="1"/>
    <brk id="443" max="10"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indexed="10"/>
  </sheetPr>
  <dimension ref="A1:IV486"/>
  <sheetViews>
    <sheetView topLeftCell="A470" zoomScale="150" zoomScaleNormal="140" zoomScaleSheetLayoutView="150" workbookViewId="0">
      <selection activeCell="A470" sqref="A470"/>
    </sheetView>
  </sheetViews>
  <sheetFormatPr defaultRowHeight="13.8"/>
  <cols>
    <col min="1" max="1" width="6.5546875" style="1134" customWidth="1"/>
    <col min="2" max="2" width="35.6640625" style="1069" customWidth="1"/>
    <col min="3" max="3" width="3.109375" style="1135" customWidth="1"/>
    <col min="4" max="4" width="2.5546875" style="1069" customWidth="1"/>
    <col min="5" max="5" width="3" style="1135" customWidth="1"/>
    <col min="6" max="6" width="7.44140625" style="1136" customWidth="1"/>
    <col min="7" max="7" width="7.33203125" style="1136" customWidth="1"/>
    <col min="8" max="8" width="12.44140625" style="1087" customWidth="1"/>
    <col min="9" max="9" width="10.109375" style="1087" customWidth="1"/>
    <col min="10" max="10" width="11.44140625" style="1087" customWidth="1"/>
    <col min="11" max="11" width="17.88671875" style="1087" customWidth="1"/>
    <col min="12" max="12" width="11.109375" style="1087" hidden="1" customWidth="1"/>
    <col min="13" max="13" width="9.6640625" style="1087" hidden="1" customWidth="1"/>
    <col min="14" max="14" width="14.88671875" style="1069" customWidth="1"/>
    <col min="15" max="15" width="17.88671875" style="1069" bestFit="1" customWidth="1"/>
    <col min="16" max="16" width="12.5546875" style="1069" bestFit="1" customWidth="1"/>
    <col min="17" max="17" width="9.5546875" style="1069" bestFit="1" customWidth="1"/>
    <col min="18" max="256" width="9.109375" style="1069"/>
  </cols>
  <sheetData>
    <row r="1" spans="1:13" ht="14.1">
      <c r="A1" s="2435" t="s">
        <v>2243</v>
      </c>
      <c r="B1" s="2436"/>
      <c r="C1" s="2436"/>
      <c r="D1" s="2436"/>
      <c r="E1" s="2436"/>
      <c r="F1" s="2436"/>
      <c r="G1" s="2436"/>
      <c r="H1" s="2436"/>
      <c r="I1" s="2436"/>
      <c r="J1" s="2436"/>
      <c r="K1" s="2436"/>
      <c r="L1" s="1028"/>
      <c r="M1" s="1028"/>
    </row>
    <row r="2" spans="1:13" ht="25.5" customHeight="1">
      <c r="A2" s="2449" t="str">
        <f>'Lead- Input sheet '!A2</f>
        <v xml:space="preserve"> Construction of  Anganwadi Building at Jeedipally Thanda (V) of Kalwakurthy (M) of Nagarkurnool District </v>
      </c>
      <c r="B2" s="2450"/>
      <c r="C2" s="2450"/>
      <c r="D2" s="2450"/>
      <c r="E2" s="2450"/>
      <c r="F2" s="2450"/>
      <c r="G2" s="2450"/>
      <c r="H2" s="2450"/>
      <c r="I2" s="2450"/>
      <c r="J2" s="2450"/>
      <c r="K2" s="2451"/>
      <c r="L2" s="1035"/>
      <c r="M2" s="1035"/>
    </row>
    <row r="3" spans="1:13" ht="14.1">
      <c r="A3" s="2437" t="s">
        <v>1200</v>
      </c>
      <c r="B3" s="2437" t="s">
        <v>1201</v>
      </c>
      <c r="C3" s="2453" t="s">
        <v>527</v>
      </c>
      <c r="D3" s="2454"/>
      <c r="E3" s="2455"/>
      <c r="F3" s="2439" t="s">
        <v>1202</v>
      </c>
      <c r="G3" s="2440"/>
      <c r="H3" s="2441"/>
      <c r="I3" s="2459" t="s">
        <v>786</v>
      </c>
      <c r="J3" s="2459" t="s">
        <v>1203</v>
      </c>
      <c r="K3" s="2461" t="s">
        <v>1115</v>
      </c>
      <c r="L3" s="2452" t="s">
        <v>1204</v>
      </c>
      <c r="M3" s="2452" t="s">
        <v>1205</v>
      </c>
    </row>
    <row r="4" spans="1:13" ht="14.1">
      <c r="A4" s="2438"/>
      <c r="B4" s="2438"/>
      <c r="C4" s="2456"/>
      <c r="D4" s="2457"/>
      <c r="E4" s="2458"/>
      <c r="F4" s="1036" t="s">
        <v>1417</v>
      </c>
      <c r="G4" s="1036" t="s">
        <v>859</v>
      </c>
      <c r="H4" s="1036" t="s">
        <v>785</v>
      </c>
      <c r="I4" s="2460"/>
      <c r="J4" s="2460"/>
      <c r="K4" s="2462"/>
      <c r="L4" s="2452"/>
      <c r="M4" s="2452"/>
    </row>
    <row r="5" spans="1:13" s="1070" customFormat="1" ht="15" customHeight="1">
      <c r="A5" s="1037">
        <v>1</v>
      </c>
      <c r="B5" s="1037">
        <f>A5+1</f>
        <v>2</v>
      </c>
      <c r="C5" s="2442">
        <f>B5+1</f>
        <v>3</v>
      </c>
      <c r="D5" s="2443"/>
      <c r="E5" s="2444"/>
      <c r="F5" s="1038">
        <f>C5+1</f>
        <v>4</v>
      </c>
      <c r="G5" s="1038">
        <f>F5+1</f>
        <v>5</v>
      </c>
      <c r="H5" s="1038">
        <f t="shared" ref="H5:M5" si="0">G5+1</f>
        <v>6</v>
      </c>
      <c r="I5" s="1038">
        <f t="shared" si="0"/>
        <v>7</v>
      </c>
      <c r="J5" s="1038">
        <f t="shared" si="0"/>
        <v>8</v>
      </c>
      <c r="K5" s="1038">
        <v>9</v>
      </c>
      <c r="L5" s="1038">
        <f t="shared" si="0"/>
        <v>10</v>
      </c>
      <c r="M5" s="1038">
        <f t="shared" si="0"/>
        <v>11</v>
      </c>
    </row>
    <row r="6" spans="1:13" ht="75.75" customHeight="1">
      <c r="A6" s="1039">
        <v>1</v>
      </c>
      <c r="B6" s="2445" t="s">
        <v>2042</v>
      </c>
      <c r="C6" s="2446"/>
      <c r="D6" s="2446"/>
      <c r="E6" s="2446"/>
      <c r="F6" s="2446"/>
      <c r="G6" s="2446"/>
      <c r="H6" s="2446"/>
      <c r="I6" s="2447"/>
      <c r="J6" s="1040"/>
      <c r="K6" s="1040"/>
      <c r="L6" s="1040"/>
      <c r="M6" s="1040"/>
    </row>
    <row r="7" spans="1:13" ht="14.1">
      <c r="A7" s="1041"/>
      <c r="B7" s="1042" t="s">
        <v>2061</v>
      </c>
      <c r="C7" s="1043"/>
      <c r="D7" s="1043"/>
      <c r="E7" s="1043"/>
      <c r="F7" s="1044"/>
      <c r="G7" s="1044"/>
      <c r="H7" s="1044"/>
      <c r="I7" s="1044"/>
      <c r="J7" s="1045"/>
      <c r="K7" s="1045"/>
      <c r="L7" s="1045"/>
      <c r="M7" s="1045"/>
    </row>
    <row r="8" spans="1:13" ht="14.1">
      <c r="A8" s="1046"/>
      <c r="B8" s="1047" t="s">
        <v>2004</v>
      </c>
      <c r="C8" s="1048">
        <v>2</v>
      </c>
      <c r="D8" s="1048" t="s">
        <v>1472</v>
      </c>
      <c r="E8" s="1048">
        <v>6</v>
      </c>
      <c r="F8" s="1049">
        <v>1.8</v>
      </c>
      <c r="G8" s="1049">
        <v>1.8</v>
      </c>
      <c r="H8" s="1049">
        <v>1.65</v>
      </c>
      <c r="I8" s="1049">
        <f t="shared" ref="I8:I19" si="1">ROUND(C8*E8*F8*G8*H8,2)</f>
        <v>64.150000000000006</v>
      </c>
      <c r="J8" s="1049"/>
      <c r="K8" s="1049"/>
      <c r="L8" s="1049"/>
      <c r="M8" s="1049"/>
    </row>
    <row r="9" spans="1:13" ht="27.6">
      <c r="A9" s="1046"/>
      <c r="B9" s="1050" t="s">
        <v>2090</v>
      </c>
      <c r="C9" s="1048">
        <v>1</v>
      </c>
      <c r="D9" s="1048" t="s">
        <v>1472</v>
      </c>
      <c r="E9" s="1048">
        <v>2</v>
      </c>
      <c r="F9" s="1049">
        <f>(60+1.5)*0.3048</f>
        <v>18.745200000000001</v>
      </c>
      <c r="G9" s="1049">
        <v>0.6</v>
      </c>
      <c r="H9" s="1049">
        <v>0.6</v>
      </c>
      <c r="I9" s="1049">
        <f t="shared" si="1"/>
        <v>13.5</v>
      </c>
      <c r="J9" s="1049"/>
      <c r="K9" s="1049"/>
      <c r="L9" s="1049"/>
      <c r="M9" s="1049"/>
    </row>
    <row r="10" spans="1:13" ht="27.6">
      <c r="A10" s="1046"/>
      <c r="B10" s="1050" t="s">
        <v>2091</v>
      </c>
      <c r="C10" s="1048">
        <v>1</v>
      </c>
      <c r="D10" s="1048" t="s">
        <v>1472</v>
      </c>
      <c r="E10" s="1048">
        <v>2</v>
      </c>
      <c r="F10" s="1049">
        <f>(30.75-2)*0.3048</f>
        <v>8.7629999999999999</v>
      </c>
      <c r="G10" s="1049">
        <v>0.6</v>
      </c>
      <c r="H10" s="1049">
        <v>0.6</v>
      </c>
      <c r="I10" s="1049">
        <f t="shared" si="1"/>
        <v>6.31</v>
      </c>
      <c r="J10" s="1049"/>
      <c r="K10" s="1049"/>
      <c r="L10" s="1049"/>
      <c r="M10" s="1049"/>
    </row>
    <row r="11" spans="1:13" ht="14.1">
      <c r="A11" s="1046"/>
      <c r="B11" s="1050" t="s">
        <v>2092</v>
      </c>
      <c r="C11" s="1048">
        <v>2</v>
      </c>
      <c r="D11" s="1048" t="s">
        <v>1472</v>
      </c>
      <c r="E11" s="1048">
        <v>2</v>
      </c>
      <c r="F11" s="1049">
        <v>1.2</v>
      </c>
      <c r="G11" s="1049">
        <v>0.6</v>
      </c>
      <c r="H11" s="1049">
        <v>0.6</v>
      </c>
      <c r="I11" s="1049">
        <f t="shared" si="1"/>
        <v>1.73</v>
      </c>
      <c r="J11" s="1049"/>
      <c r="K11" s="1049"/>
      <c r="L11" s="1049"/>
      <c r="M11" s="1049"/>
    </row>
    <row r="12" spans="1:13" ht="14.1">
      <c r="A12" s="1046"/>
      <c r="B12" s="1050" t="s">
        <v>2093</v>
      </c>
      <c r="C12" s="1048">
        <v>2</v>
      </c>
      <c r="D12" s="1048" t="s">
        <v>1472</v>
      </c>
      <c r="E12" s="1048">
        <v>2</v>
      </c>
      <c r="F12" s="1049">
        <v>4.1500000000000004</v>
      </c>
      <c r="G12" s="1049">
        <v>0.6</v>
      </c>
      <c r="H12" s="1049">
        <v>0.6</v>
      </c>
      <c r="I12" s="1049">
        <f t="shared" si="1"/>
        <v>5.98</v>
      </c>
      <c r="J12" s="1049"/>
      <c r="K12" s="1049"/>
      <c r="L12" s="1049"/>
      <c r="M12" s="1049"/>
    </row>
    <row r="13" spans="1:13" ht="14.1">
      <c r="A13" s="1046"/>
      <c r="B13" s="1050" t="s">
        <v>2094</v>
      </c>
      <c r="C13" s="1048">
        <v>2</v>
      </c>
      <c r="D13" s="1048" t="s">
        <v>1472</v>
      </c>
      <c r="E13" s="1048">
        <v>2</v>
      </c>
      <c r="F13" s="1049">
        <v>4</v>
      </c>
      <c r="G13" s="1049">
        <v>0.6</v>
      </c>
      <c r="H13" s="1049">
        <v>0.6</v>
      </c>
      <c r="I13" s="1049">
        <f t="shared" si="1"/>
        <v>5.76</v>
      </c>
      <c r="J13" s="1049"/>
      <c r="K13" s="1049"/>
      <c r="L13" s="1049"/>
      <c r="M13" s="1049"/>
    </row>
    <row r="14" spans="1:13" ht="27.6">
      <c r="A14" s="1046"/>
      <c r="B14" s="1050" t="s">
        <v>2095</v>
      </c>
      <c r="C14" s="1048">
        <v>1</v>
      </c>
      <c r="D14" s="1048" t="s">
        <v>1472</v>
      </c>
      <c r="E14" s="1048">
        <v>2</v>
      </c>
      <c r="F14" s="1049">
        <v>1.8</v>
      </c>
      <c r="G14" s="1049">
        <v>0.6</v>
      </c>
      <c r="H14" s="1049">
        <v>0.6</v>
      </c>
      <c r="I14" s="1049">
        <f t="shared" si="1"/>
        <v>1.3</v>
      </c>
      <c r="J14" s="1049"/>
      <c r="K14" s="1049"/>
      <c r="L14" s="1049"/>
      <c r="M14" s="1049"/>
    </row>
    <row r="15" spans="1:13" ht="14.1">
      <c r="A15" s="1046"/>
      <c r="B15" s="1050" t="s">
        <v>2289</v>
      </c>
      <c r="C15" s="1165" t="s">
        <v>2290</v>
      </c>
      <c r="D15" s="1048" t="s">
        <v>1472</v>
      </c>
      <c r="E15" s="1048">
        <v>2</v>
      </c>
      <c r="F15" s="1049">
        <v>1.35</v>
      </c>
      <c r="G15" s="1049">
        <v>1.35</v>
      </c>
      <c r="H15" s="1049">
        <v>2</v>
      </c>
      <c r="I15" s="1049">
        <f>ROUND(PI()/4*E15*F15*G15*H15,2)</f>
        <v>5.73</v>
      </c>
      <c r="J15" s="1049"/>
      <c r="K15" s="1049"/>
      <c r="L15" s="1049"/>
      <c r="M15" s="1049"/>
    </row>
    <row r="16" spans="1:13" ht="14.1">
      <c r="A16" s="1046"/>
      <c r="B16" s="1051" t="s">
        <v>2096</v>
      </c>
      <c r="C16" s="1048">
        <v>1</v>
      </c>
      <c r="D16" s="1048" t="s">
        <v>1472</v>
      </c>
      <c r="E16" s="1048">
        <v>1</v>
      </c>
      <c r="F16" s="1049">
        <f>(31.5-6-4)*0.3048</f>
        <v>6.5532000000000004</v>
      </c>
      <c r="G16" s="1049">
        <v>0.6</v>
      </c>
      <c r="H16" s="1049">
        <v>0.3</v>
      </c>
      <c r="I16" s="1049">
        <f t="shared" si="1"/>
        <v>1.18</v>
      </c>
      <c r="J16" s="1049"/>
      <c r="K16" s="1049"/>
      <c r="L16" s="1049"/>
      <c r="M16" s="1049"/>
    </row>
    <row r="17" spans="1:13" ht="14.1">
      <c r="A17" s="1046"/>
      <c r="B17" s="1051" t="s">
        <v>2097</v>
      </c>
      <c r="C17" s="1048">
        <v>1</v>
      </c>
      <c r="D17" s="1048" t="s">
        <v>1472</v>
      </c>
      <c r="E17" s="1048">
        <v>2</v>
      </c>
      <c r="F17" s="1049">
        <v>3</v>
      </c>
      <c r="G17" s="1049">
        <v>0.6</v>
      </c>
      <c r="H17" s="1049">
        <v>0.3</v>
      </c>
      <c r="I17" s="1049">
        <f t="shared" si="1"/>
        <v>1.08</v>
      </c>
      <c r="J17" s="1049"/>
      <c r="K17" s="1049"/>
      <c r="L17" s="1049"/>
      <c r="M17" s="1049"/>
    </row>
    <row r="18" spans="1:13" ht="14.1">
      <c r="A18" s="1046"/>
      <c r="B18" s="1051" t="s">
        <v>2100</v>
      </c>
      <c r="C18" s="1048">
        <v>1</v>
      </c>
      <c r="D18" s="1048" t="s">
        <v>1472</v>
      </c>
      <c r="E18" s="1048">
        <v>1</v>
      </c>
      <c r="F18" s="1049">
        <f>(31.5-6)*0.3048</f>
        <v>7.7724000000000002</v>
      </c>
      <c r="G18" s="1049">
        <v>1.2</v>
      </c>
      <c r="H18" s="1049">
        <v>0.3</v>
      </c>
      <c r="I18" s="1049">
        <f t="shared" si="1"/>
        <v>2.8</v>
      </c>
      <c r="J18" s="1049"/>
      <c r="K18" s="1049"/>
      <c r="L18" s="1049"/>
      <c r="M18" s="1049"/>
    </row>
    <row r="19" spans="1:13" ht="14.1">
      <c r="A19" s="1046"/>
      <c r="B19" s="1051" t="s">
        <v>2099</v>
      </c>
      <c r="C19" s="1048">
        <v>1</v>
      </c>
      <c r="D19" s="1048" t="s">
        <v>1472</v>
      </c>
      <c r="E19" s="1048">
        <v>2</v>
      </c>
      <c r="F19" s="1049">
        <v>4.2</v>
      </c>
      <c r="G19" s="1049">
        <v>1.2</v>
      </c>
      <c r="H19" s="1049">
        <v>0.3</v>
      </c>
      <c r="I19" s="1049">
        <f t="shared" si="1"/>
        <v>3.02</v>
      </c>
      <c r="J19" s="1049"/>
      <c r="K19" s="1049"/>
      <c r="L19" s="1049"/>
      <c r="M19" s="1049"/>
    </row>
    <row r="20" spans="1:13" ht="14.1">
      <c r="A20" s="1046"/>
      <c r="B20" s="1051"/>
      <c r="C20" s="1048"/>
      <c r="D20" s="1048"/>
      <c r="E20" s="1048"/>
      <c r="F20" s="1049"/>
      <c r="G20" s="1049"/>
      <c r="H20" s="1049"/>
      <c r="I20" s="1049">
        <f>SUM(I8:I19)</f>
        <v>112.54000000000002</v>
      </c>
      <c r="J20" s="1049"/>
      <c r="K20" s="1049"/>
      <c r="L20" s="1049"/>
      <c r="M20" s="1049"/>
    </row>
    <row r="21" spans="1:13" ht="14.1">
      <c r="A21" s="1046"/>
      <c r="B21" s="2448" t="s">
        <v>2062</v>
      </c>
      <c r="C21" s="2448"/>
      <c r="D21" s="2448"/>
      <c r="E21" s="2448"/>
      <c r="F21" s="2448"/>
      <c r="G21" s="2448"/>
      <c r="H21" s="2448"/>
      <c r="I21" s="1052">
        <f>CEILING(I20,0.05)</f>
        <v>112.55000000000001</v>
      </c>
      <c r="J21" s="1053">
        <v>197.21</v>
      </c>
      <c r="K21" s="1054">
        <f>ROUND(J21*I21/1,0)</f>
        <v>22196</v>
      </c>
      <c r="L21" s="1029">
        <v>30</v>
      </c>
      <c r="M21" s="1055">
        <f>L21*I21</f>
        <v>3376.5000000000005</v>
      </c>
    </row>
    <row r="22" spans="1:13" ht="14.1">
      <c r="A22" s="1046"/>
      <c r="B22" s="1056"/>
      <c r="C22" s="1048"/>
      <c r="D22" s="1048"/>
      <c r="E22" s="1048"/>
      <c r="F22" s="1049"/>
      <c r="G22" s="1049"/>
      <c r="H22" s="1049"/>
      <c r="I22" s="1053" t="s">
        <v>656</v>
      </c>
      <c r="J22" s="1049" t="s">
        <v>2041</v>
      </c>
      <c r="K22" s="1049"/>
      <c r="L22" s="1049"/>
      <c r="M22" s="1049"/>
    </row>
    <row r="23" spans="1:13" ht="136.5" customHeight="1">
      <c r="A23" s="1046">
        <v>2</v>
      </c>
      <c r="B23" s="2415" t="s">
        <v>2291</v>
      </c>
      <c r="C23" s="2426"/>
      <c r="D23" s="2426"/>
      <c r="E23" s="2426"/>
      <c r="F23" s="2426"/>
      <c r="G23" s="2426"/>
      <c r="H23" s="2426"/>
      <c r="I23" s="2427"/>
      <c r="J23" s="1049"/>
      <c r="K23" s="1049"/>
      <c r="L23" s="1049"/>
      <c r="M23" s="1049"/>
    </row>
    <row r="24" spans="1:13" ht="14.1">
      <c r="A24" s="1046"/>
      <c r="B24" s="1047" t="s">
        <v>2004</v>
      </c>
      <c r="C24" s="1048">
        <v>2</v>
      </c>
      <c r="D24" s="1048" t="s">
        <v>1472</v>
      </c>
      <c r="E24" s="1048">
        <v>6</v>
      </c>
      <c r="F24" s="1049">
        <v>2</v>
      </c>
      <c r="G24" s="1049">
        <v>2</v>
      </c>
      <c r="H24" s="1049">
        <v>0.15</v>
      </c>
      <c r="I24" s="1049">
        <f>ROUND(C24*E24*F24*G24*H24,2)</f>
        <v>7.2</v>
      </c>
      <c r="J24" s="1049"/>
      <c r="K24" s="1049"/>
      <c r="L24" s="1049"/>
      <c r="M24" s="1049"/>
    </row>
    <row r="25" spans="1:13" ht="14.1">
      <c r="A25" s="1046"/>
      <c r="B25" s="2432"/>
      <c r="C25" s="2433"/>
      <c r="D25" s="2433"/>
      <c r="E25" s="2433"/>
      <c r="F25" s="2433"/>
      <c r="G25" s="2433"/>
      <c r="H25" s="2434"/>
      <c r="I25" s="1052">
        <f>I24</f>
        <v>7.2</v>
      </c>
      <c r="J25" s="1049">
        <f>Datas!G154</f>
        <v>4371.4635670906127</v>
      </c>
      <c r="K25" s="1053">
        <f>ROUND(J25*I25,0)</f>
        <v>31475</v>
      </c>
      <c r="L25" s="1049">
        <v>108</v>
      </c>
      <c r="M25" s="1055">
        <f>L25*I25</f>
        <v>777.6</v>
      </c>
    </row>
    <row r="26" spans="1:13" ht="14.1">
      <c r="A26" s="1046"/>
      <c r="B26" s="1060"/>
      <c r="C26" s="1048"/>
      <c r="D26" s="1048"/>
      <c r="E26" s="1048"/>
      <c r="F26" s="1049"/>
      <c r="G26" s="1049"/>
      <c r="H26" s="1049"/>
      <c r="I26" s="1053" t="s">
        <v>656</v>
      </c>
      <c r="J26" s="1053" t="s">
        <v>656</v>
      </c>
      <c r="K26" s="1053"/>
      <c r="L26" s="1053"/>
      <c r="M26" s="1053"/>
    </row>
    <row r="27" spans="1:13" ht="137.25" customHeight="1">
      <c r="A27" s="1046">
        <v>3</v>
      </c>
      <c r="B27" s="2415" t="s">
        <v>2292</v>
      </c>
      <c r="C27" s="2426"/>
      <c r="D27" s="2426"/>
      <c r="E27" s="2426"/>
      <c r="F27" s="2426"/>
      <c r="G27" s="2426"/>
      <c r="H27" s="2426"/>
      <c r="I27" s="2427"/>
      <c r="J27" s="1049"/>
      <c r="K27" s="1049"/>
      <c r="L27" s="1049"/>
      <c r="M27" s="1049"/>
    </row>
    <row r="28" spans="1:13" ht="14.1">
      <c r="A28" s="1046"/>
      <c r="B28" s="1050" t="s">
        <v>2218</v>
      </c>
      <c r="C28" s="1048">
        <v>1</v>
      </c>
      <c r="D28" s="1048" t="s">
        <v>1472</v>
      </c>
      <c r="E28" s="1048">
        <v>1</v>
      </c>
      <c r="F28" s="1049">
        <f>(46.5)*0.3048</f>
        <v>14.173200000000001</v>
      </c>
      <c r="G28" s="1049">
        <f>(30)*0.3048</f>
        <v>9.1440000000000001</v>
      </c>
      <c r="H28" s="1049">
        <v>0.1</v>
      </c>
      <c r="I28" s="1049">
        <f>ROUND(C28*E28*F28*G28*H28,2)</f>
        <v>12.96</v>
      </c>
      <c r="J28" s="1049"/>
      <c r="K28" s="1049"/>
      <c r="L28" s="1049"/>
      <c r="M28" s="1049"/>
    </row>
    <row r="29" spans="1:13" ht="14.1">
      <c r="A29" s="1046"/>
      <c r="B29" s="1050" t="s">
        <v>2219</v>
      </c>
      <c r="C29" s="1048">
        <v>1</v>
      </c>
      <c r="D29" s="1048" t="s">
        <v>1472</v>
      </c>
      <c r="E29" s="1048">
        <v>1</v>
      </c>
      <c r="F29" s="1049">
        <v>3.6</v>
      </c>
      <c r="G29" s="1049">
        <f>(12)*0.3048</f>
        <v>3.6576000000000004</v>
      </c>
      <c r="H29" s="1049">
        <v>0.1</v>
      </c>
      <c r="I29" s="1049">
        <f>ROUND(C29*E29*F29*G29*H29,2)</f>
        <v>1.32</v>
      </c>
      <c r="J29" s="1049"/>
      <c r="K29" s="1049"/>
      <c r="L29" s="1049"/>
      <c r="M29" s="1049"/>
    </row>
    <row r="30" spans="1:13" ht="27.6">
      <c r="A30" s="1046"/>
      <c r="B30" s="1050" t="s">
        <v>2220</v>
      </c>
      <c r="C30" s="1048">
        <v>1</v>
      </c>
      <c r="D30" s="1048" t="s">
        <v>1472</v>
      </c>
      <c r="E30" s="1048">
        <v>1</v>
      </c>
      <c r="F30" s="1049">
        <v>3.6</v>
      </c>
      <c r="G30" s="1049">
        <f>(17.23)*0.3048</f>
        <v>5.2517040000000001</v>
      </c>
      <c r="H30" s="1049">
        <v>0.1</v>
      </c>
      <c r="I30" s="1049">
        <f>ROUND(C30*E30*F30*G30*H30,2)</f>
        <v>1.89</v>
      </c>
      <c r="J30" s="1049"/>
      <c r="K30" s="1049"/>
      <c r="L30" s="1049"/>
      <c r="M30" s="1049"/>
    </row>
    <row r="31" spans="1:13" ht="14.1">
      <c r="A31" s="1046"/>
      <c r="B31" s="1050" t="s">
        <v>2221</v>
      </c>
      <c r="C31" s="1048">
        <v>1</v>
      </c>
      <c r="D31" s="1048" t="s">
        <v>1472</v>
      </c>
      <c r="E31" s="1048">
        <v>1</v>
      </c>
      <c r="F31" s="1049">
        <v>3.2</v>
      </c>
      <c r="G31" s="1049">
        <v>3</v>
      </c>
      <c r="H31" s="1049">
        <v>0.1</v>
      </c>
      <c r="I31" s="1049">
        <f>ROUND(C31*E31*F31*G31*H31,2)</f>
        <v>0.96</v>
      </c>
      <c r="J31" s="1049"/>
      <c r="K31" s="1049"/>
      <c r="L31" s="1049"/>
      <c r="M31" s="1049"/>
    </row>
    <row r="32" spans="1:13" ht="14.1">
      <c r="A32" s="1046"/>
      <c r="B32" s="1050" t="s">
        <v>2222</v>
      </c>
      <c r="C32" s="1048">
        <v>1</v>
      </c>
      <c r="D32" s="1048" t="s">
        <v>1472</v>
      </c>
      <c r="E32" s="1048">
        <v>1</v>
      </c>
      <c r="F32" s="1049">
        <v>3.6</v>
      </c>
      <c r="G32" s="1049">
        <f>(17.23)*0.3048</f>
        <v>5.2517040000000001</v>
      </c>
      <c r="H32" s="1049">
        <v>0.1</v>
      </c>
      <c r="I32" s="1049">
        <f>ROUND(C32*E32*F32*G32*H32,2)</f>
        <v>1.89</v>
      </c>
      <c r="J32" s="1049"/>
      <c r="K32" s="1049"/>
      <c r="L32" s="1049"/>
      <c r="M32" s="1049"/>
    </row>
    <row r="33" spans="1:13" ht="27.6">
      <c r="A33" s="1046"/>
      <c r="B33" s="1050" t="s">
        <v>2090</v>
      </c>
      <c r="C33" s="1048">
        <v>1</v>
      </c>
      <c r="D33" s="1048" t="s">
        <v>1472</v>
      </c>
      <c r="E33" s="1048">
        <v>2</v>
      </c>
      <c r="F33" s="1049">
        <f>(60+2)*0.3048</f>
        <v>18.897600000000001</v>
      </c>
      <c r="G33" s="1049">
        <v>0.6</v>
      </c>
      <c r="H33" s="1049">
        <v>0.1</v>
      </c>
      <c r="I33" s="1049">
        <f t="shared" ref="I33:I42" si="2">ROUND(C33*E33*F33*G33*H33,2)</f>
        <v>2.27</v>
      </c>
      <c r="J33" s="1049"/>
      <c r="K33" s="1049"/>
      <c r="L33" s="1049"/>
      <c r="M33" s="1049"/>
    </row>
    <row r="34" spans="1:13" ht="27.6">
      <c r="A34" s="1046"/>
      <c r="B34" s="1050" t="s">
        <v>2091</v>
      </c>
      <c r="C34" s="1048">
        <v>1</v>
      </c>
      <c r="D34" s="1048" t="s">
        <v>1472</v>
      </c>
      <c r="E34" s="1048">
        <v>2</v>
      </c>
      <c r="F34" s="1049">
        <f>(30.75-2)*0.3048</f>
        <v>8.7629999999999999</v>
      </c>
      <c r="G34" s="1049">
        <v>0.6</v>
      </c>
      <c r="H34" s="1049">
        <v>0.1</v>
      </c>
      <c r="I34" s="1049">
        <f t="shared" si="2"/>
        <v>1.05</v>
      </c>
      <c r="J34" s="1049"/>
      <c r="K34" s="1049"/>
      <c r="L34" s="1049"/>
      <c r="M34" s="1049"/>
    </row>
    <row r="35" spans="1:13" ht="14.1">
      <c r="A35" s="1046"/>
      <c r="B35" s="1050" t="s">
        <v>2092</v>
      </c>
      <c r="C35" s="1048">
        <v>2</v>
      </c>
      <c r="D35" s="1048" t="s">
        <v>1472</v>
      </c>
      <c r="E35" s="1048">
        <v>2</v>
      </c>
      <c r="F35" s="1049">
        <v>1.2</v>
      </c>
      <c r="G35" s="1049">
        <v>0.6</v>
      </c>
      <c r="H35" s="1049">
        <v>0.1</v>
      </c>
      <c r="I35" s="1049">
        <f t="shared" si="2"/>
        <v>0.28999999999999998</v>
      </c>
      <c r="J35" s="1049"/>
      <c r="K35" s="1049"/>
      <c r="L35" s="1049"/>
      <c r="M35" s="1049"/>
    </row>
    <row r="36" spans="1:13" ht="14.1">
      <c r="A36" s="1046"/>
      <c r="B36" s="1050" t="s">
        <v>2093</v>
      </c>
      <c r="C36" s="1048">
        <v>2</v>
      </c>
      <c r="D36" s="1048" t="s">
        <v>1472</v>
      </c>
      <c r="E36" s="1048">
        <v>2</v>
      </c>
      <c r="F36" s="1049">
        <v>4.1500000000000004</v>
      </c>
      <c r="G36" s="1049">
        <v>0.6</v>
      </c>
      <c r="H36" s="1049">
        <v>0.1</v>
      </c>
      <c r="I36" s="1049">
        <f t="shared" si="2"/>
        <v>1</v>
      </c>
      <c r="J36" s="1049"/>
      <c r="K36" s="1049"/>
      <c r="L36" s="1049"/>
      <c r="M36" s="1049"/>
    </row>
    <row r="37" spans="1:13" ht="14.1">
      <c r="A37" s="1046"/>
      <c r="B37" s="1050" t="s">
        <v>2094</v>
      </c>
      <c r="C37" s="1048">
        <v>2</v>
      </c>
      <c r="D37" s="1048" t="s">
        <v>1472</v>
      </c>
      <c r="E37" s="1048">
        <v>2</v>
      </c>
      <c r="F37" s="1049">
        <v>4</v>
      </c>
      <c r="G37" s="1049">
        <v>0.6</v>
      </c>
      <c r="H37" s="1049">
        <v>0.1</v>
      </c>
      <c r="I37" s="1049">
        <f t="shared" si="2"/>
        <v>0.96</v>
      </c>
      <c r="J37" s="1049"/>
      <c r="K37" s="1049"/>
      <c r="L37" s="1049"/>
      <c r="M37" s="1049"/>
    </row>
    <row r="38" spans="1:13" ht="27.6">
      <c r="A38" s="1046"/>
      <c r="B38" s="1050" t="s">
        <v>2095</v>
      </c>
      <c r="C38" s="1048">
        <v>1</v>
      </c>
      <c r="D38" s="1048" t="s">
        <v>1472</v>
      </c>
      <c r="E38" s="1048">
        <v>2</v>
      </c>
      <c r="F38" s="1049">
        <v>1.8</v>
      </c>
      <c r="G38" s="1049">
        <v>0.6</v>
      </c>
      <c r="H38" s="1049">
        <v>0.1</v>
      </c>
      <c r="I38" s="1049">
        <f t="shared" si="2"/>
        <v>0.22</v>
      </c>
      <c r="J38" s="1049"/>
      <c r="K38" s="1049"/>
      <c r="L38" s="1049"/>
      <c r="M38" s="1049"/>
    </row>
    <row r="39" spans="1:13" ht="14.1">
      <c r="A39" s="1046"/>
      <c r="B39" s="1051" t="s">
        <v>2096</v>
      </c>
      <c r="C39" s="1048">
        <v>1</v>
      </c>
      <c r="D39" s="1048" t="s">
        <v>1472</v>
      </c>
      <c r="E39" s="1048">
        <v>1</v>
      </c>
      <c r="F39" s="1049">
        <f>(31.5-6-4)*0.3048</f>
        <v>6.5532000000000004</v>
      </c>
      <c r="G39" s="1049">
        <v>0.6</v>
      </c>
      <c r="H39" s="1049">
        <v>0.1</v>
      </c>
      <c r="I39" s="1049">
        <f t="shared" si="2"/>
        <v>0.39</v>
      </c>
      <c r="J39" s="1049"/>
      <c r="K39" s="1049"/>
      <c r="L39" s="1049"/>
      <c r="M39" s="1049"/>
    </row>
    <row r="40" spans="1:13" ht="14.1">
      <c r="A40" s="1046"/>
      <c r="B40" s="1051" t="s">
        <v>2097</v>
      </c>
      <c r="C40" s="1048">
        <v>1</v>
      </c>
      <c r="D40" s="1048" t="s">
        <v>1472</v>
      </c>
      <c r="E40" s="1048">
        <v>2</v>
      </c>
      <c r="F40" s="1049">
        <v>3</v>
      </c>
      <c r="G40" s="1049">
        <v>0.6</v>
      </c>
      <c r="H40" s="1049">
        <v>0.1</v>
      </c>
      <c r="I40" s="1049">
        <f t="shared" si="2"/>
        <v>0.36</v>
      </c>
      <c r="J40" s="1049"/>
      <c r="K40" s="1049"/>
      <c r="L40" s="1049"/>
      <c r="M40" s="1049"/>
    </row>
    <row r="41" spans="1:13" ht="14.1">
      <c r="A41" s="1046"/>
      <c r="B41" s="1051" t="s">
        <v>2098</v>
      </c>
      <c r="C41" s="1048">
        <v>1</v>
      </c>
      <c r="D41" s="1048" t="s">
        <v>1472</v>
      </c>
      <c r="E41" s="1048">
        <v>1</v>
      </c>
      <c r="F41" s="1049">
        <f>(31.5-6)*0.3048</f>
        <v>7.7724000000000002</v>
      </c>
      <c r="G41" s="1049">
        <v>1.2</v>
      </c>
      <c r="H41" s="1049">
        <v>0.1</v>
      </c>
      <c r="I41" s="1049">
        <f t="shared" si="2"/>
        <v>0.93</v>
      </c>
      <c r="J41" s="1049"/>
      <c r="K41" s="1049"/>
      <c r="L41" s="1049"/>
      <c r="M41" s="1049"/>
    </row>
    <row r="42" spans="1:13" ht="14.1">
      <c r="A42" s="1046"/>
      <c r="B42" s="1051" t="s">
        <v>2098</v>
      </c>
      <c r="C42" s="1048">
        <v>1</v>
      </c>
      <c r="D42" s="1048" t="s">
        <v>1472</v>
      </c>
      <c r="E42" s="1048">
        <v>2</v>
      </c>
      <c r="F42" s="1049">
        <v>4.2</v>
      </c>
      <c r="G42" s="1049">
        <v>1.2</v>
      </c>
      <c r="H42" s="1049">
        <v>0.1</v>
      </c>
      <c r="I42" s="1049">
        <f t="shared" si="2"/>
        <v>1.01</v>
      </c>
      <c r="J42" s="1049"/>
      <c r="K42" s="1049"/>
      <c r="L42" s="1049"/>
      <c r="M42" s="1049"/>
    </row>
    <row r="43" spans="1:13" ht="14.1">
      <c r="A43" s="1046"/>
      <c r="B43" s="2432"/>
      <c r="C43" s="2433"/>
      <c r="D43" s="2433"/>
      <c r="E43" s="2433"/>
      <c r="F43" s="2433"/>
      <c r="G43" s="2433"/>
      <c r="H43" s="2434"/>
      <c r="I43" s="1052">
        <f>SUM(I28:I42)</f>
        <v>27.500000000000004</v>
      </c>
      <c r="J43" s="1049">
        <f>Datas!G174</f>
        <v>4155.8100000000004</v>
      </c>
      <c r="K43" s="1053">
        <f>ROUND(J43*I43,0)</f>
        <v>114285</v>
      </c>
      <c r="L43" s="1049">
        <v>108</v>
      </c>
      <c r="M43" s="1055">
        <f>L43*I43</f>
        <v>2970.0000000000005</v>
      </c>
    </row>
    <row r="44" spans="1:13" ht="14.1">
      <c r="A44" s="1046"/>
      <c r="B44" s="1060"/>
      <c r="C44" s="1048"/>
      <c r="D44" s="1048"/>
      <c r="E44" s="1048"/>
      <c r="F44" s="1049"/>
      <c r="G44" s="1049"/>
      <c r="H44" s="1049"/>
      <c r="I44" s="1053" t="s">
        <v>656</v>
      </c>
      <c r="J44" s="1053" t="s">
        <v>656</v>
      </c>
      <c r="K44" s="1053"/>
      <c r="L44" s="1053"/>
      <c r="M44" s="1053"/>
    </row>
    <row r="45" spans="1:13" ht="126.75" customHeight="1">
      <c r="A45" s="1046">
        <v>4</v>
      </c>
      <c r="B45" s="2415" t="s">
        <v>2293</v>
      </c>
      <c r="C45" s="2426"/>
      <c r="D45" s="2426"/>
      <c r="E45" s="2426"/>
      <c r="F45" s="2426"/>
      <c r="G45" s="2426"/>
      <c r="H45" s="2426"/>
      <c r="I45" s="2427"/>
      <c r="J45" s="1049"/>
      <c r="K45" s="1049"/>
      <c r="L45" s="1049"/>
      <c r="M45" s="1049"/>
    </row>
    <row r="46" spans="1:13" ht="14.1">
      <c r="A46" s="1046"/>
      <c r="B46" s="1060" t="s">
        <v>657</v>
      </c>
      <c r="C46" s="1061"/>
      <c r="D46" s="1061"/>
      <c r="E46" s="1061"/>
      <c r="F46" s="1062"/>
      <c r="G46" s="1062"/>
      <c r="H46" s="1062"/>
      <c r="I46" s="1062"/>
      <c r="J46" s="1049"/>
      <c r="K46" s="1049"/>
      <c r="L46" s="1049"/>
      <c r="M46" s="1049"/>
    </row>
    <row r="47" spans="1:13" ht="27.6">
      <c r="A47" s="1046"/>
      <c r="B47" s="1050" t="s">
        <v>2090</v>
      </c>
      <c r="C47" s="1048">
        <v>1</v>
      </c>
      <c r="D47" s="1048" t="s">
        <v>1472</v>
      </c>
      <c r="E47" s="1048">
        <v>2</v>
      </c>
      <c r="F47" s="1049">
        <f>(60+1.5)*0.3048</f>
        <v>18.745200000000001</v>
      </c>
      <c r="G47" s="1049">
        <v>0.45</v>
      </c>
      <c r="H47" s="1049">
        <v>0.5</v>
      </c>
      <c r="I47" s="1049">
        <f>ROUND(C47*E47*F47*G47*H47,2)</f>
        <v>8.44</v>
      </c>
      <c r="J47" s="1049"/>
      <c r="K47" s="1049"/>
      <c r="L47" s="1049"/>
      <c r="M47" s="1049"/>
    </row>
    <row r="48" spans="1:13" ht="27.6">
      <c r="A48" s="1046"/>
      <c r="B48" s="1050" t="s">
        <v>2091</v>
      </c>
      <c r="C48" s="1048">
        <v>1</v>
      </c>
      <c r="D48" s="1048" t="s">
        <v>1472</v>
      </c>
      <c r="E48" s="1048">
        <v>2</v>
      </c>
      <c r="F48" s="1049">
        <f>(30.75-1.5)*0.3048</f>
        <v>8.9154</v>
      </c>
      <c r="G48" s="1049">
        <v>0.45</v>
      </c>
      <c r="H48" s="1049">
        <v>0.5</v>
      </c>
      <c r="I48" s="1049">
        <f t="shared" ref="I48:I54" si="3">ROUND(C48*E48*F48*G48*H48,2)</f>
        <v>4.01</v>
      </c>
      <c r="J48" s="1049"/>
      <c r="K48" s="1049"/>
      <c r="L48" s="1049"/>
      <c r="M48" s="1049"/>
    </row>
    <row r="49" spans="1:13" ht="14.1">
      <c r="A49" s="1046"/>
      <c r="B49" s="1050" t="s">
        <v>2092</v>
      </c>
      <c r="C49" s="1048">
        <v>2</v>
      </c>
      <c r="D49" s="1048" t="s">
        <v>1472</v>
      </c>
      <c r="E49" s="1048">
        <v>2</v>
      </c>
      <c r="F49" s="1049">
        <v>1.2</v>
      </c>
      <c r="G49" s="1049">
        <v>0.45</v>
      </c>
      <c r="H49" s="1049">
        <v>0.5</v>
      </c>
      <c r="I49" s="1049">
        <f t="shared" si="3"/>
        <v>1.08</v>
      </c>
      <c r="J49" s="1049"/>
      <c r="K49" s="1049"/>
      <c r="L49" s="1049"/>
      <c r="M49" s="1049"/>
    </row>
    <row r="50" spans="1:13" ht="14.1">
      <c r="A50" s="1046"/>
      <c r="B50" s="1050" t="s">
        <v>2093</v>
      </c>
      <c r="C50" s="1048">
        <v>2</v>
      </c>
      <c r="D50" s="1048" t="s">
        <v>1472</v>
      </c>
      <c r="E50" s="1048">
        <v>2</v>
      </c>
      <c r="F50" s="1049">
        <v>4.1500000000000004</v>
      </c>
      <c r="G50" s="1049">
        <v>0.45</v>
      </c>
      <c r="H50" s="1049">
        <v>0.5</v>
      </c>
      <c r="I50" s="1049">
        <f t="shared" si="3"/>
        <v>3.74</v>
      </c>
      <c r="J50" s="1049"/>
      <c r="K50" s="1049"/>
      <c r="L50" s="1049"/>
      <c r="M50" s="1049"/>
    </row>
    <row r="51" spans="1:13" ht="14.1">
      <c r="A51" s="1046"/>
      <c r="B51" s="1050" t="s">
        <v>2094</v>
      </c>
      <c r="C51" s="1048">
        <v>2</v>
      </c>
      <c r="D51" s="1048" t="s">
        <v>1472</v>
      </c>
      <c r="E51" s="1048">
        <v>2</v>
      </c>
      <c r="F51" s="1049">
        <v>4</v>
      </c>
      <c r="G51" s="1049">
        <v>0.45</v>
      </c>
      <c r="H51" s="1049">
        <v>0.5</v>
      </c>
      <c r="I51" s="1049">
        <f t="shared" si="3"/>
        <v>3.6</v>
      </c>
      <c r="J51" s="1049"/>
      <c r="K51" s="1049"/>
      <c r="L51" s="1049"/>
      <c r="M51" s="1049"/>
    </row>
    <row r="52" spans="1:13" ht="27.6">
      <c r="A52" s="1046"/>
      <c r="B52" s="1050" t="s">
        <v>2095</v>
      </c>
      <c r="C52" s="1048">
        <v>1</v>
      </c>
      <c r="D52" s="1048" t="s">
        <v>1472</v>
      </c>
      <c r="E52" s="1048">
        <v>2</v>
      </c>
      <c r="F52" s="1049">
        <v>1.8</v>
      </c>
      <c r="G52" s="1049">
        <v>0.45</v>
      </c>
      <c r="H52" s="1049">
        <v>0.5</v>
      </c>
      <c r="I52" s="1049">
        <f t="shared" si="3"/>
        <v>0.81</v>
      </c>
      <c r="J52" s="1049"/>
      <c r="K52" s="1049"/>
      <c r="L52" s="1049"/>
      <c r="M52" s="1049"/>
    </row>
    <row r="53" spans="1:13" ht="14.1">
      <c r="A53" s="1046"/>
      <c r="B53" s="1051" t="s">
        <v>2096</v>
      </c>
      <c r="C53" s="1048">
        <v>1</v>
      </c>
      <c r="D53" s="1048" t="s">
        <v>1472</v>
      </c>
      <c r="E53" s="1048">
        <v>1</v>
      </c>
      <c r="F53" s="1049">
        <f>(31.5-6-4)*0.3048</f>
        <v>6.5532000000000004</v>
      </c>
      <c r="G53" s="1049">
        <v>0.45</v>
      </c>
      <c r="H53" s="1049">
        <v>0.5</v>
      </c>
      <c r="I53" s="1049">
        <f t="shared" si="3"/>
        <v>1.47</v>
      </c>
      <c r="J53" s="1049"/>
      <c r="K53" s="1049"/>
      <c r="L53" s="1049"/>
      <c r="M53" s="1049"/>
    </row>
    <row r="54" spans="1:13" ht="14.1">
      <c r="A54" s="1046"/>
      <c r="B54" s="1051" t="s">
        <v>2097</v>
      </c>
      <c r="C54" s="1048">
        <v>1</v>
      </c>
      <c r="D54" s="1048" t="s">
        <v>1472</v>
      </c>
      <c r="E54" s="1048">
        <v>2</v>
      </c>
      <c r="F54" s="1049">
        <v>3</v>
      </c>
      <c r="G54" s="1049">
        <v>0.45</v>
      </c>
      <c r="H54" s="1049">
        <v>0.5</v>
      </c>
      <c r="I54" s="1049">
        <f t="shared" si="3"/>
        <v>1.35</v>
      </c>
      <c r="J54" s="1049"/>
      <c r="K54" s="1049"/>
      <c r="L54" s="1049"/>
      <c r="M54" s="1049"/>
    </row>
    <row r="55" spans="1:13" ht="14.1">
      <c r="A55" s="1046"/>
      <c r="B55" s="1060" t="s">
        <v>2017</v>
      </c>
      <c r="C55" s="1061"/>
      <c r="D55" s="1061"/>
      <c r="E55" s="1061"/>
      <c r="F55" s="1062"/>
      <c r="G55" s="1062"/>
      <c r="H55" s="1062"/>
      <c r="I55" s="1063">
        <f>SUM(I47:I54)</f>
        <v>24.5</v>
      </c>
      <c r="J55" s="1049"/>
      <c r="K55" s="1049"/>
      <c r="L55" s="1049"/>
      <c r="M55" s="1049"/>
    </row>
    <row r="56" spans="1:13" ht="27.6">
      <c r="A56" s="1046"/>
      <c r="B56" s="1050" t="s">
        <v>2090</v>
      </c>
      <c r="C56" s="1048">
        <v>1</v>
      </c>
      <c r="D56" s="1048" t="s">
        <v>1472</v>
      </c>
      <c r="E56" s="1048">
        <v>2</v>
      </c>
      <c r="F56" s="1049">
        <f>(60+1.5)*0.3048</f>
        <v>18.745200000000001</v>
      </c>
      <c r="G56" s="1049">
        <v>0.45</v>
      </c>
      <c r="H56" s="1049">
        <v>0.45</v>
      </c>
      <c r="I56" s="1049">
        <f t="shared" ref="I56:I63" si="4">ROUND(C56*E56*F56*G56*H56,2)</f>
        <v>7.59</v>
      </c>
      <c r="J56" s="1049"/>
      <c r="K56" s="1049"/>
      <c r="L56" s="1049"/>
      <c r="M56" s="1049"/>
    </row>
    <row r="57" spans="1:13" ht="27.6">
      <c r="A57" s="1046"/>
      <c r="B57" s="1050" t="s">
        <v>2091</v>
      </c>
      <c r="C57" s="1048">
        <v>1</v>
      </c>
      <c r="D57" s="1048" t="s">
        <v>1472</v>
      </c>
      <c r="E57" s="1048">
        <v>2</v>
      </c>
      <c r="F57" s="1049">
        <f>(30.75-1.5)*0.3048</f>
        <v>8.9154</v>
      </c>
      <c r="G57" s="1049">
        <v>0.45</v>
      </c>
      <c r="H57" s="1049">
        <v>0.45</v>
      </c>
      <c r="I57" s="1049">
        <f t="shared" si="4"/>
        <v>3.61</v>
      </c>
      <c r="J57" s="1049"/>
      <c r="K57" s="1049"/>
      <c r="L57" s="1049"/>
      <c r="M57" s="1049"/>
    </row>
    <row r="58" spans="1:13" ht="14.1">
      <c r="A58" s="1046"/>
      <c r="B58" s="1050" t="s">
        <v>2092</v>
      </c>
      <c r="C58" s="1048">
        <v>2</v>
      </c>
      <c r="D58" s="1048" t="s">
        <v>1472</v>
      </c>
      <c r="E58" s="1048">
        <v>2</v>
      </c>
      <c r="F58" s="1049">
        <v>1.2</v>
      </c>
      <c r="G58" s="1049">
        <v>0.45</v>
      </c>
      <c r="H58" s="1049">
        <v>0.45</v>
      </c>
      <c r="I58" s="1049">
        <f t="shared" si="4"/>
        <v>0.97</v>
      </c>
      <c r="J58" s="1049"/>
      <c r="K58" s="1049"/>
      <c r="L58" s="1049"/>
      <c r="M58" s="1049"/>
    </row>
    <row r="59" spans="1:13" ht="14.1">
      <c r="A59" s="1046"/>
      <c r="B59" s="1050" t="s">
        <v>2093</v>
      </c>
      <c r="C59" s="1048">
        <v>2</v>
      </c>
      <c r="D59" s="1048" t="s">
        <v>1472</v>
      </c>
      <c r="E59" s="1048">
        <v>2</v>
      </c>
      <c r="F59" s="1049">
        <v>4.1500000000000004</v>
      </c>
      <c r="G59" s="1049">
        <v>0.45</v>
      </c>
      <c r="H59" s="1049">
        <v>0.45</v>
      </c>
      <c r="I59" s="1049">
        <f t="shared" si="4"/>
        <v>3.36</v>
      </c>
      <c r="J59" s="1049"/>
      <c r="K59" s="1049"/>
      <c r="L59" s="1049"/>
      <c r="M59" s="1049"/>
    </row>
    <row r="60" spans="1:13" ht="14.1">
      <c r="A60" s="1046"/>
      <c r="B60" s="1050" t="s">
        <v>2094</v>
      </c>
      <c r="C60" s="1048">
        <v>2</v>
      </c>
      <c r="D60" s="1048" t="s">
        <v>1472</v>
      </c>
      <c r="E60" s="1048">
        <v>2</v>
      </c>
      <c r="F60" s="1049">
        <v>4</v>
      </c>
      <c r="G60" s="1049">
        <v>0.45</v>
      </c>
      <c r="H60" s="1049">
        <v>0.45</v>
      </c>
      <c r="I60" s="1049">
        <f t="shared" si="4"/>
        <v>3.24</v>
      </c>
      <c r="J60" s="1049"/>
      <c r="K60" s="1049"/>
      <c r="L60" s="1049"/>
      <c r="M60" s="1049"/>
    </row>
    <row r="61" spans="1:13" ht="27.6">
      <c r="A61" s="1046"/>
      <c r="B61" s="1050" t="s">
        <v>2095</v>
      </c>
      <c r="C61" s="1048">
        <v>1</v>
      </c>
      <c r="D61" s="1048" t="s">
        <v>1472</v>
      </c>
      <c r="E61" s="1048">
        <v>2</v>
      </c>
      <c r="F61" s="1049">
        <v>1.8</v>
      </c>
      <c r="G61" s="1049">
        <v>0.45</v>
      </c>
      <c r="H61" s="1049">
        <v>0.45</v>
      </c>
      <c r="I61" s="1049">
        <f t="shared" si="4"/>
        <v>0.73</v>
      </c>
      <c r="J61" s="1049"/>
      <c r="K61" s="1049"/>
      <c r="L61" s="1049"/>
      <c r="M61" s="1049"/>
    </row>
    <row r="62" spans="1:13" ht="14.1">
      <c r="A62" s="1046"/>
      <c r="B62" s="1051" t="s">
        <v>2096</v>
      </c>
      <c r="C62" s="1048">
        <v>1</v>
      </c>
      <c r="D62" s="1048" t="s">
        <v>1472</v>
      </c>
      <c r="E62" s="1048">
        <v>1</v>
      </c>
      <c r="F62" s="1049">
        <f>(31.5-6-4)*0.3048</f>
        <v>6.5532000000000004</v>
      </c>
      <c r="G62" s="1049">
        <v>0.45</v>
      </c>
      <c r="H62" s="1049">
        <v>0.45</v>
      </c>
      <c r="I62" s="1049">
        <f t="shared" si="4"/>
        <v>1.33</v>
      </c>
      <c r="J62" s="1049"/>
      <c r="K62" s="1049"/>
      <c r="L62" s="1049"/>
      <c r="M62" s="1049"/>
    </row>
    <row r="63" spans="1:13" ht="14.1">
      <c r="A63" s="1046"/>
      <c r="B63" s="1051" t="s">
        <v>2097</v>
      </c>
      <c r="C63" s="1048">
        <v>1</v>
      </c>
      <c r="D63" s="1048" t="s">
        <v>1472</v>
      </c>
      <c r="E63" s="1048">
        <v>2</v>
      </c>
      <c r="F63" s="1049">
        <v>3</v>
      </c>
      <c r="G63" s="1049">
        <v>0.45</v>
      </c>
      <c r="H63" s="1049">
        <v>0.45</v>
      </c>
      <c r="I63" s="1049">
        <f t="shared" si="4"/>
        <v>1.22</v>
      </c>
      <c r="J63" s="1049"/>
      <c r="K63" s="1049"/>
      <c r="L63" s="1049"/>
      <c r="M63" s="1049"/>
    </row>
    <row r="64" spans="1:13" ht="14.1">
      <c r="A64" s="1046"/>
      <c r="B64" s="1064"/>
      <c r="C64" s="1048"/>
      <c r="D64" s="1048"/>
      <c r="E64" s="1048"/>
      <c r="F64" s="1049"/>
      <c r="G64" s="1049"/>
      <c r="H64" s="1049"/>
      <c r="I64" s="1053">
        <f>SUM(I56:I63)</f>
        <v>22.049999999999997</v>
      </c>
      <c r="J64" s="1049"/>
      <c r="K64" s="1049"/>
      <c r="L64" s="1049"/>
      <c r="M64" s="1049"/>
    </row>
    <row r="65" spans="1:14" ht="14.1">
      <c r="A65" s="1046"/>
      <c r="B65" s="1064" t="s">
        <v>421</v>
      </c>
      <c r="C65" s="1048"/>
      <c r="D65" s="1048"/>
      <c r="E65" s="1048"/>
      <c r="F65" s="1049"/>
      <c r="G65" s="1049"/>
      <c r="H65" s="1049"/>
      <c r="I65" s="1049"/>
      <c r="J65" s="1049"/>
      <c r="K65" s="1049"/>
      <c r="L65" s="1049"/>
      <c r="M65" s="1049"/>
    </row>
    <row r="66" spans="1:14" ht="14.1">
      <c r="A66" s="1046"/>
      <c r="B66" s="1065" t="s">
        <v>2102</v>
      </c>
      <c r="C66" s="1048">
        <v>1</v>
      </c>
      <c r="D66" s="1048" t="s">
        <v>1472</v>
      </c>
      <c r="E66" s="1048">
        <v>1</v>
      </c>
      <c r="F66" s="1049">
        <f>(31.5-6)*0.3048</f>
        <v>7.7724000000000002</v>
      </c>
      <c r="G66" s="1049">
        <v>1.2</v>
      </c>
      <c r="H66" s="1049">
        <v>0.15</v>
      </c>
      <c r="I66" s="1049">
        <f t="shared" ref="I66:I73" si="5">ROUND(C66*E66*F66*G66*H66,2)</f>
        <v>1.4</v>
      </c>
      <c r="J66" s="1049"/>
      <c r="K66" s="1049"/>
      <c r="L66" s="1049"/>
      <c r="M66" s="1049"/>
      <c r="N66" s="1049"/>
    </row>
    <row r="67" spans="1:14" ht="14.1">
      <c r="A67" s="1046"/>
      <c r="B67" s="1065" t="s">
        <v>2103</v>
      </c>
      <c r="C67" s="1048">
        <v>1</v>
      </c>
      <c r="D67" s="1048" t="s">
        <v>1472</v>
      </c>
      <c r="E67" s="1048">
        <v>1</v>
      </c>
      <c r="F67" s="1049">
        <f>(31.5-6-2)*0.3048</f>
        <v>7.1628000000000007</v>
      </c>
      <c r="G67" s="1049">
        <v>0.9</v>
      </c>
      <c r="H67" s="1049">
        <v>0.15</v>
      </c>
      <c r="I67" s="1049">
        <f t="shared" si="5"/>
        <v>0.97</v>
      </c>
      <c r="J67" s="1049"/>
      <c r="K67" s="1049"/>
      <c r="L67" s="1049"/>
      <c r="M67" s="1049"/>
      <c r="N67" s="1049"/>
    </row>
    <row r="68" spans="1:14" ht="14.1">
      <c r="A68" s="1046"/>
      <c r="B68" s="1065" t="s">
        <v>2101</v>
      </c>
      <c r="C68" s="1048">
        <v>1</v>
      </c>
      <c r="D68" s="1048" t="s">
        <v>1472</v>
      </c>
      <c r="E68" s="1048">
        <v>1</v>
      </c>
      <c r="F68" s="1049">
        <f>(31.5-6-2-2)*0.3048</f>
        <v>6.5532000000000004</v>
      </c>
      <c r="G68" s="1049">
        <v>0.6</v>
      </c>
      <c r="H68" s="1049">
        <v>0.15</v>
      </c>
      <c r="I68" s="1049">
        <f t="shared" si="5"/>
        <v>0.59</v>
      </c>
      <c r="J68" s="1049"/>
      <c r="K68" s="1049"/>
      <c r="L68" s="1049"/>
      <c r="M68" s="1049"/>
      <c r="N68" s="1049"/>
    </row>
    <row r="69" spans="1:14" ht="14.1">
      <c r="A69" s="1046"/>
      <c r="B69" s="1065" t="s">
        <v>2104</v>
      </c>
      <c r="C69" s="1048">
        <v>1</v>
      </c>
      <c r="D69" s="1048" t="s">
        <v>1472</v>
      </c>
      <c r="E69" s="1048">
        <v>1</v>
      </c>
      <c r="F69" s="1049">
        <f>(31.5-6-2-2-2)*0.3048</f>
        <v>5.9436</v>
      </c>
      <c r="G69" s="1049">
        <v>0.3</v>
      </c>
      <c r="H69" s="1049">
        <v>0.15</v>
      </c>
      <c r="I69" s="1049">
        <f t="shared" si="5"/>
        <v>0.27</v>
      </c>
      <c r="J69" s="1049"/>
      <c r="K69" s="1049"/>
      <c r="L69" s="1049"/>
      <c r="M69" s="1049"/>
      <c r="N69" s="1049"/>
    </row>
    <row r="70" spans="1:14" ht="14.1">
      <c r="A70" s="1046"/>
      <c r="B70" s="1065" t="s">
        <v>2105</v>
      </c>
      <c r="C70" s="1048">
        <v>1</v>
      </c>
      <c r="D70" s="1048" t="s">
        <v>1472</v>
      </c>
      <c r="E70" s="1048">
        <v>1</v>
      </c>
      <c r="F70" s="1049">
        <f>(10)*0.3048</f>
        <v>3.048</v>
      </c>
      <c r="G70" s="1049">
        <v>1.2</v>
      </c>
      <c r="H70" s="1049">
        <v>0.15</v>
      </c>
      <c r="I70" s="1049">
        <f t="shared" si="5"/>
        <v>0.55000000000000004</v>
      </c>
      <c r="J70" s="1049"/>
      <c r="K70" s="1049"/>
      <c r="L70" s="1049"/>
      <c r="M70" s="1049"/>
      <c r="N70" s="1049"/>
    </row>
    <row r="71" spans="1:14" ht="14.1">
      <c r="A71" s="1046"/>
      <c r="B71" s="1065" t="s">
        <v>2106</v>
      </c>
      <c r="C71" s="1048">
        <v>1</v>
      </c>
      <c r="D71" s="1048" t="s">
        <v>1472</v>
      </c>
      <c r="E71" s="1048">
        <v>1</v>
      </c>
      <c r="F71" s="1049">
        <f>(10-1)*0.3048</f>
        <v>2.7432000000000003</v>
      </c>
      <c r="G71" s="1049">
        <v>0.9</v>
      </c>
      <c r="H71" s="1049">
        <v>0.15</v>
      </c>
      <c r="I71" s="1049">
        <f t="shared" si="5"/>
        <v>0.37</v>
      </c>
      <c r="J71" s="1049"/>
      <c r="K71" s="1049"/>
      <c r="L71" s="1049"/>
      <c r="M71" s="1049"/>
      <c r="N71" s="1049"/>
    </row>
    <row r="72" spans="1:14" ht="14.1">
      <c r="A72" s="1046"/>
      <c r="B72" s="1065" t="s">
        <v>2107</v>
      </c>
      <c r="C72" s="1048">
        <v>1</v>
      </c>
      <c r="D72" s="1048" t="s">
        <v>1472</v>
      </c>
      <c r="E72" s="1048">
        <v>1</v>
      </c>
      <c r="F72" s="1049">
        <f>(10-2)*0.3048</f>
        <v>2.4384000000000001</v>
      </c>
      <c r="G72" s="1049">
        <v>0.6</v>
      </c>
      <c r="H72" s="1049">
        <v>0.15</v>
      </c>
      <c r="I72" s="1049">
        <f t="shared" si="5"/>
        <v>0.22</v>
      </c>
      <c r="J72" s="1049"/>
      <c r="K72" s="1049"/>
      <c r="L72" s="1049"/>
      <c r="M72" s="1049"/>
      <c r="N72" s="1049"/>
    </row>
    <row r="73" spans="1:14" ht="14.1">
      <c r="A73" s="1046"/>
      <c r="B73" s="1065" t="s">
        <v>2108</v>
      </c>
      <c r="C73" s="1048">
        <v>1</v>
      </c>
      <c r="D73" s="1048" t="s">
        <v>1472</v>
      </c>
      <c r="E73" s="1048">
        <v>1</v>
      </c>
      <c r="F73" s="1049">
        <f>(10-3)*0.3048</f>
        <v>2.1335999999999999</v>
      </c>
      <c r="G73" s="1049">
        <v>0.3</v>
      </c>
      <c r="H73" s="1049">
        <v>0.15</v>
      </c>
      <c r="I73" s="1049">
        <f t="shared" si="5"/>
        <v>0.1</v>
      </c>
      <c r="J73" s="1049"/>
      <c r="K73" s="1049"/>
      <c r="L73" s="1049"/>
      <c r="M73" s="1049"/>
      <c r="N73" s="1049"/>
    </row>
    <row r="74" spans="1:14" ht="14.1">
      <c r="A74" s="1046"/>
      <c r="B74" s="1065"/>
      <c r="C74" s="1048"/>
      <c r="D74" s="1048"/>
      <c r="E74" s="1048"/>
      <c r="F74" s="1049"/>
      <c r="G74" s="1049"/>
      <c r="H74" s="1049"/>
      <c r="I74" s="1053">
        <f>SUM(I66:I73)</f>
        <v>4.47</v>
      </c>
      <c r="J74" s="1049"/>
      <c r="K74" s="1049"/>
      <c r="L74" s="1049"/>
      <c r="M74" s="1049"/>
      <c r="N74" s="1068"/>
    </row>
    <row r="75" spans="1:14" ht="14.1">
      <c r="A75" s="1046"/>
      <c r="B75" s="2432"/>
      <c r="C75" s="2433"/>
      <c r="D75" s="2433"/>
      <c r="E75" s="2433"/>
      <c r="F75" s="2433"/>
      <c r="G75" s="2433"/>
      <c r="H75" s="2434"/>
      <c r="I75" s="1053">
        <f>I74+I64+I55</f>
        <v>51.019999999999996</v>
      </c>
      <c r="J75" s="1049">
        <f>Datas!$G$212</f>
        <v>3494.84</v>
      </c>
      <c r="K75" s="1053">
        <f>ROUND(J75*I75,0)</f>
        <v>178307</v>
      </c>
      <c r="L75" s="1049">
        <f>1.1*75+0.33*90</f>
        <v>112.2</v>
      </c>
      <c r="M75" s="1055">
        <f>L75*I75</f>
        <v>5724.4439999999995</v>
      </c>
    </row>
    <row r="76" spans="1:14" ht="14.1">
      <c r="A76" s="1046"/>
      <c r="B76" s="1051"/>
      <c r="C76" s="1048"/>
      <c r="D76" s="1048"/>
      <c r="E76" s="1048"/>
      <c r="F76" s="1049"/>
      <c r="G76" s="1049"/>
      <c r="H76" s="1049"/>
      <c r="I76" s="1053" t="s">
        <v>656</v>
      </c>
      <c r="J76" s="1049" t="s">
        <v>197</v>
      </c>
      <c r="K76" s="1049"/>
      <c r="L76" s="1049"/>
      <c r="M76" s="1049"/>
    </row>
    <row r="77" spans="1:14" ht="157.5" customHeight="1">
      <c r="A77" s="1046">
        <v>5</v>
      </c>
      <c r="B77" s="2415" t="s">
        <v>2294</v>
      </c>
      <c r="C77" s="2426"/>
      <c r="D77" s="2426"/>
      <c r="E77" s="2426"/>
      <c r="F77" s="2426"/>
      <c r="G77" s="2426"/>
      <c r="H77" s="2426"/>
      <c r="I77" s="2427"/>
      <c r="J77" s="1049"/>
      <c r="K77" s="1049"/>
      <c r="L77" s="1049"/>
      <c r="M77" s="1049"/>
    </row>
    <row r="78" spans="1:14" ht="14.1">
      <c r="A78" s="1046" t="s">
        <v>659</v>
      </c>
      <c r="B78" s="1066" t="s">
        <v>660</v>
      </c>
      <c r="C78" s="1048">
        <v>2</v>
      </c>
      <c r="D78" s="1048" t="s">
        <v>1472</v>
      </c>
      <c r="E78" s="1048">
        <v>6</v>
      </c>
      <c r="F78" s="1049">
        <v>1.5</v>
      </c>
      <c r="G78" s="1049">
        <v>1.5</v>
      </c>
      <c r="H78" s="1049">
        <v>0.4</v>
      </c>
      <c r="I78" s="1049">
        <f>ROUND(C78*E78*F78*G78*H78,2)</f>
        <v>10.8</v>
      </c>
      <c r="J78" s="1049"/>
      <c r="K78" s="1049"/>
      <c r="L78" s="1049"/>
      <c r="M78" s="1049"/>
    </row>
    <row r="79" spans="1:14" ht="14.1">
      <c r="A79" s="1046"/>
      <c r="B79" s="1065"/>
      <c r="C79" s="1048"/>
      <c r="D79" s="1048"/>
      <c r="E79" s="1048"/>
      <c r="F79" s="1049"/>
      <c r="G79" s="1049"/>
      <c r="H79" s="1049"/>
      <c r="I79" s="1052">
        <f>I78</f>
        <v>10.8</v>
      </c>
      <c r="J79" s="1049">
        <f>Datas!$G$318</f>
        <v>8788.51</v>
      </c>
      <c r="K79" s="1053">
        <f>ROUND(J79*I79,0)</f>
        <v>94916</v>
      </c>
      <c r="L79" s="1049">
        <v>108</v>
      </c>
      <c r="M79" s="1055">
        <f>L79*I79</f>
        <v>1166.4000000000001</v>
      </c>
    </row>
    <row r="80" spans="1:14" ht="14.1">
      <c r="A80" s="1046"/>
      <c r="B80" s="1065"/>
      <c r="C80" s="1048"/>
      <c r="D80" s="1048"/>
      <c r="E80" s="1048"/>
      <c r="F80" s="1049"/>
      <c r="G80" s="1049"/>
      <c r="H80" s="1049"/>
      <c r="I80" s="1053" t="s">
        <v>656</v>
      </c>
      <c r="J80" s="1049" t="s">
        <v>658</v>
      </c>
      <c r="K80" s="1053"/>
      <c r="L80" s="1053"/>
      <c r="M80" s="1053"/>
    </row>
    <row r="81" spans="1:13" ht="14.1">
      <c r="A81" s="1046" t="s">
        <v>950</v>
      </c>
      <c r="B81" s="1066" t="s">
        <v>662</v>
      </c>
      <c r="C81" s="1048"/>
      <c r="D81" s="1048"/>
      <c r="E81" s="1048"/>
      <c r="F81" s="1049"/>
      <c r="G81" s="1049"/>
      <c r="H81" s="1049"/>
      <c r="I81" s="1049"/>
      <c r="J81" s="1049"/>
      <c r="K81" s="1049"/>
      <c r="L81" s="1049"/>
      <c r="M81" s="1049"/>
    </row>
    <row r="82" spans="1:13" ht="14.1">
      <c r="A82" s="1046"/>
      <c r="B82" s="1065" t="s">
        <v>155</v>
      </c>
      <c r="C82" s="1048">
        <v>2</v>
      </c>
      <c r="D82" s="1048" t="s">
        <v>1472</v>
      </c>
      <c r="E82" s="1048">
        <v>6</v>
      </c>
      <c r="F82" s="1049">
        <v>0.23</v>
      </c>
      <c r="G82" s="1049">
        <v>0.375</v>
      </c>
      <c r="H82" s="1049">
        <f>1.65-0.15-0.4</f>
        <v>1.1000000000000001</v>
      </c>
      <c r="I82" s="1049">
        <f>ROUND(C82*E82*F82*G82*H82,2)</f>
        <v>1.1399999999999999</v>
      </c>
      <c r="J82" s="1049"/>
      <c r="K82" s="1049"/>
      <c r="L82" s="1049"/>
      <c r="M82" s="1049"/>
    </row>
    <row r="83" spans="1:13" ht="14.1">
      <c r="A83" s="1046"/>
      <c r="B83" s="1066" t="s">
        <v>665</v>
      </c>
      <c r="C83" s="1048"/>
      <c r="D83" s="1048"/>
      <c r="E83" s="1048"/>
      <c r="F83" s="1049"/>
      <c r="G83" s="1049"/>
      <c r="H83" s="1049"/>
      <c r="I83" s="1053"/>
      <c r="J83" s="1049"/>
      <c r="K83" s="1049"/>
      <c r="L83" s="1049"/>
      <c r="M83" s="1049"/>
    </row>
    <row r="84" spans="1:13" ht="14.1">
      <c r="A84" s="1046"/>
      <c r="B84" s="1065" t="s">
        <v>155</v>
      </c>
      <c r="C84" s="1048">
        <v>2</v>
      </c>
      <c r="D84" s="1048" t="s">
        <v>1472</v>
      </c>
      <c r="E84" s="1048">
        <v>6</v>
      </c>
      <c r="F84" s="1049">
        <v>0.23</v>
      </c>
      <c r="G84" s="1049">
        <v>0.375</v>
      </c>
      <c r="H84" s="1049">
        <v>4.5599999999999996</v>
      </c>
      <c r="I84" s="1049">
        <f>ROUND(C84*E84*F84*G84*H84,2)</f>
        <v>4.72</v>
      </c>
      <c r="J84" s="1049"/>
      <c r="K84" s="1049"/>
      <c r="L84" s="1049"/>
      <c r="M84" s="1049"/>
    </row>
    <row r="85" spans="1:13" ht="14.1">
      <c r="A85" s="1046"/>
      <c r="B85" s="1065"/>
      <c r="C85" s="1048"/>
      <c r="D85" s="1048"/>
      <c r="E85" s="1048"/>
      <c r="F85" s="1049"/>
      <c r="G85" s="1049">
        <f>0.6+0.3+12*0.3048</f>
        <v>4.5576000000000008</v>
      </c>
      <c r="H85" s="1049"/>
      <c r="I85" s="1053">
        <f>SUM(I82:I84)</f>
        <v>5.8599999999999994</v>
      </c>
      <c r="J85" s="1049"/>
      <c r="K85" s="1049"/>
      <c r="L85" s="1049"/>
      <c r="M85" s="1049"/>
    </row>
    <row r="86" spans="1:13" ht="14.1">
      <c r="A86" s="1046"/>
      <c r="B86" s="2432"/>
      <c r="C86" s="2433"/>
      <c r="D86" s="2433"/>
      <c r="E86" s="2433"/>
      <c r="F86" s="2433"/>
      <c r="G86" s="2433"/>
      <c r="H86" s="2434"/>
      <c r="I86" s="1052">
        <f>I85</f>
        <v>5.8599999999999994</v>
      </c>
      <c r="J86" s="1049">
        <f>Datas!$E$388</f>
        <v>11842.03</v>
      </c>
      <c r="K86" s="1053">
        <f>ROUND(J86*I86,0)</f>
        <v>69394</v>
      </c>
      <c r="L86" s="1049">
        <v>108</v>
      </c>
      <c r="M86" s="1055">
        <f>L86*I86</f>
        <v>632.87999999999988</v>
      </c>
    </row>
    <row r="87" spans="1:13" ht="14.1">
      <c r="A87" s="1046"/>
      <c r="B87" s="1065"/>
      <c r="C87" s="1048"/>
      <c r="D87" s="1048"/>
      <c r="E87" s="1048"/>
      <c r="F87" s="1049"/>
      <c r="G87" s="1049"/>
      <c r="H87" s="1049"/>
      <c r="I87" s="1053" t="s">
        <v>656</v>
      </c>
      <c r="J87" s="1049" t="s">
        <v>668</v>
      </c>
      <c r="K87" s="1053"/>
      <c r="L87" s="1053"/>
      <c r="M87" s="1053"/>
    </row>
    <row r="88" spans="1:13" ht="14.1">
      <c r="A88" s="1046" t="s">
        <v>661</v>
      </c>
      <c r="B88" s="1064" t="s">
        <v>154</v>
      </c>
      <c r="C88" s="1067"/>
      <c r="D88" s="1067"/>
      <c r="E88" s="1048"/>
      <c r="F88" s="1049"/>
      <c r="G88" s="1049"/>
      <c r="H88" s="1049"/>
      <c r="I88" s="1049"/>
      <c r="J88" s="1049"/>
      <c r="K88" s="1053"/>
      <c r="L88" s="1049"/>
      <c r="M88" s="1049"/>
    </row>
    <row r="89" spans="1:13" ht="14.1">
      <c r="A89" s="1046"/>
      <c r="B89" s="1051" t="s">
        <v>2109</v>
      </c>
      <c r="C89" s="1048">
        <v>1</v>
      </c>
      <c r="D89" s="1048" t="s">
        <v>1472</v>
      </c>
      <c r="E89" s="1048">
        <v>2</v>
      </c>
      <c r="F89" s="1049">
        <f>60.75*0.3048-6*0.225</f>
        <v>17.166599999999999</v>
      </c>
      <c r="G89" s="1049">
        <v>0.23</v>
      </c>
      <c r="H89" s="1049">
        <v>0.3</v>
      </c>
      <c r="I89" s="1049">
        <f>ROUND(C89*E89*F89*G89*H89,2)</f>
        <v>2.37</v>
      </c>
      <c r="J89" s="1049"/>
      <c r="K89" s="1049"/>
      <c r="L89" s="1049"/>
      <c r="M89" s="1049"/>
    </row>
    <row r="90" spans="1:13" ht="14.1">
      <c r="A90" s="1046"/>
      <c r="B90" s="1051" t="s">
        <v>2110</v>
      </c>
      <c r="C90" s="1048">
        <v>1</v>
      </c>
      <c r="D90" s="1048" t="s">
        <v>1472</v>
      </c>
      <c r="E90" s="1048">
        <v>3</v>
      </c>
      <c r="F90" s="1049">
        <f>30*0.3048</f>
        <v>9.1440000000000001</v>
      </c>
      <c r="G90" s="1049">
        <v>0.23</v>
      </c>
      <c r="H90" s="1049">
        <v>0.3</v>
      </c>
      <c r="I90" s="1049">
        <f>ROUND(C90*E90*F90*G90*H90,2)</f>
        <v>1.89</v>
      </c>
      <c r="J90" s="1049"/>
      <c r="K90" s="1049"/>
      <c r="L90" s="1049"/>
      <c r="M90" s="1049"/>
    </row>
    <row r="91" spans="1:13" ht="14.1">
      <c r="A91" s="1046"/>
      <c r="B91" s="1065"/>
      <c r="C91" s="1048"/>
      <c r="D91" s="1048"/>
      <c r="E91" s="1048"/>
      <c r="F91" s="1049"/>
      <c r="G91" s="1049"/>
      <c r="H91" s="1049"/>
      <c r="I91" s="1052">
        <f>SUM(I89:I90)</f>
        <v>4.26</v>
      </c>
      <c r="J91" s="1049">
        <f>Datas!$G$340</f>
        <v>11378.51</v>
      </c>
      <c r="K91" s="1053">
        <f>ROUND(J91*I91,0)</f>
        <v>48472</v>
      </c>
      <c r="L91" s="1049">
        <v>108</v>
      </c>
      <c r="M91" s="1055">
        <f>L91*I91</f>
        <v>460.08</v>
      </c>
    </row>
    <row r="92" spans="1:13" ht="14.1">
      <c r="A92" s="1046"/>
      <c r="B92" s="1065"/>
      <c r="C92" s="1048"/>
      <c r="D92" s="1048"/>
      <c r="E92" s="1048"/>
      <c r="F92" s="1049"/>
      <c r="G92" s="1049"/>
      <c r="H92" s="1049"/>
      <c r="I92" s="1053" t="s">
        <v>656</v>
      </c>
      <c r="J92" s="1053" t="s">
        <v>670</v>
      </c>
      <c r="K92" s="1053"/>
      <c r="L92" s="1053"/>
      <c r="M92" s="1053"/>
    </row>
    <row r="93" spans="1:13" ht="14.1">
      <c r="A93" s="1046" t="s">
        <v>669</v>
      </c>
      <c r="B93" s="1064" t="s">
        <v>2172</v>
      </c>
      <c r="C93" s="1067"/>
      <c r="D93" s="1067"/>
      <c r="E93" s="1048"/>
      <c r="F93" s="1049"/>
      <c r="G93" s="1049"/>
      <c r="H93" s="1049"/>
      <c r="I93" s="1049"/>
      <c r="J93" s="1049"/>
      <c r="K93" s="1049"/>
      <c r="L93" s="1049"/>
      <c r="M93" s="1049"/>
    </row>
    <row r="94" spans="1:13" ht="14.1">
      <c r="A94" s="1046"/>
      <c r="B94" s="1051" t="s">
        <v>2170</v>
      </c>
      <c r="C94" s="1048">
        <v>1</v>
      </c>
      <c r="D94" s="1048" t="s">
        <v>1472</v>
      </c>
      <c r="E94" s="1048">
        <v>2</v>
      </c>
      <c r="F94" s="1049">
        <f>60.75*0.3048-6*0.225</f>
        <v>17.166599999999999</v>
      </c>
      <c r="G94" s="1049">
        <v>0.23</v>
      </c>
      <c r="H94" s="1049">
        <v>0.3</v>
      </c>
      <c r="I94" s="1049">
        <f>ROUND(C94*E94*F94*G94*H94,2)</f>
        <v>2.37</v>
      </c>
      <c r="J94" s="1049"/>
      <c r="K94" s="1049"/>
      <c r="L94" s="1049"/>
      <c r="M94" s="1049"/>
    </row>
    <row r="95" spans="1:13" ht="14.1">
      <c r="A95" s="1046"/>
      <c r="B95" s="1051" t="s">
        <v>2257</v>
      </c>
      <c r="C95" s="1048">
        <v>1</v>
      </c>
      <c r="D95" s="1048" t="s">
        <v>1472</v>
      </c>
      <c r="E95" s="1048">
        <v>2</v>
      </c>
      <c r="F95" s="1049">
        <f>60.75*0.3048-6*0.225</f>
        <v>17.166599999999999</v>
      </c>
      <c r="G95" s="1049">
        <v>0.23</v>
      </c>
      <c r="H95" s="1049">
        <v>0.375</v>
      </c>
      <c r="I95" s="1049">
        <f>ROUND(C95*E95*F95*G95*H95,2)</f>
        <v>2.96</v>
      </c>
      <c r="J95" s="1049"/>
      <c r="K95" s="1049"/>
      <c r="L95" s="1049"/>
      <c r="M95" s="1049"/>
    </row>
    <row r="96" spans="1:13" ht="14.1">
      <c r="A96" s="1046"/>
      <c r="B96" s="1051" t="s">
        <v>2110</v>
      </c>
      <c r="C96" s="1048">
        <v>1</v>
      </c>
      <c r="D96" s="1048" t="s">
        <v>1472</v>
      </c>
      <c r="E96" s="1048">
        <v>2</v>
      </c>
      <c r="F96" s="1049">
        <v>9</v>
      </c>
      <c r="G96" s="1049">
        <v>0.23</v>
      </c>
      <c r="H96" s="1049">
        <v>0.3</v>
      </c>
      <c r="I96" s="1049">
        <f>ROUND(C96*E96*F96*G96*H96,2)</f>
        <v>1.24</v>
      </c>
      <c r="J96" s="1049"/>
      <c r="K96" s="1049"/>
      <c r="L96" s="1049"/>
      <c r="M96" s="1049"/>
    </row>
    <row r="97" spans="1:13" ht="14.1">
      <c r="A97" s="1046"/>
      <c r="B97" s="1051" t="s">
        <v>2258</v>
      </c>
      <c r="C97" s="1048">
        <v>1</v>
      </c>
      <c r="D97" s="1048" t="s">
        <v>1472</v>
      </c>
      <c r="E97" s="1048">
        <v>2</v>
      </c>
      <c r="F97" s="1049">
        <v>9</v>
      </c>
      <c r="G97" s="1049">
        <v>0.23</v>
      </c>
      <c r="H97" s="1049">
        <v>0.3</v>
      </c>
      <c r="I97" s="1049">
        <f>ROUND(C97*E97*F97*G97*H97,2)</f>
        <v>1.24</v>
      </c>
      <c r="J97" s="1049"/>
      <c r="K97" s="1049"/>
      <c r="L97" s="1049"/>
      <c r="M97" s="1049"/>
    </row>
    <row r="98" spans="1:13" ht="14.1">
      <c r="A98" s="1046"/>
      <c r="B98" s="1065"/>
      <c r="C98" s="1048"/>
      <c r="D98" s="1048"/>
      <c r="E98" s="1048"/>
      <c r="F98" s="1049"/>
      <c r="G98" s="1049"/>
      <c r="H98" s="1049" t="s">
        <v>667</v>
      </c>
      <c r="I98" s="1052">
        <f>SUM(I94:I97)</f>
        <v>7.8100000000000005</v>
      </c>
      <c r="J98" s="1049">
        <f>Datas!$E$419</f>
        <v>11257.84</v>
      </c>
      <c r="K98" s="1053">
        <f>ROUND(J98*I98,0)</f>
        <v>87924</v>
      </c>
      <c r="L98" s="1049">
        <v>108</v>
      </c>
      <c r="M98" s="1055">
        <f>L98*I98</f>
        <v>843.48</v>
      </c>
    </row>
    <row r="99" spans="1:13" ht="14.1">
      <c r="A99" s="1046"/>
      <c r="B99" s="1065"/>
      <c r="C99" s="1048"/>
      <c r="D99" s="1048"/>
      <c r="E99" s="1048"/>
      <c r="F99" s="1049"/>
      <c r="G99" s="1049"/>
      <c r="H99" s="1049"/>
      <c r="I99" s="1053" t="s">
        <v>656</v>
      </c>
      <c r="J99" s="1053" t="s">
        <v>670</v>
      </c>
      <c r="K99" s="1053"/>
      <c r="L99" s="1053"/>
      <c r="M99" s="1053"/>
    </row>
    <row r="100" spans="1:13" ht="14.1">
      <c r="A100" s="1046" t="s">
        <v>671</v>
      </c>
      <c r="B100" s="1064" t="s">
        <v>2259</v>
      </c>
      <c r="C100" s="1067"/>
      <c r="D100" s="1067"/>
      <c r="E100" s="1048"/>
      <c r="F100" s="1049"/>
      <c r="G100" s="1049"/>
      <c r="H100" s="1049"/>
      <c r="I100" s="1049"/>
      <c r="J100" s="1049"/>
      <c r="K100" s="1049"/>
      <c r="L100" s="1049"/>
      <c r="M100" s="1049"/>
    </row>
    <row r="101" spans="1:13" ht="14.1">
      <c r="A101" s="1046"/>
      <c r="B101" s="1051"/>
      <c r="C101" s="1048">
        <v>1</v>
      </c>
      <c r="D101" s="1048" t="s">
        <v>1472</v>
      </c>
      <c r="E101" s="1048">
        <v>1</v>
      </c>
      <c r="F101" s="1049">
        <f>14*0.3048</f>
        <v>4.2671999999999999</v>
      </c>
      <c r="G101" s="1084">
        <v>1</v>
      </c>
      <c r="H101" s="1049">
        <f>13.5*0.3048</f>
        <v>4.1147999999999998</v>
      </c>
      <c r="I101" s="1049">
        <f>ROUND(C101*E101*F101*G101*H101,2)</f>
        <v>17.559999999999999</v>
      </c>
      <c r="J101" s="1049"/>
      <c r="K101" s="1049"/>
      <c r="L101" s="1049"/>
      <c r="M101" s="1049"/>
    </row>
    <row r="102" spans="1:13" ht="14.1">
      <c r="A102" s="1046"/>
      <c r="B102" s="1065"/>
      <c r="C102" s="1048"/>
      <c r="D102" s="1048"/>
      <c r="E102" s="1048"/>
      <c r="F102" s="1049"/>
      <c r="G102" s="1049"/>
      <c r="H102" s="1049" t="s">
        <v>667</v>
      </c>
      <c r="I102" s="1052">
        <f>SUM(I101:I101)</f>
        <v>17.559999999999999</v>
      </c>
      <c r="J102" s="1049">
        <f>Datas!E467</f>
        <v>13463.55</v>
      </c>
      <c r="K102" s="1053">
        <f>ROUND(J102*I102/10,0)</f>
        <v>23642</v>
      </c>
      <c r="L102" s="1049">
        <v>108</v>
      </c>
      <c r="M102" s="1055">
        <f>L102*I102</f>
        <v>1896.4799999999998</v>
      </c>
    </row>
    <row r="103" spans="1:13" ht="14.1">
      <c r="A103" s="1046"/>
      <c r="B103" s="1065"/>
      <c r="C103" s="1048"/>
      <c r="D103" s="1048"/>
      <c r="E103" s="1048"/>
      <c r="F103" s="1049"/>
      <c r="G103" s="1049"/>
      <c r="H103" s="1049"/>
      <c r="I103" s="1053" t="s">
        <v>2260</v>
      </c>
      <c r="J103" s="1053" t="s">
        <v>2169</v>
      </c>
      <c r="K103" s="1053"/>
      <c r="L103" s="1053"/>
      <c r="M103" s="1053"/>
    </row>
    <row r="104" spans="1:13" ht="131.25" customHeight="1">
      <c r="A104" s="1046">
        <v>6</v>
      </c>
      <c r="B104" s="2415" t="s">
        <v>2295</v>
      </c>
      <c r="C104" s="2426"/>
      <c r="D104" s="2426"/>
      <c r="E104" s="2426"/>
      <c r="F104" s="2426"/>
      <c r="G104" s="2426"/>
      <c r="H104" s="2426"/>
      <c r="I104" s="2427"/>
      <c r="J104" s="1049"/>
      <c r="K104" s="1049"/>
      <c r="L104" s="1049"/>
      <c r="M104" s="1049"/>
    </row>
    <row r="105" spans="1:13" ht="14.1">
      <c r="A105" s="1046"/>
      <c r="B105" s="1061" t="s">
        <v>673</v>
      </c>
      <c r="C105" s="1048"/>
      <c r="D105" s="1048"/>
      <c r="E105" s="1048"/>
      <c r="F105" s="1049"/>
      <c r="G105" s="1049"/>
      <c r="H105" s="1049"/>
      <c r="I105" s="1049"/>
      <c r="J105" s="1049"/>
      <c r="K105" s="1049"/>
      <c r="L105" s="1049"/>
      <c r="M105" s="1049"/>
    </row>
    <row r="106" spans="1:13">
      <c r="A106" s="1048"/>
      <c r="B106" s="1061" t="s">
        <v>2209</v>
      </c>
      <c r="C106" s="1048">
        <v>1</v>
      </c>
      <c r="D106" s="1048" t="s">
        <v>1472</v>
      </c>
      <c r="E106" s="1048">
        <v>1</v>
      </c>
      <c r="F106" s="1049">
        <v>1.6</v>
      </c>
      <c r="G106" s="1049">
        <v>0.23</v>
      </c>
      <c r="H106" s="1049">
        <v>0.1</v>
      </c>
      <c r="I106" s="1049">
        <f>ROUND(C106*E106*F106*G106*H106,2)</f>
        <v>0.04</v>
      </c>
      <c r="J106" s="1049"/>
      <c r="K106" s="1049"/>
      <c r="L106" s="1049"/>
      <c r="M106" s="1049"/>
    </row>
    <row r="107" spans="1:13">
      <c r="A107" s="1048"/>
      <c r="B107" s="1061" t="s">
        <v>2210</v>
      </c>
      <c r="C107" s="1048">
        <v>1</v>
      </c>
      <c r="D107" s="1048" t="s">
        <v>1472</v>
      </c>
      <c r="E107" s="1048">
        <v>2</v>
      </c>
      <c r="F107" s="1049">
        <v>1.05</v>
      </c>
      <c r="G107" s="1049">
        <v>0.115</v>
      </c>
      <c r="H107" s="1049">
        <v>0.1</v>
      </c>
      <c r="I107" s="1049">
        <f>ROUND(C107*E107*F107*G107*H107,2)</f>
        <v>0.02</v>
      </c>
      <c r="J107" s="1049"/>
      <c r="K107" s="1049"/>
      <c r="L107" s="1049"/>
      <c r="M107" s="1049"/>
    </row>
    <row r="108" spans="1:13">
      <c r="A108" s="1048"/>
      <c r="B108" s="1061" t="s">
        <v>2112</v>
      </c>
      <c r="C108" s="1048">
        <v>1</v>
      </c>
      <c r="D108" s="1048" t="s">
        <v>1472</v>
      </c>
      <c r="E108" s="1048">
        <v>2</v>
      </c>
      <c r="F108" s="1049">
        <v>1.8</v>
      </c>
      <c r="G108" s="1049">
        <v>0.23</v>
      </c>
      <c r="H108" s="1049">
        <v>0.15</v>
      </c>
      <c r="I108" s="1049">
        <f>ROUND(C108*E108*F108*G108*H108,2)</f>
        <v>0.12</v>
      </c>
      <c r="J108" s="1049"/>
      <c r="K108" s="1049"/>
      <c r="L108" s="1049"/>
      <c r="M108" s="1049"/>
    </row>
    <row r="109" spans="1:13" ht="14.1">
      <c r="A109" s="1046"/>
      <c r="B109" s="1061"/>
      <c r="C109" s="1048"/>
      <c r="D109" s="1048"/>
      <c r="E109" s="1048"/>
      <c r="F109" s="1049"/>
      <c r="G109" s="1049"/>
      <c r="H109" s="1049"/>
      <c r="I109" s="1052">
        <f>SUM(I106:I108)</f>
        <v>0.18</v>
      </c>
      <c r="J109" s="1049">
        <f>Datas!$E$372</f>
        <v>11905.03</v>
      </c>
      <c r="K109" s="1053">
        <f>ROUND(J109*I109,0)</f>
        <v>2143</v>
      </c>
      <c r="L109" s="1049">
        <v>108</v>
      </c>
      <c r="M109" s="1055">
        <f>L109*I109</f>
        <v>19.439999999999998</v>
      </c>
    </row>
    <row r="110" spans="1:13" ht="14.1">
      <c r="A110" s="1046"/>
      <c r="B110" s="1061"/>
      <c r="C110" s="1048"/>
      <c r="D110" s="1048"/>
      <c r="E110" s="1048"/>
      <c r="F110" s="1049"/>
      <c r="G110" s="1049"/>
      <c r="H110" s="1049"/>
      <c r="I110" s="1053" t="s">
        <v>656</v>
      </c>
      <c r="J110" s="1053" t="s">
        <v>670</v>
      </c>
      <c r="K110" s="1053"/>
      <c r="L110" s="1049"/>
      <c r="M110" s="1049"/>
    </row>
    <row r="111" spans="1:13" ht="145.5" customHeight="1">
      <c r="A111" s="1046">
        <v>7</v>
      </c>
      <c r="B111" s="2415" t="s">
        <v>2296</v>
      </c>
      <c r="C111" s="2426"/>
      <c r="D111" s="2426"/>
      <c r="E111" s="2426"/>
      <c r="F111" s="2426"/>
      <c r="G111" s="2426"/>
      <c r="H111" s="2426"/>
      <c r="I111" s="2427"/>
      <c r="J111" s="1049"/>
      <c r="K111" s="1049"/>
      <c r="L111" s="1049"/>
      <c r="M111" s="1049"/>
    </row>
    <row r="112" spans="1:13">
      <c r="A112" s="1048"/>
      <c r="B112" s="1061" t="s">
        <v>2211</v>
      </c>
      <c r="C112" s="1048">
        <v>1</v>
      </c>
      <c r="D112" s="1048" t="s">
        <v>1472</v>
      </c>
      <c r="E112" s="1048">
        <v>2</v>
      </c>
      <c r="F112" s="1049">
        <f>(60.75-2.75)*0.3048</f>
        <v>17.6784</v>
      </c>
      <c r="G112" s="1049"/>
      <c r="H112" s="1049"/>
      <c r="I112" s="1049">
        <f>ROUND(C112*E112*F112,2)</f>
        <v>35.36</v>
      </c>
      <c r="J112" s="1049"/>
      <c r="K112" s="1049"/>
      <c r="L112" s="1049"/>
      <c r="M112" s="1068"/>
    </row>
    <row r="113" spans="1:13">
      <c r="A113" s="1048"/>
      <c r="B113" s="1061" t="s">
        <v>2111</v>
      </c>
      <c r="C113" s="1048">
        <v>1</v>
      </c>
      <c r="D113" s="1048" t="s">
        <v>1472</v>
      </c>
      <c r="E113" s="1048">
        <v>2</v>
      </c>
      <c r="F113" s="1049">
        <v>1.8</v>
      </c>
      <c r="G113" s="1049"/>
      <c r="H113" s="1049"/>
      <c r="I113" s="1049">
        <f>ROUND(C113*E113*F113,2)</f>
        <v>3.6</v>
      </c>
      <c r="J113" s="1049"/>
      <c r="K113" s="1049"/>
      <c r="L113" s="1049"/>
      <c r="M113" s="1049"/>
    </row>
    <row r="114" spans="1:13" ht="14.1">
      <c r="A114" s="1046"/>
      <c r="B114" s="1061" t="s">
        <v>674</v>
      </c>
      <c r="C114" s="1048"/>
      <c r="D114" s="1048"/>
      <c r="E114" s="1048"/>
      <c r="F114" s="1049"/>
      <c r="G114" s="1049"/>
      <c r="H114" s="1049"/>
      <c r="I114" s="1053">
        <f>SUM(I112:I113)</f>
        <v>38.96</v>
      </c>
      <c r="J114" s="1049">
        <f>Datas!$E$500</f>
        <v>606.11</v>
      </c>
      <c r="K114" s="1053">
        <f>ROUND(J114*I114,0)</f>
        <v>23614</v>
      </c>
      <c r="L114" s="1049">
        <f>0.0625*108</f>
        <v>6.75</v>
      </c>
      <c r="M114" s="1055">
        <f>L114*I114</f>
        <v>262.98</v>
      </c>
    </row>
    <row r="115" spans="1:13" ht="14.1">
      <c r="A115" s="1046"/>
      <c r="B115" s="1061"/>
      <c r="C115" s="1048"/>
      <c r="D115" s="1048"/>
      <c r="E115" s="1048"/>
      <c r="F115" s="1049"/>
      <c r="G115" s="1049"/>
      <c r="H115" s="1049"/>
      <c r="I115" s="1053" t="s">
        <v>495</v>
      </c>
      <c r="J115" s="1053" t="s">
        <v>2</v>
      </c>
      <c r="K115" s="1053"/>
      <c r="L115" s="1049"/>
      <c r="M115" s="1049"/>
    </row>
    <row r="116" spans="1:13" ht="125.25" customHeight="1">
      <c r="A116" s="1046">
        <v>8</v>
      </c>
      <c r="B116" s="2415" t="s">
        <v>2297</v>
      </c>
      <c r="C116" s="2426"/>
      <c r="D116" s="2426"/>
      <c r="E116" s="2426"/>
      <c r="F116" s="2426"/>
      <c r="G116" s="2426"/>
      <c r="H116" s="2426"/>
      <c r="I116" s="2427"/>
      <c r="J116" s="1049"/>
      <c r="K116" s="1049"/>
      <c r="L116" s="1049"/>
      <c r="M116" s="1049"/>
    </row>
    <row r="117" spans="1:13">
      <c r="A117" s="1048"/>
      <c r="B117" s="1061" t="s">
        <v>2213</v>
      </c>
      <c r="C117" s="1048">
        <v>4</v>
      </c>
      <c r="D117" s="1048" t="s">
        <v>1472</v>
      </c>
      <c r="E117" s="1048">
        <v>7</v>
      </c>
      <c r="F117" s="1049">
        <v>0.23</v>
      </c>
      <c r="G117" s="1049">
        <v>0.2</v>
      </c>
      <c r="H117" s="1049">
        <v>0.15</v>
      </c>
      <c r="I117" s="1049">
        <f>ROUND(C117*E117*F117*G117*H117,2)</f>
        <v>0.19</v>
      </c>
      <c r="J117" s="1049"/>
      <c r="K117" s="1049"/>
      <c r="L117" s="1049"/>
      <c r="M117" s="1049"/>
    </row>
    <row r="118" spans="1:13">
      <c r="A118" s="1048"/>
      <c r="B118" s="1061" t="s">
        <v>2212</v>
      </c>
      <c r="C118" s="1048">
        <v>4</v>
      </c>
      <c r="D118" s="1048" t="s">
        <v>1472</v>
      </c>
      <c r="E118" s="1048">
        <v>2</v>
      </c>
      <c r="F118" s="1049">
        <v>0.23</v>
      </c>
      <c r="G118" s="1049">
        <v>0.2</v>
      </c>
      <c r="H118" s="1049">
        <v>0.15</v>
      </c>
      <c r="I118" s="1049">
        <f>ROUND(C118*E118*F118*G118*H118,2)</f>
        <v>0.06</v>
      </c>
      <c r="J118" s="1049"/>
      <c r="K118" s="1049"/>
      <c r="L118" s="1049"/>
      <c r="M118" s="1049"/>
    </row>
    <row r="119" spans="1:13">
      <c r="A119" s="1048"/>
      <c r="B119" s="1061" t="s">
        <v>2114</v>
      </c>
      <c r="C119" s="1048">
        <v>4</v>
      </c>
      <c r="D119" s="1048" t="s">
        <v>1472</v>
      </c>
      <c r="E119" s="1048">
        <v>4</v>
      </c>
      <c r="F119" s="1049">
        <v>0.23</v>
      </c>
      <c r="G119" s="1049">
        <v>0.2</v>
      </c>
      <c r="H119" s="1049">
        <v>0.15</v>
      </c>
      <c r="I119" s="1049">
        <f>ROUND(C119*E119*F119*G119*H119,2)</f>
        <v>0.11</v>
      </c>
      <c r="J119" s="1049"/>
      <c r="K119" s="1049"/>
      <c r="L119" s="1049"/>
      <c r="M119" s="1049"/>
    </row>
    <row r="120" spans="1:13">
      <c r="A120" s="1048"/>
      <c r="B120" s="1071"/>
      <c r="C120" s="1072"/>
      <c r="D120" s="1072"/>
      <c r="E120" s="1072"/>
      <c r="F120" s="1073"/>
      <c r="G120" s="1073"/>
      <c r="H120" s="1074"/>
      <c r="I120" s="1049"/>
      <c r="J120" s="1049"/>
      <c r="K120" s="1049"/>
      <c r="L120" s="1049"/>
      <c r="M120" s="1068"/>
    </row>
    <row r="121" spans="1:13" ht="14.1">
      <c r="A121" s="1046"/>
      <c r="B121" s="2432"/>
      <c r="C121" s="2433"/>
      <c r="D121" s="2433"/>
      <c r="E121" s="2433"/>
      <c r="F121" s="2433"/>
      <c r="G121" s="2433"/>
      <c r="H121" s="2434"/>
      <c r="I121" s="1053">
        <f>SUM(I117:I119)</f>
        <v>0.36</v>
      </c>
      <c r="J121" s="1049">
        <f>Datas!$G$536</f>
        <v>5340.5599999999995</v>
      </c>
      <c r="K121" s="1053">
        <f>ROUND(J121*I121,0)</f>
        <v>1923</v>
      </c>
      <c r="L121" s="1049">
        <v>108</v>
      </c>
      <c r="M121" s="1055">
        <f>L121*I121</f>
        <v>38.879999999999995</v>
      </c>
    </row>
    <row r="122" spans="1:13" ht="14.1">
      <c r="A122" s="1046"/>
      <c r="B122" s="1061"/>
      <c r="C122" s="1048"/>
      <c r="D122" s="1048"/>
      <c r="E122" s="1048"/>
      <c r="F122" s="1049"/>
      <c r="G122" s="1049"/>
      <c r="H122" s="1049"/>
      <c r="I122" s="1053" t="s">
        <v>656</v>
      </c>
      <c r="J122" s="1053" t="s">
        <v>658</v>
      </c>
      <c r="K122" s="1053"/>
      <c r="L122" s="1049"/>
      <c r="M122" s="1049"/>
    </row>
    <row r="123" spans="1:13" ht="99" customHeight="1">
      <c r="A123" s="1046">
        <v>9</v>
      </c>
      <c r="B123" s="2415" t="s">
        <v>2305</v>
      </c>
      <c r="C123" s="2426"/>
      <c r="D123" s="2426"/>
      <c r="E123" s="2426"/>
      <c r="F123" s="2426"/>
      <c r="G123" s="2426"/>
      <c r="H123" s="2426"/>
      <c r="I123" s="2427"/>
      <c r="J123" s="1049"/>
      <c r="K123" s="1049"/>
      <c r="L123" s="1049"/>
      <c r="M123" s="1049"/>
    </row>
    <row r="124" spans="1:13" ht="14.1">
      <c r="A124" s="1046"/>
      <c r="B124" s="1075" t="s">
        <v>2123</v>
      </c>
      <c r="C124" s="1058"/>
      <c r="D124" s="1058"/>
      <c r="E124" s="1058"/>
      <c r="F124" s="1058"/>
      <c r="G124" s="1058"/>
      <c r="H124" s="1058"/>
      <c r="I124" s="1059"/>
      <c r="J124" s="1049"/>
      <c r="K124" s="1049"/>
      <c r="L124" s="1049"/>
      <c r="M124" s="1049"/>
    </row>
    <row r="125" spans="1:13" ht="14.1">
      <c r="A125" s="1046"/>
      <c r="B125" s="1050" t="s">
        <v>2115</v>
      </c>
      <c r="C125" s="1048">
        <v>1</v>
      </c>
      <c r="D125" s="1048" t="s">
        <v>1472</v>
      </c>
      <c r="E125" s="1048">
        <v>2</v>
      </c>
      <c r="F125" s="1049">
        <f>(60.75*0.3048-6*0.225)</f>
        <v>17.166599999999999</v>
      </c>
      <c r="G125" s="1049">
        <v>0.23</v>
      </c>
      <c r="H125" s="1049">
        <v>3.6</v>
      </c>
      <c r="I125" s="1049">
        <f>ROUND(C125*E125*F125*G125*H125,2)</f>
        <v>28.43</v>
      </c>
      <c r="J125" s="1049"/>
      <c r="K125" s="1049"/>
      <c r="L125" s="1049"/>
      <c r="M125" s="1049"/>
    </row>
    <row r="126" spans="1:13" ht="14.1">
      <c r="A126" s="1046"/>
      <c r="B126" s="1050" t="s">
        <v>2033</v>
      </c>
      <c r="C126" s="1048">
        <v>1</v>
      </c>
      <c r="D126" s="1048" t="s">
        <v>1472</v>
      </c>
      <c r="E126" s="1048">
        <v>2</v>
      </c>
      <c r="F126" s="1049">
        <f>(30.75-2*0.75)*0.3048</f>
        <v>8.9154</v>
      </c>
      <c r="G126" s="1049">
        <v>0.23</v>
      </c>
      <c r="H126" s="1164" t="s">
        <v>2261</v>
      </c>
      <c r="I126" s="1049">
        <f>ROUND(C126*E126*F126*G126*AVERAGE(3.6,5.48,3.6),2)</f>
        <v>17.329999999999998</v>
      </c>
      <c r="J126" s="1049"/>
      <c r="K126" s="1049"/>
      <c r="L126" s="1049"/>
      <c r="M126" s="1049"/>
    </row>
    <row r="127" spans="1:13" ht="27.6">
      <c r="A127" s="1046"/>
      <c r="B127" s="1050" t="s">
        <v>2116</v>
      </c>
      <c r="C127" s="1048">
        <v>1</v>
      </c>
      <c r="D127" s="1048" t="s">
        <v>1472</v>
      </c>
      <c r="E127" s="1048">
        <v>1</v>
      </c>
      <c r="F127" s="1049">
        <f>(30.75-2*0.75)*0.3048</f>
        <v>8.9154</v>
      </c>
      <c r="G127" s="1049">
        <v>0.23</v>
      </c>
      <c r="H127" s="1049">
        <v>3.6</v>
      </c>
      <c r="I127" s="1049">
        <f>ROUND(C127*E127*F127*G127*H127,2)</f>
        <v>7.38</v>
      </c>
      <c r="J127" s="1049"/>
      <c r="K127" s="1049"/>
      <c r="L127" s="1049"/>
      <c r="M127" s="1049"/>
    </row>
    <row r="128" spans="1:13" ht="14.1">
      <c r="A128" s="1046"/>
      <c r="B128" s="1060" t="s">
        <v>675</v>
      </c>
      <c r="C128" s="1048"/>
      <c r="D128" s="1048"/>
      <c r="E128" s="1048"/>
      <c r="F128" s="1049"/>
      <c r="G128" s="1049"/>
      <c r="H128" s="1049"/>
      <c r="I128" s="1049"/>
      <c r="J128" s="1049"/>
      <c r="K128" s="1049"/>
      <c r="L128" s="1049"/>
      <c r="M128" s="1049"/>
    </row>
    <row r="129" spans="1:13">
      <c r="A129" s="1076"/>
      <c r="B129" s="1061" t="s">
        <v>2214</v>
      </c>
      <c r="C129" s="1048">
        <v>1</v>
      </c>
      <c r="D129" s="1048" t="s">
        <v>1472</v>
      </c>
      <c r="E129" s="1048">
        <v>1</v>
      </c>
      <c r="F129" s="1049">
        <v>2.5</v>
      </c>
      <c r="G129" s="1049">
        <v>0.23</v>
      </c>
      <c r="H129" s="1049">
        <v>2.4</v>
      </c>
      <c r="I129" s="1049">
        <f>-ROUND(C129*E129*F129*G129*H129,2)</f>
        <v>-1.38</v>
      </c>
      <c r="J129" s="1049"/>
      <c r="K129" s="1049"/>
      <c r="L129" s="1049"/>
      <c r="M129" s="1049"/>
    </row>
    <row r="130" spans="1:13">
      <c r="A130" s="1076"/>
      <c r="B130" s="1061" t="s">
        <v>980</v>
      </c>
      <c r="C130" s="1048">
        <v>1</v>
      </c>
      <c r="D130" s="1048" t="s">
        <v>1472</v>
      </c>
      <c r="E130" s="1048">
        <v>2</v>
      </c>
      <c r="F130" s="1049">
        <v>1.5</v>
      </c>
      <c r="G130" s="1049">
        <v>0.23</v>
      </c>
      <c r="H130" s="1049">
        <v>2.1</v>
      </c>
      <c r="I130" s="1049">
        <f>-ROUND(C130*E130*F130*G130*H130,2)</f>
        <v>-1.45</v>
      </c>
      <c r="J130" s="1049"/>
      <c r="K130" s="1049"/>
      <c r="L130" s="1049"/>
      <c r="M130" s="1049"/>
    </row>
    <row r="131" spans="1:13">
      <c r="A131" s="1076"/>
      <c r="B131" s="1061" t="s">
        <v>981</v>
      </c>
      <c r="C131" s="1048">
        <v>1</v>
      </c>
      <c r="D131" s="1048" t="s">
        <v>1472</v>
      </c>
      <c r="E131" s="1048">
        <v>2</v>
      </c>
      <c r="F131" s="1049">
        <v>0.9</v>
      </c>
      <c r="G131" s="1049">
        <v>0.23</v>
      </c>
      <c r="H131" s="1049">
        <v>2.1</v>
      </c>
      <c r="I131" s="1049">
        <f t="shared" ref="I131:I146" si="6">-ROUND(C131*E131*F131*G131*H131,2)</f>
        <v>-0.87</v>
      </c>
      <c r="J131" s="1049"/>
      <c r="K131" s="1049"/>
      <c r="L131" s="1049"/>
      <c r="M131" s="1049"/>
    </row>
    <row r="132" spans="1:13">
      <c r="A132" s="1076"/>
      <c r="B132" s="1061" t="s">
        <v>2117</v>
      </c>
      <c r="C132" s="1048">
        <v>1</v>
      </c>
      <c r="D132" s="1048" t="s">
        <v>1472</v>
      </c>
      <c r="E132" s="1048">
        <v>4</v>
      </c>
      <c r="F132" s="1049">
        <v>1.5</v>
      </c>
      <c r="G132" s="1049">
        <v>0.23</v>
      </c>
      <c r="H132" s="1049">
        <v>1.2</v>
      </c>
      <c r="I132" s="1049">
        <f t="shared" si="6"/>
        <v>-1.66</v>
      </c>
      <c r="J132" s="1049"/>
      <c r="K132" s="1049"/>
      <c r="L132" s="1049"/>
      <c r="M132" s="1049"/>
    </row>
    <row r="133" spans="1:13" ht="14.1">
      <c r="A133" s="1046"/>
      <c r="B133" s="1061" t="s">
        <v>2215</v>
      </c>
      <c r="C133" s="1048">
        <v>1</v>
      </c>
      <c r="D133" s="1048" t="s">
        <v>1472</v>
      </c>
      <c r="E133" s="1048">
        <v>6</v>
      </c>
      <c r="F133" s="1049">
        <f>11*0.3048</f>
        <v>3.3528000000000002</v>
      </c>
      <c r="G133" s="1049">
        <v>0.23</v>
      </c>
      <c r="H133" s="1049">
        <v>0.9</v>
      </c>
      <c r="I133" s="1049">
        <f>-ROUND(C133*E133*F133*G133*H133,2)</f>
        <v>-4.16</v>
      </c>
      <c r="J133" s="1049"/>
      <c r="K133" s="1049"/>
      <c r="L133" s="1049"/>
      <c r="M133" s="1049"/>
    </row>
    <row r="134" spans="1:13" ht="14.1">
      <c r="A134" s="1046"/>
      <c r="B134" s="1061" t="s">
        <v>2216</v>
      </c>
      <c r="C134" s="1048">
        <v>1</v>
      </c>
      <c r="D134" s="1048" t="s">
        <v>1472</v>
      </c>
      <c r="E134" s="1048">
        <v>2</v>
      </c>
      <c r="F134" s="1049">
        <v>2.4</v>
      </c>
      <c r="G134" s="1049">
        <v>0.23</v>
      </c>
      <c r="H134" s="1049">
        <v>2</v>
      </c>
      <c r="I134" s="1049">
        <f>-ROUND(C134*E134*F134*G134*H134,2)</f>
        <v>-2.21</v>
      </c>
      <c r="J134" s="1049"/>
      <c r="K134" s="1049"/>
      <c r="L134" s="1049"/>
      <c r="M134" s="1049"/>
    </row>
    <row r="135" spans="1:13" ht="14.1">
      <c r="A135" s="1046"/>
      <c r="B135" s="1060" t="s">
        <v>2121</v>
      </c>
      <c r="C135" s="1048"/>
      <c r="D135" s="1048"/>
      <c r="E135" s="1048"/>
      <c r="F135" s="1049"/>
      <c r="G135" s="1049"/>
      <c r="H135" s="1049"/>
      <c r="I135" s="1049"/>
      <c r="J135" s="1049"/>
      <c r="K135" s="1049"/>
      <c r="L135" s="1049"/>
      <c r="M135" s="1049"/>
    </row>
    <row r="136" spans="1:13" ht="14.1">
      <c r="A136" s="1046"/>
      <c r="B136" s="1051" t="s">
        <v>2170</v>
      </c>
      <c r="C136" s="1048">
        <v>1</v>
      </c>
      <c r="D136" s="1048" t="s">
        <v>1472</v>
      </c>
      <c r="E136" s="1048">
        <v>2</v>
      </c>
      <c r="F136" s="1049">
        <f>(60.75*0.3048)</f>
        <v>18.5166</v>
      </c>
      <c r="G136" s="1049">
        <v>0.23</v>
      </c>
      <c r="H136" s="1049">
        <v>0.3</v>
      </c>
      <c r="I136" s="1049">
        <f t="shared" si="6"/>
        <v>-2.56</v>
      </c>
      <c r="J136" s="1049"/>
      <c r="K136" s="1049"/>
      <c r="L136" s="1049"/>
      <c r="M136" s="1049"/>
    </row>
    <row r="137" spans="1:13" ht="14.1">
      <c r="A137" s="1046"/>
      <c r="B137" s="1051" t="s">
        <v>2171</v>
      </c>
      <c r="C137" s="1048">
        <v>1</v>
      </c>
      <c r="D137" s="1048" t="s">
        <v>1472</v>
      </c>
      <c r="E137" s="1048">
        <v>2</v>
      </c>
      <c r="F137" s="1049">
        <f>(60.75*0.3048)</f>
        <v>18.5166</v>
      </c>
      <c r="G137" s="1049">
        <v>0.23</v>
      </c>
      <c r="H137" s="1049">
        <v>0.3</v>
      </c>
      <c r="I137" s="1049">
        <f t="shared" si="6"/>
        <v>-2.56</v>
      </c>
      <c r="J137" s="1049"/>
      <c r="K137" s="1049"/>
      <c r="L137" s="1049"/>
      <c r="M137" s="1049"/>
    </row>
    <row r="138" spans="1:13" ht="14.1">
      <c r="A138" s="1046"/>
      <c r="B138" s="1051" t="s">
        <v>2110</v>
      </c>
      <c r="C138" s="1048">
        <v>1</v>
      </c>
      <c r="D138" s="1048" t="s">
        <v>1472</v>
      </c>
      <c r="E138" s="1048">
        <v>2</v>
      </c>
      <c r="F138" s="1049">
        <v>9</v>
      </c>
      <c r="G138" s="1049">
        <v>0.23</v>
      </c>
      <c r="H138" s="1049">
        <v>0.3</v>
      </c>
      <c r="I138" s="1049">
        <f t="shared" si="6"/>
        <v>-1.24</v>
      </c>
      <c r="J138" s="1049"/>
      <c r="K138" s="1049"/>
      <c r="L138" s="1049"/>
      <c r="M138" s="1049"/>
    </row>
    <row r="139" spans="1:13" ht="14.1">
      <c r="A139" s="1046"/>
      <c r="B139" s="1051" t="s">
        <v>2171</v>
      </c>
      <c r="C139" s="1048">
        <v>1</v>
      </c>
      <c r="D139" s="1048" t="s">
        <v>1472</v>
      </c>
      <c r="E139" s="1048">
        <v>2</v>
      </c>
      <c r="F139" s="1049">
        <v>9</v>
      </c>
      <c r="G139" s="1049">
        <v>0.23</v>
      </c>
      <c r="H139" s="1049">
        <v>0.3</v>
      </c>
      <c r="I139" s="1049">
        <f t="shared" si="6"/>
        <v>-1.24</v>
      </c>
      <c r="J139" s="1049"/>
      <c r="K139" s="1049"/>
      <c r="L139" s="1049"/>
      <c r="M139" s="1049"/>
    </row>
    <row r="140" spans="1:13" ht="14.1">
      <c r="A140" s="1046"/>
      <c r="B140" s="1061"/>
      <c r="C140" s="1048"/>
      <c r="D140" s="1048"/>
      <c r="E140" s="1048"/>
      <c r="F140" s="1049"/>
      <c r="G140" s="1049"/>
      <c r="H140" s="1049"/>
      <c r="I140" s="1049"/>
      <c r="J140" s="1049"/>
      <c r="K140" s="1049"/>
      <c r="L140" s="1049"/>
      <c r="M140" s="1049"/>
    </row>
    <row r="141" spans="1:13" ht="14.1">
      <c r="A141" s="1046"/>
      <c r="B141" s="1060" t="s">
        <v>2118</v>
      </c>
      <c r="C141" s="1048"/>
      <c r="D141" s="1048"/>
      <c r="E141" s="1048"/>
      <c r="F141" s="1049"/>
      <c r="G141" s="1049"/>
      <c r="H141" s="1049"/>
      <c r="I141" s="1049"/>
      <c r="J141" s="1049"/>
      <c r="K141" s="1049"/>
      <c r="L141" s="1049"/>
      <c r="M141" s="1049"/>
    </row>
    <row r="142" spans="1:13">
      <c r="A142" s="1048"/>
      <c r="B142" s="1061" t="s">
        <v>2209</v>
      </c>
      <c r="C142" s="1048">
        <v>1</v>
      </c>
      <c r="D142" s="1048" t="s">
        <v>1472</v>
      </c>
      <c r="E142" s="1048">
        <v>1</v>
      </c>
      <c r="F142" s="1049">
        <v>1.6</v>
      </c>
      <c r="G142" s="1049">
        <v>0.23</v>
      </c>
      <c r="H142" s="1049">
        <v>0.1</v>
      </c>
      <c r="I142" s="1049">
        <f t="shared" si="6"/>
        <v>-0.04</v>
      </c>
      <c r="J142" s="1049"/>
      <c r="K142" s="1049"/>
      <c r="L142" s="1049"/>
      <c r="M142" s="1049"/>
    </row>
    <row r="143" spans="1:13">
      <c r="A143" s="1048"/>
      <c r="B143" s="1061"/>
      <c r="C143" s="1048"/>
      <c r="D143" s="1048"/>
      <c r="E143" s="1048"/>
      <c r="F143" s="1049"/>
      <c r="G143" s="1049"/>
      <c r="H143" s="1049"/>
      <c r="I143" s="1049"/>
      <c r="J143" s="1049"/>
      <c r="K143" s="1049"/>
      <c r="L143" s="1049"/>
      <c r="M143" s="1049"/>
    </row>
    <row r="144" spans="1:13" ht="14.1">
      <c r="A144" s="1048"/>
      <c r="B144" s="1060" t="s">
        <v>38</v>
      </c>
      <c r="C144" s="1048"/>
      <c r="D144" s="1048"/>
      <c r="E144" s="1048"/>
      <c r="F144" s="1049"/>
      <c r="G144" s="1049"/>
      <c r="H144" s="1049"/>
      <c r="I144" s="1049"/>
      <c r="J144" s="1049"/>
      <c r="K144" s="1049"/>
      <c r="L144" s="1049"/>
      <c r="M144" s="1049"/>
    </row>
    <row r="145" spans="1:13">
      <c r="A145" s="1048"/>
      <c r="B145" s="1061" t="s">
        <v>2113</v>
      </c>
      <c r="C145" s="1048">
        <v>4</v>
      </c>
      <c r="D145" s="1048" t="s">
        <v>1472</v>
      </c>
      <c r="E145" s="1048">
        <v>7</v>
      </c>
      <c r="F145" s="1049">
        <v>0.23</v>
      </c>
      <c r="G145" s="1049">
        <v>0.2</v>
      </c>
      <c r="H145" s="1049">
        <v>0.15</v>
      </c>
      <c r="I145" s="1049">
        <f t="shared" si="6"/>
        <v>-0.19</v>
      </c>
      <c r="J145" s="1049"/>
      <c r="K145" s="1049"/>
      <c r="L145" s="1049"/>
      <c r="M145" s="1049"/>
    </row>
    <row r="146" spans="1:13">
      <c r="A146" s="1048"/>
      <c r="B146" s="1061" t="s">
        <v>2114</v>
      </c>
      <c r="C146" s="1048">
        <v>4</v>
      </c>
      <c r="D146" s="1048" t="s">
        <v>1472</v>
      </c>
      <c r="E146" s="1048">
        <v>4</v>
      </c>
      <c r="F146" s="1049">
        <v>0.23</v>
      </c>
      <c r="G146" s="1049">
        <v>0.2</v>
      </c>
      <c r="H146" s="1049">
        <v>0.15</v>
      </c>
      <c r="I146" s="1049">
        <f t="shared" si="6"/>
        <v>-0.11</v>
      </c>
      <c r="J146" s="1049"/>
      <c r="K146" s="1049"/>
      <c r="L146" s="1049"/>
      <c r="M146" s="1049"/>
    </row>
    <row r="147" spans="1:13">
      <c r="A147" s="1048"/>
      <c r="B147" s="1061"/>
      <c r="C147" s="1048"/>
      <c r="D147" s="1048"/>
      <c r="E147" s="1048"/>
      <c r="F147" s="1049"/>
      <c r="G147" s="1049"/>
      <c r="H147" s="1049"/>
      <c r="I147" s="1049"/>
      <c r="J147" s="1049"/>
      <c r="K147" s="1049"/>
      <c r="L147" s="1049"/>
      <c r="M147" s="1049"/>
    </row>
    <row r="148" spans="1:13" ht="14.1">
      <c r="A148" s="1048"/>
      <c r="B148" s="1060" t="s">
        <v>2124</v>
      </c>
      <c r="C148" s="1048"/>
      <c r="D148" s="1048"/>
      <c r="E148" s="1048"/>
      <c r="F148" s="1049"/>
      <c r="G148" s="1049"/>
      <c r="H148" s="1049"/>
      <c r="I148" s="1049"/>
      <c r="J148" s="1049"/>
      <c r="K148" s="1049"/>
      <c r="L148" s="1049"/>
      <c r="M148" s="1049"/>
    </row>
    <row r="149" spans="1:13" ht="14.1">
      <c r="A149" s="1046"/>
      <c r="B149" s="1050" t="s">
        <v>2093</v>
      </c>
      <c r="C149" s="1048">
        <v>1</v>
      </c>
      <c r="D149" s="1048" t="s">
        <v>1472</v>
      </c>
      <c r="E149" s="1048">
        <v>2</v>
      </c>
      <c r="F149" s="1049">
        <f>12*0.3048</f>
        <v>3.6576000000000004</v>
      </c>
      <c r="G149" s="1049">
        <v>0.23</v>
      </c>
      <c r="H149" s="1049">
        <v>2.9</v>
      </c>
      <c r="I149" s="1049">
        <f>ROUND(C149*E149*F149*G149*H149,2)</f>
        <v>4.88</v>
      </c>
      <c r="J149" s="1049"/>
      <c r="K149" s="1049"/>
      <c r="L149" s="1049"/>
      <c r="M149" s="1049"/>
    </row>
    <row r="150" spans="1:13" ht="14.1">
      <c r="A150" s="1046"/>
      <c r="B150" s="1050" t="s">
        <v>2094</v>
      </c>
      <c r="C150" s="1048">
        <v>1</v>
      </c>
      <c r="D150" s="1048" t="s">
        <v>1472</v>
      </c>
      <c r="E150" s="1048">
        <v>2</v>
      </c>
      <c r="F150" s="1049">
        <f>11.5*0.3048</f>
        <v>3.5052000000000003</v>
      </c>
      <c r="G150" s="1049">
        <v>0.23</v>
      </c>
      <c r="H150" s="1049">
        <v>2.9</v>
      </c>
      <c r="I150" s="1049">
        <f>ROUND(C150*E150*F150*G150*H150,2)</f>
        <v>4.68</v>
      </c>
      <c r="J150" s="1049"/>
      <c r="K150" s="1049"/>
      <c r="L150" s="1049"/>
      <c r="M150" s="1049"/>
    </row>
    <row r="151" spans="1:13">
      <c r="A151" s="1048"/>
      <c r="B151" s="1061" t="s">
        <v>2125</v>
      </c>
      <c r="C151" s="1048">
        <v>1</v>
      </c>
      <c r="D151" s="1048" t="s">
        <v>1472</v>
      </c>
      <c r="E151" s="1048">
        <v>1</v>
      </c>
      <c r="F151" s="1049">
        <f>10.5*0.3048</f>
        <v>3.2004000000000001</v>
      </c>
      <c r="G151" s="1049">
        <v>0.115</v>
      </c>
      <c r="H151" s="1049">
        <v>2.1</v>
      </c>
      <c r="I151" s="1049">
        <f>ROUND(C151*E151*F151*G151*H151,2)</f>
        <v>0.77</v>
      </c>
      <c r="J151" s="1049"/>
      <c r="K151" s="1049"/>
      <c r="L151" s="1049"/>
      <c r="M151" s="1049"/>
    </row>
    <row r="152" spans="1:13">
      <c r="A152" s="1048"/>
      <c r="B152" s="1061" t="s">
        <v>2125</v>
      </c>
      <c r="C152" s="1048">
        <v>1</v>
      </c>
      <c r="D152" s="1048" t="s">
        <v>1472</v>
      </c>
      <c r="E152" s="1048">
        <v>1</v>
      </c>
      <c r="F152" s="1049">
        <f>11.25*0.3048</f>
        <v>3.4290000000000003</v>
      </c>
      <c r="G152" s="1049">
        <v>0.115</v>
      </c>
      <c r="H152" s="1049">
        <v>2.1</v>
      </c>
      <c r="I152" s="1049">
        <f>ROUND(C152*E152*F152*G152*H152,2)</f>
        <v>0.83</v>
      </c>
      <c r="J152" s="1049"/>
      <c r="K152" s="1049"/>
      <c r="L152" s="1049"/>
      <c r="M152" s="1049"/>
    </row>
    <row r="153" spans="1:13" ht="14.1">
      <c r="A153" s="1048"/>
      <c r="B153" s="1060" t="s">
        <v>675</v>
      </c>
      <c r="C153" s="1048"/>
      <c r="D153" s="1048"/>
      <c r="E153" s="1048"/>
      <c r="F153" s="1049"/>
      <c r="G153" s="1049"/>
      <c r="H153" s="1049"/>
      <c r="I153" s="1049"/>
      <c r="J153" s="1049"/>
      <c r="K153" s="1049"/>
      <c r="L153" s="1049"/>
      <c r="M153" s="1049"/>
    </row>
    <row r="154" spans="1:13">
      <c r="A154" s="1048"/>
      <c r="B154" s="1061" t="s">
        <v>2126</v>
      </c>
      <c r="C154" s="1048">
        <v>1</v>
      </c>
      <c r="D154" s="1048" t="s">
        <v>1472</v>
      </c>
      <c r="E154" s="1048">
        <v>2</v>
      </c>
      <c r="F154" s="1049">
        <v>0.9</v>
      </c>
      <c r="G154" s="1049">
        <v>0.23</v>
      </c>
      <c r="H154" s="1049">
        <v>2.1</v>
      </c>
      <c r="I154" s="1049">
        <f>-ROUND(C154*E154*F154*G154*H154,2)</f>
        <v>-0.87</v>
      </c>
      <c r="J154" s="1049"/>
      <c r="K154" s="1049"/>
      <c r="L154" s="1049"/>
      <c r="M154" s="1049"/>
    </row>
    <row r="155" spans="1:13">
      <c r="A155" s="1048"/>
      <c r="B155" s="1061" t="s">
        <v>980</v>
      </c>
      <c r="C155" s="1048">
        <v>1</v>
      </c>
      <c r="D155" s="1048" t="s">
        <v>1472</v>
      </c>
      <c r="E155" s="1048">
        <v>2</v>
      </c>
      <c r="F155" s="1049">
        <v>0.75</v>
      </c>
      <c r="G155" s="1049">
        <v>0.115</v>
      </c>
      <c r="H155" s="1049">
        <v>2.1</v>
      </c>
      <c r="I155" s="1049">
        <f>-ROUND(C155*E155*F155*G155*H155,2)</f>
        <v>-0.36</v>
      </c>
      <c r="J155" s="1049"/>
      <c r="K155" s="1049"/>
      <c r="L155" s="1049"/>
      <c r="M155" s="1049"/>
    </row>
    <row r="156" spans="1:13" ht="14.1">
      <c r="A156" s="1046"/>
      <c r="B156" s="1060" t="s">
        <v>2118</v>
      </c>
      <c r="C156" s="1048"/>
      <c r="D156" s="1048"/>
      <c r="E156" s="1048"/>
      <c r="F156" s="1049"/>
      <c r="G156" s="1049"/>
      <c r="H156" s="1049"/>
      <c r="I156" s="1049"/>
      <c r="J156" s="1049"/>
      <c r="K156" s="1049"/>
      <c r="L156" s="1049"/>
      <c r="M156" s="1049"/>
    </row>
    <row r="157" spans="1:13">
      <c r="A157" s="1048"/>
      <c r="B157" s="1061" t="s">
        <v>2217</v>
      </c>
      <c r="C157" s="1048">
        <v>1</v>
      </c>
      <c r="D157" s="1048" t="s">
        <v>1472</v>
      </c>
      <c r="E157" s="1048">
        <v>2</v>
      </c>
      <c r="F157" s="1049">
        <v>1.05</v>
      </c>
      <c r="G157" s="1049">
        <v>0.115</v>
      </c>
      <c r="H157" s="1049">
        <v>0.15</v>
      </c>
      <c r="I157" s="1049">
        <f>-ROUND(C157*E157*F157*G157*H157,2)</f>
        <v>-0.04</v>
      </c>
      <c r="J157" s="1049"/>
      <c r="K157" s="1049"/>
      <c r="L157" s="1049"/>
      <c r="M157" s="1049"/>
    </row>
    <row r="158" spans="1:13">
      <c r="A158" s="1048"/>
      <c r="B158" s="1061" t="s">
        <v>2210</v>
      </c>
      <c r="C158" s="1048">
        <v>1</v>
      </c>
      <c r="D158" s="1048" t="s">
        <v>1472</v>
      </c>
      <c r="E158" s="1048">
        <v>2</v>
      </c>
      <c r="F158" s="1049">
        <v>1.05</v>
      </c>
      <c r="G158" s="1049">
        <v>0.115</v>
      </c>
      <c r="H158" s="1049">
        <v>0.1</v>
      </c>
      <c r="I158" s="1049">
        <f t="shared" ref="I158:I163" si="7">-ROUND(C158*E158*F158*G158*H158,2)</f>
        <v>-0.02</v>
      </c>
      <c r="J158" s="1049"/>
      <c r="K158" s="1049"/>
      <c r="L158" s="1049"/>
      <c r="M158" s="1049"/>
    </row>
    <row r="159" spans="1:13">
      <c r="A159" s="1048"/>
      <c r="B159" s="1061" t="s">
        <v>2112</v>
      </c>
      <c r="C159" s="1048">
        <v>1</v>
      </c>
      <c r="D159" s="1048" t="s">
        <v>1472</v>
      </c>
      <c r="E159" s="1048">
        <v>2</v>
      </c>
      <c r="F159" s="1049">
        <v>1.8</v>
      </c>
      <c r="G159" s="1049">
        <v>0.23</v>
      </c>
      <c r="H159" s="1049">
        <v>0.15</v>
      </c>
      <c r="I159" s="1049">
        <f t="shared" si="7"/>
        <v>-0.12</v>
      </c>
      <c r="J159" s="1049"/>
      <c r="K159" s="1049"/>
      <c r="L159" s="1049"/>
      <c r="M159" s="1049"/>
    </row>
    <row r="160" spans="1:13" ht="14.1">
      <c r="A160" s="1048"/>
      <c r="B160" s="1060" t="s">
        <v>38</v>
      </c>
      <c r="C160" s="1048"/>
      <c r="D160" s="1048"/>
      <c r="E160" s="1048"/>
      <c r="F160" s="1049"/>
      <c r="G160" s="1049"/>
      <c r="H160" s="1049"/>
      <c r="I160" s="1049"/>
      <c r="J160" s="1049"/>
      <c r="K160" s="1049"/>
      <c r="L160" s="1049"/>
      <c r="M160" s="1049"/>
    </row>
    <row r="161" spans="1:13">
      <c r="A161" s="1048"/>
      <c r="B161" s="1061" t="s">
        <v>2213</v>
      </c>
      <c r="C161" s="1048">
        <v>4</v>
      </c>
      <c r="D161" s="1048" t="s">
        <v>1472</v>
      </c>
      <c r="E161" s="1048">
        <v>7</v>
      </c>
      <c r="F161" s="1049">
        <v>0.23</v>
      </c>
      <c r="G161" s="1049">
        <v>0.2</v>
      </c>
      <c r="H161" s="1049">
        <v>0.15</v>
      </c>
      <c r="I161" s="1049">
        <f t="shared" si="7"/>
        <v>-0.19</v>
      </c>
      <c r="J161" s="1049"/>
      <c r="K161" s="1049"/>
      <c r="L161" s="1049"/>
      <c r="M161" s="1049"/>
    </row>
    <row r="162" spans="1:13">
      <c r="A162" s="1048"/>
      <c r="B162" s="1061" t="s">
        <v>2212</v>
      </c>
      <c r="C162" s="1048">
        <v>4</v>
      </c>
      <c r="D162" s="1048" t="s">
        <v>1472</v>
      </c>
      <c r="E162" s="1048">
        <v>2</v>
      </c>
      <c r="F162" s="1049">
        <v>0.23</v>
      </c>
      <c r="G162" s="1049">
        <v>0.2</v>
      </c>
      <c r="H162" s="1049">
        <v>0.15</v>
      </c>
      <c r="I162" s="1049">
        <f t="shared" si="7"/>
        <v>-0.06</v>
      </c>
      <c r="J162" s="1049"/>
      <c r="K162" s="1049"/>
      <c r="L162" s="1049"/>
      <c r="M162" s="1049"/>
    </row>
    <row r="163" spans="1:13">
      <c r="A163" s="1048"/>
      <c r="B163" s="1061" t="s">
        <v>2114</v>
      </c>
      <c r="C163" s="1048">
        <v>4</v>
      </c>
      <c r="D163" s="1048" t="s">
        <v>1472</v>
      </c>
      <c r="E163" s="1048">
        <v>4</v>
      </c>
      <c r="F163" s="1049">
        <v>0.23</v>
      </c>
      <c r="G163" s="1049">
        <v>0.2</v>
      </c>
      <c r="H163" s="1049">
        <v>0.15</v>
      </c>
      <c r="I163" s="1049">
        <f t="shared" si="7"/>
        <v>-0.11</v>
      </c>
      <c r="J163" s="1049"/>
      <c r="K163" s="1049"/>
      <c r="L163" s="1049"/>
      <c r="M163" s="1049"/>
    </row>
    <row r="164" spans="1:13">
      <c r="A164" s="1048"/>
      <c r="B164" s="1061"/>
      <c r="C164" s="1048"/>
      <c r="D164" s="1048"/>
      <c r="E164" s="1048"/>
      <c r="F164" s="1049"/>
      <c r="G164" s="1049"/>
      <c r="H164" s="1049"/>
      <c r="I164" s="1049"/>
      <c r="J164" s="1049"/>
      <c r="K164" s="1049"/>
      <c r="L164" s="1049"/>
      <c r="M164" s="1049"/>
    </row>
    <row r="165" spans="1:13" ht="14.1">
      <c r="A165" s="1046"/>
      <c r="B165" s="1061" t="s">
        <v>84</v>
      </c>
      <c r="C165" s="1048"/>
      <c r="D165" s="1048"/>
      <c r="E165" s="1048"/>
      <c r="F165" s="1049"/>
      <c r="G165" s="1049"/>
      <c r="H165" s="1049"/>
      <c r="I165" s="1053">
        <f>SUM(I125:I164)</f>
        <v>42.860000000000007</v>
      </c>
      <c r="J165" s="1049"/>
      <c r="K165" s="1049"/>
      <c r="L165" s="1049"/>
      <c r="M165" s="1049"/>
    </row>
    <row r="166" spans="1:13" ht="14.1">
      <c r="A166" s="1046"/>
      <c r="B166" s="2432"/>
      <c r="C166" s="2433"/>
      <c r="D166" s="2433"/>
      <c r="E166" s="2433"/>
      <c r="F166" s="2433"/>
      <c r="G166" s="2433"/>
      <c r="H166" s="2434"/>
      <c r="I166" s="1052">
        <f>I165</f>
        <v>42.860000000000007</v>
      </c>
      <c r="J166" s="1049">
        <f>Datas!$E$632</f>
        <v>6936.09</v>
      </c>
      <c r="K166" s="1053">
        <f>ROUND(J166*I166,0)</f>
        <v>297281</v>
      </c>
      <c r="L166" s="1049">
        <f>0.2*90+0.512*60</f>
        <v>48.72</v>
      </c>
      <c r="M166" s="1055">
        <f>L166*I166</f>
        <v>2088.1392000000001</v>
      </c>
    </row>
    <row r="167" spans="1:13" ht="14.1">
      <c r="A167" s="1046"/>
      <c r="B167" s="1061"/>
      <c r="C167" s="1048"/>
      <c r="D167" s="1048"/>
      <c r="E167" s="1048"/>
      <c r="F167" s="1049"/>
      <c r="G167" s="1049"/>
      <c r="H167" s="1049"/>
      <c r="I167" s="1053" t="s">
        <v>656</v>
      </c>
      <c r="J167" s="1053" t="s">
        <v>658</v>
      </c>
      <c r="K167" s="1053"/>
      <c r="L167" s="1049"/>
      <c r="M167" s="1049"/>
    </row>
    <row r="168" spans="1:13" ht="79.5" customHeight="1">
      <c r="A168" s="1046">
        <v>10</v>
      </c>
      <c r="B168" s="2415" t="s">
        <v>2304</v>
      </c>
      <c r="C168" s="2426"/>
      <c r="D168" s="2426"/>
      <c r="E168" s="2426"/>
      <c r="F168" s="2426"/>
      <c r="G168" s="2426"/>
      <c r="H168" s="2426"/>
      <c r="I168" s="2427"/>
      <c r="J168" s="1049"/>
      <c r="K168" s="1049"/>
      <c r="L168" s="1049"/>
      <c r="M168" s="1049"/>
    </row>
    <row r="169" spans="1:13" ht="14.1">
      <c r="A169" s="1041"/>
      <c r="B169" s="1043" t="s">
        <v>39</v>
      </c>
      <c r="C169" s="1043"/>
      <c r="D169" s="1043"/>
      <c r="E169" s="1043"/>
      <c r="F169" s="1044"/>
      <c r="G169" s="1044"/>
      <c r="H169" s="1044"/>
      <c r="I169" s="1044"/>
      <c r="J169" s="1045"/>
      <c r="K169" s="1045"/>
      <c r="L169" s="1045"/>
      <c r="M169" s="1045"/>
    </row>
    <row r="170" spans="1:13" ht="14.1">
      <c r="A170" s="1046"/>
      <c r="B170" s="1047" t="s">
        <v>2004</v>
      </c>
      <c r="C170" s="1048">
        <v>2</v>
      </c>
      <c r="D170" s="1048" t="s">
        <v>1472</v>
      </c>
      <c r="E170" s="1048">
        <v>6</v>
      </c>
      <c r="F170" s="1049">
        <v>1.8</v>
      </c>
      <c r="G170" s="1049">
        <v>1.8</v>
      </c>
      <c r="H170" s="1049">
        <v>1.65</v>
      </c>
      <c r="I170" s="1049">
        <f t="shared" ref="I170:I179" si="8">ROUND(C170*E170*F170*G170*H170,2)</f>
        <v>64.150000000000006</v>
      </c>
      <c r="J170" s="1049"/>
      <c r="K170" s="1049"/>
      <c r="L170" s="1049"/>
      <c r="M170" s="1049"/>
    </row>
    <row r="171" spans="1:13" ht="27.6">
      <c r="A171" s="1046"/>
      <c r="B171" s="1050" t="s">
        <v>2090</v>
      </c>
      <c r="C171" s="1048">
        <v>1</v>
      </c>
      <c r="D171" s="1048" t="s">
        <v>1472</v>
      </c>
      <c r="E171" s="1048">
        <v>2</v>
      </c>
      <c r="F171" s="1049">
        <f>60.75*0.3048</f>
        <v>18.5166</v>
      </c>
      <c r="G171" s="1049">
        <v>0.6</v>
      </c>
      <c r="H171" s="1049">
        <v>0.6</v>
      </c>
      <c r="I171" s="1049">
        <f t="shared" si="8"/>
        <v>13.33</v>
      </c>
      <c r="J171" s="1049"/>
      <c r="K171" s="1049"/>
      <c r="L171" s="1049"/>
      <c r="M171" s="1049"/>
    </row>
    <row r="172" spans="1:13" ht="27.6">
      <c r="A172" s="1046"/>
      <c r="B172" s="1050" t="s">
        <v>2091</v>
      </c>
      <c r="C172" s="1048">
        <v>1</v>
      </c>
      <c r="D172" s="1048" t="s">
        <v>1472</v>
      </c>
      <c r="E172" s="1048">
        <v>2</v>
      </c>
      <c r="F172" s="1049">
        <f>31.5*0.3048</f>
        <v>9.6012000000000004</v>
      </c>
      <c r="G172" s="1049">
        <v>0.6</v>
      </c>
      <c r="H172" s="1049">
        <v>0.6</v>
      </c>
      <c r="I172" s="1049">
        <f t="shared" si="8"/>
        <v>6.91</v>
      </c>
      <c r="J172" s="1049"/>
      <c r="K172" s="1049"/>
      <c r="L172" s="1049"/>
      <c r="M172" s="1049"/>
    </row>
    <row r="173" spans="1:13" ht="14.1">
      <c r="A173" s="1046"/>
      <c r="B173" s="1050" t="s">
        <v>2092</v>
      </c>
      <c r="C173" s="1048">
        <v>2</v>
      </c>
      <c r="D173" s="1048" t="s">
        <v>1472</v>
      </c>
      <c r="E173" s="1048">
        <v>2</v>
      </c>
      <c r="F173" s="1049">
        <v>2.4</v>
      </c>
      <c r="G173" s="1049">
        <v>0.6</v>
      </c>
      <c r="H173" s="1049">
        <v>0.6</v>
      </c>
      <c r="I173" s="1049">
        <f t="shared" si="8"/>
        <v>3.46</v>
      </c>
      <c r="J173" s="1049"/>
      <c r="K173" s="1049"/>
      <c r="L173" s="1049"/>
      <c r="M173" s="1049"/>
    </row>
    <row r="174" spans="1:13" ht="14.1">
      <c r="A174" s="1046"/>
      <c r="B174" s="1050" t="s">
        <v>2093</v>
      </c>
      <c r="C174" s="1048">
        <v>2</v>
      </c>
      <c r="D174" s="1048" t="s">
        <v>1472</v>
      </c>
      <c r="E174" s="1048">
        <v>2</v>
      </c>
      <c r="F174" s="1049">
        <v>4.1500000000000004</v>
      </c>
      <c r="G174" s="1049">
        <v>0.6</v>
      </c>
      <c r="H174" s="1049">
        <v>0.6</v>
      </c>
      <c r="I174" s="1049">
        <f t="shared" si="8"/>
        <v>5.98</v>
      </c>
      <c r="J174" s="1049"/>
      <c r="K174" s="1049"/>
      <c r="L174" s="1049"/>
      <c r="M174" s="1049"/>
    </row>
    <row r="175" spans="1:13" ht="14.1">
      <c r="A175" s="1046"/>
      <c r="B175" s="1050" t="s">
        <v>2094</v>
      </c>
      <c r="C175" s="1048">
        <v>2</v>
      </c>
      <c r="D175" s="1048" t="s">
        <v>1472</v>
      </c>
      <c r="E175" s="1048">
        <v>2</v>
      </c>
      <c r="F175" s="1049">
        <v>4</v>
      </c>
      <c r="G175" s="1049">
        <v>0.6</v>
      </c>
      <c r="H175" s="1049">
        <v>0.6</v>
      </c>
      <c r="I175" s="1049">
        <f t="shared" si="8"/>
        <v>5.76</v>
      </c>
      <c r="J175" s="1049"/>
      <c r="K175" s="1049"/>
      <c r="L175" s="1049"/>
      <c r="M175" s="1049"/>
    </row>
    <row r="176" spans="1:13" ht="27.6">
      <c r="A176" s="1046"/>
      <c r="B176" s="1050" t="s">
        <v>2095</v>
      </c>
      <c r="C176" s="1048">
        <v>1</v>
      </c>
      <c r="D176" s="1048" t="s">
        <v>1472</v>
      </c>
      <c r="E176" s="1048">
        <v>2</v>
      </c>
      <c r="F176" s="1049">
        <v>1.8</v>
      </c>
      <c r="G176" s="1049">
        <v>0.6</v>
      </c>
      <c r="H176" s="1049">
        <v>0.6</v>
      </c>
      <c r="I176" s="1049">
        <f t="shared" si="8"/>
        <v>1.3</v>
      </c>
      <c r="J176" s="1049"/>
      <c r="K176" s="1049"/>
      <c r="L176" s="1049"/>
      <c r="M176" s="1049"/>
    </row>
    <row r="177" spans="1:14" ht="14.1">
      <c r="A177" s="1046"/>
      <c r="B177" s="1051" t="s">
        <v>2096</v>
      </c>
      <c r="C177" s="1048">
        <v>1</v>
      </c>
      <c r="D177" s="1048" t="s">
        <v>1472</v>
      </c>
      <c r="E177" s="1048">
        <v>1</v>
      </c>
      <c r="F177" s="1049">
        <f>(31.5-6-4)*0.3048</f>
        <v>6.5532000000000004</v>
      </c>
      <c r="G177" s="1049">
        <v>0.6</v>
      </c>
      <c r="H177" s="1049">
        <v>0.3</v>
      </c>
      <c r="I177" s="1049">
        <f t="shared" si="8"/>
        <v>1.18</v>
      </c>
      <c r="J177" s="1049"/>
      <c r="K177" s="1049"/>
      <c r="L177" s="1049"/>
      <c r="M177" s="1049"/>
    </row>
    <row r="178" spans="1:14" ht="14.1">
      <c r="A178" s="1046"/>
      <c r="B178" s="1051" t="s">
        <v>2097</v>
      </c>
      <c r="C178" s="1048">
        <v>1</v>
      </c>
      <c r="D178" s="1048" t="s">
        <v>1472</v>
      </c>
      <c r="E178" s="1048">
        <v>2</v>
      </c>
      <c r="F178" s="1049">
        <v>3</v>
      </c>
      <c r="G178" s="1049">
        <v>0.6</v>
      </c>
      <c r="H178" s="1049">
        <v>0.3</v>
      </c>
      <c r="I178" s="1049">
        <f t="shared" si="8"/>
        <v>1.08</v>
      </c>
      <c r="J178" s="1049"/>
      <c r="K178" s="1049"/>
      <c r="L178" s="1049"/>
      <c r="M178" s="1049"/>
    </row>
    <row r="179" spans="1:14" ht="14.1">
      <c r="A179" s="1046"/>
      <c r="B179" s="1047" t="s">
        <v>2122</v>
      </c>
      <c r="C179" s="1048">
        <v>1</v>
      </c>
      <c r="D179" s="1048" t="s">
        <v>1472</v>
      </c>
      <c r="E179" s="1048">
        <v>1</v>
      </c>
      <c r="F179" s="1049">
        <f>60.75*0.3048</f>
        <v>18.5166</v>
      </c>
      <c r="G179" s="1049">
        <f>31.5*0.3048</f>
        <v>9.6012000000000004</v>
      </c>
      <c r="H179" s="1049">
        <v>0.6</v>
      </c>
      <c r="I179" s="1049">
        <f t="shared" si="8"/>
        <v>106.67</v>
      </c>
      <c r="J179" s="1049"/>
      <c r="K179" s="1049"/>
      <c r="L179" s="1049"/>
      <c r="M179" s="1049"/>
    </row>
    <row r="180" spans="1:14" ht="14.1">
      <c r="A180" s="1046"/>
      <c r="B180" s="2423" t="s">
        <v>2063</v>
      </c>
      <c r="C180" s="2424"/>
      <c r="D180" s="2424"/>
      <c r="E180" s="2424"/>
      <c r="F180" s="2424"/>
      <c r="G180" s="2424"/>
      <c r="H180" s="2425"/>
      <c r="I180" s="1053">
        <f>I179</f>
        <v>106.67</v>
      </c>
      <c r="J180" s="1049">
        <v>25.6</v>
      </c>
      <c r="K180" s="1054">
        <f>ROUND(J180*I180,0)</f>
        <v>2731</v>
      </c>
      <c r="L180" s="1049">
        <v>30</v>
      </c>
      <c r="M180" s="1055">
        <f>L180*I180</f>
        <v>3200.1</v>
      </c>
      <c r="N180" s="1069">
        <v>1</v>
      </c>
    </row>
    <row r="181" spans="1:14" ht="14.1">
      <c r="A181" s="1046"/>
      <c r="B181" s="1061"/>
      <c r="C181" s="1048"/>
      <c r="D181" s="1048"/>
      <c r="E181" s="1048"/>
      <c r="F181" s="1049"/>
      <c r="G181" s="1049"/>
      <c r="H181" s="1049"/>
      <c r="I181" s="1053"/>
      <c r="J181" s="1053" t="s">
        <v>658</v>
      </c>
      <c r="K181" s="1053"/>
      <c r="L181" s="1049"/>
      <c r="M181" s="1049"/>
    </row>
    <row r="182" spans="1:14" ht="93" customHeight="1">
      <c r="A182" s="1046">
        <v>11</v>
      </c>
      <c r="B182" s="2415" t="s">
        <v>2303</v>
      </c>
      <c r="C182" s="2426"/>
      <c r="D182" s="2426"/>
      <c r="E182" s="2426"/>
      <c r="F182" s="2426"/>
      <c r="G182" s="2426"/>
      <c r="H182" s="2426"/>
      <c r="I182" s="2427"/>
      <c r="J182" s="1049"/>
      <c r="K182" s="1049"/>
      <c r="L182" s="1049"/>
      <c r="M182" s="1049"/>
    </row>
    <row r="183" spans="1:14" ht="14.1">
      <c r="A183" s="1046"/>
      <c r="B183" s="1047" t="s">
        <v>2004</v>
      </c>
      <c r="C183" s="1048">
        <v>2</v>
      </c>
      <c r="D183" s="1048" t="s">
        <v>1472</v>
      </c>
      <c r="E183" s="1048">
        <v>6</v>
      </c>
      <c r="F183" s="1049">
        <v>1.8</v>
      </c>
      <c r="G183" s="1049">
        <v>1.8</v>
      </c>
      <c r="H183" s="1049">
        <v>1.65</v>
      </c>
      <c r="I183" s="1049">
        <f t="shared" ref="I183:I191" si="9">ROUND(C183*E183*F183*G183*H183,2)</f>
        <v>64.150000000000006</v>
      </c>
      <c r="J183" s="1049"/>
      <c r="K183" s="1049"/>
      <c r="L183" s="1049"/>
      <c r="M183" s="1049"/>
    </row>
    <row r="184" spans="1:14" ht="27.6">
      <c r="A184" s="1046"/>
      <c r="B184" s="1050" t="s">
        <v>2090</v>
      </c>
      <c r="C184" s="1048">
        <v>1</v>
      </c>
      <c r="D184" s="1048" t="s">
        <v>1472</v>
      </c>
      <c r="E184" s="1048">
        <v>2</v>
      </c>
      <c r="F184" s="1049">
        <f>60.75*0.3048</f>
        <v>18.5166</v>
      </c>
      <c r="G184" s="1049">
        <v>0.6</v>
      </c>
      <c r="H184" s="1049">
        <v>0.6</v>
      </c>
      <c r="I184" s="1049">
        <f t="shared" si="9"/>
        <v>13.33</v>
      </c>
      <c r="J184" s="1049"/>
      <c r="K184" s="1049"/>
      <c r="L184" s="1049"/>
      <c r="M184" s="1049"/>
    </row>
    <row r="185" spans="1:14" ht="27.6">
      <c r="A185" s="1046"/>
      <c r="B185" s="1050" t="s">
        <v>2091</v>
      </c>
      <c r="C185" s="1048">
        <v>1</v>
      </c>
      <c r="D185" s="1048" t="s">
        <v>1472</v>
      </c>
      <c r="E185" s="1048">
        <v>2</v>
      </c>
      <c r="F185" s="1049">
        <f>31.5*0.3048</f>
        <v>9.6012000000000004</v>
      </c>
      <c r="G185" s="1049">
        <v>0.6</v>
      </c>
      <c r="H185" s="1049">
        <v>0.6</v>
      </c>
      <c r="I185" s="1049">
        <f t="shared" si="9"/>
        <v>6.91</v>
      </c>
      <c r="J185" s="1049"/>
      <c r="K185" s="1049"/>
      <c r="L185" s="1049"/>
      <c r="M185" s="1049"/>
    </row>
    <row r="186" spans="1:14" ht="14.1">
      <c r="A186" s="1046"/>
      <c r="B186" s="1050" t="s">
        <v>2092</v>
      </c>
      <c r="C186" s="1048">
        <v>2</v>
      </c>
      <c r="D186" s="1048" t="s">
        <v>1472</v>
      </c>
      <c r="E186" s="1048">
        <v>2</v>
      </c>
      <c r="F186" s="1049">
        <v>2.4</v>
      </c>
      <c r="G186" s="1049">
        <v>0.6</v>
      </c>
      <c r="H186" s="1049">
        <v>0.6</v>
      </c>
      <c r="I186" s="1049">
        <f t="shared" si="9"/>
        <v>3.46</v>
      </c>
      <c r="J186" s="1049"/>
      <c r="K186" s="1049"/>
      <c r="L186" s="1049"/>
      <c r="M186" s="1049"/>
    </row>
    <row r="187" spans="1:14" ht="14.1">
      <c r="A187" s="1046"/>
      <c r="B187" s="1050" t="s">
        <v>2093</v>
      </c>
      <c r="C187" s="1048">
        <v>2</v>
      </c>
      <c r="D187" s="1048" t="s">
        <v>1472</v>
      </c>
      <c r="E187" s="1048">
        <v>2</v>
      </c>
      <c r="F187" s="1049">
        <v>4.1500000000000004</v>
      </c>
      <c r="G187" s="1049">
        <v>0.6</v>
      </c>
      <c r="H187" s="1049">
        <v>0.6</v>
      </c>
      <c r="I187" s="1049">
        <f t="shared" si="9"/>
        <v>5.98</v>
      </c>
      <c r="J187" s="1049"/>
      <c r="K187" s="1049"/>
      <c r="L187" s="1049"/>
      <c r="M187" s="1049"/>
    </row>
    <row r="188" spans="1:14" ht="14.1">
      <c r="A188" s="1046"/>
      <c r="B188" s="1050" t="s">
        <v>2094</v>
      </c>
      <c r="C188" s="1048">
        <v>2</v>
      </c>
      <c r="D188" s="1048" t="s">
        <v>1472</v>
      </c>
      <c r="E188" s="1048">
        <v>2</v>
      </c>
      <c r="F188" s="1049">
        <v>4</v>
      </c>
      <c r="G188" s="1049">
        <v>0.6</v>
      </c>
      <c r="H188" s="1049">
        <v>0.6</v>
      </c>
      <c r="I188" s="1049">
        <f t="shared" si="9"/>
        <v>5.76</v>
      </c>
      <c r="J188" s="1049"/>
      <c r="K188" s="1049"/>
      <c r="L188" s="1049"/>
      <c r="M188" s="1049"/>
    </row>
    <row r="189" spans="1:14" ht="27.6">
      <c r="A189" s="1046"/>
      <c r="B189" s="1050" t="s">
        <v>2095</v>
      </c>
      <c r="C189" s="1048">
        <v>1</v>
      </c>
      <c r="D189" s="1048" t="s">
        <v>1472</v>
      </c>
      <c r="E189" s="1048">
        <v>2</v>
      </c>
      <c r="F189" s="1049">
        <v>1.8</v>
      </c>
      <c r="G189" s="1049">
        <v>0.6</v>
      </c>
      <c r="H189" s="1049">
        <v>0.6</v>
      </c>
      <c r="I189" s="1049">
        <f t="shared" si="9"/>
        <v>1.3</v>
      </c>
      <c r="J189" s="1049"/>
      <c r="K189" s="1049"/>
      <c r="L189" s="1049"/>
      <c r="M189" s="1049"/>
    </row>
    <row r="190" spans="1:14" ht="14.1">
      <c r="A190" s="1046"/>
      <c r="B190" s="1051" t="s">
        <v>2096</v>
      </c>
      <c r="C190" s="1048">
        <v>1</v>
      </c>
      <c r="D190" s="1048" t="s">
        <v>1472</v>
      </c>
      <c r="E190" s="1048">
        <v>1</v>
      </c>
      <c r="F190" s="1049">
        <f>(31.5-6-4)*0.3048</f>
        <v>6.5532000000000004</v>
      </c>
      <c r="G190" s="1049">
        <v>0.6</v>
      </c>
      <c r="H190" s="1049">
        <v>0.3</v>
      </c>
      <c r="I190" s="1049">
        <f t="shared" si="9"/>
        <v>1.18</v>
      </c>
      <c r="J190" s="1049"/>
      <c r="K190" s="1049"/>
      <c r="L190" s="1049"/>
      <c r="M190" s="1049"/>
    </row>
    <row r="191" spans="1:14" ht="14.1">
      <c r="A191" s="1046"/>
      <c r="B191" s="1051" t="s">
        <v>2097</v>
      </c>
      <c r="C191" s="1048">
        <v>1</v>
      </c>
      <c r="D191" s="1048" t="s">
        <v>1472</v>
      </c>
      <c r="E191" s="1048">
        <v>2</v>
      </c>
      <c r="F191" s="1049">
        <v>3</v>
      </c>
      <c r="G191" s="1049">
        <v>0.6</v>
      </c>
      <c r="H191" s="1049">
        <v>0.3</v>
      </c>
      <c r="I191" s="1049">
        <f t="shared" si="9"/>
        <v>1.08</v>
      </c>
      <c r="J191" s="1049"/>
      <c r="K191" s="1049"/>
      <c r="L191" s="1049"/>
      <c r="M191" s="1049"/>
    </row>
    <row r="192" spans="1:14" ht="14.1">
      <c r="A192" s="1046"/>
      <c r="B192" s="1060" t="s">
        <v>85</v>
      </c>
      <c r="C192" s="1061"/>
      <c r="D192" s="1061"/>
      <c r="E192" s="1061"/>
      <c r="F192" s="1062"/>
      <c r="G192" s="1062"/>
      <c r="H192" s="1062"/>
      <c r="I192" s="1077">
        <f>SUM(I183:I191)</f>
        <v>103.15</v>
      </c>
      <c r="J192" s="1049"/>
      <c r="K192" s="1049"/>
      <c r="L192" s="1049"/>
      <c r="M192" s="1049"/>
    </row>
    <row r="193" spans="1:13" ht="14.1">
      <c r="A193" s="1046"/>
      <c r="B193" s="1047" t="s">
        <v>2122</v>
      </c>
      <c r="C193" s="1048">
        <v>1</v>
      </c>
      <c r="D193" s="1048" t="s">
        <v>1472</v>
      </c>
      <c r="E193" s="1048">
        <v>1</v>
      </c>
      <c r="F193" s="1049">
        <f>60.75*0.3048</f>
        <v>18.5166</v>
      </c>
      <c r="G193" s="1049">
        <f>31.5*0.3048</f>
        <v>9.6012000000000004</v>
      </c>
      <c r="H193" s="1049">
        <v>0.6</v>
      </c>
      <c r="I193" s="1049">
        <f t="shared" ref="I193:I199" si="10">ROUND(C193*E193*F193*G193*H193,2)</f>
        <v>106.67</v>
      </c>
      <c r="J193" s="1049"/>
      <c r="K193" s="1049"/>
      <c r="L193" s="1049"/>
      <c r="M193" s="1049"/>
    </row>
    <row r="194" spans="1:13" ht="14.1">
      <c r="A194" s="1046"/>
      <c r="B194" s="1061" t="s">
        <v>2127</v>
      </c>
      <c r="C194" s="1048">
        <v>1</v>
      </c>
      <c r="D194" s="1048" t="s">
        <v>1472</v>
      </c>
      <c r="E194" s="1048">
        <v>1</v>
      </c>
      <c r="F194" s="1049">
        <v>14.55</v>
      </c>
      <c r="G194" s="1049">
        <v>2</v>
      </c>
      <c r="H194" s="1049">
        <v>0.6</v>
      </c>
      <c r="I194" s="1049">
        <f t="shared" si="10"/>
        <v>17.46</v>
      </c>
      <c r="J194" s="1049"/>
      <c r="K194" s="1049"/>
      <c r="L194" s="1049"/>
      <c r="M194" s="1049"/>
    </row>
    <row r="195" spans="1:13" ht="14.1">
      <c r="A195" s="1046"/>
      <c r="B195" s="1061" t="s">
        <v>2128</v>
      </c>
      <c r="C195" s="1048">
        <v>1</v>
      </c>
      <c r="D195" s="1048" t="s">
        <v>1472</v>
      </c>
      <c r="E195" s="1048">
        <v>1</v>
      </c>
      <c r="F195" s="1049">
        <v>14.55</v>
      </c>
      <c r="G195" s="1049">
        <v>2</v>
      </c>
      <c r="H195" s="1049">
        <v>0.6</v>
      </c>
      <c r="I195" s="1049">
        <f t="shared" si="10"/>
        <v>17.46</v>
      </c>
      <c r="J195" s="1049"/>
      <c r="K195" s="1049"/>
      <c r="L195" s="1049"/>
      <c r="M195" s="1049"/>
    </row>
    <row r="196" spans="1:13" ht="14.1">
      <c r="A196" s="1046"/>
      <c r="B196" s="1061" t="s">
        <v>2132</v>
      </c>
      <c r="C196" s="1048">
        <v>1</v>
      </c>
      <c r="D196" s="1048" t="s">
        <v>1472</v>
      </c>
      <c r="E196" s="1048">
        <v>1</v>
      </c>
      <c r="F196" s="1049">
        <v>4.4000000000000004</v>
      </c>
      <c r="G196" s="1049">
        <v>2.4</v>
      </c>
      <c r="H196" s="1049">
        <v>0.6</v>
      </c>
      <c r="I196" s="1049">
        <f t="shared" si="10"/>
        <v>6.34</v>
      </c>
      <c r="J196" s="1049"/>
      <c r="K196" s="1049"/>
      <c r="L196" s="1049"/>
      <c r="M196" s="1049"/>
    </row>
    <row r="197" spans="1:13" ht="14.1">
      <c r="A197" s="1046"/>
      <c r="B197" s="1061" t="s">
        <v>2133</v>
      </c>
      <c r="C197" s="1048">
        <v>1</v>
      </c>
      <c r="D197" s="1048" t="s">
        <v>1472</v>
      </c>
      <c r="E197" s="1048">
        <v>1</v>
      </c>
      <c r="F197" s="1049">
        <v>5</v>
      </c>
      <c r="G197" s="1049">
        <v>1.87</v>
      </c>
      <c r="H197" s="1049">
        <v>0.45</v>
      </c>
      <c r="I197" s="1049">
        <f t="shared" si="10"/>
        <v>4.21</v>
      </c>
      <c r="J197" s="1049"/>
      <c r="K197" s="1049"/>
      <c r="L197" s="1049"/>
      <c r="M197" s="1049"/>
    </row>
    <row r="198" spans="1:13" ht="14.1">
      <c r="A198" s="1046"/>
      <c r="B198" s="1061" t="s">
        <v>2130</v>
      </c>
      <c r="C198" s="1048">
        <v>1</v>
      </c>
      <c r="D198" s="1048" t="s">
        <v>1472</v>
      </c>
      <c r="E198" s="1048">
        <v>1</v>
      </c>
      <c r="F198" s="1049">
        <v>2.75</v>
      </c>
      <c r="G198" s="1049">
        <v>2.6</v>
      </c>
      <c r="H198" s="1049">
        <v>0.6</v>
      </c>
      <c r="I198" s="1049">
        <f t="shared" si="10"/>
        <v>4.29</v>
      </c>
      <c r="J198" s="1049"/>
      <c r="K198" s="1049"/>
      <c r="L198" s="1049"/>
      <c r="M198" s="1049"/>
    </row>
    <row r="199" spans="1:13" ht="14.1">
      <c r="A199" s="1046"/>
      <c r="B199" s="1061" t="s">
        <v>2129</v>
      </c>
      <c r="C199" s="1048">
        <v>1</v>
      </c>
      <c r="D199" s="1048" t="s">
        <v>1472</v>
      </c>
      <c r="E199" s="1048">
        <v>2</v>
      </c>
      <c r="F199" s="1049">
        <v>1.65</v>
      </c>
      <c r="G199" s="1049">
        <v>1.2</v>
      </c>
      <c r="H199" s="1049">
        <v>0.6</v>
      </c>
      <c r="I199" s="1049">
        <f t="shared" si="10"/>
        <v>2.38</v>
      </c>
      <c r="J199" s="1049"/>
      <c r="K199" s="1049"/>
      <c r="L199" s="1049"/>
      <c r="M199" s="1049"/>
    </row>
    <row r="200" spans="1:13" ht="14.1">
      <c r="A200" s="1046"/>
      <c r="B200" s="1061"/>
      <c r="C200" s="1048"/>
      <c r="D200" s="1048"/>
      <c r="E200" s="1048"/>
      <c r="F200" s="1049"/>
      <c r="G200" s="1049"/>
      <c r="H200" s="1049"/>
      <c r="I200" s="1053">
        <f>SUM(I192:I199)</f>
        <v>261.96000000000004</v>
      </c>
      <c r="J200" s="1049"/>
      <c r="K200" s="1049"/>
      <c r="L200" s="1049"/>
      <c r="M200" s="1049"/>
    </row>
    <row r="201" spans="1:13" ht="14.1">
      <c r="A201" s="1046"/>
      <c r="B201" s="1060" t="s">
        <v>1036</v>
      </c>
      <c r="C201" s="1061"/>
      <c r="D201" s="1061"/>
      <c r="E201" s="1061"/>
      <c r="F201" s="1062"/>
      <c r="G201" s="1062"/>
      <c r="H201" s="1062"/>
      <c r="I201" s="1062"/>
      <c r="J201" s="1049"/>
      <c r="K201" s="1049"/>
      <c r="L201" s="1049"/>
      <c r="M201" s="1049"/>
    </row>
    <row r="202" spans="1:13" ht="14.1">
      <c r="A202" s="1046"/>
      <c r="B202" s="1061" t="s">
        <v>2131</v>
      </c>
      <c r="C202" s="1061"/>
      <c r="D202" s="1061"/>
      <c r="E202" s="1061"/>
      <c r="F202" s="1062">
        <f>I25</f>
        <v>7.2</v>
      </c>
      <c r="G202" s="1062"/>
      <c r="H202" s="1062"/>
      <c r="I202" s="1062"/>
      <c r="J202" s="1049"/>
      <c r="K202" s="1049"/>
      <c r="L202" s="1049"/>
      <c r="M202" s="1049"/>
    </row>
    <row r="203" spans="1:13">
      <c r="A203" s="1061"/>
      <c r="B203" s="1061" t="s">
        <v>2026</v>
      </c>
      <c r="C203" s="1061"/>
      <c r="D203" s="1061"/>
      <c r="E203" s="1061"/>
      <c r="F203" s="1062">
        <f>I43</f>
        <v>27.500000000000004</v>
      </c>
      <c r="G203" s="1062"/>
      <c r="H203" s="1062"/>
      <c r="I203" s="1062"/>
      <c r="J203" s="1049"/>
      <c r="K203" s="1049"/>
      <c r="L203" s="1049"/>
      <c r="M203" s="1049"/>
    </row>
    <row r="204" spans="1:13" ht="14.1">
      <c r="A204" s="1046"/>
      <c r="B204" s="1061" t="s">
        <v>86</v>
      </c>
      <c r="C204" s="1061"/>
      <c r="D204" s="1061"/>
      <c r="E204" s="1061"/>
      <c r="F204" s="1062">
        <f>I55</f>
        <v>24.5</v>
      </c>
      <c r="G204" s="1062"/>
      <c r="H204" s="1062"/>
      <c r="I204" s="1062"/>
      <c r="J204" s="1049"/>
      <c r="K204" s="1049"/>
      <c r="L204" s="1049"/>
      <c r="M204" s="1049"/>
    </row>
    <row r="205" spans="1:13" ht="14.1">
      <c r="A205" s="1046"/>
      <c r="B205" s="1061" t="s">
        <v>983</v>
      </c>
      <c r="C205" s="1061"/>
      <c r="D205" s="1061"/>
      <c r="E205" s="1061"/>
      <c r="F205" s="1062">
        <f>I79</f>
        <v>10.8</v>
      </c>
      <c r="G205" s="1062"/>
      <c r="H205" s="1062"/>
      <c r="I205" s="1062"/>
      <c r="J205" s="1049"/>
      <c r="K205" s="1049"/>
      <c r="L205" s="1049"/>
      <c r="M205" s="1049"/>
    </row>
    <row r="206" spans="1:13" ht="14.1">
      <c r="A206" s="1046"/>
      <c r="B206" s="1061" t="s">
        <v>87</v>
      </c>
      <c r="C206" s="1061"/>
      <c r="D206" s="1061"/>
      <c r="E206" s="1061"/>
      <c r="F206" s="1062">
        <f>I82</f>
        <v>1.1399999999999999</v>
      </c>
      <c r="G206" s="1062"/>
      <c r="H206" s="1062"/>
      <c r="I206" s="1062"/>
      <c r="J206" s="1049"/>
      <c r="K206" s="1049"/>
      <c r="L206" s="1049"/>
      <c r="M206" s="1049"/>
    </row>
    <row r="207" spans="1:13" ht="14.1">
      <c r="A207" s="1046"/>
      <c r="B207" s="1061" t="s">
        <v>88</v>
      </c>
      <c r="C207" s="1061"/>
      <c r="D207" s="1061"/>
      <c r="E207" s="1061"/>
      <c r="F207" s="1062">
        <f>I91</f>
        <v>4.26</v>
      </c>
      <c r="G207" s="1062"/>
      <c r="H207" s="1062"/>
      <c r="I207" s="1062"/>
      <c r="J207" s="1049"/>
      <c r="K207" s="1049"/>
      <c r="L207" s="1049"/>
      <c r="M207" s="1049"/>
    </row>
    <row r="208" spans="1:13" ht="14.1">
      <c r="A208" s="1046"/>
      <c r="B208" s="1061"/>
      <c r="C208" s="1061"/>
      <c r="D208" s="1061"/>
      <c r="E208" s="1061"/>
      <c r="F208" s="1078">
        <f>SUM(F202:F207)</f>
        <v>75.400000000000006</v>
      </c>
      <c r="G208" s="1062"/>
      <c r="H208" s="1062"/>
      <c r="I208" s="1062"/>
      <c r="J208" s="1049"/>
      <c r="K208" s="1049"/>
      <c r="L208" s="1049"/>
      <c r="M208" s="1049"/>
    </row>
    <row r="209" spans="1:13" ht="14.1">
      <c r="A209" s="1046"/>
      <c r="B209" s="1079" t="s">
        <v>89</v>
      </c>
      <c r="C209" s="1048"/>
      <c r="D209" s="1048"/>
      <c r="E209" s="1048"/>
      <c r="F209" s="1053">
        <f>I200</f>
        <v>261.96000000000004</v>
      </c>
      <c r="G209" s="1049" t="s">
        <v>524</v>
      </c>
      <c r="H209" s="1053">
        <f>F208</f>
        <v>75.400000000000006</v>
      </c>
      <c r="I209" s="1053">
        <f>F209-H209</f>
        <v>186.56000000000003</v>
      </c>
      <c r="J209" s="1049"/>
      <c r="K209" s="1049"/>
      <c r="L209" s="1049"/>
      <c r="M209" s="1049"/>
    </row>
    <row r="210" spans="1:13" ht="14.1">
      <c r="A210" s="1046"/>
      <c r="B210" s="2423"/>
      <c r="C210" s="2424"/>
      <c r="D210" s="2424"/>
      <c r="E210" s="2424"/>
      <c r="F210" s="2424"/>
      <c r="G210" s="2424"/>
      <c r="H210" s="2425"/>
      <c r="I210" s="1053"/>
      <c r="J210" s="1049"/>
      <c r="K210" s="1049"/>
      <c r="L210" s="1049"/>
      <c r="M210" s="1049"/>
    </row>
    <row r="211" spans="1:13" ht="28.2">
      <c r="A211" s="1046"/>
      <c r="B211" s="1078" t="s">
        <v>2051</v>
      </c>
      <c r="C211" s="1067"/>
      <c r="D211" s="1067"/>
      <c r="E211" s="1048"/>
      <c r="F211" s="1053">
        <f>I209</f>
        <v>186.56000000000003</v>
      </c>
      <c r="G211" s="1049" t="s">
        <v>524</v>
      </c>
      <c r="H211" s="1053">
        <f>I180</f>
        <v>106.67</v>
      </c>
      <c r="I211" s="1053">
        <f>F211-H211</f>
        <v>79.890000000000029</v>
      </c>
      <c r="J211" s="1049">
        <f>Datas!G54</f>
        <v>228.33</v>
      </c>
      <c r="K211" s="1053">
        <f>ROUND(J211*I211,0)</f>
        <v>18241</v>
      </c>
      <c r="L211" s="1049">
        <v>30</v>
      </c>
      <c r="M211" s="1055">
        <f>L211*I211</f>
        <v>2396.7000000000007</v>
      </c>
    </row>
    <row r="212" spans="1:13" ht="14.1">
      <c r="A212" s="1046"/>
      <c r="B212" s="1060"/>
      <c r="C212" s="1048"/>
      <c r="D212" s="1048"/>
      <c r="E212" s="1048"/>
      <c r="F212" s="1049"/>
      <c r="G212" s="1049"/>
      <c r="H212" s="1049"/>
      <c r="I212" s="1053" t="s">
        <v>1473</v>
      </c>
      <c r="J212" s="1053" t="s">
        <v>658</v>
      </c>
      <c r="K212" s="1053"/>
      <c r="L212" s="1049"/>
      <c r="M212" s="1049"/>
    </row>
    <row r="213" spans="1:13" ht="120.75" customHeight="1">
      <c r="A213" s="1046">
        <v>12</v>
      </c>
      <c r="B213" s="2415" t="s">
        <v>2302</v>
      </c>
      <c r="C213" s="2416"/>
      <c r="D213" s="2416"/>
      <c r="E213" s="2416"/>
      <c r="F213" s="2416"/>
      <c r="G213" s="2416"/>
      <c r="H213" s="2416"/>
      <c r="I213" s="2417"/>
      <c r="J213" s="1049"/>
      <c r="K213" s="1049"/>
      <c r="L213" s="1049"/>
      <c r="M213" s="1049"/>
    </row>
    <row r="214" spans="1:13" ht="14.1">
      <c r="A214" s="1046"/>
      <c r="B214" s="1060" t="s">
        <v>466</v>
      </c>
      <c r="C214" s="1082"/>
      <c r="D214" s="1082"/>
      <c r="E214" s="1082"/>
      <c r="F214" s="1083"/>
      <c r="G214" s="1083"/>
      <c r="H214" s="1083"/>
      <c r="I214" s="1083"/>
      <c r="J214" s="1049"/>
      <c r="K214" s="1049"/>
      <c r="L214" s="1049"/>
      <c r="M214" s="1049"/>
    </row>
    <row r="215" spans="1:13" ht="14.1">
      <c r="A215" s="1046"/>
      <c r="B215" s="1050" t="s">
        <v>2115</v>
      </c>
      <c r="C215" s="1048">
        <v>1</v>
      </c>
      <c r="D215" s="1048" t="s">
        <v>1472</v>
      </c>
      <c r="E215" s="1048">
        <v>2</v>
      </c>
      <c r="F215" s="1049">
        <f>(60.75-0.23*2)*0.3048</f>
        <v>18.376391999999999</v>
      </c>
      <c r="G215" s="1049"/>
      <c r="H215" s="1049">
        <v>3.6</v>
      </c>
      <c r="I215" s="1049">
        <f>ROUND(C215*E215*F215*H215,2)</f>
        <v>132.31</v>
      </c>
      <c r="J215" s="1049"/>
      <c r="K215" s="1049"/>
      <c r="L215" s="1049"/>
      <c r="M215" s="1049"/>
    </row>
    <row r="216" spans="1:13" ht="14.1">
      <c r="A216" s="1046"/>
      <c r="B216" s="1050" t="s">
        <v>2033</v>
      </c>
      <c r="C216" s="1048">
        <v>1</v>
      </c>
      <c r="D216" s="1048" t="s">
        <v>1472</v>
      </c>
      <c r="E216" s="1048">
        <v>2</v>
      </c>
      <c r="F216" s="1049">
        <f>(31.5-2*0.23)*0.3048</f>
        <v>9.460992000000001</v>
      </c>
      <c r="G216" s="1049"/>
      <c r="H216" s="1164" t="s">
        <v>2287</v>
      </c>
      <c r="I216" s="1049">
        <f>ROUND(C216*E216*F216*AVERAGE(3.6,5.4,3.6),2)</f>
        <v>79.47</v>
      </c>
      <c r="J216" s="1049"/>
      <c r="K216" s="1049"/>
      <c r="L216" s="1049"/>
      <c r="M216" s="1049"/>
    </row>
    <row r="217" spans="1:13" ht="27.6">
      <c r="A217" s="1046"/>
      <c r="B217" s="1050" t="s">
        <v>2116</v>
      </c>
      <c r="C217" s="1048">
        <v>1</v>
      </c>
      <c r="D217" s="1048" t="s">
        <v>1472</v>
      </c>
      <c r="E217" s="1048">
        <v>2</v>
      </c>
      <c r="F217" s="1049">
        <f>(31.5-2*0.23)*0.3048</f>
        <v>9.460992000000001</v>
      </c>
      <c r="G217" s="1049"/>
      <c r="H217" s="1049">
        <v>3.6</v>
      </c>
      <c r="I217" s="1049">
        <f>ROUND(C217*E217*F217*H217,2)</f>
        <v>68.12</v>
      </c>
      <c r="J217" s="1049"/>
      <c r="K217" s="1049"/>
      <c r="L217" s="1049"/>
      <c r="M217" s="1049"/>
    </row>
    <row r="218" spans="1:13" ht="27.6">
      <c r="A218" s="1046"/>
      <c r="B218" s="1050" t="s">
        <v>2134</v>
      </c>
      <c r="C218" s="1048">
        <v>1</v>
      </c>
      <c r="D218" s="1048" t="s">
        <v>1472</v>
      </c>
      <c r="E218" s="1048">
        <v>2</v>
      </c>
      <c r="F218" s="1049">
        <v>3.6</v>
      </c>
      <c r="G218" s="1049"/>
      <c r="H218" s="1049">
        <v>3.6</v>
      </c>
      <c r="I218" s="1049">
        <f>ROUND(C218*E218*F218*H218,2)</f>
        <v>25.92</v>
      </c>
      <c r="J218" s="1049"/>
      <c r="K218" s="1049"/>
      <c r="L218" s="1049"/>
      <c r="M218" s="1049"/>
    </row>
    <row r="219" spans="1:13" ht="14.1">
      <c r="A219" s="1046"/>
      <c r="B219" s="1050" t="s">
        <v>2119</v>
      </c>
      <c r="C219" s="1048">
        <v>1</v>
      </c>
      <c r="D219" s="1048" t="s">
        <v>1472</v>
      </c>
      <c r="E219" s="1048">
        <v>2</v>
      </c>
      <c r="F219" s="1049">
        <v>2.1</v>
      </c>
      <c r="G219" s="1049"/>
      <c r="H219" s="1049">
        <v>0.45</v>
      </c>
      <c r="I219" s="1049">
        <f>ROUND(C219*E219*F219*H219,2)</f>
        <v>1.89</v>
      </c>
      <c r="J219" s="1049"/>
      <c r="K219" s="1049"/>
      <c r="L219" s="1049"/>
      <c r="M219" s="1049"/>
    </row>
    <row r="220" spans="1:13" ht="14.1">
      <c r="A220" s="1046"/>
      <c r="B220" s="1050" t="s">
        <v>2120</v>
      </c>
      <c r="C220" s="1048">
        <v>1</v>
      </c>
      <c r="D220" s="1048" t="s">
        <v>1472</v>
      </c>
      <c r="E220" s="1048">
        <v>1</v>
      </c>
      <c r="F220" s="1049">
        <v>4.95</v>
      </c>
      <c r="G220" s="1049"/>
      <c r="H220" s="1049">
        <v>0.45</v>
      </c>
      <c r="I220" s="1049">
        <f>ROUND(C220*E220*F220*H220,2)</f>
        <v>2.23</v>
      </c>
      <c r="J220" s="1049"/>
      <c r="K220" s="1049"/>
      <c r="L220" s="1049"/>
      <c r="M220" s="1049"/>
    </row>
    <row r="221" spans="1:13" ht="14.1">
      <c r="A221" s="1046"/>
      <c r="B221" s="1060" t="s">
        <v>675</v>
      </c>
      <c r="C221" s="1048"/>
      <c r="D221" s="1048"/>
      <c r="E221" s="1048"/>
      <c r="F221" s="1049"/>
      <c r="G221" s="1049"/>
      <c r="H221" s="1049"/>
      <c r="I221" s="1049"/>
      <c r="J221" s="1049"/>
      <c r="K221" s="1049"/>
      <c r="L221" s="1049"/>
      <c r="M221" s="1049"/>
    </row>
    <row r="222" spans="1:13">
      <c r="A222" s="1076"/>
      <c r="B222" s="1061" t="s">
        <v>2223</v>
      </c>
      <c r="C222" s="1048">
        <v>1</v>
      </c>
      <c r="D222" s="1048" t="s">
        <v>1472</v>
      </c>
      <c r="E222" s="1048">
        <v>1</v>
      </c>
      <c r="F222" s="1049">
        <v>1.8</v>
      </c>
      <c r="G222" s="1084">
        <v>1</v>
      </c>
      <c r="H222" s="1049">
        <v>2.4</v>
      </c>
      <c r="I222" s="1049">
        <f t="shared" ref="I222:I227" si="11">-ROUND(C222*E222*F222*G222*H222,2)</f>
        <v>-4.32</v>
      </c>
      <c r="J222" s="1049"/>
      <c r="K222" s="1049"/>
      <c r="L222" s="1049"/>
      <c r="M222" s="1049"/>
    </row>
    <row r="223" spans="1:13">
      <c r="A223" s="1076"/>
      <c r="B223" s="1061" t="s">
        <v>980</v>
      </c>
      <c r="C223" s="1048">
        <v>1</v>
      </c>
      <c r="D223" s="1048" t="s">
        <v>1472</v>
      </c>
      <c r="E223" s="1048">
        <v>2</v>
      </c>
      <c r="F223" s="1049">
        <v>1.5</v>
      </c>
      <c r="G223" s="1084">
        <v>1</v>
      </c>
      <c r="H223" s="1049">
        <v>2.4</v>
      </c>
      <c r="I223" s="1049">
        <f t="shared" si="11"/>
        <v>-7.2</v>
      </c>
      <c r="J223" s="1049"/>
      <c r="K223" s="1049"/>
      <c r="L223" s="1049"/>
      <c r="M223" s="1049"/>
    </row>
    <row r="224" spans="1:13">
      <c r="A224" s="1076"/>
      <c r="B224" s="1061" t="s">
        <v>981</v>
      </c>
      <c r="C224" s="1048">
        <v>1</v>
      </c>
      <c r="D224" s="1048" t="s">
        <v>1472</v>
      </c>
      <c r="E224" s="1048">
        <v>2</v>
      </c>
      <c r="F224" s="1049">
        <v>0.9</v>
      </c>
      <c r="G224" s="1084">
        <v>1</v>
      </c>
      <c r="H224" s="1049">
        <v>2.1</v>
      </c>
      <c r="I224" s="1049">
        <f t="shared" si="11"/>
        <v>-3.78</v>
      </c>
      <c r="J224" s="1049"/>
      <c r="K224" s="1049"/>
      <c r="L224" s="1049"/>
      <c r="M224" s="1049"/>
    </row>
    <row r="225" spans="1:13">
      <c r="A225" s="1076"/>
      <c r="B225" s="1061" t="s">
        <v>2117</v>
      </c>
      <c r="C225" s="1048">
        <v>1</v>
      </c>
      <c r="D225" s="1048" t="s">
        <v>1472</v>
      </c>
      <c r="E225" s="1048">
        <v>1</v>
      </c>
      <c r="F225" s="1049">
        <v>1.5</v>
      </c>
      <c r="G225" s="1084">
        <v>1</v>
      </c>
      <c r="H225" s="1049">
        <v>1.2</v>
      </c>
      <c r="I225" s="1049">
        <f t="shared" si="11"/>
        <v>-1.8</v>
      </c>
      <c r="J225" s="1049"/>
      <c r="K225" s="1049"/>
      <c r="L225" s="1049"/>
      <c r="M225" s="1049"/>
    </row>
    <row r="226" spans="1:13" ht="14.1">
      <c r="A226" s="1046"/>
      <c r="B226" s="1061" t="s">
        <v>2215</v>
      </c>
      <c r="C226" s="1048">
        <v>1</v>
      </c>
      <c r="D226" s="1048" t="s">
        <v>1472</v>
      </c>
      <c r="E226" s="1048">
        <v>6</v>
      </c>
      <c r="F226" s="1049">
        <f>11*0.3048</f>
        <v>3.3528000000000002</v>
      </c>
      <c r="G226" s="1084">
        <v>1</v>
      </c>
      <c r="H226" s="1049">
        <v>0.9</v>
      </c>
      <c r="I226" s="1049">
        <f t="shared" si="11"/>
        <v>-18.11</v>
      </c>
      <c r="J226" s="1049"/>
      <c r="K226" s="1049"/>
      <c r="L226" s="1049"/>
      <c r="M226" s="1049"/>
    </row>
    <row r="227" spans="1:13" ht="14.1">
      <c r="A227" s="1046"/>
      <c r="B227" s="1061" t="s">
        <v>2216</v>
      </c>
      <c r="C227" s="1048">
        <v>1</v>
      </c>
      <c r="D227" s="1048" t="s">
        <v>1472</v>
      </c>
      <c r="E227" s="1048">
        <v>2</v>
      </c>
      <c r="F227" s="1049">
        <v>2.4</v>
      </c>
      <c r="G227" s="1084">
        <v>1</v>
      </c>
      <c r="H227" s="1049">
        <v>2</v>
      </c>
      <c r="I227" s="1049">
        <f t="shared" si="11"/>
        <v>-9.6</v>
      </c>
      <c r="J227" s="1049"/>
      <c r="K227" s="1049"/>
      <c r="L227" s="1049"/>
      <c r="M227" s="1049"/>
    </row>
    <row r="228" spans="1:13" ht="14.1">
      <c r="A228" s="1048"/>
      <c r="B228" s="1060" t="s">
        <v>2124</v>
      </c>
      <c r="C228" s="1048"/>
      <c r="D228" s="1048"/>
      <c r="E228" s="1048"/>
      <c r="F228" s="1049"/>
      <c r="G228" s="1049"/>
      <c r="H228" s="1049"/>
      <c r="I228" s="1049"/>
      <c r="J228" s="1049"/>
      <c r="K228" s="1049"/>
      <c r="L228" s="1049"/>
      <c r="M228" s="1049"/>
    </row>
    <row r="229" spans="1:13" ht="14.1">
      <c r="A229" s="1046"/>
      <c r="B229" s="1050" t="s">
        <v>2093</v>
      </c>
      <c r="C229" s="1048">
        <v>1</v>
      </c>
      <c r="D229" s="1048" t="s">
        <v>1472</v>
      </c>
      <c r="E229" s="1048">
        <v>2</v>
      </c>
      <c r="F229" s="1049">
        <f>10.5*0.3048</f>
        <v>3.2004000000000001</v>
      </c>
      <c r="G229" s="1084">
        <v>1</v>
      </c>
      <c r="H229" s="1049">
        <v>2.9</v>
      </c>
      <c r="I229" s="1049">
        <f>ROUND(C229*E229*F229*G229*H229,2)</f>
        <v>18.559999999999999</v>
      </c>
      <c r="J229" s="1049"/>
      <c r="K229" s="1049"/>
      <c r="L229" s="1049"/>
      <c r="M229" s="1049"/>
    </row>
    <row r="230" spans="1:13" ht="14.1">
      <c r="A230" s="1046"/>
      <c r="B230" s="1050" t="s">
        <v>2094</v>
      </c>
      <c r="C230" s="1048">
        <v>1</v>
      </c>
      <c r="D230" s="1048" t="s">
        <v>1472</v>
      </c>
      <c r="E230" s="1048">
        <v>2</v>
      </c>
      <c r="F230" s="1049">
        <f>10*0.3048</f>
        <v>3.048</v>
      </c>
      <c r="G230" s="1084">
        <v>1</v>
      </c>
      <c r="H230" s="1049">
        <v>2.9</v>
      </c>
      <c r="I230" s="1049">
        <f>ROUND(C230*E230*F230*G230*H230,2)</f>
        <v>17.68</v>
      </c>
      <c r="J230" s="1049"/>
      <c r="K230" s="1049"/>
      <c r="L230" s="1049"/>
      <c r="M230" s="1049"/>
    </row>
    <row r="231" spans="1:13">
      <c r="A231" s="1048"/>
      <c r="B231" s="1061" t="s">
        <v>2125</v>
      </c>
      <c r="C231" s="1048">
        <v>1</v>
      </c>
      <c r="D231" s="1048" t="s">
        <v>1472</v>
      </c>
      <c r="E231" s="1048">
        <v>2</v>
      </c>
      <c r="F231" s="1049">
        <f>10.5*0.3048</f>
        <v>3.2004000000000001</v>
      </c>
      <c r="G231" s="1084">
        <v>1</v>
      </c>
      <c r="H231" s="1049">
        <v>2.1</v>
      </c>
      <c r="I231" s="1049">
        <f>ROUND(C231*E231*F231*G231*H231,2)</f>
        <v>13.44</v>
      </c>
      <c r="J231" s="1049"/>
      <c r="K231" s="1049"/>
      <c r="L231" s="1049"/>
      <c r="M231" s="1049"/>
    </row>
    <row r="232" spans="1:13">
      <c r="A232" s="1048"/>
      <c r="B232" s="1061" t="s">
        <v>2125</v>
      </c>
      <c r="C232" s="1048">
        <v>1</v>
      </c>
      <c r="D232" s="1048" t="s">
        <v>1472</v>
      </c>
      <c r="E232" s="1048">
        <v>2</v>
      </c>
      <c r="F232" s="1049">
        <v>3.42</v>
      </c>
      <c r="G232" s="1084">
        <v>1</v>
      </c>
      <c r="H232" s="1049">
        <v>2.1</v>
      </c>
      <c r="I232" s="1049">
        <f>ROUND(C232*E232*F232*G232*H232,2)</f>
        <v>14.36</v>
      </c>
      <c r="J232" s="1049"/>
      <c r="K232" s="1049"/>
      <c r="L232" s="1049"/>
      <c r="M232" s="1049"/>
    </row>
    <row r="233" spans="1:13" ht="14.1">
      <c r="A233" s="1048"/>
      <c r="B233" s="1060" t="s">
        <v>675</v>
      </c>
      <c r="C233" s="1048"/>
      <c r="D233" s="1048"/>
      <c r="E233" s="1048"/>
      <c r="F233" s="1049"/>
      <c r="G233" s="1049"/>
      <c r="H233" s="1049"/>
      <c r="I233" s="1049"/>
      <c r="J233" s="1049"/>
      <c r="K233" s="1049"/>
      <c r="L233" s="1049"/>
      <c r="M233" s="1049"/>
    </row>
    <row r="234" spans="1:13">
      <c r="A234" s="1048"/>
      <c r="B234" s="1061" t="s">
        <v>2126</v>
      </c>
      <c r="C234" s="1048">
        <v>1</v>
      </c>
      <c r="D234" s="1048" t="s">
        <v>1472</v>
      </c>
      <c r="E234" s="1048">
        <v>2</v>
      </c>
      <c r="F234" s="1049">
        <v>0.9</v>
      </c>
      <c r="G234" s="1084">
        <v>1</v>
      </c>
      <c r="H234" s="1049">
        <v>2.1</v>
      </c>
      <c r="I234" s="1049">
        <f>-ROUND(C234*E234*F234*G234*H234,2)</f>
        <v>-3.78</v>
      </c>
      <c r="J234" s="1049"/>
      <c r="K234" s="1049"/>
      <c r="L234" s="1049"/>
      <c r="M234" s="1049"/>
    </row>
    <row r="235" spans="1:13">
      <c r="A235" s="1048"/>
      <c r="B235" s="1061" t="s">
        <v>101</v>
      </c>
      <c r="C235" s="1048">
        <v>1</v>
      </c>
      <c r="D235" s="1048" t="s">
        <v>1472</v>
      </c>
      <c r="E235" s="1048">
        <v>2</v>
      </c>
      <c r="F235" s="1049">
        <v>0.75</v>
      </c>
      <c r="G235" s="1084">
        <v>1</v>
      </c>
      <c r="H235" s="1049">
        <v>2.1</v>
      </c>
      <c r="I235" s="1049">
        <f>-ROUND(C235*E235*F235*G235*H235,2)</f>
        <v>-3.15</v>
      </c>
      <c r="J235" s="1049"/>
      <c r="K235" s="1049"/>
      <c r="L235" s="1049"/>
      <c r="M235" s="1049"/>
    </row>
    <row r="236" spans="1:13">
      <c r="A236" s="1048"/>
      <c r="B236" s="1061" t="s">
        <v>2224</v>
      </c>
      <c r="C236" s="1048">
        <v>1</v>
      </c>
      <c r="D236" s="1048" t="s">
        <v>1472</v>
      </c>
      <c r="E236" s="1048">
        <v>2</v>
      </c>
      <c r="F236" s="1049">
        <v>0.75</v>
      </c>
      <c r="G236" s="1084">
        <v>1</v>
      </c>
      <c r="H236" s="1049">
        <v>0.3</v>
      </c>
      <c r="I236" s="1049">
        <f>-ROUND(C236*E236*F236*G236*H236,2)</f>
        <v>-0.45</v>
      </c>
      <c r="J236" s="1049"/>
      <c r="K236" s="1049"/>
      <c r="L236" s="1049"/>
      <c r="M236" s="1049"/>
    </row>
    <row r="237" spans="1:13" ht="14.1">
      <c r="A237" s="1046"/>
      <c r="B237" s="1065"/>
      <c r="C237" s="1048"/>
      <c r="D237" s="1048"/>
      <c r="E237" s="1048"/>
      <c r="F237" s="1049"/>
      <c r="G237" s="1049"/>
      <c r="H237" s="1049"/>
      <c r="I237" s="1049">
        <f>SUM(I215:I236)</f>
        <v>321.79000000000008</v>
      </c>
      <c r="J237" s="1049"/>
      <c r="K237" s="1049"/>
      <c r="L237" s="1049"/>
      <c r="M237" s="1049"/>
    </row>
    <row r="238" spans="1:13" ht="14.1">
      <c r="A238" s="1046"/>
      <c r="B238" s="1065"/>
      <c r="C238" s="1048"/>
      <c r="D238" s="1048"/>
      <c r="E238" s="1048"/>
      <c r="F238" s="1049"/>
      <c r="G238" s="1049" t="s">
        <v>667</v>
      </c>
      <c r="H238" s="1049"/>
      <c r="I238" s="1052">
        <f>I237</f>
        <v>321.79000000000008</v>
      </c>
      <c r="J238" s="1049">
        <f>Datas!$E$679</f>
        <v>4266.8500000000004</v>
      </c>
      <c r="K238" s="1053">
        <f>ROUND(J238*I238/10,0)</f>
        <v>137303</v>
      </c>
      <c r="L238" s="1049"/>
      <c r="M238" s="1055"/>
    </row>
    <row r="239" spans="1:13" ht="14.1">
      <c r="A239" s="1046"/>
      <c r="B239" s="1061"/>
      <c r="C239" s="1085"/>
      <c r="D239" s="1085"/>
      <c r="E239" s="1048"/>
      <c r="F239" s="1049"/>
      <c r="G239" s="1049"/>
      <c r="H239" s="1049"/>
      <c r="I239" s="1053" t="s">
        <v>1478</v>
      </c>
      <c r="J239" s="1053" t="s">
        <v>37</v>
      </c>
      <c r="K239" s="1053"/>
      <c r="L239" s="1049"/>
      <c r="M239" s="1049"/>
    </row>
    <row r="240" spans="1:13" ht="132" customHeight="1">
      <c r="A240" s="1046">
        <v>13</v>
      </c>
      <c r="B240" s="2415" t="s">
        <v>2301</v>
      </c>
      <c r="C240" s="2416"/>
      <c r="D240" s="2416"/>
      <c r="E240" s="2416"/>
      <c r="F240" s="2416"/>
      <c r="G240" s="2416"/>
      <c r="H240" s="2416"/>
      <c r="I240" s="2417"/>
      <c r="J240" s="1049"/>
      <c r="K240" s="1049"/>
      <c r="L240" s="1049"/>
      <c r="M240" s="1049"/>
    </row>
    <row r="241" spans="1:13" ht="14.1">
      <c r="A241" s="1046"/>
      <c r="B241" s="1060" t="s">
        <v>2135</v>
      </c>
      <c r="C241" s="1082"/>
      <c r="D241" s="1082"/>
      <c r="E241" s="1082"/>
      <c r="F241" s="1083"/>
      <c r="G241" s="1083"/>
      <c r="H241" s="1083"/>
      <c r="I241" s="1083"/>
      <c r="J241" s="1049"/>
      <c r="K241" s="1049"/>
      <c r="L241" s="1049"/>
      <c r="M241" s="1049"/>
    </row>
    <row r="242" spans="1:13" ht="14.1">
      <c r="A242" s="1046"/>
      <c r="B242" s="1050" t="s">
        <v>2115</v>
      </c>
      <c r="C242" s="1048">
        <v>1</v>
      </c>
      <c r="D242" s="1048" t="s">
        <v>1472</v>
      </c>
      <c r="E242" s="1048">
        <v>2</v>
      </c>
      <c r="F242" s="1049">
        <f>60.75*0.3048</f>
        <v>18.5166</v>
      </c>
      <c r="G242" s="1084">
        <v>1</v>
      </c>
      <c r="H242" s="1049">
        <v>3.6</v>
      </c>
      <c r="I242" s="1049">
        <f>ROUND(C242*E242*F242*G242*H242,2)</f>
        <v>133.32</v>
      </c>
      <c r="J242" s="1049"/>
      <c r="K242" s="1049"/>
      <c r="L242" s="1049"/>
      <c r="M242" s="1049"/>
    </row>
    <row r="243" spans="1:13" ht="14.1">
      <c r="A243" s="1046"/>
      <c r="B243" s="1050" t="s">
        <v>2033</v>
      </c>
      <c r="C243" s="1048">
        <v>1</v>
      </c>
      <c r="D243" s="1048" t="s">
        <v>1472</v>
      </c>
      <c r="E243" s="1048">
        <v>2</v>
      </c>
      <c r="F243" s="1049">
        <f>31.5*0.3048</f>
        <v>9.6012000000000004</v>
      </c>
      <c r="G243" s="1084">
        <v>1</v>
      </c>
      <c r="H243" s="1164" t="s">
        <v>2287</v>
      </c>
      <c r="I243" s="1049">
        <f>ROUND(C243*E243*F243*AVERAGE(3.6,5.4,3.6),2)</f>
        <v>80.650000000000006</v>
      </c>
      <c r="J243" s="1049"/>
      <c r="K243" s="1049"/>
      <c r="L243" s="1049"/>
      <c r="M243" s="1049"/>
    </row>
    <row r="244" spans="1:13" ht="14.1">
      <c r="A244" s="1046"/>
      <c r="B244" s="1060" t="s">
        <v>2136</v>
      </c>
      <c r="C244" s="1048"/>
      <c r="D244" s="1048"/>
      <c r="E244" s="1048"/>
      <c r="F244" s="1049"/>
      <c r="G244" s="1084"/>
      <c r="H244" s="1049"/>
      <c r="I244" s="1068"/>
      <c r="J244" s="1049"/>
      <c r="K244" s="1049"/>
      <c r="L244" s="1049"/>
      <c r="M244" s="1068"/>
    </row>
    <row r="245" spans="1:13" ht="14.1">
      <c r="A245" s="1046"/>
      <c r="B245" s="1050" t="s">
        <v>2093</v>
      </c>
      <c r="C245" s="1048">
        <v>1</v>
      </c>
      <c r="D245" s="1048" t="s">
        <v>1472</v>
      </c>
      <c r="E245" s="1048">
        <v>2</v>
      </c>
      <c r="F245" s="1049">
        <f>12*0.3048</f>
        <v>3.6576000000000004</v>
      </c>
      <c r="G245" s="1084">
        <v>1</v>
      </c>
      <c r="H245" s="1049">
        <v>2.4</v>
      </c>
      <c r="I245" s="1049">
        <f>ROUND(C245*E245*F245*G245*H245,2)</f>
        <v>17.559999999999999</v>
      </c>
      <c r="J245" s="1049"/>
      <c r="K245" s="1049"/>
      <c r="L245" s="1049"/>
      <c r="M245" s="1049"/>
    </row>
    <row r="246" spans="1:13" ht="14.1">
      <c r="A246" s="1046"/>
      <c r="B246" s="1050" t="s">
        <v>2094</v>
      </c>
      <c r="C246" s="1048">
        <v>1</v>
      </c>
      <c r="D246" s="1048" t="s">
        <v>1472</v>
      </c>
      <c r="E246" s="1048">
        <v>2</v>
      </c>
      <c r="F246" s="1049">
        <f>11.5*0.3048</f>
        <v>3.5052000000000003</v>
      </c>
      <c r="G246" s="1084">
        <v>1</v>
      </c>
      <c r="H246" s="1049">
        <v>2.4</v>
      </c>
      <c r="I246" s="1049">
        <f>ROUND(C246*E246*F246*G246*H246,2)</f>
        <v>16.82</v>
      </c>
      <c r="J246" s="1049"/>
      <c r="K246" s="1049"/>
      <c r="L246" s="1049"/>
      <c r="M246" s="1049"/>
    </row>
    <row r="247" spans="1:13" ht="14.1">
      <c r="A247" s="1046"/>
      <c r="B247" s="1061"/>
      <c r="C247" s="1048"/>
      <c r="D247" s="1048"/>
      <c r="E247" s="1048"/>
      <c r="F247" s="1049"/>
      <c r="G247" s="1049"/>
      <c r="H247" s="1049" t="s">
        <v>982</v>
      </c>
      <c r="I247" s="1052">
        <f>SUM(I242:I246)</f>
        <v>248.35</v>
      </c>
      <c r="J247" s="1049">
        <f>Datas!E706</f>
        <v>439.762</v>
      </c>
      <c r="K247" s="1053">
        <f>ROUND(J247*I247/10,0)</f>
        <v>10921</v>
      </c>
      <c r="L247" s="1049">
        <f>0.12*9+1.1*8</f>
        <v>9.8800000000000008</v>
      </c>
      <c r="M247" s="1055">
        <f>L247*I247</f>
        <v>2453.6980000000003</v>
      </c>
    </row>
    <row r="248" spans="1:13" ht="14.1">
      <c r="A248" s="1046"/>
      <c r="B248" s="1061"/>
      <c r="C248" s="1048"/>
      <c r="D248" s="1048"/>
      <c r="E248" s="1048"/>
      <c r="F248" s="1049"/>
      <c r="G248" s="1049"/>
      <c r="H248" s="1049"/>
      <c r="I248" s="1053" t="s">
        <v>1478</v>
      </c>
      <c r="J248" s="1053" t="s">
        <v>37</v>
      </c>
      <c r="K248" s="1053"/>
      <c r="L248" s="1049"/>
      <c r="M248" s="1049"/>
    </row>
    <row r="249" spans="1:13" ht="104.25" customHeight="1">
      <c r="A249" s="1046">
        <v>14</v>
      </c>
      <c r="B249" s="2415" t="s">
        <v>2320</v>
      </c>
      <c r="C249" s="2416"/>
      <c r="D249" s="2416"/>
      <c r="E249" s="2416"/>
      <c r="F249" s="2416"/>
      <c r="G249" s="2416"/>
      <c r="H249" s="2416"/>
      <c r="I249" s="2417"/>
      <c r="J249" s="1049"/>
      <c r="K249" s="1049"/>
      <c r="L249" s="1049"/>
      <c r="M249" s="1049"/>
    </row>
    <row r="250" spans="1:13" ht="14.1">
      <c r="A250" s="1046"/>
      <c r="B250" s="1050" t="s">
        <v>2319</v>
      </c>
      <c r="C250" s="1048">
        <v>1</v>
      </c>
      <c r="D250" s="1048" t="s">
        <v>1472</v>
      </c>
      <c r="E250" s="1048">
        <v>1</v>
      </c>
      <c r="F250" s="1049">
        <f>10*0.3048</f>
        <v>3.048</v>
      </c>
      <c r="G250" s="1084">
        <v>1</v>
      </c>
      <c r="H250" s="1049">
        <f>9*0.3048</f>
        <v>2.7432000000000003</v>
      </c>
      <c r="I250" s="1049">
        <f>ROUND(C250*E250*F250*G250*H250,2)</f>
        <v>8.36</v>
      </c>
      <c r="J250" s="1049"/>
      <c r="K250" s="1049"/>
      <c r="L250" s="1049"/>
      <c r="M250" s="1049"/>
    </row>
    <row r="251" spans="1:13" ht="14.1">
      <c r="A251" s="1046"/>
      <c r="B251" s="1061" t="s">
        <v>2321</v>
      </c>
      <c r="C251" s="1048">
        <v>1</v>
      </c>
      <c r="D251" s="1048" t="s">
        <v>1472</v>
      </c>
      <c r="E251" s="1048">
        <v>2</v>
      </c>
      <c r="F251" s="1049">
        <f>(60.75-2.75)*0.3048</f>
        <v>17.6784</v>
      </c>
      <c r="G251" s="1049"/>
      <c r="H251" s="1049"/>
      <c r="I251" s="1049">
        <f>ROUND(C251*E251*F251,2)</f>
        <v>35.36</v>
      </c>
      <c r="J251" s="1049"/>
      <c r="K251" s="1049"/>
      <c r="L251" s="1049"/>
      <c r="M251" s="1068"/>
    </row>
    <row r="252" spans="1:13" ht="14.1">
      <c r="A252" s="1046"/>
      <c r="B252" s="1061" t="s">
        <v>2322</v>
      </c>
      <c r="C252" s="1048">
        <v>1</v>
      </c>
      <c r="D252" s="1048" t="s">
        <v>1472</v>
      </c>
      <c r="E252" s="1048">
        <v>2</v>
      </c>
      <c r="F252" s="1049">
        <v>1.8</v>
      </c>
      <c r="G252" s="1049"/>
      <c r="H252" s="1049"/>
      <c r="I252" s="1049">
        <f>ROUND(C252*E252*F252,2)</f>
        <v>3.6</v>
      </c>
      <c r="J252" s="1049"/>
      <c r="K252" s="1049"/>
      <c r="L252" s="1049"/>
      <c r="M252" s="1068"/>
    </row>
    <row r="253" spans="1:13" ht="14.1">
      <c r="A253" s="1046"/>
      <c r="B253" s="1061"/>
      <c r="C253" s="1048"/>
      <c r="D253" s="1048"/>
      <c r="E253" s="1048"/>
      <c r="F253" s="1049"/>
      <c r="G253" s="1049"/>
      <c r="H253" s="1049" t="s">
        <v>982</v>
      </c>
      <c r="I253" s="1052">
        <f>SUM(I250:I252)</f>
        <v>47.32</v>
      </c>
      <c r="J253" s="1049">
        <f>Datas!E654</f>
        <v>1489.73</v>
      </c>
      <c r="K253" s="1053">
        <f>ROUND(J253*I253/10,0)</f>
        <v>7049</v>
      </c>
      <c r="L253" s="1049">
        <f>0.12*9+1.1*8</f>
        <v>9.8800000000000008</v>
      </c>
      <c r="M253" s="1055">
        <f>L253*I253</f>
        <v>467.52160000000003</v>
      </c>
    </row>
    <row r="254" spans="1:13" ht="14.1">
      <c r="A254" s="1046"/>
      <c r="B254" s="1061"/>
      <c r="C254" s="1048"/>
      <c r="D254" s="1048"/>
      <c r="E254" s="1048"/>
      <c r="F254" s="1049"/>
      <c r="G254" s="1049"/>
      <c r="H254" s="1049"/>
      <c r="I254" s="1053" t="s">
        <v>1478</v>
      </c>
      <c r="J254" s="1053" t="s">
        <v>37</v>
      </c>
      <c r="K254" s="1053"/>
      <c r="L254" s="1049"/>
      <c r="M254" s="1049"/>
    </row>
    <row r="255" spans="1:13" ht="91.5" customHeight="1">
      <c r="A255" s="1046">
        <v>15</v>
      </c>
      <c r="B255" s="2415" t="s">
        <v>2318</v>
      </c>
      <c r="C255" s="2416"/>
      <c r="D255" s="2416"/>
      <c r="E255" s="2416"/>
      <c r="F255" s="2416"/>
      <c r="G255" s="2416"/>
      <c r="H255" s="2416"/>
      <c r="I255" s="2417"/>
      <c r="J255" s="1049"/>
      <c r="K255" s="1049"/>
      <c r="L255" s="1049"/>
      <c r="M255" s="1049"/>
    </row>
    <row r="256" spans="1:13" ht="14.1">
      <c r="A256" s="1046"/>
      <c r="B256" s="1050" t="s">
        <v>2319</v>
      </c>
      <c r="C256" s="1048">
        <v>1</v>
      </c>
      <c r="D256" s="1048" t="s">
        <v>1472</v>
      </c>
      <c r="E256" s="1048">
        <v>1</v>
      </c>
      <c r="F256" s="1049">
        <f>14*0.3048</f>
        <v>4.2671999999999999</v>
      </c>
      <c r="G256" s="1084">
        <v>1</v>
      </c>
      <c r="H256" s="1049">
        <f>13.5*0.3048</f>
        <v>4.1147999999999998</v>
      </c>
      <c r="I256" s="1049">
        <f>ROUND(C256*E256*F256*G256*H256,2)</f>
        <v>17.559999999999999</v>
      </c>
      <c r="J256" s="1049"/>
      <c r="K256" s="1049"/>
      <c r="L256" s="1049"/>
      <c r="M256" s="1049"/>
    </row>
    <row r="257" spans="1:14" ht="14.1">
      <c r="A257" s="1046"/>
      <c r="B257" s="1061"/>
      <c r="C257" s="1048"/>
      <c r="D257" s="1048"/>
      <c r="E257" s="1048"/>
      <c r="F257" s="1049"/>
      <c r="G257" s="1049"/>
      <c r="H257" s="1049" t="s">
        <v>982</v>
      </c>
      <c r="I257" s="1052">
        <f>SUM(I256:I256)</f>
        <v>17.559999999999999</v>
      </c>
      <c r="J257" s="1049">
        <f>Datas!E867</f>
        <v>489.39799999999997</v>
      </c>
      <c r="K257" s="1053">
        <f>ROUND(J257*I257/10,0)</f>
        <v>859</v>
      </c>
      <c r="L257" s="1049">
        <f>0.12*9+1.1*8</f>
        <v>9.8800000000000008</v>
      </c>
      <c r="M257" s="1055">
        <f>L257*I257</f>
        <v>173.49279999999999</v>
      </c>
    </row>
    <row r="258" spans="1:14" ht="14.1">
      <c r="A258" s="1046"/>
      <c r="B258" s="1061"/>
      <c r="C258" s="1048"/>
      <c r="D258" s="1048"/>
      <c r="E258" s="1048"/>
      <c r="F258" s="1049"/>
      <c r="G258" s="1049"/>
      <c r="H258" s="1049"/>
      <c r="I258" s="1053" t="s">
        <v>1478</v>
      </c>
      <c r="J258" s="1053" t="s">
        <v>37</v>
      </c>
      <c r="K258" s="1053"/>
      <c r="L258" s="1049"/>
      <c r="M258" s="1049"/>
    </row>
    <row r="259" spans="1:14" ht="120.75" customHeight="1">
      <c r="A259" s="1046">
        <v>16</v>
      </c>
      <c r="B259" s="2415" t="s">
        <v>2306</v>
      </c>
      <c r="C259" s="2426"/>
      <c r="D259" s="2426"/>
      <c r="E259" s="2426"/>
      <c r="F259" s="2426"/>
      <c r="G259" s="2426"/>
      <c r="H259" s="2426"/>
      <c r="I259" s="2427"/>
      <c r="J259" s="1049"/>
      <c r="K259" s="1049"/>
      <c r="L259" s="1049"/>
      <c r="M259" s="1049"/>
    </row>
    <row r="260" spans="1:14" ht="14.1">
      <c r="A260" s="1046"/>
      <c r="B260" s="1061" t="s">
        <v>2018</v>
      </c>
      <c r="C260" s="1048">
        <v>1</v>
      </c>
      <c r="D260" s="1048" t="s">
        <v>1472</v>
      </c>
      <c r="E260" s="1048">
        <v>1</v>
      </c>
      <c r="F260" s="1049">
        <f>(46.5)*0.3048</f>
        <v>14.173200000000001</v>
      </c>
      <c r="G260" s="1069"/>
      <c r="H260" s="1049">
        <f>(31.5-1.5)*0.3048</f>
        <v>9.1440000000000001</v>
      </c>
      <c r="I260" s="1049">
        <f>ROUND(C260*E260*F260*H260,2)</f>
        <v>129.6</v>
      </c>
      <c r="J260" s="1049"/>
      <c r="K260" s="1049"/>
      <c r="L260" s="1049"/>
      <c r="M260" s="1049"/>
    </row>
    <row r="261" spans="1:14" ht="14.1">
      <c r="A261" s="1046"/>
      <c r="B261" s="1061" t="s">
        <v>2137</v>
      </c>
      <c r="C261" s="1048">
        <v>1</v>
      </c>
      <c r="D261" s="1048" t="s">
        <v>1472</v>
      </c>
      <c r="E261" s="1048">
        <v>1</v>
      </c>
      <c r="F261" s="1049">
        <f>(12)*0.3048</f>
        <v>3.6576000000000004</v>
      </c>
      <c r="G261" s="1069"/>
      <c r="H261" s="1049">
        <f>(12)*0.3048</f>
        <v>3.6576000000000004</v>
      </c>
      <c r="I261" s="1049">
        <f>ROUND(C261*E261*F261*H261,2)</f>
        <v>13.38</v>
      </c>
      <c r="J261" s="1049"/>
      <c r="K261" s="1049"/>
      <c r="L261" s="1049"/>
      <c r="M261" s="1049"/>
    </row>
    <row r="262" spans="1:14" ht="14.1">
      <c r="A262" s="1046"/>
      <c r="B262" s="1061" t="s">
        <v>2138</v>
      </c>
      <c r="C262" s="1048">
        <v>1</v>
      </c>
      <c r="D262" s="1048" t="s">
        <v>1472</v>
      </c>
      <c r="E262" s="1048">
        <v>1</v>
      </c>
      <c r="F262" s="1049">
        <f>(17.625)*0.3048</f>
        <v>5.3721000000000005</v>
      </c>
      <c r="G262" s="1069"/>
      <c r="H262" s="1049">
        <f>(12)*0.3048</f>
        <v>3.6576000000000004</v>
      </c>
      <c r="I262" s="1049">
        <f>ROUND(C262*E262*F262*H262,2)</f>
        <v>19.649999999999999</v>
      </c>
      <c r="J262" s="1049"/>
      <c r="K262" s="1049"/>
      <c r="L262" s="1049"/>
      <c r="M262" s="1049"/>
    </row>
    <row r="263" spans="1:14" ht="14.1">
      <c r="A263" s="1046"/>
      <c r="B263" s="1061" t="s">
        <v>2262</v>
      </c>
      <c r="C263" s="1048">
        <v>1</v>
      </c>
      <c r="D263" s="1048" t="s">
        <v>1472</v>
      </c>
      <c r="E263" s="1048">
        <v>1</v>
      </c>
      <c r="F263" s="1049">
        <f>(31.5-12)*0.3048</f>
        <v>5.9436</v>
      </c>
      <c r="G263" s="1069"/>
      <c r="H263" s="1049">
        <f>(7)*0.3048</f>
        <v>2.1335999999999999</v>
      </c>
      <c r="I263" s="1049">
        <f>ROUND(C263*E263*F263*H263,2)</f>
        <v>12.68</v>
      </c>
      <c r="J263" s="1049"/>
      <c r="K263" s="1049"/>
      <c r="L263" s="1049"/>
      <c r="M263" s="1049"/>
    </row>
    <row r="264" spans="1:14" ht="14.1">
      <c r="A264" s="1046"/>
      <c r="B264" s="1064" t="s">
        <v>421</v>
      </c>
      <c r="C264" s="1048"/>
      <c r="D264" s="1048"/>
      <c r="E264" s="1048"/>
      <c r="F264" s="1049"/>
      <c r="G264" s="1049"/>
      <c r="H264" s="1049"/>
      <c r="I264" s="1049"/>
      <c r="J264" s="1049"/>
      <c r="K264" s="1049"/>
      <c r="L264" s="1049"/>
      <c r="M264" s="1049"/>
    </row>
    <row r="265" spans="1:14" ht="14.1">
      <c r="A265" s="1046"/>
      <c r="B265" s="1065" t="s">
        <v>2185</v>
      </c>
      <c r="C265" s="1048">
        <v>1</v>
      </c>
      <c r="D265" s="1048" t="s">
        <v>1472</v>
      </c>
      <c r="E265" s="1048">
        <v>1</v>
      </c>
      <c r="F265" s="1049">
        <f>(31.5-6)*0.3048</f>
        <v>7.7724000000000002</v>
      </c>
      <c r="G265" s="1049">
        <v>1</v>
      </c>
      <c r="H265" s="1049">
        <v>0.45</v>
      </c>
      <c r="I265" s="1049">
        <f t="shared" ref="I265:I272" si="12">ROUND(C265*E265*F265*G265*H265,2)</f>
        <v>3.5</v>
      </c>
      <c r="J265" s="1049"/>
      <c r="K265" s="1049"/>
      <c r="L265" s="1049"/>
      <c r="M265" s="1049"/>
      <c r="N265" s="1049"/>
    </row>
    <row r="266" spans="1:14" ht="14.1">
      <c r="A266" s="1046"/>
      <c r="B266" s="1065" t="s">
        <v>2186</v>
      </c>
      <c r="C266" s="1048">
        <v>1</v>
      </c>
      <c r="D266" s="1048" t="s">
        <v>1472</v>
      </c>
      <c r="E266" s="1048">
        <v>1</v>
      </c>
      <c r="F266" s="1049">
        <f>(31.5-6-2)*0.3048</f>
        <v>7.1628000000000007</v>
      </c>
      <c r="G266" s="1049">
        <v>1</v>
      </c>
      <c r="H266" s="1049">
        <v>0.45</v>
      </c>
      <c r="I266" s="1049">
        <f t="shared" si="12"/>
        <v>3.22</v>
      </c>
      <c r="J266" s="1049"/>
      <c r="K266" s="1049"/>
      <c r="L266" s="1049"/>
      <c r="M266" s="1049"/>
      <c r="N266" s="1049"/>
    </row>
    <row r="267" spans="1:14" ht="14.1">
      <c r="A267" s="1046"/>
      <c r="B267" s="1065" t="s">
        <v>2187</v>
      </c>
      <c r="C267" s="1048">
        <v>1</v>
      </c>
      <c r="D267" s="1048" t="s">
        <v>1472</v>
      </c>
      <c r="E267" s="1048">
        <v>1</v>
      </c>
      <c r="F267" s="1049">
        <f>(31.5-6-2-2)*0.3048</f>
        <v>6.5532000000000004</v>
      </c>
      <c r="G267" s="1049">
        <v>1</v>
      </c>
      <c r="H267" s="1049">
        <v>0.45</v>
      </c>
      <c r="I267" s="1049">
        <f t="shared" si="12"/>
        <v>2.95</v>
      </c>
      <c r="J267" s="1049"/>
      <c r="K267" s="1049"/>
      <c r="L267" s="1049"/>
      <c r="M267" s="1049"/>
      <c r="N267" s="1049"/>
    </row>
    <row r="268" spans="1:14" ht="14.1">
      <c r="A268" s="1046"/>
      <c r="B268" s="1065" t="s">
        <v>2188</v>
      </c>
      <c r="C268" s="1048">
        <v>1</v>
      </c>
      <c r="D268" s="1048" t="s">
        <v>1472</v>
      </c>
      <c r="E268" s="1048">
        <v>1</v>
      </c>
      <c r="F268" s="1049">
        <f>(31.5-6-2-2-2)*0.3048</f>
        <v>5.9436</v>
      </c>
      <c r="G268" s="1049">
        <v>1</v>
      </c>
      <c r="H268" s="1049">
        <v>0.45</v>
      </c>
      <c r="I268" s="1049">
        <f t="shared" si="12"/>
        <v>2.67</v>
      </c>
      <c r="J268" s="1049"/>
      <c r="K268" s="1049"/>
      <c r="L268" s="1049"/>
      <c r="M268" s="1049"/>
      <c r="N268" s="1049"/>
    </row>
    <row r="269" spans="1:14" ht="14.1">
      <c r="A269" s="1046"/>
      <c r="B269" s="1065" t="s">
        <v>2189</v>
      </c>
      <c r="C269" s="1048">
        <v>1</v>
      </c>
      <c r="D269" s="1048" t="s">
        <v>1472</v>
      </c>
      <c r="E269" s="1048">
        <v>2</v>
      </c>
      <c r="F269" s="1049">
        <f>(10)*0.3048</f>
        <v>3.048</v>
      </c>
      <c r="G269" s="1049">
        <v>1</v>
      </c>
      <c r="H269" s="1049">
        <v>0.45</v>
      </c>
      <c r="I269" s="1049">
        <f t="shared" si="12"/>
        <v>2.74</v>
      </c>
      <c r="J269" s="1049"/>
      <c r="K269" s="1049"/>
      <c r="L269" s="1049"/>
      <c r="M269" s="1049"/>
      <c r="N269" s="1049"/>
    </row>
    <row r="270" spans="1:14" ht="14.1">
      <c r="A270" s="1046"/>
      <c r="B270" s="1065" t="s">
        <v>2190</v>
      </c>
      <c r="C270" s="1048">
        <v>1</v>
      </c>
      <c r="D270" s="1048" t="s">
        <v>1472</v>
      </c>
      <c r="E270" s="1048">
        <v>2</v>
      </c>
      <c r="F270" s="1049">
        <f>(10-1)*0.3048</f>
        <v>2.7432000000000003</v>
      </c>
      <c r="G270" s="1049">
        <v>1</v>
      </c>
      <c r="H270" s="1049">
        <v>0.45</v>
      </c>
      <c r="I270" s="1049">
        <f t="shared" si="12"/>
        <v>2.4700000000000002</v>
      </c>
      <c r="J270" s="1049"/>
      <c r="K270" s="1049"/>
      <c r="L270" s="1049"/>
      <c r="M270" s="1049"/>
      <c r="N270" s="1049"/>
    </row>
    <row r="271" spans="1:14" ht="14.1">
      <c r="A271" s="1046"/>
      <c r="B271" s="1065" t="s">
        <v>2191</v>
      </c>
      <c r="C271" s="1048">
        <v>1</v>
      </c>
      <c r="D271" s="1048" t="s">
        <v>1472</v>
      </c>
      <c r="E271" s="1048">
        <v>2</v>
      </c>
      <c r="F271" s="1049">
        <f>(10-2)*0.3048</f>
        <v>2.4384000000000001</v>
      </c>
      <c r="G271" s="1049">
        <v>1</v>
      </c>
      <c r="H271" s="1049">
        <v>0.45</v>
      </c>
      <c r="I271" s="1049">
        <f t="shared" si="12"/>
        <v>2.19</v>
      </c>
      <c r="J271" s="1049"/>
      <c r="K271" s="1049"/>
      <c r="L271" s="1049"/>
      <c r="M271" s="1049"/>
      <c r="N271" s="1049"/>
    </row>
    <row r="272" spans="1:14" ht="14.1">
      <c r="A272" s="1046"/>
      <c r="B272" s="1065" t="s">
        <v>2192</v>
      </c>
      <c r="C272" s="1048">
        <v>1</v>
      </c>
      <c r="D272" s="1048" t="s">
        <v>1472</v>
      </c>
      <c r="E272" s="1048">
        <v>2</v>
      </c>
      <c r="F272" s="1049">
        <f>(10-3)*0.3048</f>
        <v>2.1335999999999999</v>
      </c>
      <c r="G272" s="1049">
        <v>1</v>
      </c>
      <c r="H272" s="1049">
        <v>0.45</v>
      </c>
      <c r="I272" s="1049">
        <f t="shared" si="12"/>
        <v>1.92</v>
      </c>
      <c r="J272" s="1049"/>
      <c r="K272" s="1049"/>
      <c r="L272" s="1049"/>
      <c r="M272" s="1049"/>
      <c r="N272" s="1049"/>
    </row>
    <row r="273" spans="1:13" ht="14.1">
      <c r="A273" s="1046"/>
      <c r="B273" s="1061" t="s">
        <v>2139</v>
      </c>
      <c r="C273" s="1048">
        <v>1</v>
      </c>
      <c r="D273" s="1048" t="s">
        <v>1472</v>
      </c>
      <c r="E273" s="1048">
        <v>2</v>
      </c>
      <c r="F273" s="1049">
        <v>1.8</v>
      </c>
      <c r="G273" s="1069"/>
      <c r="H273" s="1049">
        <v>1.45</v>
      </c>
      <c r="I273" s="1049">
        <f>ROUND(C273*E273*F273*H273,2)</f>
        <v>5.22</v>
      </c>
      <c r="J273" s="1049"/>
      <c r="K273" s="1049"/>
      <c r="L273" s="1049"/>
      <c r="M273" s="1049"/>
    </row>
    <row r="274" spans="1:13">
      <c r="A274" s="1048"/>
      <c r="B274" s="1061" t="s">
        <v>40</v>
      </c>
      <c r="C274" s="1048">
        <v>1</v>
      </c>
      <c r="D274" s="1048" t="s">
        <v>1472</v>
      </c>
      <c r="E274" s="1048">
        <v>3</v>
      </c>
      <c r="F274" s="1049">
        <v>1.5</v>
      </c>
      <c r="G274" s="1069"/>
      <c r="H274" s="1049">
        <v>0.23</v>
      </c>
      <c r="I274" s="1049">
        <f>ROUND(C274*E274*F274*H274,2)</f>
        <v>1.04</v>
      </c>
      <c r="J274" s="1049"/>
      <c r="K274" s="1049"/>
      <c r="L274" s="1049"/>
      <c r="M274" s="1049"/>
    </row>
    <row r="275" spans="1:13">
      <c r="A275" s="1048"/>
      <c r="B275" s="1061" t="s">
        <v>41</v>
      </c>
      <c r="C275" s="1048">
        <v>1</v>
      </c>
      <c r="D275" s="1048" t="s">
        <v>1472</v>
      </c>
      <c r="E275" s="1048">
        <v>2</v>
      </c>
      <c r="F275" s="1049">
        <v>0.9</v>
      </c>
      <c r="G275" s="1069"/>
      <c r="H275" s="1049">
        <v>0.23</v>
      </c>
      <c r="I275" s="1049">
        <f>ROUND(C275*E275*F275*H275,2)</f>
        <v>0.41</v>
      </c>
      <c r="J275" s="1049"/>
      <c r="K275" s="1049"/>
      <c r="L275" s="1049"/>
      <c r="M275" s="1049"/>
    </row>
    <row r="276" spans="1:13">
      <c r="A276" s="1048"/>
      <c r="B276" s="1061" t="s">
        <v>2140</v>
      </c>
      <c r="C276" s="1048">
        <v>1</v>
      </c>
      <c r="D276" s="1048" t="s">
        <v>1472</v>
      </c>
      <c r="E276" s="1048">
        <v>2</v>
      </c>
      <c r="F276" s="1049">
        <v>0.9</v>
      </c>
      <c r="G276" s="1069"/>
      <c r="H276" s="1049">
        <v>0.23</v>
      </c>
      <c r="I276" s="1049">
        <f>ROUND(C276*E276*F276*H276,2)</f>
        <v>0.41</v>
      </c>
      <c r="J276" s="1049"/>
      <c r="K276" s="1049"/>
      <c r="L276" s="1049"/>
      <c r="M276" s="1049"/>
    </row>
    <row r="277" spans="1:13" ht="14.1">
      <c r="A277" s="1046"/>
      <c r="B277" s="1061"/>
      <c r="C277" s="1048"/>
      <c r="D277" s="1048"/>
      <c r="E277" s="1048"/>
      <c r="F277" s="1049"/>
      <c r="G277" s="1049"/>
      <c r="H277" s="1049" t="s">
        <v>982</v>
      </c>
      <c r="I277" s="1052">
        <f>SUM(I260:I276)</f>
        <v>204.04999999999995</v>
      </c>
      <c r="J277" s="1049">
        <f>Datas!$G$844</f>
        <v>8348.74</v>
      </c>
      <c r="K277" s="1053">
        <f>ROUND(J277*I277/10,0)</f>
        <v>170356</v>
      </c>
      <c r="L277" s="1049">
        <f>0.12*9+1.1*8</f>
        <v>9.8800000000000008</v>
      </c>
      <c r="M277" s="1055">
        <f>L277*I277</f>
        <v>2016.0139999999997</v>
      </c>
    </row>
    <row r="278" spans="1:13" ht="14.1">
      <c r="A278" s="1046"/>
      <c r="B278" s="1061"/>
      <c r="C278" s="1048"/>
      <c r="D278" s="1048"/>
      <c r="E278" s="1048"/>
      <c r="F278" s="1049"/>
      <c r="G278" s="1049"/>
      <c r="H278" s="1049"/>
      <c r="I278" s="1053" t="s">
        <v>1478</v>
      </c>
      <c r="J278" s="1053" t="s">
        <v>37</v>
      </c>
      <c r="K278" s="1053"/>
      <c r="L278" s="1049"/>
      <c r="M278" s="1049"/>
    </row>
    <row r="279" spans="1:13" ht="42" customHeight="1">
      <c r="A279" s="1046">
        <v>17</v>
      </c>
      <c r="B279" s="2415" t="s">
        <v>2300</v>
      </c>
      <c r="C279" s="2426"/>
      <c r="D279" s="2426"/>
      <c r="E279" s="2426"/>
      <c r="F279" s="2426"/>
      <c r="G279" s="2426"/>
      <c r="H279" s="2426"/>
      <c r="I279" s="2427"/>
      <c r="J279" s="1049"/>
      <c r="K279" s="1049"/>
      <c r="L279" s="1049"/>
      <c r="M279" s="1049"/>
    </row>
    <row r="280" spans="1:13" ht="14.1">
      <c r="A280" s="1046"/>
      <c r="B280" s="1061" t="s">
        <v>2193</v>
      </c>
      <c r="C280" s="1048">
        <v>1</v>
      </c>
      <c r="D280" s="1048" t="s">
        <v>1472</v>
      </c>
      <c r="E280" s="1048">
        <v>2</v>
      </c>
      <c r="F280" s="1049">
        <f>(51.75)*0.3048</f>
        <v>15.773400000000001</v>
      </c>
      <c r="G280" s="1069"/>
      <c r="H280" s="1049">
        <v>1.2</v>
      </c>
      <c r="I280" s="1049">
        <f>ROUND(C280*E280*F280*H280,2)</f>
        <v>37.86</v>
      </c>
      <c r="J280" s="1049"/>
      <c r="K280" s="1049"/>
      <c r="L280" s="1049"/>
      <c r="M280" s="1049"/>
    </row>
    <row r="281" spans="1:13" ht="14.1">
      <c r="A281" s="1046"/>
      <c r="B281" s="1061" t="s">
        <v>2194</v>
      </c>
      <c r="C281" s="1048">
        <v>1</v>
      </c>
      <c r="D281" s="1048" t="s">
        <v>1472</v>
      </c>
      <c r="E281" s="1048">
        <v>2</v>
      </c>
      <c r="F281" s="1049">
        <v>1.8</v>
      </c>
      <c r="G281" s="1069"/>
      <c r="H281" s="1049">
        <v>1.2</v>
      </c>
      <c r="I281" s="1049">
        <f>ROUND(C281*E281*F281*H281,2)</f>
        <v>4.32</v>
      </c>
      <c r="J281" s="1049"/>
      <c r="K281" s="1049"/>
      <c r="L281" s="1049"/>
      <c r="M281" s="1049"/>
    </row>
    <row r="282" spans="1:13" ht="14.1">
      <c r="A282" s="1046"/>
      <c r="B282" s="1061"/>
      <c r="C282" s="1048"/>
      <c r="D282" s="1048"/>
      <c r="E282" s="1048"/>
      <c r="F282" s="1049"/>
      <c r="G282" s="1049"/>
      <c r="H282" s="1049" t="s">
        <v>982</v>
      </c>
      <c r="I282" s="1052">
        <f>SUM(I280:I281)</f>
        <v>42.18</v>
      </c>
      <c r="J282" s="1049">
        <f>Datas!G1265</f>
        <v>9150.58</v>
      </c>
      <c r="K282" s="1053">
        <f>ROUND(J282*I282/10,0)</f>
        <v>38597</v>
      </c>
      <c r="L282" s="1049">
        <f>0.12*9+1.1*8</f>
        <v>9.8800000000000008</v>
      </c>
      <c r="M282" s="1055">
        <f>L282*I282</f>
        <v>416.73840000000001</v>
      </c>
    </row>
    <row r="283" spans="1:13" ht="14.1">
      <c r="A283" s="1046"/>
      <c r="B283" s="1061"/>
      <c r="C283" s="1048"/>
      <c r="D283" s="1048"/>
      <c r="E283" s="1048"/>
      <c r="F283" s="1049"/>
      <c r="G283" s="1049"/>
      <c r="H283" s="1049"/>
      <c r="I283" s="1053" t="s">
        <v>1478</v>
      </c>
      <c r="J283" s="1053" t="s">
        <v>37</v>
      </c>
      <c r="K283" s="1053"/>
      <c r="L283" s="1049"/>
      <c r="M283" s="1049"/>
    </row>
    <row r="284" spans="1:13" ht="138" customHeight="1">
      <c r="A284" s="1046">
        <v>18</v>
      </c>
      <c r="B284" s="2428" t="s">
        <v>2299</v>
      </c>
      <c r="C284" s="2429"/>
      <c r="D284" s="2429"/>
      <c r="E284" s="2429"/>
      <c r="F284" s="2429"/>
      <c r="G284" s="2429"/>
      <c r="H284" s="2429"/>
      <c r="I284" s="2430"/>
      <c r="J284" s="1049"/>
      <c r="K284" s="1049"/>
    </row>
    <row r="285" spans="1:13" ht="14.1">
      <c r="A285" s="1088"/>
      <c r="B285" s="1089" t="s">
        <v>2034</v>
      </c>
      <c r="C285" s="1048">
        <v>1</v>
      </c>
      <c r="D285" s="1048" t="s">
        <v>1472</v>
      </c>
      <c r="E285" s="1048">
        <v>2</v>
      </c>
      <c r="F285" s="1049">
        <v>1.5</v>
      </c>
      <c r="G285" s="1049">
        <v>1.45</v>
      </c>
      <c r="H285" s="1069"/>
      <c r="I285" s="1049">
        <f>ROUND(C285*E285*F285*G285,2)</f>
        <v>4.3499999999999996</v>
      </c>
      <c r="J285" s="1049"/>
      <c r="K285" s="1049"/>
    </row>
    <row r="286" spans="1:13" ht="14.1">
      <c r="A286" s="1046"/>
      <c r="B286" s="1061"/>
      <c r="C286" s="1048"/>
      <c r="D286" s="1048"/>
      <c r="E286" s="1048"/>
      <c r="F286" s="1049"/>
      <c r="G286" s="1049"/>
      <c r="H286" s="1049" t="s">
        <v>982</v>
      </c>
      <c r="I286" s="1052">
        <f>SUM(I285)</f>
        <v>4.3499999999999996</v>
      </c>
      <c r="J286" s="1049">
        <f>Datas!$G$789</f>
        <v>8076.9498000000003</v>
      </c>
      <c r="K286" s="1053">
        <f>ROUND(J286*I286/10,0)</f>
        <v>3513</v>
      </c>
      <c r="L286" s="1049">
        <f>1.1*0+0.012*9</f>
        <v>0.108</v>
      </c>
      <c r="M286" s="1055">
        <f>L286*I286</f>
        <v>0.46979999999999994</v>
      </c>
    </row>
    <row r="287" spans="1:13" ht="14.1">
      <c r="A287" s="1046"/>
      <c r="B287" s="1061"/>
      <c r="C287" s="1048"/>
      <c r="D287" s="1048"/>
      <c r="E287" s="1048"/>
      <c r="F287" s="1049"/>
      <c r="G287" s="1049"/>
      <c r="H287" s="1049"/>
      <c r="I287" s="1053" t="s">
        <v>1478</v>
      </c>
      <c r="J287" s="1053" t="s">
        <v>37</v>
      </c>
      <c r="K287" s="1053"/>
    </row>
    <row r="288" spans="1:13" ht="125.2" customHeight="1">
      <c r="A288" s="1046">
        <v>19</v>
      </c>
      <c r="B288" s="2428" t="s">
        <v>2298</v>
      </c>
      <c r="C288" s="2429"/>
      <c r="D288" s="2429"/>
      <c r="E288" s="2429"/>
      <c r="F288" s="2429"/>
      <c r="G288" s="2429"/>
      <c r="H288" s="2429"/>
      <c r="I288" s="2430"/>
      <c r="J288" s="1049"/>
      <c r="K288" s="1049"/>
    </row>
    <row r="289" spans="1:13" ht="14.1">
      <c r="A289" s="1088"/>
      <c r="B289" s="1089" t="s">
        <v>2184</v>
      </c>
      <c r="C289" s="1048">
        <v>1</v>
      </c>
      <c r="D289" s="1048" t="s">
        <v>1472</v>
      </c>
      <c r="E289" s="1048">
        <v>2</v>
      </c>
      <c r="F289" s="1049">
        <f>2*1.5+2*1.45</f>
        <v>5.9</v>
      </c>
      <c r="G289" s="1090"/>
      <c r="H289" s="1049">
        <v>1.2</v>
      </c>
      <c r="I289" s="1049">
        <f>ROUND(C289*E289*F289*H289,2)</f>
        <v>14.16</v>
      </c>
      <c r="J289" s="1049"/>
      <c r="K289" s="1049"/>
    </row>
    <row r="290" spans="1:13" ht="14.1">
      <c r="A290" s="1088"/>
      <c r="B290" s="1089" t="s">
        <v>2035</v>
      </c>
      <c r="C290" s="1048">
        <v>-1</v>
      </c>
      <c r="D290" s="1048" t="s">
        <v>1472</v>
      </c>
      <c r="E290" s="1048">
        <v>2</v>
      </c>
      <c r="F290" s="1049">
        <v>0.75</v>
      </c>
      <c r="G290" s="1090"/>
      <c r="H290" s="1049">
        <v>1.2</v>
      </c>
      <c r="I290" s="1049">
        <f>ROUND(C290*E290*F290*H290,2)</f>
        <v>-1.8</v>
      </c>
      <c r="J290" s="1049"/>
      <c r="K290" s="1049"/>
    </row>
    <row r="291" spans="1:13" ht="14.1">
      <c r="A291" s="1046"/>
      <c r="B291" s="1061"/>
      <c r="C291" s="1048"/>
      <c r="D291" s="1048"/>
      <c r="E291" s="1048"/>
      <c r="F291" s="1049"/>
      <c r="G291" s="1049"/>
      <c r="H291" s="1049"/>
      <c r="I291" s="1052">
        <f>SUM(I289:I290)</f>
        <v>12.36</v>
      </c>
      <c r="J291" s="1049">
        <f>Datas!$G$806</f>
        <v>6385.4000000000005</v>
      </c>
      <c r="K291" s="1053">
        <f>ROUND(J291*I291/10,0)</f>
        <v>7892</v>
      </c>
      <c r="L291" s="1049">
        <f>0.012*9</f>
        <v>0.108</v>
      </c>
      <c r="M291" s="1055">
        <f>L291*I291</f>
        <v>1.3348799999999998</v>
      </c>
    </row>
    <row r="292" spans="1:13" ht="14.1">
      <c r="A292" s="1046"/>
      <c r="B292" s="1061"/>
      <c r="C292" s="1048"/>
      <c r="D292" s="1048"/>
      <c r="E292" s="1048"/>
      <c r="F292" s="1049"/>
      <c r="G292" s="1049"/>
      <c r="H292" s="1049"/>
      <c r="I292" s="1053" t="s">
        <v>1478</v>
      </c>
      <c r="J292" s="1053" t="s">
        <v>37</v>
      </c>
      <c r="K292" s="1053"/>
      <c r="L292" s="1049"/>
      <c r="M292" s="1055"/>
    </row>
    <row r="293" spans="1:13" ht="132" customHeight="1">
      <c r="A293" s="1046">
        <v>20</v>
      </c>
      <c r="B293" s="2415" t="s">
        <v>2307</v>
      </c>
      <c r="C293" s="2426"/>
      <c r="D293" s="2426"/>
      <c r="E293" s="2426"/>
      <c r="F293" s="2426"/>
      <c r="G293" s="2426"/>
      <c r="H293" s="2426"/>
      <c r="I293" s="2427"/>
      <c r="J293" s="1049"/>
      <c r="K293" s="1049"/>
      <c r="L293" s="1049"/>
      <c r="M293" s="1049"/>
    </row>
    <row r="294" spans="1:13" ht="14.1">
      <c r="A294" s="1046"/>
      <c r="B294" s="1061" t="s">
        <v>2141</v>
      </c>
      <c r="C294" s="1048">
        <v>1</v>
      </c>
      <c r="D294" s="1048" t="s">
        <v>1472</v>
      </c>
      <c r="E294" s="1048">
        <v>2</v>
      </c>
      <c r="F294" s="1049">
        <f>(46.5-1.5)*0.3048</f>
        <v>13.716000000000001</v>
      </c>
      <c r="G294" s="1049">
        <v>0.1</v>
      </c>
      <c r="H294" s="1069"/>
      <c r="I294" s="1049">
        <f>ROUND(C294*E294*F294*G294,2)</f>
        <v>2.74</v>
      </c>
      <c r="J294" s="1049"/>
      <c r="K294" s="1049"/>
      <c r="L294" s="1049"/>
      <c r="M294" s="1049"/>
    </row>
    <row r="295" spans="1:13" ht="14.1">
      <c r="A295" s="1046"/>
      <c r="B295" s="1061" t="s">
        <v>2142</v>
      </c>
      <c r="C295" s="1048">
        <v>1</v>
      </c>
      <c r="D295" s="1048" t="s">
        <v>1472</v>
      </c>
      <c r="E295" s="1048">
        <v>2</v>
      </c>
      <c r="F295" s="1049">
        <f>(30)*0.3048</f>
        <v>9.1440000000000001</v>
      </c>
      <c r="G295" s="1049">
        <v>0.1</v>
      </c>
      <c r="H295" s="1069"/>
      <c r="I295" s="1049">
        <f>ROUND(C295*E295*F295*G295,2)</f>
        <v>1.83</v>
      </c>
      <c r="J295" s="1049"/>
      <c r="K295" s="1049"/>
      <c r="L295" s="1049"/>
      <c r="M295" s="1049"/>
    </row>
    <row r="296" spans="1:13">
      <c r="A296" s="1048"/>
      <c r="B296" s="1061" t="s">
        <v>40</v>
      </c>
      <c r="C296" s="1048">
        <v>1</v>
      </c>
      <c r="D296" s="1048" t="s">
        <v>1472</v>
      </c>
      <c r="E296" s="1048">
        <v>3</v>
      </c>
      <c r="F296" s="1049">
        <v>1.5</v>
      </c>
      <c r="G296" s="1049">
        <v>0.1</v>
      </c>
      <c r="H296" s="1049"/>
      <c r="I296" s="1049">
        <f>-ROUND(C296*E296*F296*G296,2)</f>
        <v>-0.45</v>
      </c>
      <c r="J296" s="1049"/>
      <c r="K296" s="1049"/>
      <c r="L296" s="1049"/>
      <c r="M296" s="1049"/>
    </row>
    <row r="297" spans="1:13">
      <c r="A297" s="1048"/>
      <c r="B297" s="1061" t="s">
        <v>41</v>
      </c>
      <c r="C297" s="1048">
        <v>1</v>
      </c>
      <c r="D297" s="1048" t="s">
        <v>1472</v>
      </c>
      <c r="E297" s="1048">
        <v>2</v>
      </c>
      <c r="F297" s="1049">
        <v>0.9</v>
      </c>
      <c r="G297" s="1049">
        <v>0.1</v>
      </c>
      <c r="H297" s="1049"/>
      <c r="I297" s="1049">
        <f>-ROUND(C297*E297*F297*G297,2)</f>
        <v>-0.18</v>
      </c>
      <c r="J297" s="1049"/>
      <c r="K297" s="1049"/>
      <c r="L297" s="1049"/>
      <c r="M297" s="1049"/>
    </row>
    <row r="298" spans="1:13" ht="14.1">
      <c r="A298" s="1046"/>
      <c r="B298" s="1061"/>
      <c r="C298" s="1048"/>
      <c r="D298" s="1048"/>
      <c r="E298" s="1048"/>
      <c r="F298" s="1049"/>
      <c r="G298" s="1049"/>
      <c r="H298" s="1049" t="s">
        <v>982</v>
      </c>
      <c r="I298" s="1052">
        <f>SUM(I294:I297)</f>
        <v>3.94</v>
      </c>
      <c r="J298" s="1049">
        <f>Datas!$G$844</f>
        <v>8348.74</v>
      </c>
      <c r="K298" s="1053">
        <f>ROUND(J298*I298/10,0)</f>
        <v>3289</v>
      </c>
      <c r="L298" s="1049">
        <f>0.12*9+1.1*8</f>
        <v>9.8800000000000008</v>
      </c>
      <c r="M298" s="1055">
        <f>L298*I298</f>
        <v>38.927199999999999</v>
      </c>
    </row>
    <row r="299" spans="1:13" ht="14.1">
      <c r="A299" s="1046"/>
      <c r="B299" s="1061"/>
      <c r="C299" s="1048"/>
      <c r="D299" s="1048"/>
      <c r="E299" s="1048"/>
      <c r="F299" s="1049"/>
      <c r="G299" s="1049"/>
      <c r="H299" s="1049"/>
      <c r="I299" s="1053" t="s">
        <v>1478</v>
      </c>
      <c r="J299" s="1053" t="s">
        <v>37</v>
      </c>
      <c r="K299" s="1053"/>
      <c r="L299" s="1049"/>
      <c r="M299" s="1049"/>
    </row>
    <row r="300" spans="1:13" ht="91.5" customHeight="1">
      <c r="A300" s="1046">
        <v>21</v>
      </c>
      <c r="B300" s="2415" t="s">
        <v>2308</v>
      </c>
      <c r="C300" s="2416"/>
      <c r="D300" s="2416"/>
      <c r="E300" s="2416"/>
      <c r="F300" s="2416"/>
      <c r="G300" s="2416"/>
      <c r="H300" s="2416"/>
      <c r="I300" s="2417"/>
      <c r="J300" s="1049"/>
      <c r="K300" s="1049"/>
      <c r="L300" s="1049"/>
      <c r="M300" s="1049"/>
    </row>
    <row r="301" spans="1:13" ht="14.1">
      <c r="A301" s="1046"/>
      <c r="B301" s="1057" t="s">
        <v>2143</v>
      </c>
      <c r="C301" s="1080"/>
      <c r="D301" s="1080"/>
      <c r="E301" s="1080"/>
      <c r="F301" s="1080"/>
      <c r="G301" s="1055"/>
      <c r="H301" s="1080"/>
      <c r="I301" s="1081"/>
      <c r="J301" s="1049"/>
      <c r="K301" s="1049"/>
      <c r="L301" s="1049"/>
      <c r="M301" s="1049"/>
    </row>
    <row r="302" spans="1:13" s="1090" customFormat="1" ht="14.1">
      <c r="A302" s="1088"/>
      <c r="B302" s="1061" t="s">
        <v>2141</v>
      </c>
      <c r="C302" s="1048">
        <v>1</v>
      </c>
      <c r="D302" s="1048" t="s">
        <v>1472</v>
      </c>
      <c r="E302" s="1048">
        <v>2</v>
      </c>
      <c r="F302" s="1049">
        <f>(60.75)*0.3048</f>
        <v>18.5166</v>
      </c>
      <c r="H302" s="1049">
        <v>0.6</v>
      </c>
      <c r="I302" s="1049">
        <f>ROUND(C302*E302*F302*H302,2)</f>
        <v>22.22</v>
      </c>
      <c r="J302" s="1049"/>
      <c r="K302" s="1049"/>
      <c r="L302" s="1049"/>
      <c r="M302" s="1049"/>
    </row>
    <row r="303" spans="1:13" s="1090" customFormat="1" ht="14.1">
      <c r="A303" s="1088"/>
      <c r="B303" s="1061" t="s">
        <v>2142</v>
      </c>
      <c r="C303" s="1048">
        <v>1</v>
      </c>
      <c r="D303" s="1048" t="s">
        <v>1472</v>
      </c>
      <c r="E303" s="1048">
        <v>2</v>
      </c>
      <c r="F303" s="1049">
        <f>(31.5)*0.3048</f>
        <v>9.6012000000000004</v>
      </c>
      <c r="H303" s="1049">
        <v>0.6</v>
      </c>
      <c r="I303" s="1049">
        <f>ROUND(C303*E303*F303*H303,2)</f>
        <v>11.52</v>
      </c>
      <c r="J303" s="1049"/>
      <c r="K303" s="1049"/>
      <c r="L303" s="1049"/>
      <c r="M303" s="1049"/>
    </row>
    <row r="304" spans="1:13" s="1090" customFormat="1" ht="14.1">
      <c r="A304" s="1088"/>
      <c r="B304" s="1089" t="s">
        <v>470</v>
      </c>
      <c r="C304" s="1048">
        <v>1</v>
      </c>
      <c r="D304" s="1048" t="s">
        <v>1472</v>
      </c>
      <c r="E304" s="1048">
        <v>1</v>
      </c>
      <c r="F304" s="1049">
        <f>(31.5-6)*0.3048</f>
        <v>7.7724000000000002</v>
      </c>
      <c r="G304" s="1049"/>
      <c r="H304" s="1049">
        <v>0.6</v>
      </c>
      <c r="I304" s="1049">
        <f>-ROUND(C304*E304*F304*H304,2)</f>
        <v>-4.66</v>
      </c>
      <c r="J304" s="1049"/>
      <c r="K304" s="1049"/>
      <c r="L304" s="1049"/>
      <c r="M304" s="1049"/>
    </row>
    <row r="305" spans="1:13" ht="14.1">
      <c r="A305" s="1046"/>
      <c r="B305" s="1057" t="s">
        <v>2124</v>
      </c>
      <c r="C305" s="1080"/>
      <c r="D305" s="1080"/>
      <c r="E305" s="1080"/>
      <c r="F305" s="1080"/>
      <c r="G305" s="1055"/>
      <c r="H305" s="1080"/>
      <c r="I305" s="1081"/>
      <c r="J305" s="1049"/>
      <c r="K305" s="1049"/>
      <c r="L305" s="1049"/>
      <c r="M305" s="1049"/>
    </row>
    <row r="306" spans="1:13" s="1090" customFormat="1" ht="14.1">
      <c r="A306" s="1088"/>
      <c r="B306" s="1061" t="s">
        <v>2141</v>
      </c>
      <c r="C306" s="1048">
        <v>1</v>
      </c>
      <c r="D306" s="1048" t="s">
        <v>1472</v>
      </c>
      <c r="E306" s="1048">
        <v>2</v>
      </c>
      <c r="F306" s="1049">
        <f>(12-6)*0.3048</f>
        <v>1.8288000000000002</v>
      </c>
      <c r="H306" s="1049">
        <v>0.6</v>
      </c>
      <c r="I306" s="1049">
        <f>ROUND(C306*E306*F306*H306,2)</f>
        <v>2.19</v>
      </c>
      <c r="J306" s="1049"/>
      <c r="K306" s="1049"/>
      <c r="L306" s="1049"/>
      <c r="M306" s="1049"/>
    </row>
    <row r="307" spans="1:13" s="1090" customFormat="1" ht="14.1">
      <c r="A307" s="1088"/>
      <c r="B307" s="1061" t="s">
        <v>2142</v>
      </c>
      <c r="C307" s="1048">
        <v>1</v>
      </c>
      <c r="D307" s="1048" t="s">
        <v>1472</v>
      </c>
      <c r="E307" s="1048">
        <v>1</v>
      </c>
      <c r="F307" s="1049">
        <f>(12)*0.3048</f>
        <v>3.6576000000000004</v>
      </c>
      <c r="H307" s="1049">
        <v>0.6</v>
      </c>
      <c r="I307" s="1049">
        <f>ROUND(C307*E307*F307*H307,2)</f>
        <v>2.19</v>
      </c>
      <c r="J307" s="1049"/>
      <c r="K307" s="1049"/>
      <c r="L307" s="1049"/>
      <c r="M307" s="1049"/>
    </row>
    <row r="308" spans="1:13" ht="14.1">
      <c r="A308" s="1046"/>
      <c r="B308" s="1060"/>
      <c r="C308" s="1048"/>
      <c r="D308" s="1048"/>
      <c r="E308" s="1048"/>
      <c r="F308" s="1049"/>
      <c r="G308" s="1049"/>
      <c r="H308" s="1049"/>
      <c r="I308" s="1052">
        <f>SUM(I302:I307)</f>
        <v>33.459999999999994</v>
      </c>
      <c r="J308" s="1049">
        <f>Datas!$G$263</f>
        <v>905.74</v>
      </c>
      <c r="K308" s="1053">
        <f>ROUND(J308*I308/10,0)</f>
        <v>3031</v>
      </c>
      <c r="L308" s="1049">
        <f>0.03*9</f>
        <v>0.27</v>
      </c>
      <c r="M308" s="1055">
        <f>L308*I308</f>
        <v>9.0341999999999985</v>
      </c>
    </row>
    <row r="309" spans="1:13" ht="14.1">
      <c r="A309" s="1046"/>
      <c r="B309" s="1060"/>
      <c r="C309" s="1048"/>
      <c r="D309" s="1048"/>
      <c r="E309" s="1048"/>
      <c r="F309" s="1049"/>
      <c r="G309" s="1049"/>
      <c r="H309" s="1049"/>
      <c r="I309" s="1053" t="s">
        <v>1478</v>
      </c>
      <c r="J309" s="1053" t="s">
        <v>37</v>
      </c>
      <c r="K309" s="1053"/>
      <c r="L309" s="1053"/>
      <c r="M309" s="1053"/>
    </row>
    <row r="310" spans="1:13" ht="14.1">
      <c r="A310" s="1046"/>
      <c r="B310" s="1091"/>
      <c r="C310" s="1072"/>
      <c r="D310" s="1072"/>
      <c r="E310" s="1072"/>
      <c r="F310" s="1073"/>
      <c r="G310" s="1073"/>
      <c r="H310" s="1073"/>
      <c r="I310" s="1092"/>
      <c r="J310" s="1053"/>
      <c r="K310" s="1053"/>
      <c r="L310" s="1053"/>
      <c r="M310" s="1053"/>
    </row>
    <row r="311" spans="1:13" ht="147.75" customHeight="1">
      <c r="A311" s="1046">
        <v>22</v>
      </c>
      <c r="B311" s="2415" t="s">
        <v>2264</v>
      </c>
      <c r="C311" s="2416"/>
      <c r="D311" s="2416"/>
      <c r="E311" s="2416"/>
      <c r="F311" s="2416"/>
      <c r="G311" s="2416"/>
      <c r="H311" s="2416"/>
      <c r="I311" s="2417"/>
      <c r="J311" s="1049"/>
      <c r="K311" s="1049"/>
      <c r="L311" s="1049"/>
      <c r="M311" s="1049"/>
    </row>
    <row r="312" spans="1:13" ht="14.1">
      <c r="A312" s="1046"/>
      <c r="B312" s="1057" t="s">
        <v>2143</v>
      </c>
      <c r="C312" s="1080"/>
      <c r="D312" s="1080"/>
      <c r="E312" s="1080"/>
      <c r="F312" s="1080"/>
      <c r="G312" s="1055"/>
      <c r="H312" s="1080"/>
      <c r="I312" s="1081"/>
      <c r="J312" s="1049"/>
      <c r="K312" s="1049"/>
      <c r="L312" s="1049"/>
      <c r="M312" s="1049"/>
    </row>
    <row r="313" spans="1:13" s="1090" customFormat="1" ht="27.6">
      <c r="A313" s="1088"/>
      <c r="B313" s="1061" t="s">
        <v>2229</v>
      </c>
      <c r="C313" s="1048">
        <v>1</v>
      </c>
      <c r="D313" s="1048" t="s">
        <v>1472</v>
      </c>
      <c r="E313" s="1048">
        <v>1</v>
      </c>
      <c r="F313" s="1049">
        <v>1.8</v>
      </c>
      <c r="H313" s="1049">
        <v>2.4</v>
      </c>
      <c r="I313" s="1049">
        <v>1</v>
      </c>
      <c r="J313" s="1049">
        <f>' data-Doors window- Sal Wood '!J232</f>
        <v>24316.42139</v>
      </c>
      <c r="K313" s="1053">
        <f>ROUND(J313*I313,0)</f>
        <v>24316</v>
      </c>
      <c r="L313" s="1049"/>
      <c r="M313" s="1049"/>
    </row>
    <row r="314" spans="1:13" ht="14.1">
      <c r="A314" s="1046"/>
      <c r="B314" s="1060"/>
      <c r="C314" s="1048"/>
      <c r="D314" s="1048"/>
      <c r="E314" s="1048"/>
      <c r="F314" s="1049"/>
      <c r="G314" s="1049"/>
      <c r="H314" s="1049"/>
      <c r="I314" s="1053" t="s">
        <v>472</v>
      </c>
      <c r="J314" s="1053" t="s">
        <v>166</v>
      </c>
      <c r="K314" s="1053"/>
      <c r="L314" s="1049">
        <f>0.03*9</f>
        <v>0.27</v>
      </c>
      <c r="M314" s="1055" t="e">
        <f>L314*I314</f>
        <v>#VALUE!</v>
      </c>
    </row>
    <row r="315" spans="1:13" ht="147.75" customHeight="1">
      <c r="A315" s="1046">
        <v>23</v>
      </c>
      <c r="B315" s="2415" t="s">
        <v>2269</v>
      </c>
      <c r="C315" s="2416"/>
      <c r="D315" s="2416"/>
      <c r="E315" s="2416"/>
      <c r="F315" s="2416"/>
      <c r="G315" s="2416"/>
      <c r="H315" s="2416"/>
      <c r="I315" s="2417"/>
      <c r="J315" s="1049"/>
      <c r="K315" s="1049"/>
      <c r="L315" s="1049"/>
      <c r="M315" s="1049"/>
    </row>
    <row r="316" spans="1:13" s="1090" customFormat="1" ht="14.1">
      <c r="A316" s="1088"/>
      <c r="B316" s="1061" t="s">
        <v>2265</v>
      </c>
      <c r="C316" s="1048">
        <v>1</v>
      </c>
      <c r="D316" s="1048" t="s">
        <v>1472</v>
      </c>
      <c r="E316" s="1048">
        <v>2</v>
      </c>
      <c r="F316" s="1049">
        <v>1.5</v>
      </c>
      <c r="H316" s="1049">
        <v>2.4</v>
      </c>
      <c r="I316" s="1049">
        <v>2</v>
      </c>
      <c r="J316" s="1049">
        <f>' data-Doors window- Sal Wood '!J194</f>
        <v>13907.051390000001</v>
      </c>
      <c r="K316" s="1053">
        <f>ROUND(J316*I316,0)</f>
        <v>27814</v>
      </c>
      <c r="L316" s="1049"/>
      <c r="M316" s="1049"/>
    </row>
    <row r="317" spans="1:13" ht="14.1">
      <c r="A317" s="1046"/>
      <c r="B317" s="1060"/>
      <c r="C317" s="1048"/>
      <c r="D317" s="1048"/>
      <c r="E317" s="1048"/>
      <c r="F317" s="1049"/>
      <c r="G317" s="1049"/>
      <c r="H317" s="1049"/>
      <c r="I317" s="1053" t="s">
        <v>472</v>
      </c>
      <c r="J317" s="1053" t="s">
        <v>166</v>
      </c>
      <c r="K317" s="1053"/>
      <c r="L317" s="1049">
        <f>0.03*9</f>
        <v>0.27</v>
      </c>
      <c r="M317" s="1055" t="e">
        <f>L317*I317</f>
        <v>#VALUE!</v>
      </c>
    </row>
    <row r="318" spans="1:13" ht="147.75" customHeight="1">
      <c r="A318" s="1046">
        <v>24</v>
      </c>
      <c r="B318" s="2415" t="s">
        <v>2276</v>
      </c>
      <c r="C318" s="2416"/>
      <c r="D318" s="2416"/>
      <c r="E318" s="2416"/>
      <c r="F318" s="2416"/>
      <c r="G318" s="2416"/>
      <c r="H318" s="2416"/>
      <c r="I318" s="2417"/>
      <c r="J318" s="1049"/>
      <c r="K318" s="1049"/>
      <c r="L318" s="1049"/>
      <c r="M318" s="1049"/>
    </row>
    <row r="319" spans="1:13" s="1090" customFormat="1" ht="14.1">
      <c r="A319" s="1088"/>
      <c r="B319" s="1061" t="s">
        <v>2277</v>
      </c>
      <c r="C319" s="1048">
        <v>1</v>
      </c>
      <c r="D319" s="1048" t="s">
        <v>1472</v>
      </c>
      <c r="E319" s="1048">
        <v>2</v>
      </c>
      <c r="F319" s="1049">
        <v>0.9</v>
      </c>
      <c r="H319" s="1049">
        <v>2.1</v>
      </c>
      <c r="I319" s="1049">
        <v>2</v>
      </c>
      <c r="J319" s="1049">
        <f>' data-Doors window- Sal Wood '!J85</f>
        <v>12556.041137249998</v>
      </c>
      <c r="K319" s="1053">
        <f>ROUND(J319*I319,0)</f>
        <v>25112</v>
      </c>
      <c r="L319" s="1049"/>
      <c r="M319" s="1049"/>
    </row>
    <row r="320" spans="1:13" ht="14.1">
      <c r="A320" s="1046"/>
      <c r="B320" s="1060"/>
      <c r="C320" s="1048"/>
      <c r="D320" s="1048"/>
      <c r="E320" s="1048"/>
      <c r="F320" s="1049"/>
      <c r="G320" s="1049"/>
      <c r="H320" s="1049"/>
      <c r="I320" s="1053" t="s">
        <v>472</v>
      </c>
      <c r="J320" s="1053" t="s">
        <v>166</v>
      </c>
      <c r="K320" s="1053"/>
      <c r="L320" s="1049">
        <f>0.03*9</f>
        <v>0.27</v>
      </c>
      <c r="M320" s="1055" t="e">
        <f>L320*I320</f>
        <v>#VALUE!</v>
      </c>
    </row>
    <row r="321" spans="1:16" ht="174.9" customHeight="1">
      <c r="A321" s="1046">
        <v>25</v>
      </c>
      <c r="B321" s="2415" t="s">
        <v>2246</v>
      </c>
      <c r="C321" s="2416"/>
      <c r="D321" s="2416"/>
      <c r="E321" s="2416"/>
      <c r="F321" s="2416"/>
      <c r="G321" s="2416"/>
      <c r="H321" s="2416"/>
      <c r="I321" s="2417"/>
      <c r="J321" s="1049"/>
      <c r="K321" s="1049"/>
      <c r="L321" s="1049"/>
      <c r="M321" s="1049"/>
    </row>
    <row r="322" spans="1:16" s="1090" customFormat="1" ht="14.1">
      <c r="A322" s="1088"/>
      <c r="B322" s="1071"/>
      <c r="C322" s="1048"/>
      <c r="D322" s="1048"/>
      <c r="E322" s="1048"/>
      <c r="F322" s="1049"/>
      <c r="H322" s="1049"/>
      <c r="I322" s="1049"/>
      <c r="J322" s="1049"/>
      <c r="K322" s="1053"/>
      <c r="L322" s="1049"/>
      <c r="M322" s="1068"/>
      <c r="N322" s="1090">
        <v>6134</v>
      </c>
      <c r="O322" s="1090">
        <v>44165</v>
      </c>
      <c r="P322" s="1090">
        <v>6134</v>
      </c>
    </row>
    <row r="323" spans="1:16" s="1090" customFormat="1" ht="14.1">
      <c r="A323" s="1088"/>
      <c r="B323" s="1061" t="s">
        <v>2278</v>
      </c>
      <c r="C323" s="1048">
        <v>1</v>
      </c>
      <c r="D323" s="1048" t="s">
        <v>1472</v>
      </c>
      <c r="E323" s="1048">
        <v>4</v>
      </c>
      <c r="F323" s="1049">
        <v>1.5</v>
      </c>
      <c r="H323" s="1049">
        <v>1.2</v>
      </c>
      <c r="I323" s="1049">
        <f>H323*F323*E323</f>
        <v>7.1999999999999993</v>
      </c>
      <c r="J323" s="1049">
        <v>6134</v>
      </c>
      <c r="K323" s="1053">
        <f>ROUND(J323*I323,0)</f>
        <v>44165</v>
      </c>
      <c r="L323" s="1049"/>
      <c r="M323" s="1049"/>
      <c r="N323" s="1090">
        <f>(3700*0.3048^2)</f>
        <v>343.74124800000004</v>
      </c>
      <c r="O323" s="1090">
        <v>26640</v>
      </c>
      <c r="P323" s="1090">
        <f>(350/0.3048^2)</f>
        <v>3767.3686458484026</v>
      </c>
    </row>
    <row r="324" spans="1:16" ht="14.1">
      <c r="A324" s="1046"/>
      <c r="B324" s="1060"/>
      <c r="C324" s="1048"/>
      <c r="D324" s="1048"/>
      <c r="E324" s="1048"/>
      <c r="F324" s="1049"/>
      <c r="G324" s="1049"/>
      <c r="H324" s="1049"/>
      <c r="I324" s="1053" t="s">
        <v>1478</v>
      </c>
      <c r="J324" s="1053" t="s">
        <v>2169</v>
      </c>
      <c r="K324" s="1053"/>
      <c r="L324" s="1049">
        <f>0.03*9</f>
        <v>0.27</v>
      </c>
      <c r="M324" s="1055" t="e">
        <f>L324*I324</f>
        <v>#VALUE!</v>
      </c>
      <c r="O324" s="1069">
        <f>O322-O323</f>
        <v>17525</v>
      </c>
    </row>
    <row r="325" spans="1:16" ht="138.75" customHeight="1">
      <c r="A325" s="1046">
        <v>26</v>
      </c>
      <c r="B325" s="2415" t="s">
        <v>2274</v>
      </c>
      <c r="C325" s="2416"/>
      <c r="D325" s="2416"/>
      <c r="E325" s="2416"/>
      <c r="F325" s="2416"/>
      <c r="G325" s="2416"/>
      <c r="H325" s="2416"/>
      <c r="I325" s="2417"/>
      <c r="J325" s="1049"/>
      <c r="K325" s="1049"/>
      <c r="L325" s="1049"/>
      <c r="M325" s="1049"/>
    </row>
    <row r="326" spans="1:16" ht="14.1">
      <c r="A326" s="1046"/>
      <c r="B326" s="1057" t="s">
        <v>2144</v>
      </c>
      <c r="C326" s="1048"/>
      <c r="D326" s="1048"/>
      <c r="E326" s="1048"/>
      <c r="F326" s="1049"/>
      <c r="G326" s="1049"/>
      <c r="H326" s="1049"/>
      <c r="I326" s="1053"/>
      <c r="J326" s="1053"/>
      <c r="K326" s="1053"/>
      <c r="L326" s="1049">
        <f>0.03*9</f>
        <v>0.27</v>
      </c>
      <c r="M326" s="1055">
        <f>L326*I326</f>
        <v>0</v>
      </c>
    </row>
    <row r="327" spans="1:16" s="1090" customFormat="1" ht="14.1">
      <c r="A327" s="1088"/>
      <c r="B327" s="1061" t="s">
        <v>2279</v>
      </c>
      <c r="C327" s="1048">
        <v>1</v>
      </c>
      <c r="D327" s="1048" t="s">
        <v>1472</v>
      </c>
      <c r="E327" s="1048">
        <v>2</v>
      </c>
      <c r="F327" s="1049">
        <v>0.75</v>
      </c>
      <c r="H327" s="1049">
        <v>2.1</v>
      </c>
      <c r="I327" s="1049">
        <v>2</v>
      </c>
      <c r="J327" s="1049">
        <f>' data-Doors window- Sal Wood '!J49</f>
        <v>10819.3</v>
      </c>
      <c r="K327" s="1053">
        <f>ROUND(J327*I327,0)</f>
        <v>21639</v>
      </c>
      <c r="L327" s="1049"/>
      <c r="M327" s="1049"/>
    </row>
    <row r="328" spans="1:16" ht="14.1">
      <c r="A328" s="1046"/>
      <c r="B328" s="1060"/>
      <c r="C328" s="1048"/>
      <c r="D328" s="1048"/>
      <c r="E328" s="1048"/>
      <c r="F328" s="1049"/>
      <c r="G328" s="1049"/>
      <c r="H328" s="1049"/>
      <c r="I328" s="1053" t="s">
        <v>472</v>
      </c>
      <c r="J328" s="1053" t="s">
        <v>166</v>
      </c>
      <c r="K328" s="1053"/>
      <c r="L328" s="1049">
        <f>0.03*9</f>
        <v>0.27</v>
      </c>
      <c r="M328" s="1055" t="e">
        <f>L328*I328</f>
        <v>#VALUE!</v>
      </c>
    </row>
    <row r="329" spans="1:16" s="1095" customFormat="1" ht="52.5" customHeight="1">
      <c r="A329" s="1093">
        <v>27</v>
      </c>
      <c r="B329" s="2404" t="s">
        <v>909</v>
      </c>
      <c r="C329" s="2405"/>
      <c r="D329" s="2405"/>
      <c r="E329" s="2405"/>
      <c r="F329" s="2405"/>
      <c r="G329" s="2405"/>
      <c r="H329" s="2405"/>
      <c r="I329" s="2406"/>
      <c r="J329" s="1094"/>
      <c r="K329" s="1094"/>
      <c r="L329" s="1094"/>
      <c r="M329" s="1094"/>
    </row>
    <row r="330" spans="1:16" ht="14.1">
      <c r="A330" s="1046"/>
      <c r="B330" s="1061" t="s">
        <v>2215</v>
      </c>
      <c r="C330" s="1048">
        <v>1</v>
      </c>
      <c r="D330" s="1048" t="s">
        <v>1472</v>
      </c>
      <c r="E330" s="1048">
        <v>6</v>
      </c>
      <c r="F330" s="1049">
        <f>11*0.3048</f>
        <v>3.3528000000000002</v>
      </c>
      <c r="G330" s="1096">
        <v>1</v>
      </c>
      <c r="H330" s="1049">
        <v>0.9</v>
      </c>
      <c r="I330" s="1049">
        <f>ROUND(C330*E330*F330*G330*H330,2)</f>
        <v>18.11</v>
      </c>
      <c r="J330" s="1049"/>
      <c r="K330" s="1049"/>
      <c r="L330" s="1049"/>
      <c r="M330" s="1049"/>
    </row>
    <row r="331" spans="1:16" ht="14.1">
      <c r="A331" s="1046"/>
      <c r="B331" s="1061" t="s">
        <v>2216</v>
      </c>
      <c r="C331" s="1048">
        <v>1</v>
      </c>
      <c r="D331" s="1048" t="s">
        <v>1472</v>
      </c>
      <c r="E331" s="1048">
        <v>2</v>
      </c>
      <c r="F331" s="1049">
        <v>2.4</v>
      </c>
      <c r="G331" s="1096">
        <v>1</v>
      </c>
      <c r="H331" s="1049">
        <v>2</v>
      </c>
      <c r="I331" s="1049">
        <f>ROUND(C331*E331*F331*G331*H331,2)</f>
        <v>9.6</v>
      </c>
      <c r="J331" s="1049"/>
      <c r="K331" s="1049"/>
      <c r="L331" s="1049"/>
      <c r="M331" s="1049"/>
    </row>
    <row r="332" spans="1:16" ht="14.1">
      <c r="A332" s="1046"/>
      <c r="B332" s="1061"/>
      <c r="C332" s="1048"/>
      <c r="D332" s="1048"/>
      <c r="E332" s="1048"/>
      <c r="F332" s="1049"/>
      <c r="G332" s="1096"/>
      <c r="H332" s="1049"/>
      <c r="I332" s="1049">
        <f>SUM(I330:I331)</f>
        <v>27.71</v>
      </c>
      <c r="J332" s="1049"/>
      <c r="K332" s="1049"/>
      <c r="L332" s="1049"/>
      <c r="M332" s="1049"/>
    </row>
    <row r="333" spans="1:16" ht="14.1">
      <c r="A333" s="1046"/>
      <c r="B333" s="1061"/>
      <c r="C333" s="1048"/>
      <c r="D333" s="1048"/>
      <c r="E333" s="1048"/>
      <c r="F333" s="1049"/>
      <c r="G333" s="1049"/>
      <c r="H333" s="1049"/>
      <c r="I333" s="1049">
        <f>ROUND(I332/0.3048^2*2,2)</f>
        <v>596.54</v>
      </c>
      <c r="J333" s="1049">
        <f>Datas!G1054</f>
        <v>116.62</v>
      </c>
      <c r="K333" s="1053">
        <f>ROUND(J333*I333,0)</f>
        <v>69568</v>
      </c>
      <c r="L333" s="1049"/>
      <c r="M333" s="1049"/>
    </row>
    <row r="334" spans="1:16" ht="14.1">
      <c r="A334" s="1046"/>
      <c r="B334" s="1061"/>
      <c r="C334" s="1048"/>
      <c r="D334" s="1048"/>
      <c r="E334" s="1048"/>
      <c r="F334" s="1049"/>
      <c r="G334" s="1049"/>
      <c r="H334" s="1049"/>
      <c r="I334" s="1053" t="s">
        <v>2240</v>
      </c>
      <c r="J334" s="1053" t="s">
        <v>2241</v>
      </c>
      <c r="K334" s="1053"/>
      <c r="L334" s="1049"/>
      <c r="M334" s="1049"/>
    </row>
    <row r="335" spans="1:16" ht="14.1">
      <c r="A335" s="1046"/>
      <c r="B335" s="1071"/>
      <c r="C335" s="1072"/>
      <c r="D335" s="1072"/>
      <c r="E335" s="1072"/>
      <c r="F335" s="1073"/>
      <c r="G335" s="1073"/>
      <c r="H335" s="1073"/>
      <c r="I335" s="1092"/>
      <c r="J335" s="1053"/>
      <c r="K335" s="1053"/>
      <c r="L335" s="1049"/>
      <c r="M335" s="1049"/>
    </row>
    <row r="336" spans="1:16" ht="272.25" customHeight="1">
      <c r="A336" s="1093">
        <v>28</v>
      </c>
      <c r="B336" s="2404" t="s">
        <v>2173</v>
      </c>
      <c r="C336" s="2405"/>
      <c r="D336" s="2405"/>
      <c r="E336" s="2405"/>
      <c r="F336" s="2405"/>
      <c r="G336" s="2405"/>
      <c r="H336" s="2405"/>
      <c r="I336" s="2406"/>
      <c r="J336" s="1094"/>
      <c r="K336" s="1094"/>
      <c r="L336" s="1049"/>
      <c r="M336" s="1049"/>
    </row>
    <row r="337" spans="1:17" ht="27.6">
      <c r="A337" s="1046"/>
      <c r="B337" s="1061" t="s">
        <v>2174</v>
      </c>
      <c r="C337" s="1048">
        <v>1</v>
      </c>
      <c r="D337" s="1048" t="s">
        <v>1472</v>
      </c>
      <c r="E337" s="1048">
        <v>1</v>
      </c>
      <c r="F337" s="1049" t="s">
        <v>2175</v>
      </c>
      <c r="G337" s="1049" t="s">
        <v>2176</v>
      </c>
      <c r="H337" s="1049"/>
      <c r="I337" s="1049">
        <v>2102.13</v>
      </c>
      <c r="J337" s="1049"/>
      <c r="K337" s="1053"/>
      <c r="L337" s="1049"/>
      <c r="M337" s="1049"/>
    </row>
    <row r="338" spans="1:17" ht="14.1">
      <c r="A338" s="1046"/>
      <c r="B338" s="1061" t="s">
        <v>2281</v>
      </c>
      <c r="C338" s="1048">
        <v>1</v>
      </c>
      <c r="D338" s="1048" t="s">
        <v>1472</v>
      </c>
      <c r="E338" s="1048">
        <v>1</v>
      </c>
      <c r="F338" s="1049" t="s">
        <v>2280</v>
      </c>
      <c r="G338" s="1049" t="s">
        <v>2284</v>
      </c>
      <c r="H338" s="1049"/>
      <c r="I338" s="1049">
        <v>40</v>
      </c>
      <c r="J338" s="1049"/>
      <c r="K338" s="1053"/>
      <c r="L338" s="1049"/>
      <c r="M338" s="1049"/>
    </row>
    <row r="339" spans="1:17" ht="14.1">
      <c r="A339" s="1046"/>
      <c r="B339" s="1061" t="s">
        <v>2282</v>
      </c>
      <c r="C339" s="1048">
        <v>1</v>
      </c>
      <c r="D339" s="1048" t="s">
        <v>1472</v>
      </c>
      <c r="E339" s="1048">
        <v>2</v>
      </c>
      <c r="F339" s="1049" t="s">
        <v>2283</v>
      </c>
      <c r="G339" s="1049" t="s">
        <v>2284</v>
      </c>
      <c r="H339" s="1049"/>
      <c r="I339" s="1049">
        <v>70</v>
      </c>
      <c r="J339" s="1049"/>
      <c r="K339" s="1053"/>
      <c r="L339" s="1049"/>
      <c r="M339" s="1049"/>
    </row>
    <row r="340" spans="1:17" ht="14.1">
      <c r="A340" s="1046"/>
      <c r="B340" s="1061" t="s">
        <v>2285</v>
      </c>
      <c r="C340" s="1048">
        <v>1</v>
      </c>
      <c r="D340" s="1048" t="s">
        <v>1472</v>
      </c>
      <c r="E340" s="1048">
        <v>1</v>
      </c>
      <c r="F340" s="1049" t="s">
        <v>2284</v>
      </c>
      <c r="G340" s="1049" t="s">
        <v>2284</v>
      </c>
      <c r="H340" s="1049"/>
      <c r="I340" s="1049">
        <v>25</v>
      </c>
      <c r="J340" s="1049"/>
      <c r="K340" s="1053"/>
      <c r="L340" s="1049"/>
      <c r="M340" s="1049"/>
    </row>
    <row r="341" spans="1:17" ht="14.1">
      <c r="A341" s="1046"/>
      <c r="B341" s="1061"/>
      <c r="C341" s="1048"/>
      <c r="D341" s="1048"/>
      <c r="E341" s="1048"/>
      <c r="F341" s="1049"/>
      <c r="G341" s="1049"/>
      <c r="H341" s="1049"/>
      <c r="I341" s="1049">
        <f>SUM(I337:I340)</f>
        <v>2237.13</v>
      </c>
      <c r="J341" s="1049"/>
      <c r="K341" s="1053"/>
      <c r="L341" s="1049"/>
      <c r="M341" s="1049"/>
    </row>
    <row r="342" spans="1:17" ht="27.6">
      <c r="A342" s="1046"/>
      <c r="B342" s="1061" t="s">
        <v>2177</v>
      </c>
      <c r="C342" s="1048"/>
      <c r="D342" s="1048"/>
      <c r="E342" s="1048"/>
      <c r="F342" s="1049"/>
      <c r="G342" s="1049"/>
      <c r="H342" s="1049"/>
      <c r="I342" s="1049">
        <f>I341*16%</f>
        <v>357.94080000000002</v>
      </c>
      <c r="J342" s="1049"/>
      <c r="K342" s="1053"/>
      <c r="L342" s="1049"/>
      <c r="M342" s="1049"/>
    </row>
    <row r="343" spans="1:17" ht="14.1">
      <c r="A343" s="1046"/>
      <c r="B343" s="1061"/>
      <c r="C343" s="1048"/>
      <c r="D343" s="1048"/>
      <c r="E343" s="1048"/>
      <c r="F343" s="1049"/>
      <c r="G343" s="1049"/>
      <c r="H343" s="1049"/>
      <c r="I343" s="1049">
        <f>SUM(I341:I342)</f>
        <v>2595.0708</v>
      </c>
      <c r="J343" s="1049"/>
      <c r="K343" s="1053"/>
      <c r="L343" s="1049"/>
      <c r="M343" s="1049"/>
      <c r="N343" s="1049"/>
    </row>
    <row r="344" spans="1:17" ht="14.1">
      <c r="A344" s="1046"/>
      <c r="B344" s="1061"/>
      <c r="C344" s="1048"/>
      <c r="D344" s="1048"/>
      <c r="E344" s="1048"/>
      <c r="F344" s="1049"/>
      <c r="G344" s="1049"/>
      <c r="H344" s="1049" t="s">
        <v>2178</v>
      </c>
      <c r="I344" s="1049">
        <f>I343*0.3048^2</f>
        <v>241.08996633523202</v>
      </c>
      <c r="J344" s="1049">
        <v>2006</v>
      </c>
      <c r="K344" s="1053">
        <f>ROUND(J344*I344/1,0)</f>
        <v>483626</v>
      </c>
      <c r="L344" s="1049"/>
      <c r="M344" s="1049"/>
      <c r="N344" s="1053">
        <f>'Rythu Vedhika -14''Trep sheet(H)'!N368</f>
        <v>0</v>
      </c>
      <c r="O344" s="1087">
        <f>N344-K344</f>
        <v>-483626</v>
      </c>
      <c r="P344" s="1087"/>
    </row>
    <row r="345" spans="1:17" ht="14.1">
      <c r="A345" s="1046"/>
      <c r="B345" s="1061"/>
      <c r="C345" s="1048"/>
      <c r="D345" s="1048"/>
      <c r="E345" s="1048"/>
      <c r="F345" s="1049"/>
      <c r="G345" s="1049"/>
      <c r="H345" s="1049"/>
      <c r="I345" s="1053" t="s">
        <v>1478</v>
      </c>
      <c r="J345" s="1053" t="s">
        <v>2169</v>
      </c>
      <c r="K345" s="1053"/>
      <c r="L345" s="1049"/>
      <c r="M345" s="1049"/>
      <c r="P345" s="1087"/>
    </row>
    <row r="346" spans="1:17" s="1095" customFormat="1" ht="34.5" customHeight="1">
      <c r="A346" s="1093">
        <v>29</v>
      </c>
      <c r="B346" s="2404" t="s">
        <v>2179</v>
      </c>
      <c r="C346" s="2405"/>
      <c r="D346" s="2405"/>
      <c r="E346" s="2405"/>
      <c r="F346" s="2405"/>
      <c r="G346" s="2405"/>
      <c r="H346" s="2405"/>
      <c r="I346" s="2406"/>
      <c r="J346" s="1094"/>
      <c r="K346" s="1094"/>
      <c r="L346" s="1094"/>
      <c r="M346" s="1094"/>
      <c r="P346" s="1166"/>
      <c r="Q346" s="1069"/>
    </row>
    <row r="347" spans="1:17" ht="14.1">
      <c r="A347" s="1046"/>
      <c r="B347" s="1071"/>
      <c r="C347" s="1072"/>
      <c r="D347" s="1072"/>
      <c r="E347" s="1072"/>
      <c r="F347" s="1073"/>
      <c r="G347" s="1074"/>
      <c r="H347" s="1069"/>
      <c r="I347" s="1053">
        <v>2</v>
      </c>
      <c r="J347" s="1049">
        <v>15000</v>
      </c>
      <c r="K347" s="1053">
        <v>30000</v>
      </c>
      <c r="L347" s="1049"/>
      <c r="M347" s="1049"/>
    </row>
    <row r="348" spans="1:17" ht="14.1">
      <c r="A348" s="1046"/>
      <c r="B348" s="1061"/>
      <c r="C348" s="1048"/>
      <c r="D348" s="1048"/>
      <c r="E348" s="1048"/>
      <c r="F348" s="1049"/>
      <c r="G348" s="1049"/>
      <c r="H348" s="1049"/>
      <c r="I348" s="1049" t="s">
        <v>472</v>
      </c>
      <c r="J348" s="1053" t="s">
        <v>473</v>
      </c>
      <c r="K348" s="1053"/>
      <c r="L348" s="1049"/>
      <c r="M348" s="1049"/>
    </row>
    <row r="349" spans="1:17" ht="14.1">
      <c r="A349" s="1046"/>
      <c r="B349" s="1071"/>
      <c r="C349" s="1072"/>
      <c r="D349" s="1072"/>
      <c r="E349" s="1072"/>
      <c r="F349" s="1073"/>
      <c r="G349" s="1073"/>
      <c r="H349" s="1073"/>
      <c r="I349" s="1092"/>
      <c r="J349" s="1053"/>
      <c r="K349" s="1053"/>
      <c r="L349" s="1049"/>
      <c r="M349" s="1049"/>
    </row>
    <row r="350" spans="1:17" ht="116.25" customHeight="1">
      <c r="A350" s="1046">
        <v>30</v>
      </c>
      <c r="B350" s="2415" t="s">
        <v>2198</v>
      </c>
      <c r="C350" s="2416"/>
      <c r="D350" s="2416"/>
      <c r="E350" s="2416"/>
      <c r="F350" s="2416"/>
      <c r="G350" s="2416"/>
      <c r="H350" s="2416"/>
      <c r="I350" s="2417"/>
      <c r="J350" s="1049"/>
      <c r="K350" s="1049"/>
      <c r="L350" s="1049"/>
      <c r="M350" s="1049"/>
    </row>
    <row r="351" spans="1:17" ht="14.1">
      <c r="A351" s="1046"/>
      <c r="B351" s="1060" t="s">
        <v>466</v>
      </c>
      <c r="C351" s="1082"/>
      <c r="D351" s="1082"/>
      <c r="E351" s="1082"/>
      <c r="F351" s="1083"/>
      <c r="G351" s="1083"/>
      <c r="H351" s="1083"/>
      <c r="I351" s="1083"/>
      <c r="J351" s="1049"/>
      <c r="K351" s="1049"/>
      <c r="L351" s="1049"/>
      <c r="M351" s="1049"/>
    </row>
    <row r="352" spans="1:17" ht="14.1">
      <c r="A352" s="1046"/>
      <c r="B352" s="1050" t="s">
        <v>2115</v>
      </c>
      <c r="C352" s="1048">
        <v>1</v>
      </c>
      <c r="D352" s="1048" t="s">
        <v>1472</v>
      </c>
      <c r="E352" s="1048">
        <v>2</v>
      </c>
      <c r="F352" s="1049">
        <f>(60.75-0.23*2)*0.3048</f>
        <v>18.376391999999999</v>
      </c>
      <c r="G352" s="1049"/>
      <c r="H352" s="1049">
        <v>3.6</v>
      </c>
      <c r="I352" s="1049">
        <f>ROUND(C352*E352*F352*H352,2)</f>
        <v>132.31</v>
      </c>
      <c r="J352" s="1049"/>
      <c r="K352" s="1049"/>
      <c r="L352" s="1049"/>
      <c r="M352" s="1049"/>
    </row>
    <row r="353" spans="1:13" ht="14.1">
      <c r="A353" s="1046"/>
      <c r="B353" s="1050" t="s">
        <v>2033</v>
      </c>
      <c r="C353" s="1048">
        <v>1</v>
      </c>
      <c r="D353" s="1048" t="s">
        <v>1472</v>
      </c>
      <c r="E353" s="1048">
        <v>2</v>
      </c>
      <c r="F353" s="1049">
        <f>(31.5-2*0.23)*0.3048</f>
        <v>9.460992000000001</v>
      </c>
      <c r="G353" s="1049"/>
      <c r="H353" s="1164" t="s">
        <v>2287</v>
      </c>
      <c r="I353" s="1049">
        <f>ROUND(C353*E353*F353*AVERAGE(3.6,5.4,3.6),2)</f>
        <v>79.47</v>
      </c>
      <c r="J353" s="1049"/>
      <c r="K353" s="1049"/>
      <c r="L353" s="1049"/>
      <c r="M353" s="1049"/>
    </row>
    <row r="354" spans="1:13" ht="27.6">
      <c r="A354" s="1046"/>
      <c r="B354" s="1050" t="s">
        <v>2116</v>
      </c>
      <c r="C354" s="1048">
        <v>1</v>
      </c>
      <c r="D354" s="1048" t="s">
        <v>1472</v>
      </c>
      <c r="E354" s="1048">
        <v>2</v>
      </c>
      <c r="F354" s="1049">
        <f>(31.5-2*0.23)*0.3048</f>
        <v>9.460992000000001</v>
      </c>
      <c r="G354" s="1049"/>
      <c r="H354" s="1049">
        <v>3.6</v>
      </c>
      <c r="I354" s="1049">
        <f>ROUND(C354*E354*F354*H354,2)</f>
        <v>68.12</v>
      </c>
      <c r="J354" s="1049"/>
      <c r="K354" s="1049"/>
      <c r="L354" s="1049"/>
      <c r="M354" s="1049"/>
    </row>
    <row r="355" spans="1:13" ht="27.6">
      <c r="A355" s="1046"/>
      <c r="B355" s="1050" t="s">
        <v>2134</v>
      </c>
      <c r="C355" s="1048">
        <v>1</v>
      </c>
      <c r="D355" s="1048" t="s">
        <v>1472</v>
      </c>
      <c r="E355" s="1048">
        <v>2</v>
      </c>
      <c r="F355" s="1049">
        <v>3.6</v>
      </c>
      <c r="G355" s="1049"/>
      <c r="H355" s="1049">
        <v>3.6</v>
      </c>
      <c r="I355" s="1049">
        <f>ROUND(C355*E355*F355*H355,2)</f>
        <v>25.92</v>
      </c>
      <c r="J355" s="1049"/>
      <c r="K355" s="1049"/>
      <c r="L355" s="1049"/>
      <c r="M355" s="1049"/>
    </row>
    <row r="356" spans="1:13" ht="14.1">
      <c r="A356" s="1046"/>
      <c r="B356" s="1050" t="s">
        <v>2119</v>
      </c>
      <c r="C356" s="1048">
        <v>1</v>
      </c>
      <c r="D356" s="1048" t="s">
        <v>1472</v>
      </c>
      <c r="E356" s="1048">
        <v>2</v>
      </c>
      <c r="F356" s="1049">
        <v>2.1</v>
      </c>
      <c r="G356" s="1049"/>
      <c r="H356" s="1049">
        <v>0.45</v>
      </c>
      <c r="I356" s="1049">
        <f>ROUND(C356*E356*F356*H356,2)</f>
        <v>1.89</v>
      </c>
      <c r="J356" s="1049"/>
      <c r="K356" s="1049"/>
      <c r="L356" s="1049"/>
      <c r="M356" s="1049"/>
    </row>
    <row r="357" spans="1:13" ht="14.1">
      <c r="A357" s="1046"/>
      <c r="B357" s="1050" t="s">
        <v>2120</v>
      </c>
      <c r="C357" s="1048">
        <v>1</v>
      </c>
      <c r="D357" s="1048" t="s">
        <v>1472</v>
      </c>
      <c r="E357" s="1048">
        <v>1</v>
      </c>
      <c r="F357" s="1049">
        <v>4.95</v>
      </c>
      <c r="G357" s="1049"/>
      <c r="H357" s="1049">
        <v>0.45</v>
      </c>
      <c r="I357" s="1049">
        <f>ROUND(C357*E357*F357*H357,2)</f>
        <v>2.23</v>
      </c>
      <c r="J357" s="1049"/>
      <c r="K357" s="1049"/>
      <c r="L357" s="1049"/>
      <c r="M357" s="1049"/>
    </row>
    <row r="358" spans="1:13" ht="14.1">
      <c r="A358" s="1046"/>
      <c r="B358" s="1060" t="s">
        <v>675</v>
      </c>
      <c r="C358" s="1048"/>
      <c r="D358" s="1048"/>
      <c r="E358" s="1048"/>
      <c r="F358" s="1049"/>
      <c r="G358" s="1049"/>
      <c r="H358" s="1049"/>
      <c r="I358" s="1049"/>
      <c r="J358" s="1049"/>
      <c r="K358" s="1049"/>
      <c r="L358" s="1049"/>
      <c r="M358" s="1049"/>
    </row>
    <row r="359" spans="1:13">
      <c r="A359" s="1076"/>
      <c r="B359" s="1061" t="s">
        <v>2223</v>
      </c>
      <c r="C359" s="1048">
        <v>1</v>
      </c>
      <c r="D359" s="1048" t="s">
        <v>1472</v>
      </c>
      <c r="E359" s="1048">
        <v>1</v>
      </c>
      <c r="F359" s="1049">
        <v>1.8</v>
      </c>
      <c r="G359" s="1084">
        <v>1</v>
      </c>
      <c r="H359" s="1049">
        <v>2.4</v>
      </c>
      <c r="I359" s="1049">
        <f t="shared" ref="I359:I364" si="13">-ROUND(C359*E359*F359*G359*H359,2)</f>
        <v>-4.32</v>
      </c>
      <c r="J359" s="1049"/>
      <c r="K359" s="1049"/>
      <c r="L359" s="1049"/>
      <c r="M359" s="1049"/>
    </row>
    <row r="360" spans="1:13">
      <c r="A360" s="1076"/>
      <c r="B360" s="1061" t="s">
        <v>980</v>
      </c>
      <c r="C360" s="1048">
        <v>1</v>
      </c>
      <c r="D360" s="1048" t="s">
        <v>1472</v>
      </c>
      <c r="E360" s="1048">
        <v>2</v>
      </c>
      <c r="F360" s="1049">
        <v>1.5</v>
      </c>
      <c r="G360" s="1084">
        <v>1</v>
      </c>
      <c r="H360" s="1049">
        <v>2.4</v>
      </c>
      <c r="I360" s="1049">
        <f t="shared" si="13"/>
        <v>-7.2</v>
      </c>
      <c r="J360" s="1049"/>
      <c r="K360" s="1049"/>
      <c r="L360" s="1049"/>
      <c r="M360" s="1049"/>
    </row>
    <row r="361" spans="1:13">
      <c r="A361" s="1076"/>
      <c r="B361" s="1061" t="s">
        <v>981</v>
      </c>
      <c r="C361" s="1048">
        <v>1</v>
      </c>
      <c r="D361" s="1048" t="s">
        <v>1472</v>
      </c>
      <c r="E361" s="1048">
        <v>2</v>
      </c>
      <c r="F361" s="1049">
        <v>0.9</v>
      </c>
      <c r="G361" s="1084">
        <v>1</v>
      </c>
      <c r="H361" s="1049">
        <v>2.1</v>
      </c>
      <c r="I361" s="1049">
        <f t="shared" si="13"/>
        <v>-3.78</v>
      </c>
      <c r="J361" s="1049"/>
      <c r="K361" s="1049"/>
      <c r="L361" s="1049"/>
      <c r="M361" s="1049"/>
    </row>
    <row r="362" spans="1:13">
      <c r="A362" s="1076"/>
      <c r="B362" s="1061" t="s">
        <v>2117</v>
      </c>
      <c r="C362" s="1048">
        <v>1</v>
      </c>
      <c r="D362" s="1048" t="s">
        <v>1472</v>
      </c>
      <c r="E362" s="1048">
        <v>1</v>
      </c>
      <c r="F362" s="1049">
        <v>1.5</v>
      </c>
      <c r="G362" s="1084">
        <v>1</v>
      </c>
      <c r="H362" s="1049">
        <v>1.2</v>
      </c>
      <c r="I362" s="1049">
        <f t="shared" si="13"/>
        <v>-1.8</v>
      </c>
      <c r="J362" s="1049"/>
      <c r="K362" s="1049"/>
      <c r="L362" s="1049"/>
      <c r="M362" s="1049"/>
    </row>
    <row r="363" spans="1:13" ht="14.1">
      <c r="A363" s="1046"/>
      <c r="B363" s="1061" t="s">
        <v>2215</v>
      </c>
      <c r="C363" s="1048">
        <v>1</v>
      </c>
      <c r="D363" s="1048" t="s">
        <v>1472</v>
      </c>
      <c r="E363" s="1048">
        <v>6</v>
      </c>
      <c r="F363" s="1049">
        <f>11*0.3048</f>
        <v>3.3528000000000002</v>
      </c>
      <c r="G363" s="1084">
        <v>1</v>
      </c>
      <c r="H363" s="1049">
        <v>0.9</v>
      </c>
      <c r="I363" s="1049">
        <f t="shared" si="13"/>
        <v>-18.11</v>
      </c>
      <c r="J363" s="1049"/>
      <c r="K363" s="1049"/>
      <c r="L363" s="1049"/>
      <c r="M363" s="1049"/>
    </row>
    <row r="364" spans="1:13" ht="14.1">
      <c r="A364" s="1046"/>
      <c r="B364" s="1061" t="s">
        <v>2216</v>
      </c>
      <c r="C364" s="1048">
        <v>1</v>
      </c>
      <c r="D364" s="1048" t="s">
        <v>1472</v>
      </c>
      <c r="E364" s="1048">
        <v>2</v>
      </c>
      <c r="F364" s="1049">
        <v>2.4</v>
      </c>
      <c r="G364" s="1084">
        <v>1</v>
      </c>
      <c r="H364" s="1049">
        <v>2</v>
      </c>
      <c r="I364" s="1049">
        <f t="shared" si="13"/>
        <v>-9.6</v>
      </c>
      <c r="J364" s="1049"/>
      <c r="K364" s="1049"/>
      <c r="L364" s="1049"/>
      <c r="M364" s="1049"/>
    </row>
    <row r="365" spans="1:13" ht="14.1">
      <c r="A365" s="1048"/>
      <c r="B365" s="1060" t="s">
        <v>2124</v>
      </c>
      <c r="C365" s="1048"/>
      <c r="D365" s="1048"/>
      <c r="E365" s="1048"/>
      <c r="F365" s="1049"/>
      <c r="G365" s="1049"/>
      <c r="H365" s="1049"/>
      <c r="I365" s="1049"/>
      <c r="J365" s="1049"/>
      <c r="K365" s="1049"/>
      <c r="L365" s="1049"/>
      <c r="M365" s="1049"/>
    </row>
    <row r="366" spans="1:13" ht="14.1">
      <c r="A366" s="1046"/>
      <c r="B366" s="1050" t="s">
        <v>2093</v>
      </c>
      <c r="C366" s="1048">
        <v>1</v>
      </c>
      <c r="D366" s="1048" t="s">
        <v>1472</v>
      </c>
      <c r="E366" s="1048">
        <v>2</v>
      </c>
      <c r="F366" s="1049">
        <f>10.5*0.3048</f>
        <v>3.2004000000000001</v>
      </c>
      <c r="G366" s="1084">
        <v>1</v>
      </c>
      <c r="H366" s="1049">
        <v>2.9</v>
      </c>
      <c r="I366" s="1049">
        <f>ROUND(C366*E366*F366*G366*H366,2)</f>
        <v>18.559999999999999</v>
      </c>
      <c r="J366" s="1049"/>
      <c r="K366" s="1049"/>
      <c r="L366" s="1049"/>
      <c r="M366" s="1049"/>
    </row>
    <row r="367" spans="1:13" ht="14.1">
      <c r="A367" s="1046"/>
      <c r="B367" s="1050" t="s">
        <v>2094</v>
      </c>
      <c r="C367" s="1048">
        <v>1</v>
      </c>
      <c r="D367" s="1048" t="s">
        <v>1472</v>
      </c>
      <c r="E367" s="1048">
        <v>2</v>
      </c>
      <c r="F367" s="1049">
        <f>10*0.3048</f>
        <v>3.048</v>
      </c>
      <c r="G367" s="1084">
        <v>1</v>
      </c>
      <c r="H367" s="1049">
        <v>2.9</v>
      </c>
      <c r="I367" s="1049">
        <f>ROUND(C367*E367*F367*G367*H367,2)</f>
        <v>17.68</v>
      </c>
      <c r="J367" s="1049"/>
      <c r="K367" s="1049"/>
      <c r="L367" s="1049"/>
      <c r="M367" s="1049"/>
    </row>
    <row r="368" spans="1:13">
      <c r="A368" s="1048"/>
      <c r="B368" s="1061" t="s">
        <v>2125</v>
      </c>
      <c r="C368" s="1048">
        <v>1</v>
      </c>
      <c r="D368" s="1048" t="s">
        <v>1472</v>
      </c>
      <c r="E368" s="1048">
        <v>2</v>
      </c>
      <c r="F368" s="1049">
        <f>10.5*0.3048</f>
        <v>3.2004000000000001</v>
      </c>
      <c r="G368" s="1084">
        <v>1</v>
      </c>
      <c r="H368" s="1049">
        <v>2.1</v>
      </c>
      <c r="I368" s="1049">
        <f>ROUND(C368*E368*F368*G368*H368,2)</f>
        <v>13.44</v>
      </c>
      <c r="J368" s="1049"/>
      <c r="K368" s="1049"/>
      <c r="L368" s="1049"/>
      <c r="M368" s="1049"/>
    </row>
    <row r="369" spans="1:13">
      <c r="A369" s="1048"/>
      <c r="B369" s="1061" t="s">
        <v>2125</v>
      </c>
      <c r="C369" s="1048">
        <v>1</v>
      </c>
      <c r="D369" s="1048" t="s">
        <v>1472</v>
      </c>
      <c r="E369" s="1048">
        <v>2</v>
      </c>
      <c r="F369" s="1049">
        <v>3.42</v>
      </c>
      <c r="G369" s="1084">
        <v>1</v>
      </c>
      <c r="H369" s="1049">
        <v>2.1</v>
      </c>
      <c r="I369" s="1049">
        <f>ROUND(C369*E369*F369*G369*H369,2)</f>
        <v>14.36</v>
      </c>
      <c r="J369" s="1049"/>
      <c r="K369" s="1049"/>
      <c r="L369" s="1049"/>
      <c r="M369" s="1049"/>
    </row>
    <row r="370" spans="1:13" ht="14.1">
      <c r="A370" s="1048"/>
      <c r="B370" s="1060" t="s">
        <v>675</v>
      </c>
      <c r="C370" s="1048"/>
      <c r="D370" s="1048"/>
      <c r="E370" s="1048"/>
      <c r="F370" s="1049"/>
      <c r="G370" s="1049"/>
      <c r="H370" s="1049"/>
      <c r="I370" s="1049"/>
      <c r="J370" s="1049"/>
      <c r="K370" s="1049"/>
      <c r="L370" s="1049"/>
      <c r="M370" s="1049"/>
    </row>
    <row r="371" spans="1:13">
      <c r="A371" s="1048"/>
      <c r="B371" s="1061" t="s">
        <v>2126</v>
      </c>
      <c r="C371" s="1048">
        <v>1</v>
      </c>
      <c r="D371" s="1048" t="s">
        <v>1472</v>
      </c>
      <c r="E371" s="1048">
        <v>2</v>
      </c>
      <c r="F371" s="1049">
        <v>0.9</v>
      </c>
      <c r="G371" s="1084">
        <v>1</v>
      </c>
      <c r="H371" s="1049">
        <v>2.1</v>
      </c>
      <c r="I371" s="1049">
        <f>-ROUND(C371*E371*F371*G371*H371,2)</f>
        <v>-3.78</v>
      </c>
      <c r="J371" s="1049"/>
      <c r="K371" s="1049"/>
      <c r="L371" s="1049"/>
      <c r="M371" s="1049"/>
    </row>
    <row r="372" spans="1:13">
      <c r="A372" s="1048"/>
      <c r="B372" s="1061" t="s">
        <v>101</v>
      </c>
      <c r="C372" s="1048">
        <v>1</v>
      </c>
      <c r="D372" s="1048" t="s">
        <v>1472</v>
      </c>
      <c r="E372" s="1048">
        <v>2</v>
      </c>
      <c r="F372" s="1049">
        <v>0.75</v>
      </c>
      <c r="G372" s="1084">
        <v>1</v>
      </c>
      <c r="H372" s="1049">
        <v>2.1</v>
      </c>
      <c r="I372" s="1049">
        <f>-ROUND(C372*E372*F372*G372*H372,2)</f>
        <v>-3.15</v>
      </c>
      <c r="J372" s="1049"/>
      <c r="K372" s="1049"/>
      <c r="L372" s="1049"/>
      <c r="M372" s="1049"/>
    </row>
    <row r="373" spans="1:13">
      <c r="A373" s="1048"/>
      <c r="B373" s="1061" t="s">
        <v>2224</v>
      </c>
      <c r="C373" s="1048">
        <v>1</v>
      </c>
      <c r="D373" s="1048" t="s">
        <v>1472</v>
      </c>
      <c r="E373" s="1048">
        <v>2</v>
      </c>
      <c r="F373" s="1049">
        <v>0.75</v>
      </c>
      <c r="G373" s="1084">
        <v>1</v>
      </c>
      <c r="H373" s="1049">
        <v>0.3</v>
      </c>
      <c r="I373" s="1049">
        <f>-ROUND(C373*E373*F373*G373*H373,2)</f>
        <v>-0.45</v>
      </c>
      <c r="J373" s="1049"/>
      <c r="K373" s="1049"/>
      <c r="L373" s="1049"/>
      <c r="M373" s="1049"/>
    </row>
    <row r="374" spans="1:13" ht="14.1">
      <c r="A374" s="1046"/>
      <c r="B374" s="1065"/>
      <c r="C374" s="1048"/>
      <c r="D374" s="1048"/>
      <c r="E374" s="1048"/>
      <c r="F374" s="1049"/>
      <c r="G374" s="1049"/>
      <c r="H374" s="1049"/>
      <c r="I374" s="1049">
        <f>SUM(I352:I373)</f>
        <v>321.79000000000008</v>
      </c>
      <c r="J374" s="1049">
        <f>Datas!G892</f>
        <v>1206.3</v>
      </c>
      <c r="K374" s="1053">
        <f>ROUND(J374*I374/10,0)</f>
        <v>38818</v>
      </c>
      <c r="L374" s="1049"/>
      <c r="M374" s="1049"/>
    </row>
    <row r="375" spans="1:13" ht="14.1">
      <c r="A375" s="1046"/>
      <c r="B375" s="1071"/>
      <c r="C375" s="1086"/>
      <c r="D375" s="1086"/>
      <c r="E375" s="1086"/>
      <c r="F375" s="1049"/>
      <c r="G375" s="1086"/>
      <c r="H375" s="1086"/>
      <c r="I375" s="1097" t="s">
        <v>1478</v>
      </c>
      <c r="J375" s="1049" t="s">
        <v>37</v>
      </c>
      <c r="K375" s="1049"/>
      <c r="L375" s="1049"/>
      <c r="M375" s="1049"/>
    </row>
    <row r="376" spans="1:13" ht="107.25" customHeight="1">
      <c r="A376" s="1046">
        <v>31</v>
      </c>
      <c r="B376" s="2415" t="s">
        <v>2244</v>
      </c>
      <c r="C376" s="2416"/>
      <c r="D376" s="2416"/>
      <c r="E376" s="2416"/>
      <c r="F376" s="2416"/>
      <c r="G376" s="2416"/>
      <c r="H376" s="2416"/>
      <c r="I376" s="2417"/>
      <c r="J376" s="1049"/>
      <c r="K376" s="1049"/>
      <c r="L376" s="1049"/>
      <c r="M376" s="1049"/>
    </row>
    <row r="377" spans="1:13" ht="14.1">
      <c r="A377" s="1046"/>
      <c r="B377" s="1060" t="s">
        <v>2135</v>
      </c>
      <c r="C377" s="1082"/>
      <c r="D377" s="1082"/>
      <c r="E377" s="1082"/>
      <c r="F377" s="1083"/>
      <c r="G377" s="1083"/>
      <c r="H377" s="1083"/>
      <c r="I377" s="1083"/>
      <c r="J377" s="1049"/>
      <c r="K377" s="1049"/>
      <c r="L377" s="1049"/>
      <c r="M377" s="1049"/>
    </row>
    <row r="378" spans="1:13" ht="14.1">
      <c r="A378" s="1046"/>
      <c r="B378" s="1050" t="s">
        <v>2115</v>
      </c>
      <c r="C378" s="1048">
        <v>1</v>
      </c>
      <c r="D378" s="1048" t="s">
        <v>1472</v>
      </c>
      <c r="E378" s="1048">
        <v>2</v>
      </c>
      <c r="F378" s="1049">
        <f>60.75*0.3048</f>
        <v>18.5166</v>
      </c>
      <c r="G378" s="1084">
        <v>1</v>
      </c>
      <c r="H378" s="1049">
        <v>3.6</v>
      </c>
      <c r="I378" s="1049">
        <f>ROUND(C378*E378*F378*G378*H378,2)</f>
        <v>133.32</v>
      </c>
      <c r="J378" s="1049"/>
      <c r="K378" s="1049"/>
      <c r="L378" s="1049"/>
      <c r="M378" s="1049"/>
    </row>
    <row r="379" spans="1:13" ht="14.1">
      <c r="A379" s="1046"/>
      <c r="B379" s="1050" t="s">
        <v>2033</v>
      </c>
      <c r="C379" s="1048">
        <v>1</v>
      </c>
      <c r="D379" s="1048" t="s">
        <v>1472</v>
      </c>
      <c r="E379" s="1048">
        <v>2</v>
      </c>
      <c r="F379" s="1049">
        <f>31.5*0.3048</f>
        <v>9.6012000000000004</v>
      </c>
      <c r="G379" s="1084">
        <v>1</v>
      </c>
      <c r="H379" s="1164" t="s">
        <v>2286</v>
      </c>
      <c r="I379" s="1049">
        <f>ROUND(C379*E379*F379*G379*AVERAGE(3.6,5.5,3.6),2)</f>
        <v>81.290000000000006</v>
      </c>
      <c r="J379" s="1049"/>
      <c r="K379" s="1049"/>
      <c r="L379" s="1049"/>
      <c r="M379" s="1049"/>
    </row>
    <row r="380" spans="1:13" ht="14.1">
      <c r="A380" s="1046"/>
      <c r="B380" s="1060" t="s">
        <v>2136</v>
      </c>
      <c r="C380" s="1048"/>
      <c r="D380" s="1048"/>
      <c r="E380" s="1048"/>
      <c r="F380" s="1049"/>
      <c r="G380" s="1084"/>
      <c r="H380" s="1049"/>
      <c r="I380" s="1068"/>
      <c r="J380" s="1049"/>
      <c r="K380" s="1049"/>
      <c r="L380" s="1049"/>
      <c r="M380" s="1068"/>
    </row>
    <row r="381" spans="1:13" ht="14.1">
      <c r="A381" s="1046"/>
      <c r="B381" s="1050" t="s">
        <v>2093</v>
      </c>
      <c r="C381" s="1048">
        <v>1</v>
      </c>
      <c r="D381" s="1048" t="s">
        <v>1472</v>
      </c>
      <c r="E381" s="1048">
        <v>2</v>
      </c>
      <c r="F381" s="1049">
        <f>12*0.3048</f>
        <v>3.6576000000000004</v>
      </c>
      <c r="G381" s="1084">
        <v>1</v>
      </c>
      <c r="H381" s="1049">
        <v>2.4</v>
      </c>
      <c r="I381" s="1049">
        <f>ROUND(C381*E381*F381*G381*H381,2)</f>
        <v>17.559999999999999</v>
      </c>
      <c r="J381" s="1049"/>
      <c r="K381" s="1049"/>
      <c r="L381" s="1049"/>
      <c r="M381" s="1049"/>
    </row>
    <row r="382" spans="1:13" ht="14.1">
      <c r="A382" s="1046"/>
      <c r="B382" s="1050" t="s">
        <v>2094</v>
      </c>
      <c r="C382" s="1048">
        <v>1</v>
      </c>
      <c r="D382" s="1048" t="s">
        <v>1472</v>
      </c>
      <c r="E382" s="1048">
        <v>2</v>
      </c>
      <c r="F382" s="1049">
        <f>11.5*0.3048</f>
        <v>3.5052000000000003</v>
      </c>
      <c r="G382" s="1084">
        <v>1</v>
      </c>
      <c r="H382" s="1049">
        <v>2.4</v>
      </c>
      <c r="I382" s="1049">
        <f>ROUND(C382*E382*F382*G382*H382,2)</f>
        <v>16.82</v>
      </c>
      <c r="J382" s="1049"/>
      <c r="K382" s="1049"/>
      <c r="L382" s="1049"/>
      <c r="M382" s="1049"/>
    </row>
    <row r="383" spans="1:13" ht="14.1">
      <c r="A383" s="1046"/>
      <c r="B383" s="1061"/>
      <c r="C383" s="1048"/>
      <c r="D383" s="1048"/>
      <c r="E383" s="1048"/>
      <c r="F383" s="1049"/>
      <c r="G383" s="1049"/>
      <c r="H383" s="1049" t="s">
        <v>982</v>
      </c>
      <c r="I383" s="1052">
        <f>SUM(I378:I382)</f>
        <v>248.99</v>
      </c>
      <c r="J383" s="1049">
        <f>Datas!G983</f>
        <v>2032.3400000000001</v>
      </c>
      <c r="K383" s="1053">
        <f>ROUND(J383*I383/10,0)</f>
        <v>50603</v>
      </c>
      <c r="L383" s="1049">
        <f>0.12*9+1.1*8</f>
        <v>9.8800000000000008</v>
      </c>
      <c r="M383" s="1055">
        <f>L383*I383</f>
        <v>2460.0212000000001</v>
      </c>
    </row>
    <row r="384" spans="1:13" ht="14.1">
      <c r="A384" s="1046"/>
      <c r="B384" s="1060"/>
      <c r="C384" s="1048"/>
      <c r="D384" s="1048"/>
      <c r="E384" s="1048"/>
      <c r="F384" s="1049"/>
      <c r="G384" s="1049"/>
      <c r="H384" s="1049"/>
      <c r="I384" s="1053" t="s">
        <v>1478</v>
      </c>
      <c r="J384" s="1049" t="s">
        <v>37</v>
      </c>
      <c r="K384" s="1053"/>
      <c r="L384" s="1049"/>
      <c r="M384" s="1049"/>
    </row>
    <row r="385" spans="1:13" ht="48.75" customHeight="1">
      <c r="A385" s="1046">
        <v>32</v>
      </c>
      <c r="B385" s="2428" t="s">
        <v>2180</v>
      </c>
      <c r="C385" s="2429"/>
      <c r="D385" s="2429"/>
      <c r="E385" s="2429"/>
      <c r="F385" s="2429"/>
      <c r="G385" s="2429"/>
      <c r="H385" s="2429"/>
      <c r="I385" s="2430"/>
      <c r="J385" s="1049"/>
      <c r="K385" s="1049"/>
      <c r="L385" s="1049"/>
      <c r="M385" s="1049"/>
    </row>
    <row r="386" spans="1:13">
      <c r="A386" s="1048"/>
      <c r="B386" s="1061" t="s">
        <v>2242</v>
      </c>
      <c r="C386" s="1048">
        <v>1</v>
      </c>
      <c r="D386" s="1048" t="s">
        <v>1472</v>
      </c>
      <c r="E386" s="1048">
        <v>1</v>
      </c>
      <c r="F386" s="1049">
        <v>2.25</v>
      </c>
      <c r="G386" s="1049">
        <v>1.8</v>
      </c>
      <c r="H386" s="1049">
        <v>2.4</v>
      </c>
      <c r="I386" s="1049">
        <f>ROUND(C386*E386*F386*G386*H386,2)</f>
        <v>9.7200000000000006</v>
      </c>
      <c r="J386" s="1049"/>
      <c r="K386" s="1049"/>
      <c r="L386" s="1049"/>
      <c r="M386" s="1049"/>
    </row>
    <row r="387" spans="1:13">
      <c r="A387" s="1048"/>
      <c r="B387" s="1061" t="s">
        <v>2181</v>
      </c>
      <c r="C387" s="1048">
        <v>1</v>
      </c>
      <c r="D387" s="1048" t="s">
        <v>1472</v>
      </c>
      <c r="E387" s="1048">
        <v>2</v>
      </c>
      <c r="F387" s="1049">
        <v>2.25</v>
      </c>
      <c r="G387" s="1049">
        <v>1.5</v>
      </c>
      <c r="H387" s="1049">
        <v>2.4</v>
      </c>
      <c r="I387" s="1049">
        <f>ROUND(C387*E387*F387*G387*H387,2)</f>
        <v>16.2</v>
      </c>
      <c r="J387" s="1049"/>
      <c r="K387" s="1049"/>
      <c r="L387" s="1049"/>
      <c r="M387" s="1049"/>
    </row>
    <row r="388" spans="1:13">
      <c r="A388" s="1048"/>
      <c r="B388" s="1061" t="s">
        <v>981</v>
      </c>
      <c r="C388" s="1048">
        <v>1</v>
      </c>
      <c r="D388" s="1048" t="s">
        <v>1472</v>
      </c>
      <c r="E388" s="1048">
        <v>2</v>
      </c>
      <c r="F388" s="1049">
        <v>2.25</v>
      </c>
      <c r="G388" s="1049">
        <v>0.9</v>
      </c>
      <c r="H388" s="1049">
        <v>2.1</v>
      </c>
      <c r="I388" s="1049">
        <f>ROUND(C388*E388*F388*G388*H388,2)</f>
        <v>8.51</v>
      </c>
      <c r="J388" s="1049"/>
      <c r="K388" s="1049"/>
      <c r="L388" s="1049"/>
      <c r="M388" s="1049"/>
    </row>
    <row r="389" spans="1:13">
      <c r="A389" s="1048"/>
      <c r="B389" s="1061" t="s">
        <v>2182</v>
      </c>
      <c r="C389" s="1048">
        <v>1</v>
      </c>
      <c r="D389" s="1048" t="s">
        <v>1472</v>
      </c>
      <c r="E389" s="1048">
        <v>2</v>
      </c>
      <c r="F389" s="1049">
        <v>2.25</v>
      </c>
      <c r="G389" s="1049">
        <v>0.75</v>
      </c>
      <c r="H389" s="1049">
        <v>2.1</v>
      </c>
      <c r="I389" s="1049">
        <f>ROUND(C389*E389*F389*G389*H389,2)</f>
        <v>7.09</v>
      </c>
      <c r="J389" s="1049"/>
      <c r="K389" s="1049"/>
      <c r="L389" s="1049"/>
      <c r="M389" s="1049"/>
    </row>
    <row r="390" spans="1:13">
      <c r="A390" s="1048"/>
      <c r="B390" s="1061" t="s">
        <v>2117</v>
      </c>
      <c r="C390" s="1048">
        <v>1</v>
      </c>
      <c r="D390" s="1048" t="s">
        <v>1472</v>
      </c>
      <c r="E390" s="1048">
        <v>4</v>
      </c>
      <c r="F390" s="1049">
        <v>2.75</v>
      </c>
      <c r="G390" s="1049">
        <v>1.5</v>
      </c>
      <c r="H390" s="1049">
        <v>1.2</v>
      </c>
      <c r="I390" s="1049">
        <f>ROUND(C390*E390*F390*G390*H390,2)</f>
        <v>19.8</v>
      </c>
      <c r="J390" s="1049"/>
      <c r="K390" s="1049"/>
      <c r="L390" s="1049"/>
      <c r="M390" s="1049"/>
    </row>
    <row r="391" spans="1:13" ht="14.1">
      <c r="A391" s="1046"/>
      <c r="B391" s="1061"/>
      <c r="C391" s="1048"/>
      <c r="D391" s="1048"/>
      <c r="E391" s="1048"/>
      <c r="F391" s="1049"/>
      <c r="G391" s="1049"/>
      <c r="H391" s="1049"/>
      <c r="I391" s="1049">
        <f>SUM(I386:I390)</f>
        <v>61.319999999999993</v>
      </c>
      <c r="J391" s="1049"/>
      <c r="K391" s="1049"/>
      <c r="L391" s="1049"/>
      <c r="M391" s="1049"/>
    </row>
    <row r="392" spans="1:13" ht="14.1">
      <c r="A392" s="1046"/>
      <c r="B392" s="1060"/>
      <c r="C392" s="1048"/>
      <c r="D392" s="1048"/>
      <c r="E392" s="1048"/>
      <c r="F392" s="1049"/>
      <c r="G392" s="1049"/>
      <c r="H392" s="1049" t="s">
        <v>471</v>
      </c>
      <c r="I392" s="1053">
        <f>CEILING(I391,0.05)</f>
        <v>61.35</v>
      </c>
      <c r="J392" s="1049">
        <f>Datas!G925</f>
        <v>113.67999999999999</v>
      </c>
      <c r="K392" s="1053">
        <f>ROUND(J392*I392/10,0)</f>
        <v>697</v>
      </c>
      <c r="L392" s="1049"/>
      <c r="M392" s="1049"/>
    </row>
    <row r="393" spans="1:13" ht="14.1">
      <c r="A393" s="1046"/>
      <c r="B393" s="1060"/>
      <c r="C393" s="1048"/>
      <c r="D393" s="1048"/>
      <c r="E393" s="1048"/>
      <c r="F393" s="1049"/>
      <c r="G393" s="1049"/>
      <c r="H393" s="1049"/>
      <c r="I393" s="1053" t="s">
        <v>1478</v>
      </c>
      <c r="J393" s="1049" t="s">
        <v>37</v>
      </c>
      <c r="K393" s="1053"/>
      <c r="L393" s="1049"/>
      <c r="M393" s="1049"/>
    </row>
    <row r="394" spans="1:13" ht="138" customHeight="1">
      <c r="A394" s="1046">
        <v>33</v>
      </c>
      <c r="B394" s="2415" t="s">
        <v>0</v>
      </c>
      <c r="C394" s="2416"/>
      <c r="D394" s="2416"/>
      <c r="E394" s="2416"/>
      <c r="F394" s="2416"/>
      <c r="G394" s="2416"/>
      <c r="H394" s="2416"/>
      <c r="I394" s="2417"/>
      <c r="J394" s="1049"/>
      <c r="K394" s="1049"/>
      <c r="L394" s="1049"/>
      <c r="M394" s="1049"/>
    </row>
    <row r="395" spans="1:13" ht="20.25" customHeight="1">
      <c r="A395" s="1046"/>
      <c r="B395" s="1060" t="s">
        <v>2050</v>
      </c>
      <c r="C395" s="1048"/>
      <c r="D395" s="1048"/>
      <c r="E395" s="1048"/>
      <c r="F395" s="1049"/>
      <c r="G395" s="1049"/>
      <c r="H395" s="1049"/>
      <c r="I395" s="1053">
        <v>1.6</v>
      </c>
      <c r="J395" s="1049">
        <f>Datas!$G$584</f>
        <v>77799</v>
      </c>
      <c r="K395" s="1053">
        <f>ROUND(J395*I395,0)</f>
        <v>124478</v>
      </c>
      <c r="L395" s="1049"/>
      <c r="M395" s="1049"/>
    </row>
    <row r="396" spans="1:13" ht="20.25" customHeight="1">
      <c r="A396" s="1046"/>
      <c r="B396" s="1060"/>
      <c r="C396" s="1048"/>
      <c r="D396" s="1048"/>
      <c r="E396" s="1048"/>
      <c r="F396" s="1049"/>
      <c r="G396" s="1049"/>
      <c r="H396" s="1049"/>
      <c r="I396" s="1053" t="s">
        <v>205</v>
      </c>
      <c r="J396" s="1049" t="s">
        <v>206</v>
      </c>
      <c r="K396" s="1053"/>
      <c r="L396" s="1049"/>
      <c r="M396" s="1049"/>
    </row>
    <row r="397" spans="1:13" s="1055" customFormat="1" ht="26.25" customHeight="1">
      <c r="A397" s="1030"/>
      <c r="B397" s="2431" t="s">
        <v>1165</v>
      </c>
      <c r="C397" s="2431"/>
      <c r="D397" s="2431"/>
      <c r="E397" s="2431"/>
      <c r="F397" s="2431"/>
      <c r="G397" s="2431"/>
      <c r="H397" s="2431"/>
      <c r="I397" s="2431"/>
      <c r="J397" s="1098"/>
      <c r="K397" s="1029"/>
      <c r="L397" s="1029"/>
    </row>
    <row r="398" spans="1:13" s="1055" customFormat="1" ht="66" customHeight="1">
      <c r="A398" s="1046">
        <v>34</v>
      </c>
      <c r="B398" s="2415" t="s">
        <v>1</v>
      </c>
      <c r="C398" s="2416"/>
      <c r="D398" s="2416"/>
      <c r="E398" s="2416"/>
      <c r="F398" s="2416"/>
      <c r="G398" s="2416"/>
      <c r="H398" s="2416"/>
      <c r="I398" s="2417"/>
      <c r="J398" s="1098"/>
      <c r="K398" s="1029"/>
      <c r="L398" s="1029"/>
    </row>
    <row r="399" spans="1:13" s="1055" customFormat="1" ht="14.1">
      <c r="A399" s="1046"/>
      <c r="B399" s="1076"/>
      <c r="C399" s="1076"/>
      <c r="D399" s="1076"/>
      <c r="E399" s="1098"/>
      <c r="F399" s="1099"/>
      <c r="G399" s="1099"/>
      <c r="H399" s="1100"/>
      <c r="I399" s="1099">
        <v>80</v>
      </c>
      <c r="J399" s="1049">
        <f>'data-Elec '!$H$60</f>
        <v>111.43</v>
      </c>
      <c r="K399" s="1053">
        <f>ROUND(J399*I399,0)</f>
        <v>8914</v>
      </c>
      <c r="L399" s="1029"/>
    </row>
    <row r="400" spans="1:13" s="1055" customFormat="1" ht="18.75" customHeight="1">
      <c r="A400" s="1046"/>
      <c r="B400" s="1076"/>
      <c r="C400" s="1076"/>
      <c r="D400" s="1076"/>
      <c r="E400" s="1098"/>
      <c r="F400" s="1099"/>
      <c r="G400" s="1099"/>
      <c r="H400" s="1100"/>
      <c r="I400" s="1099" t="s">
        <v>495</v>
      </c>
      <c r="J400" s="1049" t="s">
        <v>453</v>
      </c>
      <c r="K400" s="1053"/>
      <c r="L400" s="1029"/>
    </row>
    <row r="401" spans="1:12" s="1055" customFormat="1" ht="42" customHeight="1">
      <c r="A401" s="1046">
        <v>35</v>
      </c>
      <c r="B401" s="2415" t="s">
        <v>1245</v>
      </c>
      <c r="C401" s="2416"/>
      <c r="D401" s="2416"/>
      <c r="E401" s="2416"/>
      <c r="F401" s="2416"/>
      <c r="G401" s="2416"/>
      <c r="H401" s="2416"/>
      <c r="I401" s="2417"/>
      <c r="J401" s="1098"/>
      <c r="K401" s="1029"/>
      <c r="L401" s="1029"/>
    </row>
    <row r="402" spans="1:12" s="1055" customFormat="1" ht="14.1">
      <c r="A402" s="1046"/>
      <c r="B402" s="1076"/>
      <c r="C402" s="1076">
        <v>1</v>
      </c>
      <c r="D402" s="1076" t="s">
        <v>1472</v>
      </c>
      <c r="E402" s="1098">
        <v>1</v>
      </c>
      <c r="F402" s="1099">
        <v>4</v>
      </c>
      <c r="G402" s="1099"/>
      <c r="H402" s="1100"/>
      <c r="I402" s="1099">
        <v>30</v>
      </c>
      <c r="J402" s="1049">
        <f>'data-Elec '!$H$92</f>
        <v>554.66999999999996</v>
      </c>
      <c r="K402" s="1053">
        <f>ROUND(J402*I402,0)</f>
        <v>16640</v>
      </c>
      <c r="L402" s="1029"/>
    </row>
    <row r="403" spans="1:12" s="1055" customFormat="1" ht="18.75" customHeight="1">
      <c r="A403" s="1046"/>
      <c r="B403" s="1076"/>
      <c r="C403" s="1076"/>
      <c r="D403" s="1076"/>
      <c r="E403" s="1098"/>
      <c r="F403" s="1099"/>
      <c r="G403" s="1099"/>
      <c r="H403" s="1100"/>
      <c r="I403" s="1099" t="s">
        <v>1164</v>
      </c>
      <c r="J403" s="1049" t="s">
        <v>3</v>
      </c>
      <c r="K403" s="1053"/>
      <c r="L403" s="1029"/>
    </row>
    <row r="404" spans="1:12" s="1055" customFormat="1" ht="50.25" customHeight="1">
      <c r="A404" s="1046">
        <v>36</v>
      </c>
      <c r="B404" s="2415" t="s">
        <v>1248</v>
      </c>
      <c r="C404" s="2416"/>
      <c r="D404" s="2416"/>
      <c r="E404" s="2416"/>
      <c r="F404" s="2416"/>
      <c r="G404" s="2416"/>
      <c r="H404" s="2416"/>
      <c r="I404" s="2417"/>
      <c r="J404" s="1101"/>
      <c r="K404" s="1029"/>
      <c r="L404" s="1029"/>
    </row>
    <row r="405" spans="1:12" s="1055" customFormat="1" ht="14.1">
      <c r="A405" s="1046"/>
      <c r="B405" s="1076" t="s">
        <v>199</v>
      </c>
      <c r="C405" s="1076">
        <v>1</v>
      </c>
      <c r="D405" s="1076" t="s">
        <v>1472</v>
      </c>
      <c r="E405" s="1098">
        <v>1</v>
      </c>
      <c r="F405" s="1099">
        <v>10</v>
      </c>
      <c r="G405" s="1099"/>
      <c r="H405" s="1100"/>
      <c r="I405" s="1099">
        <v>200</v>
      </c>
      <c r="J405" s="1049">
        <f>'data-Elec '!$H$136</f>
        <v>60.25</v>
      </c>
      <c r="K405" s="1053">
        <f>ROUND(J405*I405,0)</f>
        <v>12050</v>
      </c>
      <c r="L405" s="1029"/>
    </row>
    <row r="406" spans="1:12" s="1055" customFormat="1" ht="14.1">
      <c r="A406" s="1046"/>
      <c r="B406" s="1076"/>
      <c r="C406" s="1076"/>
      <c r="D406" s="1076"/>
      <c r="E406" s="1098"/>
      <c r="F406" s="1099"/>
      <c r="G406" s="1099"/>
      <c r="H406" s="1100"/>
      <c r="I406" s="1099" t="s">
        <v>495</v>
      </c>
      <c r="J406" s="1049" t="s">
        <v>5</v>
      </c>
      <c r="K406" s="1053"/>
      <c r="L406" s="1029"/>
    </row>
    <row r="407" spans="1:12" s="1055" customFormat="1" ht="14.1">
      <c r="A407" s="1046"/>
      <c r="B407" s="1076" t="s">
        <v>200</v>
      </c>
      <c r="C407" s="1076">
        <v>1</v>
      </c>
      <c r="D407" s="1076" t="s">
        <v>1472</v>
      </c>
      <c r="E407" s="1098">
        <v>1</v>
      </c>
      <c r="F407" s="1099">
        <v>10</v>
      </c>
      <c r="G407" s="1099"/>
      <c r="H407" s="1100"/>
      <c r="I407" s="1099">
        <v>200</v>
      </c>
      <c r="J407" s="1049">
        <f>'data-Elec '!$H$149</f>
        <v>100.55</v>
      </c>
      <c r="K407" s="1053">
        <f>ROUND(J407*I407,0)</f>
        <v>20110</v>
      </c>
      <c r="L407" s="1029"/>
    </row>
    <row r="408" spans="1:12" s="1055" customFormat="1" ht="14.1">
      <c r="A408" s="1046"/>
      <c r="B408" s="1076"/>
      <c r="C408" s="1076"/>
      <c r="D408" s="1076"/>
      <c r="E408" s="1098"/>
      <c r="F408" s="1099"/>
      <c r="G408" s="1099"/>
      <c r="H408" s="1100"/>
      <c r="I408" s="1099" t="s">
        <v>495</v>
      </c>
      <c r="J408" s="1049" t="s">
        <v>5</v>
      </c>
      <c r="K408" s="1053"/>
      <c r="L408" s="1029"/>
    </row>
    <row r="409" spans="1:12" s="1055" customFormat="1" ht="69.75" customHeight="1">
      <c r="A409" s="1046">
        <v>37</v>
      </c>
      <c r="B409" s="2415" t="s">
        <v>48</v>
      </c>
      <c r="C409" s="2416"/>
      <c r="D409" s="2416"/>
      <c r="E409" s="2416"/>
      <c r="F409" s="2416"/>
      <c r="G409" s="2416"/>
      <c r="H409" s="2416"/>
      <c r="I409" s="2417"/>
      <c r="J409" s="1098"/>
      <c r="K409" s="1029"/>
      <c r="L409" s="1029"/>
    </row>
    <row r="410" spans="1:12" s="1055" customFormat="1" ht="18" customHeight="1">
      <c r="A410" s="1046"/>
      <c r="B410" s="1076"/>
      <c r="C410" s="1076">
        <v>1</v>
      </c>
      <c r="D410" s="1076" t="s">
        <v>1472</v>
      </c>
      <c r="E410" s="1098">
        <v>1</v>
      </c>
      <c r="F410" s="1099">
        <v>1</v>
      </c>
      <c r="G410" s="1099"/>
      <c r="H410" s="1100"/>
      <c r="I410" s="1099">
        <f>F410</f>
        <v>1</v>
      </c>
      <c r="J410" s="1049">
        <f>'data-Elec '!$H$438</f>
        <v>4622.5</v>
      </c>
      <c r="K410" s="1053">
        <f>ROUND(J410*I410,0)</f>
        <v>4623</v>
      </c>
      <c r="L410" s="1029"/>
    </row>
    <row r="411" spans="1:12" s="1055" customFormat="1" ht="18" customHeight="1">
      <c r="A411" s="1046"/>
      <c r="B411" s="1076"/>
      <c r="C411" s="1076"/>
      <c r="D411" s="1076"/>
      <c r="E411" s="1098"/>
      <c r="F411" s="1099"/>
      <c r="G411" s="1099"/>
      <c r="H411" s="1100"/>
      <c r="I411" s="1099" t="s">
        <v>857</v>
      </c>
      <c r="J411" s="1049" t="s">
        <v>4</v>
      </c>
      <c r="K411" s="1053"/>
      <c r="L411" s="1029"/>
    </row>
    <row r="412" spans="1:12" s="1055" customFormat="1" ht="34.5" customHeight="1">
      <c r="A412" s="1046">
        <v>38</v>
      </c>
      <c r="B412" s="2415" t="s">
        <v>865</v>
      </c>
      <c r="C412" s="2416"/>
      <c r="D412" s="2416"/>
      <c r="E412" s="2416"/>
      <c r="F412" s="2416"/>
      <c r="G412" s="2416"/>
      <c r="H412" s="2416"/>
      <c r="I412" s="2417"/>
      <c r="J412" s="1076"/>
      <c r="K412" s="1031"/>
      <c r="L412" s="1029"/>
    </row>
    <row r="413" spans="1:12" s="1055" customFormat="1" ht="17.25" customHeight="1">
      <c r="A413" s="1046"/>
      <c r="B413" s="1076" t="s">
        <v>451</v>
      </c>
      <c r="C413" s="1076">
        <v>1</v>
      </c>
      <c r="D413" s="1076" t="s">
        <v>1472</v>
      </c>
      <c r="E413" s="1102">
        <v>1</v>
      </c>
      <c r="F413" s="1099"/>
      <c r="G413" s="1099"/>
      <c r="H413" s="1100"/>
      <c r="I413" s="1103">
        <v>16</v>
      </c>
      <c r="J413" s="1049">
        <f>'data-Elec '!H407</f>
        <v>485.96</v>
      </c>
      <c r="K413" s="1053">
        <f>ROUND(J413*I413,0)</f>
        <v>7775</v>
      </c>
      <c r="L413" s="1029"/>
    </row>
    <row r="414" spans="1:12" s="1055" customFormat="1" ht="17.25" customHeight="1">
      <c r="A414" s="1046"/>
      <c r="B414" s="1076"/>
      <c r="C414" s="1076"/>
      <c r="D414" s="1076"/>
      <c r="E414" s="1102"/>
      <c r="F414" s="1099"/>
      <c r="G414" s="1099"/>
      <c r="H414" s="1100"/>
      <c r="I414" s="1103" t="s">
        <v>472</v>
      </c>
      <c r="J414" s="1049" t="s">
        <v>4</v>
      </c>
      <c r="K414" s="1053"/>
      <c r="L414" s="1029"/>
    </row>
    <row r="415" spans="1:12" s="1055" customFormat="1" ht="24.75" customHeight="1">
      <c r="A415" s="1046">
        <v>39</v>
      </c>
      <c r="B415" s="2415" t="s">
        <v>2183</v>
      </c>
      <c r="C415" s="2416"/>
      <c r="D415" s="2416"/>
      <c r="E415" s="2416"/>
      <c r="F415" s="2416"/>
      <c r="G415" s="2416"/>
      <c r="H415" s="2416"/>
      <c r="I415" s="2417"/>
      <c r="J415" s="1076"/>
      <c r="K415" s="1031"/>
      <c r="L415" s="1029"/>
    </row>
    <row r="416" spans="1:12" s="1055" customFormat="1" ht="17.25" customHeight="1">
      <c r="A416" s="1046"/>
      <c r="B416" s="1076"/>
      <c r="C416" s="1076">
        <v>1</v>
      </c>
      <c r="D416" s="1076" t="s">
        <v>1472</v>
      </c>
      <c r="E416" s="1102">
        <v>1</v>
      </c>
      <c r="F416" s="1099"/>
      <c r="G416" s="1099"/>
      <c r="H416" s="1100"/>
      <c r="I416" s="1103">
        <v>16</v>
      </c>
      <c r="J416" s="1049">
        <v>2200</v>
      </c>
      <c r="K416" s="1053">
        <f>ROUND(J416*I416,0)</f>
        <v>35200</v>
      </c>
      <c r="L416" s="1029"/>
    </row>
    <row r="417" spans="1:18" s="1055" customFormat="1" ht="17.25" customHeight="1">
      <c r="A417" s="1046"/>
      <c r="B417" s="1076"/>
      <c r="C417" s="1076"/>
      <c r="D417" s="1076"/>
      <c r="E417" s="1102"/>
      <c r="F417" s="1099"/>
      <c r="G417" s="1099"/>
      <c r="H417" s="1100"/>
      <c r="I417" s="1103" t="s">
        <v>472</v>
      </c>
      <c r="J417" s="1049" t="s">
        <v>4</v>
      </c>
      <c r="K417" s="1053"/>
      <c r="L417" s="1029"/>
    </row>
    <row r="418" spans="1:18" s="1055" customFormat="1" ht="71.25" customHeight="1">
      <c r="A418" s="1046">
        <v>40</v>
      </c>
      <c r="B418" s="2415" t="s">
        <v>1386</v>
      </c>
      <c r="C418" s="2416"/>
      <c r="D418" s="2416"/>
      <c r="E418" s="2416"/>
      <c r="F418" s="2416"/>
      <c r="G418" s="2416"/>
      <c r="H418" s="2416"/>
      <c r="I418" s="2417"/>
      <c r="J418" s="1076"/>
      <c r="K418" s="1031"/>
      <c r="L418" s="1029"/>
    </row>
    <row r="419" spans="1:18" s="1055" customFormat="1" ht="17.25" customHeight="1">
      <c r="A419" s="1046"/>
      <c r="B419" s="1076"/>
      <c r="C419" s="1076">
        <v>1</v>
      </c>
      <c r="D419" s="1076" t="s">
        <v>1472</v>
      </c>
      <c r="E419" s="1102">
        <v>1</v>
      </c>
      <c r="F419" s="1099"/>
      <c r="G419" s="1099"/>
      <c r="H419" s="1100"/>
      <c r="I419" s="1103">
        <v>1</v>
      </c>
      <c r="J419" s="1049">
        <f>'data-Elec '!H458</f>
        <v>4910.21</v>
      </c>
      <c r="K419" s="1053">
        <f>ROUND(J419*I419,0)</f>
        <v>4910</v>
      </c>
      <c r="L419" s="1029"/>
    </row>
    <row r="420" spans="1:18" s="1055" customFormat="1" ht="17.25" customHeight="1">
      <c r="A420" s="1046"/>
      <c r="B420" s="1076"/>
      <c r="C420" s="1076"/>
      <c r="D420" s="1076"/>
      <c r="E420" s="1102"/>
      <c r="F420" s="1099"/>
      <c r="G420" s="1099"/>
      <c r="H420" s="1100"/>
      <c r="I420" s="1103" t="s">
        <v>472</v>
      </c>
      <c r="J420" s="1049" t="s">
        <v>4</v>
      </c>
      <c r="K420" s="1053"/>
      <c r="L420" s="1029"/>
    </row>
    <row r="421" spans="1:18" s="1055" customFormat="1" ht="42" customHeight="1">
      <c r="A421" s="1046">
        <v>41</v>
      </c>
      <c r="B421" s="2415" t="s">
        <v>1147</v>
      </c>
      <c r="C421" s="2416"/>
      <c r="D421" s="2416"/>
      <c r="E421" s="2416"/>
      <c r="F421" s="2416"/>
      <c r="G421" s="2416"/>
      <c r="H421" s="2416"/>
      <c r="I421" s="2417"/>
      <c r="J421" s="1076"/>
      <c r="K421" s="1031"/>
      <c r="L421" s="1029"/>
    </row>
    <row r="422" spans="1:18" s="1055" customFormat="1" ht="17.25" customHeight="1">
      <c r="A422" s="1046"/>
      <c r="B422" s="1076"/>
      <c r="C422" s="1076">
        <v>1</v>
      </c>
      <c r="D422" s="1076" t="s">
        <v>1472</v>
      </c>
      <c r="E422" s="1102">
        <v>1</v>
      </c>
      <c r="F422" s="1099"/>
      <c r="G422" s="1099"/>
      <c r="H422" s="1100"/>
      <c r="I422" s="1103">
        <v>1</v>
      </c>
      <c r="J422" s="1049">
        <f>'data-Elec '!H381</f>
        <v>5291.56</v>
      </c>
      <c r="K422" s="1053">
        <f>ROUND(J422*I422,0)</f>
        <v>5292</v>
      </c>
      <c r="L422" s="1029"/>
    </row>
    <row r="423" spans="1:18" s="1055" customFormat="1" ht="17.25" customHeight="1">
      <c r="A423" s="1046"/>
      <c r="B423" s="1076"/>
      <c r="C423" s="1076"/>
      <c r="D423" s="1076"/>
      <c r="E423" s="1102"/>
      <c r="F423" s="1099"/>
      <c r="G423" s="1099"/>
      <c r="H423" s="1100"/>
      <c r="I423" s="1103" t="s">
        <v>472</v>
      </c>
      <c r="J423" s="1049" t="s">
        <v>4</v>
      </c>
      <c r="K423" s="1053"/>
      <c r="L423" s="1029"/>
    </row>
    <row r="424" spans="1:18" s="1107" customFormat="1" ht="27.75" customHeight="1">
      <c r="A424" s="1104"/>
      <c r="B424" s="2411" t="s">
        <v>1163</v>
      </c>
      <c r="C424" s="2411"/>
      <c r="D424" s="2411"/>
      <c r="E424" s="2411"/>
      <c r="F424" s="2411"/>
      <c r="G424" s="2411"/>
      <c r="H424" s="2411"/>
      <c r="I424" s="1105"/>
      <c r="J424" s="1106"/>
      <c r="K424" s="1032"/>
      <c r="L424" s="1032"/>
    </row>
    <row r="425" spans="1:18" s="1107" customFormat="1" ht="48" customHeight="1">
      <c r="A425" s="1104">
        <v>42</v>
      </c>
      <c r="B425" s="2408" t="s">
        <v>211</v>
      </c>
      <c r="C425" s="2409"/>
      <c r="D425" s="2409"/>
      <c r="E425" s="2409"/>
      <c r="F425" s="2409"/>
      <c r="G425" s="2409"/>
      <c r="H425" s="2409"/>
      <c r="I425" s="2410"/>
      <c r="J425" s="1109"/>
      <c r="K425" s="1032"/>
      <c r="L425" s="1032"/>
      <c r="M425" s="1110"/>
      <c r="N425" s="1110"/>
      <c r="O425" s="1110"/>
      <c r="P425" s="1110"/>
      <c r="Q425" s="1111"/>
      <c r="R425" s="1110"/>
    </row>
    <row r="426" spans="1:18" s="1107" customFormat="1" ht="14.1">
      <c r="A426" s="1104"/>
      <c r="B426" s="1112"/>
      <c r="C426" s="1106">
        <v>1</v>
      </c>
      <c r="D426" s="1112" t="s">
        <v>1472</v>
      </c>
      <c r="E426" s="1106">
        <v>1</v>
      </c>
      <c r="F426" s="1113">
        <v>1</v>
      </c>
      <c r="G426" s="1113"/>
      <c r="H426" s="1113"/>
      <c r="I426" s="1113">
        <v>2</v>
      </c>
      <c r="J426" s="1114">
        <f>' DATA -Sanitary&amp;water supply'!$G$5</f>
        <v>2207</v>
      </c>
      <c r="K426" s="1115">
        <f>ROUND(J426*I426,0)</f>
        <v>4414</v>
      </c>
      <c r="L426" s="1032"/>
      <c r="M426" s="1110"/>
      <c r="N426" s="1110"/>
      <c r="O426" s="1110"/>
      <c r="P426" s="1110"/>
      <c r="Q426" s="1111"/>
      <c r="R426" s="1110"/>
    </row>
    <row r="427" spans="1:18" s="1107" customFormat="1" ht="14.1">
      <c r="A427" s="1104"/>
      <c r="B427" s="1112"/>
      <c r="C427" s="1112"/>
      <c r="D427" s="1112"/>
      <c r="E427" s="1106"/>
      <c r="F427" s="1105"/>
      <c r="G427" s="1105"/>
      <c r="H427" s="1105"/>
      <c r="I427" s="1105" t="s">
        <v>857</v>
      </c>
      <c r="J427" s="1114" t="s">
        <v>4</v>
      </c>
      <c r="K427" s="1115"/>
      <c r="L427" s="1032"/>
      <c r="M427" s="1110"/>
      <c r="N427" s="1110"/>
      <c r="O427" s="1110"/>
      <c r="P427" s="1110"/>
      <c r="Q427" s="1111"/>
      <c r="R427" s="1110"/>
    </row>
    <row r="428" spans="1:18" s="1107" customFormat="1" ht="30" customHeight="1">
      <c r="A428" s="1104">
        <v>43</v>
      </c>
      <c r="B428" s="2408" t="s">
        <v>2086</v>
      </c>
      <c r="C428" s="2409"/>
      <c r="D428" s="2409"/>
      <c r="E428" s="2409"/>
      <c r="F428" s="2409"/>
      <c r="G428" s="2409"/>
      <c r="H428" s="2409"/>
      <c r="I428" s="2410"/>
      <c r="J428" s="1109"/>
      <c r="K428" s="1032"/>
      <c r="L428" s="1032"/>
      <c r="M428" s="1110"/>
      <c r="N428" s="1110"/>
      <c r="O428" s="1110"/>
      <c r="P428" s="1110"/>
      <c r="Q428" s="1111"/>
      <c r="R428" s="1110"/>
    </row>
    <row r="429" spans="1:18" s="1107" customFormat="1" ht="14.1">
      <c r="A429" s="1104"/>
      <c r="B429" s="1112" t="s">
        <v>2056</v>
      </c>
      <c r="C429" s="1106">
        <v>1</v>
      </c>
      <c r="D429" s="1112" t="s">
        <v>1472</v>
      </c>
      <c r="E429" s="1106">
        <v>2</v>
      </c>
      <c r="F429" s="1113">
        <v>6</v>
      </c>
      <c r="G429" s="1113"/>
      <c r="H429" s="1113"/>
      <c r="I429" s="1113">
        <f>F429*E429</f>
        <v>12</v>
      </c>
      <c r="J429" s="1114">
        <v>400</v>
      </c>
      <c r="K429" s="1115">
        <f>ROUND(J429*I429,0)</f>
        <v>4800</v>
      </c>
      <c r="L429" s="1032"/>
      <c r="M429" s="1110"/>
      <c r="N429" s="1110"/>
      <c r="O429" s="1110"/>
      <c r="P429" s="1110"/>
      <c r="Q429" s="1111"/>
      <c r="R429" s="1110"/>
    </row>
    <row r="430" spans="1:18" s="1107" customFormat="1" ht="14.1">
      <c r="A430" s="1104"/>
      <c r="B430" s="1112"/>
      <c r="C430" s="1112"/>
      <c r="D430" s="1112"/>
      <c r="E430" s="1106"/>
      <c r="F430" s="1105"/>
      <c r="G430" s="1105"/>
      <c r="H430" s="1105"/>
      <c r="I430" s="1105" t="s">
        <v>857</v>
      </c>
      <c r="J430" s="1114" t="s">
        <v>4</v>
      </c>
      <c r="K430" s="1115"/>
      <c r="L430" s="1032"/>
      <c r="M430" s="1110"/>
      <c r="N430" s="1110"/>
      <c r="O430" s="1110"/>
      <c r="P430" s="1110"/>
      <c r="Q430" s="1111"/>
      <c r="R430" s="1110"/>
    </row>
    <row r="431" spans="1:18" s="1107" customFormat="1" ht="34.5" customHeight="1">
      <c r="A431" s="1104">
        <v>44</v>
      </c>
      <c r="B431" s="2408" t="s">
        <v>2087</v>
      </c>
      <c r="C431" s="2409"/>
      <c r="D431" s="2409"/>
      <c r="E431" s="2409"/>
      <c r="F431" s="2409"/>
      <c r="G431" s="2409"/>
      <c r="H431" s="2409"/>
      <c r="I431" s="2410"/>
      <c r="J431" s="1109"/>
      <c r="K431" s="1032"/>
      <c r="L431" s="1032"/>
      <c r="M431" s="1110"/>
      <c r="N431" s="1110"/>
      <c r="O431" s="1110"/>
      <c r="P431" s="1110"/>
      <c r="Q431" s="1111"/>
      <c r="R431" s="1110"/>
    </row>
    <row r="432" spans="1:18" s="1107" customFormat="1" ht="27.6">
      <c r="A432" s="1104"/>
      <c r="B432" s="1112" t="s">
        <v>2088</v>
      </c>
      <c r="C432" s="1106">
        <v>1</v>
      </c>
      <c r="D432" s="1112" t="s">
        <v>1472</v>
      </c>
      <c r="E432" s="1106">
        <v>2</v>
      </c>
      <c r="F432" s="1113">
        <v>1</v>
      </c>
      <c r="G432" s="1113"/>
      <c r="H432" s="1113"/>
      <c r="I432" s="1113">
        <f>F432*E432</f>
        <v>2</v>
      </c>
      <c r="J432" s="1114">
        <v>732</v>
      </c>
      <c r="K432" s="1115">
        <f>ROUND(J432*I432,0)</f>
        <v>1464</v>
      </c>
      <c r="L432" s="1032"/>
      <c r="M432" s="1110"/>
      <c r="N432" s="1110"/>
      <c r="O432" s="1110"/>
      <c r="P432" s="1110"/>
      <c r="Q432" s="1111"/>
      <c r="R432" s="1110"/>
    </row>
    <row r="433" spans="1:18" s="1107" customFormat="1" ht="14.1">
      <c r="A433" s="1104"/>
      <c r="B433" s="1112"/>
      <c r="C433" s="1112"/>
      <c r="D433" s="1112"/>
      <c r="E433" s="1106"/>
      <c r="F433" s="1105"/>
      <c r="G433" s="1105"/>
      <c r="H433" s="1105"/>
      <c r="I433" s="1105" t="s">
        <v>857</v>
      </c>
      <c r="J433" s="1114" t="s">
        <v>4</v>
      </c>
      <c r="K433" s="1115"/>
      <c r="L433" s="1032"/>
      <c r="M433" s="1110"/>
      <c r="N433" s="1110"/>
      <c r="O433" s="1110"/>
      <c r="P433" s="1110"/>
      <c r="Q433" s="1111"/>
      <c r="R433" s="1110"/>
    </row>
    <row r="434" spans="1:18" s="1107" customFormat="1" ht="22.5" customHeight="1">
      <c r="A434" s="1104">
        <v>45</v>
      </c>
      <c r="B434" s="2408" t="s">
        <v>2037</v>
      </c>
      <c r="C434" s="2409"/>
      <c r="D434" s="2409"/>
      <c r="E434" s="2409"/>
      <c r="F434" s="2409"/>
      <c r="G434" s="2409"/>
      <c r="H434" s="2409"/>
      <c r="I434" s="1105"/>
      <c r="J434" s="1106"/>
      <c r="K434" s="1033"/>
      <c r="L434" s="1032"/>
      <c r="M434" s="1110"/>
      <c r="N434" s="1111"/>
      <c r="O434" s="1111"/>
      <c r="P434" s="1111"/>
      <c r="Q434" s="1111"/>
      <c r="R434" s="1110"/>
    </row>
    <row r="435" spans="1:18" s="1107" customFormat="1" ht="14.1">
      <c r="A435" s="1104"/>
      <c r="B435" s="1116" t="s">
        <v>2038</v>
      </c>
      <c r="C435" s="1117"/>
      <c r="D435" s="1117"/>
      <c r="E435" s="1117"/>
      <c r="F435" s="1117"/>
      <c r="G435" s="1117"/>
      <c r="H435" s="1117"/>
      <c r="I435" s="1105">
        <v>6</v>
      </c>
      <c r="J435" s="1114">
        <f>' DATA -Sanitary&amp;water supply'!$G$160</f>
        <v>178</v>
      </c>
      <c r="K435" s="1115">
        <f>ROUND(J435*I435,0)</f>
        <v>1068</v>
      </c>
      <c r="L435" s="1032"/>
      <c r="M435" s="1110"/>
      <c r="N435" s="1111"/>
      <c r="O435" s="1111"/>
      <c r="P435" s="1111"/>
      <c r="Q435" s="1111"/>
      <c r="R435" s="1110"/>
    </row>
    <row r="436" spans="1:18" s="1107" customFormat="1" ht="14.1">
      <c r="A436" s="1104"/>
      <c r="B436" s="1117"/>
      <c r="C436" s="1117"/>
      <c r="D436" s="1117"/>
      <c r="E436" s="1117"/>
      <c r="F436" s="1117"/>
      <c r="G436" s="1117"/>
      <c r="H436" s="1117"/>
      <c r="I436" s="1105" t="s">
        <v>452</v>
      </c>
      <c r="J436" s="1114" t="s">
        <v>453</v>
      </c>
      <c r="K436" s="1115"/>
      <c r="L436" s="1032"/>
      <c r="M436" s="1110"/>
      <c r="N436" s="1111"/>
      <c r="O436" s="1111"/>
      <c r="P436" s="1111"/>
      <c r="Q436" s="1111"/>
      <c r="R436" s="1110"/>
    </row>
    <row r="437" spans="1:18" s="1107" customFormat="1" ht="14.1">
      <c r="A437" s="1104">
        <v>46</v>
      </c>
      <c r="B437" s="1116" t="s">
        <v>2039</v>
      </c>
      <c r="C437" s="1117"/>
      <c r="D437" s="1117"/>
      <c r="E437" s="1117"/>
      <c r="F437" s="1117"/>
      <c r="G437" s="1117"/>
      <c r="H437" s="1117"/>
      <c r="I437" s="1105">
        <v>6</v>
      </c>
      <c r="J437" s="1114">
        <f>' DATA -Sanitary&amp;water supply'!$G$156</f>
        <v>155</v>
      </c>
      <c r="K437" s="1115">
        <f>ROUND(J437*I437,0)</f>
        <v>930</v>
      </c>
      <c r="L437" s="1032"/>
      <c r="M437" s="1110"/>
      <c r="N437" s="1111"/>
      <c r="O437" s="1111"/>
      <c r="P437" s="1111"/>
      <c r="Q437" s="1111"/>
      <c r="R437" s="1110"/>
    </row>
    <row r="438" spans="1:18" s="1107" customFormat="1" ht="14.1">
      <c r="A438" s="1104"/>
      <c r="B438" s="1117"/>
      <c r="C438" s="1117"/>
      <c r="D438" s="1117"/>
      <c r="E438" s="1117"/>
      <c r="F438" s="1117"/>
      <c r="G438" s="1117"/>
      <c r="H438" s="1117"/>
      <c r="I438" s="1105" t="s">
        <v>452</v>
      </c>
      <c r="J438" s="1114" t="s">
        <v>453</v>
      </c>
      <c r="K438" s="1115"/>
      <c r="L438" s="1032"/>
      <c r="M438" s="1110"/>
      <c r="N438" s="1111"/>
      <c r="O438" s="1111"/>
      <c r="P438" s="1111"/>
      <c r="Q438" s="1111"/>
      <c r="R438" s="1110"/>
    </row>
    <row r="439" spans="1:18" s="1107" customFormat="1" ht="30.75" customHeight="1">
      <c r="A439" s="1104">
        <v>47</v>
      </c>
      <c r="B439" s="2412" t="s">
        <v>2245</v>
      </c>
      <c r="C439" s="2413"/>
      <c r="D439" s="2413"/>
      <c r="E439" s="2413"/>
      <c r="F439" s="2413"/>
      <c r="G439" s="2413"/>
      <c r="H439" s="2414"/>
      <c r="I439" s="1106"/>
      <c r="J439" s="1109"/>
      <c r="K439" s="1033"/>
      <c r="L439" s="1032"/>
      <c r="M439" s="1110"/>
      <c r="N439" s="1110"/>
      <c r="O439" s="1110"/>
      <c r="P439" s="1110"/>
      <c r="Q439" s="1111"/>
      <c r="R439" s="1110"/>
    </row>
    <row r="440" spans="1:18" s="1107" customFormat="1" ht="14.1">
      <c r="A440" s="1104"/>
      <c r="B440" s="1117"/>
      <c r="C440" s="1117"/>
      <c r="D440" s="1117"/>
      <c r="E440" s="1117"/>
      <c r="F440" s="1117"/>
      <c r="G440" s="1117"/>
      <c r="H440" s="1117"/>
      <c r="I440" s="1105">
        <v>6</v>
      </c>
      <c r="J440" s="1114">
        <f>' DATA -Sanitary&amp;water supply'!$G$39</f>
        <v>204.33</v>
      </c>
      <c r="K440" s="1115">
        <f>ROUND(J440*I440,0)</f>
        <v>1226</v>
      </c>
      <c r="L440" s="1032"/>
      <c r="M440" s="1110"/>
      <c r="N440" s="1110"/>
      <c r="O440" s="1110"/>
      <c r="P440" s="1110"/>
      <c r="Q440" s="1111"/>
      <c r="R440" s="1110"/>
    </row>
    <row r="441" spans="1:18" s="1107" customFormat="1" ht="14.1">
      <c r="A441" s="1104"/>
      <c r="B441" s="1117"/>
      <c r="C441" s="1117"/>
      <c r="D441" s="1117"/>
      <c r="E441" s="1117"/>
      <c r="F441" s="1117"/>
      <c r="G441" s="1117"/>
      <c r="H441" s="1117"/>
      <c r="I441" s="1105" t="s">
        <v>452</v>
      </c>
      <c r="J441" s="1106" t="s">
        <v>453</v>
      </c>
      <c r="K441" s="1033"/>
      <c r="L441" s="1032"/>
      <c r="M441" s="1110"/>
      <c r="N441" s="1111"/>
      <c r="O441" s="1111"/>
      <c r="P441" s="1111"/>
      <c r="Q441" s="1111"/>
      <c r="R441" s="1110"/>
    </row>
    <row r="442" spans="1:18" s="1107" customFormat="1" ht="31.5" customHeight="1">
      <c r="A442" s="1104">
        <v>48</v>
      </c>
      <c r="B442" s="2412" t="s">
        <v>207</v>
      </c>
      <c r="C442" s="2413"/>
      <c r="D442" s="2413"/>
      <c r="E442" s="2413"/>
      <c r="F442" s="2413"/>
      <c r="G442" s="2413"/>
      <c r="H442" s="2414"/>
      <c r="I442" s="1105"/>
      <c r="J442" s="1109"/>
      <c r="K442" s="1033"/>
      <c r="L442" s="1032"/>
      <c r="M442" s="1110"/>
      <c r="N442" s="1110"/>
      <c r="O442" s="1110"/>
      <c r="P442" s="1110"/>
      <c r="Q442" s="1111"/>
      <c r="R442" s="1110"/>
    </row>
    <row r="443" spans="1:18" s="1107" customFormat="1" ht="14.1">
      <c r="A443" s="1104"/>
      <c r="B443" s="2407"/>
      <c r="C443" s="2407"/>
      <c r="D443" s="2407"/>
      <c r="E443" s="2407"/>
      <c r="F443" s="2407"/>
      <c r="G443" s="2407"/>
      <c r="H443" s="2407"/>
      <c r="I443" s="1105">
        <v>6</v>
      </c>
      <c r="J443" s="1114">
        <f>' DATA -Sanitary&amp;water supply'!$G$33</f>
        <v>293.67</v>
      </c>
      <c r="K443" s="1115">
        <f>ROUND(J443*I443,0)</f>
        <v>1762</v>
      </c>
      <c r="L443" s="1032"/>
      <c r="M443" s="1110"/>
      <c r="N443" s="1110"/>
      <c r="O443" s="1110"/>
      <c r="P443" s="1110"/>
      <c r="Q443" s="1111"/>
      <c r="R443" s="1110"/>
    </row>
    <row r="444" spans="1:18" s="1107" customFormat="1" ht="14.1">
      <c r="A444" s="1104"/>
      <c r="B444" s="1117"/>
      <c r="C444" s="1117"/>
      <c r="D444" s="1117"/>
      <c r="E444" s="1117"/>
      <c r="F444" s="1117"/>
      <c r="G444" s="1117"/>
      <c r="H444" s="1117"/>
      <c r="I444" s="1105" t="s">
        <v>452</v>
      </c>
      <c r="J444" s="1106" t="s">
        <v>453</v>
      </c>
      <c r="K444" s="1033"/>
      <c r="L444" s="1032"/>
      <c r="M444" s="1110"/>
      <c r="N444" s="1111"/>
      <c r="O444" s="1111"/>
      <c r="P444" s="1111"/>
      <c r="Q444" s="1111"/>
      <c r="R444" s="1110"/>
    </row>
    <row r="445" spans="1:18" s="1107" customFormat="1" ht="72.75" customHeight="1">
      <c r="A445" s="1104">
        <v>49</v>
      </c>
      <c r="B445" s="2412" t="s">
        <v>1252</v>
      </c>
      <c r="C445" s="2413"/>
      <c r="D445" s="2413"/>
      <c r="E445" s="2413"/>
      <c r="F445" s="2413"/>
      <c r="G445" s="2413"/>
      <c r="H445" s="2414"/>
      <c r="I445" s="1105"/>
      <c r="J445" s="1109"/>
      <c r="K445" s="1033"/>
      <c r="L445" s="1032"/>
      <c r="M445" s="1110"/>
      <c r="N445" s="1110"/>
      <c r="O445" s="1110"/>
      <c r="P445" s="1110"/>
      <c r="Q445" s="1111"/>
      <c r="R445" s="1110"/>
    </row>
    <row r="446" spans="1:18" s="1107" customFormat="1" ht="14.1">
      <c r="A446" s="1104"/>
      <c r="B446" s="2407"/>
      <c r="C446" s="2407"/>
      <c r="D446" s="2407"/>
      <c r="E446" s="2407"/>
      <c r="F446" s="2407"/>
      <c r="G446" s="2407"/>
      <c r="H446" s="2407"/>
      <c r="I446" s="1105">
        <v>2</v>
      </c>
      <c r="J446" s="1114">
        <f>' DATA -Sanitary&amp;water supply'!$G$26</f>
        <v>171</v>
      </c>
      <c r="K446" s="1115">
        <f>ROUND(J446*I446,0)</f>
        <v>342</v>
      </c>
      <c r="L446" s="1032"/>
      <c r="M446" s="1110"/>
      <c r="N446" s="1110"/>
      <c r="O446" s="1110"/>
      <c r="P446" s="1110"/>
      <c r="Q446" s="1111"/>
      <c r="R446" s="1110"/>
    </row>
    <row r="447" spans="1:18" s="1107" customFormat="1" ht="14.1">
      <c r="A447" s="1104"/>
      <c r="B447" s="1117"/>
      <c r="C447" s="1117"/>
      <c r="D447" s="1117"/>
      <c r="E447" s="1117"/>
      <c r="F447" s="1117"/>
      <c r="G447" s="1117"/>
      <c r="H447" s="1117"/>
      <c r="I447" s="1105" t="s">
        <v>472</v>
      </c>
      <c r="J447" s="1106" t="s">
        <v>4</v>
      </c>
      <c r="K447" s="1033"/>
      <c r="L447" s="1032"/>
      <c r="M447" s="1110"/>
      <c r="N447" s="1111"/>
      <c r="O447" s="1111"/>
      <c r="P447" s="1111"/>
      <c r="Q447" s="1111"/>
      <c r="R447" s="1110"/>
    </row>
    <row r="448" spans="1:18" s="1107" customFormat="1" ht="81.75" customHeight="1">
      <c r="A448" s="1104">
        <v>50</v>
      </c>
      <c r="B448" s="2412" t="s">
        <v>1031</v>
      </c>
      <c r="C448" s="2413"/>
      <c r="D448" s="2413"/>
      <c r="E448" s="2413"/>
      <c r="F448" s="2413"/>
      <c r="G448" s="2413"/>
      <c r="H448" s="2414"/>
      <c r="I448" s="1105"/>
      <c r="J448" s="1106"/>
      <c r="K448" s="1033"/>
      <c r="L448" s="1032"/>
      <c r="M448" s="1110"/>
      <c r="N448" s="1110"/>
      <c r="O448" s="1110"/>
      <c r="P448" s="1110"/>
      <c r="Q448" s="1111"/>
      <c r="R448" s="1110"/>
    </row>
    <row r="449" spans="1:18" s="1107" customFormat="1" ht="14.1">
      <c r="A449" s="1104"/>
      <c r="B449" s="2407"/>
      <c r="C449" s="2407"/>
      <c r="D449" s="2407"/>
      <c r="E449" s="2407"/>
      <c r="F449" s="2407"/>
      <c r="G449" s="2407"/>
      <c r="H449" s="2407"/>
      <c r="I449" s="1105">
        <v>2</v>
      </c>
      <c r="J449" s="1114">
        <f>' DATA -Sanitary&amp;water supply'!$G$140</f>
        <v>84</v>
      </c>
      <c r="K449" s="1115">
        <f>ROUND(J449*I449,0)</f>
        <v>168</v>
      </c>
      <c r="L449" s="1032"/>
      <c r="M449" s="1110"/>
      <c r="N449" s="1110"/>
      <c r="O449" s="1110"/>
      <c r="P449" s="1110"/>
      <c r="Q449" s="1111"/>
      <c r="R449" s="1110"/>
    </row>
    <row r="450" spans="1:18" s="1107" customFormat="1" ht="14.1">
      <c r="A450" s="1104"/>
      <c r="B450" s="1117"/>
      <c r="C450" s="1117"/>
      <c r="D450" s="1117"/>
      <c r="E450" s="1117"/>
      <c r="F450" s="1117"/>
      <c r="G450" s="1117"/>
      <c r="H450" s="1117"/>
      <c r="I450" s="1105" t="s">
        <v>472</v>
      </c>
      <c r="J450" s="1106" t="s">
        <v>4</v>
      </c>
      <c r="K450" s="1033"/>
      <c r="L450" s="1032"/>
      <c r="M450" s="1110"/>
      <c r="N450" s="1111"/>
      <c r="O450" s="1111"/>
      <c r="P450" s="1111"/>
      <c r="Q450" s="1111"/>
      <c r="R450" s="1110"/>
    </row>
    <row r="451" spans="1:18" s="1107" customFormat="1" ht="81" customHeight="1">
      <c r="A451" s="1104">
        <v>51</v>
      </c>
      <c r="B451" s="2412" t="s">
        <v>447</v>
      </c>
      <c r="C451" s="2418"/>
      <c r="D451" s="2418"/>
      <c r="E451" s="2418"/>
      <c r="F451" s="2418"/>
      <c r="G451" s="2418"/>
      <c r="H451" s="2419"/>
      <c r="I451" s="1105"/>
      <c r="J451" s="1106"/>
      <c r="K451" s="1033"/>
      <c r="L451" s="1032"/>
      <c r="M451" s="1110"/>
      <c r="N451" s="1110"/>
      <c r="O451" s="1110"/>
      <c r="P451" s="1110"/>
      <c r="Q451" s="1111"/>
      <c r="R451" s="1110"/>
    </row>
    <row r="452" spans="1:18" s="1107" customFormat="1" ht="27.75" customHeight="1">
      <c r="A452" s="1104"/>
      <c r="B452" s="2407"/>
      <c r="C452" s="2407"/>
      <c r="D452" s="2407"/>
      <c r="E452" s="2407"/>
      <c r="F452" s="2407"/>
      <c r="G452" s="2407"/>
      <c r="H452" s="2407"/>
      <c r="I452" s="1105">
        <v>4</v>
      </c>
      <c r="J452" s="1114">
        <f>' DATA -Sanitary&amp;water supply'!$G$144</f>
        <v>47</v>
      </c>
      <c r="K452" s="1115">
        <f>ROUND(J452*I452,0)</f>
        <v>188</v>
      </c>
      <c r="L452" s="1032"/>
      <c r="M452" s="1110"/>
      <c r="N452" s="1110"/>
      <c r="O452" s="1110"/>
      <c r="P452" s="1110"/>
      <c r="Q452" s="1111"/>
      <c r="R452" s="1110"/>
    </row>
    <row r="453" spans="1:18" s="1107" customFormat="1" ht="14.1">
      <c r="A453" s="1104"/>
      <c r="B453" s="1117"/>
      <c r="C453" s="1117"/>
      <c r="D453" s="1117"/>
      <c r="E453" s="1117"/>
      <c r="F453" s="1117"/>
      <c r="G453" s="1117"/>
      <c r="H453" s="1117"/>
      <c r="I453" s="1105" t="s">
        <v>472</v>
      </c>
      <c r="J453" s="1106" t="s">
        <v>4</v>
      </c>
      <c r="K453" s="1033"/>
      <c r="L453" s="1032"/>
      <c r="M453" s="1110"/>
      <c r="N453" s="1111"/>
      <c r="O453" s="1111"/>
      <c r="P453" s="1111"/>
      <c r="Q453" s="1111"/>
      <c r="R453" s="1110"/>
    </row>
    <row r="454" spans="1:18" s="1107" customFormat="1" ht="35.25" customHeight="1">
      <c r="A454" s="1104">
        <v>52</v>
      </c>
      <c r="B454" s="2412" t="s">
        <v>448</v>
      </c>
      <c r="C454" s="2418"/>
      <c r="D454" s="2418"/>
      <c r="E454" s="2418"/>
      <c r="F454" s="2418"/>
      <c r="G454" s="2418"/>
      <c r="H454" s="2419"/>
      <c r="I454" s="1113"/>
      <c r="J454" s="1109"/>
      <c r="K454" s="1033"/>
      <c r="L454" s="1032"/>
      <c r="M454" s="1110"/>
      <c r="N454" s="1110"/>
      <c r="O454" s="1110"/>
      <c r="P454" s="1110"/>
      <c r="Q454" s="1111"/>
      <c r="R454" s="1110"/>
    </row>
    <row r="455" spans="1:18" s="1107" customFormat="1" ht="14.1">
      <c r="A455" s="1104"/>
      <c r="B455" s="2407"/>
      <c r="C455" s="2407"/>
      <c r="D455" s="2407"/>
      <c r="E455" s="2407"/>
      <c r="F455" s="2407"/>
      <c r="G455" s="2407"/>
      <c r="H455" s="2407"/>
      <c r="I455" s="1105">
        <v>2</v>
      </c>
      <c r="J455" s="1114">
        <f>' DATA -Sanitary&amp;water supply'!$G$148</f>
        <v>23</v>
      </c>
      <c r="K455" s="1115">
        <f>ROUND(J455*I455,0)</f>
        <v>46</v>
      </c>
      <c r="L455" s="1032"/>
      <c r="M455" s="1110"/>
      <c r="N455" s="1110"/>
      <c r="O455" s="1110"/>
      <c r="P455" s="1110"/>
      <c r="Q455" s="1111"/>
      <c r="R455" s="1110"/>
    </row>
    <row r="456" spans="1:18" s="1107" customFormat="1" ht="14.1">
      <c r="A456" s="1104"/>
      <c r="B456" s="1117"/>
      <c r="C456" s="1117"/>
      <c r="D456" s="1117"/>
      <c r="E456" s="1117"/>
      <c r="F456" s="1117"/>
      <c r="G456" s="1117"/>
      <c r="H456" s="1117"/>
      <c r="I456" s="1105" t="s">
        <v>472</v>
      </c>
      <c r="J456" s="1106" t="s">
        <v>4</v>
      </c>
      <c r="K456" s="1033"/>
      <c r="L456" s="1032"/>
      <c r="M456" s="1110"/>
      <c r="N456" s="1111"/>
      <c r="O456" s="1111"/>
      <c r="P456" s="1111"/>
      <c r="Q456" s="1111"/>
      <c r="R456" s="1110"/>
    </row>
    <row r="457" spans="1:18" s="1107" customFormat="1" ht="109.5" customHeight="1">
      <c r="A457" s="1104">
        <v>53</v>
      </c>
      <c r="B457" s="2412" t="s">
        <v>1441</v>
      </c>
      <c r="C457" s="2418"/>
      <c r="D457" s="2418"/>
      <c r="E457" s="2418"/>
      <c r="F457" s="2418"/>
      <c r="G457" s="2418"/>
      <c r="H457" s="2419"/>
      <c r="I457" s="1105"/>
      <c r="J457" s="1109"/>
      <c r="K457" s="1033"/>
      <c r="L457" s="1032"/>
      <c r="M457" s="1110"/>
      <c r="N457" s="1110"/>
      <c r="O457" s="1110"/>
      <c r="P457" s="1110"/>
      <c r="Q457" s="1111"/>
      <c r="R457" s="1110"/>
    </row>
    <row r="458" spans="1:18" s="1107" customFormat="1" ht="14.1">
      <c r="A458" s="1104"/>
      <c r="B458" s="2407"/>
      <c r="C458" s="2407"/>
      <c r="D458" s="2407"/>
      <c r="E458" s="2407"/>
      <c r="F458" s="2407"/>
      <c r="G458" s="2407"/>
      <c r="H458" s="2407"/>
      <c r="I458" s="1105">
        <v>2</v>
      </c>
      <c r="J458" s="1114">
        <f>' DATA -Sanitary&amp;water supply'!G83</f>
        <v>4610</v>
      </c>
      <c r="K458" s="1115">
        <f>ROUND(J458*I458,0)</f>
        <v>9220</v>
      </c>
      <c r="L458" s="1032"/>
      <c r="M458" s="1110"/>
      <c r="N458" s="1110"/>
      <c r="O458" s="1110"/>
      <c r="P458" s="1110"/>
      <c r="Q458" s="1111"/>
      <c r="R458" s="1110"/>
    </row>
    <row r="459" spans="1:18" s="1107" customFormat="1" ht="14.1">
      <c r="A459" s="1104"/>
      <c r="B459" s="1117"/>
      <c r="C459" s="1117"/>
      <c r="D459" s="1117"/>
      <c r="E459" s="1117"/>
      <c r="F459" s="1117"/>
      <c r="G459" s="1117"/>
      <c r="H459" s="1117"/>
      <c r="I459" s="1105" t="s">
        <v>472</v>
      </c>
      <c r="J459" s="1106" t="s">
        <v>4</v>
      </c>
      <c r="K459" s="1033"/>
      <c r="L459" s="1032"/>
      <c r="M459" s="1110"/>
      <c r="N459" s="1111"/>
      <c r="O459" s="1111"/>
      <c r="P459" s="1111"/>
      <c r="Q459" s="1111"/>
      <c r="R459" s="1110"/>
    </row>
    <row r="460" spans="1:18" s="1107" customFormat="1" ht="14.1">
      <c r="A460" s="1104"/>
      <c r="B460" s="1118"/>
      <c r="C460" s="1119"/>
      <c r="D460" s="1119"/>
      <c r="E460" s="1119"/>
      <c r="F460" s="1119"/>
      <c r="G460" s="1119"/>
      <c r="H460" s="1120"/>
      <c r="I460" s="1105"/>
      <c r="J460" s="1106" t="s">
        <v>4</v>
      </c>
      <c r="K460" s="1115"/>
      <c r="L460" s="1032"/>
      <c r="M460" s="1110"/>
      <c r="N460" s="1110"/>
      <c r="O460" s="1110"/>
      <c r="P460" s="1110"/>
      <c r="Q460" s="1111"/>
      <c r="R460" s="1110"/>
    </row>
    <row r="461" spans="1:18" s="1107" customFormat="1" ht="49.5" customHeight="1">
      <c r="A461" s="1104">
        <v>54</v>
      </c>
      <c r="B461" s="2412" t="s">
        <v>2040</v>
      </c>
      <c r="C461" s="2418"/>
      <c r="D461" s="2418"/>
      <c r="E461" s="2418"/>
      <c r="F461" s="2418"/>
      <c r="G461" s="2418"/>
      <c r="H461" s="2419"/>
      <c r="I461" s="1105"/>
      <c r="J461" s="1106"/>
      <c r="K461" s="1033"/>
      <c r="L461" s="1032"/>
      <c r="M461" s="1110"/>
      <c r="N461" s="1110"/>
      <c r="O461" s="1110"/>
      <c r="P461" s="1110"/>
      <c r="Q461" s="1111"/>
      <c r="R461" s="1110"/>
    </row>
    <row r="462" spans="1:18" s="1107" customFormat="1" ht="14.1">
      <c r="A462" s="1104"/>
      <c r="B462" s="2407"/>
      <c r="C462" s="2407"/>
      <c r="D462" s="2407"/>
      <c r="E462" s="2407"/>
      <c r="F462" s="2407"/>
      <c r="G462" s="2407"/>
      <c r="H462" s="2407"/>
      <c r="I462" s="1105">
        <v>1000</v>
      </c>
      <c r="J462" s="1114">
        <f>' DATA -Sanitary&amp;water supply'!G124</f>
        <v>10</v>
      </c>
      <c r="K462" s="1115">
        <f>ROUND(J462*I462,0)</f>
        <v>10000</v>
      </c>
      <c r="L462" s="1032"/>
      <c r="M462" s="1110"/>
      <c r="N462" s="1110"/>
      <c r="O462" s="1110"/>
      <c r="P462" s="1110"/>
      <c r="Q462" s="1111"/>
      <c r="R462" s="1110"/>
    </row>
    <row r="463" spans="1:18" s="1107" customFormat="1" ht="14.1">
      <c r="A463" s="1104"/>
      <c r="B463" s="1117"/>
      <c r="C463" s="1117"/>
      <c r="D463" s="1117"/>
      <c r="E463" s="1117"/>
      <c r="F463" s="1117"/>
      <c r="G463" s="1117"/>
      <c r="H463" s="1117"/>
      <c r="I463" s="1105" t="s">
        <v>1426</v>
      </c>
      <c r="J463" s="1106" t="s">
        <v>883</v>
      </c>
      <c r="K463" s="1115"/>
      <c r="L463" s="1032"/>
      <c r="M463" s="1110"/>
      <c r="N463" s="1111"/>
      <c r="O463" s="1111"/>
      <c r="P463" s="1111"/>
      <c r="Q463" s="1111"/>
      <c r="R463" s="1110"/>
    </row>
    <row r="464" spans="1:18" s="1107" customFormat="1" ht="94.5" customHeight="1">
      <c r="A464" s="1104">
        <v>55</v>
      </c>
      <c r="B464" s="2412" t="s">
        <v>1353</v>
      </c>
      <c r="C464" s="2418"/>
      <c r="D464" s="2418"/>
      <c r="E464" s="2418"/>
      <c r="F464" s="2418"/>
      <c r="G464" s="2418"/>
      <c r="H464" s="2419"/>
      <c r="I464" s="1105"/>
      <c r="J464" s="1109"/>
      <c r="K464" s="1033"/>
      <c r="L464" s="1032"/>
      <c r="M464" s="1110"/>
      <c r="N464" s="1110"/>
      <c r="O464" s="1110"/>
      <c r="P464" s="1110"/>
      <c r="Q464" s="1111"/>
      <c r="R464" s="1110"/>
    </row>
    <row r="465" spans="1:18" s="1107" customFormat="1" ht="14.1">
      <c r="A465" s="1104"/>
      <c r="B465" s="2420"/>
      <c r="C465" s="2421"/>
      <c r="D465" s="2421"/>
      <c r="E465" s="2421"/>
      <c r="F465" s="2421"/>
      <c r="G465" s="2421"/>
      <c r="H465" s="2422"/>
      <c r="I465" s="1105">
        <v>6</v>
      </c>
      <c r="J465" s="1114">
        <f>' DATA -Sanitary&amp;water supply'!G117</f>
        <v>531</v>
      </c>
      <c r="K465" s="1115">
        <f>ROUND(J465*I465,0)</f>
        <v>3186</v>
      </c>
      <c r="L465" s="1032"/>
      <c r="M465" s="1110"/>
      <c r="N465" s="1110"/>
      <c r="O465" s="1110"/>
      <c r="P465" s="1110"/>
      <c r="Q465" s="1111"/>
      <c r="R465" s="1110"/>
    </row>
    <row r="466" spans="1:18" s="1107" customFormat="1" ht="14.1">
      <c r="A466" s="1104"/>
      <c r="B466" s="1108"/>
      <c r="C466" s="1121"/>
      <c r="D466" s="1121"/>
      <c r="E466" s="1121"/>
      <c r="F466" s="1121"/>
      <c r="G466" s="1121"/>
      <c r="H466" s="1122"/>
      <c r="I466" s="1105" t="s">
        <v>6</v>
      </c>
      <c r="J466" s="1106" t="s">
        <v>453</v>
      </c>
      <c r="K466" s="1115"/>
      <c r="L466" s="1032"/>
      <c r="M466" s="1110"/>
      <c r="N466" s="1110"/>
      <c r="O466" s="1110"/>
      <c r="P466" s="1110"/>
      <c r="Q466" s="1111"/>
      <c r="R466" s="1110"/>
    </row>
    <row r="467" spans="1:18" s="1107" customFormat="1" ht="114.75" customHeight="1">
      <c r="A467" s="1104">
        <v>56</v>
      </c>
      <c r="B467" s="2412" t="s">
        <v>1922</v>
      </c>
      <c r="C467" s="2418"/>
      <c r="D467" s="2418"/>
      <c r="E467" s="2418"/>
      <c r="F467" s="2418"/>
      <c r="G467" s="2418"/>
      <c r="H467" s="2419"/>
      <c r="I467" s="1105"/>
      <c r="J467" s="1109"/>
      <c r="K467" s="1033"/>
      <c r="L467" s="1032"/>
      <c r="M467" s="1110"/>
      <c r="N467" s="1110"/>
      <c r="O467" s="1110"/>
      <c r="P467" s="1110"/>
      <c r="Q467" s="1111"/>
      <c r="R467" s="1110"/>
    </row>
    <row r="468" spans="1:18" s="1107" customFormat="1" ht="14.1">
      <c r="A468" s="1104"/>
      <c r="B468" s="2420"/>
      <c r="C468" s="2421"/>
      <c r="D468" s="2421"/>
      <c r="E468" s="2421"/>
      <c r="F468" s="2421"/>
      <c r="G468" s="2421"/>
      <c r="H468" s="2422"/>
      <c r="I468" s="1105">
        <v>2</v>
      </c>
      <c r="J468" s="1114">
        <f>' DATA -Sanitary&amp;water supply'!G152</f>
        <v>2045</v>
      </c>
      <c r="K468" s="1115">
        <f>ROUND(J468*I468,0)</f>
        <v>4090</v>
      </c>
      <c r="L468" s="1032"/>
      <c r="M468" s="1110"/>
      <c r="N468" s="1110"/>
      <c r="O468" s="1110"/>
      <c r="P468" s="1110"/>
      <c r="Q468" s="1111"/>
      <c r="R468" s="1110"/>
    </row>
    <row r="469" spans="1:18" s="1107" customFormat="1" ht="14.1">
      <c r="A469" s="1104"/>
      <c r="B469" s="1108"/>
      <c r="C469" s="1121"/>
      <c r="D469" s="1121"/>
      <c r="E469" s="1121"/>
      <c r="F469" s="1121"/>
      <c r="G469" s="1121"/>
      <c r="H469" s="1122"/>
      <c r="I469" s="1105" t="s">
        <v>6</v>
      </c>
      <c r="J469" s="1106" t="s">
        <v>453</v>
      </c>
      <c r="K469" s="1115"/>
      <c r="L469" s="1032"/>
      <c r="M469" s="1110"/>
      <c r="N469" s="1110"/>
      <c r="O469" s="1110"/>
      <c r="P469" s="1110"/>
      <c r="Q469" s="1111"/>
      <c r="R469" s="1110"/>
    </row>
    <row r="470" spans="1:18" s="1107" customFormat="1" ht="14.1">
      <c r="A470" s="1123"/>
      <c r="B470" s="1124"/>
      <c r="C470" s="1124"/>
      <c r="D470" s="1124"/>
      <c r="E470" s="1124"/>
      <c r="F470" s="1124"/>
      <c r="G470" s="1124"/>
      <c r="H470" s="1124"/>
      <c r="I470" s="1125"/>
      <c r="J470" s="1126"/>
      <c r="K470" s="1127">
        <f>SUM(K6:K468)</f>
        <v>2498608</v>
      </c>
      <c r="L470" s="1034"/>
      <c r="M470" s="1110"/>
      <c r="N470" s="1110"/>
      <c r="O470" s="1110"/>
      <c r="P470" s="1110"/>
      <c r="Q470" s="1111"/>
      <c r="R470" s="1110"/>
    </row>
    <row r="471" spans="1:18" s="1107" customFormat="1" ht="24.9" customHeight="1">
      <c r="A471" s="1104">
        <v>57</v>
      </c>
      <c r="B471" s="2412" t="s">
        <v>2288</v>
      </c>
      <c r="C471" s="2418"/>
      <c r="D471" s="2418"/>
      <c r="E471" s="2418"/>
      <c r="F471" s="2418"/>
      <c r="G471" s="2418"/>
      <c r="H471" s="2419"/>
      <c r="I471" s="1105"/>
      <c r="J471" s="1109"/>
      <c r="K471" s="1033">
        <f>ROUND(K470*0.5%,0)</f>
        <v>12493</v>
      </c>
      <c r="L471" s="1034"/>
      <c r="M471" s="1110"/>
      <c r="N471" s="1110"/>
      <c r="O471" s="1110"/>
      <c r="P471" s="1110"/>
      <c r="Q471" s="1111"/>
      <c r="R471" s="1110"/>
    </row>
    <row r="472" spans="1:18" s="1107" customFormat="1" ht="30" customHeight="1">
      <c r="A472" s="1104">
        <f>A471+1</f>
        <v>58</v>
      </c>
      <c r="B472" s="2412" t="s">
        <v>2398</v>
      </c>
      <c r="C472" s="2418"/>
      <c r="D472" s="2418"/>
      <c r="E472" s="2418"/>
      <c r="F472" s="2418"/>
      <c r="G472" s="2418"/>
      <c r="H472" s="2419"/>
      <c r="I472" s="1105"/>
      <c r="J472" s="1109"/>
      <c r="K472" s="1033">
        <v>63663</v>
      </c>
      <c r="L472" s="1034"/>
      <c r="M472" s="1110"/>
      <c r="N472" s="1110"/>
      <c r="O472" s="1110"/>
      <c r="P472" s="1110"/>
      <c r="Q472" s="1111"/>
      <c r="R472" s="1110"/>
    </row>
    <row r="473" spans="1:18" s="1107" customFormat="1" ht="24.9" customHeight="1">
      <c r="A473" s="1104">
        <f>A472+1</f>
        <v>59</v>
      </c>
      <c r="B473" s="2412" t="s">
        <v>2196</v>
      </c>
      <c r="C473" s="2418"/>
      <c r="D473" s="2418"/>
      <c r="E473" s="2418"/>
      <c r="F473" s="2418"/>
      <c r="G473" s="2418"/>
      <c r="H473" s="2419"/>
      <c r="I473" s="1105"/>
      <c r="J473" s="1109"/>
      <c r="K473" s="1033">
        <v>10000</v>
      </c>
      <c r="L473" s="1034"/>
      <c r="M473" s="1110"/>
      <c r="N473" s="1110"/>
      <c r="O473" s="1110"/>
      <c r="P473" s="1110"/>
      <c r="Q473" s="1111"/>
      <c r="R473" s="1110"/>
    </row>
    <row r="474" spans="1:18" s="1107" customFormat="1" ht="24.9" customHeight="1">
      <c r="A474" s="1104">
        <f>A473+1</f>
        <v>60</v>
      </c>
      <c r="B474" s="2412" t="s">
        <v>2323</v>
      </c>
      <c r="C474" s="2418"/>
      <c r="D474" s="2418"/>
      <c r="E474" s="2418"/>
      <c r="F474" s="2418"/>
      <c r="G474" s="2418"/>
      <c r="H474" s="2419"/>
      <c r="I474" s="1105"/>
      <c r="J474" s="1109"/>
      <c r="K474" s="1033"/>
      <c r="L474" s="1034"/>
      <c r="M474" s="1110"/>
      <c r="N474" s="1110"/>
      <c r="O474" s="1110"/>
      <c r="P474" s="1110"/>
      <c r="Q474" s="1111"/>
      <c r="R474" s="1110"/>
    </row>
    <row r="475" spans="1:18" s="1132" customFormat="1" ht="24.9" customHeight="1">
      <c r="A475" s="1128"/>
      <c r="B475" s="1128" t="s">
        <v>2059</v>
      </c>
      <c r="C475" s="1128"/>
      <c r="D475" s="1128"/>
      <c r="E475" s="1128"/>
      <c r="F475" s="1129"/>
      <c r="G475" s="1129"/>
      <c r="H475" s="1129"/>
      <c r="I475" s="1129"/>
      <c r="J475" s="1129"/>
      <c r="K475" s="1127">
        <f>SUM(K470:K474)</f>
        <v>2584764</v>
      </c>
      <c r="L475" s="1130">
        <f>K475-1260000</f>
        <v>1324764</v>
      </c>
      <c r="M475" s="1131"/>
      <c r="O475" s="1133">
        <f>2425000-K475</f>
        <v>-159764</v>
      </c>
    </row>
    <row r="479" spans="1:18">
      <c r="B479" s="1069" t="str">
        <f>'Lead- Input sheet '!B44</f>
        <v xml:space="preserve">  Assistant Exc.Engineer  </v>
      </c>
      <c r="F479" s="1136" t="str">
        <f>'Lead- Input sheet '!H44</f>
        <v>Deputy Executive Engineer</v>
      </c>
    </row>
    <row r="480" spans="1:18">
      <c r="B480" s="1069" t="str">
        <f>'Lead- Input sheet '!B45</f>
        <v>PR MPP Kalwakurthy</v>
      </c>
      <c r="F480" s="1136" t="str">
        <f>'Lead- Input sheet '!H45</f>
        <v>PR SD Kalwakurthy</v>
      </c>
    </row>
    <row r="484" spans="2:9" ht="69.75" customHeight="1">
      <c r="B484" s="2395" t="s">
        <v>2399</v>
      </c>
      <c r="C484" s="2395"/>
      <c r="D484" s="2395"/>
      <c r="E484" s="2395"/>
      <c r="F484" s="2403"/>
      <c r="G484" s="2403"/>
      <c r="H484" s="2403"/>
      <c r="I484" s="2403"/>
    </row>
    <row r="485" spans="2:9">
      <c r="B485" s="1069" t="s">
        <v>2400</v>
      </c>
    </row>
    <row r="486" spans="2:9">
      <c r="B486" s="1069" t="s">
        <v>2401</v>
      </c>
    </row>
  </sheetData>
  <mergeCells count="92">
    <mergeCell ref="M3:M4"/>
    <mergeCell ref="B121:H121"/>
    <mergeCell ref="B464:H464"/>
    <mergeCell ref="B321:I321"/>
    <mergeCell ref="B350:I350"/>
    <mergeCell ref="B424:H424"/>
    <mergeCell ref="B428:I428"/>
    <mergeCell ref="B454:H454"/>
    <mergeCell ref="B451:H451"/>
    <mergeCell ref="B279:I279"/>
    <mergeCell ref="L3:L4"/>
    <mergeCell ref="B442:H442"/>
    <mergeCell ref="B284:I284"/>
    <mergeCell ref="B397:I397"/>
    <mergeCell ref="B439:H439"/>
    <mergeCell ref="B412:I412"/>
    <mergeCell ref="A1:K1"/>
    <mergeCell ref="B77:I77"/>
    <mergeCell ref="A2:K2"/>
    <mergeCell ref="B325:I325"/>
    <mergeCell ref="B465:H465"/>
    <mergeCell ref="B182:I182"/>
    <mergeCell ref="B409:I409"/>
    <mergeCell ref="B443:H443"/>
    <mergeCell ref="B336:I336"/>
    <mergeCell ref="B293:I293"/>
    <mergeCell ref="B168:I168"/>
    <mergeCell ref="K3:K4"/>
    <mergeCell ref="B3:B4"/>
    <mergeCell ref="B116:I116"/>
    <mergeCell ref="B210:H210"/>
    <mergeCell ref="B180:H180"/>
    <mergeCell ref="B484:I484"/>
    <mergeCell ref="B240:I240"/>
    <mergeCell ref="B404:I404"/>
    <mergeCell ref="B300:I300"/>
    <mergeCell ref="B385:I385"/>
    <mergeCell ref="B376:I376"/>
    <mergeCell ref="B315:I315"/>
    <mergeCell ref="B318:I318"/>
    <mergeCell ref="B288:I288"/>
    <mergeCell ref="B446:H446"/>
    <mergeCell ref="B462:H462"/>
    <mergeCell ref="B418:I418"/>
    <mergeCell ref="B445:H445"/>
    <mergeCell ref="B401:I401"/>
    <mergeCell ref="B394:I394"/>
    <mergeCell ref="B398:I398"/>
    <mergeCell ref="B425:I425"/>
    <mergeCell ref="B434:H434"/>
    <mergeCell ref="A3:A4"/>
    <mergeCell ref="B23:I23"/>
    <mergeCell ref="C3:E4"/>
    <mergeCell ref="B75:H75"/>
    <mergeCell ref="B25:H25"/>
    <mergeCell ref="B45:I45"/>
    <mergeCell ref="B329:I329"/>
    <mergeCell ref="B346:I346"/>
    <mergeCell ref="B259:I259"/>
    <mergeCell ref="B255:I255"/>
    <mergeCell ref="B421:I421"/>
    <mergeCell ref="B415:I415"/>
    <mergeCell ref="B311:I311"/>
    <mergeCell ref="B431:I431"/>
    <mergeCell ref="B448:H448"/>
    <mergeCell ref="B473:H473"/>
    <mergeCell ref="B457:H457"/>
    <mergeCell ref="B455:H455"/>
    <mergeCell ref="B468:H468"/>
    <mergeCell ref="B472:H472"/>
    <mergeCell ref="B461:H461"/>
    <mergeCell ref="B474:H474"/>
    <mergeCell ref="B449:H449"/>
    <mergeCell ref="B471:H471"/>
    <mergeCell ref="B452:H452"/>
    <mergeCell ref="B467:H467"/>
    <mergeCell ref="B458:H458"/>
    <mergeCell ref="B249:I249"/>
    <mergeCell ref="B213:I213"/>
    <mergeCell ref="J3:J4"/>
    <mergeCell ref="B166:H166"/>
    <mergeCell ref="B27:I27"/>
    <mergeCell ref="B43:H43"/>
    <mergeCell ref="B21:H21"/>
    <mergeCell ref="B104:I104"/>
    <mergeCell ref="B123:I123"/>
    <mergeCell ref="C5:E5"/>
    <mergeCell ref="F3:H3"/>
    <mergeCell ref="B111:I111"/>
    <mergeCell ref="B6:I6"/>
    <mergeCell ref="I3:I4"/>
    <mergeCell ref="B86:H86"/>
  </mergeCells>
  <printOptions gridLines="1"/>
  <pageMargins left="0.51181102362204722" right="0.23622047244094491" top="0.27559055118110237" bottom="0.51181102362204722" header="0.51181102362204722" footer="0.51181102362204722"/>
  <pageSetup paperSize="9" scale="80" orientation="portrait" r:id="rId1"/>
  <headerFooter alignWithMargins="0">
    <oddFooter>Page &amp;P of &amp;N</oddFooter>
  </headerFooter>
  <rowBreaks count="2" manualBreakCount="2">
    <brk id="396" max="10" man="1"/>
    <brk id="423" max="10"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O351"/>
  <sheetViews>
    <sheetView view="pageBreakPreview" topLeftCell="A300" zoomScale="85" zoomScaleSheetLayoutView="85" workbookViewId="0">
      <selection activeCell="M303" sqref="M303"/>
    </sheetView>
  </sheetViews>
  <sheetFormatPr defaultColWidth="9.109375" defaultRowHeight="12.3"/>
  <cols>
    <col min="1" max="1" width="9.33203125" style="1248" bestFit="1" customWidth="1"/>
    <col min="2" max="2" width="26.109375" style="1248" customWidth="1"/>
    <col min="3" max="8" width="9.33203125" style="1248" bestFit="1" customWidth="1"/>
    <col min="9" max="9" width="10.6640625" style="1248" bestFit="1" customWidth="1"/>
    <col min="10" max="10" width="16.109375" style="1248" customWidth="1"/>
    <col min="11" max="16384" width="9.109375" style="1248"/>
  </cols>
  <sheetData>
    <row r="1" spans="1:10" ht="17.399999999999999">
      <c r="A1" s="2574" t="s">
        <v>1387</v>
      </c>
      <c r="B1" s="2574"/>
      <c r="C1" s="2574"/>
      <c r="D1" s="2574"/>
      <c r="E1" s="2574"/>
      <c r="F1" s="2574"/>
      <c r="G1" s="2574"/>
      <c r="H1" s="2574"/>
      <c r="I1" s="2574"/>
      <c r="J1" s="2574"/>
    </row>
    <row r="2" spans="1:10" ht="19.5">
      <c r="A2" s="2575" t="str">
        <f>'General Abs'!A1:E1</f>
        <v xml:space="preserve"> Construction of  Anganwadi Building at Jeedipally Thanda (V) of Kalwakurthy (M) of Nagarkurnool District </v>
      </c>
      <c r="B2" s="2576"/>
      <c r="C2" s="2576"/>
      <c r="D2" s="2576"/>
      <c r="E2" s="2576"/>
      <c r="F2" s="2576"/>
      <c r="G2" s="2576"/>
      <c r="H2" s="2576"/>
      <c r="I2" s="2576"/>
      <c r="J2" s="2577"/>
    </row>
    <row r="3" spans="1:10" ht="29.4">
      <c r="A3" s="1269" t="s">
        <v>2670</v>
      </c>
      <c r="B3" s="1269" t="s">
        <v>2671</v>
      </c>
      <c r="C3" s="2578" t="s">
        <v>527</v>
      </c>
      <c r="D3" s="2578"/>
      <c r="E3" s="1269" t="s">
        <v>1417</v>
      </c>
      <c r="F3" s="1269" t="s">
        <v>859</v>
      </c>
      <c r="G3" s="1269" t="s">
        <v>785</v>
      </c>
      <c r="H3" s="1269" t="s">
        <v>2672</v>
      </c>
      <c r="I3" s="1270" t="s">
        <v>2673</v>
      </c>
      <c r="J3" s="1269" t="s">
        <v>2674</v>
      </c>
    </row>
    <row r="4" spans="1:10" ht="89.25" customHeight="1">
      <c r="A4" s="1271">
        <v>1</v>
      </c>
      <c r="B4" s="2579" t="s">
        <v>2675</v>
      </c>
      <c r="C4" s="2579"/>
      <c r="D4" s="2579"/>
      <c r="E4" s="2579"/>
      <c r="F4" s="2579"/>
      <c r="G4" s="2579"/>
      <c r="H4" s="2579"/>
      <c r="I4" s="1272"/>
      <c r="J4" s="1273"/>
    </row>
    <row r="5" spans="1:10" ht="15.3">
      <c r="A5" s="1271"/>
      <c r="B5" s="1329" t="s">
        <v>2987</v>
      </c>
      <c r="C5" s="1297"/>
      <c r="D5" s="1297"/>
      <c r="E5" s="1297"/>
      <c r="F5" s="1297"/>
      <c r="G5" s="1297"/>
      <c r="H5" s="1297"/>
      <c r="I5" s="1272"/>
      <c r="J5" s="1273"/>
    </row>
    <row r="6" spans="1:10" ht="14.7">
      <c r="A6" s="1271"/>
      <c r="B6" s="1271" t="s">
        <v>2676</v>
      </c>
      <c r="C6" s="1271">
        <v>1</v>
      </c>
      <c r="D6" s="1271">
        <v>2</v>
      </c>
      <c r="E6" s="1275">
        <v>1.65</v>
      </c>
      <c r="F6" s="1275">
        <v>1.65</v>
      </c>
      <c r="G6" s="1275">
        <v>1.5</v>
      </c>
      <c r="H6" s="1275">
        <f>ROUND(C6*G6*F6*E6*D6,2)</f>
        <v>8.17</v>
      </c>
      <c r="I6" s="1275"/>
      <c r="J6" s="1276"/>
    </row>
    <row r="7" spans="1:10" ht="14.7">
      <c r="A7" s="1271"/>
      <c r="B7" s="1271" t="s">
        <v>2677</v>
      </c>
      <c r="C7" s="1271">
        <v>1</v>
      </c>
      <c r="D7" s="1271">
        <v>8</v>
      </c>
      <c r="E7" s="1275">
        <v>1.9</v>
      </c>
      <c r="F7" s="1275">
        <v>1.9</v>
      </c>
      <c r="G7" s="1275">
        <v>1.5</v>
      </c>
      <c r="H7" s="1275">
        <f t="shared" ref="H7:H13" si="0">ROUND(C7*G7*F7*E7*D7,2)</f>
        <v>43.32</v>
      </c>
      <c r="I7" s="1275"/>
      <c r="J7" s="1276"/>
    </row>
    <row r="8" spans="1:10" ht="14.7">
      <c r="A8" s="1271"/>
      <c r="B8" s="1271" t="s">
        <v>2678</v>
      </c>
      <c r="C8" s="1271">
        <v>1</v>
      </c>
      <c r="D8" s="1271">
        <v>2</v>
      </c>
      <c r="E8" s="1275">
        <v>2</v>
      </c>
      <c r="F8" s="1275">
        <v>2</v>
      </c>
      <c r="G8" s="1275">
        <v>1.5</v>
      </c>
      <c r="H8" s="1275">
        <f t="shared" si="0"/>
        <v>12</v>
      </c>
      <c r="I8" s="1275"/>
      <c r="J8" s="1276"/>
    </row>
    <row r="9" spans="1:10" ht="14.7">
      <c r="A9" s="1271"/>
      <c r="B9" s="1271" t="s">
        <v>2679</v>
      </c>
      <c r="C9" s="1271">
        <v>1</v>
      </c>
      <c r="D9" s="1271">
        <v>2</v>
      </c>
      <c r="E9" s="1277">
        <f>11.04-0.23+0.45</f>
        <v>11.259999999999998</v>
      </c>
      <c r="F9" s="1275">
        <v>0.45</v>
      </c>
      <c r="G9" s="1275">
        <v>0.6</v>
      </c>
      <c r="H9" s="1275">
        <f t="shared" si="0"/>
        <v>6.08</v>
      </c>
      <c r="I9" s="1275"/>
      <c r="J9" s="1276"/>
    </row>
    <row r="10" spans="1:10" ht="14.7">
      <c r="A10" s="1271"/>
      <c r="B10" s="1271" t="s">
        <v>2680</v>
      </c>
      <c r="C10" s="1271">
        <v>1</v>
      </c>
      <c r="D10" s="1271">
        <v>2</v>
      </c>
      <c r="E10" s="1277">
        <f>7.225-0.23-0.45</f>
        <v>6.544999999999999</v>
      </c>
      <c r="F10" s="1275">
        <v>0.45</v>
      </c>
      <c r="G10" s="1275">
        <v>0.6</v>
      </c>
      <c r="H10" s="1275">
        <f t="shared" si="0"/>
        <v>3.53</v>
      </c>
      <c r="I10" s="1275"/>
      <c r="J10" s="1276"/>
    </row>
    <row r="11" spans="1:10" ht="14.7">
      <c r="A11" s="1271"/>
      <c r="B11" s="1271" t="s">
        <v>2681</v>
      </c>
      <c r="C11" s="1271">
        <v>-1</v>
      </c>
      <c r="D11" s="1271">
        <v>10</v>
      </c>
      <c r="E11" s="1275">
        <v>2</v>
      </c>
      <c r="F11" s="1275">
        <v>0.45</v>
      </c>
      <c r="G11" s="1275">
        <v>0.6</v>
      </c>
      <c r="H11" s="1275">
        <f t="shared" si="0"/>
        <v>-5.4</v>
      </c>
      <c r="I11" s="1275"/>
      <c r="J11" s="1276"/>
    </row>
    <row r="12" spans="1:10" ht="14.7">
      <c r="A12" s="1271"/>
      <c r="B12" s="1271" t="s">
        <v>2682</v>
      </c>
      <c r="C12" s="1271">
        <v>1</v>
      </c>
      <c r="D12" s="1271">
        <v>1</v>
      </c>
      <c r="E12" s="1275">
        <v>4.66</v>
      </c>
      <c r="F12" s="1275">
        <v>0.45</v>
      </c>
      <c r="G12" s="1275">
        <v>0.6</v>
      </c>
      <c r="H12" s="1275">
        <f t="shared" si="0"/>
        <v>1.26</v>
      </c>
      <c r="I12" s="1275"/>
      <c r="J12" s="1276"/>
    </row>
    <row r="13" spans="1:10" ht="14.7">
      <c r="A13" s="1271"/>
      <c r="B13" s="1271" t="s">
        <v>2683</v>
      </c>
      <c r="C13" s="1271">
        <v>1</v>
      </c>
      <c r="D13" s="1271">
        <v>2</v>
      </c>
      <c r="E13" s="1275">
        <v>1.5349999999999999</v>
      </c>
      <c r="F13" s="1275">
        <v>0.45</v>
      </c>
      <c r="G13" s="1275">
        <v>0.6</v>
      </c>
      <c r="H13" s="1275">
        <f t="shared" si="0"/>
        <v>0.83</v>
      </c>
      <c r="I13" s="1275"/>
      <c r="J13" s="1276"/>
    </row>
    <row r="14" spans="1:10" ht="14.7">
      <c r="A14" s="1271"/>
      <c r="B14" s="1271"/>
      <c r="C14" s="1271"/>
      <c r="D14" s="1271"/>
      <c r="E14" s="1275"/>
      <c r="F14" s="1275"/>
      <c r="G14" s="1275" t="s">
        <v>2684</v>
      </c>
      <c r="H14" s="1275">
        <f>SUM(H6:H13)</f>
        <v>69.790000000000006</v>
      </c>
      <c r="I14" s="1275">
        <f>Datas!G15</f>
        <v>385.38499999999999</v>
      </c>
      <c r="J14" s="1275">
        <f>ROUND(I14*H14,0)</f>
        <v>26896</v>
      </c>
    </row>
    <row r="15" spans="1:10" ht="14.7">
      <c r="A15" s="1271"/>
      <c r="B15" s="1273"/>
      <c r="C15" s="1273"/>
      <c r="D15" s="1273"/>
      <c r="E15" s="1273"/>
      <c r="F15" s="1273"/>
      <c r="G15" s="1273"/>
      <c r="H15" s="1273" t="s">
        <v>656</v>
      </c>
      <c r="I15" s="1273" t="s">
        <v>2685</v>
      </c>
      <c r="J15" s="1276"/>
    </row>
    <row r="16" spans="1:10" ht="106.5" customHeight="1">
      <c r="A16" s="1271">
        <v>2</v>
      </c>
      <c r="B16" s="2580" t="s">
        <v>2686</v>
      </c>
      <c r="C16" s="2581"/>
      <c r="D16" s="2581"/>
      <c r="E16" s="2581"/>
      <c r="F16" s="2581"/>
      <c r="G16" s="2581"/>
      <c r="H16" s="2581"/>
      <c r="I16" s="1272"/>
      <c r="J16" s="1276"/>
    </row>
    <row r="17" spans="1:10" ht="14.7">
      <c r="A17" s="1271"/>
      <c r="B17" s="2573" t="s">
        <v>2687</v>
      </c>
      <c r="C17" s="2573"/>
      <c r="D17" s="2573"/>
      <c r="E17" s="2573"/>
      <c r="F17" s="1273"/>
      <c r="G17" s="1273"/>
      <c r="H17" s="1273"/>
      <c r="I17" s="1273"/>
      <c r="J17" s="1276"/>
    </row>
    <row r="18" spans="1:10" ht="14.7">
      <c r="A18" s="1271"/>
      <c r="B18" s="1271" t="s">
        <v>2676</v>
      </c>
      <c r="C18" s="1271">
        <v>1</v>
      </c>
      <c r="D18" s="1271">
        <v>2</v>
      </c>
      <c r="E18" s="1275">
        <v>1.65</v>
      </c>
      <c r="F18" s="1275">
        <v>1.65</v>
      </c>
      <c r="G18" s="1275">
        <v>0.15</v>
      </c>
      <c r="H18" s="1275">
        <f>ROUND(C18*G18*F18*E18*D18,2)</f>
        <v>0.82</v>
      </c>
      <c r="I18" s="1275"/>
      <c r="J18" s="1275"/>
    </row>
    <row r="19" spans="1:10" ht="14.7">
      <c r="A19" s="1271"/>
      <c r="B19" s="1271" t="s">
        <v>2677</v>
      </c>
      <c r="C19" s="1271">
        <v>1</v>
      </c>
      <c r="D19" s="1271">
        <v>8</v>
      </c>
      <c r="E19" s="1275">
        <v>1.9</v>
      </c>
      <c r="F19" s="1275">
        <v>1.9</v>
      </c>
      <c r="G19" s="1275">
        <v>0.15</v>
      </c>
      <c r="H19" s="1275">
        <f t="shared" ref="H19:H39" si="1">ROUND(C19*G19*F19*E19*D19,2)</f>
        <v>4.33</v>
      </c>
      <c r="I19" s="1275"/>
      <c r="J19" s="1275"/>
    </row>
    <row r="20" spans="1:10" ht="14.7">
      <c r="A20" s="1271"/>
      <c r="B20" s="1271" t="s">
        <v>2678</v>
      </c>
      <c r="C20" s="1271">
        <v>1</v>
      </c>
      <c r="D20" s="1271">
        <v>2</v>
      </c>
      <c r="E20" s="1275">
        <v>2</v>
      </c>
      <c r="F20" s="1275">
        <v>2</v>
      </c>
      <c r="G20" s="1275">
        <v>0.15</v>
      </c>
      <c r="H20" s="1275">
        <f t="shared" si="1"/>
        <v>1.2</v>
      </c>
      <c r="I20" s="1275"/>
      <c r="J20" s="1275"/>
    </row>
    <row r="21" spans="1:10" ht="14.7">
      <c r="A21" s="1271"/>
      <c r="B21" s="1271" t="s">
        <v>2679</v>
      </c>
      <c r="C21" s="1271">
        <v>1</v>
      </c>
      <c r="D21" s="1271">
        <v>2</v>
      </c>
      <c r="E21" s="1275">
        <f>E9</f>
        <v>11.259999999999998</v>
      </c>
      <c r="F21" s="1275">
        <v>0.45</v>
      </c>
      <c r="G21" s="1275">
        <v>0.1</v>
      </c>
      <c r="H21" s="1275">
        <f t="shared" si="1"/>
        <v>1.01</v>
      </c>
      <c r="I21" s="1275"/>
      <c r="J21" s="1275"/>
    </row>
    <row r="22" spans="1:10" ht="14.7">
      <c r="A22" s="1271"/>
      <c r="B22" s="1271" t="s">
        <v>2680</v>
      </c>
      <c r="C22" s="1271">
        <v>1</v>
      </c>
      <c r="D22" s="1271">
        <v>2</v>
      </c>
      <c r="E22" s="1275">
        <f>E10</f>
        <v>6.544999999999999</v>
      </c>
      <c r="F22" s="1275">
        <v>0.45</v>
      </c>
      <c r="G22" s="1275">
        <v>0.1</v>
      </c>
      <c r="H22" s="1275">
        <f t="shared" si="1"/>
        <v>0.59</v>
      </c>
      <c r="I22" s="1275"/>
      <c r="J22" s="1275"/>
    </row>
    <row r="23" spans="1:10" ht="14.7">
      <c r="A23" s="1271"/>
      <c r="B23" s="1271" t="s">
        <v>2681</v>
      </c>
      <c r="C23" s="1271">
        <v>-1</v>
      </c>
      <c r="D23" s="1271">
        <v>12</v>
      </c>
      <c r="E23" s="1275">
        <v>2</v>
      </c>
      <c r="F23" s="1275">
        <v>0.45</v>
      </c>
      <c r="G23" s="1275">
        <v>0.1</v>
      </c>
      <c r="H23" s="1275">
        <f t="shared" si="1"/>
        <v>-1.08</v>
      </c>
      <c r="I23" s="1275"/>
      <c r="J23" s="1275"/>
    </row>
    <row r="24" spans="1:10" ht="14.7">
      <c r="A24" s="1271"/>
      <c r="B24" s="1271" t="s">
        <v>2688</v>
      </c>
      <c r="C24" s="1271"/>
      <c r="D24" s="1271"/>
      <c r="E24" s="1275"/>
      <c r="F24" s="1275"/>
      <c r="G24" s="1275"/>
      <c r="H24" s="1275"/>
      <c r="I24" s="1275"/>
      <c r="J24" s="1275"/>
    </row>
    <row r="25" spans="1:10" ht="14.7">
      <c r="A25" s="1271"/>
      <c r="B25" s="1271" t="s">
        <v>2689</v>
      </c>
      <c r="C25" s="1271">
        <v>1</v>
      </c>
      <c r="D25" s="1271">
        <v>1</v>
      </c>
      <c r="E25" s="1275">
        <v>3.68</v>
      </c>
      <c r="F25" s="1275">
        <v>4.8250000000000002</v>
      </c>
      <c r="G25" s="1275">
        <v>0.1</v>
      </c>
      <c r="H25" s="1275">
        <f t="shared" si="1"/>
        <v>1.78</v>
      </c>
      <c r="I25" s="1275"/>
      <c r="J25" s="1275"/>
    </row>
    <row r="26" spans="1:10" ht="14.7">
      <c r="A26" s="1271"/>
      <c r="B26" s="1271" t="s">
        <v>2690</v>
      </c>
      <c r="C26" s="1271">
        <v>1</v>
      </c>
      <c r="D26" s="1271">
        <v>1</v>
      </c>
      <c r="E26" s="1275">
        <v>3.68</v>
      </c>
      <c r="F26" s="1275">
        <v>3.05</v>
      </c>
      <c r="G26" s="1275">
        <v>0.1</v>
      </c>
      <c r="H26" s="1275">
        <f t="shared" si="1"/>
        <v>1.1200000000000001</v>
      </c>
      <c r="I26" s="1275"/>
      <c r="J26" s="1275"/>
    </row>
    <row r="27" spans="1:10" ht="14.7">
      <c r="A27" s="1271"/>
      <c r="B27" s="1271" t="s">
        <v>2691</v>
      </c>
      <c r="C27" s="1271">
        <v>1</v>
      </c>
      <c r="D27" s="1271">
        <v>1</v>
      </c>
      <c r="E27" s="1275">
        <v>2.99</v>
      </c>
      <c r="F27" s="1275">
        <f>F26</f>
        <v>3.05</v>
      </c>
      <c r="G27" s="1275">
        <v>0.1</v>
      </c>
      <c r="H27" s="1275">
        <f t="shared" si="1"/>
        <v>0.91</v>
      </c>
      <c r="I27" s="1275"/>
      <c r="J27" s="1275"/>
    </row>
    <row r="28" spans="1:10" ht="14.7">
      <c r="A28" s="1271"/>
      <c r="B28" s="1271" t="s">
        <v>2692</v>
      </c>
      <c r="C28" s="1271">
        <v>1</v>
      </c>
      <c r="D28" s="1271">
        <v>1</v>
      </c>
      <c r="E28" s="1275">
        <v>3.68</v>
      </c>
      <c r="F28" s="1275">
        <v>1.83</v>
      </c>
      <c r="G28" s="1275">
        <v>0.1</v>
      </c>
      <c r="H28" s="1275">
        <f t="shared" si="1"/>
        <v>0.67</v>
      </c>
      <c r="I28" s="1275"/>
      <c r="J28" s="1275"/>
    </row>
    <row r="29" spans="1:10" ht="14.7">
      <c r="A29" s="1271"/>
      <c r="B29" s="1271" t="s">
        <v>2693</v>
      </c>
      <c r="C29" s="1271">
        <v>1</v>
      </c>
      <c r="D29" s="1271">
        <v>1</v>
      </c>
      <c r="E29" s="1275">
        <v>2.87</v>
      </c>
      <c r="F29" s="1275">
        <v>3.605</v>
      </c>
      <c r="G29" s="1275">
        <v>0.1</v>
      </c>
      <c r="H29" s="1275">
        <f t="shared" si="1"/>
        <v>1.03</v>
      </c>
      <c r="I29" s="1275"/>
      <c r="J29" s="1275"/>
    </row>
    <row r="30" spans="1:10" ht="14.7">
      <c r="A30" s="1271"/>
      <c r="B30" s="1271" t="s">
        <v>2694</v>
      </c>
      <c r="C30" s="1271">
        <v>1</v>
      </c>
      <c r="D30" s="1271">
        <v>1</v>
      </c>
      <c r="E30" s="1275">
        <v>2.605</v>
      </c>
      <c r="F30" s="1275">
        <v>1.38</v>
      </c>
      <c r="G30" s="1275">
        <v>0.1</v>
      </c>
      <c r="H30" s="1275">
        <f t="shared" si="1"/>
        <v>0.36</v>
      </c>
      <c r="I30" s="1275"/>
      <c r="J30" s="1275"/>
    </row>
    <row r="31" spans="1:10" ht="14.7">
      <c r="A31" s="1271"/>
      <c r="B31" s="1271" t="s">
        <v>2695</v>
      </c>
      <c r="C31" s="1271">
        <v>1</v>
      </c>
      <c r="D31" s="1271">
        <v>1</v>
      </c>
      <c r="E31" s="1275">
        <v>0.96</v>
      </c>
      <c r="F31" s="1275">
        <f>1.39*2+0.15</f>
        <v>2.9299999999999997</v>
      </c>
      <c r="G31" s="1275">
        <v>0.1</v>
      </c>
      <c r="H31" s="1275">
        <f t="shared" si="1"/>
        <v>0.28000000000000003</v>
      </c>
      <c r="I31" s="1275"/>
      <c r="J31" s="1275"/>
    </row>
    <row r="32" spans="1:10" ht="14.7">
      <c r="A32" s="1271"/>
      <c r="B32" s="1271" t="s">
        <v>2696</v>
      </c>
      <c r="C32" s="1271">
        <v>1</v>
      </c>
      <c r="D32" s="1271">
        <v>1</v>
      </c>
      <c r="E32" s="1275">
        <v>3.91</v>
      </c>
      <c r="F32" s="1277">
        <v>2</v>
      </c>
      <c r="G32" s="1275">
        <v>0.1</v>
      </c>
      <c r="H32" s="1275">
        <f t="shared" si="1"/>
        <v>0.78</v>
      </c>
      <c r="I32" s="1275"/>
      <c r="J32" s="1275"/>
    </row>
    <row r="33" spans="1:10" ht="14.7">
      <c r="A33" s="1271"/>
      <c r="B33" s="1271" t="s">
        <v>2697</v>
      </c>
      <c r="C33" s="1271">
        <v>1</v>
      </c>
      <c r="D33" s="1271">
        <v>1</v>
      </c>
      <c r="E33" s="1275">
        <f>E12</f>
        <v>4.66</v>
      </c>
      <c r="F33" s="1275">
        <v>0.45</v>
      </c>
      <c r="G33" s="1275">
        <v>0.1</v>
      </c>
      <c r="H33" s="1275">
        <f t="shared" si="1"/>
        <v>0.21</v>
      </c>
      <c r="I33" s="1275"/>
      <c r="J33" s="1275"/>
    </row>
    <row r="34" spans="1:10" ht="14.7">
      <c r="A34" s="1271"/>
      <c r="B34" s="1271" t="s">
        <v>2698</v>
      </c>
      <c r="C34" s="1271">
        <v>1</v>
      </c>
      <c r="D34" s="1271">
        <v>2</v>
      </c>
      <c r="E34" s="1275">
        <f>E13</f>
        <v>1.5349999999999999</v>
      </c>
      <c r="F34" s="1275">
        <v>0.45</v>
      </c>
      <c r="G34" s="1275">
        <v>0.1</v>
      </c>
      <c r="H34" s="1275">
        <f t="shared" si="1"/>
        <v>0.14000000000000001</v>
      </c>
      <c r="I34" s="1275"/>
      <c r="J34" s="1275"/>
    </row>
    <row r="35" spans="1:10" ht="14.7">
      <c r="A35" s="1271"/>
      <c r="B35" s="1271" t="s">
        <v>2699</v>
      </c>
      <c r="C35" s="1271">
        <v>1</v>
      </c>
      <c r="D35" s="1278">
        <v>1</v>
      </c>
      <c r="E35" s="1277">
        <f>11.04-0.23-0.45</f>
        <v>10.36</v>
      </c>
      <c r="F35" s="1275">
        <v>0.23</v>
      </c>
      <c r="G35" s="1275">
        <v>0.1</v>
      </c>
      <c r="H35" s="1275">
        <f t="shared" si="1"/>
        <v>0.24</v>
      </c>
      <c r="I35" s="1275"/>
      <c r="J35" s="1275"/>
    </row>
    <row r="36" spans="1:10" ht="14.7">
      <c r="A36" s="1271"/>
      <c r="B36" s="1271" t="s">
        <v>2700</v>
      </c>
      <c r="C36" s="1271">
        <v>1</v>
      </c>
      <c r="D36" s="1278">
        <v>2</v>
      </c>
      <c r="E36" s="1277">
        <f>7.225-0.23-0.45</f>
        <v>6.544999999999999</v>
      </c>
      <c r="F36" s="1275">
        <v>0.23</v>
      </c>
      <c r="G36" s="1275">
        <v>0.1</v>
      </c>
      <c r="H36" s="1275">
        <f>ROUND(C36*G36*F36*E36*D36,2)</f>
        <v>0.3</v>
      </c>
      <c r="I36" s="1275"/>
      <c r="J36" s="1275"/>
    </row>
    <row r="37" spans="1:10" ht="14.7">
      <c r="A37" s="1271"/>
      <c r="B37" s="1271"/>
      <c r="C37" s="1271">
        <v>1</v>
      </c>
      <c r="D37" s="1271">
        <v>0</v>
      </c>
      <c r="E37" s="1275">
        <v>8.1999999999999993</v>
      </c>
      <c r="F37" s="1275">
        <v>0.23</v>
      </c>
      <c r="G37" s="1275">
        <v>0.1</v>
      </c>
      <c r="H37" s="1275">
        <f t="shared" si="1"/>
        <v>0</v>
      </c>
      <c r="I37" s="1275"/>
      <c r="J37" s="1275"/>
    </row>
    <row r="38" spans="1:10" ht="14.7">
      <c r="A38" s="1271"/>
      <c r="B38" s="1271"/>
      <c r="C38" s="1271">
        <v>1</v>
      </c>
      <c r="D38" s="1271">
        <v>0</v>
      </c>
      <c r="E38" s="1275">
        <v>2.95</v>
      </c>
      <c r="F38" s="1275">
        <v>0.23</v>
      </c>
      <c r="G38" s="1275">
        <v>0.1</v>
      </c>
      <c r="H38" s="1275">
        <f t="shared" si="1"/>
        <v>0</v>
      </c>
      <c r="I38" s="1275"/>
      <c r="J38" s="1275"/>
    </row>
    <row r="39" spans="1:10" ht="14.7">
      <c r="A39" s="1271"/>
      <c r="B39" s="1271" t="s">
        <v>2701</v>
      </c>
      <c r="C39" s="1271">
        <v>1</v>
      </c>
      <c r="D39" s="1271">
        <v>0</v>
      </c>
      <c r="E39" s="1275">
        <v>4.26</v>
      </c>
      <c r="F39" s="1275">
        <v>1.5349999999999999</v>
      </c>
      <c r="G39" s="1275">
        <v>0.1</v>
      </c>
      <c r="H39" s="1275">
        <f t="shared" si="1"/>
        <v>0</v>
      </c>
      <c r="I39" s="1275"/>
      <c r="J39" s="1275"/>
    </row>
    <row r="40" spans="1:10" ht="14.7">
      <c r="A40" s="1271"/>
      <c r="B40" s="1271"/>
      <c r="C40" s="1271"/>
      <c r="D40" s="1271"/>
      <c r="E40" s="1275"/>
      <c r="F40" s="1275"/>
      <c r="G40" s="1275" t="s">
        <v>2684</v>
      </c>
      <c r="H40" s="1275">
        <f>SUM(H18:H39)</f>
        <v>14.69</v>
      </c>
      <c r="I40" s="1275">
        <f>Datas!G157</f>
        <v>4371.4635670906127</v>
      </c>
      <c r="J40" s="1275">
        <f>ROUND(I40*H40,0)</f>
        <v>64217</v>
      </c>
    </row>
    <row r="41" spans="1:10" ht="14.7">
      <c r="A41" s="1271"/>
      <c r="B41" s="1271"/>
      <c r="C41" s="1271"/>
      <c r="D41" s="1271"/>
      <c r="E41" s="1271"/>
      <c r="F41" s="1271"/>
      <c r="G41" s="1271"/>
      <c r="H41" s="1271" t="s">
        <v>2578</v>
      </c>
      <c r="I41" s="1271" t="s">
        <v>2578</v>
      </c>
      <c r="J41" s="1275"/>
    </row>
    <row r="42" spans="1:10" ht="99.75" customHeight="1">
      <c r="A42" s="1271">
        <v>3</v>
      </c>
      <c r="B42" s="2582" t="s">
        <v>2702</v>
      </c>
      <c r="C42" s="2583"/>
      <c r="D42" s="2583"/>
      <c r="E42" s="2583"/>
      <c r="F42" s="2583"/>
      <c r="G42" s="2583"/>
      <c r="H42" s="2583"/>
      <c r="I42" s="1273"/>
      <c r="J42" s="1276"/>
    </row>
    <row r="43" spans="1:10" ht="14.7">
      <c r="A43" s="1271"/>
      <c r="B43" s="1279" t="s">
        <v>2703</v>
      </c>
      <c r="C43" s="1273"/>
      <c r="D43" s="1273"/>
      <c r="E43" s="1273"/>
      <c r="F43" s="1273"/>
      <c r="G43" s="1273"/>
      <c r="H43" s="1275">
        <f>+H14</f>
        <v>69.790000000000006</v>
      </c>
      <c r="I43" s="1273"/>
      <c r="J43" s="1276"/>
    </row>
    <row r="44" spans="1:10" ht="14.7">
      <c r="A44" s="1271"/>
      <c r="B44" s="1279" t="s">
        <v>2704</v>
      </c>
      <c r="C44" s="1271"/>
      <c r="D44" s="1271"/>
      <c r="E44" s="1275"/>
      <c r="F44" s="1275"/>
      <c r="G44" s="1275"/>
      <c r="H44" s="1275">
        <f>+-H18</f>
        <v>-0.82</v>
      </c>
      <c r="I44" s="1275"/>
      <c r="J44" s="1275"/>
    </row>
    <row r="45" spans="1:10" ht="14.7">
      <c r="A45" s="1271"/>
      <c r="B45" s="1279" t="s">
        <v>2705</v>
      </c>
      <c r="C45" s="1271"/>
      <c r="D45" s="1271"/>
      <c r="E45" s="1275"/>
      <c r="F45" s="1275"/>
      <c r="G45" s="1275"/>
      <c r="H45" s="1275">
        <f>+-H89</f>
        <v>-11.783499999999998</v>
      </c>
      <c r="I45" s="1275"/>
      <c r="J45" s="1275"/>
    </row>
    <row r="46" spans="1:10" ht="14.7">
      <c r="A46" s="1271"/>
      <c r="B46" s="1279" t="s">
        <v>2706</v>
      </c>
      <c r="C46" s="1271"/>
      <c r="D46" s="1271"/>
      <c r="E46" s="1275"/>
      <c r="F46" s="1275"/>
      <c r="G46" s="1275"/>
      <c r="H46" s="1275">
        <f>+-H94</f>
        <v>-2.0224800000000003</v>
      </c>
      <c r="I46" s="1275"/>
      <c r="J46" s="1275"/>
    </row>
    <row r="47" spans="1:10" ht="14.7">
      <c r="A47" s="1271"/>
      <c r="B47" s="1279" t="s">
        <v>2707</v>
      </c>
      <c r="C47" s="1271"/>
      <c r="D47" s="1271"/>
      <c r="E47" s="1275"/>
      <c r="F47" s="1275"/>
      <c r="G47" s="1275"/>
      <c r="H47" s="1275">
        <f>+-SUM(H105:H107)</f>
        <v>-0.85214999999999996</v>
      </c>
      <c r="I47" s="1275"/>
      <c r="J47" s="1275"/>
    </row>
    <row r="48" spans="1:10" ht="14.7">
      <c r="A48" s="1271"/>
      <c r="B48" s="1271"/>
      <c r="C48" s="1271"/>
      <c r="D48" s="1271"/>
      <c r="E48" s="1275"/>
      <c r="F48" s="1275"/>
      <c r="G48" s="1275" t="s">
        <v>2684</v>
      </c>
      <c r="H48" s="1275">
        <f>SUM(H43:H47)</f>
        <v>54.311870000000013</v>
      </c>
      <c r="I48" s="1275">
        <f>Datas!G66</f>
        <v>40.98</v>
      </c>
      <c r="J48" s="1275">
        <f>ROUND(I48*H48,0)</f>
        <v>2226</v>
      </c>
    </row>
    <row r="49" spans="1:15" ht="14.7">
      <c r="A49" s="1271"/>
      <c r="B49" s="1271"/>
      <c r="C49" s="1271"/>
      <c r="D49" s="1271"/>
      <c r="E49" s="1271"/>
      <c r="F49" s="1271"/>
      <c r="G49" s="1271"/>
      <c r="H49" s="1271" t="s">
        <v>2578</v>
      </c>
      <c r="I49" s="1271" t="s">
        <v>2578</v>
      </c>
      <c r="J49" s="1275"/>
    </row>
    <row r="50" spans="1:15" ht="96.75" customHeight="1">
      <c r="A50" s="1271">
        <v>4</v>
      </c>
      <c r="B50" s="2584" t="s">
        <v>2841</v>
      </c>
      <c r="C50" s="2585"/>
      <c r="D50" s="2585"/>
      <c r="E50" s="2585"/>
      <c r="F50" s="2585"/>
      <c r="G50" s="2585"/>
      <c r="H50" s="2585"/>
      <c r="I50" s="1280"/>
      <c r="J50" s="1276"/>
      <c r="O50" s="1248">
        <f>111022-1596-22715</f>
        <v>86711</v>
      </c>
    </row>
    <row r="51" spans="1:15" ht="14.7">
      <c r="A51" s="1271"/>
      <c r="B51" s="1273" t="s">
        <v>2708</v>
      </c>
      <c r="C51" s="1273"/>
      <c r="D51" s="1273"/>
      <c r="E51" s="1273"/>
      <c r="F51" s="1273"/>
      <c r="G51" s="1273"/>
      <c r="H51" s="1273"/>
      <c r="I51" s="1273"/>
      <c r="J51" s="1276"/>
    </row>
    <row r="52" spans="1:15" ht="14.7">
      <c r="A52" s="1271"/>
      <c r="B52" s="1271" t="s">
        <v>2709</v>
      </c>
      <c r="C52" s="1271">
        <v>1</v>
      </c>
      <c r="D52" s="1271">
        <v>1</v>
      </c>
      <c r="E52" s="1275">
        <v>3.68</v>
      </c>
      <c r="F52" s="1275">
        <f>F25</f>
        <v>4.8250000000000002</v>
      </c>
      <c r="G52" s="1275">
        <f>0.15+0.6</f>
        <v>0.75</v>
      </c>
      <c r="H52" s="1275">
        <f>ROUND(C52*G52*F52*E52*D52,2)</f>
        <v>13.32</v>
      </c>
      <c r="I52" s="1275"/>
      <c r="J52" s="1275"/>
    </row>
    <row r="53" spans="1:15" ht="14.7">
      <c r="A53" s="1271"/>
      <c r="B53" s="1271" t="s">
        <v>2690</v>
      </c>
      <c r="C53" s="1271">
        <v>1</v>
      </c>
      <c r="D53" s="1271">
        <v>1</v>
      </c>
      <c r="E53" s="1275">
        <v>3.68</v>
      </c>
      <c r="F53" s="1275">
        <f>F26</f>
        <v>3.05</v>
      </c>
      <c r="G53" s="1275">
        <f t="shared" ref="G53:G60" si="2">0.15+0.6</f>
        <v>0.75</v>
      </c>
      <c r="H53" s="1275">
        <f t="shared" ref="H53:H60" si="3">ROUND(C53*G53*F53*E53*D53,2)</f>
        <v>8.42</v>
      </c>
      <c r="I53" s="1275"/>
      <c r="J53" s="1275"/>
    </row>
    <row r="54" spans="1:15" ht="14.7">
      <c r="A54" s="1271"/>
      <c r="B54" s="1271" t="s">
        <v>2710</v>
      </c>
      <c r="C54" s="1271">
        <v>1</v>
      </c>
      <c r="D54" s="1271">
        <v>1</v>
      </c>
      <c r="E54" s="1275">
        <v>2.99</v>
      </c>
      <c r="F54" s="1275">
        <f>F53</f>
        <v>3.05</v>
      </c>
      <c r="G54" s="1275">
        <f t="shared" si="2"/>
        <v>0.75</v>
      </c>
      <c r="H54" s="1275">
        <f t="shared" si="3"/>
        <v>6.84</v>
      </c>
      <c r="I54" s="1275"/>
      <c r="J54" s="1275"/>
    </row>
    <row r="55" spans="1:15" ht="14.7">
      <c r="A55" s="1271"/>
      <c r="B55" s="1271" t="s">
        <v>2692</v>
      </c>
      <c r="C55" s="1271">
        <v>1</v>
      </c>
      <c r="D55" s="1271">
        <v>1</v>
      </c>
      <c r="E55" s="1275">
        <v>3.68</v>
      </c>
      <c r="F55" s="1275">
        <v>1.83</v>
      </c>
      <c r="G55" s="1275">
        <f t="shared" si="2"/>
        <v>0.75</v>
      </c>
      <c r="H55" s="1275">
        <f t="shared" si="3"/>
        <v>5.05</v>
      </c>
      <c r="I55" s="1275"/>
      <c r="J55" s="1275"/>
    </row>
    <row r="56" spans="1:15" ht="14.7">
      <c r="A56" s="1271"/>
      <c r="B56" s="1271" t="s">
        <v>2693</v>
      </c>
      <c r="C56" s="1271">
        <v>1</v>
      </c>
      <c r="D56" s="1271">
        <v>1</v>
      </c>
      <c r="E56" s="1275">
        <v>2.87</v>
      </c>
      <c r="F56" s="1275">
        <v>3.605</v>
      </c>
      <c r="G56" s="1275">
        <f t="shared" si="2"/>
        <v>0.75</v>
      </c>
      <c r="H56" s="1275">
        <f t="shared" si="3"/>
        <v>7.76</v>
      </c>
      <c r="I56" s="1275"/>
      <c r="J56" s="1275"/>
    </row>
    <row r="57" spans="1:15" ht="14.7">
      <c r="A57" s="1271"/>
      <c r="B57" s="1271" t="s">
        <v>2694</v>
      </c>
      <c r="C57" s="1271">
        <v>1</v>
      </c>
      <c r="D57" s="1271">
        <v>1</v>
      </c>
      <c r="E57" s="1275">
        <v>2.605</v>
      </c>
      <c r="F57" s="1275">
        <v>1.38</v>
      </c>
      <c r="G57" s="1275">
        <f t="shared" si="2"/>
        <v>0.75</v>
      </c>
      <c r="H57" s="1275">
        <f t="shared" si="3"/>
        <v>2.7</v>
      </c>
      <c r="I57" s="1275"/>
      <c r="J57" s="1275"/>
    </row>
    <row r="58" spans="1:15" ht="14.7">
      <c r="A58" s="1271"/>
      <c r="B58" s="1271" t="s">
        <v>2701</v>
      </c>
      <c r="C58" s="1271">
        <v>1</v>
      </c>
      <c r="D58" s="1271">
        <v>1</v>
      </c>
      <c r="E58" s="1275">
        <v>4.2</v>
      </c>
      <c r="F58" s="1275">
        <v>1.5349999999999999</v>
      </c>
      <c r="G58" s="1275">
        <f t="shared" si="2"/>
        <v>0.75</v>
      </c>
      <c r="H58" s="1275">
        <f t="shared" si="3"/>
        <v>4.84</v>
      </c>
      <c r="I58" s="1275"/>
      <c r="J58" s="1275"/>
    </row>
    <row r="59" spans="1:15" ht="14.7">
      <c r="A59" s="1271"/>
      <c r="B59" s="1271" t="s">
        <v>2711</v>
      </c>
      <c r="C59" s="1271">
        <v>1</v>
      </c>
      <c r="D59" s="1271">
        <v>1</v>
      </c>
      <c r="E59" s="1275">
        <f>E31</f>
        <v>0.96</v>
      </c>
      <c r="F59" s="1275">
        <f>F31</f>
        <v>2.9299999999999997</v>
      </c>
      <c r="G59" s="1275">
        <f t="shared" si="2"/>
        <v>0.75</v>
      </c>
      <c r="H59" s="1275">
        <f t="shared" si="3"/>
        <v>2.11</v>
      </c>
      <c r="I59" s="1275"/>
      <c r="J59" s="1275"/>
    </row>
    <row r="60" spans="1:15" ht="14.7">
      <c r="A60" s="1271"/>
      <c r="B60" s="1271" t="s">
        <v>2712</v>
      </c>
      <c r="C60" s="1271">
        <v>1</v>
      </c>
      <c r="D60" s="1271">
        <v>1</v>
      </c>
      <c r="E60" s="1275">
        <f>E32</f>
        <v>3.91</v>
      </c>
      <c r="F60" s="1275">
        <f>F32</f>
        <v>2</v>
      </c>
      <c r="G60" s="1275">
        <f t="shared" si="2"/>
        <v>0.75</v>
      </c>
      <c r="H60" s="1275">
        <f t="shared" si="3"/>
        <v>5.87</v>
      </c>
      <c r="I60" s="1275"/>
      <c r="J60" s="1275"/>
    </row>
    <row r="61" spans="1:15" ht="14.7">
      <c r="A61" s="1271"/>
      <c r="B61" s="1271"/>
      <c r="C61" s="1271"/>
      <c r="D61" s="1271"/>
      <c r="E61" s="1275"/>
      <c r="F61" s="1275"/>
      <c r="G61" s="1275"/>
      <c r="H61" s="1275"/>
      <c r="I61" s="1275"/>
      <c r="J61" s="1275"/>
    </row>
    <row r="62" spans="1:15" ht="14.7">
      <c r="A62" s="1271"/>
      <c r="B62" s="1271"/>
      <c r="C62" s="1271"/>
      <c r="D62" s="1271"/>
      <c r="E62" s="1275"/>
      <c r="F62" s="1275"/>
      <c r="G62" s="1275" t="s">
        <v>2684</v>
      </c>
      <c r="H62" s="1275">
        <f>SUM(H52:H61)</f>
        <v>56.910000000000004</v>
      </c>
      <c r="I62" s="1275">
        <f>Datas!G54</f>
        <v>228.33</v>
      </c>
      <c r="J62" s="1275">
        <f>ROUND(I62*H62,0)</f>
        <v>12994</v>
      </c>
    </row>
    <row r="63" spans="1:15" ht="14.7">
      <c r="A63" s="1271"/>
      <c r="B63" s="1271"/>
      <c r="C63" s="1271"/>
      <c r="D63" s="1271"/>
      <c r="E63" s="1271"/>
      <c r="F63" s="1271"/>
      <c r="G63" s="1271"/>
      <c r="H63" s="1271" t="s">
        <v>2578</v>
      </c>
      <c r="I63" s="1271" t="s">
        <v>2578</v>
      </c>
      <c r="J63" s="1275"/>
    </row>
    <row r="64" spans="1:15" ht="106.5" customHeight="1">
      <c r="A64" s="1271">
        <v>5</v>
      </c>
      <c r="B64" s="2580" t="str">
        <f>Datas!C216</f>
        <v>CRS Masonry in CM (1:6) 2nd  Sort (Cement: Sand) using hard granite stones from approved quarry including cost and conveyance of all materials like Granite stones, cement, sand, water,  etc.,  to site including seigniorage charges, Countryes &amp; other taxes on all materials, all operational, incidental, and labor charges such as cutting stones to required size and shape, mixing of cement mortar, constructing masonry, curing etc., complete for finished item of work for foundation and basement (APSS No. 601 &amp; 615)</v>
      </c>
      <c r="C64" s="2581"/>
      <c r="D64" s="2581"/>
      <c r="E64" s="2581"/>
      <c r="F64" s="2581"/>
      <c r="G64" s="2581"/>
      <c r="H64" s="2586"/>
      <c r="I64" s="1273"/>
      <c r="J64" s="1276"/>
    </row>
    <row r="65" spans="1:10" ht="14.7">
      <c r="A65" s="1271"/>
      <c r="B65" s="1273" t="s">
        <v>2713</v>
      </c>
      <c r="C65" s="1273"/>
      <c r="D65" s="1273"/>
      <c r="E65" s="1273"/>
      <c r="F65" s="1273"/>
      <c r="G65" s="1273"/>
      <c r="H65" s="1273"/>
      <c r="I65" s="1273"/>
      <c r="J65" s="1276"/>
    </row>
    <row r="66" spans="1:10" ht="14.7">
      <c r="A66" s="1271"/>
      <c r="B66" s="1271" t="s">
        <v>2679</v>
      </c>
      <c r="C66" s="1271">
        <v>1</v>
      </c>
      <c r="D66" s="1271">
        <v>2</v>
      </c>
      <c r="E66" s="1277">
        <v>11.26</v>
      </c>
      <c r="F66" s="1275">
        <v>0.45</v>
      </c>
      <c r="G66" s="1275">
        <v>0.45</v>
      </c>
      <c r="H66" s="1275">
        <f>ROUND(C66*G66*F66*E66*D66,2)</f>
        <v>4.5599999999999996</v>
      </c>
      <c r="I66" s="1275"/>
      <c r="J66" s="1275"/>
    </row>
    <row r="67" spans="1:10" ht="14.7">
      <c r="A67" s="1271"/>
      <c r="B67" s="1271" t="s">
        <v>2680</v>
      </c>
      <c r="C67" s="1271">
        <v>1</v>
      </c>
      <c r="D67" s="1271">
        <v>2</v>
      </c>
      <c r="E67" s="1277">
        <v>6.25</v>
      </c>
      <c r="F67" s="1275">
        <v>0.45</v>
      </c>
      <c r="G67" s="1275">
        <v>0.45</v>
      </c>
      <c r="H67" s="1275">
        <f t="shared" ref="H67:H75" si="4">ROUND(C67*G67*F67*E67*D67,2)</f>
        <v>2.5299999999999998</v>
      </c>
      <c r="I67" s="1275"/>
      <c r="J67" s="1275"/>
    </row>
    <row r="68" spans="1:10" ht="14.7">
      <c r="A68" s="1271"/>
      <c r="B68" s="1271" t="s">
        <v>2681</v>
      </c>
      <c r="C68" s="1271">
        <v>-1</v>
      </c>
      <c r="D68" s="1271">
        <v>10</v>
      </c>
      <c r="E68" s="1275">
        <v>0.375</v>
      </c>
      <c r="F68" s="1275">
        <v>0.45</v>
      </c>
      <c r="G68" s="1275">
        <v>0.45</v>
      </c>
      <c r="H68" s="1275">
        <f t="shared" si="4"/>
        <v>-0.76</v>
      </c>
      <c r="I68" s="1275"/>
      <c r="J68" s="1275"/>
    </row>
    <row r="69" spans="1:10" ht="14.7">
      <c r="A69" s="1271"/>
      <c r="B69" s="1271" t="s">
        <v>2681</v>
      </c>
      <c r="C69" s="1271">
        <v>-1</v>
      </c>
      <c r="D69" s="1271">
        <v>8</v>
      </c>
      <c r="E69" s="1275">
        <v>0.45</v>
      </c>
      <c r="F69" s="1275">
        <v>0.45</v>
      </c>
      <c r="G69" s="1275">
        <v>0.45</v>
      </c>
      <c r="H69" s="1275">
        <f t="shared" si="4"/>
        <v>-0.73</v>
      </c>
      <c r="I69" s="1275"/>
      <c r="J69" s="1275"/>
    </row>
    <row r="70" spans="1:10" ht="14.7">
      <c r="A70" s="1271"/>
      <c r="B70" s="1271" t="s">
        <v>2682</v>
      </c>
      <c r="C70" s="1271">
        <v>1</v>
      </c>
      <c r="D70" s="1271">
        <v>1</v>
      </c>
      <c r="E70" s="1275">
        <v>4.2</v>
      </c>
      <c r="F70" s="1275">
        <v>0.45</v>
      </c>
      <c r="G70" s="1275">
        <v>0.45</v>
      </c>
      <c r="H70" s="1275">
        <f t="shared" si="4"/>
        <v>0.85</v>
      </c>
      <c r="I70" s="1275"/>
      <c r="J70" s="1275"/>
    </row>
    <row r="71" spans="1:10" ht="14.7">
      <c r="A71" s="1271"/>
      <c r="B71" s="1271" t="s">
        <v>2683</v>
      </c>
      <c r="C71" s="1271">
        <v>1</v>
      </c>
      <c r="D71" s="1271">
        <v>2</v>
      </c>
      <c r="E71" s="1281">
        <f>1.535-0.45</f>
        <v>1.085</v>
      </c>
      <c r="F71" s="1275">
        <v>0.45</v>
      </c>
      <c r="G71" s="1275">
        <v>0.45</v>
      </c>
      <c r="H71" s="1275">
        <f t="shared" si="4"/>
        <v>0.44</v>
      </c>
      <c r="I71" s="1275"/>
      <c r="J71" s="1275"/>
    </row>
    <row r="72" spans="1:10" ht="14.7">
      <c r="A72" s="1271"/>
      <c r="B72" s="1271"/>
      <c r="C72" s="1271"/>
      <c r="D72" s="1271"/>
      <c r="E72" s="1275"/>
      <c r="F72" s="1275"/>
      <c r="G72" s="1275"/>
      <c r="H72" s="1275"/>
      <c r="I72" s="1275"/>
      <c r="J72" s="1275"/>
    </row>
    <row r="73" spans="1:10" ht="14.7">
      <c r="A73" s="1271"/>
      <c r="B73" s="1271"/>
      <c r="C73" s="1271"/>
      <c r="D73" s="1271"/>
      <c r="E73" s="1275"/>
      <c r="F73" s="1275"/>
      <c r="G73" s="1275"/>
      <c r="H73" s="1275"/>
      <c r="I73" s="1275"/>
      <c r="J73" s="1275"/>
    </row>
    <row r="74" spans="1:10" ht="14.7">
      <c r="A74" s="1271"/>
      <c r="B74" s="1273" t="s">
        <v>2714</v>
      </c>
      <c r="C74" s="1273"/>
      <c r="D74" s="1273"/>
      <c r="E74" s="1273"/>
      <c r="F74" s="1273"/>
      <c r="G74" s="1273"/>
      <c r="H74" s="1275">
        <f t="shared" si="4"/>
        <v>0</v>
      </c>
      <c r="I74" s="1275"/>
      <c r="J74" s="1275"/>
    </row>
    <row r="75" spans="1:10" ht="14.7">
      <c r="A75" s="1271"/>
      <c r="B75" s="1271" t="s">
        <v>2679</v>
      </c>
      <c r="C75" s="1271">
        <v>1</v>
      </c>
      <c r="D75" s="1271">
        <v>2</v>
      </c>
      <c r="E75" s="1275">
        <f>E66</f>
        <v>11.26</v>
      </c>
      <c r="F75" s="1275">
        <v>0.45</v>
      </c>
      <c r="G75" s="1275">
        <v>0.6</v>
      </c>
      <c r="H75" s="1275">
        <f t="shared" si="4"/>
        <v>6.08</v>
      </c>
      <c r="I75" s="1275"/>
      <c r="J75" s="1275"/>
    </row>
    <row r="76" spans="1:10" ht="14.7">
      <c r="A76" s="1271"/>
      <c r="B76" s="1271" t="s">
        <v>2680</v>
      </c>
      <c r="C76" s="1271">
        <v>1</v>
      </c>
      <c r="D76" s="1271">
        <v>2</v>
      </c>
      <c r="E76" s="1275">
        <f>E67</f>
        <v>6.25</v>
      </c>
      <c r="F76" s="1275">
        <v>0.45</v>
      </c>
      <c r="G76" s="1275">
        <v>0.6</v>
      </c>
      <c r="H76" s="1275">
        <f>ROUND(C76*G76*F76*E76*D76,2)</f>
        <v>3.38</v>
      </c>
      <c r="I76" s="1275"/>
      <c r="J76" s="1275"/>
    </row>
    <row r="77" spans="1:10" ht="14.7">
      <c r="A77" s="1271"/>
      <c r="B77" s="1271" t="s">
        <v>2681</v>
      </c>
      <c r="C77" s="1271">
        <v>-1</v>
      </c>
      <c r="D77" s="1271">
        <v>12</v>
      </c>
      <c r="E77" s="1275">
        <v>0.375</v>
      </c>
      <c r="F77" s="1275">
        <v>0.45</v>
      </c>
      <c r="G77" s="1275">
        <v>0.6</v>
      </c>
      <c r="H77" s="1275">
        <f>ROUND(C77*G77*F77*E77*D77,2)</f>
        <v>-1.22</v>
      </c>
      <c r="I77" s="1275"/>
      <c r="J77" s="1275"/>
    </row>
    <row r="78" spans="1:10" ht="14.7">
      <c r="A78" s="1271"/>
      <c r="B78" s="1271" t="str">
        <f>B69</f>
        <v>deductions</v>
      </c>
      <c r="C78" s="1271">
        <f t="shared" ref="C78:F80" si="5">C69</f>
        <v>-1</v>
      </c>
      <c r="D78" s="1271">
        <f t="shared" si="5"/>
        <v>8</v>
      </c>
      <c r="E78" s="1271">
        <f t="shared" si="5"/>
        <v>0.45</v>
      </c>
      <c r="F78" s="1271">
        <f t="shared" si="5"/>
        <v>0.45</v>
      </c>
      <c r="G78" s="1275">
        <v>0.6</v>
      </c>
      <c r="H78" s="1275">
        <f>ROUND(C78*G78*F78*E78*D78,2)</f>
        <v>-0.97</v>
      </c>
      <c r="I78" s="1275"/>
      <c r="J78" s="1275"/>
    </row>
    <row r="79" spans="1:10" ht="14.7">
      <c r="A79" s="1271"/>
      <c r="B79" s="1271" t="s">
        <v>2682</v>
      </c>
      <c r="C79" s="1271">
        <v>1</v>
      </c>
      <c r="D79" s="1271">
        <f t="shared" si="5"/>
        <v>1</v>
      </c>
      <c r="E79" s="1271">
        <f t="shared" si="5"/>
        <v>4.2</v>
      </c>
      <c r="F79" s="1271">
        <f t="shared" si="5"/>
        <v>0.45</v>
      </c>
      <c r="G79" s="1275">
        <v>0.6</v>
      </c>
      <c r="H79" s="1275">
        <f>ROUND(C79*G79*F79*E79*D79,2)</f>
        <v>1.1299999999999999</v>
      </c>
      <c r="I79" s="1275"/>
      <c r="J79" s="1275"/>
    </row>
    <row r="80" spans="1:10" ht="14.7">
      <c r="A80" s="1271"/>
      <c r="B80" s="1271" t="s">
        <v>2683</v>
      </c>
      <c r="C80" s="1271">
        <v>1</v>
      </c>
      <c r="D80" s="1271">
        <f t="shared" si="5"/>
        <v>2</v>
      </c>
      <c r="E80" s="1271">
        <f t="shared" si="5"/>
        <v>1.085</v>
      </c>
      <c r="F80" s="1271">
        <f t="shared" si="5"/>
        <v>0.45</v>
      </c>
      <c r="G80" s="1275">
        <v>0.6</v>
      </c>
      <c r="H80" s="1275">
        <f>ROUND(C80*G80*F80*E80*D80,2)</f>
        <v>0.59</v>
      </c>
      <c r="I80" s="1275"/>
      <c r="J80" s="1275"/>
    </row>
    <row r="81" spans="1:10" ht="14.7">
      <c r="A81" s="1271"/>
      <c r="B81" s="1271"/>
      <c r="C81" s="1271"/>
      <c r="D81" s="1271"/>
      <c r="E81" s="1275"/>
      <c r="F81" s="1275"/>
      <c r="G81" s="1275" t="s">
        <v>2684</v>
      </c>
      <c r="H81" s="1275">
        <f>SUM(H66:H80)</f>
        <v>15.879999999999995</v>
      </c>
      <c r="I81" s="1275">
        <f>Datas!G233</f>
        <v>4001.46</v>
      </c>
      <c r="J81" s="1275">
        <f>ROUND(I81*H81,0)</f>
        <v>63543</v>
      </c>
    </row>
    <row r="82" spans="1:10" ht="14.7">
      <c r="A82" s="1271"/>
      <c r="B82" s="1271"/>
      <c r="C82" s="1271"/>
      <c r="D82" s="1271"/>
      <c r="E82" s="1271"/>
      <c r="F82" s="1271"/>
      <c r="G82" s="1271"/>
      <c r="H82" s="1271" t="s">
        <v>2578</v>
      </c>
      <c r="I82" s="1271" t="s">
        <v>2578</v>
      </c>
      <c r="J82" s="1275"/>
    </row>
    <row r="83" spans="1:10" ht="105.75" customHeight="1">
      <c r="A83" s="1271">
        <v>6</v>
      </c>
      <c r="B83" s="2582" t="s">
        <v>2715</v>
      </c>
      <c r="C83" s="2583"/>
      <c r="D83" s="2583"/>
      <c r="E83" s="2583"/>
      <c r="F83" s="2583"/>
      <c r="G83" s="2583"/>
      <c r="H83" s="2583"/>
      <c r="I83" s="1273"/>
      <c r="J83" s="1276"/>
    </row>
    <row r="84" spans="1:10" ht="14.7">
      <c r="A84" s="1271" t="s">
        <v>1475</v>
      </c>
      <c r="B84" s="1273" t="s">
        <v>2716</v>
      </c>
      <c r="C84" s="1273"/>
      <c r="D84" s="1273"/>
      <c r="E84" s="1273"/>
      <c r="F84" s="1273"/>
      <c r="G84" s="1273"/>
      <c r="H84" s="1273"/>
      <c r="I84" s="1273"/>
      <c r="J84" s="1276"/>
    </row>
    <row r="85" spans="1:10" ht="14.7">
      <c r="A85" s="1271"/>
      <c r="B85" s="1271" t="s">
        <v>2676</v>
      </c>
      <c r="C85" s="1271">
        <v>1</v>
      </c>
      <c r="D85" s="1271">
        <v>2</v>
      </c>
      <c r="E85" s="1275">
        <v>1.45</v>
      </c>
      <c r="F85" s="1275">
        <v>1.45</v>
      </c>
      <c r="G85" s="1281">
        <v>0.3</v>
      </c>
      <c r="H85" s="1275">
        <f>PRODUCT(C85:G85)</f>
        <v>1.2615000000000001</v>
      </c>
      <c r="I85" s="1275"/>
      <c r="J85" s="1275"/>
    </row>
    <row r="86" spans="1:10" ht="14.7">
      <c r="A86" s="1271"/>
      <c r="B86" s="1271" t="s">
        <v>2677</v>
      </c>
      <c r="C86" s="1271">
        <v>1</v>
      </c>
      <c r="D86" s="1271">
        <v>8</v>
      </c>
      <c r="E86" s="1275">
        <v>1.7</v>
      </c>
      <c r="F86" s="1275">
        <v>1.7</v>
      </c>
      <c r="G86" s="1281">
        <v>0.35</v>
      </c>
      <c r="H86" s="1275">
        <f>PRODUCT(C86:G86)</f>
        <v>8.0919999999999987</v>
      </c>
      <c r="I86" s="1275"/>
      <c r="J86" s="1275"/>
    </row>
    <row r="87" spans="1:10" ht="14.7">
      <c r="A87" s="1271"/>
      <c r="B87" s="1271" t="s">
        <v>2678</v>
      </c>
      <c r="C87" s="1271">
        <v>1</v>
      </c>
      <c r="D87" s="1271">
        <v>2</v>
      </c>
      <c r="E87" s="1275">
        <v>1.8</v>
      </c>
      <c r="F87" s="1275">
        <v>1.8</v>
      </c>
      <c r="G87" s="1281">
        <v>0.375</v>
      </c>
      <c r="H87" s="1275">
        <f>PRODUCT(C87:G87)</f>
        <v>2.4300000000000002</v>
      </c>
      <c r="I87" s="1275"/>
      <c r="J87" s="1275"/>
    </row>
    <row r="88" spans="1:10" ht="14.7">
      <c r="A88" s="1271"/>
      <c r="B88" s="1271"/>
      <c r="C88" s="1271"/>
      <c r="D88" s="1271"/>
      <c r="E88" s="1275"/>
      <c r="F88" s="1275"/>
      <c r="G88" s="1281"/>
      <c r="H88" s="1275"/>
      <c r="I88" s="1275"/>
      <c r="J88" s="1275"/>
    </row>
    <row r="89" spans="1:10" ht="14.7">
      <c r="A89" s="1271"/>
      <c r="B89" s="1271"/>
      <c r="C89" s="1271"/>
      <c r="D89" s="1271"/>
      <c r="E89" s="1275"/>
      <c r="F89" s="1275"/>
      <c r="G89" s="1275" t="s">
        <v>2684</v>
      </c>
      <c r="H89" s="1275">
        <f>SUM(H85:H87)</f>
        <v>11.783499999999998</v>
      </c>
      <c r="I89" s="1275">
        <f>Datas!G321</f>
        <v>8788.51</v>
      </c>
      <c r="J89" s="1275">
        <f>ROUND(I89*H89,0)</f>
        <v>103559</v>
      </c>
    </row>
    <row r="90" spans="1:10" ht="14.7">
      <c r="A90" s="1271"/>
      <c r="B90" s="1271"/>
      <c r="C90" s="1271"/>
      <c r="D90" s="1271"/>
      <c r="E90" s="1275"/>
      <c r="F90" s="1275"/>
      <c r="G90" s="1275"/>
      <c r="H90" s="1275" t="s">
        <v>2578</v>
      </c>
      <c r="I90" s="1275" t="s">
        <v>2578</v>
      </c>
      <c r="J90" s="1275"/>
    </row>
    <row r="91" spans="1:10" ht="14.7">
      <c r="A91" s="1271" t="s">
        <v>1476</v>
      </c>
      <c r="B91" s="1273" t="s">
        <v>2717</v>
      </c>
      <c r="C91" s="1273"/>
      <c r="D91" s="1273"/>
      <c r="E91" s="1276"/>
      <c r="F91" s="1276"/>
      <c r="G91" s="1276"/>
      <c r="H91" s="1276"/>
      <c r="I91" s="1276"/>
      <c r="J91" s="1276"/>
    </row>
    <row r="92" spans="1:10" ht="14.7">
      <c r="A92" s="1271"/>
      <c r="B92" s="1271" t="s">
        <v>2718</v>
      </c>
      <c r="C92" s="1271">
        <f>C85</f>
        <v>1</v>
      </c>
      <c r="D92" s="1271">
        <v>6</v>
      </c>
      <c r="E92" s="1275">
        <v>0.53</v>
      </c>
      <c r="F92" s="1275">
        <v>0.53</v>
      </c>
      <c r="G92" s="1275">
        <v>0.6</v>
      </c>
      <c r="H92" s="1275">
        <f>PRODUCT(C92:G92)</f>
        <v>1.0112400000000001</v>
      </c>
      <c r="I92" s="1275"/>
      <c r="J92" s="1275"/>
    </row>
    <row r="93" spans="1:10" ht="14.7">
      <c r="A93" s="1271"/>
      <c r="B93" s="1271"/>
      <c r="C93" s="1271">
        <v>1</v>
      </c>
      <c r="D93" s="1271">
        <v>6</v>
      </c>
      <c r="E93" s="1275">
        <v>0.53</v>
      </c>
      <c r="F93" s="1275">
        <v>0.53</v>
      </c>
      <c r="G93" s="1275">
        <v>0.6</v>
      </c>
      <c r="H93" s="1275">
        <f>PRODUCT(C93:G93)</f>
        <v>1.0112400000000001</v>
      </c>
      <c r="I93" s="1275"/>
      <c r="J93" s="1275"/>
    </row>
    <row r="94" spans="1:10" ht="14.7">
      <c r="A94" s="1271"/>
      <c r="B94" s="1271"/>
      <c r="C94" s="1271"/>
      <c r="D94" s="1271"/>
      <c r="E94" s="1275"/>
      <c r="F94" s="1275"/>
      <c r="G94" s="1275" t="s">
        <v>2684</v>
      </c>
      <c r="H94" s="1275">
        <f>SUM(H92:H93)</f>
        <v>2.0224800000000003</v>
      </c>
      <c r="I94" s="1275">
        <f>Datas!G332</f>
        <v>9360.51</v>
      </c>
      <c r="J94" s="1275">
        <f>ROUND(I94*H94,0)</f>
        <v>18931</v>
      </c>
    </row>
    <row r="95" spans="1:10" ht="14.7">
      <c r="A95" s="1271"/>
      <c r="B95" s="1271"/>
      <c r="C95" s="1271"/>
      <c r="D95" s="1271"/>
      <c r="E95" s="1271"/>
      <c r="F95" s="1271"/>
      <c r="G95" s="1271"/>
      <c r="H95" s="1271" t="s">
        <v>2578</v>
      </c>
      <c r="I95" s="1271" t="s">
        <v>2578</v>
      </c>
      <c r="J95" s="1275"/>
    </row>
    <row r="96" spans="1:10" ht="14.7">
      <c r="A96" s="1271"/>
      <c r="B96" s="1273"/>
      <c r="C96" s="1273"/>
      <c r="D96" s="1273"/>
      <c r="E96" s="1273"/>
      <c r="F96" s="1273"/>
      <c r="G96" s="1273"/>
      <c r="H96" s="1273"/>
      <c r="I96" s="1273"/>
      <c r="J96" s="1276"/>
    </row>
    <row r="97" spans="1:10" ht="14.7">
      <c r="A97" s="1271" t="s">
        <v>1477</v>
      </c>
      <c r="B97" s="1273" t="s">
        <v>2719</v>
      </c>
      <c r="C97" s="1273"/>
      <c r="D97" s="1273"/>
      <c r="E97" s="1273"/>
      <c r="F97" s="1273"/>
      <c r="G97" s="1273"/>
      <c r="H97" s="1273"/>
      <c r="I97" s="1273"/>
      <c r="J97" s="1276"/>
    </row>
    <row r="98" spans="1:10" ht="14.7">
      <c r="A98" s="1271"/>
      <c r="B98" s="1271" t="s">
        <v>2720</v>
      </c>
      <c r="C98" s="1271">
        <v>1</v>
      </c>
      <c r="D98" s="1271">
        <v>3</v>
      </c>
      <c r="E98" s="1275">
        <v>11.04</v>
      </c>
      <c r="F98" s="1275">
        <v>0.23</v>
      </c>
      <c r="G98" s="1275">
        <v>0.3</v>
      </c>
      <c r="H98" s="1275">
        <f>PRODUCT(C98:G98)</f>
        <v>2.2852799999999998</v>
      </c>
      <c r="I98" s="1275"/>
      <c r="J98" s="1276"/>
    </row>
    <row r="99" spans="1:10" ht="14.7">
      <c r="A99" s="1271"/>
      <c r="B99" s="1271" t="s">
        <v>2721</v>
      </c>
      <c r="C99" s="1271">
        <v>1</v>
      </c>
      <c r="D99" s="1271">
        <v>4</v>
      </c>
      <c r="E99" s="1275">
        <f>7.225-0.23*2</f>
        <v>6.7649999999999997</v>
      </c>
      <c r="F99" s="1275">
        <v>0.23</v>
      </c>
      <c r="G99" s="1275">
        <v>0.35</v>
      </c>
      <c r="H99" s="1275">
        <f>PRODUCT(C99:G99)</f>
        <v>2.1783299999999999</v>
      </c>
      <c r="I99" s="1275"/>
      <c r="J99" s="1276"/>
    </row>
    <row r="100" spans="1:10" ht="14.7">
      <c r="A100" s="1271"/>
      <c r="B100" s="1271"/>
      <c r="C100" s="1271">
        <v>1</v>
      </c>
      <c r="D100" s="1271">
        <v>0</v>
      </c>
      <c r="E100" s="1275">
        <v>8.1999999999999993</v>
      </c>
      <c r="F100" s="1275">
        <v>0.23</v>
      </c>
      <c r="G100" s="1275">
        <v>0.35</v>
      </c>
      <c r="H100" s="1275">
        <f>PRODUCT(C100:G100)</f>
        <v>0</v>
      </c>
      <c r="I100" s="1275"/>
      <c r="J100" s="1276"/>
    </row>
    <row r="101" spans="1:10" ht="14.7">
      <c r="A101" s="1271"/>
      <c r="B101" s="1271"/>
      <c r="C101" s="1271">
        <v>1</v>
      </c>
      <c r="D101" s="1271">
        <v>0</v>
      </c>
      <c r="E101" s="1275">
        <v>2.95</v>
      </c>
      <c r="F101" s="1275">
        <v>0.23</v>
      </c>
      <c r="G101" s="1275">
        <v>0.35</v>
      </c>
      <c r="H101" s="1275">
        <f>PRODUCT(C101:G101)</f>
        <v>0</v>
      </c>
      <c r="I101" s="1275"/>
      <c r="J101" s="1276"/>
    </row>
    <row r="102" spans="1:10" ht="14.7">
      <c r="A102" s="1271"/>
      <c r="B102" s="1271" t="s">
        <v>2722</v>
      </c>
      <c r="C102" s="1271">
        <v>-1</v>
      </c>
      <c r="D102" s="1271">
        <v>8</v>
      </c>
      <c r="E102" s="1275">
        <v>0.23</v>
      </c>
      <c r="F102" s="1275">
        <v>0.23</v>
      </c>
      <c r="G102" s="1275">
        <v>0.35</v>
      </c>
      <c r="H102" s="1275">
        <f>PRODUCT(C102:G102)</f>
        <v>-0.14812</v>
      </c>
      <c r="I102" s="1275"/>
      <c r="J102" s="1276"/>
    </row>
    <row r="103" spans="1:10" ht="14.7">
      <c r="A103" s="1271"/>
      <c r="B103" s="1271"/>
      <c r="C103" s="1271"/>
      <c r="D103" s="1271"/>
      <c r="E103" s="1275"/>
      <c r="F103" s="1275"/>
      <c r="G103" s="1275" t="s">
        <v>2684</v>
      </c>
      <c r="H103" s="1275">
        <f>SUM(H98:H102)</f>
        <v>4.3154899999999996</v>
      </c>
      <c r="I103" s="1275">
        <f>Datas!G343</f>
        <v>11378.51</v>
      </c>
      <c r="J103" s="1275">
        <f>ROUND(I103*H103,0)</f>
        <v>49104</v>
      </c>
    </row>
    <row r="104" spans="1:10" ht="14.7">
      <c r="A104" s="1271" t="s">
        <v>1595</v>
      </c>
      <c r="B104" s="2587" t="s">
        <v>2723</v>
      </c>
      <c r="C104" s="2588"/>
      <c r="D104" s="2588"/>
      <c r="E104" s="2589"/>
      <c r="F104" s="1273"/>
      <c r="G104" s="1273"/>
      <c r="H104" s="1273"/>
      <c r="I104" s="1273" t="s">
        <v>658</v>
      </c>
      <c r="J104" s="1276"/>
    </row>
    <row r="105" spans="1:10" ht="14.7">
      <c r="A105" s="1271"/>
      <c r="B105" s="1271" t="s">
        <v>2724</v>
      </c>
      <c r="C105" s="1271">
        <v>1</v>
      </c>
      <c r="D105" s="1271">
        <v>2</v>
      </c>
      <c r="E105" s="1275">
        <v>0.23</v>
      </c>
      <c r="F105" s="1275">
        <v>0.38</v>
      </c>
      <c r="G105" s="1281">
        <v>0.97499999999999998</v>
      </c>
      <c r="H105" s="1275">
        <f>PRODUCT(C105:G105)</f>
        <v>0.17043</v>
      </c>
      <c r="I105" s="1271"/>
      <c r="J105" s="1275"/>
    </row>
    <row r="106" spans="1:10" ht="14.7">
      <c r="A106" s="1271"/>
      <c r="B106" s="1271" t="s">
        <v>2725</v>
      </c>
      <c r="C106" s="1271">
        <v>1</v>
      </c>
      <c r="D106" s="1271">
        <v>4</v>
      </c>
      <c r="E106" s="1275">
        <v>0.23</v>
      </c>
      <c r="F106" s="1275">
        <v>0.38</v>
      </c>
      <c r="G106" s="1281">
        <f>+G105</f>
        <v>0.97499999999999998</v>
      </c>
      <c r="H106" s="1275">
        <f>PRODUCT(C106:G106)</f>
        <v>0.34086</v>
      </c>
      <c r="I106" s="1271"/>
      <c r="J106" s="1275"/>
    </row>
    <row r="107" spans="1:10" ht="14.7">
      <c r="A107" s="1271"/>
      <c r="B107" s="1271" t="s">
        <v>2726</v>
      </c>
      <c r="C107" s="1271">
        <v>1</v>
      </c>
      <c r="D107" s="1271">
        <v>4</v>
      </c>
      <c r="E107" s="1275">
        <v>0.23</v>
      </c>
      <c r="F107" s="1275">
        <v>0.38</v>
      </c>
      <c r="G107" s="1281">
        <f>G105</f>
        <v>0.97499999999999998</v>
      </c>
      <c r="H107" s="1275">
        <f>PRODUCT(C107:G107)</f>
        <v>0.34086</v>
      </c>
      <c r="I107" s="1271"/>
      <c r="J107" s="1275"/>
    </row>
    <row r="108" spans="1:10" ht="14.7">
      <c r="A108" s="1271"/>
      <c r="B108" s="1271" t="s">
        <v>2727</v>
      </c>
      <c r="C108" s="1271">
        <v>1</v>
      </c>
      <c r="D108" s="1271">
        <v>2</v>
      </c>
      <c r="E108" s="1275">
        <v>0.23</v>
      </c>
      <c r="F108" s="1275">
        <v>0.38</v>
      </c>
      <c r="G108" s="1281">
        <f>G107</f>
        <v>0.97499999999999998</v>
      </c>
      <c r="H108" s="1275">
        <f>PRODUCT(C108:G108)</f>
        <v>0.17043</v>
      </c>
      <c r="I108" s="1271"/>
      <c r="J108" s="1275"/>
    </row>
    <row r="109" spans="1:10" ht="14.7">
      <c r="A109" s="1271" t="s">
        <v>2728</v>
      </c>
      <c r="B109" s="2587" t="s">
        <v>2729</v>
      </c>
      <c r="C109" s="2588"/>
      <c r="D109" s="2588"/>
      <c r="E109" s="2589"/>
      <c r="F109" s="1273"/>
      <c r="G109" s="1273"/>
      <c r="H109" s="1275"/>
      <c r="I109" s="1273"/>
      <c r="J109" s="1276"/>
    </row>
    <row r="110" spans="1:10" ht="14.7">
      <c r="A110" s="1271"/>
      <c r="B110" s="1271" t="s">
        <v>2724</v>
      </c>
      <c r="C110" s="1271">
        <v>1</v>
      </c>
      <c r="D110" s="1271">
        <v>2</v>
      </c>
      <c r="E110" s="1275">
        <v>0.23</v>
      </c>
      <c r="F110" s="1275">
        <v>0.38</v>
      </c>
      <c r="G110" s="1275">
        <v>3.3</v>
      </c>
      <c r="H110" s="1275">
        <f>PRODUCT(C110:G110)</f>
        <v>0.57684000000000002</v>
      </c>
      <c r="I110" s="1275"/>
      <c r="J110" s="1275"/>
    </row>
    <row r="111" spans="1:10" ht="14.7">
      <c r="A111" s="1271"/>
      <c r="B111" s="1271" t="s">
        <v>2725</v>
      </c>
      <c r="C111" s="1271">
        <v>1</v>
      </c>
      <c r="D111" s="1271">
        <v>4</v>
      </c>
      <c r="E111" s="1275">
        <v>0.23</v>
      </c>
      <c r="F111" s="1275">
        <v>0.38</v>
      </c>
      <c r="G111" s="1275">
        <v>3.3</v>
      </c>
      <c r="H111" s="1275">
        <f>PRODUCT(C111:G111)</f>
        <v>1.15368</v>
      </c>
      <c r="I111" s="1275"/>
      <c r="J111" s="1275"/>
    </row>
    <row r="112" spans="1:10" ht="14.7">
      <c r="A112" s="1271"/>
      <c r="B112" s="1271" t="s">
        <v>2726</v>
      </c>
      <c r="C112" s="1271">
        <v>1</v>
      </c>
      <c r="D112" s="1271">
        <v>4</v>
      </c>
      <c r="E112" s="1275">
        <v>0.23</v>
      </c>
      <c r="F112" s="1275">
        <v>0.38</v>
      </c>
      <c r="G112" s="1275">
        <v>3.3</v>
      </c>
      <c r="H112" s="1275">
        <f>PRODUCT(C112:G112)</f>
        <v>1.15368</v>
      </c>
      <c r="I112" s="1275"/>
      <c r="J112" s="1275"/>
    </row>
    <row r="113" spans="1:10" ht="14.7">
      <c r="A113" s="1271"/>
      <c r="B113" s="1271" t="s">
        <v>2727</v>
      </c>
      <c r="C113" s="1271">
        <v>1</v>
      </c>
      <c r="D113" s="1271">
        <v>2</v>
      </c>
      <c r="E113" s="1275">
        <v>0.23</v>
      </c>
      <c r="F113" s="1275">
        <v>0.38</v>
      </c>
      <c r="G113" s="1275">
        <v>3.3</v>
      </c>
      <c r="H113" s="1275">
        <f>PRODUCT(C113:G113)</f>
        <v>0.57684000000000002</v>
      </c>
      <c r="I113" s="1275"/>
      <c r="J113" s="1275"/>
    </row>
    <row r="114" spans="1:10" ht="14.7">
      <c r="A114" s="1271"/>
      <c r="B114" s="1271"/>
      <c r="C114" s="1271"/>
      <c r="D114" s="1271"/>
      <c r="E114" s="1275"/>
      <c r="F114" s="1275"/>
      <c r="G114" s="1275" t="s">
        <v>2684</v>
      </c>
      <c r="H114" s="1275">
        <f>SUM(H105:H113)</f>
        <v>4.4836200000000002</v>
      </c>
      <c r="I114" s="1275">
        <f>Datas!E391</f>
        <v>11842.03</v>
      </c>
      <c r="J114" s="1275">
        <f>ROUND(I114*H114,0)</f>
        <v>53095</v>
      </c>
    </row>
    <row r="115" spans="1:10" ht="14.7">
      <c r="A115" s="1271"/>
      <c r="B115" s="1271"/>
      <c r="C115" s="1271"/>
      <c r="D115" s="1271"/>
      <c r="E115" s="1271"/>
      <c r="F115" s="1271"/>
      <c r="G115" s="1271"/>
      <c r="H115" s="1271" t="s">
        <v>2578</v>
      </c>
      <c r="I115" s="1271" t="s">
        <v>658</v>
      </c>
      <c r="J115" s="1275"/>
    </row>
    <row r="116" spans="1:10" ht="14.7">
      <c r="A116" s="1271" t="s">
        <v>2652</v>
      </c>
      <c r="B116" s="2573" t="s">
        <v>2730</v>
      </c>
      <c r="C116" s="2573"/>
      <c r="D116" s="2573"/>
      <c r="E116" s="2573"/>
      <c r="F116" s="1273"/>
      <c r="G116" s="1273"/>
      <c r="H116" s="1273"/>
      <c r="I116" s="1273"/>
      <c r="J116" s="1276"/>
    </row>
    <row r="117" spans="1:10" ht="14.7">
      <c r="A117" s="1271"/>
      <c r="B117" s="1271" t="s">
        <v>2731</v>
      </c>
      <c r="C117" s="1271">
        <v>1</v>
      </c>
      <c r="D117" s="1271">
        <v>3</v>
      </c>
      <c r="E117" s="1275">
        <v>11.04</v>
      </c>
      <c r="F117" s="1275">
        <v>0.23</v>
      </c>
      <c r="G117" s="1275">
        <v>0.38</v>
      </c>
      <c r="H117" s="1275">
        <f t="shared" ref="H117:H126" si="6">PRODUCT(C117:G117)</f>
        <v>2.8946879999999999</v>
      </c>
      <c r="I117" s="1275"/>
      <c r="J117" s="1275"/>
    </row>
    <row r="118" spans="1:10" ht="14.7">
      <c r="A118" s="1271"/>
      <c r="B118" s="1271" t="s">
        <v>2721</v>
      </c>
      <c r="C118" s="1271">
        <v>1</v>
      </c>
      <c r="D118" s="1271">
        <v>4</v>
      </c>
      <c r="E118" s="1275">
        <f>7.225-0.23</f>
        <v>6.9949999999999992</v>
      </c>
      <c r="F118" s="1275">
        <v>0.23</v>
      </c>
      <c r="G118" s="1275">
        <v>0.38</v>
      </c>
      <c r="H118" s="1275">
        <f t="shared" si="6"/>
        <v>2.445452</v>
      </c>
      <c r="I118" s="1275"/>
      <c r="J118" s="1275"/>
    </row>
    <row r="119" spans="1:10" ht="14.7">
      <c r="A119" s="1271"/>
      <c r="B119" s="1271"/>
      <c r="C119" s="1271"/>
      <c r="D119" s="1271"/>
      <c r="E119" s="1275"/>
      <c r="F119" s="1275"/>
      <c r="G119" s="1275"/>
      <c r="H119" s="1275"/>
      <c r="I119" s="1275"/>
      <c r="J119" s="1275"/>
    </row>
    <row r="120" spans="1:10" ht="14.7">
      <c r="A120" s="1271"/>
      <c r="B120" s="1271"/>
      <c r="C120" s="1271"/>
      <c r="D120" s="1271"/>
      <c r="E120" s="1275"/>
      <c r="F120" s="1275"/>
      <c r="G120" s="1275"/>
      <c r="H120" s="1275"/>
      <c r="I120" s="1275"/>
      <c r="J120" s="1275"/>
    </row>
    <row r="121" spans="1:10" ht="14.7">
      <c r="A121" s="1271"/>
      <c r="B121" s="1271"/>
      <c r="C121" s="1271"/>
      <c r="D121" s="1271"/>
      <c r="E121" s="1275"/>
      <c r="F121" s="1275"/>
      <c r="G121" s="1275"/>
      <c r="H121" s="1275"/>
      <c r="I121" s="1275"/>
      <c r="J121" s="1275"/>
    </row>
    <row r="122" spans="1:10" ht="14.7">
      <c r="A122" s="1271"/>
      <c r="B122" s="1282" t="s">
        <v>2732</v>
      </c>
      <c r="C122" s="1271">
        <v>1</v>
      </c>
      <c r="D122" s="1271">
        <v>1</v>
      </c>
      <c r="E122" s="1275">
        <v>11.04</v>
      </c>
      <c r="F122" s="1275">
        <v>0.23</v>
      </c>
      <c r="G122" s="1275">
        <v>0.3</v>
      </c>
      <c r="H122" s="1275">
        <f>PRODUCT(C122:G122)</f>
        <v>0.76175999999999999</v>
      </c>
      <c r="I122" s="1275"/>
      <c r="J122" s="1275"/>
    </row>
    <row r="123" spans="1:10" ht="14.7">
      <c r="A123" s="1271"/>
      <c r="B123" s="1282" t="s">
        <v>2733</v>
      </c>
      <c r="C123" s="1271">
        <v>1</v>
      </c>
      <c r="D123" s="1271">
        <v>2</v>
      </c>
      <c r="E123" s="1275">
        <v>2</v>
      </c>
      <c r="F123" s="1275">
        <v>0.23</v>
      </c>
      <c r="G123" s="1275">
        <v>0.45</v>
      </c>
      <c r="H123" s="1275">
        <f t="shared" si="6"/>
        <v>0.41400000000000003</v>
      </c>
      <c r="I123" s="1275"/>
      <c r="J123" s="1275"/>
    </row>
    <row r="124" spans="1:10" ht="14.7">
      <c r="A124" s="1271"/>
      <c r="B124" s="1271" t="s">
        <v>2734</v>
      </c>
      <c r="C124" s="1283">
        <v>0.5</v>
      </c>
      <c r="D124" s="1271">
        <v>20</v>
      </c>
      <c r="E124" s="1275">
        <v>1</v>
      </c>
      <c r="F124" s="1275">
        <v>0.3</v>
      </c>
      <c r="G124" s="1275">
        <v>0.15</v>
      </c>
      <c r="H124" s="1275">
        <f t="shared" si="6"/>
        <v>0.44999999999999996</v>
      </c>
      <c r="I124" s="1275"/>
      <c r="J124" s="1275"/>
    </row>
    <row r="125" spans="1:10" ht="14.7">
      <c r="A125" s="1271"/>
      <c r="B125" s="1271" t="s">
        <v>2735</v>
      </c>
      <c r="C125" s="1283">
        <v>-1</v>
      </c>
      <c r="D125" s="1271">
        <v>6</v>
      </c>
      <c r="E125" s="1275">
        <v>0.3</v>
      </c>
      <c r="F125" s="1275">
        <v>0.38</v>
      </c>
      <c r="G125" s="1275">
        <v>0.43</v>
      </c>
      <c r="H125" s="1275">
        <f t="shared" si="6"/>
        <v>-0.29411999999999999</v>
      </c>
      <c r="I125" s="1275"/>
      <c r="J125" s="1275"/>
    </row>
    <row r="126" spans="1:10" ht="14.7">
      <c r="A126" s="1271"/>
      <c r="B126" s="1271"/>
      <c r="C126" s="1283">
        <v>-1</v>
      </c>
      <c r="D126" s="1271">
        <v>6</v>
      </c>
      <c r="E126" s="1275">
        <v>0.3</v>
      </c>
      <c r="F126" s="1275">
        <v>0.505</v>
      </c>
      <c r="G126" s="1275">
        <v>0.43</v>
      </c>
      <c r="H126" s="1275">
        <f t="shared" si="6"/>
        <v>-0.39086999999999994</v>
      </c>
      <c r="I126" s="1275"/>
      <c r="J126" s="1275"/>
    </row>
    <row r="127" spans="1:10" ht="14.7">
      <c r="A127" s="1271"/>
      <c r="B127" s="1271"/>
      <c r="C127" s="1271"/>
      <c r="D127" s="1271"/>
      <c r="E127" s="1275"/>
      <c r="F127" s="1275"/>
      <c r="G127" s="1275" t="s">
        <v>2684</v>
      </c>
      <c r="H127" s="1275">
        <f>SUM(H117:H126)</f>
        <v>6.2809099999999995</v>
      </c>
      <c r="I127" s="1275">
        <f>Datas!E422</f>
        <v>11257.84</v>
      </c>
      <c r="J127" s="1275">
        <f>ROUND(I127*H127,0)</f>
        <v>70709</v>
      </c>
    </row>
    <row r="128" spans="1:10" ht="14.7">
      <c r="A128" s="1271"/>
      <c r="B128" s="1271"/>
      <c r="C128" s="1271"/>
      <c r="D128" s="1271"/>
      <c r="E128" s="1271"/>
      <c r="F128" s="1271"/>
      <c r="G128" s="1271"/>
      <c r="H128" s="1271" t="s">
        <v>2578</v>
      </c>
      <c r="I128" s="1271" t="s">
        <v>2578</v>
      </c>
      <c r="J128" s="1275"/>
    </row>
    <row r="129" spans="1:10" ht="14.7">
      <c r="A129" s="1271" t="s">
        <v>1602</v>
      </c>
      <c r="B129" s="1284" t="s">
        <v>2736</v>
      </c>
      <c r="C129" s="1285"/>
      <c r="D129" s="1285"/>
      <c r="E129" s="1286"/>
      <c r="F129" s="1287"/>
      <c r="G129" s="1271"/>
      <c r="H129" s="1271"/>
      <c r="I129" s="1271"/>
      <c r="J129" s="1275"/>
    </row>
    <row r="130" spans="1:10" ht="14.7">
      <c r="A130" s="1271"/>
      <c r="B130" s="1288"/>
      <c r="C130" s="1289"/>
      <c r="D130" s="1289"/>
      <c r="E130" s="1290"/>
      <c r="F130" s="1271"/>
      <c r="G130" s="1271"/>
      <c r="H130" s="1271"/>
      <c r="I130" s="1271"/>
      <c r="J130" s="1275"/>
    </row>
    <row r="131" spans="1:10" ht="14.7">
      <c r="A131" s="1271"/>
      <c r="B131" s="1274" t="s">
        <v>2737</v>
      </c>
      <c r="C131" s="1271">
        <v>1</v>
      </c>
      <c r="D131" s="1271">
        <v>1</v>
      </c>
      <c r="E131" s="1275">
        <f>11.04+0.45*2</f>
        <v>11.94</v>
      </c>
      <c r="F131" s="1275">
        <f>7.225+0.45*2</f>
        <v>8.125</v>
      </c>
      <c r="G131" s="1275" t="s">
        <v>524</v>
      </c>
      <c r="H131" s="1275">
        <f>PRODUCT(C131:G131)</f>
        <v>97.012500000000003</v>
      </c>
      <c r="I131" s="1275"/>
      <c r="J131" s="1275"/>
    </row>
    <row r="132" spans="1:10" ht="14.7">
      <c r="A132" s="1271"/>
      <c r="B132" s="1291" t="s">
        <v>2738</v>
      </c>
      <c r="C132" s="1271">
        <v>1</v>
      </c>
      <c r="D132" s="1271">
        <v>1</v>
      </c>
      <c r="E132" s="1275">
        <v>3.68</v>
      </c>
      <c r="F132" s="1275">
        <v>2</v>
      </c>
      <c r="G132" s="1275" t="s">
        <v>524</v>
      </c>
      <c r="H132" s="1275">
        <f>-PRODUCT(C132:G132)</f>
        <v>-7.36</v>
      </c>
      <c r="I132" s="1275"/>
      <c r="J132" s="1275"/>
    </row>
    <row r="133" spans="1:10" ht="14.7">
      <c r="A133" s="1271"/>
      <c r="B133" s="1282"/>
      <c r="C133" s="1289"/>
      <c r="D133" s="1289"/>
      <c r="E133" s="1290"/>
      <c r="F133" s="1271"/>
      <c r="G133" s="1275" t="s">
        <v>2684</v>
      </c>
      <c r="H133" s="1275">
        <f>SUM(H131:H132)</f>
        <v>89.652500000000003</v>
      </c>
      <c r="I133" s="1275">
        <f>Datas!E470/10</f>
        <v>134.63550000000001</v>
      </c>
      <c r="J133" s="1275">
        <f>ROUND(I133*H133,0)</f>
        <v>12070</v>
      </c>
    </row>
    <row r="134" spans="1:10" ht="14.7">
      <c r="A134" s="1271"/>
      <c r="B134" s="1282"/>
      <c r="C134" s="1289"/>
      <c r="D134" s="1289"/>
      <c r="E134" s="1290"/>
      <c r="F134" s="1271"/>
      <c r="G134" s="1271"/>
      <c r="H134" s="1271" t="s">
        <v>2579</v>
      </c>
      <c r="I134" s="1271" t="s">
        <v>2579</v>
      </c>
      <c r="J134" s="1275"/>
    </row>
    <row r="135" spans="1:10" ht="14.7">
      <c r="A135" s="1271"/>
      <c r="B135" s="1282" t="s">
        <v>2739</v>
      </c>
      <c r="C135" s="1271">
        <v>1</v>
      </c>
      <c r="D135" s="1271">
        <v>2</v>
      </c>
      <c r="E135" s="1275">
        <v>3.91</v>
      </c>
      <c r="F135" s="1275">
        <v>0.92</v>
      </c>
      <c r="G135" s="1275" t="s">
        <v>524</v>
      </c>
      <c r="H135" s="1275">
        <f>PRODUCT(C135:G135)</f>
        <v>7.1944000000000008</v>
      </c>
      <c r="I135" s="1275"/>
      <c r="J135" s="1275"/>
    </row>
    <row r="136" spans="1:10" ht="14.7">
      <c r="A136" s="1271"/>
      <c r="B136" s="1282" t="s">
        <v>2740</v>
      </c>
      <c r="C136" s="1271">
        <v>1</v>
      </c>
      <c r="D136" s="1271">
        <v>1</v>
      </c>
      <c r="E136" s="1275">
        <v>0.9</v>
      </c>
      <c r="F136" s="1275">
        <v>2</v>
      </c>
      <c r="G136" s="1275" t="s">
        <v>524</v>
      </c>
      <c r="H136" s="1275">
        <f>PRODUCT(C136:G136)</f>
        <v>1.8</v>
      </c>
      <c r="I136" s="1275"/>
      <c r="J136" s="1275"/>
    </row>
    <row r="137" spans="1:10" ht="14.7">
      <c r="A137" s="1271"/>
      <c r="B137" s="1282"/>
      <c r="C137" s="1289"/>
      <c r="D137" s="1289"/>
      <c r="E137" s="1290"/>
      <c r="F137" s="1271"/>
      <c r="G137" s="1275" t="s">
        <v>2684</v>
      </c>
      <c r="H137" s="1275">
        <f>SUM(H135:H136)</f>
        <v>8.9944000000000006</v>
      </c>
      <c r="I137" s="1275">
        <f>Datas!E486/10</f>
        <v>167.98970000000003</v>
      </c>
      <c r="J137" s="1275">
        <f>ROUND(I137*H137,0)</f>
        <v>1511</v>
      </c>
    </row>
    <row r="138" spans="1:10" ht="14.7">
      <c r="A138" s="1271"/>
      <c r="B138" s="1282"/>
      <c r="C138" s="1289"/>
      <c r="D138" s="1289"/>
      <c r="E138" s="1290"/>
      <c r="F138" s="1271"/>
      <c r="G138" s="1271"/>
      <c r="H138" s="1271" t="s">
        <v>2579</v>
      </c>
      <c r="I138" s="1271" t="s">
        <v>2579</v>
      </c>
      <c r="J138" s="1275"/>
    </row>
    <row r="139" spans="1:10" ht="14.7">
      <c r="A139" s="1271"/>
      <c r="B139" s="1282"/>
      <c r="C139" s="1289"/>
      <c r="D139" s="1289"/>
      <c r="E139" s="1290"/>
      <c r="F139" s="1271"/>
      <c r="G139" s="1271"/>
      <c r="H139" s="1271"/>
      <c r="I139" s="1271"/>
      <c r="J139" s="1275"/>
    </row>
    <row r="140" spans="1:10" ht="14.7">
      <c r="A140" s="1271"/>
      <c r="B140" s="1282" t="s">
        <v>2741</v>
      </c>
      <c r="C140" s="1271">
        <v>1</v>
      </c>
      <c r="D140" s="1271">
        <v>1</v>
      </c>
      <c r="E140" s="1271">
        <v>4.2</v>
      </c>
      <c r="F140" s="1271">
        <v>1.5349999999999999</v>
      </c>
      <c r="G140" s="1271" t="s">
        <v>524</v>
      </c>
      <c r="H140" s="1275">
        <f>F140*E140*D140*C140</f>
        <v>6.4470000000000001</v>
      </c>
      <c r="I140" s="1275">
        <f>Datas!E470/10</f>
        <v>134.63550000000001</v>
      </c>
      <c r="J140" s="1275">
        <f>ROUND(I140*H140,0)</f>
        <v>868</v>
      </c>
    </row>
    <row r="141" spans="1:10" ht="14.7">
      <c r="A141" s="1271"/>
      <c r="B141" s="1282"/>
      <c r="C141" s="1289"/>
      <c r="D141" s="1289"/>
      <c r="E141" s="1290"/>
      <c r="F141" s="1271"/>
      <c r="G141" s="1271"/>
      <c r="H141" s="1271" t="s">
        <v>2579</v>
      </c>
      <c r="I141" s="1271" t="s">
        <v>2579</v>
      </c>
      <c r="J141" s="1275"/>
    </row>
    <row r="142" spans="1:10" ht="14.7">
      <c r="A142" s="1271"/>
      <c r="B142" s="1282"/>
      <c r="C142" s="1289"/>
      <c r="D142" s="1289"/>
      <c r="E142" s="1290"/>
      <c r="F142" s="1271"/>
      <c r="G142" s="1271"/>
      <c r="H142" s="1271"/>
      <c r="I142" s="1271"/>
      <c r="J142" s="1275"/>
    </row>
    <row r="143" spans="1:10" ht="14.7">
      <c r="A143" s="1271"/>
      <c r="B143" s="1282"/>
      <c r="C143" s="1289"/>
      <c r="D143" s="1289"/>
      <c r="E143" s="1290"/>
      <c r="F143" s="1271"/>
      <c r="G143" s="1271"/>
      <c r="H143" s="1271"/>
      <c r="I143" s="1271"/>
      <c r="J143" s="1275"/>
    </row>
    <row r="144" spans="1:10" ht="14.7">
      <c r="A144" s="1271" t="s">
        <v>2742</v>
      </c>
      <c r="B144" s="1273" t="s">
        <v>2743</v>
      </c>
      <c r="C144" s="1273"/>
      <c r="D144" s="1273"/>
      <c r="E144" s="1273"/>
      <c r="F144" s="1273"/>
      <c r="G144" s="1273"/>
      <c r="H144" s="1273"/>
      <c r="I144" s="1273"/>
      <c r="J144" s="1276"/>
    </row>
    <row r="145" spans="1:10" ht="14.7">
      <c r="A145" s="1271"/>
      <c r="B145" s="1271" t="s">
        <v>2744</v>
      </c>
      <c r="C145" s="1271">
        <v>1</v>
      </c>
      <c r="D145" s="1271">
        <v>10</v>
      </c>
      <c r="E145" s="1275">
        <v>1.8</v>
      </c>
      <c r="F145" s="1275">
        <v>0.23</v>
      </c>
      <c r="G145" s="1275">
        <v>0.15</v>
      </c>
      <c r="H145" s="1275">
        <f>PRODUCT(C145:G145)</f>
        <v>0.62100000000000011</v>
      </c>
      <c r="I145" s="1275"/>
      <c r="J145" s="1275"/>
    </row>
    <row r="146" spans="1:10" ht="14.7">
      <c r="A146" s="1271"/>
      <c r="B146" s="1271" t="s">
        <v>2745</v>
      </c>
      <c r="C146" s="1271">
        <v>1</v>
      </c>
      <c r="D146" s="1271">
        <v>2</v>
      </c>
      <c r="E146" s="1275">
        <v>1.65</v>
      </c>
      <c r="F146" s="1275">
        <v>0.1</v>
      </c>
      <c r="G146" s="1275">
        <v>0.15</v>
      </c>
      <c r="H146" s="1275">
        <f>PRODUCT(C146:G146)</f>
        <v>4.9500000000000002E-2</v>
      </c>
      <c r="I146" s="1275"/>
      <c r="J146" s="1275"/>
    </row>
    <row r="147" spans="1:10" ht="14.7">
      <c r="A147" s="1271"/>
      <c r="B147" s="1271" t="s">
        <v>2746</v>
      </c>
      <c r="C147" s="1271">
        <v>1</v>
      </c>
      <c r="D147" s="1271">
        <v>1</v>
      </c>
      <c r="E147" s="1275">
        <f>0.9+0.46</f>
        <v>1.36</v>
      </c>
      <c r="F147" s="1275">
        <v>0.1</v>
      </c>
      <c r="G147" s="1275">
        <v>0.15</v>
      </c>
      <c r="H147" s="1275">
        <f>PRODUCT(C147:G147)</f>
        <v>2.0400000000000001E-2</v>
      </c>
      <c r="I147" s="1275"/>
      <c r="J147" s="1275"/>
    </row>
    <row r="148" spans="1:10" ht="14.7">
      <c r="A148" s="1271"/>
      <c r="B148" s="1271" t="s">
        <v>2747</v>
      </c>
      <c r="C148" s="1271">
        <v>1</v>
      </c>
      <c r="D148" s="1271">
        <v>1</v>
      </c>
      <c r="E148" s="1275">
        <f>0.75+0.46</f>
        <v>1.21</v>
      </c>
      <c r="F148" s="1275">
        <v>0.1</v>
      </c>
      <c r="G148" s="1275">
        <v>0.15</v>
      </c>
      <c r="H148" s="1275">
        <f>PRODUCT(C148:G148)</f>
        <v>1.8149999999999999E-2</v>
      </c>
      <c r="I148" s="1275"/>
      <c r="J148" s="1275"/>
    </row>
    <row r="149" spans="1:10" ht="14.7">
      <c r="A149" s="1271"/>
      <c r="B149" s="1271"/>
      <c r="C149" s="1271"/>
      <c r="D149" s="1271"/>
      <c r="E149" s="1275"/>
      <c r="F149" s="1275"/>
      <c r="G149" s="1275" t="s">
        <v>2684</v>
      </c>
      <c r="H149" s="1275">
        <f>SUM(H145:H148)</f>
        <v>0.70905000000000007</v>
      </c>
      <c r="I149" s="1275">
        <f>Datas!E375</f>
        <v>11905.03</v>
      </c>
      <c r="J149" s="1275">
        <f>ROUND(I149*H149,0)</f>
        <v>8441</v>
      </c>
    </row>
    <row r="150" spans="1:10" ht="14.7">
      <c r="A150" s="1271"/>
      <c r="B150" s="1271"/>
      <c r="C150" s="1271"/>
      <c r="D150" s="1271"/>
      <c r="E150" s="1275"/>
      <c r="F150" s="1275"/>
      <c r="G150" s="1275"/>
      <c r="H150" s="1275" t="s">
        <v>2578</v>
      </c>
      <c r="I150" s="1275" t="s">
        <v>2748</v>
      </c>
      <c r="J150" s="1275"/>
    </row>
    <row r="151" spans="1:10" ht="14.7">
      <c r="A151" s="1271" t="s">
        <v>2749</v>
      </c>
      <c r="B151" s="1273" t="s">
        <v>2750</v>
      </c>
      <c r="C151" s="1273"/>
      <c r="D151" s="1273"/>
      <c r="E151" s="1273"/>
      <c r="F151" s="1273"/>
      <c r="G151" s="1273"/>
      <c r="H151" s="1273"/>
      <c r="I151" s="1273"/>
      <c r="J151" s="1276"/>
    </row>
    <row r="152" spans="1:10" ht="14.7">
      <c r="A152" s="1271"/>
      <c r="B152" s="1271" t="s">
        <v>2751</v>
      </c>
      <c r="C152" s="1271">
        <v>1</v>
      </c>
      <c r="D152" s="1271">
        <v>10</v>
      </c>
      <c r="E152" s="1275">
        <v>1.65</v>
      </c>
      <c r="F152" s="1275">
        <v>0.6</v>
      </c>
      <c r="G152" s="1275" t="s">
        <v>524</v>
      </c>
      <c r="H152" s="1275">
        <f>PRODUCT(C152:G152)</f>
        <v>9.9</v>
      </c>
      <c r="I152" s="1275"/>
      <c r="J152" s="1275"/>
    </row>
    <row r="153" spans="1:10" ht="14.7">
      <c r="A153" s="1271"/>
      <c r="B153" s="1271"/>
      <c r="C153" s="1271"/>
      <c r="D153" s="1271"/>
      <c r="E153" s="1275"/>
      <c r="F153" s="1275"/>
      <c r="G153" s="1275" t="s">
        <v>2684</v>
      </c>
      <c r="H153" s="1275">
        <f>SUM(H152:H152)</f>
        <v>9.9</v>
      </c>
      <c r="I153" s="1275">
        <f>Datas!E503</f>
        <v>606.11</v>
      </c>
      <c r="J153" s="1275">
        <f>ROUND(I153*H153,0)</f>
        <v>6000</v>
      </c>
    </row>
    <row r="154" spans="1:10" ht="14.7">
      <c r="A154" s="1271"/>
      <c r="B154" s="1271"/>
      <c r="C154" s="1271"/>
      <c r="D154" s="1271"/>
      <c r="E154" s="1271"/>
      <c r="F154" s="1271"/>
      <c r="G154" s="1271"/>
      <c r="H154" s="1271" t="s">
        <v>2579</v>
      </c>
      <c r="I154" s="1271" t="s">
        <v>2752</v>
      </c>
      <c r="J154" s="1275"/>
    </row>
    <row r="155" spans="1:10" ht="14.7">
      <c r="A155" s="1271">
        <v>7</v>
      </c>
      <c r="B155" s="2584" t="str">
        <f>Datas!C519</f>
        <v xml:space="preserve">Plain Cement concrete - Nominal Mix (1:3:6)  for Bed Blocks </v>
      </c>
      <c r="C155" s="2585"/>
      <c r="D155" s="2585"/>
      <c r="E155" s="2585"/>
      <c r="F155" s="2585"/>
      <c r="G155" s="2585"/>
      <c r="H155" s="2590"/>
      <c r="I155" s="1273"/>
      <c r="J155" s="1276"/>
    </row>
    <row r="156" spans="1:10" ht="14.7">
      <c r="A156" s="1271"/>
      <c r="B156" s="1273" t="s">
        <v>2753</v>
      </c>
      <c r="C156" s="1273"/>
      <c r="D156" s="1273"/>
      <c r="E156" s="1273"/>
      <c r="F156" s="1273"/>
      <c r="G156" s="1273"/>
      <c r="H156" s="1273"/>
      <c r="I156" s="1273"/>
      <c r="J156" s="1276"/>
    </row>
    <row r="157" spans="1:10" ht="14.7">
      <c r="A157" s="1271"/>
      <c r="B157" s="1271" t="s">
        <v>2754</v>
      </c>
      <c r="C157" s="1271">
        <v>1</v>
      </c>
      <c r="D157" s="1271">
        <v>2</v>
      </c>
      <c r="E157" s="1275">
        <v>0.23</v>
      </c>
      <c r="F157" s="1275">
        <v>0.23</v>
      </c>
      <c r="G157" s="1275">
        <v>0.15</v>
      </c>
      <c r="H157" s="1275">
        <f>PRODUCT(C157:G157)</f>
        <v>1.5869999999999999E-2</v>
      </c>
      <c r="I157" s="1275"/>
      <c r="J157" s="1275"/>
    </row>
    <row r="158" spans="1:10" ht="14.7">
      <c r="A158" s="1271"/>
      <c r="B158" s="1271" t="s">
        <v>2755</v>
      </c>
      <c r="C158" s="1271">
        <v>4</v>
      </c>
      <c r="D158" s="1271">
        <v>3</v>
      </c>
      <c r="E158" s="1275">
        <v>0.23</v>
      </c>
      <c r="F158" s="1275">
        <v>0.23</v>
      </c>
      <c r="G158" s="1275">
        <v>0.15</v>
      </c>
      <c r="H158" s="1275">
        <f>PRODUCT(C158:G158)</f>
        <v>9.5219999999999999E-2</v>
      </c>
      <c r="I158" s="1275"/>
      <c r="J158" s="1275"/>
    </row>
    <row r="159" spans="1:10" ht="14.7">
      <c r="A159" s="1271"/>
      <c r="B159" s="1271" t="s">
        <v>2756</v>
      </c>
      <c r="C159" s="1271">
        <v>1</v>
      </c>
      <c r="D159" s="1271">
        <v>2</v>
      </c>
      <c r="E159" s="1275">
        <v>0.23</v>
      </c>
      <c r="F159" s="1275">
        <v>0.11</v>
      </c>
      <c r="G159" s="1275">
        <v>0.15</v>
      </c>
      <c r="H159" s="1275">
        <f>PRODUCT(C159:G159)</f>
        <v>7.5899999999999995E-3</v>
      </c>
      <c r="I159" s="1275"/>
      <c r="J159" s="1275"/>
    </row>
    <row r="160" spans="1:10" ht="14.7">
      <c r="A160" s="1271"/>
      <c r="B160" s="1271"/>
      <c r="C160" s="1271"/>
      <c r="D160" s="1271"/>
      <c r="E160" s="1275"/>
      <c r="F160" s="1275"/>
      <c r="G160" s="1275" t="s">
        <v>2684</v>
      </c>
      <c r="H160" s="1275">
        <f>SUM(H157:H159)</f>
        <v>0.11867999999999999</v>
      </c>
      <c r="I160" s="1275">
        <f>Datas!G539</f>
        <v>5340.5599999999995</v>
      </c>
      <c r="J160" s="1275">
        <f>ROUND(I160*H160,0)</f>
        <v>634</v>
      </c>
    </row>
    <row r="161" spans="1:10" ht="14.7">
      <c r="A161" s="1271"/>
      <c r="B161" s="1271"/>
      <c r="C161" s="1271"/>
      <c r="D161" s="1271"/>
      <c r="E161" s="1271"/>
      <c r="F161" s="1271"/>
      <c r="G161" s="1271"/>
      <c r="H161" s="1271" t="s">
        <v>1473</v>
      </c>
      <c r="I161" s="1271" t="s">
        <v>2757</v>
      </c>
      <c r="J161" s="1275"/>
    </row>
    <row r="162" spans="1:10" ht="133.5" customHeight="1">
      <c r="A162" s="1271">
        <v>8</v>
      </c>
      <c r="B162" s="2591" t="s">
        <v>2758</v>
      </c>
      <c r="C162" s="2592"/>
      <c r="D162" s="2592"/>
      <c r="E162" s="2592"/>
      <c r="F162" s="2592"/>
      <c r="G162" s="2592"/>
      <c r="H162" s="2593"/>
      <c r="I162" s="1273"/>
      <c r="J162" s="1276"/>
    </row>
    <row r="163" spans="1:10" ht="14.7">
      <c r="A163" s="1271"/>
      <c r="B163" s="1271"/>
      <c r="C163" s="1271"/>
      <c r="D163" s="1271"/>
      <c r="E163" s="1271"/>
      <c r="F163" s="1271"/>
      <c r="G163" s="1271" t="s">
        <v>2684</v>
      </c>
      <c r="H163" s="1275">
        <v>3.8</v>
      </c>
      <c r="I163" s="1275">
        <f>Datas!G584</f>
        <v>77799</v>
      </c>
      <c r="J163" s="1275">
        <f>ROUND(I163*H163,0)</f>
        <v>295636</v>
      </c>
    </row>
    <row r="164" spans="1:10" ht="14.7">
      <c r="A164" s="1271"/>
      <c r="B164" s="1271"/>
      <c r="C164" s="1271"/>
      <c r="D164" s="1271"/>
      <c r="E164" s="1271"/>
      <c r="F164" s="1271"/>
      <c r="G164" s="1271"/>
      <c r="H164" s="1271" t="s">
        <v>1037</v>
      </c>
      <c r="I164" s="1271" t="s">
        <v>1037</v>
      </c>
      <c r="J164" s="1275"/>
    </row>
    <row r="165" spans="1:10" ht="100.5" customHeight="1">
      <c r="A165" s="1271">
        <v>9</v>
      </c>
      <c r="B165" s="2582" t="s">
        <v>2759</v>
      </c>
      <c r="C165" s="2583"/>
      <c r="D165" s="2583"/>
      <c r="E165" s="2583"/>
      <c r="F165" s="2583"/>
      <c r="G165" s="2583"/>
      <c r="H165" s="2583"/>
      <c r="I165" s="1273"/>
      <c r="J165" s="1276"/>
    </row>
    <row r="166" spans="1:10" ht="14.7">
      <c r="A166" s="1271"/>
      <c r="B166" s="1292" t="s">
        <v>2760</v>
      </c>
      <c r="C166" s="1273"/>
      <c r="D166" s="1273"/>
      <c r="E166" s="1273"/>
      <c r="F166" s="1273"/>
      <c r="G166" s="1273"/>
      <c r="H166" s="1273"/>
      <c r="I166" s="1273"/>
      <c r="J166" s="1276"/>
    </row>
    <row r="167" spans="1:10" ht="14.7">
      <c r="A167" s="1271"/>
      <c r="B167" s="1271" t="s">
        <v>2720</v>
      </c>
      <c r="C167" s="1271">
        <v>1</v>
      </c>
      <c r="D167" s="1271">
        <v>2</v>
      </c>
      <c r="E167" s="1275">
        <v>11.04</v>
      </c>
      <c r="F167" s="1275">
        <v>0.23</v>
      </c>
      <c r="G167" s="1275">
        <v>3.3</v>
      </c>
      <c r="H167" s="1275">
        <f>PRODUCT(C167:G167)</f>
        <v>16.75872</v>
      </c>
      <c r="I167" s="1275"/>
      <c r="J167" s="1275"/>
    </row>
    <row r="168" spans="1:10" ht="14.7">
      <c r="A168" s="1271"/>
      <c r="B168" s="1271" t="s">
        <v>2761</v>
      </c>
      <c r="C168" s="1271">
        <v>1</v>
      </c>
      <c r="D168" s="1271">
        <v>2</v>
      </c>
      <c r="E168" s="1275">
        <f>7.225-0.23*2</f>
        <v>6.7649999999999997</v>
      </c>
      <c r="F168" s="1275">
        <v>0.23</v>
      </c>
      <c r="G168" s="1275">
        <v>3.3</v>
      </c>
      <c r="H168" s="1275">
        <f>PRODUCT(C168:G168)</f>
        <v>10.269269999999999</v>
      </c>
      <c r="I168" s="1275"/>
      <c r="J168" s="1275"/>
    </row>
    <row r="169" spans="1:10" ht="14.7">
      <c r="A169" s="1271"/>
      <c r="B169" s="1271" t="s">
        <v>2762</v>
      </c>
      <c r="C169" s="1271">
        <v>1</v>
      </c>
      <c r="D169" s="1271">
        <v>1</v>
      </c>
      <c r="E169" s="1275">
        <v>4.2</v>
      </c>
      <c r="F169" s="1275">
        <v>2.4500000000000002</v>
      </c>
      <c r="G169" s="1275">
        <v>0.15</v>
      </c>
      <c r="H169" s="1275">
        <f t="shared" ref="H169:H181" si="7">PRODUCT(C169:G169)</f>
        <v>1.5435000000000001</v>
      </c>
      <c r="I169" s="1275"/>
      <c r="J169" s="1275"/>
    </row>
    <row r="170" spans="1:10" ht="14.7">
      <c r="A170" s="1271"/>
      <c r="B170" s="1271" t="s">
        <v>2763</v>
      </c>
      <c r="C170" s="1271">
        <v>1</v>
      </c>
      <c r="D170" s="1271">
        <v>1</v>
      </c>
      <c r="E170" s="1275">
        <v>4.2</v>
      </c>
      <c r="F170" s="1275">
        <v>2.15</v>
      </c>
      <c r="G170" s="1275">
        <v>0.15</v>
      </c>
      <c r="H170" s="1275">
        <f t="shared" si="7"/>
        <v>1.3544999999999998</v>
      </c>
      <c r="I170" s="1275"/>
      <c r="J170" s="1275"/>
    </row>
    <row r="171" spans="1:10" ht="14.7">
      <c r="A171" s="1271"/>
      <c r="B171" s="1271" t="s">
        <v>2763</v>
      </c>
      <c r="C171" s="1271">
        <v>1</v>
      </c>
      <c r="D171" s="1271">
        <v>1</v>
      </c>
      <c r="E171" s="1275">
        <v>4.2</v>
      </c>
      <c r="F171" s="1275">
        <v>1.85</v>
      </c>
      <c r="G171" s="1275">
        <v>0.15</v>
      </c>
      <c r="H171" s="1275">
        <f t="shared" si="7"/>
        <v>1.1655</v>
      </c>
      <c r="I171" s="1275"/>
      <c r="J171" s="1275"/>
    </row>
    <row r="172" spans="1:10" ht="14.7">
      <c r="A172" s="1271"/>
      <c r="B172" s="1271" t="s">
        <v>2763</v>
      </c>
      <c r="C172" s="1271">
        <v>1</v>
      </c>
      <c r="D172" s="1271">
        <v>1</v>
      </c>
      <c r="E172" s="1275">
        <v>4.2</v>
      </c>
      <c r="F172" s="1275">
        <v>1.55</v>
      </c>
      <c r="G172" s="1275">
        <v>0.15</v>
      </c>
      <c r="H172" s="1275">
        <f t="shared" si="7"/>
        <v>0.97650000000000003</v>
      </c>
      <c r="I172" s="1275"/>
      <c r="J172" s="1275"/>
    </row>
    <row r="173" spans="1:10" ht="14.7">
      <c r="A173" s="1271"/>
      <c r="B173" s="1271" t="s">
        <v>2764</v>
      </c>
      <c r="C173" s="1271">
        <v>1</v>
      </c>
      <c r="D173" s="1271">
        <v>2</v>
      </c>
      <c r="E173" s="1275">
        <v>1.54</v>
      </c>
      <c r="F173" s="1275">
        <v>0.23</v>
      </c>
      <c r="G173" s="1275">
        <v>2.1</v>
      </c>
      <c r="H173" s="1275">
        <f t="shared" si="7"/>
        <v>1.4876400000000001</v>
      </c>
      <c r="I173" s="1275"/>
      <c r="J173" s="1275"/>
    </row>
    <row r="174" spans="1:10" ht="14.7">
      <c r="A174" s="1271"/>
      <c r="B174" s="1271" t="s">
        <v>2765</v>
      </c>
      <c r="C174" s="1271">
        <v>1</v>
      </c>
      <c r="D174" s="1271">
        <v>0.5</v>
      </c>
      <c r="E174" s="1275">
        <v>4.26</v>
      </c>
      <c r="F174" s="1281">
        <v>0.115</v>
      </c>
      <c r="G174" s="1275">
        <v>1.2</v>
      </c>
      <c r="H174" s="1275">
        <f t="shared" si="7"/>
        <v>0.29393999999999998</v>
      </c>
      <c r="I174" s="1275"/>
      <c r="J174" s="1275"/>
    </row>
    <row r="175" spans="1:10" ht="44.1">
      <c r="A175" s="1271"/>
      <c r="B175" s="1271" t="s">
        <v>2766</v>
      </c>
      <c r="C175" s="1271">
        <v>1</v>
      </c>
      <c r="D175" s="1271">
        <v>1</v>
      </c>
      <c r="E175" s="1275">
        <v>10.97</v>
      </c>
      <c r="F175" s="1275">
        <v>0.23</v>
      </c>
      <c r="G175" s="1293" t="s">
        <v>2767</v>
      </c>
      <c r="H175" s="1275">
        <f>1.2*F175*E175</f>
        <v>3.0277200000000004</v>
      </c>
      <c r="I175" s="1275"/>
      <c r="J175" s="1275"/>
    </row>
    <row r="176" spans="1:10" ht="14.7">
      <c r="A176" s="1271"/>
      <c r="B176" s="1274" t="s">
        <v>2768</v>
      </c>
      <c r="C176" s="1271"/>
      <c r="D176" s="1271"/>
      <c r="E176" s="1275"/>
      <c r="F176" s="1275"/>
      <c r="G176" s="1288"/>
      <c r="H176" s="1275"/>
      <c r="I176" s="1275"/>
      <c r="J176" s="1275"/>
    </row>
    <row r="177" spans="1:10" ht="14.7">
      <c r="A177" s="1271"/>
      <c r="B177" s="1271" t="s">
        <v>980</v>
      </c>
      <c r="C177" s="1271">
        <v>-1</v>
      </c>
      <c r="D177" s="1271">
        <v>1</v>
      </c>
      <c r="E177" s="1275">
        <v>1.2</v>
      </c>
      <c r="F177" s="1275">
        <v>0.23</v>
      </c>
      <c r="G177" s="1275">
        <v>2.4</v>
      </c>
      <c r="H177" s="1275">
        <f t="shared" si="7"/>
        <v>-0.66239999999999999</v>
      </c>
      <c r="I177" s="1275"/>
      <c r="J177" s="1275"/>
    </row>
    <row r="178" spans="1:10" ht="14.7">
      <c r="A178" s="1271"/>
      <c r="B178" s="1271" t="s">
        <v>981</v>
      </c>
      <c r="C178" s="1271">
        <v>-1</v>
      </c>
      <c r="D178" s="1271">
        <v>1</v>
      </c>
      <c r="E178" s="1275">
        <v>0.9</v>
      </c>
      <c r="F178" s="1275">
        <v>0.23</v>
      </c>
      <c r="G178" s="1275">
        <v>2.4</v>
      </c>
      <c r="H178" s="1275">
        <f t="shared" si="7"/>
        <v>-0.49680000000000002</v>
      </c>
      <c r="I178" s="1275"/>
      <c r="J178" s="1275"/>
    </row>
    <row r="179" spans="1:10" ht="14.7">
      <c r="A179" s="1271"/>
      <c r="B179" s="1271" t="s">
        <v>2769</v>
      </c>
      <c r="C179" s="1271">
        <v>-1</v>
      </c>
      <c r="D179" s="1271">
        <v>1</v>
      </c>
      <c r="E179" s="1275">
        <v>1.05</v>
      </c>
      <c r="F179" s="1275">
        <v>0.23</v>
      </c>
      <c r="G179" s="1275">
        <v>1.35</v>
      </c>
      <c r="H179" s="1275">
        <f t="shared" si="7"/>
        <v>-0.32602500000000006</v>
      </c>
      <c r="I179" s="1275"/>
      <c r="J179" s="1275"/>
    </row>
    <row r="180" spans="1:10" ht="14.7">
      <c r="A180" s="1271"/>
      <c r="B180" s="1271" t="s">
        <v>2769</v>
      </c>
      <c r="C180" s="1271">
        <v>-1</v>
      </c>
      <c r="D180" s="1271">
        <v>7</v>
      </c>
      <c r="E180" s="1275">
        <v>1.2</v>
      </c>
      <c r="F180" s="1275">
        <v>0.23</v>
      </c>
      <c r="G180" s="1275">
        <v>1.35</v>
      </c>
      <c r="H180" s="1275">
        <f t="shared" si="7"/>
        <v>-2.6082000000000005</v>
      </c>
      <c r="I180" s="1275"/>
      <c r="J180" s="1275"/>
    </row>
    <row r="181" spans="1:10" ht="14.7">
      <c r="A181" s="1271"/>
      <c r="B181" s="1271" t="s">
        <v>2224</v>
      </c>
      <c r="C181" s="1271">
        <v>-1</v>
      </c>
      <c r="D181" s="1271">
        <v>1</v>
      </c>
      <c r="E181" s="1275">
        <v>0.6</v>
      </c>
      <c r="F181" s="1275">
        <v>0.23</v>
      </c>
      <c r="G181" s="1275">
        <v>0.45</v>
      </c>
      <c r="H181" s="1275">
        <f t="shared" si="7"/>
        <v>-6.2100000000000009E-2</v>
      </c>
      <c r="I181" s="1275"/>
      <c r="J181" s="1275"/>
    </row>
    <row r="182" spans="1:10" ht="14.7">
      <c r="A182" s="1271"/>
      <c r="B182" s="1271" t="s">
        <v>2770</v>
      </c>
      <c r="C182" s="1271"/>
      <c r="D182" s="1271"/>
      <c r="E182" s="1275"/>
      <c r="F182" s="1275"/>
      <c r="G182" s="1275"/>
      <c r="H182" s="1275">
        <f>-H149</f>
        <v>-0.70905000000000007</v>
      </c>
      <c r="I182" s="1275"/>
      <c r="J182" s="1275"/>
    </row>
    <row r="183" spans="1:10" ht="14.7">
      <c r="A183" s="1271"/>
      <c r="B183" s="1271"/>
      <c r="C183" s="1271"/>
      <c r="D183" s="1271"/>
      <c r="E183" s="1275"/>
      <c r="F183" s="1275"/>
      <c r="G183" s="1275" t="s">
        <v>2684</v>
      </c>
      <c r="H183" s="1275">
        <f>SUM(H167:H182)</f>
        <v>32.012715</v>
      </c>
      <c r="I183" s="1275">
        <f>Datas!E612</f>
        <v>7013.85</v>
      </c>
      <c r="J183" s="1275">
        <f>ROUND(I183*H183,0)</f>
        <v>224532</v>
      </c>
    </row>
    <row r="184" spans="1:10" ht="14.7">
      <c r="A184" s="1271"/>
      <c r="B184" s="1271"/>
      <c r="C184" s="1271"/>
      <c r="D184" s="1271"/>
      <c r="E184" s="1271"/>
      <c r="F184" s="1271"/>
      <c r="G184" s="1271"/>
      <c r="H184" s="1271" t="s">
        <v>2578</v>
      </c>
      <c r="I184" s="1271" t="s">
        <v>2578</v>
      </c>
      <c r="J184" s="1275"/>
    </row>
    <row r="185" spans="1:10" ht="111" customHeight="1">
      <c r="A185" s="1271">
        <v>10</v>
      </c>
      <c r="B185" s="2582" t="s">
        <v>2771</v>
      </c>
      <c r="C185" s="2583"/>
      <c r="D185" s="2583"/>
      <c r="E185" s="2583"/>
      <c r="F185" s="2583"/>
      <c r="G185" s="2583"/>
      <c r="H185" s="2583"/>
      <c r="I185" s="1273"/>
      <c r="J185" s="1276"/>
    </row>
    <row r="186" spans="1:10" ht="29.4">
      <c r="A186" s="1271"/>
      <c r="B186" s="1294" t="s">
        <v>2772</v>
      </c>
      <c r="C186" s="1295"/>
      <c r="D186" s="1295"/>
      <c r="E186" s="1295"/>
      <c r="F186" s="1295"/>
      <c r="G186" s="1295"/>
      <c r="H186" s="1295"/>
      <c r="I186" s="1273"/>
      <c r="J186" s="1276"/>
    </row>
    <row r="187" spans="1:10" ht="14.7">
      <c r="A187" s="1271"/>
      <c r="B187" s="1271" t="s">
        <v>2773</v>
      </c>
      <c r="C187" s="1271">
        <v>1</v>
      </c>
      <c r="D187" s="1271">
        <v>1</v>
      </c>
      <c r="E187" s="1275">
        <f>11.04-0.3*2</f>
        <v>10.44</v>
      </c>
      <c r="F187" s="1281"/>
      <c r="G187" s="1275">
        <v>3.3</v>
      </c>
      <c r="H187" s="1275">
        <f>PRODUCT(C187:G187)</f>
        <v>34.451999999999998</v>
      </c>
      <c r="I187" s="1275"/>
      <c r="J187" s="1275"/>
    </row>
    <row r="188" spans="1:10" ht="14.7">
      <c r="A188" s="1271"/>
      <c r="B188" s="1288"/>
      <c r="C188" s="1271">
        <v>1</v>
      </c>
      <c r="D188" s="1271">
        <v>0</v>
      </c>
      <c r="E188" s="1275">
        <v>7.86</v>
      </c>
      <c r="F188" s="1281"/>
      <c r="G188" s="1275">
        <v>3.05</v>
      </c>
      <c r="H188" s="1275">
        <f t="shared" ref="H188:H199" si="8">PRODUCT(C188:G188)</f>
        <v>0</v>
      </c>
      <c r="I188" s="1275"/>
      <c r="J188" s="1275"/>
    </row>
    <row r="189" spans="1:10" ht="29.4">
      <c r="A189" s="1271"/>
      <c r="B189" s="1291" t="s">
        <v>2774</v>
      </c>
      <c r="C189" s="1271">
        <v>1</v>
      </c>
      <c r="D189" s="1271">
        <v>1</v>
      </c>
      <c r="E189" s="1275">
        <v>4.8250000000000002</v>
      </c>
      <c r="F189" s="1281"/>
      <c r="G189" s="1275">
        <v>3.3</v>
      </c>
      <c r="H189" s="1275">
        <f t="shared" si="8"/>
        <v>15.922499999999999</v>
      </c>
      <c r="I189" s="1275"/>
      <c r="J189" s="1275"/>
    </row>
    <row r="190" spans="1:10" ht="58.8">
      <c r="A190" s="1271"/>
      <c r="B190" s="1296" t="s">
        <v>2775</v>
      </c>
      <c r="C190" s="1271">
        <v>1</v>
      </c>
      <c r="D190" s="1271">
        <v>1</v>
      </c>
      <c r="E190" s="1275">
        <v>3.05</v>
      </c>
      <c r="F190" s="1281"/>
      <c r="G190" s="1275">
        <v>3.3</v>
      </c>
      <c r="H190" s="1275">
        <f t="shared" si="8"/>
        <v>10.065</v>
      </c>
      <c r="I190" s="1275"/>
      <c r="J190" s="1275"/>
    </row>
    <row r="191" spans="1:10" ht="44.1">
      <c r="A191" s="1271"/>
      <c r="B191" s="1296" t="s">
        <v>2776</v>
      </c>
      <c r="C191" s="1271">
        <v>1</v>
      </c>
      <c r="D191" s="1271">
        <v>1</v>
      </c>
      <c r="E191" s="1275">
        <v>1.83</v>
      </c>
      <c r="F191" s="1281"/>
      <c r="G191" s="1275">
        <v>3.3</v>
      </c>
      <c r="H191" s="1275">
        <f t="shared" si="8"/>
        <v>6.0389999999999997</v>
      </c>
      <c r="I191" s="1275"/>
      <c r="J191" s="1275"/>
    </row>
    <row r="192" spans="1:10" ht="14.7">
      <c r="A192" s="1271"/>
      <c r="B192" s="1271" t="s">
        <v>2777</v>
      </c>
      <c r="C192" s="1271">
        <v>1</v>
      </c>
      <c r="D192" s="1271">
        <v>1</v>
      </c>
      <c r="E192" s="1275">
        <v>1.38</v>
      </c>
      <c r="F192" s="1281"/>
      <c r="G192" s="1275">
        <v>3.3</v>
      </c>
      <c r="H192" s="1275">
        <f t="shared" si="8"/>
        <v>4.5539999999999994</v>
      </c>
      <c r="I192" s="1275"/>
      <c r="J192" s="1275"/>
    </row>
    <row r="193" spans="1:10" ht="14.7">
      <c r="A193" s="1271"/>
      <c r="B193" s="1297" t="s">
        <v>2778</v>
      </c>
      <c r="C193" s="1271">
        <v>1</v>
      </c>
      <c r="D193" s="1271">
        <v>1</v>
      </c>
      <c r="E193" s="1275">
        <v>3.91</v>
      </c>
      <c r="F193" s="1281"/>
      <c r="G193" s="1275">
        <v>3.3</v>
      </c>
      <c r="H193" s="1275">
        <f t="shared" si="8"/>
        <v>12.903</v>
      </c>
      <c r="I193" s="1275"/>
      <c r="J193" s="1275"/>
    </row>
    <row r="194" spans="1:10" ht="14.7">
      <c r="A194" s="1271"/>
      <c r="B194" s="1271" t="s">
        <v>2779</v>
      </c>
      <c r="C194" s="1271">
        <v>1</v>
      </c>
      <c r="D194" s="1271">
        <v>1</v>
      </c>
      <c r="E194" s="1275">
        <v>11.04</v>
      </c>
      <c r="F194" s="1281"/>
      <c r="G194" s="1275">
        <f>0.75</f>
        <v>0.75</v>
      </c>
      <c r="H194" s="1275">
        <f>PRODUCT(C194:G194)</f>
        <v>8.2799999999999994</v>
      </c>
      <c r="I194" s="1275"/>
      <c r="J194" s="1275"/>
    </row>
    <row r="195" spans="1:10" ht="14.7">
      <c r="A195" s="1271"/>
      <c r="B195" s="1271" t="s">
        <v>2761</v>
      </c>
      <c r="C195" s="1271">
        <v>1</v>
      </c>
      <c r="D195" s="1271">
        <v>2</v>
      </c>
      <c r="E195" s="1275">
        <f>7.225-0.11*2</f>
        <v>7.0049999999999999</v>
      </c>
      <c r="F195" s="1281"/>
      <c r="G195" s="1275">
        <v>0.75</v>
      </c>
      <c r="H195" s="1275">
        <f>PRODUCT(C195:G195)</f>
        <v>10.5075</v>
      </c>
      <c r="I195" s="1275"/>
      <c r="J195" s="1275"/>
    </row>
    <row r="196" spans="1:10" ht="14.7">
      <c r="A196" s="1271"/>
      <c r="B196" s="1271" t="s">
        <v>2780</v>
      </c>
      <c r="C196" s="1271">
        <v>-1</v>
      </c>
      <c r="D196" s="1271">
        <v>1</v>
      </c>
      <c r="E196" s="1275">
        <v>0.9</v>
      </c>
      <c r="F196" s="1281"/>
      <c r="G196" s="1275">
        <v>2.1</v>
      </c>
      <c r="H196" s="1275">
        <f t="shared" si="8"/>
        <v>-1.8900000000000001</v>
      </c>
      <c r="I196" s="1275"/>
      <c r="J196" s="1275"/>
    </row>
    <row r="197" spans="1:10" ht="14.7">
      <c r="A197" s="1271"/>
      <c r="B197" s="1271" t="s">
        <v>2781</v>
      </c>
      <c r="C197" s="1271">
        <v>-1</v>
      </c>
      <c r="D197" s="1271">
        <v>1</v>
      </c>
      <c r="E197" s="1275">
        <v>0.75</v>
      </c>
      <c r="F197" s="1281"/>
      <c r="G197" s="1275">
        <v>2.1335999999999999</v>
      </c>
      <c r="H197" s="1275">
        <f t="shared" si="8"/>
        <v>-1.6002000000000001</v>
      </c>
      <c r="I197" s="1275"/>
      <c r="J197" s="1275"/>
    </row>
    <row r="198" spans="1:10" ht="14.7">
      <c r="A198" s="1271"/>
      <c r="B198" s="1271" t="s">
        <v>2782</v>
      </c>
      <c r="C198" s="1271">
        <v>-1</v>
      </c>
      <c r="D198" s="1271">
        <v>2</v>
      </c>
      <c r="E198" s="1275">
        <v>1.36</v>
      </c>
      <c r="F198" s="1281"/>
      <c r="G198" s="1275">
        <v>0.15</v>
      </c>
      <c r="H198" s="1275">
        <f t="shared" si="8"/>
        <v>-0.40800000000000003</v>
      </c>
      <c r="I198" s="1275"/>
      <c r="J198" s="1275"/>
    </row>
    <row r="199" spans="1:10" ht="14.7">
      <c r="A199" s="1271"/>
      <c r="B199" s="1271" t="s">
        <v>2783</v>
      </c>
      <c r="C199" s="1271">
        <v>-1</v>
      </c>
      <c r="D199" s="1271">
        <v>2</v>
      </c>
      <c r="E199" s="1275">
        <v>1.2</v>
      </c>
      <c r="F199" s="1281"/>
      <c r="G199" s="1275">
        <v>0.15</v>
      </c>
      <c r="H199" s="1275">
        <f t="shared" si="8"/>
        <v>-0.36</v>
      </c>
      <c r="I199" s="1275"/>
      <c r="J199" s="1275"/>
    </row>
    <row r="200" spans="1:10" ht="14.7">
      <c r="A200" s="1271"/>
      <c r="B200" s="1271"/>
      <c r="C200" s="1271"/>
      <c r="D200" s="1271"/>
      <c r="E200" s="1275"/>
      <c r="F200" s="1275"/>
      <c r="G200" s="1275" t="s">
        <v>2684</v>
      </c>
      <c r="H200" s="1275">
        <f>SUM(H187:H199)</f>
        <v>98.464800000000011</v>
      </c>
      <c r="I200" s="1277">
        <f>Datas!E961</f>
        <v>800.34</v>
      </c>
      <c r="J200" s="1275">
        <f>ROUND(I200*H200,0)</f>
        <v>78805</v>
      </c>
    </row>
    <row r="201" spans="1:10" ht="14.7">
      <c r="A201" s="1271"/>
      <c r="B201" s="1271"/>
      <c r="C201" s="1271"/>
      <c r="D201" s="1271"/>
      <c r="E201" s="1271"/>
      <c r="F201" s="1271"/>
      <c r="G201" s="1271"/>
      <c r="H201" s="1271" t="s">
        <v>987</v>
      </c>
      <c r="I201" s="1271" t="s">
        <v>2986</v>
      </c>
      <c r="J201" s="1275"/>
    </row>
    <row r="202" spans="1:10" ht="86.25" customHeight="1">
      <c r="A202" s="1271">
        <v>11</v>
      </c>
      <c r="B202" s="2582" t="s">
        <v>2784</v>
      </c>
      <c r="C202" s="2583"/>
      <c r="D202" s="2583"/>
      <c r="E202" s="2583"/>
      <c r="F202" s="2583"/>
      <c r="G202" s="2583"/>
      <c r="H202" s="2583"/>
      <c r="I202" s="1273"/>
      <c r="J202" s="1276"/>
    </row>
    <row r="203" spans="1:10" ht="14.7">
      <c r="A203" s="1271"/>
      <c r="B203" s="1294" t="s">
        <v>673</v>
      </c>
      <c r="C203" s="1295"/>
      <c r="D203" s="1295"/>
      <c r="E203" s="1295"/>
      <c r="F203" s="1295"/>
      <c r="G203" s="1295"/>
      <c r="H203" s="1295"/>
      <c r="I203" s="1273"/>
      <c r="J203" s="1276"/>
    </row>
    <row r="204" spans="1:10" ht="14.7">
      <c r="A204" s="1271"/>
      <c r="B204" s="1273" t="s">
        <v>2785</v>
      </c>
      <c r="C204" s="1273"/>
      <c r="D204" s="1273"/>
      <c r="E204" s="1273"/>
      <c r="F204" s="1273"/>
      <c r="G204" s="1273"/>
      <c r="H204" s="1273"/>
      <c r="I204" s="1273"/>
      <c r="J204" s="1276"/>
    </row>
    <row r="205" spans="1:10" ht="14.7">
      <c r="A205" s="1271"/>
      <c r="B205" s="1271" t="s">
        <v>2709</v>
      </c>
      <c r="C205" s="1271">
        <v>1</v>
      </c>
      <c r="D205" s="1271">
        <v>1</v>
      </c>
      <c r="E205" s="1275">
        <v>3.68</v>
      </c>
      <c r="F205" s="1275">
        <v>4.8250000000000002</v>
      </c>
      <c r="G205" s="1275" t="s">
        <v>524</v>
      </c>
      <c r="H205" s="1275">
        <f>PRODUCT(C205:G205)</f>
        <v>17.756</v>
      </c>
      <c r="I205" s="1275"/>
      <c r="J205" s="1275"/>
    </row>
    <row r="206" spans="1:10" ht="14.7">
      <c r="A206" s="1271"/>
      <c r="B206" s="1271" t="s">
        <v>2690</v>
      </c>
      <c r="C206" s="1271">
        <v>1</v>
      </c>
      <c r="D206" s="1271">
        <v>1</v>
      </c>
      <c r="E206" s="1275">
        <v>3.68</v>
      </c>
      <c r="F206" s="1275">
        <v>3.05</v>
      </c>
      <c r="G206" s="1275" t="s">
        <v>524</v>
      </c>
      <c r="H206" s="1275">
        <f t="shared" ref="H206:H217" si="9">PRODUCT(C206:G206)</f>
        <v>11.224</v>
      </c>
      <c r="I206" s="1275"/>
      <c r="J206" s="1275"/>
    </row>
    <row r="207" spans="1:10" ht="14.7">
      <c r="A207" s="1271"/>
      <c r="B207" s="1271" t="s">
        <v>2691</v>
      </c>
      <c r="C207" s="1271">
        <v>1</v>
      </c>
      <c r="D207" s="1271">
        <v>1</v>
      </c>
      <c r="E207" s="1275">
        <v>2.99</v>
      </c>
      <c r="F207" s="1275">
        <f>F206</f>
        <v>3.05</v>
      </c>
      <c r="G207" s="1275" t="s">
        <v>524</v>
      </c>
      <c r="H207" s="1275">
        <f t="shared" si="9"/>
        <v>9.1195000000000004</v>
      </c>
      <c r="I207" s="1275"/>
      <c r="J207" s="1275"/>
    </row>
    <row r="208" spans="1:10" ht="14.7">
      <c r="A208" s="1271"/>
      <c r="B208" s="1271" t="s">
        <v>2786</v>
      </c>
      <c r="C208" s="1271">
        <v>1</v>
      </c>
      <c r="D208" s="1271">
        <v>1</v>
      </c>
      <c r="E208" s="1275">
        <v>3.68</v>
      </c>
      <c r="F208" s="1275">
        <v>1.83</v>
      </c>
      <c r="G208" s="1275" t="s">
        <v>524</v>
      </c>
      <c r="H208" s="1275">
        <f t="shared" si="9"/>
        <v>6.7344000000000008</v>
      </c>
      <c r="I208" s="1275"/>
      <c r="J208" s="1275"/>
    </row>
    <row r="209" spans="1:10" ht="14.7">
      <c r="A209" s="1271"/>
      <c r="B209" s="1271" t="s">
        <v>2787</v>
      </c>
      <c r="C209" s="1271">
        <v>1</v>
      </c>
      <c r="D209" s="1271">
        <v>1</v>
      </c>
      <c r="E209" s="1275">
        <v>2.87</v>
      </c>
      <c r="F209" s="1275">
        <v>3.605</v>
      </c>
      <c r="G209" s="1275" t="s">
        <v>524</v>
      </c>
      <c r="H209" s="1275">
        <f t="shared" si="9"/>
        <v>10.346350000000001</v>
      </c>
      <c r="I209" s="1275"/>
      <c r="J209" s="1275"/>
    </row>
    <row r="210" spans="1:10" ht="14.7">
      <c r="A210" s="1271"/>
      <c r="B210" s="1271" t="s">
        <v>2694</v>
      </c>
      <c r="C210" s="1271">
        <v>1</v>
      </c>
      <c r="D210" s="1271">
        <v>1</v>
      </c>
      <c r="E210" s="1275">
        <v>2.61</v>
      </c>
      <c r="F210" s="1275">
        <v>1.38</v>
      </c>
      <c r="G210" s="1275" t="s">
        <v>524</v>
      </c>
      <c r="H210" s="1275">
        <f>PRODUCT(C210:G210)</f>
        <v>3.6017999999999994</v>
      </c>
      <c r="I210" s="1275"/>
      <c r="J210" s="1275"/>
    </row>
    <row r="211" spans="1:10" ht="14.7">
      <c r="A211" s="1271"/>
      <c r="B211" s="1271" t="s">
        <v>2788</v>
      </c>
      <c r="C211" s="1271">
        <v>1</v>
      </c>
      <c r="D211" s="1271">
        <v>1</v>
      </c>
      <c r="E211" s="1275">
        <f>11.04+0.45*2</f>
        <v>11.94</v>
      </c>
      <c r="F211" s="1275">
        <v>0.45</v>
      </c>
      <c r="G211" s="1275" t="s">
        <v>524</v>
      </c>
      <c r="H211" s="1275">
        <f t="shared" si="9"/>
        <v>5.3730000000000002</v>
      </c>
      <c r="I211" s="1275"/>
      <c r="J211" s="1275"/>
    </row>
    <row r="212" spans="1:10" ht="14.7">
      <c r="A212" s="1271"/>
      <c r="B212" s="1271"/>
      <c r="C212" s="1271">
        <v>1</v>
      </c>
      <c r="D212" s="1271">
        <v>1</v>
      </c>
      <c r="E212" s="1275">
        <f>E211</f>
        <v>11.94</v>
      </c>
      <c r="F212" s="1275">
        <v>0.45</v>
      </c>
      <c r="G212" s="1275" t="s">
        <v>524</v>
      </c>
      <c r="H212" s="1275">
        <f t="shared" si="9"/>
        <v>5.3730000000000002</v>
      </c>
      <c r="I212" s="1275"/>
      <c r="J212" s="1275"/>
    </row>
    <row r="213" spans="1:10" ht="14.7">
      <c r="A213" s="1271"/>
      <c r="B213" s="1271" t="s">
        <v>2721</v>
      </c>
      <c r="C213" s="1271">
        <v>1</v>
      </c>
      <c r="D213" s="1271">
        <v>2</v>
      </c>
      <c r="E213" s="1275">
        <f>7.225+0.45*2</f>
        <v>8.125</v>
      </c>
      <c r="F213" s="1275">
        <v>0.45</v>
      </c>
      <c r="G213" s="1275" t="s">
        <v>524</v>
      </c>
      <c r="H213" s="1275">
        <f t="shared" si="9"/>
        <v>7.3125</v>
      </c>
      <c r="I213" s="1275"/>
      <c r="J213" s="1275"/>
    </row>
    <row r="214" spans="1:10" ht="14.7">
      <c r="A214" s="1271"/>
      <c r="B214" s="1271" t="s">
        <v>2789</v>
      </c>
      <c r="C214" s="1271">
        <v>1</v>
      </c>
      <c r="D214" s="1271">
        <v>1</v>
      </c>
      <c r="E214" s="1275">
        <v>4.2</v>
      </c>
      <c r="F214" s="1275">
        <v>1.5349999999999999</v>
      </c>
      <c r="G214" s="1275" t="s">
        <v>524</v>
      </c>
      <c r="H214" s="1275">
        <f t="shared" si="9"/>
        <v>6.4470000000000001</v>
      </c>
      <c r="I214" s="1275"/>
      <c r="J214" s="1275"/>
    </row>
    <row r="215" spans="1:10" ht="14.7">
      <c r="A215" s="1271"/>
      <c r="B215" s="1271" t="s">
        <v>2790</v>
      </c>
      <c r="C215" s="1271">
        <v>1</v>
      </c>
      <c r="D215" s="1271">
        <v>2</v>
      </c>
      <c r="E215" s="1275">
        <v>3</v>
      </c>
      <c r="F215" s="1275">
        <v>0.92</v>
      </c>
      <c r="G215" s="1275" t="s">
        <v>524</v>
      </c>
      <c r="H215" s="1275">
        <f t="shared" si="9"/>
        <v>5.5200000000000005</v>
      </c>
      <c r="I215" s="1275"/>
      <c r="J215" s="1275"/>
    </row>
    <row r="216" spans="1:10" ht="14.7">
      <c r="A216" s="1271"/>
      <c r="B216" s="1271" t="s">
        <v>2791</v>
      </c>
      <c r="C216" s="1271">
        <v>1</v>
      </c>
      <c r="D216" s="1271">
        <v>1</v>
      </c>
      <c r="E216" s="1275">
        <v>1.35</v>
      </c>
      <c r="F216" s="1275">
        <v>2</v>
      </c>
      <c r="G216" s="1275" t="s">
        <v>524</v>
      </c>
      <c r="H216" s="1275">
        <f t="shared" si="9"/>
        <v>2.7</v>
      </c>
      <c r="I216" s="1275"/>
      <c r="J216" s="1275"/>
    </row>
    <row r="217" spans="1:10" ht="14.7">
      <c r="A217" s="1271"/>
      <c r="B217" s="1271" t="s">
        <v>2792</v>
      </c>
      <c r="C217" s="1271">
        <v>1</v>
      </c>
      <c r="D217" s="1271">
        <v>1</v>
      </c>
      <c r="E217" s="1275">
        <v>0.96</v>
      </c>
      <c r="F217" s="1275">
        <v>1.38</v>
      </c>
      <c r="G217" s="1275" t="s">
        <v>524</v>
      </c>
      <c r="H217" s="1275">
        <f t="shared" si="9"/>
        <v>1.3247999999999998</v>
      </c>
      <c r="I217" s="1275"/>
      <c r="J217" s="1275"/>
    </row>
    <row r="218" spans="1:10" ht="14.7">
      <c r="A218" s="1271"/>
      <c r="B218" s="1271"/>
      <c r="C218" s="1271"/>
      <c r="D218" s="1271"/>
      <c r="E218" s="1275"/>
      <c r="F218" s="1275"/>
      <c r="G218" s="1275" t="s">
        <v>2684</v>
      </c>
      <c r="H218" s="1275">
        <f>SUM(H205:H217)</f>
        <v>92.832350000000005</v>
      </c>
      <c r="I218" s="1275">
        <f>Datas!E654/10</f>
        <v>148.97300000000001</v>
      </c>
      <c r="J218" s="1275">
        <f>ROUND(I218*H218,0)</f>
        <v>13830</v>
      </c>
    </row>
    <row r="219" spans="1:10" ht="14.7">
      <c r="A219" s="1271"/>
      <c r="B219" s="1271"/>
      <c r="C219" s="1271"/>
      <c r="D219" s="1271"/>
      <c r="E219" s="1271"/>
      <c r="F219" s="1271"/>
      <c r="G219" s="1271"/>
      <c r="H219" s="1271" t="s">
        <v>2579</v>
      </c>
      <c r="I219" s="1271" t="s">
        <v>2579</v>
      </c>
      <c r="J219" s="1275"/>
    </row>
    <row r="220" spans="1:10" ht="98.25" customHeight="1">
      <c r="A220" s="1271">
        <v>12</v>
      </c>
      <c r="B220" s="2582" t="s">
        <v>2974</v>
      </c>
      <c r="C220" s="2583"/>
      <c r="D220" s="2583"/>
      <c r="E220" s="2583"/>
      <c r="F220" s="2583"/>
      <c r="G220" s="2583"/>
      <c r="H220" s="2583"/>
      <c r="I220" s="1273"/>
      <c r="J220" s="1276"/>
    </row>
    <row r="221" spans="1:10" ht="14.7">
      <c r="A221" s="1271"/>
      <c r="B221" s="1273" t="s">
        <v>2793</v>
      </c>
      <c r="C221" s="1273"/>
      <c r="D221" s="1273"/>
      <c r="E221" s="1273"/>
      <c r="F221" s="1273"/>
      <c r="G221" s="1273"/>
      <c r="H221" s="1273"/>
      <c r="I221" s="1273"/>
      <c r="J221" s="1276"/>
    </row>
    <row r="222" spans="1:10" ht="14.7">
      <c r="A222" s="1271"/>
      <c r="B222" s="1271" t="s">
        <v>2709</v>
      </c>
      <c r="C222" s="1271">
        <v>1</v>
      </c>
      <c r="D222" s="1271">
        <v>2</v>
      </c>
      <c r="E222" s="1275">
        <v>3.68</v>
      </c>
      <c r="F222" s="1275" t="s">
        <v>524</v>
      </c>
      <c r="G222" s="1275">
        <v>3.6</v>
      </c>
      <c r="H222" s="1275">
        <f t="shared" ref="H222:H243" si="10">PRODUCT(C222:G222)</f>
        <v>26.496000000000002</v>
      </c>
      <c r="I222" s="1275"/>
      <c r="J222" s="1275"/>
    </row>
    <row r="223" spans="1:10" ht="14.7">
      <c r="A223" s="1271"/>
      <c r="B223" s="1271" t="s">
        <v>2721</v>
      </c>
      <c r="C223" s="1271">
        <v>1</v>
      </c>
      <c r="D223" s="1271">
        <v>2</v>
      </c>
      <c r="E223" s="1275">
        <v>4.8250000000000002</v>
      </c>
      <c r="F223" s="1275" t="s">
        <v>524</v>
      </c>
      <c r="G223" s="1275">
        <v>3.6</v>
      </c>
      <c r="H223" s="1275">
        <f t="shared" si="10"/>
        <v>34.74</v>
      </c>
      <c r="I223" s="1275"/>
      <c r="J223" s="1275"/>
    </row>
    <row r="224" spans="1:10" ht="14.7">
      <c r="A224" s="1271"/>
      <c r="B224" s="1271" t="s">
        <v>2794</v>
      </c>
      <c r="C224" s="1271">
        <v>1</v>
      </c>
      <c r="D224" s="1271">
        <v>1</v>
      </c>
      <c r="E224" s="1275">
        <v>3.605</v>
      </c>
      <c r="F224" s="1275" t="s">
        <v>524</v>
      </c>
      <c r="G224" s="1275">
        <v>3.6</v>
      </c>
      <c r="H224" s="1275">
        <f t="shared" si="10"/>
        <v>12.978</v>
      </c>
      <c r="I224" s="1275"/>
      <c r="J224" s="1275"/>
    </row>
    <row r="225" spans="1:10" ht="14.7">
      <c r="A225" s="1271"/>
      <c r="B225" s="1271" t="s">
        <v>2721</v>
      </c>
      <c r="C225" s="1271">
        <v>1</v>
      </c>
      <c r="D225" s="1271">
        <v>2</v>
      </c>
      <c r="E225" s="1275">
        <v>2.87</v>
      </c>
      <c r="F225" s="1275" t="s">
        <v>524</v>
      </c>
      <c r="G225" s="1275">
        <v>3.6</v>
      </c>
      <c r="H225" s="1275">
        <f t="shared" si="10"/>
        <v>20.664000000000001</v>
      </c>
      <c r="I225" s="1275"/>
      <c r="J225" s="1275"/>
    </row>
    <row r="226" spans="1:10" ht="14.7">
      <c r="A226" s="1271"/>
      <c r="B226" s="1271" t="s">
        <v>2795</v>
      </c>
      <c r="C226" s="1271">
        <v>1</v>
      </c>
      <c r="D226" s="1271">
        <v>2</v>
      </c>
      <c r="E226" s="1275">
        <v>3.68</v>
      </c>
      <c r="F226" s="1275" t="s">
        <v>524</v>
      </c>
      <c r="G226" s="1275">
        <v>3.6</v>
      </c>
      <c r="H226" s="1275">
        <f t="shared" si="10"/>
        <v>26.496000000000002</v>
      </c>
      <c r="I226" s="1275"/>
      <c r="J226" s="1275"/>
    </row>
    <row r="227" spans="1:10" ht="14.7">
      <c r="A227" s="1271"/>
      <c r="B227" s="1271" t="s">
        <v>2721</v>
      </c>
      <c r="C227" s="1271">
        <v>1</v>
      </c>
      <c r="D227" s="1271">
        <v>2</v>
      </c>
      <c r="E227" s="1275">
        <v>3.05</v>
      </c>
      <c r="F227" s="1275" t="s">
        <v>524</v>
      </c>
      <c r="G227" s="1275">
        <v>3.6</v>
      </c>
      <c r="H227" s="1275">
        <f t="shared" si="10"/>
        <v>21.96</v>
      </c>
      <c r="I227" s="1275"/>
      <c r="J227" s="1275"/>
    </row>
    <row r="228" spans="1:10" ht="14.7">
      <c r="A228" s="1271"/>
      <c r="B228" s="1271" t="s">
        <v>2796</v>
      </c>
      <c r="C228" s="1271">
        <v>1</v>
      </c>
      <c r="D228" s="1271">
        <v>2</v>
      </c>
      <c r="E228" s="1275">
        <v>2.99</v>
      </c>
      <c r="F228" s="1275" t="s">
        <v>524</v>
      </c>
      <c r="G228" s="1275">
        <v>3.6</v>
      </c>
      <c r="H228" s="1275">
        <f t="shared" si="10"/>
        <v>21.528000000000002</v>
      </c>
      <c r="I228" s="1275"/>
      <c r="J228" s="1275"/>
    </row>
    <row r="229" spans="1:10" ht="14.7">
      <c r="A229" s="1271"/>
      <c r="B229" s="1271" t="s">
        <v>2721</v>
      </c>
      <c r="C229" s="1271">
        <v>1</v>
      </c>
      <c r="D229" s="1271">
        <v>2</v>
      </c>
      <c r="E229" s="1275">
        <v>3.05</v>
      </c>
      <c r="F229" s="1275" t="s">
        <v>524</v>
      </c>
      <c r="G229" s="1275">
        <v>3.6</v>
      </c>
      <c r="H229" s="1275">
        <f t="shared" si="10"/>
        <v>21.96</v>
      </c>
      <c r="I229" s="1275"/>
      <c r="J229" s="1275"/>
    </row>
    <row r="230" spans="1:10" ht="14.7">
      <c r="A230" s="1271"/>
      <c r="B230" s="1271" t="s">
        <v>2797</v>
      </c>
      <c r="C230" s="1271">
        <v>1</v>
      </c>
      <c r="D230" s="1271">
        <v>2</v>
      </c>
      <c r="E230" s="1275">
        <v>3.68</v>
      </c>
      <c r="F230" s="1275" t="s">
        <v>524</v>
      </c>
      <c r="G230" s="1275">
        <v>3.6</v>
      </c>
      <c r="H230" s="1275">
        <f t="shared" si="10"/>
        <v>26.496000000000002</v>
      </c>
      <c r="I230" s="1275"/>
      <c r="J230" s="1275"/>
    </row>
    <row r="231" spans="1:10" ht="14.7">
      <c r="A231" s="1271"/>
      <c r="B231" s="1271" t="s">
        <v>2721</v>
      </c>
      <c r="C231" s="1271">
        <v>1</v>
      </c>
      <c r="D231" s="1271">
        <v>2</v>
      </c>
      <c r="E231" s="1275">
        <v>1.83</v>
      </c>
      <c r="F231" s="1275" t="s">
        <v>524</v>
      </c>
      <c r="G231" s="1275">
        <v>3.6</v>
      </c>
      <c r="H231" s="1275">
        <f t="shared" si="10"/>
        <v>13.176</v>
      </c>
      <c r="I231" s="1275"/>
      <c r="J231" s="1275"/>
    </row>
    <row r="232" spans="1:10" ht="14.7">
      <c r="A232" s="1271"/>
      <c r="B232" s="1271" t="s">
        <v>2798</v>
      </c>
      <c r="C232" s="1271">
        <v>1</v>
      </c>
      <c r="D232" s="1271">
        <v>2</v>
      </c>
      <c r="E232" s="1275">
        <v>2.61</v>
      </c>
      <c r="F232" s="1275" t="s">
        <v>524</v>
      </c>
      <c r="G232" s="1275">
        <v>3.6</v>
      </c>
      <c r="H232" s="1275">
        <f t="shared" si="10"/>
        <v>18.791999999999998</v>
      </c>
      <c r="I232" s="1275"/>
      <c r="J232" s="1275"/>
    </row>
    <row r="233" spans="1:10" ht="14.7">
      <c r="A233" s="1271"/>
      <c r="B233" s="1271" t="s">
        <v>2721</v>
      </c>
      <c r="C233" s="1271">
        <v>1</v>
      </c>
      <c r="D233" s="1271">
        <v>2</v>
      </c>
      <c r="E233" s="1275">
        <v>1.38</v>
      </c>
      <c r="F233" s="1275" t="s">
        <v>524</v>
      </c>
      <c r="G233" s="1275">
        <v>3.6</v>
      </c>
      <c r="H233" s="1275">
        <f t="shared" si="10"/>
        <v>9.9359999999999999</v>
      </c>
      <c r="I233" s="1275"/>
      <c r="J233" s="1275"/>
    </row>
    <row r="234" spans="1:10" ht="14.7">
      <c r="A234" s="1271"/>
      <c r="B234" s="1271" t="s">
        <v>2799</v>
      </c>
      <c r="C234" s="1271">
        <v>1</v>
      </c>
      <c r="D234" s="1271">
        <v>1</v>
      </c>
      <c r="E234" s="1275">
        <v>3.91</v>
      </c>
      <c r="F234" s="1275" t="s">
        <v>524</v>
      </c>
      <c r="G234" s="1275">
        <v>3.6</v>
      </c>
      <c r="H234" s="1275">
        <f t="shared" si="10"/>
        <v>14.076000000000001</v>
      </c>
      <c r="I234" s="1275"/>
      <c r="J234" s="1275"/>
    </row>
    <row r="235" spans="1:10" ht="14.7">
      <c r="A235" s="1271"/>
      <c r="B235" s="1274" t="s">
        <v>2800</v>
      </c>
      <c r="C235" s="1271"/>
      <c r="D235" s="1271"/>
      <c r="E235" s="1275"/>
      <c r="F235" s="1275"/>
      <c r="G235" s="1275"/>
      <c r="H235" s="1275"/>
      <c r="I235" s="1275"/>
      <c r="J235" s="1275"/>
    </row>
    <row r="236" spans="1:10" ht="14.7">
      <c r="A236" s="1271"/>
      <c r="B236" s="1271" t="s">
        <v>2755</v>
      </c>
      <c r="C236" s="1271">
        <v>2</v>
      </c>
      <c r="D236" s="1271">
        <v>-1</v>
      </c>
      <c r="E236" s="1275">
        <v>1.5</v>
      </c>
      <c r="F236" s="1275" t="s">
        <v>524</v>
      </c>
      <c r="G236" s="1275">
        <v>2.1</v>
      </c>
      <c r="H236" s="1275">
        <f t="shared" si="10"/>
        <v>-6.3000000000000007</v>
      </c>
      <c r="I236" s="1275"/>
      <c r="J236" s="1275"/>
    </row>
    <row r="237" spans="1:10" ht="14.7">
      <c r="A237" s="1271"/>
      <c r="B237" s="1271" t="s">
        <v>2755</v>
      </c>
      <c r="C237" s="1271">
        <v>2</v>
      </c>
      <c r="D237" s="1271">
        <v>-1</v>
      </c>
      <c r="E237" s="1275">
        <v>1.2</v>
      </c>
      <c r="F237" s="1275" t="s">
        <v>524</v>
      </c>
      <c r="G237" s="1275">
        <v>2.1</v>
      </c>
      <c r="H237" s="1275">
        <f t="shared" si="10"/>
        <v>-5.04</v>
      </c>
      <c r="I237" s="1275"/>
      <c r="J237" s="1275"/>
    </row>
    <row r="238" spans="1:10" ht="14.7">
      <c r="A238" s="1271"/>
      <c r="B238" s="1271" t="s">
        <v>2801</v>
      </c>
      <c r="C238" s="1271">
        <v>-1</v>
      </c>
      <c r="D238" s="1271">
        <v>2</v>
      </c>
      <c r="E238" s="1275">
        <v>0.9</v>
      </c>
      <c r="F238" s="1275" t="s">
        <v>524</v>
      </c>
      <c r="G238" s="1275">
        <v>2.1</v>
      </c>
      <c r="H238" s="1275">
        <f t="shared" si="10"/>
        <v>-3.7800000000000002</v>
      </c>
      <c r="I238" s="1275"/>
      <c r="J238" s="1275"/>
    </row>
    <row r="239" spans="1:10" ht="14.7">
      <c r="A239" s="1271"/>
      <c r="B239" s="1271" t="s">
        <v>2781</v>
      </c>
      <c r="C239" s="1271">
        <v>-1</v>
      </c>
      <c r="D239" s="1271">
        <v>2</v>
      </c>
      <c r="E239" s="1275">
        <v>0.75</v>
      </c>
      <c r="F239" s="1275" t="s">
        <v>524</v>
      </c>
      <c r="G239" s="1275">
        <v>2.1</v>
      </c>
      <c r="H239" s="1275">
        <f t="shared" si="10"/>
        <v>-3.1500000000000004</v>
      </c>
      <c r="I239" s="1275"/>
      <c r="J239" s="1275"/>
    </row>
    <row r="240" spans="1:10" ht="14.7">
      <c r="A240" s="1271"/>
      <c r="B240" s="1271" t="s">
        <v>2769</v>
      </c>
      <c r="C240" s="1271">
        <v>-1</v>
      </c>
      <c r="D240" s="1271">
        <v>1</v>
      </c>
      <c r="E240" s="1275">
        <v>1.05</v>
      </c>
      <c r="F240" s="1275" t="s">
        <v>524</v>
      </c>
      <c r="G240" s="1275">
        <v>1.2</v>
      </c>
      <c r="H240" s="1275">
        <f t="shared" si="10"/>
        <v>-1.26</v>
      </c>
      <c r="I240" s="1275"/>
      <c r="J240" s="1275"/>
    </row>
    <row r="241" spans="1:10" ht="14.7">
      <c r="A241" s="1271"/>
      <c r="B241" s="1271" t="s">
        <v>2769</v>
      </c>
      <c r="C241" s="1271">
        <v>-1</v>
      </c>
      <c r="D241" s="1271">
        <v>7</v>
      </c>
      <c r="E241" s="1275">
        <v>1.2</v>
      </c>
      <c r="F241" s="1275" t="s">
        <v>524</v>
      </c>
      <c r="G241" s="1275">
        <v>1.2</v>
      </c>
      <c r="H241" s="1275">
        <f t="shared" si="10"/>
        <v>-10.08</v>
      </c>
      <c r="I241" s="1275"/>
      <c r="J241" s="1275"/>
    </row>
    <row r="242" spans="1:10" ht="14.7">
      <c r="A242" s="1271"/>
      <c r="B242" s="1271" t="s">
        <v>2224</v>
      </c>
      <c r="C242" s="1271">
        <v>-1</v>
      </c>
      <c r="D242" s="1271">
        <v>1</v>
      </c>
      <c r="E242" s="1275">
        <v>0.6</v>
      </c>
      <c r="F242" s="1275" t="s">
        <v>524</v>
      </c>
      <c r="G242" s="1275">
        <v>0.45</v>
      </c>
      <c r="H242" s="1275">
        <f t="shared" si="10"/>
        <v>-0.27</v>
      </c>
      <c r="I242" s="1275"/>
      <c r="J242" s="1275"/>
    </row>
    <row r="243" spans="1:10" ht="14.7">
      <c r="A243" s="1271"/>
      <c r="B243" s="1271" t="s">
        <v>2802</v>
      </c>
      <c r="C243" s="1271">
        <v>1</v>
      </c>
      <c r="D243" s="1271">
        <v>1</v>
      </c>
      <c r="E243" s="1275">
        <v>0.96</v>
      </c>
      <c r="F243" s="1275" t="s">
        <v>524</v>
      </c>
      <c r="G243" s="1275">
        <v>3</v>
      </c>
      <c r="H243" s="1275">
        <f t="shared" si="10"/>
        <v>2.88</v>
      </c>
      <c r="I243" s="1275"/>
      <c r="J243" s="1275"/>
    </row>
    <row r="244" spans="1:10" ht="14.7">
      <c r="A244" s="1271"/>
      <c r="B244" s="1271"/>
      <c r="C244" s="1271"/>
      <c r="D244" s="1271"/>
      <c r="E244" s="1275"/>
      <c r="F244" s="1275"/>
      <c r="G244" s="1275" t="s">
        <v>2684</v>
      </c>
      <c r="H244" s="1275">
        <f>SUM(H222:H243)</f>
        <v>242.29799999999994</v>
      </c>
      <c r="I244" s="1275">
        <f>Datas!E681/10</f>
        <v>42.668500000000009</v>
      </c>
      <c r="J244" s="1275">
        <f>ROUND(I244*H244,0)</f>
        <v>10338</v>
      </c>
    </row>
    <row r="245" spans="1:10" ht="14.7">
      <c r="A245" s="1271"/>
      <c r="B245" s="1271"/>
      <c r="C245" s="1271"/>
      <c r="D245" s="1271"/>
      <c r="E245" s="1271"/>
      <c r="F245" s="1271"/>
      <c r="G245" s="1271"/>
      <c r="H245" s="1271" t="s">
        <v>2579</v>
      </c>
      <c r="I245" s="1271" t="s">
        <v>2579</v>
      </c>
      <c r="J245" s="1275"/>
    </row>
    <row r="246" spans="1:10" ht="105.75" customHeight="1">
      <c r="A246" s="1271">
        <v>13</v>
      </c>
      <c r="B246" s="2582" t="s">
        <v>2803</v>
      </c>
      <c r="C246" s="2583"/>
      <c r="D246" s="2583"/>
      <c r="E246" s="2583"/>
      <c r="F246" s="2583"/>
      <c r="G246" s="2583"/>
      <c r="H246" s="2583"/>
      <c r="I246" s="1273"/>
      <c r="J246" s="1276"/>
    </row>
    <row r="247" spans="1:10" ht="14.7">
      <c r="A247" s="1271"/>
      <c r="B247" s="1298" t="s">
        <v>2804</v>
      </c>
      <c r="C247" s="1273"/>
      <c r="D247" s="1273"/>
      <c r="E247" s="1273"/>
      <c r="F247" s="1273"/>
      <c r="G247" s="1273"/>
      <c r="H247" s="1273"/>
      <c r="I247" s="1273"/>
      <c r="J247" s="1276"/>
    </row>
    <row r="248" spans="1:10" ht="29.4">
      <c r="A248" s="1271"/>
      <c r="B248" s="1296" t="s">
        <v>2805</v>
      </c>
      <c r="C248" s="1271">
        <v>1</v>
      </c>
      <c r="D248" s="1271">
        <v>2</v>
      </c>
      <c r="E248" s="1275">
        <v>11.04</v>
      </c>
      <c r="F248" s="1275" t="s">
        <v>524</v>
      </c>
      <c r="G248" s="1275">
        <f>3.6+0.6</f>
        <v>4.2</v>
      </c>
      <c r="H248" s="1275">
        <f>PRODUCT(C248:G248)</f>
        <v>92.73599999999999</v>
      </c>
      <c r="I248" s="1275"/>
      <c r="J248" s="1275"/>
    </row>
    <row r="249" spans="1:10" ht="14.7">
      <c r="A249" s="1271"/>
      <c r="B249" s="1271" t="s">
        <v>2721</v>
      </c>
      <c r="C249" s="1271">
        <v>1</v>
      </c>
      <c r="D249" s="1271">
        <v>2</v>
      </c>
      <c r="E249" s="1275">
        <v>7.2249999999999996</v>
      </c>
      <c r="F249" s="1275" t="s">
        <v>524</v>
      </c>
      <c r="G249" s="1275">
        <f>+G248</f>
        <v>4.2</v>
      </c>
      <c r="H249" s="1275">
        <f>PRODUCT(C249:G249)</f>
        <v>60.69</v>
      </c>
      <c r="I249" s="1275"/>
      <c r="J249" s="1275"/>
    </row>
    <row r="250" spans="1:10" ht="14.7">
      <c r="A250" s="1271"/>
      <c r="B250" s="1271" t="s">
        <v>2806</v>
      </c>
      <c r="C250" s="1271">
        <v>2</v>
      </c>
      <c r="D250" s="1271">
        <v>10</v>
      </c>
      <c r="E250" s="1275">
        <v>1.4</v>
      </c>
      <c r="F250" s="1275">
        <v>0.6</v>
      </c>
      <c r="G250" s="1275" t="s">
        <v>524</v>
      </c>
      <c r="H250" s="1275">
        <f>PRODUCT(C250:G250)</f>
        <v>16.8</v>
      </c>
      <c r="I250" s="1275"/>
      <c r="J250" s="1275"/>
    </row>
    <row r="251" spans="1:10" ht="14.7">
      <c r="A251" s="1271"/>
      <c r="B251" s="1271" t="s">
        <v>1562</v>
      </c>
      <c r="C251" s="1271">
        <v>2</v>
      </c>
      <c r="D251" s="1271">
        <v>10</v>
      </c>
      <c r="E251" s="1275">
        <v>0.6</v>
      </c>
      <c r="F251" s="1275" t="s">
        <v>524</v>
      </c>
      <c r="G251" s="1275">
        <v>7.4999999999999997E-2</v>
      </c>
      <c r="H251" s="1275">
        <f>PRODUCT(C251:G251)</f>
        <v>0.89999999999999991</v>
      </c>
      <c r="I251" s="1275"/>
      <c r="J251" s="1275"/>
    </row>
    <row r="252" spans="1:10" ht="14.7">
      <c r="A252" s="1271"/>
      <c r="B252" s="1274" t="s">
        <v>2768</v>
      </c>
      <c r="C252" s="1271"/>
      <c r="D252" s="1271"/>
      <c r="E252" s="1275"/>
      <c r="F252" s="1275"/>
      <c r="G252" s="1275"/>
      <c r="H252" s="1275"/>
      <c r="I252" s="1275"/>
      <c r="J252" s="1275"/>
    </row>
    <row r="253" spans="1:10" ht="14.7">
      <c r="A253" s="1271"/>
      <c r="B253" s="1271" t="s">
        <v>2807</v>
      </c>
      <c r="C253" s="1271">
        <v>-1</v>
      </c>
      <c r="D253" s="1271">
        <v>1</v>
      </c>
      <c r="E253" s="1275">
        <v>1.05</v>
      </c>
      <c r="F253" s="1275" t="s">
        <v>524</v>
      </c>
      <c r="G253" s="1275">
        <v>1.2</v>
      </c>
      <c r="H253" s="1275">
        <f t="shared" ref="H253:H259" si="11">PRODUCT(C253:G253)</f>
        <v>-1.26</v>
      </c>
      <c r="I253" s="1275"/>
      <c r="J253" s="1275"/>
    </row>
    <row r="254" spans="1:10" ht="14.7">
      <c r="A254" s="1271"/>
      <c r="B254" s="1271" t="s">
        <v>2807</v>
      </c>
      <c r="C254" s="1271">
        <v>-1</v>
      </c>
      <c r="D254" s="1271">
        <v>7</v>
      </c>
      <c r="E254" s="1275">
        <v>1.2</v>
      </c>
      <c r="F254" s="1275" t="s">
        <v>524</v>
      </c>
      <c r="G254" s="1275">
        <v>1.2</v>
      </c>
      <c r="H254" s="1275">
        <f t="shared" si="11"/>
        <v>-10.08</v>
      </c>
      <c r="I254" s="1275"/>
      <c r="J254" s="1275"/>
    </row>
    <row r="255" spans="1:10" ht="14.7">
      <c r="A255" s="1271"/>
      <c r="B255" s="1271" t="s">
        <v>2755</v>
      </c>
      <c r="C255" s="1271">
        <v>-1</v>
      </c>
      <c r="D255" s="1271">
        <v>1</v>
      </c>
      <c r="E255" s="1275">
        <v>1.2</v>
      </c>
      <c r="F255" s="1275" t="s">
        <v>524</v>
      </c>
      <c r="G255" s="1275">
        <v>2.1</v>
      </c>
      <c r="H255" s="1275">
        <f t="shared" si="11"/>
        <v>-2.52</v>
      </c>
      <c r="I255" s="1275"/>
      <c r="J255" s="1275"/>
    </row>
    <row r="256" spans="1:10" ht="14.7">
      <c r="A256" s="1271"/>
      <c r="B256" s="1271" t="s">
        <v>2808</v>
      </c>
      <c r="C256" s="1271">
        <v>-1</v>
      </c>
      <c r="D256" s="1271">
        <v>2</v>
      </c>
      <c r="E256" s="1275">
        <v>0.6</v>
      </c>
      <c r="F256" s="1275" t="s">
        <v>524</v>
      </c>
      <c r="G256" s="1275">
        <v>0.45</v>
      </c>
      <c r="H256" s="1275">
        <f t="shared" si="11"/>
        <v>-0.54</v>
      </c>
      <c r="I256" s="1275"/>
      <c r="J256" s="1275"/>
    </row>
    <row r="257" spans="1:10" ht="14.7">
      <c r="A257" s="1271"/>
      <c r="B257" s="1271" t="s">
        <v>2809</v>
      </c>
      <c r="C257" s="1271">
        <v>2</v>
      </c>
      <c r="D257" s="1271">
        <v>2</v>
      </c>
      <c r="E257" s="1275">
        <v>1.54</v>
      </c>
      <c r="F257" s="1275" t="s">
        <v>524</v>
      </c>
      <c r="G257" s="1275">
        <v>2.1</v>
      </c>
      <c r="H257" s="1275">
        <f t="shared" si="11"/>
        <v>12.936000000000002</v>
      </c>
      <c r="I257" s="1275"/>
      <c r="J257" s="1275"/>
    </row>
    <row r="258" spans="1:10" ht="14.7">
      <c r="A258" s="1271"/>
      <c r="B258" s="1271" t="s">
        <v>2810</v>
      </c>
      <c r="C258" s="1271">
        <v>0.5</v>
      </c>
      <c r="D258" s="1271">
        <v>2</v>
      </c>
      <c r="E258" s="1275">
        <v>4.26</v>
      </c>
      <c r="F258" s="1275" t="s">
        <v>524</v>
      </c>
      <c r="G258" s="1275">
        <v>1.2</v>
      </c>
      <c r="H258" s="1275">
        <f t="shared" si="11"/>
        <v>5.1119999999999992</v>
      </c>
      <c r="I258" s="1275"/>
      <c r="J258" s="1275"/>
    </row>
    <row r="259" spans="1:10" ht="14.7">
      <c r="A259" s="1271"/>
      <c r="B259" s="1271" t="s">
        <v>2766</v>
      </c>
      <c r="C259" s="1271">
        <v>1</v>
      </c>
      <c r="D259" s="1271">
        <v>2</v>
      </c>
      <c r="E259" s="1275">
        <v>10.97</v>
      </c>
      <c r="F259" s="1275" t="s">
        <v>524</v>
      </c>
      <c r="G259" s="1275">
        <v>1.2</v>
      </c>
      <c r="H259" s="1275">
        <f t="shared" si="11"/>
        <v>26.327999999999999</v>
      </c>
      <c r="I259" s="1275"/>
      <c r="J259" s="1275"/>
    </row>
    <row r="260" spans="1:10" ht="14.7">
      <c r="A260" s="1271"/>
      <c r="B260" s="1271"/>
      <c r="C260" s="1271"/>
      <c r="D260" s="1271"/>
      <c r="E260" s="1275"/>
      <c r="F260" s="1275"/>
      <c r="G260" s="1275" t="s">
        <v>2684</v>
      </c>
      <c r="H260" s="1275">
        <f>SUM(H248:H259)</f>
        <v>201.102</v>
      </c>
      <c r="I260" s="1275">
        <f>Datas!E706/10</f>
        <v>43.976199999999999</v>
      </c>
      <c r="J260" s="1275">
        <f>ROUND(I260*H260,0)</f>
        <v>8844</v>
      </c>
    </row>
    <row r="261" spans="1:10" ht="14.7">
      <c r="A261" s="1271"/>
      <c r="B261" s="1271"/>
      <c r="C261" s="1271"/>
      <c r="D261" s="1271"/>
      <c r="E261" s="1271"/>
      <c r="F261" s="1271"/>
      <c r="G261" s="1271"/>
      <c r="H261" s="1271" t="s">
        <v>2579</v>
      </c>
      <c r="I261" s="1271" t="s">
        <v>2579</v>
      </c>
      <c r="J261" s="1275"/>
    </row>
    <row r="262" spans="1:10" ht="92.25" customHeight="1">
      <c r="A262" s="1271">
        <v>14</v>
      </c>
      <c r="B262" s="2582" t="str">
        <f>Datas!C997</f>
        <v>Painting to new walls with 2 coats of acrylic emulsion paint of approved brand and shade after thoroughly brushing the surface to remove all dirt and remains of loose powdered materials, including cost and conveyance of all materials to work site and all operational, incidental, labour charges etc. complete for finished item of work as per SS 911 for external walls including one Prime coat</v>
      </c>
      <c r="C262" s="2583"/>
      <c r="D262" s="2583"/>
      <c r="E262" s="2583"/>
      <c r="F262" s="2583"/>
      <c r="G262" s="2583"/>
      <c r="H262" s="2583"/>
      <c r="I262" s="1273"/>
      <c r="J262" s="1276"/>
    </row>
    <row r="263" spans="1:10" ht="14.7">
      <c r="A263" s="1271"/>
      <c r="B263" s="1298" t="s">
        <v>2811</v>
      </c>
      <c r="C263" s="1273"/>
      <c r="D263" s="1273"/>
      <c r="E263" s="1273"/>
      <c r="F263" s="1273"/>
      <c r="G263" s="1273"/>
      <c r="H263" s="1273"/>
      <c r="I263" s="1273"/>
      <c r="J263" s="1276"/>
    </row>
    <row r="264" spans="1:10" ht="14.7">
      <c r="A264" s="1271"/>
      <c r="B264" s="2596" t="s">
        <v>2812</v>
      </c>
      <c r="C264" s="2597"/>
      <c r="D264" s="2597"/>
      <c r="E264" s="2597"/>
      <c r="F264" s="2598"/>
      <c r="G264" s="1275"/>
      <c r="H264" s="1275">
        <f>H260</f>
        <v>201.102</v>
      </c>
      <c r="I264" s="1275"/>
      <c r="J264" s="1275"/>
    </row>
    <row r="265" spans="1:10" ht="14.7">
      <c r="A265" s="1271"/>
      <c r="B265" s="1271"/>
      <c r="C265" s="1271"/>
      <c r="D265" s="1271"/>
      <c r="E265" s="1275"/>
      <c r="F265" s="1275"/>
      <c r="G265" s="1275" t="s">
        <v>2684</v>
      </c>
      <c r="H265" s="1275">
        <f>SUM(H264:H264)</f>
        <v>201.102</v>
      </c>
      <c r="I265" s="1275">
        <f>Datas!G1010/10</f>
        <v>23.494400000000002</v>
      </c>
      <c r="J265" s="1275">
        <f>ROUND(I265*H265,0)</f>
        <v>4725</v>
      </c>
    </row>
    <row r="266" spans="1:10" ht="14.7">
      <c r="A266" s="1271"/>
      <c r="B266" s="1271"/>
      <c r="C266" s="1271"/>
      <c r="D266" s="1271"/>
      <c r="E266" s="1275"/>
      <c r="F266" s="1275"/>
      <c r="G266" s="1275"/>
      <c r="H266" s="1271" t="s">
        <v>2579</v>
      </c>
      <c r="I266" s="1271" t="s">
        <v>2579</v>
      </c>
      <c r="J266" s="1275"/>
    </row>
    <row r="267" spans="1:10" ht="78" customHeight="1">
      <c r="A267" s="1271">
        <v>15</v>
      </c>
      <c r="B267" s="2582" t="str">
        <f>Datas!C984</f>
        <v>Painting to new walls with 2 coats of acrylic emulsion paint of approved brand and shade after thoroughly brushing the surface to remove all dirt and remains of loose powdered materials, including cost and conveyance of all materials to work site and all operational, incidental, labour charges etc. complete for finished item of work as per SS 911 for internal walls  including one Prime coat</v>
      </c>
      <c r="C267" s="2583"/>
      <c r="D267" s="2583"/>
      <c r="E267" s="2583"/>
      <c r="F267" s="2583"/>
      <c r="G267" s="2583"/>
      <c r="H267" s="2583"/>
      <c r="I267" s="1273"/>
      <c r="J267" s="1276"/>
    </row>
    <row r="268" spans="1:10" ht="14.7">
      <c r="A268" s="1271"/>
      <c r="B268" s="1298" t="s">
        <v>2813</v>
      </c>
      <c r="C268" s="1273"/>
      <c r="D268" s="1273"/>
      <c r="E268" s="1273"/>
      <c r="F268" s="1273"/>
      <c r="G268" s="1273"/>
      <c r="H268" s="1273"/>
      <c r="I268" s="1273"/>
      <c r="J268" s="1276"/>
    </row>
    <row r="269" spans="1:10" ht="14.7">
      <c r="A269" s="1271"/>
      <c r="B269" s="2599" t="s">
        <v>2814</v>
      </c>
      <c r="C269" s="2600"/>
      <c r="D269" s="2600"/>
      <c r="E269" s="2600"/>
      <c r="F269" s="2601"/>
      <c r="G269" s="1275"/>
      <c r="H269" s="1293">
        <f>H218+H244</f>
        <v>335.13034999999996</v>
      </c>
      <c r="I269" s="1293"/>
      <c r="J269" s="1293"/>
    </row>
    <row r="270" spans="1:10" ht="14.7">
      <c r="A270" s="1271"/>
      <c r="B270" s="1296"/>
      <c r="C270" s="1296"/>
      <c r="D270" s="1296"/>
      <c r="E270" s="1293"/>
      <c r="F270" s="1293"/>
      <c r="G270" s="1293" t="s">
        <v>2684</v>
      </c>
      <c r="H270" s="1293">
        <f>SUM(H269:H269)</f>
        <v>335.13034999999996</v>
      </c>
      <c r="I270" s="1293">
        <f>Datas!G996/10</f>
        <v>17.776400000000002</v>
      </c>
      <c r="J270" s="1275">
        <f>ROUND(I270*H270,0)</f>
        <v>5957</v>
      </c>
    </row>
    <row r="271" spans="1:10" ht="14.7">
      <c r="A271" s="1271"/>
      <c r="B271" s="1296"/>
      <c r="C271" s="1296"/>
      <c r="D271" s="1296"/>
      <c r="E271" s="1296"/>
      <c r="F271" s="1296"/>
      <c r="G271" s="1296"/>
      <c r="H271" s="1296" t="s">
        <v>2579</v>
      </c>
      <c r="I271" s="1296" t="s">
        <v>2815</v>
      </c>
      <c r="J271" s="1293"/>
    </row>
    <row r="272" spans="1:10" ht="115.5" customHeight="1">
      <c r="A272" s="1271">
        <v>16</v>
      </c>
      <c r="B272" s="2580" t="s">
        <v>2686</v>
      </c>
      <c r="C272" s="2581"/>
      <c r="D272" s="2581"/>
      <c r="E272" s="2581"/>
      <c r="F272" s="2581"/>
      <c r="G272" s="2581"/>
      <c r="H272" s="2586"/>
      <c r="I272" s="1273"/>
      <c r="J272" s="1276"/>
    </row>
    <row r="273" spans="1:10" ht="14.7">
      <c r="A273" s="1271"/>
      <c r="B273" s="1273" t="s">
        <v>2816</v>
      </c>
      <c r="C273" s="1273"/>
      <c r="D273" s="1273"/>
      <c r="E273" s="1273"/>
      <c r="F273" s="1273"/>
      <c r="G273" s="1273"/>
      <c r="H273" s="1273"/>
      <c r="I273" s="1273"/>
      <c r="J273" s="1276"/>
    </row>
    <row r="274" spans="1:10" ht="14.7">
      <c r="A274" s="1271"/>
      <c r="B274" s="1296" t="s">
        <v>2817</v>
      </c>
      <c r="C274" s="1296">
        <v>1</v>
      </c>
      <c r="D274" s="1296">
        <v>12</v>
      </c>
      <c r="E274" s="1293">
        <v>0.3</v>
      </c>
      <c r="F274" s="1293">
        <v>0.38</v>
      </c>
      <c r="G274" s="1293">
        <v>0.6</v>
      </c>
      <c r="H274" s="1293">
        <f>PRODUCT(C274:G274)</f>
        <v>0.82079999999999986</v>
      </c>
      <c r="I274" s="1293"/>
      <c r="J274" s="1293"/>
    </row>
    <row r="275" spans="1:10" ht="14.7">
      <c r="A275" s="1271"/>
      <c r="B275" s="1296"/>
      <c r="C275" s="1296"/>
      <c r="D275" s="1296"/>
      <c r="E275" s="1293"/>
      <c r="F275" s="1293"/>
      <c r="G275" s="1293" t="s">
        <v>2684</v>
      </c>
      <c r="H275" s="1293">
        <f>SUM(H274:H274)</f>
        <v>0.82079999999999986</v>
      </c>
      <c r="I275" s="1293">
        <f>Datas!G157</f>
        <v>4371.4635670906127</v>
      </c>
      <c r="J275" s="1293">
        <f>ROUND(I275*H275,0)</f>
        <v>3588</v>
      </c>
    </row>
    <row r="276" spans="1:10" ht="14.7">
      <c r="A276" s="1271"/>
      <c r="B276" s="1296"/>
      <c r="C276" s="1296"/>
      <c r="D276" s="1296"/>
      <c r="E276" s="1296"/>
      <c r="F276" s="1296"/>
      <c r="G276" s="1296"/>
      <c r="H276" s="1296" t="s">
        <v>2578</v>
      </c>
      <c r="I276" s="1296" t="s">
        <v>2578</v>
      </c>
      <c r="J276" s="1293"/>
    </row>
    <row r="277" spans="1:10" ht="106.5" customHeight="1">
      <c r="A277" s="1271">
        <v>17</v>
      </c>
      <c r="B277" s="2582" t="str">
        <f>Datas!C792</f>
        <v xml:space="preserve">Providing dadooing to walls with glazed full body ceramic tiles of any size and thickness between 5 to 7mm 1st quality conforming to IS: 13711, IS: 13712, IS: 13630(Parts 1 to 15) of any colour and finish in all shades and designs with borders as approved by Engineer-in-Charge  set over base coat of CM(1:5) 12 mm thick using screened sand with cement slurry of honey like consistency spread at the rate of 3.30 kgs per sqm and jointing with white cement paste mixed with pigment of matching shade to full depth, including cost of all materials like tiles, cement, sand and water etc., and overheads &amp; contractors profit complete for finished item of work.                  </v>
      </c>
      <c r="C277" s="2583"/>
      <c r="D277" s="2583"/>
      <c r="E277" s="2583"/>
      <c r="F277" s="2583"/>
      <c r="G277" s="2583"/>
      <c r="H277" s="2583"/>
      <c r="I277" s="1273"/>
      <c r="J277" s="1276"/>
    </row>
    <row r="278" spans="1:10" ht="14.7">
      <c r="A278" s="1271"/>
      <c r="B278" s="2582" t="s">
        <v>2818</v>
      </c>
      <c r="C278" s="2583"/>
      <c r="D278" s="2583"/>
      <c r="E278" s="2583"/>
      <c r="F278" s="2583"/>
      <c r="G278" s="2583"/>
      <c r="H278" s="2583"/>
      <c r="I278" s="1273"/>
      <c r="J278" s="1276"/>
    </row>
    <row r="279" spans="1:10" ht="14.7">
      <c r="A279" s="1271"/>
      <c r="B279" s="1296" t="s">
        <v>2694</v>
      </c>
      <c r="C279" s="1296">
        <v>1</v>
      </c>
      <c r="D279" s="1296">
        <v>1</v>
      </c>
      <c r="E279" s="1293">
        <f>2.605*2+1.38*2-0.75</f>
        <v>7.22</v>
      </c>
      <c r="F279" s="1293" t="s">
        <v>524</v>
      </c>
      <c r="G279" s="1293">
        <v>1.8</v>
      </c>
      <c r="H279" s="1293">
        <f>PRODUCT(C279:G279)</f>
        <v>12.996</v>
      </c>
      <c r="I279" s="1293"/>
      <c r="J279" s="1293"/>
    </row>
    <row r="280" spans="1:10" ht="14.7">
      <c r="A280" s="1271"/>
      <c r="B280" s="1296"/>
      <c r="C280" s="1296"/>
      <c r="D280" s="1296"/>
      <c r="E280" s="1293"/>
      <c r="F280" s="1293"/>
      <c r="G280" s="1293" t="s">
        <v>2684</v>
      </c>
      <c r="H280" s="1293">
        <f>SUM(H279:H279)</f>
        <v>12.996</v>
      </c>
      <c r="I280" s="1293">
        <f>Datas!G808/10</f>
        <v>63.854000000000006</v>
      </c>
      <c r="J280" s="1293">
        <f>ROUND(I280*H280,0)</f>
        <v>830</v>
      </c>
    </row>
    <row r="281" spans="1:10" ht="14.7">
      <c r="A281" s="1271"/>
      <c r="B281" s="1296"/>
      <c r="C281" s="1296"/>
      <c r="D281" s="1296"/>
      <c r="E281" s="1296"/>
      <c r="F281" s="1296"/>
      <c r="G281" s="1296"/>
      <c r="H281" s="1296" t="s">
        <v>987</v>
      </c>
      <c r="I281" s="1296" t="s">
        <v>2815</v>
      </c>
      <c r="J281" s="1293"/>
    </row>
    <row r="282" spans="1:10" ht="108.75" customHeight="1">
      <c r="A282" s="1271">
        <v>18</v>
      </c>
      <c r="B282" s="2602" t="str">
        <f>Datas!C773</f>
        <v>Flooring with ceramic tiles of 7.30 mm thick and  set over base coat of cement mortar (1:8), 12 mm thick over CC bed already laid or RCC roof slab, including neat cement slurry of honey like consistency spread @ 3.3.kgs per sqm &amp; jointed neatly with white cement paste to full depth mixed with pigment of matching shade, including cost of all materials like cement, sand water and tiles etc., complete, including etc., complete for finished item of work, but excluding the cost of conveyance of all materials.</v>
      </c>
      <c r="C282" s="2603"/>
      <c r="D282" s="2603"/>
      <c r="E282" s="2603"/>
      <c r="F282" s="2603"/>
      <c r="G282" s="2603"/>
      <c r="H282" s="2603"/>
      <c r="I282" s="1273"/>
      <c r="J282" s="1276"/>
    </row>
    <row r="283" spans="1:10" ht="14.7">
      <c r="A283" s="1271"/>
      <c r="B283" s="1273" t="s">
        <v>2819</v>
      </c>
      <c r="C283" s="1273"/>
      <c r="D283" s="1273"/>
      <c r="E283" s="1273"/>
      <c r="F283" s="1273"/>
      <c r="G283" s="1273"/>
      <c r="H283" s="1273"/>
      <c r="I283" s="1273"/>
      <c r="J283" s="1276"/>
    </row>
    <row r="284" spans="1:10" ht="14.7">
      <c r="A284" s="1271"/>
      <c r="B284" s="1296" t="s">
        <v>2694</v>
      </c>
      <c r="C284" s="1296">
        <v>1</v>
      </c>
      <c r="D284" s="1296">
        <v>1</v>
      </c>
      <c r="E284" s="1293">
        <v>2.61</v>
      </c>
      <c r="F284" s="1293">
        <v>1.38</v>
      </c>
      <c r="G284" s="1293" t="s">
        <v>524</v>
      </c>
      <c r="H284" s="1293">
        <f>PRODUCT(C284:G284)</f>
        <v>3.6017999999999994</v>
      </c>
      <c r="I284" s="1293"/>
      <c r="J284" s="1293"/>
    </row>
    <row r="285" spans="1:10" ht="14.7">
      <c r="A285" s="1271"/>
      <c r="B285" s="1296" t="s">
        <v>2820</v>
      </c>
      <c r="C285" s="1296">
        <v>1</v>
      </c>
      <c r="D285" s="1296">
        <v>1</v>
      </c>
      <c r="E285" s="1293">
        <v>0.75</v>
      </c>
      <c r="F285" s="1293">
        <v>0.15</v>
      </c>
      <c r="G285" s="1293" t="s">
        <v>524</v>
      </c>
      <c r="H285" s="1293">
        <f>PRODUCT(C285:G285)</f>
        <v>0.11249999999999999</v>
      </c>
      <c r="I285" s="1293"/>
      <c r="J285" s="1293"/>
    </row>
    <row r="286" spans="1:10" ht="14.7">
      <c r="A286" s="1271"/>
      <c r="B286" s="1296" t="s">
        <v>2821</v>
      </c>
      <c r="C286" s="1296">
        <v>1</v>
      </c>
      <c r="D286" s="1296">
        <v>1</v>
      </c>
      <c r="E286" s="1293">
        <v>1.54</v>
      </c>
      <c r="F286" s="1293">
        <v>4.2</v>
      </c>
      <c r="G286" s="1293" t="s">
        <v>524</v>
      </c>
      <c r="H286" s="1293">
        <f>PRODUCT(C286:G286)</f>
        <v>6.4680000000000009</v>
      </c>
      <c r="I286" s="1293"/>
      <c r="J286" s="1293"/>
    </row>
    <row r="287" spans="1:10" ht="14.7">
      <c r="A287" s="1271"/>
      <c r="B287" s="1296" t="s">
        <v>2762</v>
      </c>
      <c r="C287" s="1296">
        <v>1</v>
      </c>
      <c r="D287" s="1296">
        <v>3</v>
      </c>
      <c r="E287" s="1293">
        <v>4.2</v>
      </c>
      <c r="F287" s="1293">
        <v>0.3</v>
      </c>
      <c r="G287" s="1293" t="s">
        <v>524</v>
      </c>
      <c r="H287" s="1293">
        <f>PRODUCT(C287:G287)</f>
        <v>3.7800000000000002</v>
      </c>
      <c r="I287" s="1293"/>
      <c r="J287" s="1293"/>
    </row>
    <row r="288" spans="1:10" ht="14.7">
      <c r="A288" s="1271"/>
      <c r="B288" s="1296"/>
      <c r="C288" s="1296">
        <v>1</v>
      </c>
      <c r="D288" s="1296">
        <v>4</v>
      </c>
      <c r="E288" s="1293">
        <v>4.2</v>
      </c>
      <c r="F288" s="1293">
        <v>0.15</v>
      </c>
      <c r="G288" s="1293"/>
      <c r="H288" s="1293">
        <f>PRODUCT(C288:G288)</f>
        <v>2.52</v>
      </c>
      <c r="I288" s="1293"/>
      <c r="J288" s="1293"/>
    </row>
    <row r="289" spans="1:10" ht="14.7">
      <c r="A289" s="1271"/>
      <c r="B289" s="1296"/>
      <c r="C289" s="1296"/>
      <c r="D289" s="1296"/>
      <c r="E289" s="1293"/>
      <c r="F289" s="1293"/>
      <c r="G289" s="1293" t="s">
        <v>2684</v>
      </c>
      <c r="H289" s="1293">
        <f>SUM(H284:H288)</f>
        <v>16.482299999999999</v>
      </c>
      <c r="I289" s="1293">
        <f>Datas!G791/10</f>
        <v>80.769497999999999</v>
      </c>
      <c r="J289" s="1293">
        <f>ROUND(I289*H289,0)</f>
        <v>1331</v>
      </c>
    </row>
    <row r="290" spans="1:10" ht="14.7">
      <c r="A290" s="1271"/>
      <c r="B290" s="1296"/>
      <c r="C290" s="1296"/>
      <c r="D290" s="1296"/>
      <c r="E290" s="1296"/>
      <c r="F290" s="1296"/>
      <c r="G290" s="1296"/>
      <c r="H290" s="1296" t="s">
        <v>987</v>
      </c>
      <c r="I290" s="1296" t="s">
        <v>2815</v>
      </c>
      <c r="J290" s="1293"/>
    </row>
    <row r="291" spans="1:10" ht="171" customHeight="1">
      <c r="A291" s="1271">
        <v>19</v>
      </c>
      <c r="B291" s="2602" t="str">
        <f>'data- Doors window- Teak'!C209</f>
        <v xml:space="preserve">Supply and fixing of Medium Teak Wood Door frame double shutter  fully panelled door of size 1.20 x 2.10 M with frame made of well seasoned MediumTeak  Wood scantlings of size 100 x 75 mm and shutter made of side rails 100mm X 32mm, top rail 100 mm 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including side windows of 0.45m wide with full height on both sides                                                                                                </v>
      </c>
      <c r="C291" s="2603"/>
      <c r="D291" s="2603"/>
      <c r="E291" s="2603"/>
      <c r="F291" s="2603"/>
      <c r="G291" s="2603"/>
      <c r="H291" s="2603"/>
      <c r="I291" s="1273"/>
      <c r="J291" s="1276"/>
    </row>
    <row r="292" spans="1:10" ht="14.7">
      <c r="A292" s="1271"/>
      <c r="B292" s="1296" t="s">
        <v>2822</v>
      </c>
      <c r="C292" s="1296">
        <v>1</v>
      </c>
      <c r="D292" s="1296">
        <v>1</v>
      </c>
      <c r="E292" s="1296" t="s">
        <v>524</v>
      </c>
      <c r="F292" s="1296" t="s">
        <v>524</v>
      </c>
      <c r="G292" s="1296" t="s">
        <v>524</v>
      </c>
      <c r="H292" s="1296">
        <f>PRODUCT(C292:G292)</f>
        <v>1</v>
      </c>
      <c r="I292" s="1296"/>
      <c r="J292" s="1293"/>
    </row>
    <row r="293" spans="1:10" ht="14.7">
      <c r="A293" s="1271"/>
      <c r="B293" s="1296"/>
      <c r="C293" s="1296"/>
      <c r="D293" s="1296"/>
      <c r="E293" s="1296"/>
      <c r="F293" s="1296"/>
      <c r="G293" s="1296" t="s">
        <v>2684</v>
      </c>
      <c r="H293" s="1296">
        <f>H292</f>
        <v>1</v>
      </c>
      <c r="I293" s="1299">
        <f>'data- Doors window- Teak'!J236</f>
        <v>38298.298047999997</v>
      </c>
      <c r="J293" s="1293">
        <f>ROUND(I293*H293,0)</f>
        <v>38298</v>
      </c>
    </row>
    <row r="294" spans="1:10" ht="14.7">
      <c r="A294" s="1271"/>
      <c r="B294" s="1296"/>
      <c r="C294" s="1296"/>
      <c r="D294" s="1296"/>
      <c r="E294" s="1296"/>
      <c r="F294" s="1296"/>
      <c r="G294" s="1296"/>
      <c r="H294" s="1296" t="s">
        <v>2823</v>
      </c>
      <c r="I294" s="1296" t="s">
        <v>2824</v>
      </c>
      <c r="J294" s="1293"/>
    </row>
    <row r="295" spans="1:10" ht="166.5" customHeight="1">
      <c r="A295" s="1271">
        <v>20</v>
      </c>
      <c r="B295" s="2594" t="str">
        <f>' data-Doors window- Sal Wood '!C62</f>
        <v xml:space="preserve">Supply and fixing of Salwood Door double shutter  fully panelled door of size 0.90 x 2.1mt with frame made of well seasoned Sal Wood scantlings of size 75 x 100 mm and shutter made of side rails 100mm X 32mm, top rail 100 mmX32 mm, bottom rail 100mmX 32 mm and intermediate rails  of 100mm x 32 mm and planks s -  5 no's  of 25mm thick  as per approved design with fixtures of  6 nos of 9" ' z" holdfasts, 300 mm long MS Iron coted aldrop-1 no, 125mm long MS iron    butt hinges 6 No's, Door stoppers-2 no, 150mm long MS coated  Tower bolts  3- no's  MS iron coated  fancy  handles 150 mm -2nos    with necessary screws complete including cost and conveyance of all materials and labour charges etc. complete as per specifications  (APSS NO.1001 &amp; 1002)                                                                                                 </v>
      </c>
      <c r="C295" s="2595"/>
      <c r="D295" s="2595"/>
      <c r="E295" s="2595"/>
      <c r="F295" s="2595"/>
      <c r="G295" s="2595"/>
      <c r="H295" s="2595"/>
      <c r="I295" s="1273"/>
      <c r="J295" s="1276"/>
    </row>
    <row r="296" spans="1:10" ht="14.7">
      <c r="A296" s="1271"/>
      <c r="B296" s="1296" t="s">
        <v>2825</v>
      </c>
      <c r="C296" s="1296">
        <v>1</v>
      </c>
      <c r="D296" s="1296">
        <v>4</v>
      </c>
      <c r="E296" s="1296" t="s">
        <v>524</v>
      </c>
      <c r="F296" s="1296" t="s">
        <v>524</v>
      </c>
      <c r="G296" s="1296" t="s">
        <v>524</v>
      </c>
      <c r="H296" s="1293">
        <f>PRODUCT(C296:G296)</f>
        <v>4</v>
      </c>
      <c r="I296" s="1293"/>
      <c r="J296" s="1293"/>
    </row>
    <row r="297" spans="1:10" ht="14.7">
      <c r="A297" s="1271"/>
      <c r="B297" s="1296"/>
      <c r="C297" s="1296"/>
      <c r="D297" s="1296"/>
      <c r="E297" s="1296"/>
      <c r="F297" s="1296"/>
      <c r="G297" s="1296" t="s">
        <v>2684</v>
      </c>
      <c r="H297" s="1293">
        <f>H296</f>
        <v>4</v>
      </c>
      <c r="I297" s="1299">
        <f>' data-Doors window- Sal Wood '!J85</f>
        <v>12556.041137249998</v>
      </c>
      <c r="J297" s="1293">
        <f>ROUND(I297*H297,0)</f>
        <v>50224</v>
      </c>
    </row>
    <row r="298" spans="1:10" ht="14.7">
      <c r="A298" s="1271"/>
      <c r="B298" s="1296"/>
      <c r="C298" s="1296"/>
      <c r="D298" s="1296"/>
      <c r="E298" s="1296"/>
      <c r="F298" s="1296"/>
      <c r="G298" s="1296"/>
      <c r="H298" s="1296" t="s">
        <v>2823</v>
      </c>
      <c r="I298" s="1296" t="s">
        <v>2824</v>
      </c>
      <c r="J298" s="1293"/>
    </row>
    <row r="299" spans="1:10" ht="214.5" customHeight="1">
      <c r="A299" s="1271">
        <v>21</v>
      </c>
      <c r="B299" s="2604" t="s">
        <v>2826</v>
      </c>
      <c r="C299" s="2605"/>
      <c r="D299" s="2605"/>
      <c r="E299" s="2605"/>
      <c r="F299" s="2605"/>
      <c r="G299" s="2605"/>
      <c r="H299" s="2606"/>
      <c r="I299" s="1273"/>
      <c r="J299" s="1276"/>
    </row>
    <row r="300" spans="1:10" ht="14.7">
      <c r="A300" s="1271"/>
      <c r="B300" s="1296" t="s">
        <v>2827</v>
      </c>
      <c r="C300" s="1296">
        <v>1</v>
      </c>
      <c r="D300" s="1296">
        <v>1</v>
      </c>
      <c r="E300" s="1296">
        <v>0.75</v>
      </c>
      <c r="F300" s="1296" t="s">
        <v>524</v>
      </c>
      <c r="G300" s="1296">
        <v>2.1</v>
      </c>
      <c r="H300" s="1296">
        <f>PRODUCT(C300:G300)</f>
        <v>1.5750000000000002</v>
      </c>
      <c r="I300" s="1296"/>
      <c r="J300" s="1293"/>
    </row>
    <row r="301" spans="1:10" ht="14.7">
      <c r="A301" s="1271"/>
      <c r="B301" s="1300" t="s">
        <v>2828</v>
      </c>
      <c r="C301" s="1296"/>
      <c r="D301" s="1296"/>
      <c r="E301" s="1296"/>
      <c r="F301" s="1296"/>
      <c r="G301" s="1296" t="s">
        <v>2684</v>
      </c>
      <c r="H301" s="1296">
        <f>H300</f>
        <v>1.5750000000000002</v>
      </c>
      <c r="I301" s="1299">
        <v>2292</v>
      </c>
      <c r="J301" s="1293">
        <f>ROUND(I301*H301,0)</f>
        <v>3610</v>
      </c>
    </row>
    <row r="302" spans="1:10" ht="14.7">
      <c r="A302" s="1271"/>
      <c r="B302" s="1296"/>
      <c r="C302" s="1296"/>
      <c r="D302" s="1296"/>
      <c r="E302" s="1296"/>
      <c r="F302" s="1296"/>
      <c r="G302" s="1296"/>
      <c r="H302" s="1296" t="s">
        <v>2823</v>
      </c>
      <c r="I302" s="1296" t="s">
        <v>2815</v>
      </c>
      <c r="J302" s="1293"/>
    </row>
    <row r="303" spans="1:10" ht="234.7" customHeight="1">
      <c r="A303" s="1271">
        <v>22</v>
      </c>
      <c r="B303" s="2604" t="s">
        <v>2829</v>
      </c>
      <c r="C303" s="2605"/>
      <c r="D303" s="2605"/>
      <c r="E303" s="2605"/>
      <c r="F303" s="2605"/>
      <c r="G303" s="2605"/>
      <c r="H303" s="2606"/>
      <c r="I303" s="1273"/>
      <c r="J303" s="1276"/>
    </row>
    <row r="304" spans="1:10" ht="14.7">
      <c r="A304" s="1271"/>
      <c r="B304" s="1300" t="s">
        <v>2830</v>
      </c>
      <c r="C304" s="1296">
        <v>1</v>
      </c>
      <c r="D304" s="1296">
        <v>1</v>
      </c>
      <c r="E304" s="1293">
        <v>1.05</v>
      </c>
      <c r="F304" s="1293" t="s">
        <v>524</v>
      </c>
      <c r="G304" s="1293">
        <v>1.35</v>
      </c>
      <c r="H304" s="1293">
        <f>PRODUCT(C304:G304)</f>
        <v>1.4175000000000002</v>
      </c>
      <c r="I304" s="1293"/>
      <c r="J304" s="1293"/>
    </row>
    <row r="305" spans="1:10" ht="14.7">
      <c r="A305" s="1271"/>
      <c r="B305" s="1301"/>
      <c r="C305" s="1296">
        <v>1</v>
      </c>
      <c r="D305" s="1296">
        <v>7</v>
      </c>
      <c r="E305" s="1293">
        <v>1.2</v>
      </c>
      <c r="F305" s="1293"/>
      <c r="G305" s="1293">
        <v>1.35</v>
      </c>
      <c r="H305" s="1293">
        <f>PRODUCT(C305:G305)</f>
        <v>11.340000000000002</v>
      </c>
      <c r="I305" s="1293"/>
      <c r="J305" s="1293"/>
    </row>
    <row r="306" spans="1:10" ht="14.7">
      <c r="A306" s="1271"/>
      <c r="B306" s="1302"/>
      <c r="C306" s="1296"/>
      <c r="D306" s="1296"/>
      <c r="E306" s="1293"/>
      <c r="F306" s="1293"/>
      <c r="G306" s="1293" t="s">
        <v>2684</v>
      </c>
      <c r="H306" s="1293">
        <f>SUM(H304:H305)</f>
        <v>12.757500000000002</v>
      </c>
      <c r="I306" s="1299">
        <v>6396</v>
      </c>
      <c r="J306" s="1293">
        <f>ROUND(I306*H306,0)</f>
        <v>81597</v>
      </c>
    </row>
    <row r="307" spans="1:10" ht="14.7">
      <c r="A307" s="1271"/>
      <c r="B307" s="1296"/>
      <c r="C307" s="1296"/>
      <c r="D307" s="1288"/>
      <c r="E307" s="1296"/>
      <c r="F307" s="1296"/>
      <c r="G307" s="1296"/>
      <c r="H307" s="1296" t="s">
        <v>987</v>
      </c>
      <c r="I307" s="1296" t="s">
        <v>2815</v>
      </c>
      <c r="J307" s="1293"/>
    </row>
    <row r="308" spans="1:10" ht="75.75" customHeight="1">
      <c r="A308" s="1271">
        <v>23</v>
      </c>
      <c r="B308" s="2607" t="str">
        <f>' data-Doors window- Sal Wood '!C476</f>
        <v>Supply and fixing of fully panelled  Ventilator frame  of size 0.60 x 0.60 M with country wood frame of size 65 x75 mm and incl. all labour charges such as making window frame and shutters and fiXing of 10 mm square safety bars in to  the frame etc,including applying primory coat, cost and conveyance  of all materials .</v>
      </c>
      <c r="C308" s="2608"/>
      <c r="D308" s="2608"/>
      <c r="E308" s="2608"/>
      <c r="F308" s="2608"/>
      <c r="G308" s="2608"/>
      <c r="H308" s="2608"/>
      <c r="I308" s="1273"/>
      <c r="J308" s="1276"/>
    </row>
    <row r="309" spans="1:10" ht="14.7">
      <c r="A309" s="1271"/>
      <c r="B309" s="1296" t="s">
        <v>2831</v>
      </c>
      <c r="C309" s="1296">
        <v>1</v>
      </c>
      <c r="D309" s="1296">
        <v>1</v>
      </c>
      <c r="E309" s="1293"/>
      <c r="F309" s="1293"/>
      <c r="G309" s="1293"/>
      <c r="H309" s="1293">
        <f>PRODUCT(C309:G309)</f>
        <v>1</v>
      </c>
      <c r="I309" s="1293"/>
      <c r="J309" s="1293"/>
    </row>
    <row r="310" spans="1:10" ht="14.7">
      <c r="A310" s="1271"/>
      <c r="B310" s="1303"/>
      <c r="C310" s="1296"/>
      <c r="D310" s="1296"/>
      <c r="E310" s="1293"/>
      <c r="F310" s="1293"/>
      <c r="G310" s="1293" t="s">
        <v>2684</v>
      </c>
      <c r="H310" s="1293">
        <f>H309</f>
        <v>1</v>
      </c>
      <c r="I310" s="1299">
        <f>' data-Doors window- Sal Wood '!J485</f>
        <v>1340.2455555555557</v>
      </c>
      <c r="J310" s="1293">
        <f>ROUND(I310*H310,0)</f>
        <v>1340</v>
      </c>
    </row>
    <row r="311" spans="1:10" ht="14.7">
      <c r="A311" s="1271"/>
      <c r="B311" s="1296"/>
      <c r="C311" s="1296"/>
      <c r="D311" s="1296"/>
      <c r="E311" s="1296"/>
      <c r="F311" s="1296"/>
      <c r="G311" s="1296"/>
      <c r="H311" s="1296" t="s">
        <v>1035</v>
      </c>
      <c r="I311" s="1296" t="s">
        <v>2815</v>
      </c>
      <c r="J311" s="1293"/>
    </row>
    <row r="312" spans="1:10" ht="99" customHeight="1">
      <c r="A312" s="1271">
        <v>24</v>
      </c>
      <c r="B312" s="2609" t="s">
        <v>3168</v>
      </c>
      <c r="C312" s="2595"/>
      <c r="D312" s="2595"/>
      <c r="E312" s="2595"/>
      <c r="F312" s="2595"/>
      <c r="G312" s="2595"/>
      <c r="H312" s="2595"/>
      <c r="I312" s="1273"/>
      <c r="J312" s="1276"/>
    </row>
    <row r="313" spans="1:10" ht="14.7">
      <c r="A313" s="1271"/>
      <c r="B313" s="1304" t="s">
        <v>673</v>
      </c>
      <c r="C313" s="1295"/>
      <c r="D313" s="1295"/>
      <c r="E313" s="1295"/>
      <c r="F313" s="1295"/>
      <c r="G313" s="1295"/>
      <c r="H313" s="1295"/>
      <c r="I313" s="1273"/>
      <c r="J313" s="1276"/>
    </row>
    <row r="314" spans="1:10" ht="14.7">
      <c r="A314" s="1271"/>
      <c r="B314" s="1271" t="s">
        <v>2709</v>
      </c>
      <c r="C314" s="1271">
        <v>1</v>
      </c>
      <c r="D314" s="1271">
        <v>1</v>
      </c>
      <c r="E314" s="1275">
        <v>3.68</v>
      </c>
      <c r="F314" s="1275">
        <v>4.8250000000000002</v>
      </c>
      <c r="G314" s="1275" t="s">
        <v>524</v>
      </c>
      <c r="H314" s="1276">
        <f t="shared" ref="H314:H321" si="12">PRODUCT(C314:G314)</f>
        <v>17.756</v>
      </c>
      <c r="I314" s="1273"/>
      <c r="J314" s="1276"/>
    </row>
    <row r="315" spans="1:10" ht="14.7">
      <c r="A315" s="1271"/>
      <c r="B315" s="1271" t="s">
        <v>2794</v>
      </c>
      <c r="C315" s="1271">
        <v>1</v>
      </c>
      <c r="D315" s="1271">
        <v>1</v>
      </c>
      <c r="E315" s="1275">
        <v>2.87</v>
      </c>
      <c r="F315" s="1275">
        <v>3.605</v>
      </c>
      <c r="G315" s="1275" t="s">
        <v>524</v>
      </c>
      <c r="H315" s="1276">
        <f t="shared" si="12"/>
        <v>10.346350000000001</v>
      </c>
      <c r="I315" s="1273"/>
      <c r="J315" s="1276"/>
    </row>
    <row r="316" spans="1:10" ht="14.7">
      <c r="A316" s="1271"/>
      <c r="B316" s="1271" t="s">
        <v>2690</v>
      </c>
      <c r="C316" s="1271">
        <v>1</v>
      </c>
      <c r="D316" s="1271">
        <v>1</v>
      </c>
      <c r="E316" s="1275">
        <v>3.68</v>
      </c>
      <c r="F316" s="1275">
        <v>3.05</v>
      </c>
      <c r="G316" s="1275" t="s">
        <v>524</v>
      </c>
      <c r="H316" s="1276">
        <f t="shared" si="12"/>
        <v>11.224</v>
      </c>
      <c r="I316" s="1273"/>
      <c r="J316" s="1276"/>
    </row>
    <row r="317" spans="1:10" ht="14.7">
      <c r="A317" s="1271"/>
      <c r="B317" s="1271" t="s">
        <v>2710</v>
      </c>
      <c r="C317" s="1271">
        <v>1</v>
      </c>
      <c r="D317" s="1271">
        <v>1</v>
      </c>
      <c r="E317" s="1275">
        <v>2.99</v>
      </c>
      <c r="F317" s="1275">
        <f>F316</f>
        <v>3.05</v>
      </c>
      <c r="G317" s="1275" t="s">
        <v>524</v>
      </c>
      <c r="H317" s="1276">
        <f t="shared" si="12"/>
        <v>9.1195000000000004</v>
      </c>
      <c r="I317" s="1273"/>
      <c r="J317" s="1276"/>
    </row>
    <row r="318" spans="1:10" ht="14.7">
      <c r="A318" s="1271"/>
      <c r="B318" s="1271" t="s">
        <v>2832</v>
      </c>
      <c r="C318" s="1271">
        <v>1</v>
      </c>
      <c r="D318" s="1271">
        <v>1</v>
      </c>
      <c r="E318" s="1275">
        <v>1.1000000000000001</v>
      </c>
      <c r="F318" s="1275">
        <v>0.16</v>
      </c>
      <c r="G318" s="1275" t="s">
        <v>524</v>
      </c>
      <c r="H318" s="1276">
        <f t="shared" si="12"/>
        <v>0.17600000000000002</v>
      </c>
      <c r="I318" s="1273"/>
      <c r="J318" s="1276"/>
    </row>
    <row r="319" spans="1:10" ht="14.7">
      <c r="A319" s="1271"/>
      <c r="B319" s="1271" t="s">
        <v>2825</v>
      </c>
      <c r="C319" s="1271">
        <v>1</v>
      </c>
      <c r="D319" s="1271">
        <v>3</v>
      </c>
      <c r="E319" s="1275">
        <v>0.9</v>
      </c>
      <c r="F319" s="1275">
        <v>0.16</v>
      </c>
      <c r="G319" s="1275" t="s">
        <v>524</v>
      </c>
      <c r="H319" s="1276">
        <f t="shared" si="12"/>
        <v>0.43200000000000005</v>
      </c>
      <c r="I319" s="1273"/>
      <c r="J319" s="1276"/>
    </row>
    <row r="320" spans="1:10" ht="14.7">
      <c r="A320" s="1271"/>
      <c r="B320" s="1271" t="s">
        <v>2833</v>
      </c>
      <c r="C320" s="1271">
        <v>1</v>
      </c>
      <c r="D320" s="1271">
        <v>1</v>
      </c>
      <c r="E320" s="1275">
        <v>0.75</v>
      </c>
      <c r="F320" s="1275">
        <v>0.16</v>
      </c>
      <c r="G320" s="1275" t="s">
        <v>524</v>
      </c>
      <c r="H320" s="1276">
        <f t="shared" si="12"/>
        <v>0.12</v>
      </c>
      <c r="I320" s="1273"/>
      <c r="J320" s="1276"/>
    </row>
    <row r="321" spans="1:12" ht="14.7">
      <c r="A321" s="1271"/>
      <c r="B321" s="1271" t="s">
        <v>2834</v>
      </c>
      <c r="C321" s="1271">
        <v>1</v>
      </c>
      <c r="D321" s="1271">
        <v>1</v>
      </c>
      <c r="E321" s="1275">
        <v>1.2</v>
      </c>
      <c r="F321" s="1275">
        <v>0.26</v>
      </c>
      <c r="G321" s="1275" t="s">
        <v>524</v>
      </c>
      <c r="H321" s="1276">
        <f t="shared" si="12"/>
        <v>0.312</v>
      </c>
      <c r="I321" s="1273"/>
      <c r="J321" s="1276"/>
    </row>
    <row r="322" spans="1:12" ht="14.7">
      <c r="A322" s="1271"/>
      <c r="B322" s="1282" t="s">
        <v>2789</v>
      </c>
      <c r="C322" s="1271">
        <v>1</v>
      </c>
      <c r="D322" s="1271">
        <v>1</v>
      </c>
      <c r="E322" s="1275">
        <v>1.5349999999999999</v>
      </c>
      <c r="F322" s="1275">
        <v>4.2</v>
      </c>
      <c r="G322" s="1275" t="s">
        <v>524</v>
      </c>
      <c r="H322" s="1276">
        <f>PRODUCT(C322:G322)</f>
        <v>6.4470000000000001</v>
      </c>
      <c r="I322" s="1273"/>
      <c r="J322" s="1276"/>
    </row>
    <row r="323" spans="1:12" ht="14.7">
      <c r="A323" s="1271"/>
      <c r="B323" s="1271" t="s">
        <v>2692</v>
      </c>
      <c r="C323" s="1271">
        <v>1</v>
      </c>
      <c r="D323" s="1271">
        <v>1</v>
      </c>
      <c r="E323" s="1275">
        <v>3.68</v>
      </c>
      <c r="F323" s="1275">
        <v>1.83</v>
      </c>
      <c r="G323" s="1275" t="s">
        <v>524</v>
      </c>
      <c r="H323" s="1276">
        <f>PRODUCT(C323:G323)</f>
        <v>6.7344000000000008</v>
      </c>
      <c r="I323" s="1273"/>
      <c r="J323" s="1276"/>
    </row>
    <row r="324" spans="1:12" ht="14.7">
      <c r="A324" s="1271"/>
      <c r="B324" s="1282" t="s">
        <v>2835</v>
      </c>
      <c r="C324" s="1271">
        <v>1</v>
      </c>
      <c r="D324" s="1271">
        <v>1</v>
      </c>
      <c r="E324" s="1275">
        <v>3.91</v>
      </c>
      <c r="F324" s="1275">
        <v>2</v>
      </c>
      <c r="G324" s="1275" t="s">
        <v>524</v>
      </c>
      <c r="H324" s="1276">
        <f>PRODUCT(C324:G324)</f>
        <v>7.82</v>
      </c>
      <c r="I324" s="1273"/>
      <c r="J324" s="1276"/>
    </row>
    <row r="325" spans="1:12" ht="14.7">
      <c r="A325" s="1271"/>
      <c r="B325" s="1273"/>
      <c r="C325" s="1273"/>
      <c r="D325" s="1273"/>
      <c r="E325" s="1273"/>
      <c r="F325" s="1273"/>
      <c r="G325" s="1273" t="s">
        <v>2684</v>
      </c>
      <c r="H325" s="1276">
        <f>SUM(H314:H324)</f>
        <v>70.487250000000017</v>
      </c>
      <c r="I325" s="1276">
        <f>Datas!E751/10</f>
        <v>759.37699999999995</v>
      </c>
      <c r="J325" s="1276">
        <f>ROUND(I325*H325,0)</f>
        <v>53526</v>
      </c>
    </row>
    <row r="326" spans="1:12" ht="14.7">
      <c r="A326" s="1271"/>
      <c r="B326" s="1273"/>
      <c r="C326" s="1273"/>
      <c r="D326" s="1273"/>
      <c r="E326" s="1273"/>
      <c r="F326" s="1273"/>
      <c r="G326" s="1273"/>
      <c r="H326" s="1273" t="s">
        <v>987</v>
      </c>
      <c r="I326" s="1273" t="s">
        <v>2815</v>
      </c>
      <c r="J326" s="1276"/>
    </row>
    <row r="327" spans="1:12" ht="107.25" customHeight="1">
      <c r="A327" s="1271">
        <v>25</v>
      </c>
      <c r="B327" s="2609" t="s">
        <v>3169</v>
      </c>
      <c r="C327" s="2595"/>
      <c r="D327" s="2595"/>
      <c r="E327" s="2595"/>
      <c r="F327" s="2595"/>
      <c r="G327" s="2595"/>
      <c r="H327" s="2595"/>
      <c r="I327" s="1273"/>
      <c r="J327" s="1276"/>
    </row>
    <row r="328" spans="1:12" ht="14.7">
      <c r="A328" s="1271"/>
      <c r="B328" s="1305" t="s">
        <v>673</v>
      </c>
      <c r="C328" s="1295"/>
      <c r="D328" s="1295"/>
      <c r="E328" s="1295"/>
      <c r="F328" s="1295"/>
      <c r="G328" s="1295"/>
      <c r="H328" s="1295"/>
      <c r="I328" s="1273"/>
      <c r="J328" s="1276"/>
    </row>
    <row r="329" spans="1:12" ht="14.7">
      <c r="A329" s="1271"/>
      <c r="B329" s="1271" t="s">
        <v>2709</v>
      </c>
      <c r="C329" s="1271">
        <v>1</v>
      </c>
      <c r="D329" s="1271">
        <v>1</v>
      </c>
      <c r="E329" s="1275">
        <f>+(3.68+4.825)*2-0.9*2</f>
        <v>15.21</v>
      </c>
      <c r="F329" s="1275" t="s">
        <v>524</v>
      </c>
      <c r="G329" s="1275">
        <v>0.1</v>
      </c>
      <c r="H329" s="1275">
        <f>PRODUCT(C329:G329)</f>
        <v>1.5210000000000001</v>
      </c>
      <c r="I329" s="1293"/>
      <c r="J329" s="1293"/>
    </row>
    <row r="330" spans="1:12" ht="14.7">
      <c r="A330" s="1271"/>
      <c r="B330" s="1271" t="s">
        <v>2690</v>
      </c>
      <c r="C330" s="1271">
        <v>1</v>
      </c>
      <c r="D330" s="1271">
        <v>1</v>
      </c>
      <c r="E330" s="1275">
        <f>+(3.68+3.05)*2-0.9</f>
        <v>12.56</v>
      </c>
      <c r="F330" s="1275" t="s">
        <v>524</v>
      </c>
      <c r="G330" s="1275">
        <v>0.1</v>
      </c>
      <c r="H330" s="1275">
        <f>PRODUCT(C330:G330)</f>
        <v>1.2560000000000002</v>
      </c>
      <c r="I330" s="1293"/>
      <c r="J330" s="1293"/>
      <c r="L330" s="1248" t="s">
        <v>2854</v>
      </c>
    </row>
    <row r="331" spans="1:12" ht="14.7">
      <c r="A331" s="1271"/>
      <c r="B331" s="1271" t="s">
        <v>2710</v>
      </c>
      <c r="C331" s="1271">
        <v>1</v>
      </c>
      <c r="D331" s="1271">
        <v>1</v>
      </c>
      <c r="E331" s="1275">
        <f>(2.99+3.05)*2-0.9</f>
        <v>11.18</v>
      </c>
      <c r="F331" s="1275" t="s">
        <v>524</v>
      </c>
      <c r="G331" s="1275">
        <v>0.1</v>
      </c>
      <c r="H331" s="1275">
        <f>PRODUCT(C331:G331)</f>
        <v>1.1180000000000001</v>
      </c>
      <c r="I331" s="1293"/>
      <c r="J331" s="1293"/>
    </row>
    <row r="332" spans="1:12" ht="14.7">
      <c r="A332" s="1271"/>
      <c r="B332" s="1271" t="s">
        <v>2787</v>
      </c>
      <c r="C332" s="1271">
        <v>1</v>
      </c>
      <c r="D332" s="1271">
        <v>1</v>
      </c>
      <c r="E332" s="1275">
        <f>(3.605+2.87)-0.9</f>
        <v>5.5749999999999993</v>
      </c>
      <c r="F332" s="1275" t="s">
        <v>524</v>
      </c>
      <c r="G332" s="1275">
        <v>0.1</v>
      </c>
      <c r="H332" s="1275">
        <f>PRODUCT(C332:G332)</f>
        <v>0.5575</v>
      </c>
      <c r="I332" s="1293"/>
      <c r="J332" s="1293"/>
    </row>
    <row r="333" spans="1:12" ht="14.7">
      <c r="A333" s="1271"/>
      <c r="B333" s="1271" t="s">
        <v>2836</v>
      </c>
      <c r="C333" s="1271">
        <v>1</v>
      </c>
      <c r="D333" s="1271">
        <v>1</v>
      </c>
      <c r="E333" s="1275">
        <f>(3.68+3.05)*2-0.9*2</f>
        <v>11.66</v>
      </c>
      <c r="F333" s="1275" t="s">
        <v>524</v>
      </c>
      <c r="G333" s="1275">
        <v>0.1</v>
      </c>
      <c r="H333" s="1275">
        <f>PRODUCT(C333:G333)</f>
        <v>1.1660000000000001</v>
      </c>
      <c r="I333" s="1293"/>
      <c r="J333" s="1293"/>
    </row>
    <row r="334" spans="1:12" ht="14.7">
      <c r="A334" s="1271"/>
      <c r="B334" s="1296"/>
      <c r="C334" s="1296"/>
      <c r="D334" s="1296"/>
      <c r="E334" s="1293"/>
      <c r="F334" s="1293"/>
      <c r="G334" s="1293" t="s">
        <v>2684</v>
      </c>
      <c r="H334" s="1293">
        <f>SUM(H329:H333)</f>
        <v>5.6185000000000009</v>
      </c>
      <c r="I334" s="1293">
        <f>Datas!G847/10</f>
        <v>834.87400000000002</v>
      </c>
      <c r="J334" s="1293">
        <f>ROUND(I334*H334,0)</f>
        <v>4691</v>
      </c>
    </row>
    <row r="335" spans="1:12" ht="14.7">
      <c r="A335" s="1271"/>
      <c r="B335" s="1306"/>
      <c r="C335" s="1296"/>
      <c r="D335" s="1296"/>
      <c r="E335" s="1296"/>
      <c r="F335" s="1296"/>
      <c r="G335" s="1296"/>
      <c r="H335" s="1296" t="s">
        <v>987</v>
      </c>
      <c r="I335" s="1296" t="s">
        <v>2815</v>
      </c>
      <c r="J335" s="1293"/>
    </row>
    <row r="336" spans="1:12" ht="113.25" customHeight="1">
      <c r="A336" s="1271">
        <v>26</v>
      </c>
      <c r="B336" s="2580" t="s">
        <v>2837</v>
      </c>
      <c r="C336" s="2581"/>
      <c r="D336" s="2581"/>
      <c r="E336" s="2581"/>
      <c r="F336" s="2581"/>
      <c r="G336" s="2581"/>
      <c r="H336" s="2586"/>
      <c r="I336" s="1296"/>
      <c r="J336" s="1293"/>
    </row>
    <row r="337" spans="1:10" ht="14.7">
      <c r="A337" s="1271"/>
      <c r="B337" s="1296" t="s">
        <v>980</v>
      </c>
      <c r="C337" s="1271">
        <v>1</v>
      </c>
      <c r="D337" s="1271">
        <v>2.25</v>
      </c>
      <c r="E337" s="1275">
        <v>1.2</v>
      </c>
      <c r="F337" s="1275" t="s">
        <v>524</v>
      </c>
      <c r="G337" s="1275">
        <v>2.1</v>
      </c>
      <c r="H337" s="1275">
        <f>PRODUCT(C337:G337)</f>
        <v>5.67</v>
      </c>
      <c r="I337" s="1296"/>
      <c r="J337" s="1293"/>
    </row>
    <row r="338" spans="1:10" ht="14.7">
      <c r="A338" s="1271"/>
      <c r="B338" s="1296" t="s">
        <v>2825</v>
      </c>
      <c r="C338" s="1271">
        <v>4</v>
      </c>
      <c r="D338" s="1271">
        <v>2.25</v>
      </c>
      <c r="E338" s="1275">
        <v>0.9</v>
      </c>
      <c r="F338" s="1275" t="s">
        <v>524</v>
      </c>
      <c r="G338" s="1275">
        <v>2.1</v>
      </c>
      <c r="H338" s="1275">
        <f>PRODUCT(C338:G338)</f>
        <v>17.010000000000002</v>
      </c>
      <c r="I338" s="1296"/>
      <c r="J338" s="1293"/>
    </row>
    <row r="339" spans="1:10" ht="14.7">
      <c r="A339" s="1271"/>
      <c r="B339" s="1296" t="s">
        <v>2827</v>
      </c>
      <c r="C339" s="1271">
        <v>3</v>
      </c>
      <c r="D339" s="1271">
        <v>2.25</v>
      </c>
      <c r="E339" s="1275">
        <v>0.9</v>
      </c>
      <c r="F339" s="1275" t="s">
        <v>524</v>
      </c>
      <c r="G339" s="1275">
        <v>2.1</v>
      </c>
      <c r="H339" s="1275">
        <f>PRODUCT(C339:G339)</f>
        <v>12.7575</v>
      </c>
      <c r="I339" s="1296"/>
      <c r="J339" s="1293"/>
    </row>
    <row r="340" spans="1:10" ht="14.7">
      <c r="A340" s="1271"/>
      <c r="B340" s="1296"/>
      <c r="C340" s="1296"/>
      <c r="D340" s="1296"/>
      <c r="E340" s="1296"/>
      <c r="F340" s="1296"/>
      <c r="G340" s="1296"/>
      <c r="H340" s="1293">
        <f>SUM(H337:H339)</f>
        <v>35.4375</v>
      </c>
      <c r="I340" s="1293">
        <f>Datas!G925/10</f>
        <v>11.367999999999999</v>
      </c>
      <c r="J340" s="1293">
        <f>ROUND(I340*H340,0)</f>
        <v>403</v>
      </c>
    </row>
    <row r="341" spans="1:10" ht="14.7">
      <c r="A341" s="1271"/>
      <c r="B341" s="1296"/>
      <c r="C341" s="1296"/>
      <c r="D341" s="1296"/>
      <c r="E341" s="1296"/>
      <c r="F341" s="1296"/>
      <c r="G341" s="1296"/>
      <c r="H341" s="1296" t="s">
        <v>2579</v>
      </c>
      <c r="I341" s="1296" t="s">
        <v>2752</v>
      </c>
      <c r="J341" s="1293"/>
    </row>
    <row r="342" spans="1:10" ht="16.5" customHeight="1">
      <c r="A342" s="1271">
        <v>28</v>
      </c>
      <c r="B342" s="1307" t="s">
        <v>2838</v>
      </c>
      <c r="C342" s="1308"/>
      <c r="D342" s="1308"/>
      <c r="E342" s="1308"/>
      <c r="F342" s="1308"/>
      <c r="G342" s="1308"/>
      <c r="H342" s="1271"/>
      <c r="I342" s="1271"/>
      <c r="J342" s="1288"/>
    </row>
    <row r="343" spans="1:10" ht="14.7">
      <c r="A343" s="1271"/>
      <c r="B343" s="1309"/>
      <c r="C343" s="1271">
        <v>1</v>
      </c>
      <c r="D343" s="1271">
        <v>1</v>
      </c>
      <c r="E343" s="1275">
        <v>250</v>
      </c>
      <c r="F343" s="1275"/>
      <c r="G343" s="1275"/>
      <c r="H343" s="1276">
        <f>+C343*D343*E343</f>
        <v>250</v>
      </c>
      <c r="I343" s="1275">
        <f>Datas!G1054</f>
        <v>116.62</v>
      </c>
      <c r="J343" s="1293">
        <f>ROUND(I343*H343,0)</f>
        <v>29155</v>
      </c>
    </row>
    <row r="344" spans="1:10" ht="14.7">
      <c r="A344" s="1271"/>
      <c r="B344" s="1309"/>
      <c r="C344" s="1308"/>
      <c r="D344" s="1308"/>
      <c r="E344" s="1308"/>
      <c r="F344" s="1308"/>
      <c r="G344" s="1308"/>
      <c r="H344" s="1271" t="s">
        <v>347</v>
      </c>
      <c r="I344" s="1271" t="s">
        <v>2839</v>
      </c>
      <c r="J344" s="1273"/>
    </row>
    <row r="345" spans="1:10" ht="65.25" customHeight="1">
      <c r="A345" s="1271">
        <v>27</v>
      </c>
      <c r="B345" s="2580" t="s">
        <v>2840</v>
      </c>
      <c r="C345" s="2581"/>
      <c r="D345" s="2581"/>
      <c r="E345" s="2581"/>
      <c r="F345" s="2581"/>
      <c r="G345" s="2581"/>
      <c r="H345" s="2586"/>
      <c r="I345" s="1296"/>
      <c r="J345" s="1293"/>
    </row>
    <row r="346" spans="1:10" ht="14.7">
      <c r="A346" s="1271"/>
      <c r="B346" s="1296"/>
      <c r="C346" s="1271">
        <v>1</v>
      </c>
      <c r="D346" s="1271">
        <v>1</v>
      </c>
      <c r="E346" s="1275">
        <v>11.94</v>
      </c>
      <c r="F346" s="1275">
        <f>7.225+0.45+0.45</f>
        <v>8.125</v>
      </c>
      <c r="G346" s="1275" t="s">
        <v>524</v>
      </c>
      <c r="H346" s="1275">
        <f>E346*F346</f>
        <v>97.012500000000003</v>
      </c>
      <c r="I346" s="1296"/>
      <c r="J346" s="1293"/>
    </row>
    <row r="347" spans="1:10" ht="14.7">
      <c r="A347" s="1271"/>
      <c r="B347" s="1296"/>
      <c r="C347" s="1271"/>
      <c r="D347" s="1271"/>
      <c r="E347" s="1275"/>
      <c r="F347" s="1275"/>
      <c r="G347" s="1275" t="s">
        <v>2684</v>
      </c>
      <c r="H347" s="1275">
        <f>SUM(H346)</f>
        <v>97.012500000000003</v>
      </c>
      <c r="I347" s="1296">
        <f>Datas!E867/10</f>
        <v>48.939799999999998</v>
      </c>
      <c r="J347" s="1293">
        <f>ROUND(I347*H347,0)</f>
        <v>4748</v>
      </c>
    </row>
    <row r="348" spans="1:10" ht="14.7">
      <c r="A348" s="1271"/>
      <c r="B348" s="1296"/>
      <c r="C348" s="1296"/>
      <c r="D348" s="1296"/>
      <c r="E348" s="1296"/>
      <c r="F348" s="1296"/>
      <c r="G348" s="1296"/>
      <c r="H348" s="1293" t="s">
        <v>2579</v>
      </c>
      <c r="I348" s="1293" t="s">
        <v>2579</v>
      </c>
      <c r="J348" s="1293"/>
    </row>
    <row r="349" spans="1:10" ht="14.7">
      <c r="A349" s="1271"/>
      <c r="B349" s="1270" t="s">
        <v>1048</v>
      </c>
      <c r="C349" s="1296"/>
      <c r="D349" s="1296"/>
      <c r="E349" s="1296"/>
      <c r="F349" s="1296"/>
      <c r="G349" s="1296"/>
      <c r="H349" s="1296"/>
      <c r="I349" s="1273"/>
      <c r="J349" s="1310">
        <f>SUM(J14:J348)</f>
        <v>1410806</v>
      </c>
    </row>
    <row r="350" spans="1:10" ht="14.7">
      <c r="B350" s="1336" t="s">
        <v>2990</v>
      </c>
      <c r="C350" s="1334"/>
      <c r="D350" s="1334"/>
      <c r="E350" s="1334"/>
      <c r="F350" s="1334"/>
      <c r="G350" s="1334"/>
      <c r="H350" s="1334"/>
      <c r="I350" s="1288"/>
      <c r="J350" s="1335"/>
    </row>
    <row r="351" spans="1:10" ht="14.7">
      <c r="A351" s="1332"/>
      <c r="B351" s="1333"/>
      <c r="C351" s="1334"/>
      <c r="D351" s="1334"/>
      <c r="E351" s="1334"/>
      <c r="F351" s="1334"/>
      <c r="G351" s="1334"/>
      <c r="H351" s="1334"/>
      <c r="I351" s="1288"/>
      <c r="J351" s="1335"/>
    </row>
  </sheetData>
  <mergeCells count="37">
    <mergeCell ref="B345:H345"/>
    <mergeCell ref="B299:H299"/>
    <mergeCell ref="B303:H303"/>
    <mergeCell ref="B308:H308"/>
    <mergeCell ref="B312:H312"/>
    <mergeCell ref="B327:H327"/>
    <mergeCell ref="B336:H336"/>
    <mergeCell ref="B295:H295"/>
    <mergeCell ref="B220:H220"/>
    <mergeCell ref="B246:H246"/>
    <mergeCell ref="B262:H262"/>
    <mergeCell ref="B264:F264"/>
    <mergeCell ref="B267:H267"/>
    <mergeCell ref="B269:F269"/>
    <mergeCell ref="B272:H272"/>
    <mergeCell ref="B277:H277"/>
    <mergeCell ref="B278:H278"/>
    <mergeCell ref="B282:H282"/>
    <mergeCell ref="B291:H291"/>
    <mergeCell ref="B202:H202"/>
    <mergeCell ref="B42:H42"/>
    <mergeCell ref="B50:H50"/>
    <mergeCell ref="B64:H64"/>
    <mergeCell ref="B83:H83"/>
    <mergeCell ref="B104:E104"/>
    <mergeCell ref="B109:E109"/>
    <mergeCell ref="B116:E116"/>
    <mergeCell ref="B155:H155"/>
    <mergeCell ref="B162:H162"/>
    <mergeCell ref="B165:H165"/>
    <mergeCell ref="B185:H185"/>
    <mergeCell ref="B17:E17"/>
    <mergeCell ref="A1:J1"/>
    <mergeCell ref="A2:J2"/>
    <mergeCell ref="C3:D3"/>
    <mergeCell ref="B4:H4"/>
    <mergeCell ref="B16:H16"/>
  </mergeCells>
  <pageMargins left="0.7" right="0.7" top="0.75" bottom="0.75" header="0.3" footer="0.3"/>
  <pageSetup paperSize="9" scale="72" orientation="portrait" verticalDpi="4294967293" r:id="rId1"/>
  <rowBreaks count="5" manualBreakCount="5">
    <brk id="49" max="9" man="1"/>
    <brk id="96" max="9" man="1"/>
    <brk id="161" max="9" man="1"/>
    <brk id="290" max="9" man="1"/>
    <brk id="307" max="9"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sheetPr>
  <dimension ref="A1:M67"/>
  <sheetViews>
    <sheetView view="pageBreakPreview" zoomScaleSheetLayoutView="100" workbookViewId="0">
      <selection activeCell="A2" sqref="A2:J2"/>
    </sheetView>
  </sheetViews>
  <sheetFormatPr defaultColWidth="7.44140625" defaultRowHeight="12.3"/>
  <cols>
    <col min="1" max="1" width="7.44140625" style="1248"/>
    <col min="2" max="2" width="35.44140625" style="1248" customWidth="1"/>
    <col min="3" max="8" width="7.44140625" style="1248"/>
    <col min="9" max="9" width="12.109375" style="1248" customWidth="1"/>
    <col min="10" max="10" width="13.5546875" style="1248" customWidth="1"/>
    <col min="11" max="16384" width="7.44140625" style="1248"/>
  </cols>
  <sheetData>
    <row r="1" spans="1:13" ht="14.7">
      <c r="A1" s="2620" t="s">
        <v>2951</v>
      </c>
      <c r="B1" s="2620"/>
      <c r="C1" s="2620"/>
      <c r="D1" s="2620"/>
      <c r="E1" s="2620"/>
      <c r="F1" s="2620"/>
      <c r="G1" s="2620"/>
      <c r="H1" s="2620"/>
      <c r="I1" s="2620"/>
      <c r="J1" s="2620"/>
    </row>
    <row r="2" spans="1:13" ht="43.2" customHeight="1">
      <c r="A2" s="2621" t="str">
        <f>'Lead- Input sheet '!A2</f>
        <v xml:space="preserve"> Construction of  Anganwadi Building at Jeedipally Thanda (V) of Kalwakurthy (M) of Nagarkurnool District </v>
      </c>
      <c r="B2" s="2621"/>
      <c r="C2" s="2621"/>
      <c r="D2" s="2621"/>
      <c r="E2" s="2621"/>
      <c r="F2" s="2621"/>
      <c r="G2" s="2621"/>
      <c r="H2" s="2621"/>
      <c r="I2" s="2621"/>
      <c r="J2" s="2621"/>
    </row>
    <row r="3" spans="1:13" ht="29.4">
      <c r="A3" s="1311" t="s">
        <v>2856</v>
      </c>
      <c r="B3" s="1311" t="s">
        <v>517</v>
      </c>
      <c r="C3" s="1311" t="s">
        <v>2857</v>
      </c>
      <c r="D3" s="1311"/>
      <c r="E3" s="1311" t="s">
        <v>1417</v>
      </c>
      <c r="F3" s="1311" t="s">
        <v>859</v>
      </c>
      <c r="G3" s="1311" t="s">
        <v>785</v>
      </c>
      <c r="H3" s="1311" t="s">
        <v>2672</v>
      </c>
      <c r="I3" s="1311" t="s">
        <v>1479</v>
      </c>
      <c r="J3" s="1311" t="s">
        <v>1256</v>
      </c>
    </row>
    <row r="4" spans="1:13" ht="81.75" customHeight="1">
      <c r="A4" s="1315">
        <v>1</v>
      </c>
      <c r="B4" s="2623" t="str">
        <f>' DATA -Sanitary&amp;water supply'!B10:G10</f>
        <v>Supplying and Fixing European Water Closet of 1st quality conforming to IS:2556-Part-2-1973 of Hindustan / Neycer or Parryware make white glazed with 'P' trap with  PVC low level system with internal components &amp; short bend: 10 Litres capacity Single Flush</v>
      </c>
      <c r="C4" s="2623"/>
      <c r="D4" s="2623"/>
      <c r="E4" s="2623"/>
      <c r="F4" s="2623"/>
      <c r="G4" s="2623"/>
      <c r="H4" s="2623"/>
      <c r="I4" s="2623"/>
      <c r="J4" s="1319"/>
      <c r="K4" s="1316"/>
      <c r="L4" s="1317"/>
      <c r="M4" s="1318"/>
    </row>
    <row r="5" spans="1:13" ht="17.399999999999999">
      <c r="A5" s="1315"/>
      <c r="B5" s="1319"/>
      <c r="C5" s="1315">
        <v>1</v>
      </c>
      <c r="D5" s="1315">
        <v>1</v>
      </c>
      <c r="E5" s="1315"/>
      <c r="F5" s="1320"/>
      <c r="G5" s="1315"/>
      <c r="H5" s="1278">
        <f>D5</f>
        <v>1</v>
      </c>
      <c r="I5" s="1278"/>
      <c r="J5" s="1278"/>
      <c r="K5" s="1316"/>
      <c r="L5" s="1317"/>
      <c r="M5" s="1318"/>
    </row>
    <row r="6" spans="1:13" ht="17.399999999999999">
      <c r="A6" s="1315"/>
      <c r="B6" s="1319"/>
      <c r="C6" s="1315"/>
      <c r="D6" s="1315"/>
      <c r="E6" s="1315"/>
      <c r="F6" s="1320"/>
      <c r="G6" s="1315"/>
      <c r="H6" s="1278">
        <f>SUM(H5)</f>
        <v>1</v>
      </c>
      <c r="I6" s="1277">
        <f>' DATA -Sanitary&amp;water supply'!G15</f>
        <v>3842</v>
      </c>
      <c r="J6" s="1277">
        <f>ROUND(I6*H6,)</f>
        <v>3842</v>
      </c>
      <c r="K6" s="1316"/>
      <c r="L6" s="1317"/>
      <c r="M6" s="1318"/>
    </row>
    <row r="7" spans="1:13" ht="17.399999999999999">
      <c r="A7" s="1315"/>
      <c r="B7" s="1319"/>
      <c r="C7" s="1315"/>
      <c r="D7" s="1315"/>
      <c r="E7" s="1315"/>
      <c r="F7" s="1320"/>
      <c r="G7" s="1315"/>
      <c r="H7" s="1278" t="s">
        <v>2823</v>
      </c>
      <c r="I7" s="1278" t="s">
        <v>334</v>
      </c>
      <c r="J7" s="1278"/>
      <c r="K7" s="1316"/>
      <c r="L7" s="1317"/>
      <c r="M7" s="1318"/>
    </row>
    <row r="8" spans="1:13" ht="102" customHeight="1">
      <c r="A8" s="1278">
        <v>3</v>
      </c>
      <c r="B8" s="2622" t="str">
        <f>' DATA -Sanitary&amp;water supply'!C149</f>
        <v xml:space="preserve">   Supplying &amp; Fixing Indian make Flat Back Wash Hand Basin 1st quality conforming to IS:2556-Part-4:1972 with waste fittings like rubber plug, chain, 32 mm nominal size C.P. Fitting with parallel pipe thread conforming to IS:2963-1979 and fitted with 15 mm nominal  bore Chromium Plated Pillar Tap of 1st quality Indian make 400 grams Seiko/ Senior/ Nice/Esso or equivalent complete with standard CI brackets including wooden block: 450 x 300 mm - Double C.P. Pillar cock</v>
      </c>
      <c r="C8" s="2610"/>
      <c r="D8" s="2610"/>
      <c r="E8" s="2610"/>
      <c r="F8" s="2610"/>
      <c r="G8" s="2610"/>
      <c r="H8" s="2610"/>
      <c r="I8" s="2610"/>
      <c r="J8" s="1278"/>
    </row>
    <row r="9" spans="1:13" ht="14.7">
      <c r="A9" s="1278"/>
      <c r="B9" s="1278"/>
      <c r="C9" s="1278">
        <v>1</v>
      </c>
      <c r="D9" s="1278">
        <v>1</v>
      </c>
      <c r="E9" s="1278"/>
      <c r="F9" s="1278"/>
      <c r="G9" s="1278"/>
      <c r="H9" s="1278">
        <f>D9</f>
        <v>1</v>
      </c>
      <c r="I9" s="1278"/>
      <c r="J9" s="1278"/>
    </row>
    <row r="10" spans="1:13" ht="14.7">
      <c r="A10" s="1278"/>
      <c r="B10" s="1278"/>
      <c r="C10" s="1278"/>
      <c r="D10" s="1278"/>
      <c r="E10" s="1278"/>
      <c r="F10" s="1278"/>
      <c r="G10" s="1278"/>
      <c r="H10" s="1278">
        <f>SUM(H9)</f>
        <v>1</v>
      </c>
      <c r="I10" s="1277">
        <f>' DATA -Sanitary&amp;water supply'!G152</f>
        <v>2045</v>
      </c>
      <c r="J10" s="1277">
        <f>ROUND(I10*H10,)</f>
        <v>2045</v>
      </c>
    </row>
    <row r="11" spans="1:13" ht="14.7">
      <c r="A11" s="1278"/>
      <c r="B11" s="1278"/>
      <c r="C11" s="1278"/>
      <c r="D11" s="1278"/>
      <c r="E11" s="1278"/>
      <c r="F11" s="1278"/>
      <c r="G11" s="1278"/>
      <c r="H11" s="1278" t="s">
        <v>2823</v>
      </c>
      <c r="I11" s="1278" t="s">
        <v>334</v>
      </c>
      <c r="J11" s="1278"/>
    </row>
    <row r="12" spans="1:13" ht="105.75" customHeight="1">
      <c r="A12" s="1278">
        <v>4</v>
      </c>
      <c r="B12" s="2622" t="str">
        <f>'SANITARY DATA2'!D32</f>
        <v>Supply and fixing of Ashirvad / Ajay / Astral Flowguard or equivalent CPVC pipes and fittings to meet the requirement of ASTM-D 2846 and are produced in CTS (Copper tubes of size 1/2" ton 2" Ashirvad Flowguard) and SDR 11 pipes are made from idential CPVC compounds having the same physical properties for Hot and cold water (IS 15778:2007) including labour charges for fixing of CPVC / PPR Pipes etc., complete for (28.60mm OD Pipes - SDR 11)</v>
      </c>
      <c r="C12" s="2610"/>
      <c r="D12" s="2610"/>
      <c r="E12" s="2610"/>
      <c r="F12" s="2610"/>
      <c r="G12" s="2610"/>
      <c r="H12" s="2610"/>
      <c r="I12" s="2610"/>
      <c r="J12" s="1277"/>
    </row>
    <row r="13" spans="1:13" ht="14.7">
      <c r="A13" s="1278"/>
      <c r="B13" s="1278"/>
      <c r="C13" s="1278">
        <v>1</v>
      </c>
      <c r="D13" s="1278">
        <v>1</v>
      </c>
      <c r="E13" s="1278">
        <v>2</v>
      </c>
      <c r="F13" s="1278" t="s">
        <v>524</v>
      </c>
      <c r="G13" s="1278" t="s">
        <v>524</v>
      </c>
      <c r="H13" s="1278">
        <f>PRODUCT(C13:G13)</f>
        <v>2</v>
      </c>
      <c r="I13" s="1278"/>
      <c r="J13" s="1277"/>
    </row>
    <row r="14" spans="1:13" ht="14.7">
      <c r="A14" s="1278"/>
      <c r="B14" s="1278"/>
      <c r="C14" s="1278"/>
      <c r="D14" s="1278"/>
      <c r="E14" s="1278"/>
      <c r="F14" s="1278"/>
      <c r="G14" s="1278" t="s">
        <v>674</v>
      </c>
      <c r="H14" s="1278">
        <f>SUM(H13:H13)</f>
        <v>2</v>
      </c>
      <c r="I14" s="1277">
        <f>'SANITARY DATA2'!H36</f>
        <v>354</v>
      </c>
      <c r="J14" s="1277">
        <f>ROUND(H14*I14,)</f>
        <v>708</v>
      </c>
    </row>
    <row r="15" spans="1:13" ht="14.7">
      <c r="A15" s="1278"/>
      <c r="B15" s="1278"/>
      <c r="C15" s="1278"/>
      <c r="D15" s="1278"/>
      <c r="E15" s="1278"/>
      <c r="F15" s="1278"/>
      <c r="G15" s="1278"/>
      <c r="H15" s="1278" t="s">
        <v>1162</v>
      </c>
      <c r="I15" s="1278" t="s">
        <v>2876</v>
      </c>
      <c r="J15" s="1277"/>
    </row>
    <row r="16" spans="1:13" ht="85.5" customHeight="1">
      <c r="A16" s="1278">
        <v>5</v>
      </c>
      <c r="B16" s="2610" t="str">
        <f>'SANITARY DATA2'!D38</f>
        <v>Supply and fixing of Ashirvad / Ajay / Astral Flowguard or equivalent CPVC pipes and fittings to meet the requirement of ASTM-D 2846 and are produced in CTS (Copper tubes of size 1/2" ton 2" Ashirvad Flowguard) and SDR 11 pipes are made from idential CPVC compounds having the same physical properties for Hot and cold water (IS 15778:2007) including labour charges for fixing of CPVC / PPR Pipes etc., complete for (22.20mm OD Pipes - SDR 11)</v>
      </c>
      <c r="C16" s="2610"/>
      <c r="D16" s="2610"/>
      <c r="E16" s="2610"/>
      <c r="F16" s="2610"/>
      <c r="G16" s="2610"/>
      <c r="H16" s="2610"/>
      <c r="I16" s="2610"/>
      <c r="J16" s="1277"/>
    </row>
    <row r="17" spans="1:10" ht="14.7">
      <c r="A17" s="1278"/>
      <c r="B17" s="1278"/>
      <c r="C17" s="1278">
        <v>1</v>
      </c>
      <c r="D17" s="1278">
        <v>1</v>
      </c>
      <c r="E17" s="1278">
        <v>10</v>
      </c>
      <c r="F17" s="1278" t="s">
        <v>524</v>
      </c>
      <c r="G17" s="1278" t="s">
        <v>524</v>
      </c>
      <c r="H17" s="1278">
        <f>PRODUCT(C17:G17)</f>
        <v>10</v>
      </c>
      <c r="I17" s="1278"/>
      <c r="J17" s="1277"/>
    </row>
    <row r="18" spans="1:10" ht="14.7">
      <c r="A18" s="1278"/>
      <c r="B18" s="1278"/>
      <c r="C18" s="1278"/>
      <c r="D18" s="1278"/>
      <c r="E18" s="1278"/>
      <c r="F18" s="1278"/>
      <c r="G18" s="1278" t="s">
        <v>674</v>
      </c>
      <c r="H18" s="1278">
        <f>SUM(H17:H17)</f>
        <v>10</v>
      </c>
      <c r="I18" s="1277">
        <f>'SANITARY DATA2'!H42</f>
        <v>313</v>
      </c>
      <c r="J18" s="1277">
        <f>ROUND(H18*I18,)</f>
        <v>3130</v>
      </c>
    </row>
    <row r="19" spans="1:10" ht="14.7">
      <c r="A19" s="1278"/>
      <c r="B19" s="1278"/>
      <c r="C19" s="1278"/>
      <c r="D19" s="1278"/>
      <c r="E19" s="1278"/>
      <c r="F19" s="1278"/>
      <c r="G19" s="1278"/>
      <c r="H19" s="1278" t="s">
        <v>2823</v>
      </c>
      <c r="I19" s="1278" t="s">
        <v>2824</v>
      </c>
      <c r="J19" s="1277"/>
    </row>
    <row r="20" spans="1:10" ht="47.25" customHeight="1">
      <c r="A20" s="1278">
        <v>6</v>
      </c>
      <c r="B20" s="2612" t="str">
        <f>'SANITARY DATA2'!D51</f>
        <v>Prince/ Sudhakar make or equivalent quality PVC /SWR pipes &amp; fittings ( as per ISI standards) 4kg/cm2 110mm dia. double socket</v>
      </c>
      <c r="C20" s="2612"/>
      <c r="D20" s="2612"/>
      <c r="E20" s="2612"/>
      <c r="F20" s="2612"/>
      <c r="G20" s="2612"/>
      <c r="H20" s="2612"/>
      <c r="I20" s="2612"/>
      <c r="J20" s="1277"/>
    </row>
    <row r="21" spans="1:10" ht="14.7">
      <c r="A21" s="1278"/>
      <c r="B21" s="1278" t="s">
        <v>2922</v>
      </c>
      <c r="C21" s="1278">
        <v>1</v>
      </c>
      <c r="D21" s="1278">
        <v>10</v>
      </c>
      <c r="E21" s="1278" t="s">
        <v>524</v>
      </c>
      <c r="F21" s="1278" t="s">
        <v>524</v>
      </c>
      <c r="G21" s="1278" t="s">
        <v>524</v>
      </c>
      <c r="H21" s="1278">
        <f>PRODUCT(C21:G21)</f>
        <v>10</v>
      </c>
      <c r="I21" s="1278"/>
      <c r="J21" s="1277"/>
    </row>
    <row r="22" spans="1:10" ht="14.7">
      <c r="A22" s="1278"/>
      <c r="B22" s="1278"/>
      <c r="C22" s="1278"/>
      <c r="D22" s="1278"/>
      <c r="E22" s="1278"/>
      <c r="F22" s="1278"/>
      <c r="G22" s="1278" t="s">
        <v>674</v>
      </c>
      <c r="H22" s="1278">
        <f>SUM(H21:H21)</f>
        <v>10</v>
      </c>
      <c r="I22" s="1277">
        <f>'SANITARY DATA2'!H56</f>
        <v>220.33</v>
      </c>
      <c r="J22" s="1277">
        <f>ROUND(H22*I22,)</f>
        <v>2203</v>
      </c>
    </row>
    <row r="23" spans="1:10" ht="14.7">
      <c r="A23" s="1278"/>
      <c r="B23" s="1278"/>
      <c r="C23" s="1278"/>
      <c r="D23" s="1278"/>
      <c r="E23" s="1278"/>
      <c r="F23" s="1278"/>
      <c r="G23" s="1278"/>
      <c r="H23" s="1278" t="s">
        <v>495</v>
      </c>
      <c r="I23" s="1278" t="s">
        <v>2824</v>
      </c>
      <c r="J23" s="1277"/>
    </row>
    <row r="24" spans="1:10" ht="43.5" customHeight="1">
      <c r="A24" s="1278">
        <v>7</v>
      </c>
      <c r="B24" s="2610" t="str">
        <f>'SANITARY DATA2'!D44</f>
        <v>Prince/ Sudhakar make or equivalent quality PVC /SWR pipes &amp; fittings ( as per ISI standards) 4kg/cm2 75mm dia.(double socket)</v>
      </c>
      <c r="C24" s="2610"/>
      <c r="D24" s="2610"/>
      <c r="E24" s="2610"/>
      <c r="F24" s="2610"/>
      <c r="G24" s="2610"/>
      <c r="H24" s="2610"/>
      <c r="I24" s="2610"/>
      <c r="J24" s="1277"/>
    </row>
    <row r="25" spans="1:10" ht="14.7">
      <c r="A25" s="1278"/>
      <c r="B25" s="1278" t="s">
        <v>2917</v>
      </c>
      <c r="C25" s="1278">
        <v>1</v>
      </c>
      <c r="D25" s="1278">
        <v>10</v>
      </c>
      <c r="E25" s="1278" t="s">
        <v>524</v>
      </c>
      <c r="F25" s="1278" t="s">
        <v>524</v>
      </c>
      <c r="G25" s="1278" t="s">
        <v>524</v>
      </c>
      <c r="H25" s="1278">
        <f>PRODUCT(C25:G25)</f>
        <v>10</v>
      </c>
      <c r="I25" s="1278"/>
      <c r="J25" s="1277"/>
    </row>
    <row r="26" spans="1:10" ht="14.7">
      <c r="A26" s="1278"/>
      <c r="B26" s="1278"/>
      <c r="C26" s="1278"/>
      <c r="D26" s="1278"/>
      <c r="E26" s="1278"/>
      <c r="F26" s="1278"/>
      <c r="G26" s="1278" t="s">
        <v>674</v>
      </c>
      <c r="H26" s="1278">
        <f>SUM(H25:H25)</f>
        <v>10</v>
      </c>
      <c r="I26" s="1277">
        <f>'SANITARY DATA2'!H49</f>
        <v>113</v>
      </c>
      <c r="J26" s="1277">
        <f>ROUND(H26*I26,)</f>
        <v>1130</v>
      </c>
    </row>
    <row r="27" spans="1:10" ht="14.7">
      <c r="A27" s="1278"/>
      <c r="B27" s="1278"/>
      <c r="C27" s="1278"/>
      <c r="D27" s="1278"/>
      <c r="E27" s="1278"/>
      <c r="F27" s="1278"/>
      <c r="G27" s="1278"/>
      <c r="H27" s="1278" t="s">
        <v>495</v>
      </c>
      <c r="I27" s="1278" t="s">
        <v>2824</v>
      </c>
      <c r="J27" s="1277"/>
    </row>
    <row r="28" spans="1:10" ht="75.75" customHeight="1">
      <c r="A28" s="1278">
        <v>8</v>
      </c>
      <c r="B28" s="2610" t="str">
        <f>'SANITARY DATA2'!D58</f>
        <v>Supply,fixing of 110 mm deep PVC floor traps of self cleansing design with outlet size of 75mm diameter of approved make, including making connection with PVC soil/waste pipes using rubber gaskets and top shall be cover with removable CP strainer, etc., complete 110mm deep PVC floor traps(101.6)</v>
      </c>
      <c r="C28" s="2610"/>
      <c r="D28" s="2610"/>
      <c r="E28" s="2610"/>
      <c r="F28" s="2610"/>
      <c r="G28" s="2610"/>
      <c r="H28" s="2610"/>
      <c r="I28" s="2610"/>
      <c r="J28" s="1277"/>
    </row>
    <row r="29" spans="1:10" ht="14.7">
      <c r="A29" s="1278"/>
      <c r="B29" s="1278" t="s">
        <v>1666</v>
      </c>
      <c r="C29" s="1278">
        <v>1</v>
      </c>
      <c r="D29" s="1278">
        <v>2</v>
      </c>
      <c r="E29" s="1278" t="s">
        <v>524</v>
      </c>
      <c r="F29" s="1278" t="s">
        <v>524</v>
      </c>
      <c r="G29" s="1278" t="s">
        <v>524</v>
      </c>
      <c r="H29" s="1278">
        <f>PRODUCT(C29:G29)</f>
        <v>2</v>
      </c>
      <c r="I29" s="1277">
        <f>'SANITARY DATA2'!H61</f>
        <v>171</v>
      </c>
      <c r="J29" s="1277">
        <f>ROUND(H29*I29,)</f>
        <v>342</v>
      </c>
    </row>
    <row r="30" spans="1:10" ht="14.7">
      <c r="A30" s="1278"/>
      <c r="B30" s="1278"/>
      <c r="C30" s="1278"/>
      <c r="D30" s="1278"/>
      <c r="E30" s="1278"/>
      <c r="F30" s="1278"/>
      <c r="G30" s="1278"/>
      <c r="H30" s="1278" t="s">
        <v>2823</v>
      </c>
      <c r="I30" s="1278" t="s">
        <v>2824</v>
      </c>
      <c r="J30" s="1277"/>
    </row>
    <row r="31" spans="1:10" ht="41.25" customHeight="1">
      <c r="A31" s="1278">
        <v>9</v>
      </c>
      <c r="B31" s="2610" t="str">
        <f>'SANITARY DATA2'!D73</f>
        <v>Supply, and fixing of approved make Vent cowl above the Soil &amp; waste pipes for ventilation as required to avoid foul smell. 110mm</v>
      </c>
      <c r="C31" s="2610"/>
      <c r="D31" s="2610"/>
      <c r="E31" s="2610"/>
      <c r="F31" s="2610"/>
      <c r="G31" s="2610"/>
      <c r="H31" s="2610"/>
      <c r="I31" s="2610"/>
      <c r="J31" s="1277"/>
    </row>
    <row r="32" spans="1:10" ht="14.7">
      <c r="A32" s="1278"/>
      <c r="B32" s="1278"/>
      <c r="C32" s="1278">
        <v>1</v>
      </c>
      <c r="D32" s="1278">
        <v>1</v>
      </c>
      <c r="E32" s="1278" t="s">
        <v>524</v>
      </c>
      <c r="F32" s="1278" t="s">
        <v>524</v>
      </c>
      <c r="G32" s="1278" t="s">
        <v>524</v>
      </c>
      <c r="H32" s="1278">
        <f>PRODUCT(C32:G32)</f>
        <v>1</v>
      </c>
      <c r="I32" s="1277">
        <f>'SANITARY DATA2'!H76</f>
        <v>23</v>
      </c>
      <c r="J32" s="1277">
        <f>ROUND(H32*I32,)</f>
        <v>23</v>
      </c>
    </row>
    <row r="33" spans="1:10" ht="14.7">
      <c r="A33" s="1278"/>
      <c r="B33" s="1278"/>
      <c r="C33" s="1278"/>
      <c r="D33" s="1278"/>
      <c r="E33" s="1278"/>
      <c r="F33" s="1278"/>
      <c r="G33" s="1278"/>
      <c r="H33" s="1278" t="s">
        <v>2823</v>
      </c>
      <c r="I33" s="1278" t="s">
        <v>2824</v>
      </c>
      <c r="J33" s="1277"/>
    </row>
    <row r="34" spans="1:10" ht="90" customHeight="1">
      <c r="A34" s="1278">
        <v>10</v>
      </c>
      <c r="B34" s="2610" t="str">
        <f>'SANITARY DATA2'!D78</f>
        <v xml:space="preserve">Constructing 457.2mm x 457.2mm ( 1ft-6" x  1ft-6") brick in CM (1:6) prop. Masonry inspection chamber upto 914.4mm (3ft-0") and fitted with light weight 457.2mm x 457.2mm ( 1ft-6" x  1ft-6") C.I. frame and cover of 20Kg. including cost and conveyance of all materials to site, all labour charges, sales and other taxes on all materials etc., complete for finished item of work. a] Depth up to  1.50 mtr        </v>
      </c>
      <c r="C34" s="2610"/>
      <c r="D34" s="2610"/>
      <c r="E34" s="2610"/>
      <c r="F34" s="2610"/>
      <c r="G34" s="2610"/>
      <c r="H34" s="2610"/>
      <c r="I34" s="2610"/>
      <c r="J34" s="1277"/>
    </row>
    <row r="35" spans="1:10" ht="14.7">
      <c r="A35" s="1278"/>
      <c r="B35" s="1278"/>
      <c r="C35" s="1278">
        <v>1</v>
      </c>
      <c r="D35" s="1278">
        <v>1</v>
      </c>
      <c r="E35" s="1278" t="s">
        <v>524</v>
      </c>
      <c r="F35" s="1278" t="s">
        <v>524</v>
      </c>
      <c r="G35" s="1278" t="s">
        <v>524</v>
      </c>
      <c r="H35" s="1278">
        <f>PRODUCT(C35:G35)</f>
        <v>1</v>
      </c>
      <c r="I35" s="1278"/>
      <c r="J35" s="1277"/>
    </row>
    <row r="36" spans="1:10" ht="14.7">
      <c r="A36" s="1278"/>
      <c r="B36" s="1278"/>
      <c r="C36" s="1278"/>
      <c r="D36" s="1278"/>
      <c r="E36" s="1278"/>
      <c r="F36" s="1278"/>
      <c r="G36" s="1278" t="s">
        <v>674</v>
      </c>
      <c r="H36" s="1278">
        <f>SUM(H35:H35)</f>
        <v>1</v>
      </c>
      <c r="I36" s="1277">
        <f>'SANITARY DATA2'!H81</f>
        <v>4610</v>
      </c>
      <c r="J36" s="1277">
        <f>ROUND(H36*I36,)</f>
        <v>4610</v>
      </c>
    </row>
    <row r="37" spans="1:10" ht="14.7">
      <c r="A37" s="1278"/>
      <c r="B37" s="1278"/>
      <c r="C37" s="1278"/>
      <c r="D37" s="1278"/>
      <c r="E37" s="1278"/>
      <c r="F37" s="1278"/>
      <c r="G37" s="1278"/>
      <c r="H37" s="1278" t="s">
        <v>2823</v>
      </c>
      <c r="I37" s="1278" t="s">
        <v>2824</v>
      </c>
      <c r="J37" s="1277"/>
    </row>
    <row r="38" spans="1:10" ht="61.5" customHeight="1">
      <c r="A38" s="1278">
        <v>11</v>
      </c>
      <c r="B38" s="2611" t="str">
        <f>'SANITARY DATA2'!D83</f>
        <v>Supplying &amp; fixing 150 mm x 100 mm SWG gully traps of ISI make conforming to ISI 651 &amp; 4127 with C.I Grating &amp; Constructing Brick masonry in CM 1:6 prop. Intermediate chamber and fitted with 304.8 mm x 288.6mm (12"x9") C.I Frame and hinged cover.</v>
      </c>
      <c r="C38" s="2611"/>
      <c r="D38" s="2611"/>
      <c r="E38" s="2611"/>
      <c r="F38" s="2611"/>
      <c r="G38" s="2611"/>
      <c r="H38" s="2611"/>
      <c r="I38" s="2611"/>
      <c r="J38" s="1277"/>
    </row>
    <row r="39" spans="1:10" ht="14.7">
      <c r="A39" s="1278"/>
      <c r="B39" s="1278"/>
      <c r="C39" s="1278">
        <v>1</v>
      </c>
      <c r="D39" s="1278">
        <v>1</v>
      </c>
      <c r="E39" s="1278" t="s">
        <v>524</v>
      </c>
      <c r="F39" s="1278" t="s">
        <v>524</v>
      </c>
      <c r="G39" s="1278" t="s">
        <v>524</v>
      </c>
      <c r="H39" s="1278">
        <f>PRODUCT(C39:G39)</f>
        <v>1</v>
      </c>
      <c r="I39" s="1278"/>
      <c r="J39" s="1277"/>
    </row>
    <row r="40" spans="1:10" ht="14.7">
      <c r="A40" s="1278"/>
      <c r="B40" s="1278"/>
      <c r="C40" s="1278"/>
      <c r="D40" s="1278"/>
      <c r="E40" s="1278"/>
      <c r="F40" s="1278"/>
      <c r="G40" s="1278" t="s">
        <v>674</v>
      </c>
      <c r="H40" s="1278">
        <f>SUM(H39:H39)</f>
        <v>1</v>
      </c>
      <c r="I40" s="1277">
        <f>'SANITARY DATA2'!H86</f>
        <v>749</v>
      </c>
      <c r="J40" s="1277">
        <f>ROUND(H40*I40,)</f>
        <v>749</v>
      </c>
    </row>
    <row r="41" spans="1:10" ht="14.7">
      <c r="A41" s="1278"/>
      <c r="B41" s="1278"/>
      <c r="C41" s="1278"/>
      <c r="D41" s="1278"/>
      <c r="E41" s="1278"/>
      <c r="F41" s="1278"/>
      <c r="G41" s="1278"/>
      <c r="H41" s="1278" t="s">
        <v>2823</v>
      </c>
      <c r="I41" s="1278" t="s">
        <v>2824</v>
      </c>
      <c r="J41" s="1277"/>
    </row>
    <row r="42" spans="1:10" ht="75" customHeight="1">
      <c r="A42" s="1278">
        <v>12</v>
      </c>
      <c r="B42" s="2612" t="str">
        <f>'SANITARY DATA2'!D93</f>
        <v xml:space="preserve">Supplying, laying, jointing and testing 152.4mm SWG SP1 pipes of ISI make confirming to ISI 651 and 4127 with air tight cement joints in CM1.5:1 propot. Including excaGSTion of trenches and socket pits in any soil(except rock with wiring blasting) upto 1524mm depth and refilling with watering and tampering. </v>
      </c>
      <c r="C42" s="2612"/>
      <c r="D42" s="2612"/>
      <c r="E42" s="2612"/>
      <c r="F42" s="2612"/>
      <c r="G42" s="2612"/>
      <c r="H42" s="2612"/>
      <c r="I42" s="2612"/>
      <c r="J42" s="1277"/>
    </row>
    <row r="43" spans="1:10" ht="14.7">
      <c r="A43" s="1278"/>
      <c r="B43" s="1278"/>
      <c r="C43" s="1278">
        <v>1</v>
      </c>
      <c r="D43" s="1278">
        <v>1</v>
      </c>
      <c r="E43" s="1278">
        <v>9</v>
      </c>
      <c r="F43" s="1278" t="s">
        <v>524</v>
      </c>
      <c r="G43" s="1278" t="s">
        <v>524</v>
      </c>
      <c r="H43" s="1278">
        <f>+E43</f>
        <v>9</v>
      </c>
      <c r="I43" s="1278"/>
      <c r="J43" s="1277"/>
    </row>
    <row r="44" spans="1:10" ht="14.7">
      <c r="A44" s="1278"/>
      <c r="B44" s="1278"/>
      <c r="C44" s="1278"/>
      <c r="D44" s="1278"/>
      <c r="E44" s="1278"/>
      <c r="F44" s="1278"/>
      <c r="G44" s="1278" t="s">
        <v>674</v>
      </c>
      <c r="H44" s="1278">
        <f>E43</f>
        <v>9</v>
      </c>
      <c r="I44" s="1277">
        <f>'SANITARY DATA2'!H97</f>
        <v>1122</v>
      </c>
      <c r="J44" s="1277">
        <f>ROUND(H44*I44,)</f>
        <v>10098</v>
      </c>
    </row>
    <row r="45" spans="1:10" ht="14.7">
      <c r="A45" s="1278"/>
      <c r="B45" s="1278"/>
      <c r="C45" s="1278"/>
      <c r="D45" s="1278"/>
      <c r="E45" s="1278"/>
      <c r="F45" s="1278"/>
      <c r="G45" s="1278"/>
      <c r="H45" s="1278" t="s">
        <v>2823</v>
      </c>
      <c r="I45" s="1278" t="s">
        <v>2952</v>
      </c>
      <c r="J45" s="1277"/>
    </row>
    <row r="46" spans="1:10" ht="46.5" customHeight="1">
      <c r="A46" s="1278">
        <v>13</v>
      </c>
      <c r="B46" s="2611" t="str">
        <f>' DATA -Sanitary&amp;water supply'!B118</f>
        <v>Providing &amp; Placing on Terrace (at all floor levels) polyethylene water storage tank with Double layer
approved brand &amp; manufacture with cover and suitable locking arrangement &amp; making necessary holes for inlet &amp; outlets and over flow pipes but without fittings &amp; base support for tanks</v>
      </c>
      <c r="C46" s="2611"/>
      <c r="D46" s="2611"/>
      <c r="E46" s="2611"/>
      <c r="F46" s="2611"/>
      <c r="G46" s="2611"/>
      <c r="H46" s="2611"/>
      <c r="I46" s="2611"/>
      <c r="J46" s="1277"/>
    </row>
    <row r="47" spans="1:10" ht="14.7">
      <c r="A47" s="1278"/>
      <c r="B47" s="1278"/>
      <c r="C47" s="1278">
        <v>1</v>
      </c>
      <c r="D47" s="1278">
        <v>1</v>
      </c>
      <c r="E47" s="1278">
        <v>1000</v>
      </c>
      <c r="F47" s="1278" t="s">
        <v>524</v>
      </c>
      <c r="G47" s="1278" t="s">
        <v>524</v>
      </c>
      <c r="H47" s="1278">
        <v>1000</v>
      </c>
      <c r="I47" s="1278"/>
      <c r="J47" s="1277"/>
    </row>
    <row r="48" spans="1:10" ht="14.7">
      <c r="A48" s="1278"/>
      <c r="B48" s="1278"/>
      <c r="C48" s="1278"/>
      <c r="D48" s="1278"/>
      <c r="E48" s="1278"/>
      <c r="F48" s="1278"/>
      <c r="G48" s="1278" t="s">
        <v>674</v>
      </c>
      <c r="H48" s="1278">
        <f>H47</f>
        <v>1000</v>
      </c>
      <c r="I48" s="1277">
        <f>' DATA -Sanitary&amp;water supply'!G124</f>
        <v>10</v>
      </c>
      <c r="J48" s="1277">
        <f>ROUND(H48*I48,)</f>
        <v>10000</v>
      </c>
    </row>
    <row r="49" spans="1:10" ht="14.7">
      <c r="A49" s="1278"/>
      <c r="B49" s="1278"/>
      <c r="C49" s="1278"/>
      <c r="D49" s="1278"/>
      <c r="E49" s="1278"/>
      <c r="F49" s="1278"/>
      <c r="G49" s="1278"/>
      <c r="H49" s="1278" t="s">
        <v>2823</v>
      </c>
      <c r="I49" s="1278" t="s">
        <v>2824</v>
      </c>
      <c r="J49" s="1277"/>
    </row>
    <row r="50" spans="1:10" ht="42.75" customHeight="1">
      <c r="A50" s="1321">
        <v>19</v>
      </c>
      <c r="B50" s="2613" t="s">
        <v>3177</v>
      </c>
      <c r="C50" s="2613"/>
      <c r="D50" s="2613"/>
      <c r="E50" s="2613"/>
      <c r="F50" s="2613"/>
      <c r="G50" s="2613"/>
      <c r="H50" s="2613"/>
      <c r="I50" s="1321"/>
      <c r="J50" s="1322"/>
    </row>
    <row r="51" spans="1:10" ht="14.7">
      <c r="A51" s="1321"/>
      <c r="B51" s="1321" t="s">
        <v>3178</v>
      </c>
      <c r="C51" s="1321">
        <v>1</v>
      </c>
      <c r="D51" s="1321">
        <v>1</v>
      </c>
      <c r="E51" s="1321" t="s">
        <v>524</v>
      </c>
      <c r="F51" s="1321" t="s">
        <v>524</v>
      </c>
      <c r="G51" s="1321" t="s">
        <v>524</v>
      </c>
      <c r="H51" s="1278">
        <f>D51</f>
        <v>1</v>
      </c>
      <c r="I51" s="1321"/>
      <c r="J51" s="1322"/>
    </row>
    <row r="52" spans="1:10" ht="14.7">
      <c r="A52" s="1321"/>
      <c r="B52" s="1321"/>
      <c r="C52" s="1321"/>
      <c r="D52" s="1321"/>
      <c r="E52" s="1321"/>
      <c r="F52" s="1321"/>
      <c r="G52" s="1321" t="s">
        <v>2684</v>
      </c>
      <c r="H52" s="1278">
        <f>H51</f>
        <v>1</v>
      </c>
      <c r="I52" s="1322">
        <v>17000</v>
      </c>
      <c r="J52" s="1277">
        <f>ROUND(H52*I52,)</f>
        <v>17000</v>
      </c>
    </row>
    <row r="53" spans="1:10" ht="14.7">
      <c r="A53" s="1321"/>
      <c r="B53" s="1321"/>
      <c r="C53" s="1321"/>
      <c r="D53" s="1321"/>
      <c r="E53" s="1321"/>
      <c r="F53" s="1321"/>
      <c r="G53" s="1321"/>
      <c r="H53" s="1321" t="s">
        <v>1473</v>
      </c>
      <c r="I53" s="1321" t="s">
        <v>2757</v>
      </c>
      <c r="J53" s="1322"/>
    </row>
    <row r="54" spans="1:10" ht="14.7">
      <c r="A54" s="1323"/>
      <c r="B54" s="1323"/>
      <c r="C54" s="1323"/>
      <c r="D54" s="1323"/>
      <c r="E54" s="1323"/>
      <c r="F54" s="1323"/>
      <c r="G54" s="1323"/>
      <c r="H54" s="1323"/>
      <c r="I54" s="1324" t="s">
        <v>522</v>
      </c>
      <c r="J54" s="1324">
        <f>SUM(J4:J53)</f>
        <v>55880</v>
      </c>
    </row>
    <row r="55" spans="1:10" ht="14.7">
      <c r="A55" s="1323"/>
      <c r="B55" s="1323"/>
      <c r="C55" s="1323"/>
      <c r="D55" s="1323"/>
      <c r="E55" s="1323"/>
      <c r="F55" s="1323"/>
      <c r="G55" s="1323"/>
      <c r="H55" s="1323"/>
      <c r="I55" s="1324"/>
      <c r="J55" s="1324"/>
    </row>
    <row r="56" spans="1:10" ht="14.7">
      <c r="A56" s="1323"/>
      <c r="B56" s="1323"/>
      <c r="C56" s="1323"/>
      <c r="D56" s="1323"/>
      <c r="E56" s="1323"/>
      <c r="F56" s="1323"/>
      <c r="G56" s="1323"/>
      <c r="H56" s="1323"/>
      <c r="I56" s="1324"/>
      <c r="J56" s="1324"/>
    </row>
    <row r="57" spans="1:10" ht="14.7">
      <c r="A57" s="1323"/>
      <c r="B57" s="1323"/>
      <c r="C57" s="1323"/>
      <c r="D57" s="1323"/>
      <c r="E57" s="1323"/>
      <c r="F57" s="1323"/>
      <c r="G57" s="1323"/>
      <c r="H57" s="1323"/>
      <c r="I57" s="1324"/>
      <c r="J57" s="1324"/>
    </row>
    <row r="58" spans="1:10" ht="15.6">
      <c r="A58" s="1323"/>
      <c r="B58" s="1798" t="s">
        <v>3194</v>
      </c>
      <c r="C58" s="1323"/>
      <c r="D58" s="1323"/>
      <c r="E58" s="1323"/>
      <c r="F58" s="1323"/>
      <c r="G58" s="2614" t="s">
        <v>3195</v>
      </c>
      <c r="H58" s="2615"/>
      <c r="I58" s="2616"/>
      <c r="J58" s="1324"/>
    </row>
    <row r="59" spans="1:10" ht="15.6">
      <c r="A59" s="1323"/>
      <c r="B59" s="1351" t="str">
        <f>CONCATENATE("PR MPP ",'input sheet'!$C$7)</f>
        <v>PR MPP Kalwakurthy</v>
      </c>
      <c r="C59" s="1323"/>
      <c r="D59" s="1323"/>
      <c r="E59" s="1323"/>
      <c r="F59" s="1323"/>
      <c r="G59" s="2617" t="str">
        <f>CONCATENATE("PR SD ",'input sheet'!$C$8)</f>
        <v>PR SD Kalwakurthy</v>
      </c>
      <c r="H59" s="2618"/>
      <c r="I59" s="2619"/>
      <c r="J59" s="1324"/>
    </row>
    <row r="60" spans="1:10" ht="14.7">
      <c r="A60" s="1323"/>
      <c r="B60" s="1323"/>
      <c r="C60" s="1323"/>
      <c r="D60" s="1323"/>
      <c r="E60" s="1323"/>
      <c r="F60" s="1323"/>
      <c r="G60" s="1323"/>
      <c r="H60" s="1323"/>
      <c r="I60" s="1324"/>
      <c r="J60" s="1324"/>
    </row>
    <row r="61" spans="1:10" ht="14.7">
      <c r="A61" s="1323"/>
      <c r="B61" s="1323"/>
      <c r="C61" s="1323"/>
      <c r="D61" s="1323"/>
      <c r="E61" s="1323"/>
      <c r="F61" s="1323"/>
      <c r="G61" s="1323"/>
      <c r="H61" s="1323"/>
      <c r="I61" s="1324"/>
      <c r="J61" s="1324"/>
    </row>
    <row r="62" spans="1:10" ht="14.7">
      <c r="A62" s="1323"/>
      <c r="B62" s="1323"/>
      <c r="C62" s="1323"/>
      <c r="D62" s="1323"/>
      <c r="E62" s="1323"/>
      <c r="F62" s="1323"/>
      <c r="G62" s="1323"/>
      <c r="H62" s="1323"/>
      <c r="I62" s="1324"/>
      <c r="J62" s="1324"/>
    </row>
    <row r="63" spans="1:10" ht="14.7">
      <c r="A63" s="1323"/>
      <c r="B63" s="1323"/>
      <c r="C63" s="1323"/>
      <c r="D63" s="1323"/>
      <c r="E63" s="1323"/>
      <c r="F63" s="1323"/>
      <c r="G63" s="1323"/>
      <c r="H63" s="1323"/>
      <c r="I63" s="1324"/>
      <c r="J63" s="1324"/>
    </row>
    <row r="64" spans="1:10" ht="14.7">
      <c r="A64" s="1323"/>
      <c r="B64" s="1323"/>
      <c r="C64" s="1323"/>
      <c r="D64" s="1323"/>
      <c r="E64" s="1323"/>
      <c r="F64" s="1323"/>
      <c r="G64" s="1323"/>
      <c r="H64" s="1323"/>
      <c r="I64" s="1324"/>
      <c r="J64" s="1324"/>
    </row>
    <row r="65" spans="1:10" ht="14.7">
      <c r="A65" s="1323"/>
      <c r="B65" s="1323"/>
      <c r="C65" s="1323"/>
      <c r="D65" s="1323"/>
      <c r="E65" s="1323"/>
      <c r="F65" s="1323"/>
      <c r="G65" s="1323"/>
      <c r="H65" s="1323"/>
      <c r="I65" s="1324"/>
      <c r="J65" s="1324"/>
    </row>
    <row r="66" spans="1:10" ht="14.7">
      <c r="A66" s="1323"/>
      <c r="B66" s="1274" t="s">
        <v>2990</v>
      </c>
      <c r="C66" s="1323"/>
      <c r="D66" s="1323"/>
      <c r="E66" s="1323"/>
      <c r="F66" s="1323"/>
      <c r="G66" s="1323"/>
      <c r="H66" s="1323"/>
      <c r="I66" s="1323"/>
      <c r="J66" s="1323"/>
    </row>
    <row r="67" spans="1:10" ht="13.8">
      <c r="A67" s="1325"/>
      <c r="B67" s="1325"/>
      <c r="C67" s="1325"/>
      <c r="D67" s="1325"/>
      <c r="E67" s="1325"/>
      <c r="F67" s="1325"/>
      <c r="G67" s="1325"/>
      <c r="H67" s="1325"/>
      <c r="I67" s="1325"/>
      <c r="J67" s="1325"/>
    </row>
  </sheetData>
  <mergeCells count="17">
    <mergeCell ref="A1:J1"/>
    <mergeCell ref="A2:J2"/>
    <mergeCell ref="B8:I8"/>
    <mergeCell ref="B12:I12"/>
    <mergeCell ref="B4:I4"/>
    <mergeCell ref="B50:H50"/>
    <mergeCell ref="B46:I46"/>
    <mergeCell ref="G58:I58"/>
    <mergeCell ref="G59:I59"/>
    <mergeCell ref="B42:I42"/>
    <mergeCell ref="B34:I34"/>
    <mergeCell ref="B38:I38"/>
    <mergeCell ref="B16:I16"/>
    <mergeCell ref="B20:I20"/>
    <mergeCell ref="B24:I24"/>
    <mergeCell ref="B28:I28"/>
    <mergeCell ref="B31:I31"/>
  </mergeCells>
  <pageMargins left="0.70866141732283472" right="0.70866141732283472" top="0.74803149606299213" bottom="0.74803149606299213" header="0.31496062992125984" footer="0.31496062992125984"/>
  <pageSetup paperSize="9" scale="73" orientation="portrait" verticalDpi="4294967293" r:id="rId1"/>
  <headerFooter>
    <oddFooter>Page &amp;P of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00B0F0"/>
  </sheetPr>
  <dimension ref="A1:J96"/>
  <sheetViews>
    <sheetView view="pageBreakPreview" zoomScale="85" zoomScaleSheetLayoutView="85" workbookViewId="0">
      <selection activeCell="A2" sqref="A2:J2"/>
    </sheetView>
  </sheetViews>
  <sheetFormatPr defaultColWidth="9.109375" defaultRowHeight="12.3"/>
  <cols>
    <col min="1" max="1" width="9.109375" style="1248"/>
    <col min="2" max="2" width="26.6640625" style="1248" customWidth="1"/>
    <col min="3" max="3" width="12.109375" style="1248" customWidth="1"/>
    <col min="4" max="8" width="9.109375" style="1248"/>
    <col min="9" max="9" width="11.109375" style="1248" customWidth="1"/>
    <col min="10" max="10" width="12.6640625" style="1248" customWidth="1"/>
    <col min="11" max="16384" width="9.109375" style="1248"/>
  </cols>
  <sheetData>
    <row r="1" spans="1:10" ht="14.7">
      <c r="A1" s="2620" t="s">
        <v>2855</v>
      </c>
      <c r="B1" s="2620"/>
      <c r="C1" s="2620"/>
      <c r="D1" s="2620"/>
      <c r="E1" s="2620"/>
      <c r="F1" s="2620"/>
      <c r="G1" s="2620"/>
      <c r="H1" s="2620"/>
      <c r="I1" s="2620"/>
      <c r="J1" s="2620"/>
    </row>
    <row r="2" spans="1:10" ht="17.399999999999999">
      <c r="A2" s="2624" t="str">
        <f>'Lead- Input sheet '!A2</f>
        <v xml:space="preserve"> Construction of  Anganwadi Building at Jeedipally Thanda (V) of Kalwakurthy (M) of Nagarkurnool District </v>
      </c>
      <c r="B2" s="2625"/>
      <c r="C2" s="2625"/>
      <c r="D2" s="2625"/>
      <c r="E2" s="2625"/>
      <c r="F2" s="2625"/>
      <c r="G2" s="2625"/>
      <c r="H2" s="2625"/>
      <c r="I2" s="2625"/>
      <c r="J2" s="2626"/>
    </row>
    <row r="3" spans="1:10" ht="29.4">
      <c r="A3" s="1311" t="s">
        <v>2856</v>
      </c>
      <c r="B3" s="1311" t="s">
        <v>517</v>
      </c>
      <c r="C3" s="1311" t="s">
        <v>2857</v>
      </c>
      <c r="D3" s="1311"/>
      <c r="E3" s="1311" t="s">
        <v>1417</v>
      </c>
      <c r="F3" s="1311" t="s">
        <v>859</v>
      </c>
      <c r="G3" s="1311" t="s">
        <v>785</v>
      </c>
      <c r="H3" s="1311" t="s">
        <v>2672</v>
      </c>
      <c r="I3" s="1311" t="s">
        <v>1479</v>
      </c>
      <c r="J3" s="1311" t="s">
        <v>1256</v>
      </c>
    </row>
    <row r="4" spans="1:10" ht="36" customHeight="1">
      <c r="A4" s="1278">
        <v>1</v>
      </c>
      <c r="B4" s="2610" t="str">
        <f>'data-Elec '!D44</f>
        <v>Supply and Fixing of 25mm dia 2.00 mm thick PVC pipe (ISI MARK) concealed in wall with all required accessories including masonary work  and labour charges etc., complete.</v>
      </c>
      <c r="C4" s="2610"/>
      <c r="D4" s="2610"/>
      <c r="E4" s="2610"/>
      <c r="F4" s="2610"/>
      <c r="G4" s="2610"/>
      <c r="H4" s="2610"/>
      <c r="I4" s="2610"/>
      <c r="J4" s="1278"/>
    </row>
    <row r="5" spans="1:10" ht="14.7">
      <c r="A5" s="1278"/>
      <c r="B5" s="1278"/>
      <c r="C5" s="1278">
        <v>1</v>
      </c>
      <c r="D5" s="1278">
        <v>1</v>
      </c>
      <c r="E5" s="1278">
        <v>50</v>
      </c>
      <c r="F5" s="1278"/>
      <c r="G5" s="1278"/>
      <c r="H5" s="1278">
        <v>50</v>
      </c>
      <c r="I5" s="1278"/>
      <c r="J5" s="1278"/>
    </row>
    <row r="6" spans="1:10" ht="14.7">
      <c r="A6" s="1278"/>
      <c r="B6" s="1278"/>
      <c r="C6" s="1278"/>
      <c r="D6" s="1278"/>
      <c r="E6" s="1278"/>
      <c r="F6" s="1278"/>
      <c r="G6" s="1278"/>
      <c r="H6" s="1278">
        <f>SUM(H5)</f>
        <v>50</v>
      </c>
      <c r="I6" s="1277">
        <f>'data-Elec '!H60</f>
        <v>111.43</v>
      </c>
      <c r="J6" s="1277">
        <f>ROUND(I6*H6,)</f>
        <v>5572</v>
      </c>
    </row>
    <row r="7" spans="1:10" ht="14.7">
      <c r="A7" s="1278"/>
      <c r="B7" s="1278"/>
      <c r="C7" s="1278"/>
      <c r="D7" s="1278"/>
      <c r="E7" s="1278"/>
      <c r="F7" s="1278"/>
      <c r="G7" s="1278"/>
      <c r="H7" s="1278"/>
      <c r="I7" s="1278" t="s">
        <v>2858</v>
      </c>
      <c r="J7" s="1278"/>
    </row>
    <row r="8" spans="1:10" ht="39" customHeight="1">
      <c r="A8" s="1278">
        <v>2</v>
      </c>
      <c r="B8" s="2610" t="str">
        <f>'data-Elec '!D61</f>
        <v>Supply and Fixing of 25mm dia 2mm thick PVC pipe (ISI MARK) concealed in Roof Slabs with all required accessories including masonary work  and labour charges etc., complete.</v>
      </c>
      <c r="C8" s="2610"/>
      <c r="D8" s="2610"/>
      <c r="E8" s="2610"/>
      <c r="F8" s="2610"/>
      <c r="G8" s="2610"/>
      <c r="H8" s="2610"/>
      <c r="I8" s="2610"/>
      <c r="J8" s="1278"/>
    </row>
    <row r="9" spans="1:10" ht="14.7">
      <c r="A9" s="1278"/>
      <c r="B9" s="1278"/>
      <c r="C9" s="1278">
        <v>1</v>
      </c>
      <c r="D9" s="1278">
        <v>1</v>
      </c>
      <c r="E9" s="1278">
        <v>50</v>
      </c>
      <c r="F9" s="1278"/>
      <c r="G9" s="1278"/>
      <c r="H9" s="1278">
        <v>50</v>
      </c>
      <c r="I9" s="1278"/>
      <c r="J9" s="1278"/>
    </row>
    <row r="10" spans="1:10" ht="14.7">
      <c r="A10" s="1278"/>
      <c r="B10" s="1278"/>
      <c r="C10" s="1278"/>
      <c r="D10" s="1278"/>
      <c r="E10" s="1278"/>
      <c r="F10" s="1278"/>
      <c r="G10" s="1278"/>
      <c r="H10" s="1278">
        <f>SUM(H9)</f>
        <v>50</v>
      </c>
      <c r="I10" s="1275">
        <f>'data-Elec '!H74</f>
        <v>94.5</v>
      </c>
      <c r="J10" s="1277">
        <f>ROUND(I10*H10,)</f>
        <v>4725</v>
      </c>
    </row>
    <row r="11" spans="1:10" ht="14.7">
      <c r="A11" s="1278"/>
      <c r="B11" s="1278"/>
      <c r="C11" s="1278"/>
      <c r="D11" s="1278"/>
      <c r="E11" s="1278"/>
      <c r="F11" s="1278"/>
      <c r="G11" s="1278"/>
      <c r="H11" s="1278"/>
      <c r="I11" s="1278" t="s">
        <v>2858</v>
      </c>
      <c r="J11" s="1278"/>
    </row>
    <row r="12" spans="1:10" ht="98.25" customHeight="1">
      <c r="A12" s="1278">
        <v>3</v>
      </c>
      <c r="B12" s="2610" t="str">
        <f>'data-Elec '!D77</f>
        <v>Wiring with 2 runs of 14/0.3mm (1.5 Sq.mm) Fire Retardant (FR) P.V.C. insulated flexible copper cable (ISI MARK) in existing pipe with 6A switch, Ceiling rose and 3mm thick hylam sheet covering to switch control box including all labour charges etc., complete for light, bell, fan and exhaust fan points in Non-Residential Buildings and as per 2.1.1 of Sta  revised data of BLD -ELEC-2-1.1 Finolex / RR kabel / Havells / APAR EBXL / KEI(HFFR) / Polycab ((HR_FR-LF) / L&amp;T / V-Guard (HFFR).</v>
      </c>
      <c r="C12" s="2610"/>
      <c r="D12" s="2610"/>
      <c r="E12" s="2610"/>
      <c r="F12" s="2610"/>
      <c r="G12" s="2610"/>
      <c r="H12" s="2610"/>
      <c r="I12" s="2610"/>
      <c r="J12" s="1278"/>
    </row>
    <row r="13" spans="1:10" ht="14.7">
      <c r="A13" s="1278"/>
      <c r="B13" s="1278" t="s">
        <v>2859</v>
      </c>
      <c r="C13" s="1278"/>
      <c r="D13" s="1278"/>
      <c r="E13" s="1278"/>
      <c r="F13" s="1278"/>
      <c r="G13" s="1278"/>
      <c r="H13" s="1278"/>
      <c r="I13" s="1278"/>
      <c r="J13" s="1278"/>
    </row>
    <row r="14" spans="1:10" ht="14.7">
      <c r="A14" s="1278"/>
      <c r="B14" s="1278" t="s">
        <v>2860</v>
      </c>
      <c r="C14" s="1278">
        <v>1</v>
      </c>
      <c r="D14" s="1278">
        <v>4</v>
      </c>
      <c r="E14" s="1278" t="s">
        <v>524</v>
      </c>
      <c r="F14" s="1278" t="s">
        <v>524</v>
      </c>
      <c r="G14" s="1278" t="s">
        <v>524</v>
      </c>
      <c r="H14" s="1278">
        <f>PRODUCT(C14:G14)</f>
        <v>4</v>
      </c>
      <c r="I14" s="1278"/>
      <c r="J14" s="1278"/>
    </row>
    <row r="15" spans="1:10" ht="14.7">
      <c r="A15" s="1278"/>
      <c r="B15" s="1278" t="s">
        <v>2861</v>
      </c>
      <c r="C15" s="1278">
        <v>1</v>
      </c>
      <c r="D15" s="1278">
        <v>4</v>
      </c>
      <c r="E15" s="1278" t="s">
        <v>524</v>
      </c>
      <c r="F15" s="1278" t="s">
        <v>524</v>
      </c>
      <c r="G15" s="1278" t="s">
        <v>524</v>
      </c>
      <c r="H15" s="1278">
        <f>PRODUCT(C15:G15)</f>
        <v>4</v>
      </c>
      <c r="I15" s="1278"/>
      <c r="J15" s="1278"/>
    </row>
    <row r="16" spans="1:10" ht="14.7">
      <c r="A16" s="1278"/>
      <c r="B16" s="1278" t="s">
        <v>2862</v>
      </c>
      <c r="C16" s="1278"/>
      <c r="D16" s="1278"/>
      <c r="E16" s="1278"/>
      <c r="F16" s="1278"/>
      <c r="G16" s="1278"/>
      <c r="H16" s="1278"/>
      <c r="I16" s="1278"/>
      <c r="J16" s="1278"/>
    </row>
    <row r="17" spans="1:10" ht="14.7">
      <c r="A17" s="1278"/>
      <c r="B17" s="1278" t="s">
        <v>2860</v>
      </c>
      <c r="C17" s="1278">
        <v>1</v>
      </c>
      <c r="D17" s="1278">
        <v>3</v>
      </c>
      <c r="E17" s="1278" t="s">
        <v>524</v>
      </c>
      <c r="F17" s="1278" t="s">
        <v>524</v>
      </c>
      <c r="G17" s="1278" t="s">
        <v>524</v>
      </c>
      <c r="H17" s="1278">
        <f>PRODUCT(C17:G17)</f>
        <v>3</v>
      </c>
      <c r="I17" s="1278"/>
      <c r="J17" s="1278"/>
    </row>
    <row r="18" spans="1:10" ht="14.7">
      <c r="A18" s="1278"/>
      <c r="B18" s="1278" t="s">
        <v>2861</v>
      </c>
      <c r="C18" s="1278">
        <v>1</v>
      </c>
      <c r="D18" s="1278">
        <v>1</v>
      </c>
      <c r="E18" s="1278" t="s">
        <v>524</v>
      </c>
      <c r="F18" s="1278" t="s">
        <v>524</v>
      </c>
      <c r="G18" s="1278" t="s">
        <v>524</v>
      </c>
      <c r="H18" s="1278">
        <f>PRODUCT(C18:G18)</f>
        <v>1</v>
      </c>
      <c r="I18" s="1278"/>
      <c r="J18" s="1278"/>
    </row>
    <row r="19" spans="1:10" ht="14.7">
      <c r="A19" s="1278"/>
      <c r="B19" s="1278" t="s">
        <v>2863</v>
      </c>
      <c r="C19" s="1278"/>
      <c r="D19" s="1278"/>
      <c r="E19" s="1278"/>
      <c r="F19" s="1278"/>
      <c r="G19" s="1278"/>
      <c r="H19" s="1278"/>
      <c r="I19" s="1278"/>
      <c r="J19" s="1278"/>
    </row>
    <row r="20" spans="1:10" ht="14.7">
      <c r="A20" s="1278"/>
      <c r="B20" s="1278" t="s">
        <v>2860</v>
      </c>
      <c r="C20" s="1278">
        <v>1</v>
      </c>
      <c r="D20" s="1278">
        <v>2</v>
      </c>
      <c r="E20" s="1278" t="s">
        <v>524</v>
      </c>
      <c r="F20" s="1278" t="s">
        <v>524</v>
      </c>
      <c r="G20" s="1278" t="s">
        <v>524</v>
      </c>
      <c r="H20" s="1278">
        <f>PRODUCT(C20:G20)</f>
        <v>2</v>
      </c>
      <c r="I20" s="1278"/>
      <c r="J20" s="1278"/>
    </row>
    <row r="21" spans="1:10" ht="14.7">
      <c r="A21" s="1278"/>
      <c r="B21" s="1278" t="s">
        <v>2861</v>
      </c>
      <c r="C21" s="1278">
        <v>1</v>
      </c>
      <c r="D21" s="1278">
        <v>1</v>
      </c>
      <c r="E21" s="1278" t="s">
        <v>524</v>
      </c>
      <c r="F21" s="1278" t="s">
        <v>524</v>
      </c>
      <c r="G21" s="1278" t="s">
        <v>524</v>
      </c>
      <c r="H21" s="1278">
        <f>PRODUCT(C21:G21)</f>
        <v>1</v>
      </c>
      <c r="I21" s="1278"/>
      <c r="J21" s="1278"/>
    </row>
    <row r="22" spans="1:10" ht="44.1">
      <c r="A22" s="1278"/>
      <c r="B22" s="1326" t="s">
        <v>2864</v>
      </c>
      <c r="C22" s="1278">
        <v>1</v>
      </c>
      <c r="D22" s="1278">
        <v>1</v>
      </c>
      <c r="E22" s="1278" t="s">
        <v>524</v>
      </c>
      <c r="F22" s="1278" t="s">
        <v>524</v>
      </c>
      <c r="G22" s="1278" t="s">
        <v>524</v>
      </c>
      <c r="H22" s="1278">
        <f>PRODUCT(C22:G22)</f>
        <v>1</v>
      </c>
      <c r="I22" s="1278"/>
      <c r="J22" s="1278"/>
    </row>
    <row r="23" spans="1:10" ht="14.7">
      <c r="A23" s="1278"/>
      <c r="B23" s="1278" t="s">
        <v>2865</v>
      </c>
      <c r="C23" s="1278">
        <v>1</v>
      </c>
      <c r="D23" s="1278">
        <v>1</v>
      </c>
      <c r="E23" s="1278" t="s">
        <v>524</v>
      </c>
      <c r="F23" s="1278" t="s">
        <v>524</v>
      </c>
      <c r="G23" s="1278" t="s">
        <v>524</v>
      </c>
      <c r="H23" s="1278">
        <f>PRODUCT(C23:G23)</f>
        <v>1</v>
      </c>
      <c r="I23" s="1278"/>
      <c r="J23" s="1278"/>
    </row>
    <row r="24" spans="1:10" ht="14.7">
      <c r="A24" s="1278"/>
      <c r="B24" s="1278" t="s">
        <v>2866</v>
      </c>
      <c r="C24" s="1278"/>
      <c r="D24" s="1278"/>
      <c r="E24" s="1278"/>
      <c r="F24" s="1278"/>
      <c r="G24" s="1278"/>
      <c r="H24" s="1278"/>
      <c r="I24" s="1278"/>
      <c r="J24" s="1278"/>
    </row>
    <row r="25" spans="1:10" ht="14.7">
      <c r="A25" s="1278"/>
      <c r="B25" s="1278" t="s">
        <v>2860</v>
      </c>
      <c r="C25" s="1278">
        <v>1</v>
      </c>
      <c r="D25" s="1278">
        <v>2</v>
      </c>
      <c r="E25" s="1278" t="s">
        <v>524</v>
      </c>
      <c r="F25" s="1278" t="s">
        <v>524</v>
      </c>
      <c r="G25" s="1278" t="s">
        <v>524</v>
      </c>
      <c r="H25" s="1278">
        <f>PRODUCT(C25:G25)</f>
        <v>2</v>
      </c>
      <c r="I25" s="1278"/>
      <c r="J25" s="1278"/>
    </row>
    <row r="26" spans="1:10" ht="14.7">
      <c r="A26" s="1278"/>
      <c r="B26" s="1278" t="s">
        <v>2861</v>
      </c>
      <c r="C26" s="1278">
        <v>1</v>
      </c>
      <c r="D26" s="1278">
        <v>1</v>
      </c>
      <c r="E26" s="1278" t="s">
        <v>524</v>
      </c>
      <c r="F26" s="1278" t="s">
        <v>524</v>
      </c>
      <c r="G26" s="1278" t="s">
        <v>524</v>
      </c>
      <c r="H26" s="1278">
        <f>PRODUCT(C26:G26)</f>
        <v>1</v>
      </c>
      <c r="I26" s="1278"/>
      <c r="J26" s="1278"/>
    </row>
    <row r="27" spans="1:10" ht="14.7">
      <c r="A27" s="1278"/>
      <c r="B27" s="1278" t="s">
        <v>2867</v>
      </c>
      <c r="C27" s="1278">
        <v>1</v>
      </c>
      <c r="D27" s="1278">
        <v>1</v>
      </c>
      <c r="E27" s="1278" t="s">
        <v>524</v>
      </c>
      <c r="F27" s="1278" t="s">
        <v>524</v>
      </c>
      <c r="G27" s="1278" t="s">
        <v>524</v>
      </c>
      <c r="H27" s="1278">
        <f>PRODUCT(C27:G27)</f>
        <v>1</v>
      </c>
      <c r="I27" s="1278"/>
      <c r="J27" s="1278"/>
    </row>
    <row r="28" spans="1:10" ht="44.1">
      <c r="A28" s="1278"/>
      <c r="B28" s="1326" t="s">
        <v>2868</v>
      </c>
      <c r="C28" s="1278">
        <v>1</v>
      </c>
      <c r="D28" s="1278">
        <v>1</v>
      </c>
      <c r="E28" s="1278" t="s">
        <v>524</v>
      </c>
      <c r="F28" s="1278" t="s">
        <v>524</v>
      </c>
      <c r="G28" s="1278" t="s">
        <v>524</v>
      </c>
      <c r="H28" s="1278">
        <f>PRODUCT(C28:G28)</f>
        <v>1</v>
      </c>
      <c r="I28" s="1278"/>
      <c r="J28" s="1278"/>
    </row>
    <row r="29" spans="1:10" ht="14.7">
      <c r="A29" s="1278"/>
      <c r="B29" s="1278"/>
      <c r="C29" s="1278"/>
      <c r="D29" s="1278"/>
      <c r="E29" s="1278"/>
      <c r="F29" s="1278"/>
      <c r="G29" s="1278" t="s">
        <v>674</v>
      </c>
      <c r="H29" s="1278">
        <f>SUM(H13:H28)</f>
        <v>22</v>
      </c>
      <c r="I29" s="1277">
        <f>'data-Elec '!H92</f>
        <v>554.66999999999996</v>
      </c>
      <c r="J29" s="1277">
        <f>ROUND(H29*I29,)</f>
        <v>12203</v>
      </c>
    </row>
    <row r="30" spans="1:10" ht="14.7">
      <c r="A30" s="1278"/>
      <c r="B30" s="1278"/>
      <c r="C30" s="1278"/>
      <c r="D30" s="1278"/>
      <c r="E30" s="1278"/>
      <c r="F30" s="1278"/>
      <c r="G30" s="1278"/>
      <c r="H30" s="1278" t="s">
        <v>1164</v>
      </c>
      <c r="I30" s="1278" t="s">
        <v>2824</v>
      </c>
      <c r="J30" s="1277"/>
    </row>
    <row r="31" spans="1:10" ht="54.75" customHeight="1">
      <c r="A31" s="1278">
        <v>4</v>
      </c>
      <c r="B31" s="2594" t="str">
        <f>'data-Elec '!D137</f>
        <v xml:space="preserve">Supply and run of 2 of 36/0.3mm (2.5 Sq.mm) F.R P.V.C. insulated flexible copper cable in existing pipe for mains inlcuding all labour charges etc., complete.(Anchor, Sudhakar, Gold stone, and Poly cab, Gloster) </v>
      </c>
      <c r="C31" s="2595"/>
      <c r="D31" s="2595"/>
      <c r="E31" s="2595"/>
      <c r="F31" s="2595"/>
      <c r="G31" s="2595"/>
      <c r="H31" s="2595"/>
      <c r="I31" s="2628"/>
      <c r="J31" s="1277"/>
    </row>
    <row r="32" spans="1:10" ht="14.7">
      <c r="A32" s="1278"/>
      <c r="B32" s="1278" t="s">
        <v>2869</v>
      </c>
      <c r="C32" s="1278"/>
      <c r="D32" s="1278"/>
      <c r="E32" s="1278"/>
      <c r="F32" s="1278"/>
      <c r="G32" s="1278"/>
      <c r="H32" s="1278"/>
      <c r="I32" s="1278"/>
      <c r="J32" s="1277"/>
    </row>
    <row r="33" spans="1:10" ht="14.7">
      <c r="A33" s="1278"/>
      <c r="B33" s="1278" t="s">
        <v>2870</v>
      </c>
      <c r="C33" s="1278">
        <v>1</v>
      </c>
      <c r="D33" s="1278">
        <v>1</v>
      </c>
      <c r="E33" s="1278">
        <f>0.5+2.4+4+2.4+0.5</f>
        <v>9.8000000000000007</v>
      </c>
      <c r="F33" s="1278" t="s">
        <v>524</v>
      </c>
      <c r="G33" s="1278" t="s">
        <v>524</v>
      </c>
      <c r="H33" s="1278">
        <f t="shared" ref="H33:H38" si="0">PRODUCT(C33:G33)</f>
        <v>9.8000000000000007</v>
      </c>
      <c r="I33" s="1278"/>
      <c r="J33" s="1277"/>
    </row>
    <row r="34" spans="1:10" ht="14.7">
      <c r="A34" s="1278"/>
      <c r="B34" s="1278" t="s">
        <v>2871</v>
      </c>
      <c r="C34" s="1278">
        <v>1</v>
      </c>
      <c r="D34" s="1278">
        <v>1</v>
      </c>
      <c r="E34" s="1278">
        <f>2.9+10+2.9</f>
        <v>15.8</v>
      </c>
      <c r="F34" s="1278" t="s">
        <v>524</v>
      </c>
      <c r="G34" s="1278" t="s">
        <v>524</v>
      </c>
      <c r="H34" s="1278">
        <f t="shared" si="0"/>
        <v>15.8</v>
      </c>
      <c r="I34" s="1278"/>
      <c r="J34" s="1277"/>
    </row>
    <row r="35" spans="1:10" ht="14.7">
      <c r="A35" s="1278"/>
      <c r="B35" s="1278" t="s">
        <v>2872</v>
      </c>
      <c r="C35" s="1278">
        <v>1</v>
      </c>
      <c r="D35" s="1278">
        <v>1</v>
      </c>
      <c r="E35" s="1278">
        <f>0.3+3+0.3</f>
        <v>3.5999999999999996</v>
      </c>
      <c r="F35" s="1278" t="s">
        <v>524</v>
      </c>
      <c r="G35" s="1278" t="s">
        <v>524</v>
      </c>
      <c r="H35" s="1278">
        <f t="shared" si="0"/>
        <v>3.5999999999999996</v>
      </c>
      <c r="I35" s="1278"/>
      <c r="J35" s="1277"/>
    </row>
    <row r="36" spans="1:10" ht="14.7">
      <c r="A36" s="1278"/>
      <c r="B36" s="1278" t="s">
        <v>2873</v>
      </c>
      <c r="C36" s="1278">
        <v>1</v>
      </c>
      <c r="D36" s="1278">
        <v>1</v>
      </c>
      <c r="E36" s="1278">
        <f>2.9+6+2.9</f>
        <v>11.8</v>
      </c>
      <c r="F36" s="1278" t="s">
        <v>524</v>
      </c>
      <c r="G36" s="1278" t="s">
        <v>524</v>
      </c>
      <c r="H36" s="1278">
        <f t="shared" si="0"/>
        <v>11.8</v>
      </c>
      <c r="I36" s="1278"/>
      <c r="J36" s="1277"/>
    </row>
    <row r="37" spans="1:10" ht="14.7">
      <c r="A37" s="1278"/>
      <c r="B37" s="1278" t="s">
        <v>2874</v>
      </c>
      <c r="C37" s="1278">
        <v>1</v>
      </c>
      <c r="D37" s="1278">
        <v>1</v>
      </c>
      <c r="E37" s="1278">
        <f>2.9+4+2.9</f>
        <v>9.8000000000000007</v>
      </c>
      <c r="F37" s="1278" t="s">
        <v>524</v>
      </c>
      <c r="G37" s="1278" t="s">
        <v>524</v>
      </c>
      <c r="H37" s="1278">
        <f t="shared" si="0"/>
        <v>9.8000000000000007</v>
      </c>
      <c r="I37" s="1278"/>
      <c r="J37" s="1277"/>
    </row>
    <row r="38" spans="1:10" ht="14.7">
      <c r="A38" s="1278"/>
      <c r="B38" s="1278" t="s">
        <v>2875</v>
      </c>
      <c r="C38" s="1278">
        <v>1</v>
      </c>
      <c r="D38" s="1278">
        <v>1</v>
      </c>
      <c r="E38" s="1278">
        <f>0.5+1.2+0.5</f>
        <v>2.2000000000000002</v>
      </c>
      <c r="F38" s="1278" t="s">
        <v>524</v>
      </c>
      <c r="G38" s="1278" t="s">
        <v>524</v>
      </c>
      <c r="H38" s="1278">
        <f t="shared" si="0"/>
        <v>2.2000000000000002</v>
      </c>
      <c r="I38" s="1278"/>
      <c r="J38" s="1277"/>
    </row>
    <row r="39" spans="1:10" ht="14.7">
      <c r="A39" s="1278"/>
      <c r="B39" s="1278"/>
      <c r="C39" s="1278"/>
      <c r="D39" s="1278"/>
      <c r="E39" s="1278"/>
      <c r="F39" s="1278"/>
      <c r="G39" s="1278" t="s">
        <v>674</v>
      </c>
      <c r="H39" s="1278">
        <f>SUM(H33:H38)</f>
        <v>53</v>
      </c>
      <c r="I39" s="1277">
        <f>'data-Elec '!H149</f>
        <v>100.55</v>
      </c>
      <c r="J39" s="1277">
        <f>ROUND(H39*I39,)</f>
        <v>5329</v>
      </c>
    </row>
    <row r="40" spans="1:10" ht="14.7">
      <c r="A40" s="1278"/>
      <c r="B40" s="1278"/>
      <c r="C40" s="1278"/>
      <c r="D40" s="1278"/>
      <c r="E40" s="1278"/>
      <c r="F40" s="1278"/>
      <c r="G40" s="1278"/>
      <c r="H40" s="1278" t="s">
        <v>1162</v>
      </c>
      <c r="I40" s="1278" t="s">
        <v>2876</v>
      </c>
      <c r="J40" s="1277"/>
    </row>
    <row r="41" spans="1:10" ht="53.25" customHeight="1">
      <c r="A41" s="1278">
        <v>5</v>
      </c>
      <c r="B41" s="2594" t="str">
        <f>'data-Elec '!D165</f>
        <v>Supply and fixing of 6A 3 pin wall plug socket with 6A switch control on a common switch board with earth continuity including wire leads, earth connections along with all labour charges etc., complete..and as per 2.1.4  of Sta  revised data of BLD -ELEC-2.1.4</v>
      </c>
      <c r="C41" s="2595"/>
      <c r="D41" s="2595"/>
      <c r="E41" s="2595"/>
      <c r="F41" s="2595"/>
      <c r="G41" s="2595"/>
      <c r="H41" s="2595"/>
      <c r="I41" s="2628"/>
      <c r="J41" s="1277"/>
    </row>
    <row r="42" spans="1:10" ht="14.7">
      <c r="A42" s="1278"/>
      <c r="B42" s="1278" t="s">
        <v>2877</v>
      </c>
      <c r="C42" s="1278">
        <v>1</v>
      </c>
      <c r="D42" s="1278">
        <v>4</v>
      </c>
      <c r="E42" s="1278" t="s">
        <v>524</v>
      </c>
      <c r="F42" s="1278" t="s">
        <v>524</v>
      </c>
      <c r="G42" s="1278" t="s">
        <v>524</v>
      </c>
      <c r="H42" s="1278">
        <f>PRODUCT(C42:G42)</f>
        <v>4</v>
      </c>
      <c r="I42" s="1278"/>
      <c r="J42" s="1277"/>
    </row>
    <row r="43" spans="1:10" ht="14.7">
      <c r="A43" s="1278"/>
      <c r="B43" s="1278" t="s">
        <v>2878</v>
      </c>
      <c r="C43" s="1278">
        <v>1</v>
      </c>
      <c r="D43" s="1278">
        <v>2</v>
      </c>
      <c r="E43" s="1278" t="s">
        <v>524</v>
      </c>
      <c r="F43" s="1278" t="s">
        <v>524</v>
      </c>
      <c r="G43" s="1278" t="s">
        <v>524</v>
      </c>
      <c r="H43" s="1278">
        <f>PRODUCT(C43:G43)</f>
        <v>2</v>
      </c>
      <c r="I43" s="1278"/>
      <c r="J43" s="1277"/>
    </row>
    <row r="44" spans="1:10" ht="14.7">
      <c r="A44" s="1278"/>
      <c r="B44" s="1278" t="s">
        <v>2879</v>
      </c>
      <c r="C44" s="1278">
        <v>1</v>
      </c>
      <c r="D44" s="1278">
        <v>2</v>
      </c>
      <c r="E44" s="1278" t="s">
        <v>524</v>
      </c>
      <c r="F44" s="1278" t="s">
        <v>524</v>
      </c>
      <c r="G44" s="1278" t="s">
        <v>524</v>
      </c>
      <c r="H44" s="1278">
        <f>PRODUCT(C44:G44)</f>
        <v>2</v>
      </c>
      <c r="I44" s="1278"/>
      <c r="J44" s="1277"/>
    </row>
    <row r="45" spans="1:10" ht="14.7">
      <c r="A45" s="1278"/>
      <c r="B45" s="1278" t="s">
        <v>2836</v>
      </c>
      <c r="C45" s="1278">
        <v>1</v>
      </c>
      <c r="D45" s="1278">
        <v>2</v>
      </c>
      <c r="E45" s="1278" t="s">
        <v>524</v>
      </c>
      <c r="F45" s="1278" t="s">
        <v>524</v>
      </c>
      <c r="G45" s="1278" t="s">
        <v>524</v>
      </c>
      <c r="H45" s="1278">
        <f>PRODUCT(C45:G45)</f>
        <v>2</v>
      </c>
      <c r="I45" s="1278"/>
      <c r="J45" s="1277"/>
    </row>
    <row r="46" spans="1:10" ht="14.7">
      <c r="A46" s="1278"/>
      <c r="B46" s="1278"/>
      <c r="C46" s="1278"/>
      <c r="D46" s="1278"/>
      <c r="E46" s="1278"/>
      <c r="F46" s="1278"/>
      <c r="G46" s="1278" t="s">
        <v>674</v>
      </c>
      <c r="H46" s="1278">
        <f>SUM(H42:H45)</f>
        <v>10</v>
      </c>
      <c r="I46" s="1277">
        <f>'data-Elec '!H176</f>
        <v>139.46</v>
      </c>
      <c r="J46" s="1277">
        <f>ROUND(H46*I46,)</f>
        <v>1395</v>
      </c>
    </row>
    <row r="47" spans="1:10" ht="14.7">
      <c r="A47" s="1278"/>
      <c r="B47" s="1278"/>
      <c r="C47" s="1278"/>
      <c r="D47" s="1278"/>
      <c r="E47" s="1278"/>
      <c r="F47" s="1278"/>
      <c r="G47" s="1278"/>
      <c r="H47" s="1278" t="s">
        <v>2823</v>
      </c>
      <c r="I47" s="1278" t="s">
        <v>2824</v>
      </c>
      <c r="J47" s="1277"/>
    </row>
    <row r="48" spans="1:10" ht="14.7">
      <c r="A48" s="1278"/>
      <c r="B48" s="1312"/>
      <c r="C48" s="1313"/>
      <c r="D48" s="1313"/>
      <c r="E48" s="1313"/>
      <c r="F48" s="1313"/>
      <c r="G48" s="1313"/>
      <c r="H48" s="1313"/>
      <c r="I48" s="1314"/>
      <c r="J48" s="1277"/>
    </row>
    <row r="49" spans="1:10" ht="53.25" customHeight="1">
      <c r="A49" s="1278">
        <v>6</v>
      </c>
      <c r="B49" s="2594" t="str">
        <f>'data-Elec '!D178</f>
        <v>Supply and fixing of batten holder / slanting holder in lieu of ceiling rose of light point complete with all connections and all labour charges with 40W bulb (for new installation).</v>
      </c>
      <c r="C49" s="2595"/>
      <c r="D49" s="2595"/>
      <c r="E49" s="2595"/>
      <c r="F49" s="2595"/>
      <c r="G49" s="2595"/>
      <c r="H49" s="2595"/>
      <c r="I49" s="2628"/>
      <c r="J49" s="1277"/>
    </row>
    <row r="50" spans="1:10" ht="14.7">
      <c r="A50" s="1278"/>
      <c r="B50" s="1278"/>
      <c r="C50" s="1278">
        <v>1</v>
      </c>
      <c r="D50" s="1278">
        <v>8</v>
      </c>
      <c r="E50" s="1278" t="s">
        <v>524</v>
      </c>
      <c r="F50" s="1278" t="s">
        <v>524</v>
      </c>
      <c r="G50" s="1278" t="s">
        <v>524</v>
      </c>
      <c r="H50" s="1278">
        <f>PRODUCT(C50:G50)</f>
        <v>8</v>
      </c>
      <c r="I50" s="1278"/>
      <c r="J50" s="1277"/>
    </row>
    <row r="51" spans="1:10" ht="14.7">
      <c r="A51" s="1278"/>
      <c r="B51" s="1278"/>
      <c r="C51" s="1278"/>
      <c r="D51" s="1278"/>
      <c r="E51" s="1278"/>
      <c r="F51" s="1278"/>
      <c r="G51" s="1278" t="s">
        <v>674</v>
      </c>
      <c r="H51" s="1278">
        <f>SUM(H47:H50)</f>
        <v>8</v>
      </c>
      <c r="I51" s="1277">
        <f>'data-Elec '!H189</f>
        <v>785.5</v>
      </c>
      <c r="J51" s="1277">
        <f>ROUND(H51*I51,)</f>
        <v>6284</v>
      </c>
    </row>
    <row r="52" spans="1:10" ht="14.7">
      <c r="A52" s="1278"/>
      <c r="B52" s="1278"/>
      <c r="C52" s="1278"/>
      <c r="D52" s="1278"/>
      <c r="E52" s="1278"/>
      <c r="F52" s="1278"/>
      <c r="G52" s="1278"/>
      <c r="H52" s="1278" t="s">
        <v>2823</v>
      </c>
      <c r="I52" s="1278" t="s">
        <v>2824</v>
      </c>
      <c r="J52" s="1277"/>
    </row>
    <row r="53" spans="1:10" ht="53.25" customHeight="1">
      <c r="A53" s="1278">
        <v>7</v>
      </c>
      <c r="B53" s="2594" t="str">
        <f>'data-Elec '!D194</f>
        <v>Supply and run of 2 of 36/0.3mm (2.50 Sq.mm) F.R P.V.C. insulated flexible copper cable in existing pipe for Mains inlcuding all labour charges etc., complete.</v>
      </c>
      <c r="C53" s="2595"/>
      <c r="D53" s="2595"/>
      <c r="E53" s="2595"/>
      <c r="F53" s="2595"/>
      <c r="G53" s="2595"/>
      <c r="H53" s="2595"/>
      <c r="I53" s="2628"/>
      <c r="J53" s="1277"/>
    </row>
    <row r="54" spans="1:10" ht="17.2" customHeight="1" thickBot="1">
      <c r="A54" s="1278"/>
      <c r="B54" s="1340" t="s">
        <v>3113</v>
      </c>
      <c r="C54" s="1341">
        <v>1</v>
      </c>
      <c r="D54" s="1341" t="s">
        <v>1472</v>
      </c>
      <c r="E54" s="1341">
        <v>90</v>
      </c>
      <c r="F54" s="1342"/>
      <c r="G54" s="1343"/>
      <c r="H54" s="1344">
        <f>E54</f>
        <v>90</v>
      </c>
      <c r="I54" s="1345">
        <f>'data-Elec '!H205</f>
        <v>99.35</v>
      </c>
      <c r="J54" s="1353">
        <f>ROUND(H54*I54,0)</f>
        <v>8942</v>
      </c>
    </row>
    <row r="55" spans="1:10" ht="15" thickTop="1">
      <c r="A55" s="1278"/>
      <c r="B55" s="1346"/>
      <c r="C55" s="1346"/>
      <c r="D55" s="1346"/>
      <c r="E55" s="1346"/>
      <c r="F55" s="1346"/>
      <c r="G55" s="1346"/>
      <c r="H55" s="1347" t="s">
        <v>495</v>
      </c>
      <c r="I55" s="1348" t="s">
        <v>3114</v>
      </c>
      <c r="J55" s="1349"/>
    </row>
    <row r="56" spans="1:10" ht="14.7">
      <c r="A56" s="1278"/>
      <c r="B56" s="1312"/>
      <c r="C56" s="1313"/>
      <c r="D56" s="1313"/>
      <c r="E56" s="1313"/>
      <c r="F56" s="1313"/>
      <c r="G56" s="1313"/>
      <c r="H56" s="1313"/>
      <c r="I56" s="1314"/>
      <c r="J56" s="1277"/>
    </row>
    <row r="57" spans="1:10" ht="53.25" customHeight="1">
      <c r="A57" s="1278">
        <v>8</v>
      </c>
      <c r="B57" s="2627" t="str">
        <f>'data-Elec '!D210</f>
        <v>Supply and Run of 2 of 10 Sq.mm WPSC Aluminium cable along with No.10 SWG G.I bearer wire through PVC cleats with all accessories including labour charges etc., complete for service mains.</v>
      </c>
      <c r="C57" s="2595"/>
      <c r="D57" s="2595"/>
      <c r="E57" s="2595"/>
      <c r="F57" s="2595"/>
      <c r="G57" s="2595"/>
      <c r="H57" s="2595"/>
      <c r="I57" s="2628"/>
      <c r="J57" s="1277"/>
    </row>
    <row r="58" spans="1:10" ht="15" thickBot="1">
      <c r="A58" s="1278"/>
      <c r="B58" s="1340" t="s">
        <v>3115</v>
      </c>
      <c r="C58" s="1341">
        <v>1</v>
      </c>
      <c r="D58" s="1341" t="s">
        <v>1472</v>
      </c>
      <c r="E58" s="1341">
        <v>20</v>
      </c>
      <c r="F58" s="1342"/>
      <c r="G58" s="1343"/>
      <c r="H58" s="1344">
        <f>E58</f>
        <v>20</v>
      </c>
      <c r="I58" s="1345">
        <f>'data-Elec '!H222</f>
        <v>79.650000000000006</v>
      </c>
      <c r="J58" s="1353">
        <f>ROUND(H58*I58,0)</f>
        <v>1593</v>
      </c>
    </row>
    <row r="59" spans="1:10" ht="15" thickTop="1">
      <c r="A59" s="1278"/>
      <c r="B59" s="1346"/>
      <c r="C59" s="1346"/>
      <c r="D59" s="1346"/>
      <c r="E59" s="1346"/>
      <c r="F59" s="1346"/>
      <c r="G59" s="1346"/>
      <c r="H59" s="1347" t="s">
        <v>495</v>
      </c>
      <c r="I59" s="1348" t="s">
        <v>3114</v>
      </c>
      <c r="J59" s="1349"/>
    </row>
    <row r="60" spans="1:10" ht="14.7">
      <c r="A60" s="1278"/>
      <c r="B60" s="1312"/>
      <c r="C60" s="1313"/>
      <c r="D60" s="1313"/>
      <c r="E60" s="1313"/>
      <c r="F60" s="1313"/>
      <c r="G60" s="1313"/>
      <c r="H60" s="1313"/>
      <c r="I60" s="1314"/>
      <c r="J60" s="1277"/>
    </row>
    <row r="61" spans="1:10" ht="102" hidden="1" customHeight="1">
      <c r="A61" s="1278">
        <v>9</v>
      </c>
      <c r="B61" s="2627" t="str">
        <f>'data-Elec '!D333</f>
        <v>Supply and transportation of 20W +/- 10%, &gt;/ 2000 lumens, 1200mm length LEDretro tube light, housing made with glass body, wide operating voltage with Single / double side connection, PF≥0.9, Surge protection: 2KV,THD&lt;15%, with inbuilt driver and frostedcover CCT: 3000K - 6500K as desired by thedepartment and as per IS specifications,minimum CRI≥80,.etc complete with 5 yearswarranty with BIS Certification.</v>
      </c>
      <c r="C61" s="2595"/>
      <c r="D61" s="2595"/>
      <c r="E61" s="2595"/>
      <c r="F61" s="2595"/>
      <c r="G61" s="2595"/>
      <c r="H61" s="2595"/>
      <c r="I61" s="2628"/>
      <c r="J61" s="1277"/>
    </row>
    <row r="62" spans="1:10" ht="14.7" hidden="1">
      <c r="A62" s="1278"/>
      <c r="B62" s="1278" t="s">
        <v>2877</v>
      </c>
      <c r="C62" s="1278">
        <v>1</v>
      </c>
      <c r="D62" s="1278">
        <v>4</v>
      </c>
      <c r="E62" s="1278" t="s">
        <v>524</v>
      </c>
      <c r="F62" s="1278" t="s">
        <v>524</v>
      </c>
      <c r="G62" s="1278" t="s">
        <v>524</v>
      </c>
      <c r="H62" s="1278">
        <f t="shared" ref="H62:H67" si="1">PRODUCT(C62:G62)</f>
        <v>4</v>
      </c>
      <c r="I62" s="1278"/>
      <c r="J62" s="1277"/>
    </row>
    <row r="63" spans="1:10" ht="14.7" hidden="1">
      <c r="A63" s="1278"/>
      <c r="B63" s="1278" t="s">
        <v>2878</v>
      </c>
      <c r="C63" s="1278">
        <v>1</v>
      </c>
      <c r="D63" s="1278">
        <v>2</v>
      </c>
      <c r="E63" s="1278" t="s">
        <v>524</v>
      </c>
      <c r="F63" s="1278" t="s">
        <v>524</v>
      </c>
      <c r="G63" s="1278" t="s">
        <v>524</v>
      </c>
      <c r="H63" s="1278">
        <f t="shared" si="1"/>
        <v>2</v>
      </c>
      <c r="I63" s="1278"/>
      <c r="J63" s="1277"/>
    </row>
    <row r="64" spans="1:10" ht="14.7" hidden="1">
      <c r="A64" s="1278"/>
      <c r="B64" s="1278" t="s">
        <v>2879</v>
      </c>
      <c r="C64" s="1278">
        <v>1</v>
      </c>
      <c r="D64" s="1278">
        <v>2</v>
      </c>
      <c r="E64" s="1278" t="s">
        <v>524</v>
      </c>
      <c r="F64" s="1278" t="s">
        <v>524</v>
      </c>
      <c r="G64" s="1278" t="s">
        <v>524</v>
      </c>
      <c r="H64" s="1278">
        <f t="shared" si="1"/>
        <v>2</v>
      </c>
      <c r="I64" s="1278"/>
      <c r="J64" s="1277"/>
    </row>
    <row r="65" spans="1:10" ht="14.7" hidden="1">
      <c r="A65" s="1278"/>
      <c r="B65" s="1278" t="s">
        <v>2836</v>
      </c>
      <c r="C65" s="1278">
        <v>1</v>
      </c>
      <c r="D65" s="1278">
        <v>2</v>
      </c>
      <c r="E65" s="1278" t="s">
        <v>524</v>
      </c>
      <c r="F65" s="1278" t="s">
        <v>524</v>
      </c>
      <c r="G65" s="1278" t="s">
        <v>524</v>
      </c>
      <c r="H65" s="1278">
        <f t="shared" si="1"/>
        <v>2</v>
      </c>
      <c r="I65" s="1278"/>
      <c r="J65" s="1277"/>
    </row>
    <row r="66" spans="1:10" ht="14.7" hidden="1">
      <c r="A66" s="1278"/>
      <c r="B66" s="1278" t="s">
        <v>2880</v>
      </c>
      <c r="C66" s="1278">
        <v>1</v>
      </c>
      <c r="D66" s="1278">
        <v>2</v>
      </c>
      <c r="E66" s="1278" t="s">
        <v>524</v>
      </c>
      <c r="F66" s="1278" t="s">
        <v>524</v>
      </c>
      <c r="G66" s="1278" t="s">
        <v>524</v>
      </c>
      <c r="H66" s="1278">
        <f t="shared" si="1"/>
        <v>2</v>
      </c>
      <c r="I66" s="1278"/>
      <c r="J66" s="1277"/>
    </row>
    <row r="67" spans="1:10" ht="14.7" hidden="1">
      <c r="A67" s="1278"/>
      <c r="B67" s="1278" t="s">
        <v>2881</v>
      </c>
      <c r="C67" s="1278">
        <v>1</v>
      </c>
      <c r="D67" s="1278">
        <v>2</v>
      </c>
      <c r="E67" s="1278" t="s">
        <v>524</v>
      </c>
      <c r="F67" s="1278" t="s">
        <v>524</v>
      </c>
      <c r="G67" s="1278" t="s">
        <v>524</v>
      </c>
      <c r="H67" s="1278">
        <f t="shared" si="1"/>
        <v>2</v>
      </c>
      <c r="I67" s="1278"/>
      <c r="J67" s="1277"/>
    </row>
    <row r="68" spans="1:10" ht="14.7" hidden="1">
      <c r="A68" s="1278"/>
      <c r="B68" s="1278"/>
      <c r="C68" s="1278"/>
      <c r="D68" s="1278"/>
      <c r="E68" s="1278"/>
      <c r="F68" s="1278"/>
      <c r="G68" s="1278" t="s">
        <v>674</v>
      </c>
      <c r="H68" s="1278">
        <v>0</v>
      </c>
      <c r="I68" s="1352">
        <f>'data-Elec '!H339</f>
        <v>445</v>
      </c>
      <c r="J68" s="1277">
        <f>ROUND(H68*I68,)</f>
        <v>0</v>
      </c>
    </row>
    <row r="69" spans="1:10" ht="14.7" hidden="1">
      <c r="A69" s="1278"/>
      <c r="B69" s="1278"/>
      <c r="C69" s="1278"/>
      <c r="D69" s="1278"/>
      <c r="E69" s="1278"/>
      <c r="F69" s="1278"/>
      <c r="G69" s="1278"/>
      <c r="H69" s="1278" t="s">
        <v>2823</v>
      </c>
      <c r="I69" s="1278" t="s">
        <v>2824</v>
      </c>
      <c r="J69" s="1277"/>
    </row>
    <row r="70" spans="1:10" ht="54.75" hidden="1" customHeight="1">
      <c r="A70" s="1278">
        <v>10</v>
      </c>
      <c r="B70" s="2594" t="str">
        <f>'data-Elec '!D265</f>
        <v>Supply of 900 mm (36") / 1200 mm (48") / 1400 mm (56") sweep 230V, A.C 50 Hz.Ceiling fan with 3 Blades and double ball bearings with all standard accessories.and as per 9.7.2 of Bajaj/Crompton/orient make only Sta  revised data of BLD -ELEC9.7.2</v>
      </c>
      <c r="C70" s="2595"/>
      <c r="D70" s="2595"/>
      <c r="E70" s="2595"/>
      <c r="F70" s="2595"/>
      <c r="G70" s="2595"/>
      <c r="H70" s="2595"/>
      <c r="I70" s="2628"/>
      <c r="J70" s="1277"/>
    </row>
    <row r="71" spans="1:10" ht="14.7" hidden="1">
      <c r="A71" s="1278"/>
      <c r="B71" s="1278"/>
      <c r="C71" s="1278">
        <v>0</v>
      </c>
      <c r="D71" s="1278">
        <v>6</v>
      </c>
      <c r="E71" s="1278" t="s">
        <v>524</v>
      </c>
      <c r="F71" s="1278" t="s">
        <v>524</v>
      </c>
      <c r="G71" s="1278" t="s">
        <v>524</v>
      </c>
      <c r="H71" s="1278">
        <f>PRODUCT(C71:G71)</f>
        <v>0</v>
      </c>
      <c r="I71" s="1278"/>
      <c r="J71" s="1277"/>
    </row>
    <row r="72" spans="1:10" ht="14.7" hidden="1">
      <c r="A72" s="1278"/>
      <c r="B72" s="1278"/>
      <c r="C72" s="1278"/>
      <c r="D72" s="1278"/>
      <c r="E72" s="1278"/>
      <c r="F72" s="1278"/>
      <c r="G72" s="1278" t="s">
        <v>674</v>
      </c>
      <c r="H72" s="1278">
        <f>SUM(H71:H71)</f>
        <v>0</v>
      </c>
      <c r="I72" s="1277">
        <f>'data-Elec '!H284</f>
        <v>2221.2800000000002</v>
      </c>
      <c r="J72" s="1277">
        <f>ROUND(H72*I72,)</f>
        <v>0</v>
      </c>
    </row>
    <row r="73" spans="1:10" ht="14.7" hidden="1">
      <c r="A73" s="1278"/>
      <c r="B73" s="1278"/>
      <c r="C73" s="1278"/>
      <c r="D73" s="1278"/>
      <c r="E73" s="1278"/>
      <c r="F73" s="1278"/>
      <c r="G73" s="1278"/>
      <c r="H73" s="1278" t="s">
        <v>2823</v>
      </c>
      <c r="I73" s="1278" t="s">
        <v>2824</v>
      </c>
      <c r="J73" s="1277"/>
    </row>
    <row r="74" spans="1:10" ht="54.75" customHeight="1">
      <c r="A74" s="1278">
        <v>11</v>
      </c>
      <c r="B74" s="2594" t="str">
        <f>'data-Elec '!D317</f>
        <v xml:space="preserve">Supply and fixing of concealed box PVC/MS with hook for fan Supply and fixing PVC / MS galvanished Fan hook box with hook including all Labour charges etc., complete. </v>
      </c>
      <c r="C74" s="2595"/>
      <c r="D74" s="2595"/>
      <c r="E74" s="2595"/>
      <c r="F74" s="2595"/>
      <c r="G74" s="2595"/>
      <c r="H74" s="2595"/>
      <c r="I74" s="2628"/>
      <c r="J74" s="1277"/>
    </row>
    <row r="75" spans="1:10" ht="14.7">
      <c r="A75" s="1278"/>
      <c r="B75" s="1278"/>
      <c r="C75" s="1278">
        <v>1</v>
      </c>
      <c r="D75" s="1278">
        <v>6</v>
      </c>
      <c r="E75" s="1278" t="s">
        <v>524</v>
      </c>
      <c r="F75" s="1278" t="s">
        <v>524</v>
      </c>
      <c r="G75" s="1278" t="s">
        <v>524</v>
      </c>
      <c r="H75" s="1278">
        <f>PRODUCT(C75:G75)</f>
        <v>6</v>
      </c>
      <c r="I75" s="1278"/>
      <c r="J75" s="1277"/>
    </row>
    <row r="76" spans="1:10" ht="14.7">
      <c r="A76" s="1278"/>
      <c r="B76" s="1278"/>
      <c r="C76" s="1278"/>
      <c r="D76" s="1278"/>
      <c r="E76" s="1278"/>
      <c r="F76" s="1278"/>
      <c r="G76" s="1278" t="s">
        <v>674</v>
      </c>
      <c r="H76" s="1278">
        <f>SUM(H75:H75)</f>
        <v>6</v>
      </c>
      <c r="I76" s="1277">
        <f>'data-Elec '!H326</f>
        <v>205.5</v>
      </c>
      <c r="J76" s="1277">
        <f>ROUND(H76*I76,)</f>
        <v>1233</v>
      </c>
    </row>
    <row r="77" spans="1:10" ht="14.7">
      <c r="A77" s="1278"/>
      <c r="B77" s="1278"/>
      <c r="C77" s="1278"/>
      <c r="D77" s="1278"/>
      <c r="E77" s="1278"/>
      <c r="F77" s="1278"/>
      <c r="G77" s="1278"/>
      <c r="H77" s="1278" t="s">
        <v>2823</v>
      </c>
      <c r="I77" s="1278" t="s">
        <v>2824</v>
      </c>
      <c r="J77" s="1277"/>
    </row>
    <row r="78" spans="1:10" ht="14.7">
      <c r="A78" s="1278"/>
      <c r="B78" s="1312"/>
      <c r="C78" s="1313"/>
      <c r="D78" s="1313"/>
      <c r="E78" s="1313"/>
      <c r="F78" s="1313"/>
      <c r="G78" s="1313"/>
      <c r="H78" s="1313"/>
      <c r="I78" s="1314"/>
      <c r="J78" s="1277"/>
    </row>
    <row r="79" spans="1:10" ht="84.75" customHeight="1">
      <c r="A79" s="1278">
        <v>12</v>
      </c>
      <c r="B79" s="2594" t="str">
        <f>'data-Elec '!D440</f>
        <v>Providing independent earthling by excavating a trench to a depth of 2.1 M in all soils, as per size specified in the Data, using 40mm dia 'B' class GI pipe of 2.5 Mtrs length with necessary accessories with hume pipe ring duly providing staggered holes  including filling with equal proportion of Salt and Charcoal in layers and all labour charges etc., complete for small quarters.5.1.1</v>
      </c>
      <c r="C79" s="2595"/>
      <c r="D79" s="2595"/>
      <c r="E79" s="2595"/>
      <c r="F79" s="2595"/>
      <c r="G79" s="2595"/>
      <c r="H79" s="2595"/>
      <c r="I79" s="2628"/>
      <c r="J79" s="1277"/>
    </row>
    <row r="80" spans="1:10" ht="14.7">
      <c r="A80" s="1278"/>
      <c r="B80" s="1278" t="s">
        <v>2882</v>
      </c>
      <c r="C80" s="1278">
        <v>1</v>
      </c>
      <c r="D80" s="1278">
        <v>1</v>
      </c>
      <c r="E80" s="1278" t="s">
        <v>524</v>
      </c>
      <c r="F80" s="1278" t="s">
        <v>524</v>
      </c>
      <c r="G80" s="1278" t="s">
        <v>524</v>
      </c>
      <c r="H80" s="1278">
        <f>PRODUCT(C80:G80)</f>
        <v>1</v>
      </c>
      <c r="I80" s="1277">
        <f>'data-Elec '!H458</f>
        <v>4910.21</v>
      </c>
      <c r="J80" s="1277">
        <f>ROUND(H80*I80,)</f>
        <v>4910</v>
      </c>
    </row>
    <row r="81" spans="1:10" ht="14.7">
      <c r="A81" s="1278"/>
      <c r="B81" s="1278"/>
      <c r="C81" s="1278"/>
      <c r="D81" s="1278"/>
      <c r="E81" s="1278"/>
      <c r="F81" s="1278"/>
      <c r="G81" s="1278"/>
      <c r="H81" s="1278" t="s">
        <v>2823</v>
      </c>
      <c r="I81" s="1278" t="s">
        <v>2824</v>
      </c>
      <c r="J81" s="1277"/>
    </row>
    <row r="82" spans="1:10" ht="72" customHeight="1">
      <c r="A82" s="1278">
        <v>13</v>
      </c>
      <c r="B82" s="2594" t="str">
        <f>'data-Elec '!D423</f>
        <v>Supply and fixing SPN Distribution board with IP-20 protection suitable for single phase Earth Leakage Circute Braker (ELCB) / Residual Current Circute Braker (RCCB) / Double Pole (DP) Isolator as incomer and 10kA SP MCBs as out going including internal connections and labour charges for surface / flush mounting etc., complete.4.4.1</v>
      </c>
      <c r="C82" s="2595"/>
      <c r="D82" s="2595"/>
      <c r="E82" s="2595"/>
      <c r="F82" s="2595"/>
      <c r="G82" s="2595"/>
      <c r="H82" s="2595"/>
      <c r="I82" s="2628"/>
      <c r="J82" s="1277"/>
    </row>
    <row r="83" spans="1:10" ht="14.7">
      <c r="A83" s="1278"/>
      <c r="B83" s="1278" t="s">
        <v>2883</v>
      </c>
      <c r="C83" s="1278">
        <v>1</v>
      </c>
      <c r="D83" s="1278">
        <v>1</v>
      </c>
      <c r="E83" s="1278" t="s">
        <v>524</v>
      </c>
      <c r="F83" s="1278" t="s">
        <v>524</v>
      </c>
      <c r="G83" s="1278" t="s">
        <v>524</v>
      </c>
      <c r="H83" s="1278">
        <f>PRODUCT(C83:G83)</f>
        <v>1</v>
      </c>
      <c r="I83" s="1277">
        <f>'data-Elec '!H438</f>
        <v>4622.5</v>
      </c>
      <c r="J83" s="1277">
        <f>ROUND(H83*I83,)</f>
        <v>4623</v>
      </c>
    </row>
    <row r="84" spans="1:10" ht="14.7">
      <c r="A84" s="1278"/>
      <c r="B84" s="1278"/>
      <c r="C84" s="1278"/>
      <c r="D84" s="1278"/>
      <c r="E84" s="1278"/>
      <c r="F84" s="1278"/>
      <c r="G84" s="1278"/>
      <c r="H84" s="1278" t="s">
        <v>2823</v>
      </c>
      <c r="I84" s="1278" t="s">
        <v>2824</v>
      </c>
      <c r="J84" s="1277"/>
    </row>
    <row r="85" spans="1:10" ht="14.7">
      <c r="A85" s="1278"/>
      <c r="B85" s="1278"/>
      <c r="C85" s="1278"/>
      <c r="D85" s="1278"/>
      <c r="E85" s="1278"/>
      <c r="F85" s="1278"/>
      <c r="G85" s="1278"/>
      <c r="H85" s="1278"/>
      <c r="I85" s="1327" t="s">
        <v>522</v>
      </c>
      <c r="J85" s="1324">
        <f>SUM(J4:J84)</f>
        <v>56809</v>
      </c>
    </row>
    <row r="86" spans="1:10" ht="14.7">
      <c r="A86" s="1799"/>
      <c r="B86" s="1799"/>
      <c r="C86" s="1799"/>
      <c r="D86" s="1799"/>
      <c r="E86" s="1799"/>
      <c r="F86" s="1799"/>
      <c r="G86" s="1799"/>
      <c r="H86" s="1799"/>
      <c r="I86" s="1800"/>
      <c r="J86" s="1801"/>
    </row>
    <row r="87" spans="1:10" ht="14.7">
      <c r="A87" s="1799"/>
      <c r="B87" s="1799"/>
      <c r="C87" s="1799"/>
      <c r="D87" s="1799"/>
      <c r="E87" s="1799"/>
      <c r="F87" s="1799"/>
      <c r="G87" s="1799"/>
      <c r="H87" s="1799"/>
      <c r="I87" s="1800"/>
      <c r="J87" s="1801"/>
    </row>
    <row r="88" spans="1:10" ht="15.6">
      <c r="A88" s="1799"/>
      <c r="B88" s="1798" t="s">
        <v>3194</v>
      </c>
      <c r="C88" s="1799"/>
      <c r="D88" s="1799"/>
      <c r="E88" s="1799"/>
      <c r="F88" s="1799"/>
      <c r="G88" s="2614" t="s">
        <v>3195</v>
      </c>
      <c r="H88" s="2615"/>
      <c r="I88" s="2616"/>
      <c r="J88" s="1801"/>
    </row>
    <row r="89" spans="1:10" ht="15.6">
      <c r="A89" s="1799"/>
      <c r="B89" s="1351" t="str">
        <f>CONCATENATE("PR MPP ",'input sheet'!$C$7)</f>
        <v>PR MPP Kalwakurthy</v>
      </c>
      <c r="C89" s="1799"/>
      <c r="D89" s="1799"/>
      <c r="E89" s="1799"/>
      <c r="F89" s="1799"/>
      <c r="G89" s="2617" t="str">
        <f>CONCATENATE("PR SD ",'input sheet'!$C$8)</f>
        <v>PR SD Kalwakurthy</v>
      </c>
      <c r="H89" s="2618"/>
      <c r="I89" s="2619"/>
      <c r="J89" s="1801"/>
    </row>
    <row r="90" spans="1:10" ht="14.7">
      <c r="A90" s="1799"/>
      <c r="B90" s="1799"/>
      <c r="C90" s="1799"/>
      <c r="D90" s="1799"/>
      <c r="E90" s="1799"/>
      <c r="F90" s="1799"/>
      <c r="G90" s="1799"/>
      <c r="H90" s="1799"/>
      <c r="I90" s="1800"/>
      <c r="J90" s="1801"/>
    </row>
    <row r="91" spans="1:10" ht="14.7">
      <c r="A91" s="1799"/>
      <c r="B91" s="1799"/>
      <c r="C91" s="1799"/>
      <c r="D91" s="1799"/>
      <c r="E91" s="1799"/>
      <c r="F91" s="1799"/>
      <c r="G91" s="1799"/>
      <c r="H91" s="1799"/>
      <c r="I91" s="1800"/>
      <c r="J91" s="1801"/>
    </row>
    <row r="92" spans="1:10" ht="14.7">
      <c r="A92" s="1799"/>
      <c r="B92" s="1799"/>
      <c r="C92" s="1799"/>
      <c r="D92" s="1799"/>
      <c r="E92" s="1799"/>
      <c r="F92" s="1799"/>
      <c r="G92" s="1799"/>
      <c r="H92" s="1799"/>
      <c r="I92" s="1800"/>
      <c r="J92" s="1801"/>
    </row>
    <row r="93" spans="1:10" ht="14.7">
      <c r="A93" s="1799"/>
      <c r="B93" s="1799"/>
      <c r="C93" s="1799"/>
      <c r="D93" s="1799"/>
      <c r="E93" s="1799"/>
      <c r="F93" s="1799"/>
      <c r="G93" s="1799"/>
      <c r="H93" s="1799"/>
      <c r="I93" s="1800"/>
      <c r="J93" s="1801"/>
    </row>
    <row r="94" spans="1:10" ht="14.7">
      <c r="A94" s="1799"/>
      <c r="B94" s="1799"/>
      <c r="C94" s="1799"/>
      <c r="D94" s="1799"/>
      <c r="E94" s="1799"/>
      <c r="F94" s="1799"/>
      <c r="G94" s="1799"/>
      <c r="H94" s="1799"/>
      <c r="I94" s="1800"/>
      <c r="J94" s="1801"/>
    </row>
    <row r="95" spans="1:10" ht="14.7">
      <c r="A95" s="1799"/>
      <c r="B95" s="1799"/>
      <c r="C95" s="1799"/>
      <c r="D95" s="1799"/>
      <c r="E95" s="1799"/>
      <c r="F95" s="1799"/>
      <c r="G95" s="1799"/>
      <c r="H95" s="1799"/>
      <c r="I95" s="1800"/>
      <c r="J95" s="1801"/>
    </row>
    <row r="96" spans="1:10" ht="14.7">
      <c r="B96" s="1336" t="s">
        <v>2990</v>
      </c>
    </row>
  </sheetData>
  <mergeCells count="17">
    <mergeCell ref="B57:I57"/>
    <mergeCell ref="B74:I74"/>
    <mergeCell ref="G88:I88"/>
    <mergeCell ref="G89:I89"/>
    <mergeCell ref="B31:I31"/>
    <mergeCell ref="B79:I79"/>
    <mergeCell ref="B82:I82"/>
    <mergeCell ref="B41:I41"/>
    <mergeCell ref="B61:I61"/>
    <mergeCell ref="B70:I70"/>
    <mergeCell ref="B49:I49"/>
    <mergeCell ref="B53:I53"/>
    <mergeCell ref="A1:J1"/>
    <mergeCell ref="A2:J2"/>
    <mergeCell ref="B4:I4"/>
    <mergeCell ref="B8:I8"/>
    <mergeCell ref="B12:I12"/>
  </mergeCells>
  <pageMargins left="0.70866141732283472" right="0.70866141732283472" top="0.74803149606299213" bottom="0.74803149606299213" header="0.31496062992125984" footer="0.31496062992125984"/>
  <pageSetup paperSize="9" scale="75" orientation="portrait" verticalDpi="4294967293" r:id="rId1"/>
  <headerFooter>
    <oddFooter>&amp;R&amp;P of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FCD63-DEDB-4921-BF5C-712C6C8ECCC6}">
  <sheetPr>
    <tabColor theme="2" tint="-0.249977111117893"/>
  </sheetPr>
  <dimension ref="A1:N504"/>
  <sheetViews>
    <sheetView view="pageBreakPreview" topLeftCell="A480" zoomScaleNormal="95" zoomScaleSheetLayoutView="100" workbookViewId="0">
      <selection activeCell="C488" sqref="C488"/>
    </sheetView>
  </sheetViews>
  <sheetFormatPr defaultColWidth="13.88671875" defaultRowHeight="12.6"/>
  <cols>
    <col min="1" max="1" width="5.33203125" style="2037" customWidth="1"/>
    <col min="2" max="2" width="5.109375" style="1996" customWidth="1"/>
    <col min="3" max="3" width="28.44140625" style="1997" customWidth="1"/>
    <col min="4" max="4" width="4.5546875" style="2033" customWidth="1"/>
    <col min="5" max="5" width="9.33203125" style="1999" customWidth="1"/>
    <col min="6" max="6" width="5.88671875" style="2000" customWidth="1"/>
    <col min="7" max="7" width="10" style="2000" customWidth="1"/>
    <col min="8" max="8" width="7.109375" style="2000" customWidth="1"/>
    <col min="9" max="9" width="7.109375" style="2002" customWidth="1"/>
    <col min="10" max="10" width="10.5546875" style="2002" customWidth="1"/>
    <col min="11" max="11" width="7.88671875" style="1971" customWidth="1"/>
    <col min="12" max="12" width="10.33203125" style="1971" customWidth="1"/>
    <col min="13" max="13" width="9.44140625" style="1971" customWidth="1"/>
    <col min="14" max="14" width="8.109375" style="1971" customWidth="1"/>
    <col min="15" max="256" width="13.88671875" style="1971"/>
    <col min="257" max="257" width="5.33203125" style="1971" customWidth="1"/>
    <col min="258" max="258" width="5.109375" style="1971" customWidth="1"/>
    <col min="259" max="259" width="36.33203125" style="1971" customWidth="1"/>
    <col min="260" max="260" width="4.5546875" style="1971" customWidth="1"/>
    <col min="261" max="261" width="9.33203125" style="1971" customWidth="1"/>
    <col min="262" max="262" width="5.88671875" style="1971" customWidth="1"/>
    <col min="263" max="263" width="10" style="1971" customWidth="1"/>
    <col min="264" max="265" width="7.109375" style="1971" customWidth="1"/>
    <col min="266" max="266" width="10.5546875" style="1971" customWidth="1"/>
    <col min="267" max="267" width="7.88671875" style="1971" customWidth="1"/>
    <col min="268" max="268" width="10.33203125" style="1971" customWidth="1"/>
    <col min="269" max="269" width="9.44140625" style="1971" customWidth="1"/>
    <col min="270" max="270" width="8.109375" style="1971" customWidth="1"/>
    <col min="271" max="512" width="13.88671875" style="1971"/>
    <col min="513" max="513" width="5.33203125" style="1971" customWidth="1"/>
    <col min="514" max="514" width="5.109375" style="1971" customWidth="1"/>
    <col min="515" max="515" width="36.33203125" style="1971" customWidth="1"/>
    <col min="516" max="516" width="4.5546875" style="1971" customWidth="1"/>
    <col min="517" max="517" width="9.33203125" style="1971" customWidth="1"/>
    <col min="518" max="518" width="5.88671875" style="1971" customWidth="1"/>
    <col min="519" max="519" width="10" style="1971" customWidth="1"/>
    <col min="520" max="521" width="7.109375" style="1971" customWidth="1"/>
    <col min="522" max="522" width="10.5546875" style="1971" customWidth="1"/>
    <col min="523" max="523" width="7.88671875" style="1971" customWidth="1"/>
    <col min="524" max="524" width="10.33203125" style="1971" customWidth="1"/>
    <col min="525" max="525" width="9.44140625" style="1971" customWidth="1"/>
    <col min="526" max="526" width="8.109375" style="1971" customWidth="1"/>
    <col min="527" max="768" width="13.88671875" style="1971"/>
    <col min="769" max="769" width="5.33203125" style="1971" customWidth="1"/>
    <col min="770" max="770" width="5.109375" style="1971" customWidth="1"/>
    <col min="771" max="771" width="36.33203125" style="1971" customWidth="1"/>
    <col min="772" max="772" width="4.5546875" style="1971" customWidth="1"/>
    <col min="773" max="773" width="9.33203125" style="1971" customWidth="1"/>
    <col min="774" max="774" width="5.88671875" style="1971" customWidth="1"/>
    <col min="775" max="775" width="10" style="1971" customWidth="1"/>
    <col min="776" max="777" width="7.109375" style="1971" customWidth="1"/>
    <col min="778" max="778" width="10.5546875" style="1971" customWidth="1"/>
    <col min="779" max="779" width="7.88671875" style="1971" customWidth="1"/>
    <col min="780" max="780" width="10.33203125" style="1971" customWidth="1"/>
    <col min="781" max="781" width="9.44140625" style="1971" customWidth="1"/>
    <col min="782" max="782" width="8.109375" style="1971" customWidth="1"/>
    <col min="783" max="1024" width="13.88671875" style="1971"/>
    <col min="1025" max="1025" width="5.33203125" style="1971" customWidth="1"/>
    <col min="1026" max="1026" width="5.109375" style="1971" customWidth="1"/>
    <col min="1027" max="1027" width="36.33203125" style="1971" customWidth="1"/>
    <col min="1028" max="1028" width="4.5546875" style="1971" customWidth="1"/>
    <col min="1029" max="1029" width="9.33203125" style="1971" customWidth="1"/>
    <col min="1030" max="1030" width="5.88671875" style="1971" customWidth="1"/>
    <col min="1031" max="1031" width="10" style="1971" customWidth="1"/>
    <col min="1032" max="1033" width="7.109375" style="1971" customWidth="1"/>
    <col min="1034" max="1034" width="10.5546875" style="1971" customWidth="1"/>
    <col min="1035" max="1035" width="7.88671875" style="1971" customWidth="1"/>
    <col min="1036" max="1036" width="10.33203125" style="1971" customWidth="1"/>
    <col min="1037" max="1037" width="9.44140625" style="1971" customWidth="1"/>
    <col min="1038" max="1038" width="8.109375" style="1971" customWidth="1"/>
    <col min="1039" max="1280" width="13.88671875" style="1971"/>
    <col min="1281" max="1281" width="5.33203125" style="1971" customWidth="1"/>
    <col min="1282" max="1282" width="5.109375" style="1971" customWidth="1"/>
    <col min="1283" max="1283" width="36.33203125" style="1971" customWidth="1"/>
    <col min="1284" max="1284" width="4.5546875" style="1971" customWidth="1"/>
    <col min="1285" max="1285" width="9.33203125" style="1971" customWidth="1"/>
    <col min="1286" max="1286" width="5.88671875" style="1971" customWidth="1"/>
    <col min="1287" max="1287" width="10" style="1971" customWidth="1"/>
    <col min="1288" max="1289" width="7.109375" style="1971" customWidth="1"/>
    <col min="1290" max="1290" width="10.5546875" style="1971" customWidth="1"/>
    <col min="1291" max="1291" width="7.88671875" style="1971" customWidth="1"/>
    <col min="1292" max="1292" width="10.33203125" style="1971" customWidth="1"/>
    <col min="1293" max="1293" width="9.44140625" style="1971" customWidth="1"/>
    <col min="1294" max="1294" width="8.109375" style="1971" customWidth="1"/>
    <col min="1295" max="1536" width="13.88671875" style="1971"/>
    <col min="1537" max="1537" width="5.33203125" style="1971" customWidth="1"/>
    <col min="1538" max="1538" width="5.109375" style="1971" customWidth="1"/>
    <col min="1539" max="1539" width="36.33203125" style="1971" customWidth="1"/>
    <col min="1540" max="1540" width="4.5546875" style="1971" customWidth="1"/>
    <col min="1541" max="1541" width="9.33203125" style="1971" customWidth="1"/>
    <col min="1542" max="1542" width="5.88671875" style="1971" customWidth="1"/>
    <col min="1543" max="1543" width="10" style="1971" customWidth="1"/>
    <col min="1544" max="1545" width="7.109375" style="1971" customWidth="1"/>
    <col min="1546" max="1546" width="10.5546875" style="1971" customWidth="1"/>
    <col min="1547" max="1547" width="7.88671875" style="1971" customWidth="1"/>
    <col min="1548" max="1548" width="10.33203125" style="1971" customWidth="1"/>
    <col min="1549" max="1549" width="9.44140625" style="1971" customWidth="1"/>
    <col min="1550" max="1550" width="8.109375" style="1971" customWidth="1"/>
    <col min="1551" max="1792" width="13.88671875" style="1971"/>
    <col min="1793" max="1793" width="5.33203125" style="1971" customWidth="1"/>
    <col min="1794" max="1794" width="5.109375" style="1971" customWidth="1"/>
    <col min="1795" max="1795" width="36.33203125" style="1971" customWidth="1"/>
    <col min="1796" max="1796" width="4.5546875" style="1971" customWidth="1"/>
    <col min="1797" max="1797" width="9.33203125" style="1971" customWidth="1"/>
    <col min="1798" max="1798" width="5.88671875" style="1971" customWidth="1"/>
    <col min="1799" max="1799" width="10" style="1971" customWidth="1"/>
    <col min="1800" max="1801" width="7.109375" style="1971" customWidth="1"/>
    <col min="1802" max="1802" width="10.5546875" style="1971" customWidth="1"/>
    <col min="1803" max="1803" width="7.88671875" style="1971" customWidth="1"/>
    <col min="1804" max="1804" width="10.33203125" style="1971" customWidth="1"/>
    <col min="1805" max="1805" width="9.44140625" style="1971" customWidth="1"/>
    <col min="1806" max="1806" width="8.109375" style="1971" customWidth="1"/>
    <col min="1807" max="2048" width="13.88671875" style="1971"/>
    <col min="2049" max="2049" width="5.33203125" style="1971" customWidth="1"/>
    <col min="2050" max="2050" width="5.109375" style="1971" customWidth="1"/>
    <col min="2051" max="2051" width="36.33203125" style="1971" customWidth="1"/>
    <col min="2052" max="2052" width="4.5546875" style="1971" customWidth="1"/>
    <col min="2053" max="2053" width="9.33203125" style="1971" customWidth="1"/>
    <col min="2054" max="2054" width="5.88671875" style="1971" customWidth="1"/>
    <col min="2055" max="2055" width="10" style="1971" customWidth="1"/>
    <col min="2056" max="2057" width="7.109375" style="1971" customWidth="1"/>
    <col min="2058" max="2058" width="10.5546875" style="1971" customWidth="1"/>
    <col min="2059" max="2059" width="7.88671875" style="1971" customWidth="1"/>
    <col min="2060" max="2060" width="10.33203125" style="1971" customWidth="1"/>
    <col min="2061" max="2061" width="9.44140625" style="1971" customWidth="1"/>
    <col min="2062" max="2062" width="8.109375" style="1971" customWidth="1"/>
    <col min="2063" max="2304" width="13.88671875" style="1971"/>
    <col min="2305" max="2305" width="5.33203125" style="1971" customWidth="1"/>
    <col min="2306" max="2306" width="5.109375" style="1971" customWidth="1"/>
    <col min="2307" max="2307" width="36.33203125" style="1971" customWidth="1"/>
    <col min="2308" max="2308" width="4.5546875" style="1971" customWidth="1"/>
    <col min="2309" max="2309" width="9.33203125" style="1971" customWidth="1"/>
    <col min="2310" max="2310" width="5.88671875" style="1971" customWidth="1"/>
    <col min="2311" max="2311" width="10" style="1971" customWidth="1"/>
    <col min="2312" max="2313" width="7.109375" style="1971" customWidth="1"/>
    <col min="2314" max="2314" width="10.5546875" style="1971" customWidth="1"/>
    <col min="2315" max="2315" width="7.88671875" style="1971" customWidth="1"/>
    <col min="2316" max="2316" width="10.33203125" style="1971" customWidth="1"/>
    <col min="2317" max="2317" width="9.44140625" style="1971" customWidth="1"/>
    <col min="2318" max="2318" width="8.109375" style="1971" customWidth="1"/>
    <col min="2319" max="2560" width="13.88671875" style="1971"/>
    <col min="2561" max="2561" width="5.33203125" style="1971" customWidth="1"/>
    <col min="2562" max="2562" width="5.109375" style="1971" customWidth="1"/>
    <col min="2563" max="2563" width="36.33203125" style="1971" customWidth="1"/>
    <col min="2564" max="2564" width="4.5546875" style="1971" customWidth="1"/>
    <col min="2565" max="2565" width="9.33203125" style="1971" customWidth="1"/>
    <col min="2566" max="2566" width="5.88671875" style="1971" customWidth="1"/>
    <col min="2567" max="2567" width="10" style="1971" customWidth="1"/>
    <col min="2568" max="2569" width="7.109375" style="1971" customWidth="1"/>
    <col min="2570" max="2570" width="10.5546875" style="1971" customWidth="1"/>
    <col min="2571" max="2571" width="7.88671875" style="1971" customWidth="1"/>
    <col min="2572" max="2572" width="10.33203125" style="1971" customWidth="1"/>
    <col min="2573" max="2573" width="9.44140625" style="1971" customWidth="1"/>
    <col min="2574" max="2574" width="8.109375" style="1971" customWidth="1"/>
    <col min="2575" max="2816" width="13.88671875" style="1971"/>
    <col min="2817" max="2817" width="5.33203125" style="1971" customWidth="1"/>
    <col min="2818" max="2818" width="5.109375" style="1971" customWidth="1"/>
    <col min="2819" max="2819" width="36.33203125" style="1971" customWidth="1"/>
    <col min="2820" max="2820" width="4.5546875" style="1971" customWidth="1"/>
    <col min="2821" max="2821" width="9.33203125" style="1971" customWidth="1"/>
    <col min="2822" max="2822" width="5.88671875" style="1971" customWidth="1"/>
    <col min="2823" max="2823" width="10" style="1971" customWidth="1"/>
    <col min="2824" max="2825" width="7.109375" style="1971" customWidth="1"/>
    <col min="2826" max="2826" width="10.5546875" style="1971" customWidth="1"/>
    <col min="2827" max="2827" width="7.88671875" style="1971" customWidth="1"/>
    <col min="2828" max="2828" width="10.33203125" style="1971" customWidth="1"/>
    <col min="2829" max="2829" width="9.44140625" style="1971" customWidth="1"/>
    <col min="2830" max="2830" width="8.109375" style="1971" customWidth="1"/>
    <col min="2831" max="3072" width="13.88671875" style="1971"/>
    <col min="3073" max="3073" width="5.33203125" style="1971" customWidth="1"/>
    <col min="3074" max="3074" width="5.109375" style="1971" customWidth="1"/>
    <col min="3075" max="3075" width="36.33203125" style="1971" customWidth="1"/>
    <col min="3076" max="3076" width="4.5546875" style="1971" customWidth="1"/>
    <col min="3077" max="3077" width="9.33203125" style="1971" customWidth="1"/>
    <col min="3078" max="3078" width="5.88671875" style="1971" customWidth="1"/>
    <col min="3079" max="3079" width="10" style="1971" customWidth="1"/>
    <col min="3080" max="3081" width="7.109375" style="1971" customWidth="1"/>
    <col min="3082" max="3082" width="10.5546875" style="1971" customWidth="1"/>
    <col min="3083" max="3083" width="7.88671875" style="1971" customWidth="1"/>
    <col min="3084" max="3084" width="10.33203125" style="1971" customWidth="1"/>
    <col min="3085" max="3085" width="9.44140625" style="1971" customWidth="1"/>
    <col min="3086" max="3086" width="8.109375" style="1971" customWidth="1"/>
    <col min="3087" max="3328" width="13.88671875" style="1971"/>
    <col min="3329" max="3329" width="5.33203125" style="1971" customWidth="1"/>
    <col min="3330" max="3330" width="5.109375" style="1971" customWidth="1"/>
    <col min="3331" max="3331" width="36.33203125" style="1971" customWidth="1"/>
    <col min="3332" max="3332" width="4.5546875" style="1971" customWidth="1"/>
    <col min="3333" max="3333" width="9.33203125" style="1971" customWidth="1"/>
    <col min="3334" max="3334" width="5.88671875" style="1971" customWidth="1"/>
    <col min="3335" max="3335" width="10" style="1971" customWidth="1"/>
    <col min="3336" max="3337" width="7.109375" style="1971" customWidth="1"/>
    <col min="3338" max="3338" width="10.5546875" style="1971" customWidth="1"/>
    <col min="3339" max="3339" width="7.88671875" style="1971" customWidth="1"/>
    <col min="3340" max="3340" width="10.33203125" style="1971" customWidth="1"/>
    <col min="3341" max="3341" width="9.44140625" style="1971" customWidth="1"/>
    <col min="3342" max="3342" width="8.109375" style="1971" customWidth="1"/>
    <col min="3343" max="3584" width="13.88671875" style="1971"/>
    <col min="3585" max="3585" width="5.33203125" style="1971" customWidth="1"/>
    <col min="3586" max="3586" width="5.109375" style="1971" customWidth="1"/>
    <col min="3587" max="3587" width="36.33203125" style="1971" customWidth="1"/>
    <col min="3588" max="3588" width="4.5546875" style="1971" customWidth="1"/>
    <col min="3589" max="3589" width="9.33203125" style="1971" customWidth="1"/>
    <col min="3590" max="3590" width="5.88671875" style="1971" customWidth="1"/>
    <col min="3591" max="3591" width="10" style="1971" customWidth="1"/>
    <col min="3592" max="3593" width="7.109375" style="1971" customWidth="1"/>
    <col min="3594" max="3594" width="10.5546875" style="1971" customWidth="1"/>
    <col min="3595" max="3595" width="7.88671875" style="1971" customWidth="1"/>
    <col min="3596" max="3596" width="10.33203125" style="1971" customWidth="1"/>
    <col min="3597" max="3597" width="9.44140625" style="1971" customWidth="1"/>
    <col min="3598" max="3598" width="8.109375" style="1971" customWidth="1"/>
    <col min="3599" max="3840" width="13.88671875" style="1971"/>
    <col min="3841" max="3841" width="5.33203125" style="1971" customWidth="1"/>
    <col min="3842" max="3842" width="5.109375" style="1971" customWidth="1"/>
    <col min="3843" max="3843" width="36.33203125" style="1971" customWidth="1"/>
    <col min="3844" max="3844" width="4.5546875" style="1971" customWidth="1"/>
    <col min="3845" max="3845" width="9.33203125" style="1971" customWidth="1"/>
    <col min="3846" max="3846" width="5.88671875" style="1971" customWidth="1"/>
    <col min="3847" max="3847" width="10" style="1971" customWidth="1"/>
    <col min="3848" max="3849" width="7.109375" style="1971" customWidth="1"/>
    <col min="3850" max="3850" width="10.5546875" style="1971" customWidth="1"/>
    <col min="3851" max="3851" width="7.88671875" style="1971" customWidth="1"/>
    <col min="3852" max="3852" width="10.33203125" style="1971" customWidth="1"/>
    <col min="3853" max="3853" width="9.44140625" style="1971" customWidth="1"/>
    <col min="3854" max="3854" width="8.109375" style="1971" customWidth="1"/>
    <col min="3855" max="4096" width="13.88671875" style="1971"/>
    <col min="4097" max="4097" width="5.33203125" style="1971" customWidth="1"/>
    <col min="4098" max="4098" width="5.109375" style="1971" customWidth="1"/>
    <col min="4099" max="4099" width="36.33203125" style="1971" customWidth="1"/>
    <col min="4100" max="4100" width="4.5546875" style="1971" customWidth="1"/>
    <col min="4101" max="4101" width="9.33203125" style="1971" customWidth="1"/>
    <col min="4102" max="4102" width="5.88671875" style="1971" customWidth="1"/>
    <col min="4103" max="4103" width="10" style="1971" customWidth="1"/>
    <col min="4104" max="4105" width="7.109375" style="1971" customWidth="1"/>
    <col min="4106" max="4106" width="10.5546875" style="1971" customWidth="1"/>
    <col min="4107" max="4107" width="7.88671875" style="1971" customWidth="1"/>
    <col min="4108" max="4108" width="10.33203125" style="1971" customWidth="1"/>
    <col min="4109" max="4109" width="9.44140625" style="1971" customWidth="1"/>
    <col min="4110" max="4110" width="8.109375" style="1971" customWidth="1"/>
    <col min="4111" max="4352" width="13.88671875" style="1971"/>
    <col min="4353" max="4353" width="5.33203125" style="1971" customWidth="1"/>
    <col min="4354" max="4354" width="5.109375" style="1971" customWidth="1"/>
    <col min="4355" max="4355" width="36.33203125" style="1971" customWidth="1"/>
    <col min="4356" max="4356" width="4.5546875" style="1971" customWidth="1"/>
    <col min="4357" max="4357" width="9.33203125" style="1971" customWidth="1"/>
    <col min="4358" max="4358" width="5.88671875" style="1971" customWidth="1"/>
    <col min="4359" max="4359" width="10" style="1971" customWidth="1"/>
    <col min="4360" max="4361" width="7.109375" style="1971" customWidth="1"/>
    <col min="4362" max="4362" width="10.5546875" style="1971" customWidth="1"/>
    <col min="4363" max="4363" width="7.88671875" style="1971" customWidth="1"/>
    <col min="4364" max="4364" width="10.33203125" style="1971" customWidth="1"/>
    <col min="4365" max="4365" width="9.44140625" style="1971" customWidth="1"/>
    <col min="4366" max="4366" width="8.109375" style="1971" customWidth="1"/>
    <col min="4367" max="4608" width="13.88671875" style="1971"/>
    <col min="4609" max="4609" width="5.33203125" style="1971" customWidth="1"/>
    <col min="4610" max="4610" width="5.109375" style="1971" customWidth="1"/>
    <col min="4611" max="4611" width="36.33203125" style="1971" customWidth="1"/>
    <col min="4612" max="4612" width="4.5546875" style="1971" customWidth="1"/>
    <col min="4613" max="4613" width="9.33203125" style="1971" customWidth="1"/>
    <col min="4614" max="4614" width="5.88671875" style="1971" customWidth="1"/>
    <col min="4615" max="4615" width="10" style="1971" customWidth="1"/>
    <col min="4616" max="4617" width="7.109375" style="1971" customWidth="1"/>
    <col min="4618" max="4618" width="10.5546875" style="1971" customWidth="1"/>
    <col min="4619" max="4619" width="7.88671875" style="1971" customWidth="1"/>
    <col min="4620" max="4620" width="10.33203125" style="1971" customWidth="1"/>
    <col min="4621" max="4621" width="9.44140625" style="1971" customWidth="1"/>
    <col min="4622" max="4622" width="8.109375" style="1971" customWidth="1"/>
    <col min="4623" max="4864" width="13.88671875" style="1971"/>
    <col min="4865" max="4865" width="5.33203125" style="1971" customWidth="1"/>
    <col min="4866" max="4866" width="5.109375" style="1971" customWidth="1"/>
    <col min="4867" max="4867" width="36.33203125" style="1971" customWidth="1"/>
    <col min="4868" max="4868" width="4.5546875" style="1971" customWidth="1"/>
    <col min="4869" max="4869" width="9.33203125" style="1971" customWidth="1"/>
    <col min="4870" max="4870" width="5.88671875" style="1971" customWidth="1"/>
    <col min="4871" max="4871" width="10" style="1971" customWidth="1"/>
    <col min="4872" max="4873" width="7.109375" style="1971" customWidth="1"/>
    <col min="4874" max="4874" width="10.5546875" style="1971" customWidth="1"/>
    <col min="4875" max="4875" width="7.88671875" style="1971" customWidth="1"/>
    <col min="4876" max="4876" width="10.33203125" style="1971" customWidth="1"/>
    <col min="4877" max="4877" width="9.44140625" style="1971" customWidth="1"/>
    <col min="4878" max="4878" width="8.109375" style="1971" customWidth="1"/>
    <col min="4879" max="5120" width="13.88671875" style="1971"/>
    <col min="5121" max="5121" width="5.33203125" style="1971" customWidth="1"/>
    <col min="5122" max="5122" width="5.109375" style="1971" customWidth="1"/>
    <col min="5123" max="5123" width="36.33203125" style="1971" customWidth="1"/>
    <col min="5124" max="5124" width="4.5546875" style="1971" customWidth="1"/>
    <col min="5125" max="5125" width="9.33203125" style="1971" customWidth="1"/>
    <col min="5126" max="5126" width="5.88671875" style="1971" customWidth="1"/>
    <col min="5127" max="5127" width="10" style="1971" customWidth="1"/>
    <col min="5128" max="5129" width="7.109375" style="1971" customWidth="1"/>
    <col min="5130" max="5130" width="10.5546875" style="1971" customWidth="1"/>
    <col min="5131" max="5131" width="7.88671875" style="1971" customWidth="1"/>
    <col min="5132" max="5132" width="10.33203125" style="1971" customWidth="1"/>
    <col min="5133" max="5133" width="9.44140625" style="1971" customWidth="1"/>
    <col min="5134" max="5134" width="8.109375" style="1971" customWidth="1"/>
    <col min="5135" max="5376" width="13.88671875" style="1971"/>
    <col min="5377" max="5377" width="5.33203125" style="1971" customWidth="1"/>
    <col min="5378" max="5378" width="5.109375" style="1971" customWidth="1"/>
    <col min="5379" max="5379" width="36.33203125" style="1971" customWidth="1"/>
    <col min="5380" max="5380" width="4.5546875" style="1971" customWidth="1"/>
    <col min="5381" max="5381" width="9.33203125" style="1971" customWidth="1"/>
    <col min="5382" max="5382" width="5.88671875" style="1971" customWidth="1"/>
    <col min="5383" max="5383" width="10" style="1971" customWidth="1"/>
    <col min="5384" max="5385" width="7.109375" style="1971" customWidth="1"/>
    <col min="5386" max="5386" width="10.5546875" style="1971" customWidth="1"/>
    <col min="5387" max="5387" width="7.88671875" style="1971" customWidth="1"/>
    <col min="5388" max="5388" width="10.33203125" style="1971" customWidth="1"/>
    <col min="5389" max="5389" width="9.44140625" style="1971" customWidth="1"/>
    <col min="5390" max="5390" width="8.109375" style="1971" customWidth="1"/>
    <col min="5391" max="5632" width="13.88671875" style="1971"/>
    <col min="5633" max="5633" width="5.33203125" style="1971" customWidth="1"/>
    <col min="5634" max="5634" width="5.109375" style="1971" customWidth="1"/>
    <col min="5635" max="5635" width="36.33203125" style="1971" customWidth="1"/>
    <col min="5636" max="5636" width="4.5546875" style="1971" customWidth="1"/>
    <col min="5637" max="5637" width="9.33203125" style="1971" customWidth="1"/>
    <col min="5638" max="5638" width="5.88671875" style="1971" customWidth="1"/>
    <col min="5639" max="5639" width="10" style="1971" customWidth="1"/>
    <col min="5640" max="5641" width="7.109375" style="1971" customWidth="1"/>
    <col min="5642" max="5642" width="10.5546875" style="1971" customWidth="1"/>
    <col min="5643" max="5643" width="7.88671875" style="1971" customWidth="1"/>
    <col min="5644" max="5644" width="10.33203125" style="1971" customWidth="1"/>
    <col min="5645" max="5645" width="9.44140625" style="1971" customWidth="1"/>
    <col min="5646" max="5646" width="8.109375" style="1971" customWidth="1"/>
    <col min="5647" max="5888" width="13.88671875" style="1971"/>
    <col min="5889" max="5889" width="5.33203125" style="1971" customWidth="1"/>
    <col min="5890" max="5890" width="5.109375" style="1971" customWidth="1"/>
    <col min="5891" max="5891" width="36.33203125" style="1971" customWidth="1"/>
    <col min="5892" max="5892" width="4.5546875" style="1971" customWidth="1"/>
    <col min="5893" max="5893" width="9.33203125" style="1971" customWidth="1"/>
    <col min="5894" max="5894" width="5.88671875" style="1971" customWidth="1"/>
    <col min="5895" max="5895" width="10" style="1971" customWidth="1"/>
    <col min="5896" max="5897" width="7.109375" style="1971" customWidth="1"/>
    <col min="5898" max="5898" width="10.5546875" style="1971" customWidth="1"/>
    <col min="5899" max="5899" width="7.88671875" style="1971" customWidth="1"/>
    <col min="5900" max="5900" width="10.33203125" style="1971" customWidth="1"/>
    <col min="5901" max="5901" width="9.44140625" style="1971" customWidth="1"/>
    <col min="5902" max="5902" width="8.109375" style="1971" customWidth="1"/>
    <col min="5903" max="6144" width="13.88671875" style="1971"/>
    <col min="6145" max="6145" width="5.33203125" style="1971" customWidth="1"/>
    <col min="6146" max="6146" width="5.109375" style="1971" customWidth="1"/>
    <col min="6147" max="6147" width="36.33203125" style="1971" customWidth="1"/>
    <col min="6148" max="6148" width="4.5546875" style="1971" customWidth="1"/>
    <col min="6149" max="6149" width="9.33203125" style="1971" customWidth="1"/>
    <col min="6150" max="6150" width="5.88671875" style="1971" customWidth="1"/>
    <col min="6151" max="6151" width="10" style="1971" customWidth="1"/>
    <col min="6152" max="6153" width="7.109375" style="1971" customWidth="1"/>
    <col min="6154" max="6154" width="10.5546875" style="1971" customWidth="1"/>
    <col min="6155" max="6155" width="7.88671875" style="1971" customWidth="1"/>
    <col min="6156" max="6156" width="10.33203125" style="1971" customWidth="1"/>
    <col min="6157" max="6157" width="9.44140625" style="1971" customWidth="1"/>
    <col min="6158" max="6158" width="8.109375" style="1971" customWidth="1"/>
    <col min="6159" max="6400" width="13.88671875" style="1971"/>
    <col min="6401" max="6401" width="5.33203125" style="1971" customWidth="1"/>
    <col min="6402" max="6402" width="5.109375" style="1971" customWidth="1"/>
    <col min="6403" max="6403" width="36.33203125" style="1971" customWidth="1"/>
    <col min="6404" max="6404" width="4.5546875" style="1971" customWidth="1"/>
    <col min="6405" max="6405" width="9.33203125" style="1971" customWidth="1"/>
    <col min="6406" max="6406" width="5.88671875" style="1971" customWidth="1"/>
    <col min="6407" max="6407" width="10" style="1971" customWidth="1"/>
    <col min="6408" max="6409" width="7.109375" style="1971" customWidth="1"/>
    <col min="6410" max="6410" width="10.5546875" style="1971" customWidth="1"/>
    <col min="6411" max="6411" width="7.88671875" style="1971" customWidth="1"/>
    <col min="6412" max="6412" width="10.33203125" style="1971" customWidth="1"/>
    <col min="6413" max="6413" width="9.44140625" style="1971" customWidth="1"/>
    <col min="6414" max="6414" width="8.109375" style="1971" customWidth="1"/>
    <col min="6415" max="6656" width="13.88671875" style="1971"/>
    <col min="6657" max="6657" width="5.33203125" style="1971" customWidth="1"/>
    <col min="6658" max="6658" width="5.109375" style="1971" customWidth="1"/>
    <col min="6659" max="6659" width="36.33203125" style="1971" customWidth="1"/>
    <col min="6660" max="6660" width="4.5546875" style="1971" customWidth="1"/>
    <col min="6661" max="6661" width="9.33203125" style="1971" customWidth="1"/>
    <col min="6662" max="6662" width="5.88671875" style="1971" customWidth="1"/>
    <col min="6663" max="6663" width="10" style="1971" customWidth="1"/>
    <col min="6664" max="6665" width="7.109375" style="1971" customWidth="1"/>
    <col min="6666" max="6666" width="10.5546875" style="1971" customWidth="1"/>
    <col min="6667" max="6667" width="7.88671875" style="1971" customWidth="1"/>
    <col min="6668" max="6668" width="10.33203125" style="1971" customWidth="1"/>
    <col min="6669" max="6669" width="9.44140625" style="1971" customWidth="1"/>
    <col min="6670" max="6670" width="8.109375" style="1971" customWidth="1"/>
    <col min="6671" max="6912" width="13.88671875" style="1971"/>
    <col min="6913" max="6913" width="5.33203125" style="1971" customWidth="1"/>
    <col min="6914" max="6914" width="5.109375" style="1971" customWidth="1"/>
    <col min="6915" max="6915" width="36.33203125" style="1971" customWidth="1"/>
    <col min="6916" max="6916" width="4.5546875" style="1971" customWidth="1"/>
    <col min="6917" max="6917" width="9.33203125" style="1971" customWidth="1"/>
    <col min="6918" max="6918" width="5.88671875" style="1971" customWidth="1"/>
    <col min="6919" max="6919" width="10" style="1971" customWidth="1"/>
    <col min="6920" max="6921" width="7.109375" style="1971" customWidth="1"/>
    <col min="6922" max="6922" width="10.5546875" style="1971" customWidth="1"/>
    <col min="6923" max="6923" width="7.88671875" style="1971" customWidth="1"/>
    <col min="6924" max="6924" width="10.33203125" style="1971" customWidth="1"/>
    <col min="6925" max="6925" width="9.44140625" style="1971" customWidth="1"/>
    <col min="6926" max="6926" width="8.109375" style="1971" customWidth="1"/>
    <col min="6927" max="7168" width="13.88671875" style="1971"/>
    <col min="7169" max="7169" width="5.33203125" style="1971" customWidth="1"/>
    <col min="7170" max="7170" width="5.109375" style="1971" customWidth="1"/>
    <col min="7171" max="7171" width="36.33203125" style="1971" customWidth="1"/>
    <col min="7172" max="7172" width="4.5546875" style="1971" customWidth="1"/>
    <col min="7173" max="7173" width="9.33203125" style="1971" customWidth="1"/>
    <col min="7174" max="7174" width="5.88671875" style="1971" customWidth="1"/>
    <col min="7175" max="7175" width="10" style="1971" customWidth="1"/>
    <col min="7176" max="7177" width="7.109375" style="1971" customWidth="1"/>
    <col min="7178" max="7178" width="10.5546875" style="1971" customWidth="1"/>
    <col min="7179" max="7179" width="7.88671875" style="1971" customWidth="1"/>
    <col min="7180" max="7180" width="10.33203125" style="1971" customWidth="1"/>
    <col min="7181" max="7181" width="9.44140625" style="1971" customWidth="1"/>
    <col min="7182" max="7182" width="8.109375" style="1971" customWidth="1"/>
    <col min="7183" max="7424" width="13.88671875" style="1971"/>
    <col min="7425" max="7425" width="5.33203125" style="1971" customWidth="1"/>
    <col min="7426" max="7426" width="5.109375" style="1971" customWidth="1"/>
    <col min="7427" max="7427" width="36.33203125" style="1971" customWidth="1"/>
    <col min="7428" max="7428" width="4.5546875" style="1971" customWidth="1"/>
    <col min="7429" max="7429" width="9.33203125" style="1971" customWidth="1"/>
    <col min="7430" max="7430" width="5.88671875" style="1971" customWidth="1"/>
    <col min="7431" max="7431" width="10" style="1971" customWidth="1"/>
    <col min="7432" max="7433" width="7.109375" style="1971" customWidth="1"/>
    <col min="7434" max="7434" width="10.5546875" style="1971" customWidth="1"/>
    <col min="7435" max="7435" width="7.88671875" style="1971" customWidth="1"/>
    <col min="7436" max="7436" width="10.33203125" style="1971" customWidth="1"/>
    <col min="7437" max="7437" width="9.44140625" style="1971" customWidth="1"/>
    <col min="7438" max="7438" width="8.109375" style="1971" customWidth="1"/>
    <col min="7439" max="7680" width="13.88671875" style="1971"/>
    <col min="7681" max="7681" width="5.33203125" style="1971" customWidth="1"/>
    <col min="7682" max="7682" width="5.109375" style="1971" customWidth="1"/>
    <col min="7683" max="7683" width="36.33203125" style="1971" customWidth="1"/>
    <col min="7684" max="7684" width="4.5546875" style="1971" customWidth="1"/>
    <col min="7685" max="7685" width="9.33203125" style="1971" customWidth="1"/>
    <col min="7686" max="7686" width="5.88671875" style="1971" customWidth="1"/>
    <col min="7687" max="7687" width="10" style="1971" customWidth="1"/>
    <col min="7688" max="7689" width="7.109375" style="1971" customWidth="1"/>
    <col min="7690" max="7690" width="10.5546875" style="1971" customWidth="1"/>
    <col min="7691" max="7691" width="7.88671875" style="1971" customWidth="1"/>
    <col min="7692" max="7692" width="10.33203125" style="1971" customWidth="1"/>
    <col min="7693" max="7693" width="9.44140625" style="1971" customWidth="1"/>
    <col min="7694" max="7694" width="8.109375" style="1971" customWidth="1"/>
    <col min="7695" max="7936" width="13.88671875" style="1971"/>
    <col min="7937" max="7937" width="5.33203125" style="1971" customWidth="1"/>
    <col min="7938" max="7938" width="5.109375" style="1971" customWidth="1"/>
    <col min="7939" max="7939" width="36.33203125" style="1971" customWidth="1"/>
    <col min="7940" max="7940" width="4.5546875" style="1971" customWidth="1"/>
    <col min="7941" max="7941" width="9.33203125" style="1971" customWidth="1"/>
    <col min="7942" max="7942" width="5.88671875" style="1971" customWidth="1"/>
    <col min="7943" max="7943" width="10" style="1971" customWidth="1"/>
    <col min="7944" max="7945" width="7.109375" style="1971" customWidth="1"/>
    <col min="7946" max="7946" width="10.5546875" style="1971" customWidth="1"/>
    <col min="7947" max="7947" width="7.88671875" style="1971" customWidth="1"/>
    <col min="7948" max="7948" width="10.33203125" style="1971" customWidth="1"/>
    <col min="7949" max="7949" width="9.44140625" style="1971" customWidth="1"/>
    <col min="7950" max="7950" width="8.109375" style="1971" customWidth="1"/>
    <col min="7951" max="8192" width="13.88671875" style="1971"/>
    <col min="8193" max="8193" width="5.33203125" style="1971" customWidth="1"/>
    <col min="8194" max="8194" width="5.109375" style="1971" customWidth="1"/>
    <col min="8195" max="8195" width="36.33203125" style="1971" customWidth="1"/>
    <col min="8196" max="8196" width="4.5546875" style="1971" customWidth="1"/>
    <col min="8197" max="8197" width="9.33203125" style="1971" customWidth="1"/>
    <col min="8198" max="8198" width="5.88671875" style="1971" customWidth="1"/>
    <col min="8199" max="8199" width="10" style="1971" customWidth="1"/>
    <col min="8200" max="8201" width="7.109375" style="1971" customWidth="1"/>
    <col min="8202" max="8202" width="10.5546875" style="1971" customWidth="1"/>
    <col min="8203" max="8203" width="7.88671875" style="1971" customWidth="1"/>
    <col min="8204" max="8204" width="10.33203125" style="1971" customWidth="1"/>
    <col min="8205" max="8205" width="9.44140625" style="1971" customWidth="1"/>
    <col min="8206" max="8206" width="8.109375" style="1971" customWidth="1"/>
    <col min="8207" max="8448" width="13.88671875" style="1971"/>
    <col min="8449" max="8449" width="5.33203125" style="1971" customWidth="1"/>
    <col min="8450" max="8450" width="5.109375" style="1971" customWidth="1"/>
    <col min="8451" max="8451" width="36.33203125" style="1971" customWidth="1"/>
    <col min="8452" max="8452" width="4.5546875" style="1971" customWidth="1"/>
    <col min="8453" max="8453" width="9.33203125" style="1971" customWidth="1"/>
    <col min="8454" max="8454" width="5.88671875" style="1971" customWidth="1"/>
    <col min="8455" max="8455" width="10" style="1971" customWidth="1"/>
    <col min="8456" max="8457" width="7.109375" style="1971" customWidth="1"/>
    <col min="8458" max="8458" width="10.5546875" style="1971" customWidth="1"/>
    <col min="8459" max="8459" width="7.88671875" style="1971" customWidth="1"/>
    <col min="8460" max="8460" width="10.33203125" style="1971" customWidth="1"/>
    <col min="8461" max="8461" width="9.44140625" style="1971" customWidth="1"/>
    <col min="8462" max="8462" width="8.109375" style="1971" customWidth="1"/>
    <col min="8463" max="8704" width="13.88671875" style="1971"/>
    <col min="8705" max="8705" width="5.33203125" style="1971" customWidth="1"/>
    <col min="8706" max="8706" width="5.109375" style="1971" customWidth="1"/>
    <col min="8707" max="8707" width="36.33203125" style="1971" customWidth="1"/>
    <col min="8708" max="8708" width="4.5546875" style="1971" customWidth="1"/>
    <col min="8709" max="8709" width="9.33203125" style="1971" customWidth="1"/>
    <col min="8710" max="8710" width="5.88671875" style="1971" customWidth="1"/>
    <col min="8711" max="8711" width="10" style="1971" customWidth="1"/>
    <col min="8712" max="8713" width="7.109375" style="1971" customWidth="1"/>
    <col min="8714" max="8714" width="10.5546875" style="1971" customWidth="1"/>
    <col min="8715" max="8715" width="7.88671875" style="1971" customWidth="1"/>
    <col min="8716" max="8716" width="10.33203125" style="1971" customWidth="1"/>
    <col min="8717" max="8717" width="9.44140625" style="1971" customWidth="1"/>
    <col min="8718" max="8718" width="8.109375" style="1971" customWidth="1"/>
    <col min="8719" max="8960" width="13.88671875" style="1971"/>
    <col min="8961" max="8961" width="5.33203125" style="1971" customWidth="1"/>
    <col min="8962" max="8962" width="5.109375" style="1971" customWidth="1"/>
    <col min="8963" max="8963" width="36.33203125" style="1971" customWidth="1"/>
    <col min="8964" max="8964" width="4.5546875" style="1971" customWidth="1"/>
    <col min="8965" max="8965" width="9.33203125" style="1971" customWidth="1"/>
    <col min="8966" max="8966" width="5.88671875" style="1971" customWidth="1"/>
    <col min="8967" max="8967" width="10" style="1971" customWidth="1"/>
    <col min="8968" max="8969" width="7.109375" style="1971" customWidth="1"/>
    <col min="8970" max="8970" width="10.5546875" style="1971" customWidth="1"/>
    <col min="8971" max="8971" width="7.88671875" style="1971" customWidth="1"/>
    <col min="8972" max="8972" width="10.33203125" style="1971" customWidth="1"/>
    <col min="8973" max="8973" width="9.44140625" style="1971" customWidth="1"/>
    <col min="8974" max="8974" width="8.109375" style="1971" customWidth="1"/>
    <col min="8975" max="9216" width="13.88671875" style="1971"/>
    <col min="9217" max="9217" width="5.33203125" style="1971" customWidth="1"/>
    <col min="9218" max="9218" width="5.109375" style="1971" customWidth="1"/>
    <col min="9219" max="9219" width="36.33203125" style="1971" customWidth="1"/>
    <col min="9220" max="9220" width="4.5546875" style="1971" customWidth="1"/>
    <col min="9221" max="9221" width="9.33203125" style="1971" customWidth="1"/>
    <col min="9222" max="9222" width="5.88671875" style="1971" customWidth="1"/>
    <col min="9223" max="9223" width="10" style="1971" customWidth="1"/>
    <col min="9224" max="9225" width="7.109375" style="1971" customWidth="1"/>
    <col min="9226" max="9226" width="10.5546875" style="1971" customWidth="1"/>
    <col min="9227" max="9227" width="7.88671875" style="1971" customWidth="1"/>
    <col min="9228" max="9228" width="10.33203125" style="1971" customWidth="1"/>
    <col min="9229" max="9229" width="9.44140625" style="1971" customWidth="1"/>
    <col min="9230" max="9230" width="8.109375" style="1971" customWidth="1"/>
    <col min="9231" max="9472" width="13.88671875" style="1971"/>
    <col min="9473" max="9473" width="5.33203125" style="1971" customWidth="1"/>
    <col min="9474" max="9474" width="5.109375" style="1971" customWidth="1"/>
    <col min="9475" max="9475" width="36.33203125" style="1971" customWidth="1"/>
    <col min="9476" max="9476" width="4.5546875" style="1971" customWidth="1"/>
    <col min="9477" max="9477" width="9.33203125" style="1971" customWidth="1"/>
    <col min="9478" max="9478" width="5.88671875" style="1971" customWidth="1"/>
    <col min="9479" max="9479" width="10" style="1971" customWidth="1"/>
    <col min="9480" max="9481" width="7.109375" style="1971" customWidth="1"/>
    <col min="9482" max="9482" width="10.5546875" style="1971" customWidth="1"/>
    <col min="9483" max="9483" width="7.88671875" style="1971" customWidth="1"/>
    <col min="9484" max="9484" width="10.33203125" style="1971" customWidth="1"/>
    <col min="9485" max="9485" width="9.44140625" style="1971" customWidth="1"/>
    <col min="9486" max="9486" width="8.109375" style="1971" customWidth="1"/>
    <col min="9487" max="9728" width="13.88671875" style="1971"/>
    <col min="9729" max="9729" width="5.33203125" style="1971" customWidth="1"/>
    <col min="9730" max="9730" width="5.109375" style="1971" customWidth="1"/>
    <col min="9731" max="9731" width="36.33203125" style="1971" customWidth="1"/>
    <col min="9732" max="9732" width="4.5546875" style="1971" customWidth="1"/>
    <col min="9733" max="9733" width="9.33203125" style="1971" customWidth="1"/>
    <col min="9734" max="9734" width="5.88671875" style="1971" customWidth="1"/>
    <col min="9735" max="9735" width="10" style="1971" customWidth="1"/>
    <col min="9736" max="9737" width="7.109375" style="1971" customWidth="1"/>
    <col min="9738" max="9738" width="10.5546875" style="1971" customWidth="1"/>
    <col min="9739" max="9739" width="7.88671875" style="1971" customWidth="1"/>
    <col min="9740" max="9740" width="10.33203125" style="1971" customWidth="1"/>
    <col min="9741" max="9741" width="9.44140625" style="1971" customWidth="1"/>
    <col min="9742" max="9742" width="8.109375" style="1971" customWidth="1"/>
    <col min="9743" max="9984" width="13.88671875" style="1971"/>
    <col min="9985" max="9985" width="5.33203125" style="1971" customWidth="1"/>
    <col min="9986" max="9986" width="5.109375" style="1971" customWidth="1"/>
    <col min="9987" max="9987" width="36.33203125" style="1971" customWidth="1"/>
    <col min="9988" max="9988" width="4.5546875" style="1971" customWidth="1"/>
    <col min="9989" max="9989" width="9.33203125" style="1971" customWidth="1"/>
    <col min="9990" max="9990" width="5.88671875" style="1971" customWidth="1"/>
    <col min="9991" max="9991" width="10" style="1971" customWidth="1"/>
    <col min="9992" max="9993" width="7.109375" style="1971" customWidth="1"/>
    <col min="9994" max="9994" width="10.5546875" style="1971" customWidth="1"/>
    <col min="9995" max="9995" width="7.88671875" style="1971" customWidth="1"/>
    <col min="9996" max="9996" width="10.33203125" style="1971" customWidth="1"/>
    <col min="9997" max="9997" width="9.44140625" style="1971" customWidth="1"/>
    <col min="9998" max="9998" width="8.109375" style="1971" customWidth="1"/>
    <col min="9999" max="10240" width="13.88671875" style="1971"/>
    <col min="10241" max="10241" width="5.33203125" style="1971" customWidth="1"/>
    <col min="10242" max="10242" width="5.109375" style="1971" customWidth="1"/>
    <col min="10243" max="10243" width="36.33203125" style="1971" customWidth="1"/>
    <col min="10244" max="10244" width="4.5546875" style="1971" customWidth="1"/>
    <col min="10245" max="10245" width="9.33203125" style="1971" customWidth="1"/>
    <col min="10246" max="10246" width="5.88671875" style="1971" customWidth="1"/>
    <col min="10247" max="10247" width="10" style="1971" customWidth="1"/>
    <col min="10248" max="10249" width="7.109375" style="1971" customWidth="1"/>
    <col min="10250" max="10250" width="10.5546875" style="1971" customWidth="1"/>
    <col min="10251" max="10251" width="7.88671875" style="1971" customWidth="1"/>
    <col min="10252" max="10252" width="10.33203125" style="1971" customWidth="1"/>
    <col min="10253" max="10253" width="9.44140625" style="1971" customWidth="1"/>
    <col min="10254" max="10254" width="8.109375" style="1971" customWidth="1"/>
    <col min="10255" max="10496" width="13.88671875" style="1971"/>
    <col min="10497" max="10497" width="5.33203125" style="1971" customWidth="1"/>
    <col min="10498" max="10498" width="5.109375" style="1971" customWidth="1"/>
    <col min="10499" max="10499" width="36.33203125" style="1971" customWidth="1"/>
    <col min="10500" max="10500" width="4.5546875" style="1971" customWidth="1"/>
    <col min="10501" max="10501" width="9.33203125" style="1971" customWidth="1"/>
    <col min="10502" max="10502" width="5.88671875" style="1971" customWidth="1"/>
    <col min="10503" max="10503" width="10" style="1971" customWidth="1"/>
    <col min="10504" max="10505" width="7.109375" style="1971" customWidth="1"/>
    <col min="10506" max="10506" width="10.5546875" style="1971" customWidth="1"/>
    <col min="10507" max="10507" width="7.88671875" style="1971" customWidth="1"/>
    <col min="10508" max="10508" width="10.33203125" style="1971" customWidth="1"/>
    <col min="10509" max="10509" width="9.44140625" style="1971" customWidth="1"/>
    <col min="10510" max="10510" width="8.109375" style="1971" customWidth="1"/>
    <col min="10511" max="10752" width="13.88671875" style="1971"/>
    <col min="10753" max="10753" width="5.33203125" style="1971" customWidth="1"/>
    <col min="10754" max="10754" width="5.109375" style="1971" customWidth="1"/>
    <col min="10755" max="10755" width="36.33203125" style="1971" customWidth="1"/>
    <col min="10756" max="10756" width="4.5546875" style="1971" customWidth="1"/>
    <col min="10757" max="10757" width="9.33203125" style="1971" customWidth="1"/>
    <col min="10758" max="10758" width="5.88671875" style="1971" customWidth="1"/>
    <col min="10759" max="10759" width="10" style="1971" customWidth="1"/>
    <col min="10760" max="10761" width="7.109375" style="1971" customWidth="1"/>
    <col min="10762" max="10762" width="10.5546875" style="1971" customWidth="1"/>
    <col min="10763" max="10763" width="7.88671875" style="1971" customWidth="1"/>
    <col min="10764" max="10764" width="10.33203125" style="1971" customWidth="1"/>
    <col min="10765" max="10765" width="9.44140625" style="1971" customWidth="1"/>
    <col min="10766" max="10766" width="8.109375" style="1971" customWidth="1"/>
    <col min="10767" max="11008" width="13.88671875" style="1971"/>
    <col min="11009" max="11009" width="5.33203125" style="1971" customWidth="1"/>
    <col min="11010" max="11010" width="5.109375" style="1971" customWidth="1"/>
    <col min="11011" max="11011" width="36.33203125" style="1971" customWidth="1"/>
    <col min="11012" max="11012" width="4.5546875" style="1971" customWidth="1"/>
    <col min="11013" max="11013" width="9.33203125" style="1971" customWidth="1"/>
    <col min="11014" max="11014" width="5.88671875" style="1971" customWidth="1"/>
    <col min="11015" max="11015" width="10" style="1971" customWidth="1"/>
    <col min="11016" max="11017" width="7.109375" style="1971" customWidth="1"/>
    <col min="11018" max="11018" width="10.5546875" style="1971" customWidth="1"/>
    <col min="11019" max="11019" width="7.88671875" style="1971" customWidth="1"/>
    <col min="11020" max="11020" width="10.33203125" style="1971" customWidth="1"/>
    <col min="11021" max="11021" width="9.44140625" style="1971" customWidth="1"/>
    <col min="11022" max="11022" width="8.109375" style="1971" customWidth="1"/>
    <col min="11023" max="11264" width="13.88671875" style="1971"/>
    <col min="11265" max="11265" width="5.33203125" style="1971" customWidth="1"/>
    <col min="11266" max="11266" width="5.109375" style="1971" customWidth="1"/>
    <col min="11267" max="11267" width="36.33203125" style="1971" customWidth="1"/>
    <col min="11268" max="11268" width="4.5546875" style="1971" customWidth="1"/>
    <col min="11269" max="11269" width="9.33203125" style="1971" customWidth="1"/>
    <col min="11270" max="11270" width="5.88671875" style="1971" customWidth="1"/>
    <col min="11271" max="11271" width="10" style="1971" customWidth="1"/>
    <col min="11272" max="11273" width="7.109375" style="1971" customWidth="1"/>
    <col min="11274" max="11274" width="10.5546875" style="1971" customWidth="1"/>
    <col min="11275" max="11275" width="7.88671875" style="1971" customWidth="1"/>
    <col min="11276" max="11276" width="10.33203125" style="1971" customWidth="1"/>
    <col min="11277" max="11277" width="9.44140625" style="1971" customWidth="1"/>
    <col min="11278" max="11278" width="8.109375" style="1971" customWidth="1"/>
    <col min="11279" max="11520" width="13.88671875" style="1971"/>
    <col min="11521" max="11521" width="5.33203125" style="1971" customWidth="1"/>
    <col min="11522" max="11522" width="5.109375" style="1971" customWidth="1"/>
    <col min="11523" max="11523" width="36.33203125" style="1971" customWidth="1"/>
    <col min="11524" max="11524" width="4.5546875" style="1971" customWidth="1"/>
    <col min="11525" max="11525" width="9.33203125" style="1971" customWidth="1"/>
    <col min="11526" max="11526" width="5.88671875" style="1971" customWidth="1"/>
    <col min="11527" max="11527" width="10" style="1971" customWidth="1"/>
    <col min="11528" max="11529" width="7.109375" style="1971" customWidth="1"/>
    <col min="11530" max="11530" width="10.5546875" style="1971" customWidth="1"/>
    <col min="11531" max="11531" width="7.88671875" style="1971" customWidth="1"/>
    <col min="11532" max="11532" width="10.33203125" style="1971" customWidth="1"/>
    <col min="11533" max="11533" width="9.44140625" style="1971" customWidth="1"/>
    <col min="11534" max="11534" width="8.109375" style="1971" customWidth="1"/>
    <col min="11535" max="11776" width="13.88671875" style="1971"/>
    <col min="11777" max="11777" width="5.33203125" style="1971" customWidth="1"/>
    <col min="11778" max="11778" width="5.109375" style="1971" customWidth="1"/>
    <col min="11779" max="11779" width="36.33203125" style="1971" customWidth="1"/>
    <col min="11780" max="11780" width="4.5546875" style="1971" customWidth="1"/>
    <col min="11781" max="11781" width="9.33203125" style="1971" customWidth="1"/>
    <col min="11782" max="11782" width="5.88671875" style="1971" customWidth="1"/>
    <col min="11783" max="11783" width="10" style="1971" customWidth="1"/>
    <col min="11784" max="11785" width="7.109375" style="1971" customWidth="1"/>
    <col min="11786" max="11786" width="10.5546875" style="1971" customWidth="1"/>
    <col min="11787" max="11787" width="7.88671875" style="1971" customWidth="1"/>
    <col min="11788" max="11788" width="10.33203125" style="1971" customWidth="1"/>
    <col min="11789" max="11789" width="9.44140625" style="1971" customWidth="1"/>
    <col min="11790" max="11790" width="8.109375" style="1971" customWidth="1"/>
    <col min="11791" max="12032" width="13.88671875" style="1971"/>
    <col min="12033" max="12033" width="5.33203125" style="1971" customWidth="1"/>
    <col min="12034" max="12034" width="5.109375" style="1971" customWidth="1"/>
    <col min="12035" max="12035" width="36.33203125" style="1971" customWidth="1"/>
    <col min="12036" max="12036" width="4.5546875" style="1971" customWidth="1"/>
    <col min="12037" max="12037" width="9.33203125" style="1971" customWidth="1"/>
    <col min="12038" max="12038" width="5.88671875" style="1971" customWidth="1"/>
    <col min="12039" max="12039" width="10" style="1971" customWidth="1"/>
    <col min="12040" max="12041" width="7.109375" style="1971" customWidth="1"/>
    <col min="12042" max="12042" width="10.5546875" style="1971" customWidth="1"/>
    <col min="12043" max="12043" width="7.88671875" style="1971" customWidth="1"/>
    <col min="12044" max="12044" width="10.33203125" style="1971" customWidth="1"/>
    <col min="12045" max="12045" width="9.44140625" style="1971" customWidth="1"/>
    <col min="12046" max="12046" width="8.109375" style="1971" customWidth="1"/>
    <col min="12047" max="12288" width="13.88671875" style="1971"/>
    <col min="12289" max="12289" width="5.33203125" style="1971" customWidth="1"/>
    <col min="12290" max="12290" width="5.109375" style="1971" customWidth="1"/>
    <col min="12291" max="12291" width="36.33203125" style="1971" customWidth="1"/>
    <col min="12292" max="12292" width="4.5546875" style="1971" customWidth="1"/>
    <col min="12293" max="12293" width="9.33203125" style="1971" customWidth="1"/>
    <col min="12294" max="12294" width="5.88671875" style="1971" customWidth="1"/>
    <col min="12295" max="12295" width="10" style="1971" customWidth="1"/>
    <col min="12296" max="12297" width="7.109375" style="1971" customWidth="1"/>
    <col min="12298" max="12298" width="10.5546875" style="1971" customWidth="1"/>
    <col min="12299" max="12299" width="7.88671875" style="1971" customWidth="1"/>
    <col min="12300" max="12300" width="10.33203125" style="1971" customWidth="1"/>
    <col min="12301" max="12301" width="9.44140625" style="1971" customWidth="1"/>
    <col min="12302" max="12302" width="8.109375" style="1971" customWidth="1"/>
    <col min="12303" max="12544" width="13.88671875" style="1971"/>
    <col min="12545" max="12545" width="5.33203125" style="1971" customWidth="1"/>
    <col min="12546" max="12546" width="5.109375" style="1971" customWidth="1"/>
    <col min="12547" max="12547" width="36.33203125" style="1971" customWidth="1"/>
    <col min="12548" max="12548" width="4.5546875" style="1971" customWidth="1"/>
    <col min="12549" max="12549" width="9.33203125" style="1971" customWidth="1"/>
    <col min="12550" max="12550" width="5.88671875" style="1971" customWidth="1"/>
    <col min="12551" max="12551" width="10" style="1971" customWidth="1"/>
    <col min="12552" max="12553" width="7.109375" style="1971" customWidth="1"/>
    <col min="12554" max="12554" width="10.5546875" style="1971" customWidth="1"/>
    <col min="12555" max="12555" width="7.88671875" style="1971" customWidth="1"/>
    <col min="12556" max="12556" width="10.33203125" style="1971" customWidth="1"/>
    <col min="12557" max="12557" width="9.44140625" style="1971" customWidth="1"/>
    <col min="12558" max="12558" width="8.109375" style="1971" customWidth="1"/>
    <col min="12559" max="12800" width="13.88671875" style="1971"/>
    <col min="12801" max="12801" width="5.33203125" style="1971" customWidth="1"/>
    <col min="12802" max="12802" width="5.109375" style="1971" customWidth="1"/>
    <col min="12803" max="12803" width="36.33203125" style="1971" customWidth="1"/>
    <col min="12804" max="12804" width="4.5546875" style="1971" customWidth="1"/>
    <col min="12805" max="12805" width="9.33203125" style="1971" customWidth="1"/>
    <col min="12806" max="12806" width="5.88671875" style="1971" customWidth="1"/>
    <col min="12807" max="12807" width="10" style="1971" customWidth="1"/>
    <col min="12808" max="12809" width="7.109375" style="1971" customWidth="1"/>
    <col min="12810" max="12810" width="10.5546875" style="1971" customWidth="1"/>
    <col min="12811" max="12811" width="7.88671875" style="1971" customWidth="1"/>
    <col min="12812" max="12812" width="10.33203125" style="1971" customWidth="1"/>
    <col min="12813" max="12813" width="9.44140625" style="1971" customWidth="1"/>
    <col min="12814" max="12814" width="8.109375" style="1971" customWidth="1"/>
    <col min="12815" max="13056" width="13.88671875" style="1971"/>
    <col min="13057" max="13057" width="5.33203125" style="1971" customWidth="1"/>
    <col min="13058" max="13058" width="5.109375" style="1971" customWidth="1"/>
    <col min="13059" max="13059" width="36.33203125" style="1971" customWidth="1"/>
    <col min="13060" max="13060" width="4.5546875" style="1971" customWidth="1"/>
    <col min="13061" max="13061" width="9.33203125" style="1971" customWidth="1"/>
    <col min="13062" max="13062" width="5.88671875" style="1971" customWidth="1"/>
    <col min="13063" max="13063" width="10" style="1971" customWidth="1"/>
    <col min="13064" max="13065" width="7.109375" style="1971" customWidth="1"/>
    <col min="13066" max="13066" width="10.5546875" style="1971" customWidth="1"/>
    <col min="13067" max="13067" width="7.88671875" style="1971" customWidth="1"/>
    <col min="13068" max="13068" width="10.33203125" style="1971" customWidth="1"/>
    <col min="13069" max="13069" width="9.44140625" style="1971" customWidth="1"/>
    <col min="13070" max="13070" width="8.109375" style="1971" customWidth="1"/>
    <col min="13071" max="13312" width="13.88671875" style="1971"/>
    <col min="13313" max="13313" width="5.33203125" style="1971" customWidth="1"/>
    <col min="13314" max="13314" width="5.109375" style="1971" customWidth="1"/>
    <col min="13315" max="13315" width="36.33203125" style="1971" customWidth="1"/>
    <col min="13316" max="13316" width="4.5546875" style="1971" customWidth="1"/>
    <col min="13317" max="13317" width="9.33203125" style="1971" customWidth="1"/>
    <col min="13318" max="13318" width="5.88671875" style="1971" customWidth="1"/>
    <col min="13319" max="13319" width="10" style="1971" customWidth="1"/>
    <col min="13320" max="13321" width="7.109375" style="1971" customWidth="1"/>
    <col min="13322" max="13322" width="10.5546875" style="1971" customWidth="1"/>
    <col min="13323" max="13323" width="7.88671875" style="1971" customWidth="1"/>
    <col min="13324" max="13324" width="10.33203125" style="1971" customWidth="1"/>
    <col min="13325" max="13325" width="9.44140625" style="1971" customWidth="1"/>
    <col min="13326" max="13326" width="8.109375" style="1971" customWidth="1"/>
    <col min="13327" max="13568" width="13.88671875" style="1971"/>
    <col min="13569" max="13569" width="5.33203125" style="1971" customWidth="1"/>
    <col min="13570" max="13570" width="5.109375" style="1971" customWidth="1"/>
    <col min="13571" max="13571" width="36.33203125" style="1971" customWidth="1"/>
    <col min="13572" max="13572" width="4.5546875" style="1971" customWidth="1"/>
    <col min="13573" max="13573" width="9.33203125" style="1971" customWidth="1"/>
    <col min="13574" max="13574" width="5.88671875" style="1971" customWidth="1"/>
    <col min="13575" max="13575" width="10" style="1971" customWidth="1"/>
    <col min="13576" max="13577" width="7.109375" style="1971" customWidth="1"/>
    <col min="13578" max="13578" width="10.5546875" style="1971" customWidth="1"/>
    <col min="13579" max="13579" width="7.88671875" style="1971" customWidth="1"/>
    <col min="13580" max="13580" width="10.33203125" style="1971" customWidth="1"/>
    <col min="13581" max="13581" width="9.44140625" style="1971" customWidth="1"/>
    <col min="13582" max="13582" width="8.109375" style="1971" customWidth="1"/>
    <col min="13583" max="13824" width="13.88671875" style="1971"/>
    <col min="13825" max="13825" width="5.33203125" style="1971" customWidth="1"/>
    <col min="13826" max="13826" width="5.109375" style="1971" customWidth="1"/>
    <col min="13827" max="13827" width="36.33203125" style="1971" customWidth="1"/>
    <col min="13828" max="13828" width="4.5546875" style="1971" customWidth="1"/>
    <col min="13829" max="13829" width="9.33203125" style="1971" customWidth="1"/>
    <col min="13830" max="13830" width="5.88671875" style="1971" customWidth="1"/>
    <col min="13831" max="13831" width="10" style="1971" customWidth="1"/>
    <col min="13832" max="13833" width="7.109375" style="1971" customWidth="1"/>
    <col min="13834" max="13834" width="10.5546875" style="1971" customWidth="1"/>
    <col min="13835" max="13835" width="7.88671875" style="1971" customWidth="1"/>
    <col min="13836" max="13836" width="10.33203125" style="1971" customWidth="1"/>
    <col min="13837" max="13837" width="9.44140625" style="1971" customWidth="1"/>
    <col min="13838" max="13838" width="8.109375" style="1971" customWidth="1"/>
    <col min="13839" max="14080" width="13.88671875" style="1971"/>
    <col min="14081" max="14081" width="5.33203125" style="1971" customWidth="1"/>
    <col min="14082" max="14082" width="5.109375" style="1971" customWidth="1"/>
    <col min="14083" max="14083" width="36.33203125" style="1971" customWidth="1"/>
    <col min="14084" max="14084" width="4.5546875" style="1971" customWidth="1"/>
    <col min="14085" max="14085" width="9.33203125" style="1971" customWidth="1"/>
    <col min="14086" max="14086" width="5.88671875" style="1971" customWidth="1"/>
    <col min="14087" max="14087" width="10" style="1971" customWidth="1"/>
    <col min="14088" max="14089" width="7.109375" style="1971" customWidth="1"/>
    <col min="14090" max="14090" width="10.5546875" style="1971" customWidth="1"/>
    <col min="14091" max="14091" width="7.88671875" style="1971" customWidth="1"/>
    <col min="14092" max="14092" width="10.33203125" style="1971" customWidth="1"/>
    <col min="14093" max="14093" width="9.44140625" style="1971" customWidth="1"/>
    <col min="14094" max="14094" width="8.109375" style="1971" customWidth="1"/>
    <col min="14095" max="14336" width="13.88671875" style="1971"/>
    <col min="14337" max="14337" width="5.33203125" style="1971" customWidth="1"/>
    <col min="14338" max="14338" width="5.109375" style="1971" customWidth="1"/>
    <col min="14339" max="14339" width="36.33203125" style="1971" customWidth="1"/>
    <col min="14340" max="14340" width="4.5546875" style="1971" customWidth="1"/>
    <col min="14341" max="14341" width="9.33203125" style="1971" customWidth="1"/>
    <col min="14342" max="14342" width="5.88671875" style="1971" customWidth="1"/>
    <col min="14343" max="14343" width="10" style="1971" customWidth="1"/>
    <col min="14344" max="14345" width="7.109375" style="1971" customWidth="1"/>
    <col min="14346" max="14346" width="10.5546875" style="1971" customWidth="1"/>
    <col min="14347" max="14347" width="7.88671875" style="1971" customWidth="1"/>
    <col min="14348" max="14348" width="10.33203125" style="1971" customWidth="1"/>
    <col min="14349" max="14349" width="9.44140625" style="1971" customWidth="1"/>
    <col min="14350" max="14350" width="8.109375" style="1971" customWidth="1"/>
    <col min="14351" max="14592" width="13.88671875" style="1971"/>
    <col min="14593" max="14593" width="5.33203125" style="1971" customWidth="1"/>
    <col min="14594" max="14594" width="5.109375" style="1971" customWidth="1"/>
    <col min="14595" max="14595" width="36.33203125" style="1971" customWidth="1"/>
    <col min="14596" max="14596" width="4.5546875" style="1971" customWidth="1"/>
    <col min="14597" max="14597" width="9.33203125" style="1971" customWidth="1"/>
    <col min="14598" max="14598" width="5.88671875" style="1971" customWidth="1"/>
    <col min="14599" max="14599" width="10" style="1971" customWidth="1"/>
    <col min="14600" max="14601" width="7.109375" style="1971" customWidth="1"/>
    <col min="14602" max="14602" width="10.5546875" style="1971" customWidth="1"/>
    <col min="14603" max="14603" width="7.88671875" style="1971" customWidth="1"/>
    <col min="14604" max="14604" width="10.33203125" style="1971" customWidth="1"/>
    <col min="14605" max="14605" width="9.44140625" style="1971" customWidth="1"/>
    <col min="14606" max="14606" width="8.109375" style="1971" customWidth="1"/>
    <col min="14607" max="14848" width="13.88671875" style="1971"/>
    <col min="14849" max="14849" width="5.33203125" style="1971" customWidth="1"/>
    <col min="14850" max="14850" width="5.109375" style="1971" customWidth="1"/>
    <col min="14851" max="14851" width="36.33203125" style="1971" customWidth="1"/>
    <col min="14852" max="14852" width="4.5546875" style="1971" customWidth="1"/>
    <col min="14853" max="14853" width="9.33203125" style="1971" customWidth="1"/>
    <col min="14854" max="14854" width="5.88671875" style="1971" customWidth="1"/>
    <col min="14855" max="14855" width="10" style="1971" customWidth="1"/>
    <col min="14856" max="14857" width="7.109375" style="1971" customWidth="1"/>
    <col min="14858" max="14858" width="10.5546875" style="1971" customWidth="1"/>
    <col min="14859" max="14859" width="7.88671875" style="1971" customWidth="1"/>
    <col min="14860" max="14860" width="10.33203125" style="1971" customWidth="1"/>
    <col min="14861" max="14861" width="9.44140625" style="1971" customWidth="1"/>
    <col min="14862" max="14862" width="8.109375" style="1971" customWidth="1"/>
    <col min="14863" max="15104" width="13.88671875" style="1971"/>
    <col min="15105" max="15105" width="5.33203125" style="1971" customWidth="1"/>
    <col min="15106" max="15106" width="5.109375" style="1971" customWidth="1"/>
    <col min="15107" max="15107" width="36.33203125" style="1971" customWidth="1"/>
    <col min="15108" max="15108" width="4.5546875" style="1971" customWidth="1"/>
    <col min="15109" max="15109" width="9.33203125" style="1971" customWidth="1"/>
    <col min="15110" max="15110" width="5.88671875" style="1971" customWidth="1"/>
    <col min="15111" max="15111" width="10" style="1971" customWidth="1"/>
    <col min="15112" max="15113" width="7.109375" style="1971" customWidth="1"/>
    <col min="15114" max="15114" width="10.5546875" style="1971" customWidth="1"/>
    <col min="15115" max="15115" width="7.88671875" style="1971" customWidth="1"/>
    <col min="15116" max="15116" width="10.33203125" style="1971" customWidth="1"/>
    <col min="15117" max="15117" width="9.44140625" style="1971" customWidth="1"/>
    <col min="15118" max="15118" width="8.109375" style="1971" customWidth="1"/>
    <col min="15119" max="15360" width="13.88671875" style="1971"/>
    <col min="15361" max="15361" width="5.33203125" style="1971" customWidth="1"/>
    <col min="15362" max="15362" width="5.109375" style="1971" customWidth="1"/>
    <col min="15363" max="15363" width="36.33203125" style="1971" customWidth="1"/>
    <col min="15364" max="15364" width="4.5546875" style="1971" customWidth="1"/>
    <col min="15365" max="15365" width="9.33203125" style="1971" customWidth="1"/>
    <col min="15366" max="15366" width="5.88671875" style="1971" customWidth="1"/>
    <col min="15367" max="15367" width="10" style="1971" customWidth="1"/>
    <col min="15368" max="15369" width="7.109375" style="1971" customWidth="1"/>
    <col min="15370" max="15370" width="10.5546875" style="1971" customWidth="1"/>
    <col min="15371" max="15371" width="7.88671875" style="1971" customWidth="1"/>
    <col min="15372" max="15372" width="10.33203125" style="1971" customWidth="1"/>
    <col min="15373" max="15373" width="9.44140625" style="1971" customWidth="1"/>
    <col min="15374" max="15374" width="8.109375" style="1971" customWidth="1"/>
    <col min="15375" max="15616" width="13.88671875" style="1971"/>
    <col min="15617" max="15617" width="5.33203125" style="1971" customWidth="1"/>
    <col min="15618" max="15618" width="5.109375" style="1971" customWidth="1"/>
    <col min="15619" max="15619" width="36.33203125" style="1971" customWidth="1"/>
    <col min="15620" max="15620" width="4.5546875" style="1971" customWidth="1"/>
    <col min="15621" max="15621" width="9.33203125" style="1971" customWidth="1"/>
    <col min="15622" max="15622" width="5.88671875" style="1971" customWidth="1"/>
    <col min="15623" max="15623" width="10" style="1971" customWidth="1"/>
    <col min="15624" max="15625" width="7.109375" style="1971" customWidth="1"/>
    <col min="15626" max="15626" width="10.5546875" style="1971" customWidth="1"/>
    <col min="15627" max="15627" width="7.88671875" style="1971" customWidth="1"/>
    <col min="15628" max="15628" width="10.33203125" style="1971" customWidth="1"/>
    <col min="15629" max="15629" width="9.44140625" style="1971" customWidth="1"/>
    <col min="15630" max="15630" width="8.109375" style="1971" customWidth="1"/>
    <col min="15631" max="15872" width="13.88671875" style="1971"/>
    <col min="15873" max="15873" width="5.33203125" style="1971" customWidth="1"/>
    <col min="15874" max="15874" width="5.109375" style="1971" customWidth="1"/>
    <col min="15875" max="15875" width="36.33203125" style="1971" customWidth="1"/>
    <col min="15876" max="15876" width="4.5546875" style="1971" customWidth="1"/>
    <col min="15877" max="15877" width="9.33203125" style="1971" customWidth="1"/>
    <col min="15878" max="15878" width="5.88671875" style="1971" customWidth="1"/>
    <col min="15879" max="15879" width="10" style="1971" customWidth="1"/>
    <col min="15880" max="15881" width="7.109375" style="1971" customWidth="1"/>
    <col min="15882" max="15882" width="10.5546875" style="1971" customWidth="1"/>
    <col min="15883" max="15883" width="7.88671875" style="1971" customWidth="1"/>
    <col min="15884" max="15884" width="10.33203125" style="1971" customWidth="1"/>
    <col min="15885" max="15885" width="9.44140625" style="1971" customWidth="1"/>
    <col min="15886" max="15886" width="8.109375" style="1971" customWidth="1"/>
    <col min="15887" max="16128" width="13.88671875" style="1971"/>
    <col min="16129" max="16129" width="5.33203125" style="1971" customWidth="1"/>
    <col min="16130" max="16130" width="5.109375" style="1971" customWidth="1"/>
    <col min="16131" max="16131" width="36.33203125" style="1971" customWidth="1"/>
    <col min="16132" max="16132" width="4.5546875" style="1971" customWidth="1"/>
    <col min="16133" max="16133" width="9.33203125" style="1971" customWidth="1"/>
    <col min="16134" max="16134" width="5.88671875" style="1971" customWidth="1"/>
    <col min="16135" max="16135" width="10" style="1971" customWidth="1"/>
    <col min="16136" max="16137" width="7.109375" style="1971" customWidth="1"/>
    <col min="16138" max="16138" width="10.5546875" style="1971" customWidth="1"/>
    <col min="16139" max="16139" width="7.88671875" style="1971" customWidth="1"/>
    <col min="16140" max="16140" width="10.33203125" style="1971" customWidth="1"/>
    <col min="16141" max="16141" width="9.44140625" style="1971" customWidth="1"/>
    <col min="16142" max="16142" width="8.109375" style="1971" customWidth="1"/>
    <col min="16143" max="16384" width="13.88671875" style="1971"/>
  </cols>
  <sheetData>
    <row r="1" spans="1:10" s="1970" customFormat="1" ht="26.4" customHeight="1">
      <c r="A1" s="2635" t="s">
        <v>3517</v>
      </c>
      <c r="B1" s="2636"/>
      <c r="C1" s="2636"/>
      <c r="D1" s="2636"/>
      <c r="E1" s="2636"/>
      <c r="F1" s="2636"/>
      <c r="G1" s="2636"/>
      <c r="H1" s="2636"/>
      <c r="I1" s="2636"/>
      <c r="J1" s="2636"/>
    </row>
    <row r="2" spans="1:10" ht="32.4" customHeight="1">
      <c r="A2" s="2637" t="str">
        <f>'Building-Estimate'!A2</f>
        <v>Construction of Anganwadi Building Centre at Jeedipally Thanda village of Kalwakurthy Mandal in Nagarkurnool District</v>
      </c>
      <c r="B2" s="2638"/>
      <c r="C2" s="2638"/>
      <c r="D2" s="2638"/>
      <c r="E2" s="2638"/>
      <c r="F2" s="2638"/>
      <c r="G2" s="2638"/>
      <c r="H2" s="2638"/>
      <c r="I2" s="2638"/>
      <c r="J2" s="2638"/>
    </row>
    <row r="3" spans="1:10" s="1980" customFormat="1" ht="64.5" customHeight="1">
      <c r="A3" s="1972" t="s">
        <v>926</v>
      </c>
      <c r="B3" s="1973" t="s">
        <v>148</v>
      </c>
      <c r="C3" s="1974" t="s">
        <v>517</v>
      </c>
      <c r="D3" s="1975" t="s">
        <v>1035</v>
      </c>
      <c r="E3" s="1976" t="s">
        <v>1417</v>
      </c>
      <c r="F3" s="1977" t="s">
        <v>784</v>
      </c>
      <c r="G3" s="1978" t="s">
        <v>785</v>
      </c>
      <c r="H3" s="1978" t="s">
        <v>786</v>
      </c>
      <c r="I3" s="1979" t="s">
        <v>1479</v>
      </c>
      <c r="J3" s="1976" t="s">
        <v>150</v>
      </c>
    </row>
    <row r="4" spans="1:10" s="1984" customFormat="1" ht="11.25" customHeight="1">
      <c r="A4" s="1981">
        <v>1</v>
      </c>
      <c r="B4" s="1982">
        <v>2</v>
      </c>
      <c r="C4" s="1982">
        <f>B4+1</f>
        <v>3</v>
      </c>
      <c r="D4" s="1982">
        <f t="shared" ref="D4:J4" si="0">C4+1</f>
        <v>4</v>
      </c>
      <c r="E4" s="1982">
        <f t="shared" si="0"/>
        <v>5</v>
      </c>
      <c r="F4" s="1982">
        <f t="shared" si="0"/>
        <v>6</v>
      </c>
      <c r="G4" s="1982">
        <f t="shared" si="0"/>
        <v>7</v>
      </c>
      <c r="H4" s="1982">
        <f t="shared" si="0"/>
        <v>8</v>
      </c>
      <c r="I4" s="1983">
        <f t="shared" si="0"/>
        <v>9</v>
      </c>
      <c r="J4" s="1982">
        <f t="shared" si="0"/>
        <v>10</v>
      </c>
    </row>
    <row r="5" spans="1:10" ht="50.2" customHeight="1">
      <c r="A5" s="1985" t="s">
        <v>927</v>
      </c>
      <c r="B5" s="1986" t="s">
        <v>3518</v>
      </c>
      <c r="C5" s="1987" t="s">
        <v>795</v>
      </c>
      <c r="D5" s="1988"/>
      <c r="E5" s="1989"/>
      <c r="F5" s="1990"/>
      <c r="G5" s="1991" t="s">
        <v>1284</v>
      </c>
      <c r="H5" s="1992"/>
      <c r="I5" s="1993">
        <f>[221]Lead!Q30</f>
        <v>0</v>
      </c>
      <c r="J5" s="1994"/>
    </row>
    <row r="6" spans="1:10">
      <c r="A6" s="1995"/>
      <c r="C6" s="1997" t="s">
        <v>1394</v>
      </c>
      <c r="D6" s="1998"/>
      <c r="G6" s="1991" t="s">
        <v>1285</v>
      </c>
      <c r="H6" s="1992"/>
      <c r="I6" s="2001">
        <f>[221]Lead!Q31</f>
        <v>0</v>
      </c>
    </row>
    <row r="7" spans="1:10">
      <c r="A7" s="1995"/>
      <c r="C7" s="2003" t="s">
        <v>1395</v>
      </c>
      <c r="D7" s="1998"/>
      <c r="G7" s="2004"/>
      <c r="H7" s="2005"/>
    </row>
    <row r="8" spans="1:10">
      <c r="A8" s="1995"/>
      <c r="C8" s="2006" t="s">
        <v>1646</v>
      </c>
      <c r="D8" s="1998" t="s">
        <v>1417</v>
      </c>
      <c r="E8" s="1999">
        <v>0.7</v>
      </c>
      <c r="F8" s="2205">
        <v>168</v>
      </c>
      <c r="G8" s="2008">
        <f>E8*F8</f>
        <v>117.6</v>
      </c>
      <c r="H8" s="2005"/>
    </row>
    <row r="9" spans="1:10">
      <c r="A9" s="1995"/>
      <c r="C9" s="2003" t="s">
        <v>653</v>
      </c>
      <c r="D9" s="1998"/>
      <c r="F9" s="1999"/>
      <c r="G9" s="2008"/>
      <c r="H9" s="2005"/>
    </row>
    <row r="10" spans="1:10">
      <c r="A10" s="1995"/>
      <c r="C10" s="2006" t="s">
        <v>989</v>
      </c>
      <c r="D10" s="2009" t="s">
        <v>1047</v>
      </c>
      <c r="E10" s="2010">
        <v>0.7</v>
      </c>
      <c r="F10" s="2205">
        <f>'Lead- Input sheet '!R32</f>
        <v>780</v>
      </c>
      <c r="G10" s="2008">
        <f>E10*F10</f>
        <v>546</v>
      </c>
      <c r="H10" s="2005"/>
    </row>
    <row r="11" spans="1:10">
      <c r="A11" s="1995"/>
      <c r="C11" s="2006" t="s">
        <v>1286</v>
      </c>
      <c r="D11" s="2009"/>
      <c r="E11" s="2010">
        <f>G10</f>
        <v>546</v>
      </c>
      <c r="F11" s="2007">
        <f>I5</f>
        <v>0</v>
      </c>
      <c r="G11" s="2008">
        <f>E11*F11</f>
        <v>0</v>
      </c>
      <c r="H11" s="2005"/>
    </row>
    <row r="12" spans="1:10" ht="25.2">
      <c r="A12" s="1995"/>
      <c r="C12" s="2006" t="s">
        <v>1166</v>
      </c>
      <c r="D12" s="2009"/>
      <c r="E12" s="2010">
        <v>0.01</v>
      </c>
      <c r="F12" s="2205">
        <f>SUM(G8:G11)</f>
        <v>663.6</v>
      </c>
      <c r="G12" s="2008">
        <f>E12*F12</f>
        <v>6.6360000000000001</v>
      </c>
      <c r="H12" s="2005"/>
    </row>
    <row r="13" spans="1:10">
      <c r="A13" s="1995"/>
      <c r="C13" s="2003" t="s">
        <v>1398</v>
      </c>
      <c r="D13" s="1998"/>
      <c r="E13" s="2010"/>
      <c r="F13" s="1999"/>
      <c r="G13" s="2011">
        <f>SUM(G8:G12)</f>
        <v>670.23599999999999</v>
      </c>
      <c r="H13" s="2005"/>
    </row>
    <row r="14" spans="1:10" s="2020" customFormat="1" ht="25.2">
      <c r="A14" s="2012"/>
      <c r="B14" s="2013"/>
      <c r="C14" s="2014" t="s">
        <v>1600</v>
      </c>
      <c r="D14" s="2015"/>
      <c r="E14" s="2016">
        <f>G13</f>
        <v>670.23599999999999</v>
      </c>
      <c r="F14" s="2017"/>
      <c r="G14" s="2011">
        <f>ROUND(E14*F14,2)</f>
        <v>0</v>
      </c>
      <c r="H14" s="2018"/>
      <c r="I14" s="2019"/>
      <c r="J14" s="2019"/>
    </row>
    <row r="15" spans="1:10" s="2030" customFormat="1">
      <c r="A15" s="2021"/>
      <c r="B15" s="2022"/>
      <c r="C15" s="2023" t="s">
        <v>1231</v>
      </c>
      <c r="D15" s="2024"/>
      <c r="E15" s="2025"/>
      <c r="F15" s="2026" t="s">
        <v>1486</v>
      </c>
      <c r="G15" s="2027">
        <f>SUM(G13:G14)</f>
        <v>670.23599999999999</v>
      </c>
      <c r="H15" s="2028"/>
      <c r="I15" s="2029"/>
      <c r="J15" s="2029"/>
    </row>
    <row r="16" spans="1:10" ht="50.4">
      <c r="A16" s="2031" t="s">
        <v>925</v>
      </c>
      <c r="B16" s="2032">
        <v>1</v>
      </c>
      <c r="C16" s="1997" t="s">
        <v>462</v>
      </c>
      <c r="E16" s="2034"/>
      <c r="F16" s="2004"/>
      <c r="G16" s="2035"/>
      <c r="H16" s="2035"/>
      <c r="I16" s="2008"/>
      <c r="J16" s="2036"/>
    </row>
    <row r="17" spans="1:10">
      <c r="B17" s="2032"/>
      <c r="C17" s="1997" t="s">
        <v>498</v>
      </c>
      <c r="D17" s="2038"/>
      <c r="E17" s="2039"/>
      <c r="F17" s="2040"/>
      <c r="G17" s="2041"/>
      <c r="H17" s="2041"/>
      <c r="I17" s="2042"/>
      <c r="J17" s="2043"/>
    </row>
    <row r="18" spans="1:10">
      <c r="B18" s="2032"/>
      <c r="C18" s="1997" t="s">
        <v>499</v>
      </c>
      <c r="D18" s="2038"/>
      <c r="E18" s="2039"/>
      <c r="F18" s="2040"/>
      <c r="G18" s="2041"/>
      <c r="H18" s="2041"/>
      <c r="I18" s="2042"/>
      <c r="J18" s="2043"/>
    </row>
    <row r="19" spans="1:10" ht="25.2">
      <c r="B19" s="2032"/>
      <c r="C19" s="1997" t="s">
        <v>1653</v>
      </c>
      <c r="D19" s="2038" t="s">
        <v>1473</v>
      </c>
      <c r="E19" s="2039">
        <v>1</v>
      </c>
      <c r="F19" s="2041"/>
      <c r="G19" s="2044" t="s">
        <v>935</v>
      </c>
      <c r="H19" s="2041"/>
      <c r="I19" s="2045"/>
      <c r="J19" s="2043"/>
    </row>
    <row r="20" spans="1:10">
      <c r="B20" s="2032"/>
      <c r="C20" s="1997" t="s">
        <v>500</v>
      </c>
      <c r="D20" s="2038"/>
      <c r="E20" s="2039"/>
      <c r="F20" s="2040"/>
      <c r="G20" s="2041"/>
      <c r="H20" s="2041"/>
      <c r="I20" s="2042"/>
      <c r="J20" s="2043"/>
    </row>
    <row r="21" spans="1:10">
      <c r="B21" s="2032"/>
      <c r="C21" s="1997" t="s">
        <v>501</v>
      </c>
      <c r="D21" s="2038" t="s">
        <v>1047</v>
      </c>
      <c r="E21" s="2039">
        <v>17.7</v>
      </c>
      <c r="F21" s="2206">
        <f>'Lead- Input sheet '!R34</f>
        <v>805</v>
      </c>
      <c r="G21" s="2046">
        <f>E21*F21</f>
        <v>14248.5</v>
      </c>
      <c r="H21" s="2040"/>
      <c r="I21" s="2042"/>
      <c r="J21" s="2043"/>
    </row>
    <row r="22" spans="1:10">
      <c r="B22" s="2032"/>
      <c r="C22" s="1997" t="s">
        <v>502</v>
      </c>
      <c r="D22" s="2038" t="s">
        <v>1047</v>
      </c>
      <c r="E22" s="2039">
        <v>8.8000000000000007</v>
      </c>
      <c r="F22" s="2206">
        <f>'Lead- Input sheet '!R29</f>
        <v>605</v>
      </c>
      <c r="G22" s="2046">
        <f>E22*F22</f>
        <v>5324</v>
      </c>
      <c r="H22" s="2040"/>
      <c r="I22" s="2042"/>
      <c r="J22" s="2043"/>
    </row>
    <row r="23" spans="1:10">
      <c r="A23" s="1995"/>
      <c r="C23" s="2006" t="s">
        <v>1286</v>
      </c>
      <c r="D23" s="2009"/>
      <c r="E23" s="2047">
        <f>SUM(G21:G22)</f>
        <v>19572.5</v>
      </c>
      <c r="F23" s="2007">
        <f>I5</f>
        <v>0</v>
      </c>
      <c r="G23" s="2046">
        <f>E23*F23</f>
        <v>0</v>
      </c>
      <c r="H23" s="2005"/>
    </row>
    <row r="24" spans="1:10" ht="25.2">
      <c r="B24" s="2032"/>
      <c r="C24" s="1997" t="s">
        <v>503</v>
      </c>
      <c r="D24" s="2038"/>
      <c r="E24" s="2039" t="s">
        <v>975</v>
      </c>
      <c r="F24" s="2048"/>
      <c r="G24" s="2049"/>
      <c r="H24" s="2041"/>
      <c r="I24" s="2042"/>
      <c r="J24" s="2043"/>
    </row>
    <row r="25" spans="1:10">
      <c r="B25" s="2032"/>
      <c r="C25" s="1997" t="s">
        <v>74</v>
      </c>
      <c r="D25" s="2038"/>
      <c r="E25" s="2039"/>
      <c r="F25" s="2048" t="s">
        <v>1486</v>
      </c>
      <c r="G25" s="2050">
        <f>SUM(G21:G24)</f>
        <v>19572.5</v>
      </c>
      <c r="H25" s="2041"/>
      <c r="I25" s="2042"/>
      <c r="J25" s="2043"/>
    </row>
    <row r="26" spans="1:10" ht="116.25" hidden="1" customHeight="1">
      <c r="A26" s="2051" t="s">
        <v>925</v>
      </c>
      <c r="B26" s="2052">
        <v>2</v>
      </c>
      <c r="C26" s="2632" t="s">
        <v>3519</v>
      </c>
      <c r="D26" s="2633"/>
      <c r="E26" s="2633"/>
      <c r="F26" s="2633"/>
      <c r="G26" s="2633"/>
      <c r="H26" s="2633"/>
      <c r="I26" s="2634"/>
      <c r="J26" s="2042"/>
    </row>
    <row r="27" spans="1:10" s="2055" customFormat="1" hidden="1">
      <c r="A27" s="2053"/>
      <c r="B27" s="2054"/>
      <c r="C27" s="2014" t="s">
        <v>442</v>
      </c>
      <c r="D27" s="2032"/>
      <c r="E27" s="2045"/>
      <c r="F27" s="2041"/>
      <c r="G27" s="2041"/>
      <c r="H27" s="2041"/>
      <c r="I27" s="2045"/>
      <c r="J27" s="2045"/>
    </row>
    <row r="28" spans="1:10" hidden="1">
      <c r="A28" s="2051"/>
      <c r="B28" s="2056"/>
      <c r="C28" s="1997" t="s">
        <v>779</v>
      </c>
      <c r="D28" s="2038"/>
      <c r="E28" s="2042"/>
      <c r="F28" s="2040"/>
      <c r="G28" s="2040"/>
      <c r="H28" s="2040"/>
      <c r="I28" s="2042"/>
      <c r="J28" s="2042"/>
    </row>
    <row r="29" spans="1:10" ht="20.2" hidden="1" customHeight="1">
      <c r="A29" s="2051"/>
      <c r="B29" s="2056"/>
      <c r="C29" s="1997" t="s">
        <v>1647</v>
      </c>
      <c r="D29" s="2057">
        <v>2</v>
      </c>
      <c r="E29" s="2058">
        <v>2.1</v>
      </c>
      <c r="F29" s="2059">
        <v>0.1</v>
      </c>
      <c r="G29" s="2059">
        <v>7.4999999999999997E-2</v>
      </c>
      <c r="H29" s="2059">
        <f>ROUND(D29*E29*F29*G29,3)</f>
        <v>3.2000000000000001E-2</v>
      </c>
      <c r="I29" s="2207">
        <v>54224</v>
      </c>
      <c r="J29" s="2058">
        <f t="shared" ref="J29:J34" si="1">ROUND(H29*I29,2)</f>
        <v>1735.17</v>
      </c>
    </row>
    <row r="30" spans="1:10" ht="20.2" hidden="1" customHeight="1">
      <c r="A30" s="2051"/>
      <c r="B30" s="2056"/>
      <c r="C30" s="1997" t="s">
        <v>781</v>
      </c>
      <c r="D30" s="2057">
        <v>1</v>
      </c>
      <c r="E30" s="2058">
        <v>0.9</v>
      </c>
      <c r="F30" s="2059">
        <v>0.1</v>
      </c>
      <c r="G30" s="2059">
        <v>7.4999999999999997E-2</v>
      </c>
      <c r="H30" s="2059">
        <f>ROUND(D30*E30*F30*G30,3)</f>
        <v>7.0000000000000001E-3</v>
      </c>
      <c r="I30" s="2207">
        <f>I29</f>
        <v>54224</v>
      </c>
      <c r="J30" s="2058">
        <f t="shared" si="1"/>
        <v>379.57</v>
      </c>
    </row>
    <row r="31" spans="1:10" ht="20.2" hidden="1" customHeight="1">
      <c r="A31" s="2051"/>
      <c r="B31" s="2056"/>
      <c r="C31" s="1997" t="s">
        <v>3520</v>
      </c>
      <c r="D31" s="2057">
        <v>2</v>
      </c>
      <c r="E31" s="2058">
        <f>2.1-0.075*2+0.015</f>
        <v>1.9650000000000001</v>
      </c>
      <c r="F31" s="2059">
        <v>0.125</v>
      </c>
      <c r="G31" s="2059">
        <f>0.03175</f>
        <v>3.175E-2</v>
      </c>
      <c r="H31" s="2059">
        <f>ROUND(D31*E31*F31*G31,3)</f>
        <v>1.6E-2</v>
      </c>
      <c r="I31" s="2207">
        <v>72298</v>
      </c>
      <c r="J31" s="2058">
        <f t="shared" si="1"/>
        <v>1156.77</v>
      </c>
    </row>
    <row r="32" spans="1:10" ht="20.2" hidden="1" customHeight="1">
      <c r="A32" s="2051"/>
      <c r="B32" s="2056"/>
      <c r="C32" s="1997" t="s">
        <v>783</v>
      </c>
      <c r="D32" s="2057">
        <v>5</v>
      </c>
      <c r="E32" s="2058">
        <f>(0.75-2*0.075+2*0.015)</f>
        <v>0.63</v>
      </c>
      <c r="F32" s="2059">
        <v>0.125</v>
      </c>
      <c r="G32" s="2059">
        <f>0.03175</f>
        <v>3.175E-2</v>
      </c>
      <c r="H32" s="2059">
        <f>ROUND(D32*E32*F32*G32,3)</f>
        <v>1.2999999999999999E-2</v>
      </c>
      <c r="I32" s="2207">
        <f>I31</f>
        <v>72298</v>
      </c>
      <c r="J32" s="2058">
        <f t="shared" si="1"/>
        <v>939.87</v>
      </c>
    </row>
    <row r="33" spans="1:10" ht="20.2" hidden="1" customHeight="1">
      <c r="A33" s="2051"/>
      <c r="B33" s="2056"/>
      <c r="C33" s="1997" t="s">
        <v>1481</v>
      </c>
      <c r="D33" s="2057">
        <v>4</v>
      </c>
      <c r="E33" s="2058">
        <f>0.75-2*0.075+2*0.015-2*0.125+2*0.025</f>
        <v>0.43</v>
      </c>
      <c r="F33" s="2059">
        <f>(2.1-2*0.075+1*0.015-5*0.125)/4+2*0.025</f>
        <v>0.38500000000000001</v>
      </c>
      <c r="G33" s="2059">
        <f>0.025</f>
        <v>2.5000000000000001E-2</v>
      </c>
      <c r="H33" s="2059">
        <f>ROUND(D33*E33*F33*G33,3)</f>
        <v>1.7000000000000001E-2</v>
      </c>
      <c r="I33" s="2207">
        <f>I32</f>
        <v>72298</v>
      </c>
      <c r="J33" s="2058">
        <f t="shared" si="1"/>
        <v>1229.07</v>
      </c>
    </row>
    <row r="34" spans="1:10" ht="20.2" hidden="1" customHeight="1">
      <c r="A34" s="2051"/>
      <c r="B34" s="2056"/>
      <c r="C34" s="1997" t="s">
        <v>1482</v>
      </c>
      <c r="D34" s="2057"/>
      <c r="E34" s="2058"/>
      <c r="F34" s="2059"/>
      <c r="G34" s="2059"/>
      <c r="H34" s="2059">
        <f>SUM(H29:H33)</f>
        <v>8.5000000000000006E-2</v>
      </c>
      <c r="I34" s="2060">
        <f>G25</f>
        <v>19572.5</v>
      </c>
      <c r="J34" s="2058">
        <f t="shared" si="1"/>
        <v>1663.66</v>
      </c>
    </row>
    <row r="35" spans="1:10" ht="30.6" hidden="1">
      <c r="A35" s="2051" t="s">
        <v>787</v>
      </c>
      <c r="B35" s="2032"/>
      <c r="C35" s="1997" t="s">
        <v>788</v>
      </c>
      <c r="D35" s="2057"/>
      <c r="E35" s="2058"/>
      <c r="F35" s="2059"/>
      <c r="G35" s="2061"/>
      <c r="H35" s="2061"/>
      <c r="I35" s="2058"/>
      <c r="J35" s="2058"/>
    </row>
    <row r="36" spans="1:10" ht="26.4" hidden="1" customHeight="1">
      <c r="A36" s="2639" t="s">
        <v>1617</v>
      </c>
      <c r="B36" s="2640"/>
      <c r="C36" s="2062" t="s">
        <v>911</v>
      </c>
      <c r="D36" s="2057" t="s">
        <v>1035</v>
      </c>
      <c r="E36" s="2058" t="s">
        <v>1617</v>
      </c>
      <c r="F36" s="2059"/>
      <c r="G36" s="2059"/>
      <c r="H36" s="2063">
        <v>2</v>
      </c>
      <c r="I36" s="2207">
        <v>83</v>
      </c>
      <c r="J36" s="2058">
        <f t="shared" ref="J36:J43" si="2">ROUND(H36*I36,2)</f>
        <v>166</v>
      </c>
    </row>
    <row r="37" spans="1:10" ht="30.7" hidden="1" customHeight="1">
      <c r="A37" s="2639" t="s">
        <v>1618</v>
      </c>
      <c r="B37" s="2640"/>
      <c r="C37" s="2062" t="s">
        <v>912</v>
      </c>
      <c r="D37" s="2057" t="s">
        <v>1035</v>
      </c>
      <c r="E37" s="2058" t="s">
        <v>1618</v>
      </c>
      <c r="F37" s="2059"/>
      <c r="G37" s="2059"/>
      <c r="H37" s="2063">
        <v>1</v>
      </c>
      <c r="I37" s="2207">
        <v>44</v>
      </c>
      <c r="J37" s="2058">
        <f t="shared" si="2"/>
        <v>44</v>
      </c>
    </row>
    <row r="38" spans="1:10" ht="20.2" hidden="1" customHeight="1">
      <c r="A38" s="2051"/>
      <c r="B38" s="2032"/>
      <c r="C38" s="2064" t="s">
        <v>913</v>
      </c>
      <c r="D38" s="2057" t="s">
        <v>1035</v>
      </c>
      <c r="E38" s="2058" t="s">
        <v>1619</v>
      </c>
      <c r="F38" s="2059"/>
      <c r="G38" s="2059"/>
      <c r="H38" s="2063">
        <v>6</v>
      </c>
      <c r="I38" s="2207">
        <v>40</v>
      </c>
      <c r="J38" s="2058">
        <f t="shared" si="2"/>
        <v>240</v>
      </c>
    </row>
    <row r="39" spans="1:10" ht="20.2" hidden="1" customHeight="1">
      <c r="A39" s="2051"/>
      <c r="B39" s="2032"/>
      <c r="C39" s="2062" t="s">
        <v>914</v>
      </c>
      <c r="D39" s="2057" t="s">
        <v>1035</v>
      </c>
      <c r="E39" s="2058" t="s">
        <v>1918</v>
      </c>
      <c r="F39" s="2059"/>
      <c r="G39" s="2059"/>
      <c r="H39" s="2063">
        <v>1</v>
      </c>
      <c r="I39" s="2207">
        <v>198</v>
      </c>
      <c r="J39" s="2058">
        <f t="shared" si="2"/>
        <v>198</v>
      </c>
    </row>
    <row r="40" spans="1:10" ht="20.2" hidden="1" customHeight="1">
      <c r="A40" s="2051"/>
      <c r="B40" s="2032"/>
      <c r="C40" s="2062" t="s">
        <v>296</v>
      </c>
      <c r="D40" s="2057" t="s">
        <v>1035</v>
      </c>
      <c r="E40" s="2058" t="s">
        <v>1919</v>
      </c>
      <c r="F40" s="2059"/>
      <c r="G40" s="2059"/>
      <c r="H40" s="2063">
        <v>2</v>
      </c>
      <c r="I40" s="2207">
        <v>56</v>
      </c>
      <c r="J40" s="2058">
        <f t="shared" si="2"/>
        <v>112</v>
      </c>
    </row>
    <row r="41" spans="1:10" ht="20.2" hidden="1" customHeight="1">
      <c r="A41" s="2051"/>
      <c r="B41" s="2032"/>
      <c r="C41" s="2062" t="s">
        <v>420</v>
      </c>
      <c r="D41" s="2057" t="s">
        <v>1035</v>
      </c>
      <c r="E41" s="2058" t="s">
        <v>1649</v>
      </c>
      <c r="F41" s="2059"/>
      <c r="G41" s="2059"/>
      <c r="H41" s="2063">
        <v>3</v>
      </c>
      <c r="I41" s="2207">
        <v>40</v>
      </c>
      <c r="J41" s="2058">
        <f t="shared" si="2"/>
        <v>120</v>
      </c>
    </row>
    <row r="42" spans="1:10" ht="20.2" hidden="1" customHeight="1">
      <c r="A42" s="2051"/>
      <c r="B42" s="2032"/>
      <c r="C42" s="2062" t="s">
        <v>799</v>
      </c>
      <c r="D42" s="2057" t="s">
        <v>1035</v>
      </c>
      <c r="E42" s="2058" t="s">
        <v>1826</v>
      </c>
      <c r="F42" s="2059"/>
      <c r="G42" s="2059"/>
      <c r="H42" s="2063">
        <v>80</v>
      </c>
      <c r="I42" s="2207">
        <v>7</v>
      </c>
      <c r="J42" s="2058">
        <f t="shared" si="2"/>
        <v>560</v>
      </c>
    </row>
    <row r="43" spans="1:10" ht="20.2" hidden="1" customHeight="1">
      <c r="A43" s="2051"/>
      <c r="B43" s="2032"/>
      <c r="C43" s="2062" t="s">
        <v>1623</v>
      </c>
      <c r="D43" s="2057" t="s">
        <v>1035</v>
      </c>
      <c r="E43" s="2058" t="s">
        <v>1920</v>
      </c>
      <c r="F43" s="2059"/>
      <c r="G43" s="2059"/>
      <c r="H43" s="2063">
        <v>10</v>
      </c>
      <c r="I43" s="2208">
        <v>22</v>
      </c>
      <c r="J43" s="2058">
        <f t="shared" si="2"/>
        <v>220</v>
      </c>
    </row>
    <row r="44" spans="1:10" ht="20.2" hidden="1" customHeight="1">
      <c r="A44" s="2051"/>
      <c r="B44" s="2056"/>
      <c r="C44" s="2062" t="s">
        <v>1484</v>
      </c>
      <c r="D44" s="2057">
        <v>2.25</v>
      </c>
      <c r="E44" s="2058">
        <v>0.75</v>
      </c>
      <c r="F44" s="2059"/>
      <c r="G44" s="2059">
        <v>2.1</v>
      </c>
      <c r="H44" s="2059">
        <f>ROUND(G44*E44*D44,2)</f>
        <v>3.54</v>
      </c>
      <c r="I44" s="2066">
        <f>G15</f>
        <v>670.23599999999999</v>
      </c>
      <c r="J44" s="2058">
        <f>H44*I44/10</f>
        <v>237.263544</v>
      </c>
    </row>
    <row r="45" spans="1:10" ht="31.9" hidden="1" customHeight="1">
      <c r="A45" s="2051"/>
      <c r="B45" s="2067"/>
      <c r="C45" s="2062" t="s">
        <v>1598</v>
      </c>
      <c r="D45" s="2057" t="s">
        <v>1035</v>
      </c>
      <c r="E45" s="2068" t="s">
        <v>1651</v>
      </c>
      <c r="F45" s="2059"/>
      <c r="G45" s="2059"/>
      <c r="H45" s="2063">
        <v>6</v>
      </c>
      <c r="I45" s="2207">
        <v>41</v>
      </c>
      <c r="J45" s="2058">
        <f>ROUND(H45*I45,2)</f>
        <v>246</v>
      </c>
    </row>
    <row r="46" spans="1:10" ht="20.2" hidden="1" customHeight="1">
      <c r="A46" s="2051"/>
      <c r="B46" s="2056"/>
      <c r="C46" s="2062" t="s">
        <v>230</v>
      </c>
      <c r="D46" s="2057"/>
      <c r="E46" s="2058"/>
      <c r="F46" s="2059"/>
      <c r="G46" s="2059"/>
      <c r="H46" s="2063">
        <v>1</v>
      </c>
      <c r="I46" s="2058">
        <v>75</v>
      </c>
      <c r="J46" s="2058">
        <f>H46*I46</f>
        <v>75</v>
      </c>
    </row>
    <row r="47" spans="1:10" ht="20.2" hidden="1" customHeight="1">
      <c r="A47" s="2051"/>
      <c r="B47" s="2056"/>
      <c r="C47" s="2062"/>
      <c r="D47" s="2057"/>
      <c r="E47" s="2058"/>
      <c r="F47" s="2059"/>
      <c r="G47" s="2059"/>
      <c r="H47" s="2059"/>
      <c r="I47" s="2058"/>
      <c r="J47" s="2069">
        <f>ROUND(SUM(J29:J46),1)</f>
        <v>9322.4</v>
      </c>
    </row>
    <row r="48" spans="1:10" s="2020" customFormat="1" ht="20.2" hidden="1" customHeight="1">
      <c r="A48" s="2051"/>
      <c r="B48" s="2070"/>
      <c r="C48" s="1997" t="s">
        <v>1600</v>
      </c>
      <c r="D48" s="2071"/>
      <c r="E48" s="2069"/>
      <c r="F48" s="2072"/>
      <c r="G48" s="2072"/>
      <c r="H48" s="2072">
        <f>J47</f>
        <v>9322.4</v>
      </c>
      <c r="I48" s="2069">
        <f>I6</f>
        <v>0</v>
      </c>
      <c r="J48" s="2058">
        <f>ROUND(H48*I48,2)</f>
        <v>0</v>
      </c>
    </row>
    <row r="49" spans="1:10" s="2030" customFormat="1" ht="20.2" hidden="1" customHeight="1">
      <c r="A49" s="2051" t="s">
        <v>1288</v>
      </c>
      <c r="B49" s="2073"/>
      <c r="C49" s="2023" t="s">
        <v>256</v>
      </c>
      <c r="D49" s="2074"/>
      <c r="E49" s="2075"/>
      <c r="F49" s="2076"/>
      <c r="G49" s="2076"/>
      <c r="H49" s="2076"/>
      <c r="I49" s="2075" t="s">
        <v>416</v>
      </c>
      <c r="J49" s="2075">
        <f>SUM(J47:J48)</f>
        <v>9322.4</v>
      </c>
    </row>
    <row r="50" spans="1:10" s="2055" customFormat="1" ht="25.2" hidden="1">
      <c r="A50" s="2051"/>
      <c r="B50" s="2054"/>
      <c r="C50" s="2014" t="s">
        <v>538</v>
      </c>
      <c r="D50" s="2071"/>
      <c r="E50" s="2069"/>
      <c r="F50" s="2072"/>
      <c r="G50" s="2072"/>
      <c r="H50" s="2072"/>
      <c r="I50" s="2069"/>
      <c r="J50" s="2069"/>
    </row>
    <row r="51" spans="1:10" hidden="1">
      <c r="A51" s="2051"/>
      <c r="B51" s="2056"/>
      <c r="C51" s="1997" t="s">
        <v>779</v>
      </c>
      <c r="D51" s="2057"/>
      <c r="E51" s="2058"/>
      <c r="F51" s="2059"/>
      <c r="G51" s="2059"/>
      <c r="H51" s="2059"/>
      <c r="I51" s="2058"/>
      <c r="J51" s="2058"/>
    </row>
    <row r="52" spans="1:10" ht="20.2" hidden="1" customHeight="1">
      <c r="A52" s="2051"/>
      <c r="B52" s="2056"/>
      <c r="C52" s="1997" t="s">
        <v>780</v>
      </c>
      <c r="D52" s="2057">
        <v>2</v>
      </c>
      <c r="E52" s="2058">
        <v>2.1</v>
      </c>
      <c r="F52" s="2059">
        <v>0.1</v>
      </c>
      <c r="G52" s="2059">
        <v>7.4999999999999997E-2</v>
      </c>
      <c r="H52" s="2059">
        <f>ROUND(D52*E52*F52*G52,3)</f>
        <v>3.2000000000000001E-2</v>
      </c>
      <c r="I52" s="2207">
        <f>I29</f>
        <v>54224</v>
      </c>
      <c r="J52" s="2058">
        <f>ROUND(H52*I52,2)</f>
        <v>1735.17</v>
      </c>
    </row>
    <row r="53" spans="1:10" ht="20.2" hidden="1" customHeight="1">
      <c r="A53" s="2051"/>
      <c r="B53" s="2056"/>
      <c r="C53" s="1997" t="s">
        <v>781</v>
      </c>
      <c r="D53" s="2057">
        <v>1</v>
      </c>
      <c r="E53" s="2058">
        <v>0.9</v>
      </c>
      <c r="F53" s="2059">
        <v>0.1</v>
      </c>
      <c r="G53" s="2059">
        <v>7.4999999999999997E-2</v>
      </c>
      <c r="H53" s="2059">
        <f>ROUND(D53*E53*F53*G53,3)</f>
        <v>7.0000000000000001E-3</v>
      </c>
      <c r="I53" s="2207">
        <f>I52</f>
        <v>54224</v>
      </c>
      <c r="J53" s="2058">
        <f>ROUND(H53*I53,2)</f>
        <v>379.57</v>
      </c>
    </row>
    <row r="54" spans="1:10" ht="20.2" hidden="1" customHeight="1">
      <c r="A54" s="2051"/>
      <c r="B54" s="2056"/>
      <c r="C54" s="1997" t="s">
        <v>1482</v>
      </c>
      <c r="D54" s="2057"/>
      <c r="E54" s="2058"/>
      <c r="F54" s="2059"/>
      <c r="G54" s="2059"/>
      <c r="H54" s="2059">
        <f>SUM(H52:H53)</f>
        <v>3.9E-2</v>
      </c>
      <c r="I54" s="2060">
        <f>G25</f>
        <v>19572.5</v>
      </c>
      <c r="J54" s="2058">
        <f>ROUND(H54*I54,2)</f>
        <v>763.33</v>
      </c>
    </row>
    <row r="55" spans="1:10" ht="20.2" hidden="1" customHeight="1">
      <c r="A55" s="2051"/>
      <c r="B55" s="2056"/>
      <c r="C55" s="1997" t="s">
        <v>1484</v>
      </c>
      <c r="D55" s="2057" t="s">
        <v>1289</v>
      </c>
      <c r="E55" s="2058">
        <v>0.75</v>
      </c>
      <c r="F55" s="2059"/>
      <c r="G55" s="2059">
        <v>2.1</v>
      </c>
      <c r="H55" s="2059">
        <f>ROUND(G55*E55*2.25/3,2)</f>
        <v>1.18</v>
      </c>
      <c r="I55" s="2066">
        <f>G15</f>
        <v>670.23599999999999</v>
      </c>
      <c r="J55" s="2058">
        <f>H55*I55/10</f>
        <v>79.087847999999994</v>
      </c>
    </row>
    <row r="56" spans="1:10" ht="20.2" hidden="1" customHeight="1">
      <c r="A56" s="2051"/>
      <c r="B56" s="2067"/>
      <c r="C56" s="1997" t="s">
        <v>1598</v>
      </c>
      <c r="D56" s="2057"/>
      <c r="E56" s="2068" t="s">
        <v>1651</v>
      </c>
      <c r="F56" s="2059"/>
      <c r="G56" s="2059"/>
      <c r="H56" s="2063">
        <v>6</v>
      </c>
      <c r="I56" s="2065">
        <f>I45</f>
        <v>41</v>
      </c>
      <c r="J56" s="2058">
        <f>ROUND(H56*I56,2)</f>
        <v>246</v>
      </c>
    </row>
    <row r="57" spans="1:10" ht="20.2" hidden="1" customHeight="1">
      <c r="A57" s="2051"/>
      <c r="B57" s="2056"/>
      <c r="C57" s="1997" t="s">
        <v>230</v>
      </c>
      <c r="D57" s="2057"/>
      <c r="E57" s="2058"/>
      <c r="F57" s="2059"/>
      <c r="G57" s="2059"/>
      <c r="H57" s="2063">
        <v>1</v>
      </c>
      <c r="I57" s="2058">
        <v>50</v>
      </c>
      <c r="J57" s="2058">
        <f>H57*I57</f>
        <v>50</v>
      </c>
    </row>
    <row r="58" spans="1:10" ht="20.2" hidden="1" customHeight="1">
      <c r="A58" s="2051"/>
      <c r="B58" s="2056"/>
      <c r="D58" s="2057"/>
      <c r="E58" s="2058"/>
      <c r="F58" s="2059"/>
      <c r="G58" s="2059"/>
      <c r="H58" s="2059"/>
      <c r="I58" s="2058"/>
      <c r="J58" s="2069">
        <f>SUM(J52:J57)</f>
        <v>3253.1578480000003</v>
      </c>
    </row>
    <row r="59" spans="1:10" s="2020" customFormat="1" ht="20.2" hidden="1" customHeight="1">
      <c r="A59" s="2051"/>
      <c r="B59" s="2070"/>
      <c r="C59" s="1997" t="s">
        <v>1600</v>
      </c>
      <c r="D59" s="2071"/>
      <c r="E59" s="2069"/>
      <c r="F59" s="2072"/>
      <c r="G59" s="2072"/>
      <c r="H59" s="2072">
        <f>J58</f>
        <v>3253.1578480000003</v>
      </c>
      <c r="I59" s="2069">
        <f>I6</f>
        <v>0</v>
      </c>
      <c r="J59" s="2058">
        <f>ROUND(H59*I59,2)</f>
        <v>0</v>
      </c>
    </row>
    <row r="60" spans="1:10" s="2030" customFormat="1" ht="20.2" hidden="1" customHeight="1">
      <c r="A60" s="2051" t="s">
        <v>1288</v>
      </c>
      <c r="B60" s="2073"/>
      <c r="C60" s="2023" t="s">
        <v>540</v>
      </c>
      <c r="D60" s="2074"/>
      <c r="E60" s="2075"/>
      <c r="F60" s="2076"/>
      <c r="G60" s="2076"/>
      <c r="H60" s="2076"/>
      <c r="I60" s="2075" t="s">
        <v>1486</v>
      </c>
      <c r="J60" s="2075">
        <f>SUM(J58:J59)</f>
        <v>3253.1578480000003</v>
      </c>
    </row>
    <row r="61" spans="1:10" s="2030" customFormat="1" ht="20.2" hidden="1" customHeight="1">
      <c r="A61" s="2051"/>
      <c r="B61" s="2073"/>
      <c r="C61" s="2023" t="s">
        <v>541</v>
      </c>
      <c r="D61" s="2074"/>
      <c r="E61" s="2075"/>
      <c r="F61" s="2076"/>
      <c r="G61" s="2076"/>
      <c r="H61" s="2076"/>
      <c r="I61" s="2075" t="s">
        <v>1486</v>
      </c>
      <c r="J61" s="2075">
        <f>J49-J60</f>
        <v>6069.2421519999989</v>
      </c>
    </row>
    <row r="62" spans="1:10" ht="134.5" customHeight="1">
      <c r="A62" s="2051"/>
      <c r="B62" s="2038">
        <v>3</v>
      </c>
      <c r="C62" s="2632" t="s">
        <v>3521</v>
      </c>
      <c r="D62" s="2633"/>
      <c r="E62" s="2633"/>
      <c r="F62" s="2633"/>
      <c r="G62" s="2633"/>
      <c r="H62" s="2633"/>
      <c r="I62" s="2634"/>
      <c r="J62" s="2058"/>
    </row>
    <row r="63" spans="1:10" ht="25.2">
      <c r="A63" s="2051"/>
      <c r="B63" s="2056"/>
      <c r="C63" s="2014" t="s">
        <v>1290</v>
      </c>
      <c r="D63" s="2071"/>
      <c r="E63" s="2069"/>
      <c r="F63" s="2059"/>
      <c r="G63" s="2059"/>
      <c r="H63" s="2059"/>
      <c r="I63" s="2058"/>
      <c r="J63" s="2058"/>
    </row>
    <row r="64" spans="1:10">
      <c r="A64" s="2051"/>
      <c r="B64" s="2056"/>
      <c r="C64" s="1997" t="s">
        <v>779</v>
      </c>
      <c r="D64" s="2057"/>
      <c r="E64" s="2058"/>
      <c r="F64" s="2059"/>
      <c r="G64" s="2059"/>
      <c r="H64" s="2059"/>
      <c r="I64" s="2058"/>
      <c r="J64" s="2058"/>
    </row>
    <row r="65" spans="1:14" ht="20.2" customHeight="1">
      <c r="A65" s="2051"/>
      <c r="B65" s="2056"/>
      <c r="C65" s="1997" t="s">
        <v>780</v>
      </c>
      <c r="D65" s="2057">
        <v>2</v>
      </c>
      <c r="E65" s="2058">
        <v>2.1</v>
      </c>
      <c r="F65" s="2059">
        <v>0.1</v>
      </c>
      <c r="G65" s="2059">
        <v>7.4999999999999997E-2</v>
      </c>
      <c r="H65" s="2059">
        <f>ROUND(D65*E65*F65*G65,3)</f>
        <v>3.2000000000000001E-2</v>
      </c>
      <c r="I65" s="2207">
        <f>I29</f>
        <v>54224</v>
      </c>
      <c r="J65" s="2058">
        <f t="shared" ref="J65:J70" si="3">ROUND(H65*I65,2)</f>
        <v>1735.17</v>
      </c>
      <c r="K65" s="2059">
        <v>7.4999999999999997E-2</v>
      </c>
      <c r="L65" s="2059" t="e">
        <f>ROUND(#REF!*#REF!*#REF!*K65,3)</f>
        <v>#REF!</v>
      </c>
      <c r="M65" s="2058">
        <f>M29</f>
        <v>0</v>
      </c>
      <c r="N65" s="2058" t="e">
        <f>ROUND(L65*M65,2)</f>
        <v>#REF!</v>
      </c>
    </row>
    <row r="66" spans="1:14" ht="20.2" customHeight="1">
      <c r="A66" s="2051"/>
      <c r="B66" s="2056"/>
      <c r="C66" s="1997" t="s">
        <v>781</v>
      </c>
      <c r="D66" s="2057">
        <v>1</v>
      </c>
      <c r="E66" s="2058">
        <v>1.05</v>
      </c>
      <c r="F66" s="2059">
        <v>0.1</v>
      </c>
      <c r="G66" s="2059">
        <v>7.4999999999999997E-2</v>
      </c>
      <c r="H66" s="2059">
        <f>ROUND(D66*E66*F66*G66,3)</f>
        <v>8.0000000000000002E-3</v>
      </c>
      <c r="I66" s="2207">
        <f>I30</f>
        <v>54224</v>
      </c>
      <c r="J66" s="2058">
        <f t="shared" si="3"/>
        <v>433.79</v>
      </c>
      <c r="K66" s="2059">
        <v>7.4999999999999997E-2</v>
      </c>
      <c r="L66" s="2059" t="e">
        <f>ROUND(#REF!*#REF!*#REF!*K66,3)</f>
        <v>#REF!</v>
      </c>
      <c r="M66" s="2058">
        <f>M30</f>
        <v>0</v>
      </c>
      <c r="N66" s="2058" t="e">
        <f>ROUND(L66*M66,2)</f>
        <v>#REF!</v>
      </c>
    </row>
    <row r="67" spans="1:14" ht="20.2" customHeight="1">
      <c r="A67" s="2051"/>
      <c r="B67" s="2056"/>
      <c r="C67" s="1997" t="s">
        <v>782</v>
      </c>
      <c r="D67" s="2057">
        <v>4</v>
      </c>
      <c r="E67" s="2058">
        <f>(2.1-2*0.075)+1*0.015</f>
        <v>1.9650000000000001</v>
      </c>
      <c r="F67" s="2059">
        <v>0.1</v>
      </c>
      <c r="G67" s="2059">
        <f>1.25*25.4/1000</f>
        <v>3.175E-2</v>
      </c>
      <c r="H67" s="2059">
        <f>ROUND(D67*E67*F67*G67,3)</f>
        <v>2.5000000000000001E-2</v>
      </c>
      <c r="I67" s="2207">
        <f>I31</f>
        <v>72298</v>
      </c>
      <c r="J67" s="2058">
        <f t="shared" si="3"/>
        <v>1807.45</v>
      </c>
      <c r="K67" s="2059">
        <f>1.25*25.4/1000</f>
        <v>3.175E-2</v>
      </c>
      <c r="L67" s="2059" t="e">
        <f>ROUND(#REF!*#REF!*#REF!*K67,3)</f>
        <v>#REF!</v>
      </c>
      <c r="M67" s="2058">
        <f>M31</f>
        <v>0</v>
      </c>
      <c r="N67" s="2058" t="e">
        <f>ROUND(L67*M67,2)</f>
        <v>#REF!</v>
      </c>
    </row>
    <row r="68" spans="1:14" ht="20.2" customHeight="1">
      <c r="A68" s="2051"/>
      <c r="B68" s="2056"/>
      <c r="C68" s="1997" t="s">
        <v>783</v>
      </c>
      <c r="D68" s="2057" t="s">
        <v>791</v>
      </c>
      <c r="E68" s="2058">
        <f>(0.9-2*0.075+2*0.015)/2</f>
        <v>0.39</v>
      </c>
      <c r="F68" s="2059">
        <v>0.1</v>
      </c>
      <c r="G68" s="2059">
        <f>1.25*25.4/1000</f>
        <v>3.175E-2</v>
      </c>
      <c r="H68" s="2059">
        <f>ROUND(12*E68*F68*G68,3)</f>
        <v>1.4999999999999999E-2</v>
      </c>
      <c r="I68" s="2207">
        <f>I32</f>
        <v>72298</v>
      </c>
      <c r="J68" s="2058">
        <f>ROUND(H72*I72,2)</f>
        <v>166</v>
      </c>
      <c r="K68" s="2059">
        <f>1.25*25.4/1000</f>
        <v>3.175E-2</v>
      </c>
      <c r="L68" s="2059" t="e">
        <f>ROUND(12*#REF!*#REF!*K68,3)</f>
        <v>#REF!</v>
      </c>
      <c r="M68" s="2058">
        <f>M32</f>
        <v>0</v>
      </c>
      <c r="N68" s="2058">
        <f>ROUND(L72*M72,2)</f>
        <v>154</v>
      </c>
    </row>
    <row r="69" spans="1:14" ht="20.2" customHeight="1">
      <c r="A69" s="2051"/>
      <c r="B69" s="2056"/>
      <c r="C69" s="1997" t="s">
        <v>1481</v>
      </c>
      <c r="D69" s="2057" t="s">
        <v>792</v>
      </c>
      <c r="E69" s="2058">
        <f>(0.9-2*0.075+2*0.015)/2-2*0.1+2*0.025</f>
        <v>0.24</v>
      </c>
      <c r="F69" s="2059">
        <f>(2.1-2*0.075+1*0.015-6*0.1)/5+2*0.025</f>
        <v>0.32300000000000001</v>
      </c>
      <c r="G69" s="2059">
        <v>2.5000000000000001E-2</v>
      </c>
      <c r="H69" s="2059">
        <f>ROUND(10*E69*F69*G69,3)</f>
        <v>1.9E-2</v>
      </c>
      <c r="I69" s="2207">
        <f>I33</f>
        <v>72298</v>
      </c>
      <c r="J69" s="2058">
        <f t="shared" si="3"/>
        <v>1373.66</v>
      </c>
      <c r="K69" s="2059">
        <v>2.5000000000000001E-2</v>
      </c>
      <c r="L69" s="2059" t="e">
        <f>ROUND(10*#REF!*#REF!*K69,3)</f>
        <v>#REF!</v>
      </c>
      <c r="M69" s="2058">
        <f>M33</f>
        <v>0</v>
      </c>
      <c r="N69" s="2058" t="e">
        <f>ROUND(L69*M69,2)</f>
        <v>#REF!</v>
      </c>
    </row>
    <row r="70" spans="1:14" ht="20.2" customHeight="1">
      <c r="A70" s="2051"/>
      <c r="B70" s="2056"/>
      <c r="C70" s="1997" t="s">
        <v>1482</v>
      </c>
      <c r="D70" s="2057"/>
      <c r="E70" s="2058"/>
      <c r="F70" s="2059"/>
      <c r="G70" s="2059"/>
      <c r="H70" s="2059">
        <f>SUM(H65:H69)</f>
        <v>9.9000000000000005E-2</v>
      </c>
      <c r="I70" s="2207">
        <f>G25</f>
        <v>19572.5</v>
      </c>
      <c r="J70" s="2058">
        <f t="shared" si="3"/>
        <v>1937.68</v>
      </c>
      <c r="K70" s="2059"/>
      <c r="L70" s="2059" t="e">
        <f>SUM(L65:L69)</f>
        <v>#REF!</v>
      </c>
      <c r="M70" s="2060">
        <f>K25</f>
        <v>0</v>
      </c>
      <c r="N70" s="2058" t="e">
        <f>ROUND(L70*M70,2)</f>
        <v>#REF!</v>
      </c>
    </row>
    <row r="71" spans="1:14" ht="30.6">
      <c r="A71" s="2051" t="s">
        <v>787</v>
      </c>
      <c r="B71" s="2032"/>
      <c r="C71" s="1997" t="s">
        <v>788</v>
      </c>
      <c r="D71" s="2057"/>
      <c r="E71" s="2058"/>
      <c r="F71" s="2059"/>
      <c r="G71" s="2061"/>
      <c r="H71" s="2061"/>
      <c r="I71" s="2207"/>
      <c r="J71" s="2058"/>
      <c r="K71" s="2061"/>
      <c r="L71" s="2061"/>
      <c r="M71" s="2058"/>
      <c r="N71" s="2058"/>
    </row>
    <row r="72" spans="1:14" s="2079" customFormat="1" ht="20.2" customHeight="1">
      <c r="A72" s="2051"/>
      <c r="B72" s="2077"/>
      <c r="C72" s="2078" t="s">
        <v>911</v>
      </c>
      <c r="D72" s="2057" t="s">
        <v>1035</v>
      </c>
      <c r="E72" s="2058" t="s">
        <v>1617</v>
      </c>
      <c r="F72" s="2059"/>
      <c r="G72" s="2059"/>
      <c r="H72" s="2063">
        <v>2</v>
      </c>
      <c r="I72" s="2207">
        <f t="shared" ref="I72:I79" si="4">I36</f>
        <v>83</v>
      </c>
      <c r="J72" s="2058">
        <f t="shared" ref="J72:J80" si="5">ROUND(H72*I72,2)</f>
        <v>166</v>
      </c>
      <c r="K72" s="2059"/>
      <c r="L72" s="2063">
        <v>2</v>
      </c>
      <c r="M72" s="2058">
        <v>77</v>
      </c>
      <c r="N72" s="2058">
        <f t="shared" ref="N72:N80" si="6">ROUND(L72*M72,2)</f>
        <v>154</v>
      </c>
    </row>
    <row r="73" spans="1:14" s="2079" customFormat="1" ht="20.2" customHeight="1">
      <c r="A73" s="2051"/>
      <c r="B73" s="2077"/>
      <c r="C73" s="2078" t="s">
        <v>912</v>
      </c>
      <c r="D73" s="2057" t="s">
        <v>1035</v>
      </c>
      <c r="E73" s="2058" t="s">
        <v>1618</v>
      </c>
      <c r="F73" s="2059"/>
      <c r="G73" s="2059"/>
      <c r="H73" s="2063">
        <v>1</v>
      </c>
      <c r="I73" s="2207">
        <f t="shared" si="4"/>
        <v>44</v>
      </c>
      <c r="J73" s="2058">
        <f t="shared" si="5"/>
        <v>44</v>
      </c>
      <c r="K73" s="2059"/>
      <c r="L73" s="2063">
        <v>1</v>
      </c>
      <c r="M73" s="2058">
        <v>40</v>
      </c>
      <c r="N73" s="2058">
        <f t="shared" si="6"/>
        <v>40</v>
      </c>
    </row>
    <row r="74" spans="1:14" s="2079" customFormat="1" ht="20.2" customHeight="1">
      <c r="A74" s="2051"/>
      <c r="B74" s="2077"/>
      <c r="C74" s="2080" t="s">
        <v>913</v>
      </c>
      <c r="D74" s="2057" t="s">
        <v>1035</v>
      </c>
      <c r="E74" s="2058" t="s">
        <v>1619</v>
      </c>
      <c r="F74" s="2059"/>
      <c r="G74" s="2059"/>
      <c r="H74" s="2063">
        <v>6</v>
      </c>
      <c r="I74" s="2207">
        <f t="shared" si="4"/>
        <v>40</v>
      </c>
      <c r="J74" s="2058">
        <f t="shared" si="5"/>
        <v>240</v>
      </c>
      <c r="K74" s="2059"/>
      <c r="L74" s="2063">
        <v>6</v>
      </c>
      <c r="M74" s="2058">
        <v>36</v>
      </c>
      <c r="N74" s="2058">
        <f t="shared" si="6"/>
        <v>216</v>
      </c>
    </row>
    <row r="75" spans="1:14" s="2079" customFormat="1" ht="20.2" customHeight="1">
      <c r="A75" s="2051"/>
      <c r="B75" s="2077"/>
      <c r="C75" s="2081" t="s">
        <v>914</v>
      </c>
      <c r="D75" s="2057" t="s">
        <v>1035</v>
      </c>
      <c r="E75" s="2058" t="s">
        <v>1918</v>
      </c>
      <c r="F75" s="2059"/>
      <c r="G75" s="2059"/>
      <c r="H75" s="2063">
        <v>1</v>
      </c>
      <c r="I75" s="2207">
        <f t="shared" si="4"/>
        <v>198</v>
      </c>
      <c r="J75" s="2058">
        <f t="shared" si="5"/>
        <v>198</v>
      </c>
      <c r="K75" s="2059"/>
      <c r="L75" s="2063">
        <v>1</v>
      </c>
      <c r="M75" s="2058">
        <v>185</v>
      </c>
      <c r="N75" s="2058">
        <f t="shared" si="6"/>
        <v>185</v>
      </c>
    </row>
    <row r="76" spans="1:14" s="2079" customFormat="1" ht="20.2" customHeight="1">
      <c r="A76" s="2051"/>
      <c r="B76" s="2077"/>
      <c r="C76" s="2081" t="s">
        <v>296</v>
      </c>
      <c r="D76" s="2057" t="s">
        <v>1035</v>
      </c>
      <c r="E76" s="2058" t="s">
        <v>1919</v>
      </c>
      <c r="F76" s="2059"/>
      <c r="G76" s="2059"/>
      <c r="H76" s="2063">
        <v>2</v>
      </c>
      <c r="I76" s="2207">
        <f t="shared" si="4"/>
        <v>56</v>
      </c>
      <c r="J76" s="2058">
        <f t="shared" si="5"/>
        <v>112</v>
      </c>
      <c r="K76" s="2059"/>
      <c r="L76" s="2063">
        <v>2</v>
      </c>
      <c r="M76" s="2058">
        <v>52</v>
      </c>
      <c r="N76" s="2058">
        <f t="shared" si="6"/>
        <v>104</v>
      </c>
    </row>
    <row r="77" spans="1:14" ht="20.2" customHeight="1">
      <c r="A77" s="2051"/>
      <c r="B77" s="2032"/>
      <c r="C77" s="1997" t="s">
        <v>420</v>
      </c>
      <c r="D77" s="2057" t="s">
        <v>1035</v>
      </c>
      <c r="E77" s="2058" t="s">
        <v>1649</v>
      </c>
      <c r="F77" s="2059"/>
      <c r="G77" s="2059"/>
      <c r="H77" s="2063">
        <v>3</v>
      </c>
      <c r="I77" s="2207">
        <f t="shared" si="4"/>
        <v>40</v>
      </c>
      <c r="J77" s="2058">
        <f t="shared" si="5"/>
        <v>120</v>
      </c>
      <c r="K77" s="2059"/>
      <c r="L77" s="2063">
        <v>3</v>
      </c>
      <c r="M77" s="2058">
        <v>36</v>
      </c>
      <c r="N77" s="2058">
        <f t="shared" si="6"/>
        <v>108</v>
      </c>
    </row>
    <row r="78" spans="1:14" s="2079" customFormat="1" ht="20.2" customHeight="1">
      <c r="A78" s="2051"/>
      <c r="B78" s="2077"/>
      <c r="C78" s="2081" t="s">
        <v>799</v>
      </c>
      <c r="D78" s="2057" t="s">
        <v>1035</v>
      </c>
      <c r="E78" s="2058" t="s">
        <v>1826</v>
      </c>
      <c r="F78" s="2059"/>
      <c r="G78" s="2059"/>
      <c r="H78" s="2063">
        <v>80</v>
      </c>
      <c r="I78" s="2207">
        <f t="shared" si="4"/>
        <v>7</v>
      </c>
      <c r="J78" s="2058">
        <f t="shared" si="5"/>
        <v>560</v>
      </c>
      <c r="K78" s="2059"/>
      <c r="L78" s="2063">
        <v>80</v>
      </c>
      <c r="M78" s="2058">
        <v>5</v>
      </c>
      <c r="N78" s="2058">
        <f t="shared" si="6"/>
        <v>400</v>
      </c>
    </row>
    <row r="79" spans="1:14" s="2079" customFormat="1" ht="20.2" customHeight="1">
      <c r="A79" s="2051"/>
      <c r="B79" s="2077"/>
      <c r="C79" s="2062" t="s">
        <v>1623</v>
      </c>
      <c r="D79" s="2057" t="s">
        <v>1035</v>
      </c>
      <c r="E79" s="2058" t="s">
        <v>3522</v>
      </c>
      <c r="F79" s="2059"/>
      <c r="G79" s="2059"/>
      <c r="H79" s="2063">
        <v>10</v>
      </c>
      <c r="I79" s="2207">
        <f t="shared" si="4"/>
        <v>22</v>
      </c>
      <c r="J79" s="2058">
        <f t="shared" si="5"/>
        <v>220</v>
      </c>
      <c r="K79" s="2059"/>
      <c r="L79" s="2063">
        <v>10</v>
      </c>
      <c r="M79" s="2065">
        <v>21</v>
      </c>
      <c r="N79" s="2058">
        <f t="shared" si="6"/>
        <v>210</v>
      </c>
    </row>
    <row r="80" spans="1:14" s="2079" customFormat="1" ht="20.2" customHeight="1">
      <c r="A80" s="2051"/>
      <c r="B80" s="2082"/>
      <c r="C80" s="2081" t="s">
        <v>1598</v>
      </c>
      <c r="D80" s="2057" t="s">
        <v>1035</v>
      </c>
      <c r="E80" s="2068" t="s">
        <v>1651</v>
      </c>
      <c r="F80" s="2059"/>
      <c r="G80" s="2059"/>
      <c r="H80" s="2063">
        <v>6</v>
      </c>
      <c r="I80" s="2207">
        <f>I56</f>
        <v>41</v>
      </c>
      <c r="J80" s="2058">
        <f t="shared" si="5"/>
        <v>246</v>
      </c>
      <c r="K80" s="2059"/>
      <c r="L80" s="2063">
        <v>6</v>
      </c>
      <c r="M80" s="2058">
        <v>37</v>
      </c>
      <c r="N80" s="2058">
        <f t="shared" si="6"/>
        <v>222</v>
      </c>
    </row>
    <row r="81" spans="1:14" s="2079" customFormat="1" ht="20.2" customHeight="1">
      <c r="A81" s="2051"/>
      <c r="B81" s="2083"/>
      <c r="C81" s="2081" t="s">
        <v>1484</v>
      </c>
      <c r="D81" s="2057">
        <v>2.25</v>
      </c>
      <c r="E81" s="2058">
        <v>0.9</v>
      </c>
      <c r="F81" s="2059"/>
      <c r="G81" s="2059">
        <v>2.1</v>
      </c>
      <c r="H81" s="2059">
        <f>ROUND(G81*E81*D81,2)</f>
        <v>4.25</v>
      </c>
      <c r="I81" s="2207">
        <f>G15</f>
        <v>670.23599999999999</v>
      </c>
      <c r="J81" s="2058">
        <f>H81*I81/10</f>
        <v>284.8503</v>
      </c>
      <c r="K81" s="2059">
        <v>2.1</v>
      </c>
      <c r="L81" s="2059" t="e">
        <f>ROUND(K81*#REF!*#REF!,2)</f>
        <v>#REF!</v>
      </c>
      <c r="M81" s="2066">
        <f>K15</f>
        <v>0</v>
      </c>
      <c r="N81" s="2058" t="e">
        <f>L81*M81/10</f>
        <v>#REF!</v>
      </c>
    </row>
    <row r="82" spans="1:14" s="2079" customFormat="1" ht="20.2" customHeight="1">
      <c r="A82" s="2051"/>
      <c r="B82" s="2083"/>
      <c r="C82" s="2081" t="s">
        <v>230</v>
      </c>
      <c r="D82" s="2057"/>
      <c r="E82" s="2058"/>
      <c r="F82" s="2059"/>
      <c r="G82" s="2059"/>
      <c r="H82" s="2063">
        <v>1</v>
      </c>
      <c r="I82" s="2207">
        <v>75</v>
      </c>
      <c r="J82" s="2058">
        <f>H82*I82</f>
        <v>75</v>
      </c>
      <c r="K82" s="2059"/>
      <c r="L82" s="2063">
        <v>1</v>
      </c>
      <c r="M82" s="2058">
        <v>75</v>
      </c>
      <c r="N82" s="2058">
        <f>L82*M82</f>
        <v>75</v>
      </c>
    </row>
    <row r="83" spans="1:14" ht="20.2" customHeight="1">
      <c r="A83" s="2051"/>
      <c r="B83" s="2056"/>
      <c r="D83" s="2057"/>
      <c r="E83" s="2058"/>
      <c r="F83" s="2059"/>
      <c r="G83" s="2059"/>
      <c r="H83" s="2059"/>
      <c r="I83" s="2058"/>
      <c r="J83" s="2058">
        <f>SUM(J65:J82)</f>
        <v>9719.6003000000001</v>
      </c>
      <c r="K83" s="2059"/>
      <c r="L83" s="2059"/>
      <c r="M83" s="2058"/>
      <c r="N83" s="2058" t="e">
        <f>SUM(N65:N82)</f>
        <v>#REF!</v>
      </c>
    </row>
    <row r="84" spans="1:14" s="2020" customFormat="1" ht="20.2" customHeight="1">
      <c r="A84" s="2051"/>
      <c r="B84" s="2070"/>
      <c r="C84" s="1997" t="s">
        <v>1600</v>
      </c>
      <c r="D84" s="2071"/>
      <c r="E84" s="2069"/>
      <c r="F84" s="2072"/>
      <c r="G84" s="2072"/>
      <c r="H84" s="2072">
        <f>J83</f>
        <v>9719.6003000000001</v>
      </c>
      <c r="I84" s="2069">
        <f>I6</f>
        <v>0</v>
      </c>
      <c r="J84" s="2058">
        <f>ROUND(H84*I84,2)</f>
        <v>0</v>
      </c>
      <c r="K84" s="2072"/>
      <c r="L84" s="2072" t="e">
        <f>N83</f>
        <v>#REF!</v>
      </c>
      <c r="M84" s="2069">
        <f>M6</f>
        <v>0</v>
      </c>
      <c r="N84" s="2058" t="e">
        <f>ROUND(L84*M84,2)</f>
        <v>#REF!</v>
      </c>
    </row>
    <row r="85" spans="1:14" s="2030" customFormat="1" ht="20.2" customHeight="1">
      <c r="A85" s="2051" t="s">
        <v>542</v>
      </c>
      <c r="B85" s="2073"/>
      <c r="C85" s="2023" t="s">
        <v>256</v>
      </c>
      <c r="D85" s="2074"/>
      <c r="E85" s="2075"/>
      <c r="F85" s="2076"/>
      <c r="G85" s="2076"/>
      <c r="H85" s="2076"/>
      <c r="I85" s="2075" t="s">
        <v>416</v>
      </c>
      <c r="J85" s="2075">
        <f>SUM(J83:J84)</f>
        <v>9719.6003000000001</v>
      </c>
      <c r="K85" s="2076"/>
      <c r="L85" s="2076"/>
      <c r="M85" s="2075" t="s">
        <v>416</v>
      </c>
      <c r="N85" s="2075" t="e">
        <f>SUM(N83:N84)</f>
        <v>#REF!</v>
      </c>
    </row>
    <row r="86" spans="1:14" ht="25.2">
      <c r="A86" s="2051"/>
      <c r="B86" s="2056"/>
      <c r="C86" s="2014" t="s">
        <v>1291</v>
      </c>
      <c r="D86" s="2071"/>
      <c r="E86" s="2069"/>
      <c r="F86" s="2059"/>
      <c r="G86" s="2059"/>
      <c r="H86" s="2059"/>
      <c r="I86" s="2058"/>
      <c r="J86" s="2058"/>
      <c r="K86" s="2059"/>
      <c r="L86" s="2059"/>
      <c r="M86" s="2058"/>
      <c r="N86" s="2058"/>
    </row>
    <row r="87" spans="1:14">
      <c r="A87" s="2051"/>
      <c r="B87" s="2056"/>
      <c r="C87" s="1997" t="s">
        <v>779</v>
      </c>
      <c r="D87" s="2057"/>
      <c r="E87" s="2058"/>
      <c r="F87" s="2059"/>
      <c r="G87" s="2059"/>
      <c r="H87" s="2059"/>
      <c r="I87" s="2058"/>
      <c r="J87" s="2058"/>
      <c r="K87" s="2059"/>
      <c r="L87" s="2059"/>
      <c r="M87" s="2058"/>
      <c r="N87" s="2058"/>
    </row>
    <row r="88" spans="1:14" ht="20.2" customHeight="1">
      <c r="A88" s="2051"/>
      <c r="B88" s="2056"/>
      <c r="C88" s="1997" t="s">
        <v>780</v>
      </c>
      <c r="D88" s="2057">
        <v>2</v>
      </c>
      <c r="E88" s="2058">
        <v>2.1</v>
      </c>
      <c r="F88" s="2059">
        <v>0.1</v>
      </c>
      <c r="G88" s="2059">
        <v>7.4999999999999997E-2</v>
      </c>
      <c r="H88" s="2059">
        <f>ROUND(D88*E88*F88*G88,3)</f>
        <v>3.2000000000000001E-2</v>
      </c>
      <c r="I88" s="2058">
        <f>I29</f>
        <v>54224</v>
      </c>
      <c r="J88" s="2058">
        <f>ROUND(H88*I88,2)</f>
        <v>1735.17</v>
      </c>
      <c r="K88" s="2059">
        <v>7.4999999999999997E-2</v>
      </c>
      <c r="L88" s="2059" t="e">
        <f>ROUND(#REF!*#REF!*#REF!*K88,3)</f>
        <v>#REF!</v>
      </c>
      <c r="M88" s="2058">
        <f>M29</f>
        <v>0</v>
      </c>
      <c r="N88" s="2058" t="e">
        <f>ROUND(L88*M88,2)</f>
        <v>#REF!</v>
      </c>
    </row>
    <row r="89" spans="1:14" ht="20.2" customHeight="1">
      <c r="A89" s="2051"/>
      <c r="B89" s="2056"/>
      <c r="C89" s="1997" t="s">
        <v>781</v>
      </c>
      <c r="D89" s="2057">
        <v>1</v>
      </c>
      <c r="E89" s="2058">
        <v>1.05</v>
      </c>
      <c r="F89" s="2059">
        <v>0.1</v>
      </c>
      <c r="G89" s="2059">
        <v>7.4999999999999997E-2</v>
      </c>
      <c r="H89" s="2059">
        <f>ROUND(D89*E89*F89*G89,3)</f>
        <v>8.0000000000000002E-3</v>
      </c>
      <c r="I89" s="2058">
        <f>I88</f>
        <v>54224</v>
      </c>
      <c r="J89" s="2058">
        <f>ROUND(H89*I89,2)</f>
        <v>433.79</v>
      </c>
      <c r="K89" s="2059">
        <v>7.4999999999999997E-2</v>
      </c>
      <c r="L89" s="2059" t="e">
        <f>ROUND(#REF!*#REF!*#REF!*K89,3)</f>
        <v>#REF!</v>
      </c>
      <c r="M89" s="2058">
        <f>M88</f>
        <v>0</v>
      </c>
      <c r="N89" s="2058" t="e">
        <f>ROUND(L89*M89,2)</f>
        <v>#REF!</v>
      </c>
    </row>
    <row r="90" spans="1:14" ht="20.2" customHeight="1">
      <c r="A90" s="2051"/>
      <c r="B90" s="2056"/>
      <c r="C90" s="1997" t="s">
        <v>1482</v>
      </c>
      <c r="D90" s="2057"/>
      <c r="E90" s="2058"/>
      <c r="F90" s="2059"/>
      <c r="G90" s="2059"/>
      <c r="H90" s="2059">
        <f>SUM(H88:H89)</f>
        <v>0.04</v>
      </c>
      <c r="I90" s="2060">
        <f>G25</f>
        <v>19572.5</v>
      </c>
      <c r="J90" s="2058">
        <f>ROUND(H90*I90,2)</f>
        <v>782.9</v>
      </c>
      <c r="K90" s="2059"/>
      <c r="L90" s="2059" t="e">
        <f>SUM(L88:L89)</f>
        <v>#REF!</v>
      </c>
      <c r="M90" s="2060">
        <f>K25</f>
        <v>0</v>
      </c>
      <c r="N90" s="2058" t="e">
        <f>ROUND(L90*M90,2)</f>
        <v>#REF!</v>
      </c>
    </row>
    <row r="91" spans="1:14" ht="30.6">
      <c r="A91" s="2051" t="s">
        <v>787</v>
      </c>
      <c r="B91" s="2032"/>
      <c r="C91" s="1997" t="s">
        <v>788</v>
      </c>
      <c r="D91" s="2057"/>
      <c r="E91" s="2058"/>
      <c r="F91" s="2059"/>
      <c r="G91" s="2061"/>
      <c r="H91" s="2061"/>
      <c r="I91" s="2058"/>
      <c r="J91" s="2058"/>
      <c r="K91" s="2061"/>
      <c r="L91" s="2061"/>
      <c r="M91" s="2058"/>
      <c r="N91" s="2058"/>
    </row>
    <row r="92" spans="1:14" ht="20.2" customHeight="1">
      <c r="A92" s="2051"/>
      <c r="B92" s="2067"/>
      <c r="C92" s="1997" t="s">
        <v>1598</v>
      </c>
      <c r="D92" s="2057" t="s">
        <v>1035</v>
      </c>
      <c r="E92" s="2068" t="s">
        <v>1651</v>
      </c>
      <c r="F92" s="2059"/>
      <c r="G92" s="2059"/>
      <c r="H92" s="2063">
        <v>6</v>
      </c>
      <c r="I92" s="2058">
        <f>I80</f>
        <v>41</v>
      </c>
      <c r="J92" s="2058">
        <f>ROUND(H92*I92,2)</f>
        <v>246</v>
      </c>
      <c r="K92" s="2059"/>
      <c r="L92" s="2063">
        <v>6</v>
      </c>
      <c r="M92" s="2058">
        <f>M80</f>
        <v>37</v>
      </c>
      <c r="N92" s="2058">
        <f>ROUND(L92*M92,2)</f>
        <v>222</v>
      </c>
    </row>
    <row r="93" spans="1:14" ht="20.2" customHeight="1">
      <c r="A93" s="2051"/>
      <c r="B93" s="2056"/>
      <c r="C93" s="1997" t="s">
        <v>1484</v>
      </c>
      <c r="D93" s="2057" t="s">
        <v>539</v>
      </c>
      <c r="E93" s="2058">
        <v>0.9</v>
      </c>
      <c r="F93" s="2059"/>
      <c r="G93" s="2058">
        <v>2.1</v>
      </c>
      <c r="H93" s="2059">
        <f>ROUND(G93*E93*2.25/3,2)</f>
        <v>1.42</v>
      </c>
      <c r="I93" s="2066">
        <f>G15</f>
        <v>670.23599999999999</v>
      </c>
      <c r="J93" s="2058">
        <f>H93*I93/10</f>
        <v>95.173511999999988</v>
      </c>
      <c r="K93" s="2058">
        <v>2.1</v>
      </c>
      <c r="L93" s="2059" t="e">
        <f>ROUND(K93*#REF!*2.25/3,2)</f>
        <v>#REF!</v>
      </c>
      <c r="M93" s="2066">
        <f>K15</f>
        <v>0</v>
      </c>
      <c r="N93" s="2058" t="e">
        <f>L93*M93/10</f>
        <v>#REF!</v>
      </c>
    </row>
    <row r="94" spans="1:14" ht="20.2" customHeight="1">
      <c r="A94" s="2051"/>
      <c r="B94" s="2056"/>
      <c r="C94" s="1997" t="s">
        <v>230</v>
      </c>
      <c r="D94" s="2057"/>
      <c r="E94" s="2058"/>
      <c r="F94" s="2059"/>
      <c r="G94" s="2059"/>
      <c r="H94" s="2063">
        <v>1</v>
      </c>
      <c r="I94" s="2058">
        <v>50</v>
      </c>
      <c r="J94" s="2058">
        <f>H94*I94</f>
        <v>50</v>
      </c>
      <c r="K94" s="2059"/>
      <c r="L94" s="2063">
        <v>1</v>
      </c>
      <c r="M94" s="2058">
        <v>50</v>
      </c>
      <c r="N94" s="2058">
        <f>L94*M94</f>
        <v>50</v>
      </c>
    </row>
    <row r="95" spans="1:14" ht="20.2" customHeight="1">
      <c r="A95" s="2051"/>
      <c r="B95" s="2056"/>
      <c r="D95" s="2057"/>
      <c r="E95" s="2058"/>
      <c r="F95" s="2059"/>
      <c r="G95" s="2059"/>
      <c r="H95" s="2059"/>
      <c r="I95" s="2058"/>
      <c r="J95" s="2058">
        <f>SUM(J88:J94)</f>
        <v>3343.033512</v>
      </c>
      <c r="K95" s="2059"/>
      <c r="L95" s="2059"/>
      <c r="M95" s="2058"/>
      <c r="N95" s="2058" t="e">
        <f>SUM(N88:N94)</f>
        <v>#REF!</v>
      </c>
    </row>
    <row r="96" spans="1:14" s="2020" customFormat="1" ht="20.2" customHeight="1">
      <c r="A96" s="2051"/>
      <c r="B96" s="2070"/>
      <c r="C96" s="1997" t="s">
        <v>1600</v>
      </c>
      <c r="D96" s="2071"/>
      <c r="E96" s="2069"/>
      <c r="F96" s="2072"/>
      <c r="G96" s="2072"/>
      <c r="H96" s="2072">
        <f>J95</f>
        <v>3343.033512</v>
      </c>
      <c r="I96" s="2069">
        <f>I6</f>
        <v>0</v>
      </c>
      <c r="J96" s="2058">
        <f>ROUND(H96*I96,2)</f>
        <v>0</v>
      </c>
      <c r="K96" s="2072"/>
      <c r="L96" s="2072" t="e">
        <f>N95</f>
        <v>#REF!</v>
      </c>
      <c r="M96" s="2069">
        <f>M6</f>
        <v>0</v>
      </c>
      <c r="N96" s="2058" t="e">
        <f>ROUND(L96*M96,2)</f>
        <v>#REF!</v>
      </c>
    </row>
    <row r="97" spans="1:14" s="2030" customFormat="1" ht="20.2" customHeight="1">
      <c r="A97" s="2051" t="s">
        <v>542</v>
      </c>
      <c r="B97" s="2073"/>
      <c r="C97" s="2084" t="s">
        <v>1292</v>
      </c>
      <c r="D97" s="2074"/>
      <c r="E97" s="2075"/>
      <c r="F97" s="2076"/>
      <c r="G97" s="2076"/>
      <c r="H97" s="2076"/>
      <c r="I97" s="2075" t="s">
        <v>416</v>
      </c>
      <c r="J97" s="2075">
        <f>SUM(J95:J96)</f>
        <v>3343.033512</v>
      </c>
      <c r="K97" s="2076"/>
      <c r="L97" s="2076"/>
      <c r="M97" s="2075" t="s">
        <v>416</v>
      </c>
      <c r="N97" s="2075" t="e">
        <f>SUM(N95:N96)</f>
        <v>#REF!</v>
      </c>
    </row>
    <row r="98" spans="1:14" s="2030" customFormat="1" ht="20.2" customHeight="1">
      <c r="A98" s="2051"/>
      <c r="B98" s="2073"/>
      <c r="C98" s="2084" t="s">
        <v>1293</v>
      </c>
      <c r="D98" s="2074"/>
      <c r="E98" s="2075"/>
      <c r="F98" s="2076"/>
      <c r="G98" s="2076"/>
      <c r="H98" s="2076"/>
      <c r="I98" s="2075" t="s">
        <v>416</v>
      </c>
      <c r="J98" s="2075">
        <f>J85-J97</f>
        <v>6376.5667880000001</v>
      </c>
      <c r="K98" s="2076"/>
      <c r="L98" s="2076"/>
      <c r="M98" s="2075" t="s">
        <v>416</v>
      </c>
      <c r="N98" s="2075" t="e">
        <f>N85-N97</f>
        <v>#REF!</v>
      </c>
    </row>
    <row r="99" spans="1:14" ht="144.55000000000001" customHeight="1">
      <c r="A99" s="2051"/>
      <c r="B99" s="2204">
        <v>4</v>
      </c>
      <c r="C99" s="2629" t="s">
        <v>1827</v>
      </c>
      <c r="D99" s="2630"/>
      <c r="E99" s="2630"/>
      <c r="F99" s="2630"/>
      <c r="G99" s="2630"/>
      <c r="H99" s="2630"/>
      <c r="I99" s="2631"/>
      <c r="J99" s="2058"/>
    </row>
    <row r="100" spans="1:14">
      <c r="A100" s="2051"/>
      <c r="B100" s="2056"/>
      <c r="C100" s="2014" t="s">
        <v>793</v>
      </c>
      <c r="D100" s="2071"/>
      <c r="E100" s="2069"/>
      <c r="F100" s="2059"/>
      <c r="G100" s="2059"/>
      <c r="H100" s="2059"/>
      <c r="I100" s="2058"/>
      <c r="J100" s="2058"/>
    </row>
    <row r="101" spans="1:14">
      <c r="A101" s="2051"/>
      <c r="B101" s="2056"/>
      <c r="C101" s="1997" t="s">
        <v>779</v>
      </c>
      <c r="D101" s="2057"/>
      <c r="E101" s="2058"/>
      <c r="F101" s="2059"/>
      <c r="G101" s="2059"/>
      <c r="H101" s="2059"/>
      <c r="I101" s="2058"/>
      <c r="J101" s="2058"/>
    </row>
    <row r="102" spans="1:14" ht="20.2" customHeight="1">
      <c r="A102" s="2051"/>
      <c r="B102" s="2056"/>
      <c r="C102" s="1997" t="s">
        <v>780</v>
      </c>
      <c r="D102" s="2057">
        <v>2</v>
      </c>
      <c r="E102" s="2058">
        <v>2.1</v>
      </c>
      <c r="F102" s="2059">
        <v>0.1</v>
      </c>
      <c r="G102" s="2059">
        <v>7.4999999999999997E-2</v>
      </c>
      <c r="H102" s="2059">
        <f>ROUND(D102*E102*F102*G102,3)</f>
        <v>3.2000000000000001E-2</v>
      </c>
      <c r="I102" s="2058">
        <f t="shared" ref="I102:I107" si="7">I65</f>
        <v>54224</v>
      </c>
      <c r="J102" s="2058">
        <f t="shared" ref="J102:J107" si="8">ROUND(H102*I102,2)</f>
        <v>1735.17</v>
      </c>
    </row>
    <row r="103" spans="1:14" ht="20.2" customHeight="1">
      <c r="A103" s="2051"/>
      <c r="B103" s="2056"/>
      <c r="C103" s="1997" t="s">
        <v>781</v>
      </c>
      <c r="D103" s="2057">
        <v>1</v>
      </c>
      <c r="E103" s="2058">
        <v>1.2</v>
      </c>
      <c r="F103" s="2059">
        <v>0.1</v>
      </c>
      <c r="G103" s="2059">
        <v>7.4999999999999997E-2</v>
      </c>
      <c r="H103" s="2059">
        <f>ROUND(D103*E103*F103*G103,3)</f>
        <v>8.9999999999999993E-3</v>
      </c>
      <c r="I103" s="2058">
        <f t="shared" si="7"/>
        <v>54224</v>
      </c>
      <c r="J103" s="2058">
        <f t="shared" si="8"/>
        <v>488.02</v>
      </c>
    </row>
    <row r="104" spans="1:14" ht="20.2" customHeight="1">
      <c r="A104" s="2051"/>
      <c r="B104" s="2056"/>
      <c r="C104" s="1997" t="s">
        <v>782</v>
      </c>
      <c r="D104" s="2057">
        <v>4</v>
      </c>
      <c r="E104" s="2058">
        <f>(2.1-1*0.075-0.075)+1*0.015</f>
        <v>1.9649999999999999</v>
      </c>
      <c r="F104" s="2059">
        <v>0.1</v>
      </c>
      <c r="G104" s="2059">
        <f>1.25*25.4/1000</f>
        <v>3.175E-2</v>
      </c>
      <c r="H104" s="2059">
        <f>ROUND(D104*E104*F104*G104,3)</f>
        <v>2.5000000000000001E-2</v>
      </c>
      <c r="I104" s="2058">
        <f t="shared" si="7"/>
        <v>72298</v>
      </c>
      <c r="J104" s="2058">
        <f t="shared" si="8"/>
        <v>1807.45</v>
      </c>
    </row>
    <row r="105" spans="1:14" ht="20.2" customHeight="1">
      <c r="A105" s="2051"/>
      <c r="B105" s="2056"/>
      <c r="C105" s="1997" t="s">
        <v>783</v>
      </c>
      <c r="D105" s="2057" t="s">
        <v>791</v>
      </c>
      <c r="E105" s="2058">
        <f>(1.05-2*0.075+2*0.015)/2</f>
        <v>0.46500000000000002</v>
      </c>
      <c r="F105" s="2059">
        <v>0.1</v>
      </c>
      <c r="G105" s="2059">
        <f>1.25*25.4/1000</f>
        <v>3.175E-2</v>
      </c>
      <c r="H105" s="2059">
        <f>ROUND(12*E105*F105*G105,3)</f>
        <v>1.7999999999999999E-2</v>
      </c>
      <c r="I105" s="2058">
        <f t="shared" si="7"/>
        <v>72298</v>
      </c>
      <c r="J105" s="2058">
        <f t="shared" si="8"/>
        <v>1301.3599999999999</v>
      </c>
    </row>
    <row r="106" spans="1:14" ht="20.2" customHeight="1">
      <c r="A106" s="2051"/>
      <c r="B106" s="2056"/>
      <c r="C106" s="1997" t="s">
        <v>1481</v>
      </c>
      <c r="D106" s="2057" t="s">
        <v>792</v>
      </c>
      <c r="E106" s="2058">
        <f>(1.05-2*0.075+2*0.015)/2-2*0.1+2*0.025</f>
        <v>0.315</v>
      </c>
      <c r="F106" s="2059">
        <f>(2.1-2*0.075+1*0.015-6*0.1)/5+2*0.025</f>
        <v>0.32300000000000001</v>
      </c>
      <c r="G106" s="2059">
        <v>2.5000000000000001E-2</v>
      </c>
      <c r="H106" s="2059">
        <f>ROUND(10*E106*F106*G106,3)</f>
        <v>2.5000000000000001E-2</v>
      </c>
      <c r="I106" s="2058">
        <f t="shared" si="7"/>
        <v>72298</v>
      </c>
      <c r="J106" s="2058">
        <f t="shared" si="8"/>
        <v>1807.45</v>
      </c>
    </row>
    <row r="107" spans="1:14" ht="20.2" customHeight="1">
      <c r="A107" s="2051"/>
      <c r="B107" s="2056"/>
      <c r="C107" s="1997" t="s">
        <v>1482</v>
      </c>
      <c r="D107" s="2057"/>
      <c r="E107" s="2058"/>
      <c r="F107" s="2059"/>
      <c r="G107" s="2059"/>
      <c r="H107" s="2059">
        <f>SUM(H102:H106)</f>
        <v>0.10900000000000001</v>
      </c>
      <c r="I107" s="2058">
        <f t="shared" si="7"/>
        <v>19572.5</v>
      </c>
      <c r="J107" s="2058">
        <f t="shared" si="8"/>
        <v>2133.4</v>
      </c>
    </row>
    <row r="108" spans="1:14" ht="30.6">
      <c r="A108" s="2051" t="s">
        <v>787</v>
      </c>
      <c r="B108" s="2032"/>
      <c r="C108" s="2085" t="s">
        <v>788</v>
      </c>
      <c r="D108" s="2057"/>
      <c r="E108" s="2058"/>
      <c r="F108" s="2059"/>
      <c r="G108" s="2061"/>
      <c r="H108" s="2061"/>
      <c r="I108" s="2058"/>
      <c r="J108" s="2058"/>
    </row>
    <row r="109" spans="1:14" ht="20.2" customHeight="1">
      <c r="A109" s="2051"/>
      <c r="B109" s="2032"/>
      <c r="C109" s="2078" t="s">
        <v>911</v>
      </c>
      <c r="D109" s="2057" t="s">
        <v>1035</v>
      </c>
      <c r="E109" s="2058" t="s">
        <v>1617</v>
      </c>
      <c r="F109" s="2059"/>
      <c r="G109" s="2059"/>
      <c r="H109" s="2063">
        <v>2</v>
      </c>
      <c r="I109" s="2058">
        <f t="shared" ref="I109:I117" si="9">I72</f>
        <v>83</v>
      </c>
      <c r="J109" s="2058">
        <f t="shared" ref="J109:J117" si="10">ROUND(H109*I109,2)</f>
        <v>166</v>
      </c>
    </row>
    <row r="110" spans="1:14" ht="20.2" customHeight="1">
      <c r="A110" s="2051"/>
      <c r="B110" s="2032"/>
      <c r="C110" s="2078" t="s">
        <v>912</v>
      </c>
      <c r="D110" s="2057" t="s">
        <v>1035</v>
      </c>
      <c r="E110" s="2058" t="s">
        <v>1618</v>
      </c>
      <c r="F110" s="2059"/>
      <c r="G110" s="2059"/>
      <c r="H110" s="2063">
        <v>1</v>
      </c>
      <c r="I110" s="2058">
        <f t="shared" si="9"/>
        <v>44</v>
      </c>
      <c r="J110" s="2058">
        <f t="shared" si="10"/>
        <v>44</v>
      </c>
    </row>
    <row r="111" spans="1:14" ht="20.2" customHeight="1">
      <c r="A111" s="2051"/>
      <c r="B111" s="2032"/>
      <c r="C111" s="2080" t="s">
        <v>913</v>
      </c>
      <c r="D111" s="2057" t="s">
        <v>1035</v>
      </c>
      <c r="E111" s="2058" t="s">
        <v>1619</v>
      </c>
      <c r="F111" s="2059"/>
      <c r="G111" s="2059"/>
      <c r="H111" s="2063">
        <v>6</v>
      </c>
      <c r="I111" s="2058">
        <f t="shared" si="9"/>
        <v>40</v>
      </c>
      <c r="J111" s="2058">
        <f t="shared" si="10"/>
        <v>240</v>
      </c>
    </row>
    <row r="112" spans="1:14" ht="20.2" customHeight="1">
      <c r="A112" s="2051"/>
      <c r="B112" s="2032"/>
      <c r="C112" s="2078" t="s">
        <v>914</v>
      </c>
      <c r="D112" s="2057" t="s">
        <v>1035</v>
      </c>
      <c r="E112" s="2058" t="s">
        <v>1918</v>
      </c>
      <c r="F112" s="2059"/>
      <c r="G112" s="2059"/>
      <c r="H112" s="2063">
        <v>1</v>
      </c>
      <c r="I112" s="2058">
        <f t="shared" si="9"/>
        <v>198</v>
      </c>
      <c r="J112" s="2058">
        <f t="shared" si="10"/>
        <v>198</v>
      </c>
    </row>
    <row r="113" spans="1:10" ht="20.2" customHeight="1">
      <c r="A113" s="2051"/>
      <c r="B113" s="2032"/>
      <c r="C113" s="2081" t="s">
        <v>296</v>
      </c>
      <c r="D113" s="2057" t="s">
        <v>1035</v>
      </c>
      <c r="E113" s="2058" t="s">
        <v>1919</v>
      </c>
      <c r="F113" s="2059"/>
      <c r="G113" s="2059"/>
      <c r="H113" s="2063">
        <v>2</v>
      </c>
      <c r="I113" s="2058">
        <f t="shared" si="9"/>
        <v>56</v>
      </c>
      <c r="J113" s="2058">
        <f t="shared" si="10"/>
        <v>112</v>
      </c>
    </row>
    <row r="114" spans="1:10" ht="20.2" customHeight="1">
      <c r="A114" s="2051"/>
      <c r="B114" s="2032"/>
      <c r="C114" s="1997" t="s">
        <v>420</v>
      </c>
      <c r="D114" s="2057" t="s">
        <v>1035</v>
      </c>
      <c r="E114" s="2058" t="s">
        <v>1649</v>
      </c>
      <c r="F114" s="2059"/>
      <c r="G114" s="2059"/>
      <c r="H114" s="2063">
        <v>3</v>
      </c>
      <c r="I114" s="2058">
        <f t="shared" si="9"/>
        <v>40</v>
      </c>
      <c r="J114" s="2058">
        <f t="shared" si="10"/>
        <v>120</v>
      </c>
    </row>
    <row r="115" spans="1:10" ht="20.2" customHeight="1">
      <c r="A115" s="2051"/>
      <c r="B115" s="2032"/>
      <c r="C115" s="2081" t="s">
        <v>799</v>
      </c>
      <c r="D115" s="2057" t="s">
        <v>1035</v>
      </c>
      <c r="E115" s="2058" t="s">
        <v>1826</v>
      </c>
      <c r="F115" s="2059"/>
      <c r="G115" s="2059"/>
      <c r="H115" s="2063">
        <v>80</v>
      </c>
      <c r="I115" s="2058">
        <f t="shared" si="9"/>
        <v>7</v>
      </c>
      <c r="J115" s="2058">
        <f t="shared" si="10"/>
        <v>560</v>
      </c>
    </row>
    <row r="116" spans="1:10" ht="20.2" customHeight="1">
      <c r="A116" s="2051"/>
      <c r="B116" s="2032"/>
      <c r="C116" s="2062" t="s">
        <v>1623</v>
      </c>
      <c r="D116" s="2057" t="s">
        <v>1035</v>
      </c>
      <c r="E116" s="2058" t="s">
        <v>1920</v>
      </c>
      <c r="F116" s="2059"/>
      <c r="G116" s="2059"/>
      <c r="H116" s="2063">
        <v>10</v>
      </c>
      <c r="I116" s="2058">
        <f t="shared" si="9"/>
        <v>22</v>
      </c>
      <c r="J116" s="2058">
        <f t="shared" si="10"/>
        <v>220</v>
      </c>
    </row>
    <row r="117" spans="1:10" ht="20.2" customHeight="1">
      <c r="A117" s="2051"/>
      <c r="B117" s="2067"/>
      <c r="C117" s="2081" t="s">
        <v>1598</v>
      </c>
      <c r="D117" s="2057" t="s">
        <v>1035</v>
      </c>
      <c r="E117" s="2068" t="s">
        <v>1651</v>
      </c>
      <c r="F117" s="2059"/>
      <c r="G117" s="2059"/>
      <c r="H117" s="2063">
        <v>6</v>
      </c>
      <c r="I117" s="2058">
        <f t="shared" si="9"/>
        <v>41</v>
      </c>
      <c r="J117" s="2058">
        <f t="shared" si="10"/>
        <v>246</v>
      </c>
    </row>
    <row r="118" spans="1:10" ht="20.2" customHeight="1">
      <c r="A118" s="2051"/>
      <c r="B118" s="2056"/>
      <c r="C118" s="1997" t="s">
        <v>1484</v>
      </c>
      <c r="D118" s="2057">
        <v>2.25</v>
      </c>
      <c r="E118" s="2058">
        <v>1.05</v>
      </c>
      <c r="F118" s="2059"/>
      <c r="G118" s="2058">
        <v>2.1</v>
      </c>
      <c r="H118" s="2059">
        <f>ROUND(G118*E118*D118,2)</f>
        <v>4.96</v>
      </c>
      <c r="I118" s="2066">
        <f>G15</f>
        <v>670.23599999999999</v>
      </c>
      <c r="J118" s="2058">
        <f>H118*I118/10</f>
        <v>332.43705599999998</v>
      </c>
    </row>
    <row r="119" spans="1:10" ht="20.2" customHeight="1">
      <c r="A119" s="2051"/>
      <c r="B119" s="2056"/>
      <c r="C119" s="1997" t="s">
        <v>230</v>
      </c>
      <c r="D119" s="2057"/>
      <c r="E119" s="2058"/>
      <c r="F119" s="2059"/>
      <c r="G119" s="2059"/>
      <c r="H119" s="2063">
        <v>1</v>
      </c>
      <c r="I119" s="2058">
        <v>75</v>
      </c>
      <c r="J119" s="2058">
        <f>H119*I119</f>
        <v>75</v>
      </c>
    </row>
    <row r="120" spans="1:10" ht="20.2" customHeight="1">
      <c r="A120" s="2051"/>
      <c r="B120" s="2056"/>
      <c r="D120" s="2057"/>
      <c r="E120" s="2058"/>
      <c r="F120" s="2059"/>
      <c r="G120" s="2059"/>
      <c r="H120" s="2059"/>
      <c r="I120" s="2058"/>
      <c r="J120" s="2058">
        <f>SUM(J102:J119)</f>
        <v>11586.287056000001</v>
      </c>
    </row>
    <row r="121" spans="1:10" s="2020" customFormat="1" ht="20.2" customHeight="1">
      <c r="A121" s="2051"/>
      <c r="B121" s="2070"/>
      <c r="C121" s="1997" t="s">
        <v>1600</v>
      </c>
      <c r="D121" s="2071"/>
      <c r="E121" s="2069"/>
      <c r="F121" s="2072"/>
      <c r="G121" s="2072"/>
      <c r="H121" s="2072">
        <f>J120</f>
        <v>11586.287056000001</v>
      </c>
      <c r="I121" s="2069">
        <f>I6</f>
        <v>0</v>
      </c>
      <c r="J121" s="2069">
        <f>ROUND(H121*I121,2)</f>
        <v>0</v>
      </c>
    </row>
    <row r="122" spans="1:10" s="2020" customFormat="1" ht="20.2" customHeight="1">
      <c r="A122" s="2051"/>
      <c r="B122" s="2073"/>
      <c r="C122" s="2023" t="s">
        <v>256</v>
      </c>
      <c r="D122" s="2074"/>
      <c r="E122" s="2075"/>
      <c r="F122" s="2076"/>
      <c r="G122" s="2076"/>
      <c r="H122" s="2076"/>
      <c r="I122" s="2075" t="s">
        <v>416</v>
      </c>
      <c r="J122" s="2075">
        <f>SUM(J120:J121)</f>
        <v>11586.287056000001</v>
      </c>
    </row>
    <row r="123" spans="1:10" ht="25.2">
      <c r="A123" s="2051"/>
      <c r="B123" s="2056"/>
      <c r="C123" s="2014" t="s">
        <v>1294</v>
      </c>
      <c r="D123" s="2071"/>
      <c r="E123" s="2069"/>
      <c r="F123" s="2059"/>
      <c r="G123" s="2059"/>
      <c r="H123" s="2059"/>
      <c r="I123" s="2058"/>
      <c r="J123" s="2058"/>
    </row>
    <row r="124" spans="1:10">
      <c r="A124" s="2051"/>
      <c r="B124" s="2056"/>
      <c r="C124" s="1997" t="s">
        <v>779</v>
      </c>
      <c r="D124" s="2057"/>
      <c r="E124" s="2058"/>
      <c r="F124" s="2059"/>
      <c r="G124" s="2059"/>
      <c r="H124" s="2059"/>
      <c r="I124" s="2058"/>
      <c r="J124" s="2058"/>
    </row>
    <row r="125" spans="1:10" ht="20.2" customHeight="1">
      <c r="A125" s="2051"/>
      <c r="B125" s="2056"/>
      <c r="C125" s="1997" t="s">
        <v>780</v>
      </c>
      <c r="D125" s="2057">
        <v>2</v>
      </c>
      <c r="E125" s="2058">
        <v>2.1</v>
      </c>
      <c r="F125" s="2059">
        <v>0.1</v>
      </c>
      <c r="G125" s="2059">
        <v>7.4999999999999997E-2</v>
      </c>
      <c r="H125" s="2059">
        <f>ROUND(D125*E125*F125*G125,3)</f>
        <v>3.2000000000000001E-2</v>
      </c>
      <c r="I125" s="2058">
        <f>I88</f>
        <v>54224</v>
      </c>
      <c r="J125" s="2058">
        <f>ROUND(H125*I125,2)</f>
        <v>1735.17</v>
      </c>
    </row>
    <row r="126" spans="1:10" ht="20.2" customHeight="1">
      <c r="A126" s="2051"/>
      <c r="B126" s="2056"/>
      <c r="C126" s="1997" t="s">
        <v>781</v>
      </c>
      <c r="D126" s="2057">
        <v>1</v>
      </c>
      <c r="E126" s="2058">
        <v>1.05</v>
      </c>
      <c r="F126" s="2059">
        <v>0.1</v>
      </c>
      <c r="G126" s="2059">
        <v>7.4999999999999997E-2</v>
      </c>
      <c r="H126" s="2059">
        <f>ROUND(D126*E126*F126*G126,3)</f>
        <v>8.0000000000000002E-3</v>
      </c>
      <c r="I126" s="2058">
        <f>I89</f>
        <v>54224</v>
      </c>
      <c r="J126" s="2058">
        <f>ROUND(H126*I126,2)</f>
        <v>433.79</v>
      </c>
    </row>
    <row r="127" spans="1:10" ht="20.2" customHeight="1">
      <c r="A127" s="2051"/>
      <c r="B127" s="2056"/>
      <c r="C127" s="1997" t="s">
        <v>1482</v>
      </c>
      <c r="D127" s="2057"/>
      <c r="E127" s="2058"/>
      <c r="F127" s="2059"/>
      <c r="G127" s="2059"/>
      <c r="H127" s="2059">
        <f>SUM(H125:H126)</f>
        <v>0.04</v>
      </c>
      <c r="I127" s="2060">
        <f>G25</f>
        <v>19572.5</v>
      </c>
      <c r="J127" s="2058">
        <f>ROUND(H127*I127,2)</f>
        <v>782.9</v>
      </c>
    </row>
    <row r="128" spans="1:10" ht="20.2" customHeight="1">
      <c r="A128" s="2051"/>
      <c r="B128" s="2056"/>
      <c r="C128" s="1997" t="s">
        <v>1484</v>
      </c>
      <c r="D128" s="2057" t="s">
        <v>539</v>
      </c>
      <c r="E128" s="2058">
        <v>1.05</v>
      </c>
      <c r="F128" s="2059"/>
      <c r="G128" s="2059">
        <v>2.1</v>
      </c>
      <c r="H128" s="2059">
        <f>ROUND(G128*E128*2.25/3,2)</f>
        <v>1.65</v>
      </c>
      <c r="I128" s="2066">
        <f>G15</f>
        <v>670.23599999999999</v>
      </c>
      <c r="J128" s="2058">
        <f>ROUND(H128*I128/10,2)</f>
        <v>110.59</v>
      </c>
    </row>
    <row r="129" spans="1:10" ht="20.2" customHeight="1">
      <c r="A129" s="2051"/>
      <c r="B129" s="2067"/>
      <c r="C129" s="1997" t="s">
        <v>1598</v>
      </c>
      <c r="D129" s="2057"/>
      <c r="E129" s="2068" t="s">
        <v>1651</v>
      </c>
      <c r="F129" s="2059"/>
      <c r="G129" s="2059"/>
      <c r="H129" s="2063">
        <v>6</v>
      </c>
      <c r="I129" s="2058">
        <f>I117</f>
        <v>41</v>
      </c>
      <c r="J129" s="2058">
        <f>ROUND(H129*I129,2)</f>
        <v>246</v>
      </c>
    </row>
    <row r="130" spans="1:10" ht="20.2" customHeight="1">
      <c r="A130" s="2051"/>
      <c r="B130" s="2056"/>
      <c r="C130" s="1997" t="s">
        <v>230</v>
      </c>
      <c r="D130" s="2057"/>
      <c r="E130" s="2058"/>
      <c r="F130" s="2059"/>
      <c r="G130" s="2059"/>
      <c r="H130" s="2063">
        <v>1</v>
      </c>
      <c r="I130" s="2058">
        <v>50</v>
      </c>
      <c r="J130" s="2058">
        <f>ROUND(H130*I130,2)</f>
        <v>50</v>
      </c>
    </row>
    <row r="131" spans="1:10" ht="20.2" customHeight="1">
      <c r="A131" s="2051"/>
      <c r="B131" s="2056"/>
      <c r="D131" s="2057"/>
      <c r="E131" s="2058"/>
      <c r="F131" s="2059"/>
      <c r="G131" s="2059"/>
      <c r="H131" s="2059"/>
      <c r="I131" s="2058"/>
      <c r="J131" s="2058">
        <f>SUM(J125:J130)</f>
        <v>3358.4500000000003</v>
      </c>
    </row>
    <row r="132" spans="1:10" s="2020" customFormat="1" ht="20.2" customHeight="1">
      <c r="A132" s="2051"/>
      <c r="B132" s="2070"/>
      <c r="C132" s="1997" t="s">
        <v>1600</v>
      </c>
      <c r="D132" s="2071"/>
      <c r="E132" s="2069"/>
      <c r="F132" s="2072"/>
      <c r="G132" s="2072"/>
      <c r="H132" s="2072">
        <f>J131</f>
        <v>3358.4500000000003</v>
      </c>
      <c r="I132" s="2069">
        <f>I6</f>
        <v>0</v>
      </c>
      <c r="J132" s="2058">
        <f>ROUND(H132*I132,2)</f>
        <v>0</v>
      </c>
    </row>
    <row r="133" spans="1:10" s="2030" customFormat="1" ht="20.2" customHeight="1">
      <c r="A133" s="2051" t="s">
        <v>542</v>
      </c>
      <c r="B133" s="2073"/>
      <c r="C133" s="2023" t="s">
        <v>1295</v>
      </c>
      <c r="D133" s="2074"/>
      <c r="E133" s="2075"/>
      <c r="F133" s="2076"/>
      <c r="G133" s="2076"/>
      <c r="H133" s="2076"/>
      <c r="I133" s="2075" t="s">
        <v>1486</v>
      </c>
      <c r="J133" s="2075">
        <f>SUM(J131:J132)</f>
        <v>3358.4500000000003</v>
      </c>
    </row>
    <row r="134" spans="1:10" s="2030" customFormat="1" ht="42.7" customHeight="1">
      <c r="A134" s="2051"/>
      <c r="B134" s="2073"/>
      <c r="C134" s="2023" t="s">
        <v>1296</v>
      </c>
      <c r="D134" s="2074"/>
      <c r="E134" s="2075"/>
      <c r="F134" s="2076"/>
      <c r="G134" s="2076"/>
      <c r="H134" s="2076"/>
      <c r="I134" s="2075" t="s">
        <v>1486</v>
      </c>
      <c r="J134" s="2075">
        <f>J122-J133</f>
        <v>8227.8370560000003</v>
      </c>
    </row>
    <row r="135" spans="1:10" ht="147.25" hidden="1" customHeight="1">
      <c r="A135" s="2051"/>
      <c r="B135" s="2052">
        <v>5</v>
      </c>
      <c r="C135" s="2632" t="s">
        <v>1828</v>
      </c>
      <c r="D135" s="2633"/>
      <c r="E135" s="2633"/>
      <c r="F135" s="2633"/>
      <c r="G135" s="2633"/>
      <c r="H135" s="2633"/>
      <c r="I135" s="2634"/>
      <c r="J135" s="2058"/>
    </row>
    <row r="136" spans="1:10" hidden="1">
      <c r="A136" s="2051"/>
      <c r="B136" s="2056"/>
      <c r="C136" s="2014" t="s">
        <v>1297</v>
      </c>
      <c r="D136" s="2071"/>
      <c r="E136" s="2069"/>
      <c r="F136" s="2059"/>
      <c r="G136" s="2059"/>
      <c r="H136" s="2059"/>
      <c r="I136" s="2058"/>
      <c r="J136" s="2058"/>
    </row>
    <row r="137" spans="1:10" hidden="1">
      <c r="A137" s="2051"/>
      <c r="B137" s="2056"/>
      <c r="C137" s="1997" t="s">
        <v>779</v>
      </c>
      <c r="D137" s="2057"/>
      <c r="E137" s="2058"/>
      <c r="F137" s="2059"/>
      <c r="G137" s="2059"/>
      <c r="H137" s="2059"/>
      <c r="I137" s="2058"/>
      <c r="J137" s="2058"/>
    </row>
    <row r="138" spans="1:10" ht="20.2" hidden="1" customHeight="1">
      <c r="A138" s="2051"/>
      <c r="B138" s="2056"/>
      <c r="C138" s="1997" t="s">
        <v>780</v>
      </c>
      <c r="D138" s="2057">
        <v>2</v>
      </c>
      <c r="E138" s="2058">
        <v>2.1</v>
      </c>
      <c r="F138" s="2059">
        <v>0.1</v>
      </c>
      <c r="G138" s="2059">
        <v>7.4999999999999997E-2</v>
      </c>
      <c r="H138" s="2059">
        <f>ROUND(D138*E138*F138*G138,3)</f>
        <v>3.2000000000000001E-2</v>
      </c>
      <c r="I138" s="2058">
        <f>I103</f>
        <v>54224</v>
      </c>
      <c r="J138" s="2058">
        <f t="shared" ref="J138:J143" si="11">ROUND(H138*I138,2)</f>
        <v>1735.17</v>
      </c>
    </row>
    <row r="139" spans="1:10" ht="20.2" hidden="1" customHeight="1">
      <c r="A139" s="2051"/>
      <c r="B139" s="2056"/>
      <c r="C139" s="1997" t="s">
        <v>781</v>
      </c>
      <c r="D139" s="2057">
        <v>1</v>
      </c>
      <c r="E139" s="2058">
        <v>1.35</v>
      </c>
      <c r="F139" s="2059">
        <v>0.1</v>
      </c>
      <c r="G139" s="2059">
        <v>7.4999999999999997E-2</v>
      </c>
      <c r="H139" s="2059">
        <f>ROUND(D139*E139*F139*G139,3)</f>
        <v>0.01</v>
      </c>
      <c r="I139" s="2058">
        <f>I103</f>
        <v>54224</v>
      </c>
      <c r="J139" s="2058">
        <f t="shared" si="11"/>
        <v>542.24</v>
      </c>
    </row>
    <row r="140" spans="1:10" ht="20.2" hidden="1" customHeight="1">
      <c r="A140" s="2051"/>
      <c r="B140" s="2056"/>
      <c r="C140" s="1997" t="s">
        <v>782</v>
      </c>
      <c r="D140" s="2057">
        <v>4</v>
      </c>
      <c r="E140" s="2058">
        <f>(2.1-1*0.075-0.075)+1*0.015</f>
        <v>1.9649999999999999</v>
      </c>
      <c r="F140" s="2059">
        <v>0.1</v>
      </c>
      <c r="G140" s="2059">
        <f>1.25*25.4/1000</f>
        <v>3.175E-2</v>
      </c>
      <c r="H140" s="2059">
        <f>ROUND(D140*E140*F140*G140,3)</f>
        <v>2.5000000000000001E-2</v>
      </c>
      <c r="I140" s="2058">
        <f>I105</f>
        <v>72298</v>
      </c>
      <c r="J140" s="2058">
        <f t="shared" si="11"/>
        <v>1807.45</v>
      </c>
    </row>
    <row r="141" spans="1:10" ht="20.2" hidden="1" customHeight="1">
      <c r="A141" s="2051"/>
      <c r="B141" s="2056"/>
      <c r="C141" s="1997" t="s">
        <v>783</v>
      </c>
      <c r="D141" s="2057" t="s">
        <v>791</v>
      </c>
      <c r="E141" s="2058">
        <f>(1.2-2*0.075+2*0.015)/2</f>
        <v>0.54</v>
      </c>
      <c r="F141" s="2059">
        <v>0.1</v>
      </c>
      <c r="G141" s="2059">
        <f>1.25*25.4/1000</f>
        <v>3.175E-2</v>
      </c>
      <c r="H141" s="2059">
        <f>ROUND(12*E141*F141*G141,3)</f>
        <v>2.1000000000000001E-2</v>
      </c>
      <c r="I141" s="2058">
        <f>I106</f>
        <v>72298</v>
      </c>
      <c r="J141" s="2058">
        <f t="shared" si="11"/>
        <v>1518.26</v>
      </c>
    </row>
    <row r="142" spans="1:10" ht="20.2" hidden="1" customHeight="1">
      <c r="A142" s="2051"/>
      <c r="B142" s="2056"/>
      <c r="C142" s="1997" t="s">
        <v>1481</v>
      </c>
      <c r="D142" s="2057" t="s">
        <v>792</v>
      </c>
      <c r="E142" s="2058">
        <f>(1.2-2*0.075+2*0.015)/2-2*0.1+2*0.025</f>
        <v>0.39</v>
      </c>
      <c r="F142" s="2059">
        <f>(2.1-2*0.075+1*0.015-6*0.1)/5+2*0.025</f>
        <v>0.32300000000000001</v>
      </c>
      <c r="G142" s="2059">
        <v>2.5000000000000001E-2</v>
      </c>
      <c r="H142" s="2059">
        <f>ROUND(10*E142*F142*G142,3)</f>
        <v>3.1E-2</v>
      </c>
      <c r="I142" s="2058">
        <f>I141</f>
        <v>72298</v>
      </c>
      <c r="J142" s="2058">
        <f t="shared" si="11"/>
        <v>2241.2399999999998</v>
      </c>
    </row>
    <row r="143" spans="1:10" ht="20.2" hidden="1" customHeight="1">
      <c r="A143" s="2051"/>
      <c r="B143" s="2056"/>
      <c r="C143" s="1997" t="s">
        <v>1482</v>
      </c>
      <c r="D143" s="2057"/>
      <c r="E143" s="2058"/>
      <c r="F143" s="2059"/>
      <c r="G143" s="2059"/>
      <c r="H143" s="2059">
        <f>SUM(H138:H142)</f>
        <v>0.11900000000000001</v>
      </c>
      <c r="I143" s="2060">
        <f>G25</f>
        <v>19572.5</v>
      </c>
      <c r="J143" s="2058">
        <f t="shared" si="11"/>
        <v>2329.13</v>
      </c>
    </row>
    <row r="144" spans="1:10" ht="30.6" hidden="1">
      <c r="A144" s="2051" t="s">
        <v>787</v>
      </c>
      <c r="B144" s="2032"/>
      <c r="C144" s="1997" t="s">
        <v>788</v>
      </c>
      <c r="D144" s="2057"/>
      <c r="E144" s="2058"/>
      <c r="F144" s="2059"/>
      <c r="G144" s="2061"/>
      <c r="H144" s="2061"/>
      <c r="I144" s="2058"/>
      <c r="J144" s="2058"/>
    </row>
    <row r="145" spans="1:10" ht="20.2" hidden="1" customHeight="1">
      <c r="A145" s="2051"/>
      <c r="B145" s="2032"/>
      <c r="C145" s="2081" t="s">
        <v>911</v>
      </c>
      <c r="D145" s="2057" t="s">
        <v>1035</v>
      </c>
      <c r="E145" s="2058" t="s">
        <v>1617</v>
      </c>
      <c r="F145" s="2059"/>
      <c r="G145" s="2059"/>
      <c r="H145" s="2063">
        <v>2</v>
      </c>
      <c r="I145" s="2058">
        <f t="shared" ref="I145:I153" si="12">I109</f>
        <v>83</v>
      </c>
      <c r="J145" s="2058">
        <f t="shared" ref="J145:J153" si="13">ROUND(H145*I145,2)</f>
        <v>166</v>
      </c>
    </row>
    <row r="146" spans="1:10" ht="20.2" hidden="1" customHeight="1">
      <c r="A146" s="2051"/>
      <c r="B146" s="2032"/>
      <c r="C146" s="2081" t="s">
        <v>912</v>
      </c>
      <c r="D146" s="2057" t="s">
        <v>1035</v>
      </c>
      <c r="E146" s="2058" t="s">
        <v>1618</v>
      </c>
      <c r="F146" s="2059"/>
      <c r="G146" s="2059"/>
      <c r="H146" s="2063">
        <v>1</v>
      </c>
      <c r="I146" s="2058">
        <f t="shared" si="12"/>
        <v>44</v>
      </c>
      <c r="J146" s="2058">
        <f t="shared" si="13"/>
        <v>44</v>
      </c>
    </row>
    <row r="147" spans="1:10" ht="20.2" hidden="1" customHeight="1">
      <c r="A147" s="2051"/>
      <c r="B147" s="2032"/>
      <c r="C147" s="2080" t="s">
        <v>913</v>
      </c>
      <c r="D147" s="2057" t="s">
        <v>1035</v>
      </c>
      <c r="E147" s="2058" t="s">
        <v>1619</v>
      </c>
      <c r="F147" s="2059"/>
      <c r="G147" s="2059"/>
      <c r="H147" s="2063">
        <v>6</v>
      </c>
      <c r="I147" s="2058">
        <f t="shared" si="12"/>
        <v>40</v>
      </c>
      <c r="J147" s="2058">
        <f t="shared" si="13"/>
        <v>240</v>
      </c>
    </row>
    <row r="148" spans="1:10" ht="20.2" hidden="1" customHeight="1">
      <c r="A148" s="2051"/>
      <c r="B148" s="2032"/>
      <c r="C148" s="2081" t="s">
        <v>914</v>
      </c>
      <c r="D148" s="2057" t="s">
        <v>1035</v>
      </c>
      <c r="E148" s="2058" t="s">
        <v>1918</v>
      </c>
      <c r="F148" s="2059"/>
      <c r="G148" s="2059"/>
      <c r="H148" s="2063">
        <v>1</v>
      </c>
      <c r="I148" s="2058">
        <f t="shared" si="12"/>
        <v>198</v>
      </c>
      <c r="J148" s="2058">
        <f t="shared" si="13"/>
        <v>198</v>
      </c>
    </row>
    <row r="149" spans="1:10" ht="20.2" hidden="1" customHeight="1">
      <c r="A149" s="2051"/>
      <c r="B149" s="2032"/>
      <c r="C149" s="2081" t="s">
        <v>296</v>
      </c>
      <c r="D149" s="2057" t="s">
        <v>1035</v>
      </c>
      <c r="E149" s="2058" t="s">
        <v>1919</v>
      </c>
      <c r="F149" s="2059"/>
      <c r="G149" s="2059"/>
      <c r="H149" s="2063">
        <v>2</v>
      </c>
      <c r="I149" s="2058">
        <f t="shared" si="12"/>
        <v>56</v>
      </c>
      <c r="J149" s="2058">
        <f t="shared" si="13"/>
        <v>112</v>
      </c>
    </row>
    <row r="150" spans="1:10" ht="20.2" hidden="1" customHeight="1">
      <c r="A150" s="2051"/>
      <c r="B150" s="2032"/>
      <c r="C150" s="1997" t="s">
        <v>420</v>
      </c>
      <c r="D150" s="2057" t="s">
        <v>1035</v>
      </c>
      <c r="E150" s="2058" t="s">
        <v>1649</v>
      </c>
      <c r="F150" s="2059"/>
      <c r="G150" s="2059"/>
      <c r="H150" s="2063">
        <v>3</v>
      </c>
      <c r="I150" s="2058">
        <f t="shared" si="12"/>
        <v>40</v>
      </c>
      <c r="J150" s="2058">
        <f t="shared" si="13"/>
        <v>120</v>
      </c>
    </row>
    <row r="151" spans="1:10" ht="20.2" hidden="1" customHeight="1">
      <c r="A151" s="2051"/>
      <c r="B151" s="2032"/>
      <c r="C151" s="2081" t="s">
        <v>799</v>
      </c>
      <c r="D151" s="2057" t="s">
        <v>1035</v>
      </c>
      <c r="E151" s="2058" t="s">
        <v>1826</v>
      </c>
      <c r="F151" s="2059"/>
      <c r="G151" s="2059"/>
      <c r="H151" s="2063">
        <v>80</v>
      </c>
      <c r="I151" s="2058">
        <f t="shared" si="12"/>
        <v>7</v>
      </c>
      <c r="J151" s="2058">
        <f t="shared" si="13"/>
        <v>560</v>
      </c>
    </row>
    <row r="152" spans="1:10" ht="20.2" hidden="1" customHeight="1">
      <c r="A152" s="2051"/>
      <c r="B152" s="2032"/>
      <c r="C152" s="2081" t="s">
        <v>231</v>
      </c>
      <c r="D152" s="2057" t="s">
        <v>1035</v>
      </c>
      <c r="E152" s="2058" t="s">
        <v>1920</v>
      </c>
      <c r="F152" s="2059"/>
      <c r="G152" s="2059"/>
      <c r="H152" s="2063">
        <v>10</v>
      </c>
      <c r="I152" s="2058">
        <f t="shared" si="12"/>
        <v>22</v>
      </c>
      <c r="J152" s="2058">
        <f t="shared" si="13"/>
        <v>220</v>
      </c>
    </row>
    <row r="153" spans="1:10" ht="20.2" hidden="1" customHeight="1">
      <c r="A153" s="2051"/>
      <c r="B153" s="2067"/>
      <c r="C153" s="2081" t="s">
        <v>1598</v>
      </c>
      <c r="D153" s="2057" t="s">
        <v>1035</v>
      </c>
      <c r="E153" s="2068" t="s">
        <v>1651</v>
      </c>
      <c r="F153" s="2059"/>
      <c r="G153" s="2059"/>
      <c r="H153" s="2063">
        <v>6</v>
      </c>
      <c r="I153" s="2058">
        <f t="shared" si="12"/>
        <v>41</v>
      </c>
      <c r="J153" s="2058">
        <f t="shared" si="13"/>
        <v>246</v>
      </c>
    </row>
    <row r="154" spans="1:10" ht="20.2" hidden="1" customHeight="1">
      <c r="A154" s="2051"/>
      <c r="B154" s="2056"/>
      <c r="C154" s="1997" t="s">
        <v>1484</v>
      </c>
      <c r="D154" s="2057">
        <v>2.25</v>
      </c>
      <c r="E154" s="2058">
        <v>1.2</v>
      </c>
      <c r="F154" s="2059"/>
      <c r="G154" s="2058">
        <v>2.1</v>
      </c>
      <c r="H154" s="2059">
        <f>ROUND(G154*E154*D154,2)</f>
        <v>5.67</v>
      </c>
      <c r="I154" s="2066">
        <f>G15</f>
        <v>670.23599999999999</v>
      </c>
      <c r="J154" s="2058">
        <f>H154*I154/10</f>
        <v>380.02381200000002</v>
      </c>
    </row>
    <row r="155" spans="1:10" ht="20.2" hidden="1" customHeight="1">
      <c r="A155" s="2051"/>
      <c r="B155" s="2056"/>
      <c r="C155" s="1997" t="s">
        <v>230</v>
      </c>
      <c r="D155" s="2057"/>
      <c r="E155" s="2058"/>
      <c r="F155" s="2059"/>
      <c r="G155" s="2059"/>
      <c r="H155" s="2063">
        <v>1</v>
      </c>
      <c r="I155" s="2058">
        <v>75</v>
      </c>
      <c r="J155" s="2058">
        <f>ROUND(H155*I155,2)</f>
        <v>75</v>
      </c>
    </row>
    <row r="156" spans="1:10" ht="20.2" hidden="1" customHeight="1">
      <c r="A156" s="2051"/>
      <c r="B156" s="2056"/>
      <c r="D156" s="2057"/>
      <c r="E156" s="2058"/>
      <c r="F156" s="2059"/>
      <c r="G156" s="2059"/>
      <c r="H156" s="2059"/>
      <c r="I156" s="2058"/>
      <c r="J156" s="2058">
        <f>SUM(J138:J155)</f>
        <v>12534.513811999999</v>
      </c>
    </row>
    <row r="157" spans="1:10" s="2020" customFormat="1" ht="20.2" hidden="1" customHeight="1">
      <c r="A157" s="2051"/>
      <c r="B157" s="2070"/>
      <c r="C157" s="1997" t="s">
        <v>1600</v>
      </c>
      <c r="D157" s="2071"/>
      <c r="E157" s="2069"/>
      <c r="F157" s="2072"/>
      <c r="G157" s="2072"/>
      <c r="H157" s="2072">
        <f>J156</f>
        <v>12534.513811999999</v>
      </c>
      <c r="I157" s="2069">
        <f>I6</f>
        <v>0</v>
      </c>
      <c r="J157" s="2069">
        <f>ROUND(H157*I157,2)</f>
        <v>0</v>
      </c>
    </row>
    <row r="158" spans="1:10" s="2020" customFormat="1" ht="20.2" hidden="1" customHeight="1">
      <c r="A158" s="2051"/>
      <c r="B158" s="2073"/>
      <c r="C158" s="2023" t="s">
        <v>256</v>
      </c>
      <c r="D158" s="2074"/>
      <c r="E158" s="2075"/>
      <c r="F158" s="2076"/>
      <c r="G158" s="2076"/>
      <c r="H158" s="2076"/>
      <c r="I158" s="2075" t="s">
        <v>416</v>
      </c>
      <c r="J158" s="2075">
        <f>SUM(J156:J157)</f>
        <v>12534.513811999999</v>
      </c>
    </row>
    <row r="159" spans="1:10" ht="25.2" hidden="1">
      <c r="A159" s="2051"/>
      <c r="B159" s="2056"/>
      <c r="C159" s="2014" t="s">
        <v>1298</v>
      </c>
      <c r="D159" s="2071"/>
      <c r="E159" s="2069"/>
      <c r="F159" s="2059"/>
      <c r="G159" s="2059"/>
      <c r="H159" s="2059"/>
      <c r="I159" s="2058"/>
      <c r="J159" s="2058"/>
    </row>
    <row r="160" spans="1:10" hidden="1">
      <c r="A160" s="2051"/>
      <c r="B160" s="2056"/>
      <c r="C160" s="1997" t="s">
        <v>779</v>
      </c>
      <c r="D160" s="2057"/>
      <c r="E160" s="2058"/>
      <c r="F160" s="2059"/>
      <c r="G160" s="2059"/>
      <c r="H160" s="2059"/>
      <c r="I160" s="2058"/>
      <c r="J160" s="2058"/>
    </row>
    <row r="161" spans="1:10" ht="20.2" hidden="1" customHeight="1">
      <c r="A161" s="2051"/>
      <c r="B161" s="2056"/>
      <c r="C161" s="1997" t="s">
        <v>780</v>
      </c>
      <c r="D161" s="2057">
        <v>2</v>
      </c>
      <c r="E161" s="2058">
        <v>2.1</v>
      </c>
      <c r="F161" s="2059">
        <v>0.1</v>
      </c>
      <c r="G161" s="2059">
        <v>7.4999999999999997E-2</v>
      </c>
      <c r="H161" s="2059">
        <f>ROUND(D161*E161*F161*G161,3)</f>
        <v>3.2000000000000001E-2</v>
      </c>
      <c r="I161" s="2058">
        <f>I125</f>
        <v>54224</v>
      </c>
      <c r="J161" s="2059">
        <f>ROUND(H161*I161,2)</f>
        <v>1735.17</v>
      </c>
    </row>
    <row r="162" spans="1:10" ht="20.2" hidden="1" customHeight="1">
      <c r="A162" s="2051"/>
      <c r="B162" s="2056"/>
      <c r="C162" s="1997" t="s">
        <v>781</v>
      </c>
      <c r="D162" s="2057">
        <v>1</v>
      </c>
      <c r="E162" s="2058">
        <v>1.2</v>
      </c>
      <c r="F162" s="2059">
        <v>0.1</v>
      </c>
      <c r="G162" s="2059">
        <v>7.4999999999999997E-2</v>
      </c>
      <c r="H162" s="2059">
        <f>ROUND(D162*E162*F162*G162,3)</f>
        <v>8.9999999999999993E-3</v>
      </c>
      <c r="I162" s="2058">
        <f>I126</f>
        <v>54224</v>
      </c>
      <c r="J162" s="2059">
        <f>ROUND(H162*I162,2)</f>
        <v>488.02</v>
      </c>
    </row>
    <row r="163" spans="1:10" ht="20.2" hidden="1" customHeight="1">
      <c r="A163" s="2051"/>
      <c r="B163" s="2056"/>
      <c r="C163" s="1997" t="s">
        <v>1482</v>
      </c>
      <c r="D163" s="2057"/>
      <c r="E163" s="2058"/>
      <c r="F163" s="2059"/>
      <c r="G163" s="2059"/>
      <c r="H163" s="2059">
        <f>SUM(H161:H162)</f>
        <v>4.1000000000000002E-2</v>
      </c>
      <c r="I163" s="2060">
        <f>G25</f>
        <v>19572.5</v>
      </c>
      <c r="J163" s="2059">
        <f>ROUND(H163*I163,2)</f>
        <v>802.47</v>
      </c>
    </row>
    <row r="164" spans="1:10" ht="20.2" hidden="1" customHeight="1">
      <c r="A164" s="2051"/>
      <c r="B164" s="2056"/>
      <c r="C164" s="1997" t="s">
        <v>1484</v>
      </c>
      <c r="D164" s="2057" t="s">
        <v>539</v>
      </c>
      <c r="E164" s="2058">
        <v>1.2</v>
      </c>
      <c r="F164" s="2059"/>
      <c r="G164" s="2059">
        <v>2.1</v>
      </c>
      <c r="H164" s="2059">
        <f>ROUND(G164*E164*2.25/3,2)</f>
        <v>1.89</v>
      </c>
      <c r="I164" s="2066">
        <f>G15</f>
        <v>670.23599999999999</v>
      </c>
      <c r="J164" s="2058">
        <f>H164*I164/10</f>
        <v>126.674604</v>
      </c>
    </row>
    <row r="165" spans="1:10" ht="20.2" hidden="1" customHeight="1">
      <c r="A165" s="2051"/>
      <c r="B165" s="2067"/>
      <c r="C165" s="1997" t="s">
        <v>1598</v>
      </c>
      <c r="D165" s="2057"/>
      <c r="E165" s="2068" t="s">
        <v>1651</v>
      </c>
      <c r="F165" s="2059"/>
      <c r="G165" s="2059"/>
      <c r="H165" s="2063">
        <v>6</v>
      </c>
      <c r="I165" s="2058">
        <f>I153</f>
        <v>41</v>
      </c>
      <c r="J165" s="2058">
        <f>ROUND(H165*I165,2)</f>
        <v>246</v>
      </c>
    </row>
    <row r="166" spans="1:10" ht="20.2" hidden="1" customHeight="1">
      <c r="A166" s="2051"/>
      <c r="B166" s="2056"/>
      <c r="C166" s="1997" t="s">
        <v>230</v>
      </c>
      <c r="D166" s="2057"/>
      <c r="E166" s="2058"/>
      <c r="F166" s="2059"/>
      <c r="G166" s="2059"/>
      <c r="H166" s="2063">
        <v>1</v>
      </c>
      <c r="I166" s="2058">
        <v>50</v>
      </c>
      <c r="J166" s="2058">
        <f>H166*I166</f>
        <v>50</v>
      </c>
    </row>
    <row r="167" spans="1:10" ht="20.2" hidden="1" customHeight="1">
      <c r="A167" s="2051"/>
      <c r="B167" s="2056"/>
      <c r="D167" s="2057"/>
      <c r="E167" s="2058"/>
      <c r="F167" s="2059"/>
      <c r="G167" s="2059"/>
      <c r="H167" s="2059"/>
      <c r="I167" s="2058"/>
      <c r="J167" s="2058">
        <f>SUM(J161:J166)</f>
        <v>3448.3346039999997</v>
      </c>
    </row>
    <row r="168" spans="1:10" s="2020" customFormat="1" ht="20.2" hidden="1" customHeight="1">
      <c r="A168" s="2051"/>
      <c r="B168" s="2070"/>
      <c r="C168" s="1997" t="s">
        <v>1600</v>
      </c>
      <c r="D168" s="2071"/>
      <c r="E168" s="2069"/>
      <c r="F168" s="2072"/>
      <c r="G168" s="2072"/>
      <c r="H168" s="2072">
        <f>J167</f>
        <v>3448.3346039999997</v>
      </c>
      <c r="I168" s="2069">
        <f>+I6</f>
        <v>0</v>
      </c>
      <c r="J168" s="2069">
        <f>ROUND(H172*I172,2)</f>
        <v>0</v>
      </c>
    </row>
    <row r="169" spans="1:10" s="2030" customFormat="1" ht="20.2" hidden="1" customHeight="1">
      <c r="A169" s="2051" t="s">
        <v>542</v>
      </c>
      <c r="B169" s="2073"/>
      <c r="C169" s="2023" t="s">
        <v>1299</v>
      </c>
      <c r="D169" s="2074"/>
      <c r="E169" s="2075"/>
      <c r="F169" s="2076"/>
      <c r="G169" s="2076"/>
      <c r="H169" s="2076"/>
      <c r="I169" s="2075" t="s">
        <v>1486</v>
      </c>
      <c r="J169" s="2075">
        <f>J167</f>
        <v>3448.3346039999997</v>
      </c>
    </row>
    <row r="170" spans="1:10" s="2030" customFormat="1" ht="20.2" hidden="1" customHeight="1">
      <c r="A170" s="2051"/>
      <c r="B170" s="2073"/>
      <c r="C170" s="2023" t="s">
        <v>1300</v>
      </c>
      <c r="D170" s="2074"/>
      <c r="E170" s="2075"/>
      <c r="F170" s="2076"/>
      <c r="G170" s="2076"/>
      <c r="H170" s="2076"/>
      <c r="I170" s="2075" t="s">
        <v>1486</v>
      </c>
      <c r="J170" s="2075">
        <f>J158-J169</f>
        <v>9086.1792079999996</v>
      </c>
    </row>
    <row r="171" spans="1:10" ht="128.05000000000001" hidden="1" customHeight="1">
      <c r="A171" s="2051"/>
      <c r="B171" s="2038">
        <v>6</v>
      </c>
      <c r="C171" s="2632" t="s">
        <v>3523</v>
      </c>
      <c r="D171" s="2633"/>
      <c r="E171" s="2633"/>
      <c r="F171" s="2633"/>
      <c r="G171" s="2633"/>
      <c r="H171" s="2633"/>
      <c r="I171" s="2634"/>
      <c r="J171" s="2058"/>
    </row>
    <row r="172" spans="1:10" hidden="1">
      <c r="A172" s="2051"/>
      <c r="B172" s="2056"/>
      <c r="C172" s="2014" t="s">
        <v>1301</v>
      </c>
      <c r="D172" s="2071"/>
      <c r="E172" s="2069"/>
      <c r="F172" s="2059"/>
      <c r="G172" s="2059"/>
      <c r="H172" s="2059"/>
      <c r="I172" s="2058"/>
      <c r="J172" s="2058"/>
    </row>
    <row r="173" spans="1:10" hidden="1">
      <c r="A173" s="2051"/>
      <c r="B173" s="2056"/>
      <c r="C173" s="1997" t="s">
        <v>779</v>
      </c>
      <c r="D173" s="2057"/>
      <c r="E173" s="2058"/>
      <c r="F173" s="2059"/>
      <c r="G173" s="2059"/>
      <c r="H173" s="2059"/>
      <c r="I173" s="2058"/>
      <c r="J173" s="2058"/>
    </row>
    <row r="174" spans="1:10" ht="20.2" hidden="1" customHeight="1">
      <c r="A174" s="2051"/>
      <c r="B174" s="2056"/>
      <c r="C174" s="1997" t="s">
        <v>780</v>
      </c>
      <c r="D174" s="2057">
        <v>2</v>
      </c>
      <c r="E174" s="2058">
        <v>2.1</v>
      </c>
      <c r="F174" s="2059">
        <v>0.1</v>
      </c>
      <c r="G174" s="2059">
        <v>7.4999999999999997E-2</v>
      </c>
      <c r="H174" s="2059">
        <f>ROUND(D174*E174*F174*G174,3)</f>
        <v>3.2000000000000001E-2</v>
      </c>
      <c r="I174" s="2058">
        <f>I138</f>
        <v>54224</v>
      </c>
      <c r="J174" s="2058">
        <f t="shared" ref="J174:J179" si="14">ROUND(H174*I174,2)</f>
        <v>1735.17</v>
      </c>
    </row>
    <row r="175" spans="1:10" ht="20.2" hidden="1" customHeight="1">
      <c r="A175" s="2051"/>
      <c r="B175" s="2056"/>
      <c r="C175" s="1997" t="s">
        <v>781</v>
      </c>
      <c r="D175" s="2057">
        <v>1</v>
      </c>
      <c r="E175" s="2058">
        <v>1.65</v>
      </c>
      <c r="F175" s="2059">
        <v>0.1</v>
      </c>
      <c r="G175" s="2059">
        <v>7.4999999999999997E-2</v>
      </c>
      <c r="H175" s="2059">
        <f>ROUND(D175*E175*F175*G175,3)</f>
        <v>1.2E-2</v>
      </c>
      <c r="I175" s="2058">
        <f>I139</f>
        <v>54224</v>
      </c>
      <c r="J175" s="2058">
        <f t="shared" si="14"/>
        <v>650.69000000000005</v>
      </c>
    </row>
    <row r="176" spans="1:10" ht="20.2" hidden="1" customHeight="1">
      <c r="A176" s="2051"/>
      <c r="B176" s="2056"/>
      <c r="C176" s="1997" t="s">
        <v>782</v>
      </c>
      <c r="D176" s="2057">
        <v>4</v>
      </c>
      <c r="E176" s="2058">
        <f>(2.1-1*0.075-0.075)+1*0.015</f>
        <v>1.9649999999999999</v>
      </c>
      <c r="F176" s="2059">
        <v>0.1</v>
      </c>
      <c r="G176" s="2059">
        <f>1.25*25.4/1000</f>
        <v>3.175E-2</v>
      </c>
      <c r="H176" s="2059">
        <f>ROUND(D176*E176*F176*G176,3)</f>
        <v>2.5000000000000001E-2</v>
      </c>
      <c r="I176" s="2058">
        <f>I140</f>
        <v>72298</v>
      </c>
      <c r="J176" s="2058">
        <f t="shared" si="14"/>
        <v>1807.45</v>
      </c>
    </row>
    <row r="177" spans="1:10" ht="20.2" hidden="1" customHeight="1">
      <c r="A177" s="2051"/>
      <c r="B177" s="2056"/>
      <c r="C177" s="1997" t="s">
        <v>783</v>
      </c>
      <c r="D177" s="2057" t="s">
        <v>791</v>
      </c>
      <c r="E177" s="2058">
        <f>(1.5-2*0.075+2*0.015)/2</f>
        <v>0.69000000000000006</v>
      </c>
      <c r="F177" s="2059">
        <v>0.1</v>
      </c>
      <c r="G177" s="2059">
        <f>1.25*25.4/1000</f>
        <v>3.175E-2</v>
      </c>
      <c r="H177" s="2059">
        <f>ROUND(12*E177*F177*G177,3)</f>
        <v>2.5999999999999999E-2</v>
      </c>
      <c r="I177" s="2058">
        <f>I141</f>
        <v>72298</v>
      </c>
      <c r="J177" s="2058">
        <f t="shared" si="14"/>
        <v>1879.75</v>
      </c>
    </row>
    <row r="178" spans="1:10" ht="20.2" hidden="1" customHeight="1">
      <c r="A178" s="2051"/>
      <c r="B178" s="2056"/>
      <c r="C178" s="1997" t="s">
        <v>1481</v>
      </c>
      <c r="D178" s="2057" t="s">
        <v>792</v>
      </c>
      <c r="E178" s="2058">
        <f>(1.5-2*0.075+2*0.015)/2-2*0.1+2*0.025</f>
        <v>0.54</v>
      </c>
      <c r="F178" s="2059">
        <f>(2.1-2*0.075+1*0.015-6*0.1)/5+2*0.025</f>
        <v>0.32300000000000001</v>
      </c>
      <c r="G178" s="2059">
        <v>2.5000000000000001E-2</v>
      </c>
      <c r="H178" s="2059">
        <f>ROUND(10*E178*F178*G178,3)</f>
        <v>4.3999999999999997E-2</v>
      </c>
      <c r="I178" s="2058">
        <f>I142</f>
        <v>72298</v>
      </c>
      <c r="J178" s="2058">
        <f t="shared" si="14"/>
        <v>3181.11</v>
      </c>
    </row>
    <row r="179" spans="1:10" ht="20.2" hidden="1" customHeight="1">
      <c r="A179" s="2051"/>
      <c r="B179" s="2056"/>
      <c r="C179" s="1997" t="s">
        <v>1482</v>
      </c>
      <c r="D179" s="2057"/>
      <c r="E179" s="2058"/>
      <c r="F179" s="2059"/>
      <c r="G179" s="2059"/>
      <c r="H179" s="2059">
        <f>SUM(H174:H178)</f>
        <v>0.13900000000000001</v>
      </c>
      <c r="I179" s="2060">
        <f>G25</f>
        <v>19572.5</v>
      </c>
      <c r="J179" s="2058">
        <f t="shared" si="14"/>
        <v>2720.58</v>
      </c>
    </row>
    <row r="180" spans="1:10" ht="30.6" hidden="1">
      <c r="A180" s="2051" t="s">
        <v>787</v>
      </c>
      <c r="B180" s="2032"/>
      <c r="C180" s="1997" t="s">
        <v>788</v>
      </c>
      <c r="D180" s="2057"/>
      <c r="E180" s="2058"/>
      <c r="F180" s="2059"/>
      <c r="G180" s="2061"/>
      <c r="H180" s="2061"/>
      <c r="I180" s="2058"/>
      <c r="J180" s="2058"/>
    </row>
    <row r="181" spans="1:10" ht="20.2" hidden="1" customHeight="1">
      <c r="A181" s="2051"/>
      <c r="B181" s="2032"/>
      <c r="C181" s="2081" t="s">
        <v>911</v>
      </c>
      <c r="D181" s="2057" t="s">
        <v>1035</v>
      </c>
      <c r="E181" s="2058" t="s">
        <v>1617</v>
      </c>
      <c r="F181" s="2059"/>
      <c r="G181" s="2059"/>
      <c r="H181" s="2063">
        <v>2</v>
      </c>
      <c r="I181" s="2058">
        <f t="shared" ref="I181:I189" si="15">I145</f>
        <v>83</v>
      </c>
      <c r="J181" s="2058">
        <f t="shared" ref="J181:J189" si="16">ROUND(H181*I181,2)</f>
        <v>166</v>
      </c>
    </row>
    <row r="182" spans="1:10" ht="20.2" hidden="1" customHeight="1">
      <c r="A182" s="2051"/>
      <c r="B182" s="2032"/>
      <c r="C182" s="2081" t="s">
        <v>912</v>
      </c>
      <c r="D182" s="2057" t="s">
        <v>1035</v>
      </c>
      <c r="E182" s="2058" t="s">
        <v>1618</v>
      </c>
      <c r="F182" s="2059"/>
      <c r="G182" s="2059"/>
      <c r="H182" s="2063">
        <v>1</v>
      </c>
      <c r="I182" s="2058">
        <f t="shared" si="15"/>
        <v>44</v>
      </c>
      <c r="J182" s="2058">
        <f t="shared" si="16"/>
        <v>44</v>
      </c>
    </row>
    <row r="183" spans="1:10" ht="20.2" hidden="1" customHeight="1">
      <c r="A183" s="2051"/>
      <c r="B183" s="2032"/>
      <c r="C183" s="2080" t="s">
        <v>913</v>
      </c>
      <c r="D183" s="2057" t="s">
        <v>1035</v>
      </c>
      <c r="E183" s="2058" t="s">
        <v>1619</v>
      </c>
      <c r="F183" s="2059"/>
      <c r="G183" s="2059"/>
      <c r="H183" s="2063">
        <v>6</v>
      </c>
      <c r="I183" s="2058">
        <f t="shared" si="15"/>
        <v>40</v>
      </c>
      <c r="J183" s="2058">
        <f t="shared" si="16"/>
        <v>240</v>
      </c>
    </row>
    <row r="184" spans="1:10" ht="20.2" hidden="1" customHeight="1">
      <c r="A184" s="2051"/>
      <c r="B184" s="2032"/>
      <c r="C184" s="2081" t="s">
        <v>914</v>
      </c>
      <c r="D184" s="2057" t="s">
        <v>1035</v>
      </c>
      <c r="E184" s="2058" t="s">
        <v>1918</v>
      </c>
      <c r="F184" s="2059"/>
      <c r="G184" s="2059"/>
      <c r="H184" s="2063">
        <v>1</v>
      </c>
      <c r="I184" s="2058">
        <f t="shared" si="15"/>
        <v>198</v>
      </c>
      <c r="J184" s="2058">
        <f t="shared" si="16"/>
        <v>198</v>
      </c>
    </row>
    <row r="185" spans="1:10" ht="20.2" hidden="1" customHeight="1">
      <c r="A185" s="2051"/>
      <c r="B185" s="2032"/>
      <c r="C185" s="2081" t="s">
        <v>296</v>
      </c>
      <c r="D185" s="2057" t="s">
        <v>1035</v>
      </c>
      <c r="E185" s="2058" t="s">
        <v>1919</v>
      </c>
      <c r="F185" s="2059"/>
      <c r="G185" s="2059"/>
      <c r="H185" s="2063">
        <v>2</v>
      </c>
      <c r="I185" s="2058">
        <f t="shared" si="15"/>
        <v>56</v>
      </c>
      <c r="J185" s="2058">
        <f t="shared" si="16"/>
        <v>112</v>
      </c>
    </row>
    <row r="186" spans="1:10" ht="20.2" hidden="1" customHeight="1">
      <c r="A186" s="2051"/>
      <c r="B186" s="2032"/>
      <c r="C186" s="1997" t="s">
        <v>420</v>
      </c>
      <c r="D186" s="2057" t="s">
        <v>1035</v>
      </c>
      <c r="E186" s="2058" t="s">
        <v>1649</v>
      </c>
      <c r="F186" s="2059"/>
      <c r="G186" s="2059"/>
      <c r="H186" s="2063">
        <v>3</v>
      </c>
      <c r="I186" s="2058">
        <f t="shared" si="15"/>
        <v>40</v>
      </c>
      <c r="J186" s="2058">
        <f t="shared" si="16"/>
        <v>120</v>
      </c>
    </row>
    <row r="187" spans="1:10" ht="20.2" hidden="1" customHeight="1">
      <c r="A187" s="2051"/>
      <c r="B187" s="2032"/>
      <c r="C187" s="2081" t="s">
        <v>799</v>
      </c>
      <c r="D187" s="2057" t="s">
        <v>1035</v>
      </c>
      <c r="E187" s="2058" t="s">
        <v>1826</v>
      </c>
      <c r="F187" s="2059"/>
      <c r="G187" s="2059"/>
      <c r="H187" s="2063">
        <v>80</v>
      </c>
      <c r="I187" s="2058">
        <f t="shared" si="15"/>
        <v>7</v>
      </c>
      <c r="J187" s="2058">
        <f t="shared" si="16"/>
        <v>560</v>
      </c>
    </row>
    <row r="188" spans="1:10" ht="20.2" hidden="1" customHeight="1">
      <c r="A188" s="2051"/>
      <c r="B188" s="2032"/>
      <c r="C188" s="2081" t="s">
        <v>231</v>
      </c>
      <c r="D188" s="2057" t="s">
        <v>1035</v>
      </c>
      <c r="E188" s="2058" t="s">
        <v>1920</v>
      </c>
      <c r="F188" s="2059"/>
      <c r="G188" s="2059"/>
      <c r="H188" s="2063">
        <v>10</v>
      </c>
      <c r="I188" s="2058">
        <f t="shared" si="15"/>
        <v>22</v>
      </c>
      <c r="J188" s="2058">
        <f t="shared" si="16"/>
        <v>220</v>
      </c>
    </row>
    <row r="189" spans="1:10" ht="20.2" hidden="1" customHeight="1">
      <c r="A189" s="2051"/>
      <c r="B189" s="2067"/>
      <c r="C189" s="2081" t="s">
        <v>1598</v>
      </c>
      <c r="D189" s="2057" t="s">
        <v>1035</v>
      </c>
      <c r="E189" s="2068" t="s">
        <v>1651</v>
      </c>
      <c r="F189" s="2059"/>
      <c r="G189" s="2059"/>
      <c r="H189" s="2063">
        <v>6</v>
      </c>
      <c r="I189" s="2058">
        <f t="shared" si="15"/>
        <v>41</v>
      </c>
      <c r="J189" s="2058">
        <f t="shared" si="16"/>
        <v>246</v>
      </c>
    </row>
    <row r="190" spans="1:10" ht="20.2" hidden="1" customHeight="1">
      <c r="A190" s="2051"/>
      <c r="B190" s="2056"/>
      <c r="C190" s="1997" t="s">
        <v>1484</v>
      </c>
      <c r="D190" s="2057">
        <v>2.25</v>
      </c>
      <c r="E190" s="2058">
        <v>1.5</v>
      </c>
      <c r="F190" s="2059"/>
      <c r="G190" s="2058">
        <v>2.1</v>
      </c>
      <c r="H190" s="2059">
        <f>ROUND(G190*E190*2.25,2)</f>
        <v>7.09</v>
      </c>
      <c r="I190" s="2066">
        <f>G15</f>
        <v>670.23599999999999</v>
      </c>
      <c r="J190" s="2058">
        <f>H190*I190/10</f>
        <v>475.19732400000004</v>
      </c>
    </row>
    <row r="191" spans="1:10" ht="20.2" hidden="1" customHeight="1">
      <c r="A191" s="2051"/>
      <c r="B191" s="2056"/>
      <c r="C191" s="1997" t="s">
        <v>230</v>
      </c>
      <c r="D191" s="2057"/>
      <c r="E191" s="2058"/>
      <c r="F191" s="2059"/>
      <c r="G191" s="2059"/>
      <c r="H191" s="2063">
        <v>1</v>
      </c>
      <c r="I191" s="2058">
        <v>100</v>
      </c>
      <c r="J191" s="2058">
        <f>H191*I191</f>
        <v>100</v>
      </c>
    </row>
    <row r="192" spans="1:10" ht="20.2" hidden="1" customHeight="1">
      <c r="A192" s="2051"/>
      <c r="B192" s="2056"/>
      <c r="D192" s="2057"/>
      <c r="E192" s="2058"/>
      <c r="F192" s="2059"/>
      <c r="G192" s="2059"/>
      <c r="H192" s="2059"/>
      <c r="I192" s="2058"/>
      <c r="J192" s="2058">
        <f>SUM(J174:J191)</f>
        <v>14455.947324000001</v>
      </c>
    </row>
    <row r="193" spans="1:10" s="2020" customFormat="1" ht="20.2" hidden="1" customHeight="1">
      <c r="A193" s="2051"/>
      <c r="B193" s="2070"/>
      <c r="C193" s="1997" t="s">
        <v>1600</v>
      </c>
      <c r="D193" s="2071"/>
      <c r="E193" s="2069"/>
      <c r="F193" s="2072"/>
      <c r="G193" s="2072"/>
      <c r="H193" s="2072">
        <f>J192</f>
        <v>14455.947324000001</v>
      </c>
      <c r="I193" s="2069">
        <f>I6</f>
        <v>0</v>
      </c>
      <c r="J193" s="2069">
        <f>ROUND(H193*I193,2)</f>
        <v>0</v>
      </c>
    </row>
    <row r="194" spans="1:10" s="2030" customFormat="1" ht="20.2" hidden="1" customHeight="1">
      <c r="A194" s="2051" t="s">
        <v>1302</v>
      </c>
      <c r="B194" s="2073"/>
      <c r="C194" s="2086" t="s">
        <v>256</v>
      </c>
      <c r="D194" s="2074"/>
      <c r="E194" s="2075"/>
      <c r="F194" s="2076"/>
      <c r="G194" s="2076"/>
      <c r="H194" s="2076"/>
      <c r="I194" s="2075" t="s">
        <v>416</v>
      </c>
      <c r="J194" s="2075">
        <f>SUM(J192:J193)</f>
        <v>14455.947324000001</v>
      </c>
    </row>
    <row r="195" spans="1:10" ht="25.2" hidden="1">
      <c r="A195" s="2051"/>
      <c r="B195" s="2056"/>
      <c r="C195" s="2014" t="s">
        <v>1303</v>
      </c>
      <c r="D195" s="2071"/>
      <c r="E195" s="2069"/>
      <c r="F195" s="2059"/>
      <c r="G195" s="2059"/>
      <c r="H195" s="2059"/>
      <c r="I195" s="2058"/>
      <c r="J195" s="2058"/>
    </row>
    <row r="196" spans="1:10" hidden="1">
      <c r="A196" s="2051"/>
      <c r="B196" s="2056"/>
      <c r="C196" s="1997" t="s">
        <v>779</v>
      </c>
      <c r="D196" s="2057"/>
      <c r="E196" s="2058"/>
      <c r="F196" s="2059"/>
      <c r="G196" s="2059"/>
      <c r="H196" s="2059"/>
      <c r="I196" s="2058"/>
      <c r="J196" s="2058"/>
    </row>
    <row r="197" spans="1:10" ht="20.2" hidden="1" customHeight="1">
      <c r="A197" s="2051"/>
      <c r="B197" s="2056"/>
      <c r="C197" s="1997" t="s">
        <v>780</v>
      </c>
      <c r="D197" s="2057">
        <v>2</v>
      </c>
      <c r="E197" s="2058">
        <v>2.1</v>
      </c>
      <c r="F197" s="2059">
        <v>0.1</v>
      </c>
      <c r="G197" s="2059">
        <v>7.4999999999999997E-2</v>
      </c>
      <c r="H197" s="2059">
        <f>ROUND(D197*E197*F197*G197,3)</f>
        <v>3.2000000000000001E-2</v>
      </c>
      <c r="I197" s="2058">
        <f>I161</f>
        <v>54224</v>
      </c>
      <c r="J197" s="2058">
        <f>ROUND(H197*I197,2)</f>
        <v>1735.17</v>
      </c>
    </row>
    <row r="198" spans="1:10" ht="20.2" hidden="1" customHeight="1">
      <c r="A198" s="2051"/>
      <c r="B198" s="2056"/>
      <c r="C198" s="1997" t="s">
        <v>781</v>
      </c>
      <c r="D198" s="2057">
        <v>1</v>
      </c>
      <c r="E198" s="2058">
        <v>1.65</v>
      </c>
      <c r="F198" s="2059">
        <v>0.1</v>
      </c>
      <c r="G198" s="2059">
        <v>7.4999999999999997E-2</v>
      </c>
      <c r="H198" s="2059">
        <f>ROUND(D198*E198*F198*G198,3)</f>
        <v>1.2E-2</v>
      </c>
      <c r="I198" s="2058">
        <f>I162</f>
        <v>54224</v>
      </c>
      <c r="J198" s="2058">
        <f>ROUND(H198*I198,2)</f>
        <v>650.69000000000005</v>
      </c>
    </row>
    <row r="199" spans="1:10" ht="20.2" hidden="1" customHeight="1">
      <c r="A199" s="2051"/>
      <c r="B199" s="2056"/>
      <c r="C199" s="1997" t="s">
        <v>1482</v>
      </c>
      <c r="D199" s="2057"/>
      <c r="E199" s="2058"/>
      <c r="F199" s="2059"/>
      <c r="G199" s="2059"/>
      <c r="H199" s="2059">
        <f>SUM(H197:H198)</f>
        <v>4.3999999999999997E-2</v>
      </c>
      <c r="I199" s="2060">
        <f>G25</f>
        <v>19572.5</v>
      </c>
      <c r="J199" s="2058">
        <f>ROUND(H199*I199,2)</f>
        <v>861.19</v>
      </c>
    </row>
    <row r="200" spans="1:10" ht="20.2" hidden="1" customHeight="1">
      <c r="A200" s="2051"/>
      <c r="B200" s="2067"/>
      <c r="C200" s="1997" t="s">
        <v>1598</v>
      </c>
      <c r="D200" s="2057" t="s">
        <v>1035</v>
      </c>
      <c r="E200" s="2068" t="s">
        <v>1651</v>
      </c>
      <c r="F200" s="2059"/>
      <c r="G200" s="2059"/>
      <c r="H200" s="2063">
        <v>6</v>
      </c>
      <c r="I200" s="2058">
        <f>I189</f>
        <v>41</v>
      </c>
      <c r="J200" s="2058">
        <f>ROUND(H200*I200,2)</f>
        <v>246</v>
      </c>
    </row>
    <row r="201" spans="1:10" ht="20.2" hidden="1" customHeight="1">
      <c r="A201" s="2051"/>
      <c r="B201" s="2056"/>
      <c r="C201" s="1997" t="s">
        <v>1484</v>
      </c>
      <c r="D201" s="2057" t="s">
        <v>539</v>
      </c>
      <c r="E201" s="2058">
        <v>1.5</v>
      </c>
      <c r="F201" s="2059"/>
      <c r="G201" s="2058">
        <v>2.1</v>
      </c>
      <c r="H201" s="2059">
        <f>ROUND(G201*E201*2.25/3,2)</f>
        <v>2.36</v>
      </c>
      <c r="I201" s="2066">
        <f>G15</f>
        <v>670.23599999999999</v>
      </c>
      <c r="J201" s="2058">
        <f>H201*I201/10</f>
        <v>158.17569599999999</v>
      </c>
    </row>
    <row r="202" spans="1:10" ht="20.2" hidden="1" customHeight="1">
      <c r="A202" s="2051"/>
      <c r="B202" s="2056"/>
      <c r="C202" s="1997" t="s">
        <v>230</v>
      </c>
      <c r="D202" s="2057"/>
      <c r="E202" s="2058"/>
      <c r="F202" s="2059"/>
      <c r="G202" s="2059"/>
      <c r="H202" s="2063">
        <v>1</v>
      </c>
      <c r="I202" s="2058">
        <v>60</v>
      </c>
      <c r="J202" s="2058">
        <f>H202*I202</f>
        <v>60</v>
      </c>
    </row>
    <row r="203" spans="1:10" ht="20.2" hidden="1" customHeight="1">
      <c r="A203" s="2051"/>
      <c r="B203" s="2056"/>
      <c r="D203" s="2057"/>
      <c r="E203" s="2058"/>
      <c r="F203" s="2059"/>
      <c r="G203" s="2059"/>
      <c r="H203" s="2059"/>
      <c r="I203" s="2058"/>
      <c r="J203" s="2058">
        <f>SUM(J197:J202)</f>
        <v>3711.225696</v>
      </c>
    </row>
    <row r="204" spans="1:10" s="2020" customFormat="1" ht="20.2" hidden="1" customHeight="1">
      <c r="A204" s="2051"/>
      <c r="B204" s="2070"/>
      <c r="C204" s="1997" t="s">
        <v>1600</v>
      </c>
      <c r="D204" s="2071"/>
      <c r="E204" s="2069"/>
      <c r="F204" s="2072"/>
      <c r="G204" s="2072"/>
      <c r="H204" s="2072">
        <f>J203</f>
        <v>3711.225696</v>
      </c>
      <c r="I204" s="2069">
        <f>I6</f>
        <v>0</v>
      </c>
      <c r="J204" s="2069">
        <f>ROUND(H204*I204,2)</f>
        <v>0</v>
      </c>
    </row>
    <row r="205" spans="1:10" s="2030" customFormat="1" ht="20.2" hidden="1" customHeight="1">
      <c r="A205" s="2051" t="s">
        <v>1302</v>
      </c>
      <c r="B205" s="2073"/>
      <c r="C205" s="2023" t="s">
        <v>1304</v>
      </c>
      <c r="D205" s="2074"/>
      <c r="E205" s="2075"/>
      <c r="F205" s="2076"/>
      <c r="G205" s="2076"/>
      <c r="H205" s="2076"/>
      <c r="I205" s="2075" t="s">
        <v>1486</v>
      </c>
      <c r="J205" s="2075">
        <f>SUM(J203:J204)</f>
        <v>3711.225696</v>
      </c>
    </row>
    <row r="206" spans="1:10" s="2030" customFormat="1" ht="20.2" hidden="1" customHeight="1">
      <c r="A206" s="2051"/>
      <c r="B206" s="2073"/>
      <c r="C206" s="2023" t="s">
        <v>1305</v>
      </c>
      <c r="D206" s="2074"/>
      <c r="E206" s="2075"/>
      <c r="F206" s="2076"/>
      <c r="G206" s="2076"/>
      <c r="H206" s="2076"/>
      <c r="I206" s="2075" t="s">
        <v>1486</v>
      </c>
      <c r="J206" s="2075">
        <f>J194-J205</f>
        <v>10744.721628000001</v>
      </c>
    </row>
    <row r="207" spans="1:10" ht="70" hidden="1" customHeight="1">
      <c r="A207" s="2051"/>
      <c r="B207" s="2052">
        <v>7</v>
      </c>
      <c r="C207" s="2629" t="s">
        <v>1829</v>
      </c>
      <c r="D207" s="2630"/>
      <c r="E207" s="2630"/>
      <c r="F207" s="2630"/>
      <c r="G207" s="2630"/>
      <c r="H207" s="2630"/>
      <c r="I207" s="2631"/>
      <c r="J207" s="2087"/>
    </row>
    <row r="208" spans="1:10" hidden="1">
      <c r="A208" s="2051"/>
      <c r="B208" s="2056"/>
      <c r="C208" s="2014" t="s">
        <v>1096</v>
      </c>
      <c r="D208" s="2057"/>
      <c r="E208" s="2058"/>
      <c r="F208" s="2059"/>
      <c r="G208" s="2059"/>
      <c r="H208" s="2059"/>
      <c r="I208" s="2058"/>
      <c r="J208" s="2058"/>
    </row>
    <row r="209" spans="1:10" hidden="1">
      <c r="A209" s="2051"/>
      <c r="B209" s="2056"/>
      <c r="C209" s="1997" t="s">
        <v>848</v>
      </c>
      <c r="D209" s="2057"/>
      <c r="E209" s="2058"/>
      <c r="F209" s="2059"/>
      <c r="G209" s="2059"/>
      <c r="H209" s="2059"/>
      <c r="I209" s="2058"/>
      <c r="J209" s="2058"/>
    </row>
    <row r="210" spans="1:10" ht="20.2" hidden="1" customHeight="1">
      <c r="A210" s="2051"/>
      <c r="B210" s="2056"/>
      <c r="C210" s="1997" t="s">
        <v>780</v>
      </c>
      <c r="D210" s="2057">
        <v>3</v>
      </c>
      <c r="E210" s="2058">
        <v>1.35</v>
      </c>
      <c r="F210" s="2059">
        <v>0.1</v>
      </c>
      <c r="G210" s="2059">
        <v>7.4999999999999997E-2</v>
      </c>
      <c r="H210" s="2059">
        <f>ROUND(D210*E210*F210*G210,3)</f>
        <v>0.03</v>
      </c>
      <c r="I210" s="2058">
        <f>I174</f>
        <v>54224</v>
      </c>
      <c r="J210" s="2058">
        <f t="shared" ref="J210:J215" si="17">ROUND(H210*I210,2)</f>
        <v>1626.72</v>
      </c>
    </row>
    <row r="211" spans="1:10" ht="20.2" hidden="1" customHeight="1">
      <c r="A211" s="2051"/>
      <c r="B211" s="2056"/>
      <c r="C211" s="1997" t="s">
        <v>781</v>
      </c>
      <c r="D211" s="2057">
        <v>2</v>
      </c>
      <c r="E211" s="2058">
        <v>1.05</v>
      </c>
      <c r="F211" s="2059">
        <v>0.1</v>
      </c>
      <c r="G211" s="2059">
        <v>7.4999999999999997E-2</v>
      </c>
      <c r="H211" s="2059">
        <f>ROUND(D211*E211*F211*G211,3)</f>
        <v>1.6E-2</v>
      </c>
      <c r="I211" s="2058">
        <f>I175</f>
        <v>54224</v>
      </c>
      <c r="J211" s="2058">
        <f t="shared" si="17"/>
        <v>867.58</v>
      </c>
    </row>
    <row r="212" spans="1:10" ht="20.2" hidden="1" customHeight="1">
      <c r="A212" s="2051"/>
      <c r="B212" s="2056"/>
      <c r="C212" s="1997" t="s">
        <v>782</v>
      </c>
      <c r="D212" s="2057" t="s">
        <v>234</v>
      </c>
      <c r="E212" s="2088">
        <f>(1.35-2*0.075+2*0.015)</f>
        <v>1.2300000000000002</v>
      </c>
      <c r="F212" s="2059">
        <v>7.4999999999999997E-2</v>
      </c>
      <c r="G212" s="2059">
        <f>1.25*25.4/1000</f>
        <v>3.175E-2</v>
      </c>
      <c r="H212" s="2059">
        <f>ROUND(4*E212*F212*G212,3)</f>
        <v>1.2E-2</v>
      </c>
      <c r="I212" s="2058">
        <f>I176</f>
        <v>72298</v>
      </c>
      <c r="J212" s="2058">
        <f t="shared" si="17"/>
        <v>867.58</v>
      </c>
    </row>
    <row r="213" spans="1:10" ht="20.2" hidden="1" customHeight="1">
      <c r="A213" s="2051"/>
      <c r="B213" s="2056"/>
      <c r="C213" s="1997" t="s">
        <v>783</v>
      </c>
      <c r="D213" s="2057" t="s">
        <v>235</v>
      </c>
      <c r="E213" s="2058">
        <f>(0.9-3*0.075+4*0.015)/2</f>
        <v>0.36750000000000005</v>
      </c>
      <c r="F213" s="2059">
        <v>7.4999999999999997E-2</v>
      </c>
      <c r="G213" s="2059">
        <f>1.25*25.4/1000</f>
        <v>3.175E-2</v>
      </c>
      <c r="H213" s="2059">
        <f>ROUND(6*E213*F213*G213,3)</f>
        <v>5.0000000000000001E-3</v>
      </c>
      <c r="I213" s="2058">
        <f>I177</f>
        <v>72298</v>
      </c>
      <c r="J213" s="2058">
        <f t="shared" si="17"/>
        <v>361.49</v>
      </c>
    </row>
    <row r="214" spans="1:10" ht="20.2" hidden="1" customHeight="1">
      <c r="A214" s="2051"/>
      <c r="B214" s="2056"/>
      <c r="C214" s="1997" t="s">
        <v>1481</v>
      </c>
      <c r="D214" s="2057" t="s">
        <v>236</v>
      </c>
      <c r="E214" s="2058">
        <f>(0.9-3*0.075+4*0.015)/2-2*0.075+2*0.025</f>
        <v>0.26750000000000007</v>
      </c>
      <c r="F214" s="2059">
        <f>(1.35-2*0.075+2*0.015-3*0.075)/2+2*0.025</f>
        <v>0.55250000000000021</v>
      </c>
      <c r="G214" s="2059">
        <v>2.5000000000000001E-2</v>
      </c>
      <c r="H214" s="2059">
        <f>ROUND(4*E214*F214*G214,3)</f>
        <v>1.4999999999999999E-2</v>
      </c>
      <c r="I214" s="2058">
        <f>I178</f>
        <v>72298</v>
      </c>
      <c r="J214" s="2058">
        <f t="shared" si="17"/>
        <v>1084.47</v>
      </c>
    </row>
    <row r="215" spans="1:10" ht="20.2" hidden="1" customHeight="1">
      <c r="A215" s="2051"/>
      <c r="B215" s="2056"/>
      <c r="C215" s="1997" t="s">
        <v>1482</v>
      </c>
      <c r="D215" s="2057"/>
      <c r="E215" s="2058"/>
      <c r="F215" s="2059"/>
      <c r="G215" s="2059"/>
      <c r="H215" s="2059">
        <f>SUM(H210:H214)</f>
        <v>7.8E-2</v>
      </c>
      <c r="I215" s="2060">
        <f>G25</f>
        <v>19572.5</v>
      </c>
      <c r="J215" s="2058">
        <f t="shared" si="17"/>
        <v>1526.66</v>
      </c>
    </row>
    <row r="216" spans="1:10" ht="30.6" hidden="1">
      <c r="A216" s="2051" t="s">
        <v>787</v>
      </c>
      <c r="B216" s="2032"/>
      <c r="C216" s="1997" t="s">
        <v>788</v>
      </c>
      <c r="D216" s="2057"/>
      <c r="E216" s="2058"/>
      <c r="F216" s="2059"/>
      <c r="G216" s="2061"/>
      <c r="H216" s="2061"/>
      <c r="I216" s="2058"/>
      <c r="J216" s="2058"/>
    </row>
    <row r="217" spans="1:10" ht="20.2" hidden="1" customHeight="1">
      <c r="A217" s="2051"/>
      <c r="B217" s="2081"/>
      <c r="C217" s="2082" t="s">
        <v>915</v>
      </c>
      <c r="D217" s="2058" t="s">
        <v>1035</v>
      </c>
      <c r="E217" s="2059" t="s">
        <v>1618</v>
      </c>
      <c r="F217" s="2059"/>
      <c r="G217" s="2059"/>
      <c r="H217" s="2063">
        <v>2</v>
      </c>
      <c r="I217" s="2058">
        <v>42</v>
      </c>
      <c r="J217" s="2058">
        <f t="shared" ref="J217:J222" si="18">ROUND(H217*I217,2)</f>
        <v>84</v>
      </c>
    </row>
    <row r="218" spans="1:10" ht="20.2" hidden="1" customHeight="1">
      <c r="A218" s="2051"/>
      <c r="B218" s="2081"/>
      <c r="C218" s="2089" t="s">
        <v>916</v>
      </c>
      <c r="D218" s="2058" t="s">
        <v>1035</v>
      </c>
      <c r="E218" s="2059" t="s">
        <v>1618</v>
      </c>
      <c r="F218" s="2059"/>
      <c r="G218" s="2059"/>
      <c r="H218" s="2063">
        <v>2</v>
      </c>
      <c r="I218" s="2058">
        <f>I217</f>
        <v>42</v>
      </c>
      <c r="J218" s="2058">
        <f t="shared" si="18"/>
        <v>84</v>
      </c>
    </row>
    <row r="219" spans="1:10" ht="20.2" hidden="1" customHeight="1">
      <c r="A219" s="2051"/>
      <c r="B219" s="2081"/>
      <c r="C219" s="2090" t="s">
        <v>917</v>
      </c>
      <c r="D219" s="2058" t="s">
        <v>1035</v>
      </c>
      <c r="E219" s="2059" t="s">
        <v>1984</v>
      </c>
      <c r="F219" s="2059"/>
      <c r="G219" s="2059"/>
      <c r="H219" s="2063">
        <v>4</v>
      </c>
      <c r="I219" s="2058">
        <v>27</v>
      </c>
      <c r="J219" s="2058">
        <f t="shared" si="18"/>
        <v>108</v>
      </c>
    </row>
    <row r="220" spans="1:10" ht="20.2" hidden="1" customHeight="1">
      <c r="A220" s="2051"/>
      <c r="B220" s="2081"/>
      <c r="C220" s="2082" t="s">
        <v>918</v>
      </c>
      <c r="D220" s="2058" t="s">
        <v>1035</v>
      </c>
      <c r="E220" s="2059" t="s">
        <v>1985</v>
      </c>
      <c r="F220" s="2059"/>
      <c r="G220" s="2059"/>
      <c r="H220" s="2063">
        <v>2</v>
      </c>
      <c r="I220" s="2058">
        <v>256</v>
      </c>
      <c r="J220" s="2058">
        <f t="shared" si="18"/>
        <v>512</v>
      </c>
    </row>
    <row r="221" spans="1:10" ht="20.2" hidden="1" customHeight="1">
      <c r="A221" s="2051"/>
      <c r="B221" s="2081"/>
      <c r="C221" s="2082" t="s">
        <v>799</v>
      </c>
      <c r="D221" s="2058" t="s">
        <v>1035</v>
      </c>
      <c r="E221" s="2058" t="s">
        <v>1826</v>
      </c>
      <c r="F221" s="2059"/>
      <c r="G221" s="2059"/>
      <c r="H221" s="2063">
        <v>60</v>
      </c>
      <c r="I221" s="2058">
        <f>I187</f>
        <v>7</v>
      </c>
      <c r="J221" s="2058">
        <f t="shared" si="18"/>
        <v>420</v>
      </c>
    </row>
    <row r="222" spans="1:10" ht="20.2" hidden="1" customHeight="1">
      <c r="A222" s="2051"/>
      <c r="B222" s="2081"/>
      <c r="C222" s="2082" t="s">
        <v>1598</v>
      </c>
      <c r="D222" s="2058" t="s">
        <v>1035</v>
      </c>
      <c r="E222" s="2068" t="s">
        <v>1651</v>
      </c>
      <c r="F222" s="2059"/>
      <c r="G222" s="2059"/>
      <c r="H222" s="2063">
        <v>4</v>
      </c>
      <c r="I222" s="2058">
        <f>I189</f>
        <v>41</v>
      </c>
      <c r="J222" s="2058">
        <f t="shared" si="18"/>
        <v>164</v>
      </c>
    </row>
    <row r="223" spans="1:10" ht="20.2" hidden="1" customHeight="1">
      <c r="A223" s="2051"/>
      <c r="B223" s="2081"/>
      <c r="C223" s="2082" t="s">
        <v>1484</v>
      </c>
      <c r="D223" s="2058">
        <v>2.75</v>
      </c>
      <c r="E223" s="2059">
        <v>0.9</v>
      </c>
      <c r="F223" s="2059"/>
      <c r="G223" s="2058">
        <v>1.35</v>
      </c>
      <c r="H223" s="2059">
        <f>ROUND(G223*E223*D223,2)</f>
        <v>3.34</v>
      </c>
      <c r="I223" s="2058">
        <f>G15</f>
        <v>670.23599999999999</v>
      </c>
      <c r="J223" s="2058">
        <f>ROUND(H223*I223/10,2)</f>
        <v>223.86</v>
      </c>
    </row>
    <row r="224" spans="1:10" s="2091" customFormat="1" ht="20.2" hidden="1" customHeight="1">
      <c r="A224" s="2051"/>
      <c r="B224" s="2081"/>
      <c r="C224" s="2082" t="s">
        <v>1306</v>
      </c>
      <c r="D224" s="2058" t="s">
        <v>246</v>
      </c>
      <c r="E224" s="2059">
        <v>0.9</v>
      </c>
      <c r="F224" s="2059">
        <f>E224*10</f>
        <v>9</v>
      </c>
      <c r="G224" s="2058">
        <v>1.1299999999999999</v>
      </c>
      <c r="H224" s="2059">
        <f>G224*F224</f>
        <v>10.169999999999998</v>
      </c>
      <c r="I224" s="2058">
        <f>'Lead- Input sheet '!R10/1000</f>
        <v>69.62</v>
      </c>
      <c r="J224" s="2058">
        <f>H224*I224</f>
        <v>708.03539999999987</v>
      </c>
    </row>
    <row r="225" spans="1:10" ht="20.2" hidden="1" customHeight="1">
      <c r="A225" s="2051"/>
      <c r="B225" s="2081"/>
      <c r="C225" s="2082" t="s">
        <v>230</v>
      </c>
      <c r="D225" s="2058"/>
      <c r="E225" s="2059"/>
      <c r="F225" s="2059"/>
      <c r="G225" s="2059"/>
      <c r="H225" s="2063">
        <v>1</v>
      </c>
      <c r="I225" s="2058">
        <v>100</v>
      </c>
      <c r="J225" s="2058">
        <f>H225*I225</f>
        <v>100</v>
      </c>
    </row>
    <row r="226" spans="1:10" ht="20.2" hidden="1" customHeight="1">
      <c r="A226" s="2051"/>
      <c r="B226" s="2056"/>
      <c r="D226" s="2057"/>
      <c r="E226" s="2058"/>
      <c r="F226" s="2059"/>
      <c r="G226" s="2059"/>
      <c r="H226" s="2059"/>
      <c r="I226" s="2058"/>
      <c r="J226" s="2058">
        <f>SUM(J210:J225)</f>
        <v>8738.3953999999994</v>
      </c>
    </row>
    <row r="227" spans="1:10" s="2020" customFormat="1" ht="20.2" hidden="1" customHeight="1">
      <c r="A227" s="2051"/>
      <c r="B227" s="2070"/>
      <c r="C227" s="1997" t="s">
        <v>1600</v>
      </c>
      <c r="D227" s="2071"/>
      <c r="E227" s="2069"/>
      <c r="F227" s="2072"/>
      <c r="G227" s="2072"/>
      <c r="H227" s="2072">
        <f>J226</f>
        <v>8738.3953999999994</v>
      </c>
      <c r="I227" s="2069">
        <f>I6</f>
        <v>0</v>
      </c>
      <c r="J227" s="2069">
        <f>ROUND(H227*I227,2)</f>
        <v>0</v>
      </c>
    </row>
    <row r="228" spans="1:10" s="2020" customFormat="1" ht="20.2" hidden="1" customHeight="1">
      <c r="A228" s="2051"/>
      <c r="B228" s="2073"/>
      <c r="C228" s="2023" t="s">
        <v>256</v>
      </c>
      <c r="D228" s="2074"/>
      <c r="E228" s="2075"/>
      <c r="F228" s="2076"/>
      <c r="G228" s="2076"/>
      <c r="H228" s="2076"/>
      <c r="I228" s="2075" t="s">
        <v>416</v>
      </c>
      <c r="J228" s="2075">
        <f>SUM(J226:J227)</f>
        <v>8738.3953999999994</v>
      </c>
    </row>
    <row r="229" spans="1:10" ht="25.2" hidden="1">
      <c r="A229" s="2051"/>
      <c r="B229" s="2056"/>
      <c r="C229" s="2014" t="s">
        <v>1307</v>
      </c>
      <c r="D229" s="2057"/>
      <c r="E229" s="2058"/>
      <c r="F229" s="2059"/>
      <c r="G229" s="2059"/>
      <c r="H229" s="2059"/>
      <c r="I229" s="2058"/>
      <c r="J229" s="2058"/>
    </row>
    <row r="230" spans="1:10" hidden="1">
      <c r="A230" s="2051"/>
      <c r="B230" s="2056"/>
      <c r="C230" s="1997" t="s">
        <v>848</v>
      </c>
      <c r="D230" s="2057"/>
      <c r="E230" s="2058"/>
      <c r="F230" s="2059"/>
      <c r="G230" s="2059"/>
      <c r="H230" s="2059"/>
      <c r="I230" s="2058"/>
      <c r="J230" s="2058"/>
    </row>
    <row r="231" spans="1:10" ht="20.2" hidden="1" customHeight="1">
      <c r="A231" s="2051"/>
      <c r="B231" s="2056"/>
      <c r="C231" s="1997" t="s">
        <v>780</v>
      </c>
      <c r="D231" s="2057">
        <v>3</v>
      </c>
      <c r="E231" s="2058">
        <v>1.35</v>
      </c>
      <c r="F231" s="2059">
        <v>0.1</v>
      </c>
      <c r="G231" s="2059">
        <v>7.4999999999999997E-2</v>
      </c>
      <c r="H231" s="2059">
        <f>ROUND(D231*E231*F231*G231,3)</f>
        <v>0.03</v>
      </c>
      <c r="I231" s="2058">
        <f>I197</f>
        <v>54224</v>
      </c>
      <c r="J231" s="2058">
        <f>ROUND(H231*I231,2)</f>
        <v>1626.72</v>
      </c>
    </row>
    <row r="232" spans="1:10" ht="20.2" hidden="1" customHeight="1">
      <c r="A232" s="2051"/>
      <c r="B232" s="2056"/>
      <c r="C232" s="1997" t="s">
        <v>781</v>
      </c>
      <c r="D232" s="2057">
        <v>2</v>
      </c>
      <c r="E232" s="2058">
        <v>1.05</v>
      </c>
      <c r="F232" s="2059">
        <v>0.1</v>
      </c>
      <c r="G232" s="2059">
        <v>7.4999999999999997E-2</v>
      </c>
      <c r="H232" s="2059">
        <f>ROUND(D232*E232*F232*G232,3)</f>
        <v>1.6E-2</v>
      </c>
      <c r="I232" s="2058">
        <f>I198</f>
        <v>54224</v>
      </c>
      <c r="J232" s="2058">
        <f>ROUND(H232*I232,2)</f>
        <v>867.58</v>
      </c>
    </row>
    <row r="233" spans="1:10" ht="20.2" hidden="1" customHeight="1">
      <c r="A233" s="2051"/>
      <c r="B233" s="2056"/>
      <c r="C233" s="1997" t="s">
        <v>1482</v>
      </c>
      <c r="D233" s="2057"/>
      <c r="E233" s="2058"/>
      <c r="F233" s="2059"/>
      <c r="G233" s="2059"/>
      <c r="H233" s="2059">
        <f>SUM(H231:H232)</f>
        <v>4.5999999999999999E-2</v>
      </c>
      <c r="I233" s="2060">
        <f>G25</f>
        <v>19572.5</v>
      </c>
      <c r="J233" s="2058">
        <f>ROUND(H233*I233,2)</f>
        <v>900.34</v>
      </c>
    </row>
    <row r="234" spans="1:10" ht="30.6" hidden="1">
      <c r="A234" s="2051" t="s">
        <v>787</v>
      </c>
      <c r="B234" s="2032"/>
      <c r="C234" s="1997" t="s">
        <v>788</v>
      </c>
      <c r="D234" s="2057"/>
      <c r="E234" s="2058"/>
      <c r="F234" s="2059"/>
      <c r="G234" s="2061"/>
      <c r="H234" s="2061"/>
      <c r="I234" s="2058"/>
      <c r="J234" s="2058"/>
    </row>
    <row r="235" spans="1:10" ht="20.2" hidden="1" customHeight="1">
      <c r="A235" s="2051"/>
      <c r="B235" s="2067"/>
      <c r="C235" s="1997" t="s">
        <v>1598</v>
      </c>
      <c r="D235" s="2058" t="s">
        <v>1035</v>
      </c>
      <c r="E235" s="2068" t="s">
        <v>1651</v>
      </c>
      <c r="F235" s="2059"/>
      <c r="G235" s="2059"/>
      <c r="H235" s="2063">
        <v>4</v>
      </c>
      <c r="I235" s="2058">
        <f>I222</f>
        <v>41</v>
      </c>
      <c r="J235" s="2058">
        <f>ROUND(H235*I235,2)</f>
        <v>164</v>
      </c>
    </row>
    <row r="236" spans="1:10" ht="20.2" hidden="1" customHeight="1">
      <c r="A236" s="2051"/>
      <c r="B236" s="2056"/>
      <c r="C236" s="1997" t="s">
        <v>1484</v>
      </c>
      <c r="D236" s="2057" t="s">
        <v>544</v>
      </c>
      <c r="E236" s="2058">
        <v>0.9</v>
      </c>
      <c r="F236" s="2059"/>
      <c r="G236" s="2058">
        <v>1.35</v>
      </c>
      <c r="H236" s="2059">
        <f>ROUND(G236*E236*2.75/3,2)</f>
        <v>1.1100000000000001</v>
      </c>
      <c r="I236" s="2066">
        <f>G15</f>
        <v>670.23599999999999</v>
      </c>
      <c r="J236" s="2058">
        <f>ROUND(H236*I236/10,2)</f>
        <v>74.400000000000006</v>
      </c>
    </row>
    <row r="237" spans="1:10" s="2091" customFormat="1" ht="20.2" hidden="1" customHeight="1">
      <c r="A237" s="2051"/>
      <c r="B237" s="2081"/>
      <c r="C237" s="2082" t="s">
        <v>1306</v>
      </c>
      <c r="D237" s="2058" t="s">
        <v>246</v>
      </c>
      <c r="E237" s="2059">
        <v>0.9</v>
      </c>
      <c r="F237" s="2058">
        <f>E237*10</f>
        <v>9</v>
      </c>
      <c r="G237" s="2058">
        <v>1.1299999999999999</v>
      </c>
      <c r="H237" s="2059">
        <f>G237*F237</f>
        <v>10.169999999999998</v>
      </c>
      <c r="I237" s="2058">
        <f>I224</f>
        <v>69.62</v>
      </c>
      <c r="J237" s="2058">
        <f>H237*I237</f>
        <v>708.03539999999987</v>
      </c>
    </row>
    <row r="238" spans="1:10" ht="20.2" hidden="1" customHeight="1">
      <c r="A238" s="2051"/>
      <c r="B238" s="2056"/>
      <c r="C238" s="1997" t="s">
        <v>230</v>
      </c>
      <c r="D238" s="2057"/>
      <c r="E238" s="2058"/>
      <c r="F238" s="2059"/>
      <c r="G238" s="2059"/>
      <c r="H238" s="2063">
        <v>1</v>
      </c>
      <c r="I238" s="2058">
        <v>50</v>
      </c>
      <c r="J238" s="2058">
        <f>ROUND(H238*I238,2)</f>
        <v>50</v>
      </c>
    </row>
    <row r="239" spans="1:10" ht="20.2" hidden="1" customHeight="1">
      <c r="A239" s="2051"/>
      <c r="B239" s="2056"/>
      <c r="D239" s="2057"/>
      <c r="E239" s="2058"/>
      <c r="F239" s="2059"/>
      <c r="G239" s="2059"/>
      <c r="H239" s="2059"/>
      <c r="I239" s="2058"/>
      <c r="J239" s="2058">
        <f>SUM(J231:J238)</f>
        <v>4391.0754000000006</v>
      </c>
    </row>
    <row r="240" spans="1:10" s="2020" customFormat="1" ht="20.2" hidden="1" customHeight="1">
      <c r="A240" s="2051"/>
      <c r="B240" s="2070"/>
      <c r="C240" s="1997" t="s">
        <v>1600</v>
      </c>
      <c r="D240" s="2071"/>
      <c r="E240" s="2069"/>
      <c r="F240" s="2072"/>
      <c r="G240" s="2072"/>
      <c r="H240" s="2072">
        <f>J239</f>
        <v>4391.0754000000006</v>
      </c>
      <c r="I240" s="2069">
        <f>I6</f>
        <v>0</v>
      </c>
      <c r="J240" s="2058">
        <f>ROUND(H240*I240,2)</f>
        <v>0</v>
      </c>
    </row>
    <row r="241" spans="1:10" s="2030" customFormat="1" ht="30.7" hidden="1" customHeight="1">
      <c r="A241" s="2051"/>
      <c r="B241" s="2073"/>
      <c r="C241" s="2084" t="s">
        <v>1308</v>
      </c>
      <c r="D241" s="2074"/>
      <c r="E241" s="2075"/>
      <c r="F241" s="2076"/>
      <c r="G241" s="2076"/>
      <c r="H241" s="2076"/>
      <c r="I241" s="2075" t="s">
        <v>416</v>
      </c>
      <c r="J241" s="2075">
        <f>SUM(J239:J240)</f>
        <v>4391.0754000000006</v>
      </c>
    </row>
    <row r="242" spans="1:10" s="2030" customFormat="1" ht="30.7" hidden="1" customHeight="1">
      <c r="A242" s="2051"/>
      <c r="B242" s="2073"/>
      <c r="C242" s="2084" t="s">
        <v>1309</v>
      </c>
      <c r="D242" s="2074"/>
      <c r="E242" s="2075"/>
      <c r="F242" s="2076"/>
      <c r="G242" s="2076"/>
      <c r="H242" s="2076"/>
      <c r="I242" s="2075" t="s">
        <v>416</v>
      </c>
      <c r="J242" s="2075">
        <f>J228-J241</f>
        <v>4347.3199999999988</v>
      </c>
    </row>
    <row r="243" spans="1:10" ht="65.5" hidden="1" customHeight="1">
      <c r="A243" s="2051"/>
      <c r="B243" s="2038">
        <v>8</v>
      </c>
      <c r="C243" s="2629" t="s">
        <v>1830</v>
      </c>
      <c r="D243" s="2630"/>
      <c r="E243" s="2630"/>
      <c r="F243" s="2630"/>
      <c r="G243" s="2630"/>
      <c r="H243" s="2630"/>
      <c r="I243" s="2631"/>
      <c r="J243" s="2058"/>
    </row>
    <row r="244" spans="1:10" ht="20.2" hidden="1" customHeight="1">
      <c r="A244" s="2051"/>
      <c r="B244" s="2056"/>
      <c r="C244" s="2014" t="s">
        <v>1310</v>
      </c>
      <c r="D244" s="2057"/>
      <c r="E244" s="2058"/>
      <c r="F244" s="2059"/>
      <c r="G244" s="2059"/>
      <c r="H244" s="2059"/>
      <c r="I244" s="2058"/>
      <c r="J244" s="2058"/>
    </row>
    <row r="245" spans="1:10" hidden="1">
      <c r="A245" s="2051"/>
      <c r="B245" s="2056"/>
      <c r="C245" s="1997" t="s">
        <v>848</v>
      </c>
      <c r="D245" s="2057"/>
      <c r="E245" s="2058"/>
      <c r="F245" s="2059"/>
      <c r="G245" s="2059"/>
      <c r="H245" s="2059"/>
      <c r="I245" s="2058"/>
      <c r="J245" s="2058"/>
    </row>
    <row r="246" spans="1:10" ht="20.2" hidden="1" customHeight="1">
      <c r="A246" s="2051"/>
      <c r="B246" s="2056"/>
      <c r="C246" s="1997" t="s">
        <v>780</v>
      </c>
      <c r="D246" s="2057">
        <v>4</v>
      </c>
      <c r="E246" s="2058">
        <v>1.35</v>
      </c>
      <c r="F246" s="2059">
        <v>0.1</v>
      </c>
      <c r="G246" s="2059">
        <v>7.4999999999999997E-2</v>
      </c>
      <c r="H246" s="2059">
        <f>ROUND(D246*E246*F246*G246,3)</f>
        <v>4.1000000000000002E-2</v>
      </c>
      <c r="I246" s="2058">
        <f>I210</f>
        <v>54224</v>
      </c>
      <c r="J246" s="2058">
        <f t="shared" ref="J246:J251" si="19">ROUND(H246*I246,2)</f>
        <v>2223.1799999999998</v>
      </c>
    </row>
    <row r="247" spans="1:10" ht="20.2" hidden="1" customHeight="1">
      <c r="A247" s="2051"/>
      <c r="B247" s="2056"/>
      <c r="C247" s="1997" t="s">
        <v>781</v>
      </c>
      <c r="D247" s="2057">
        <v>2</v>
      </c>
      <c r="E247" s="2058">
        <v>1.35</v>
      </c>
      <c r="F247" s="2059">
        <v>0.1</v>
      </c>
      <c r="G247" s="2059">
        <v>7.4999999999999997E-2</v>
      </c>
      <c r="H247" s="2059">
        <f>ROUND(D247*E247*F247*G247,3)</f>
        <v>0.02</v>
      </c>
      <c r="I247" s="2058">
        <f>I211</f>
        <v>54224</v>
      </c>
      <c r="J247" s="2058">
        <f t="shared" si="19"/>
        <v>1084.48</v>
      </c>
    </row>
    <row r="248" spans="1:10" ht="20.2" hidden="1" customHeight="1">
      <c r="A248" s="2051"/>
      <c r="B248" s="2056"/>
      <c r="C248" s="1997" t="s">
        <v>782</v>
      </c>
      <c r="D248" s="2057" t="s">
        <v>243</v>
      </c>
      <c r="E248" s="2088">
        <f>(1.35-2*0.075+2*0.015)</f>
        <v>1.2300000000000002</v>
      </c>
      <c r="F248" s="2059">
        <v>7.4999999999999997E-2</v>
      </c>
      <c r="G248" s="2059">
        <f>1.25*25.4/1000</f>
        <v>3.175E-2</v>
      </c>
      <c r="H248" s="2059">
        <f>ROUND(6*E248*F248*G248,3)</f>
        <v>1.7999999999999999E-2</v>
      </c>
      <c r="I248" s="2058">
        <f>I212</f>
        <v>72298</v>
      </c>
      <c r="J248" s="2058">
        <f t="shared" si="19"/>
        <v>1301.3599999999999</v>
      </c>
    </row>
    <row r="249" spans="1:10" ht="20.2" hidden="1" customHeight="1">
      <c r="A249" s="2051"/>
      <c r="B249" s="2056"/>
      <c r="C249" s="1997" t="s">
        <v>783</v>
      </c>
      <c r="D249" s="2057" t="s">
        <v>244</v>
      </c>
      <c r="E249" s="2058">
        <f>(1.2-3*0.075+4*0.015)/2</f>
        <v>0.51749999999999996</v>
      </c>
      <c r="F249" s="2059">
        <v>7.4999999999999997E-2</v>
      </c>
      <c r="G249" s="2059">
        <f>1.25*25.4/1000</f>
        <v>3.175E-2</v>
      </c>
      <c r="H249" s="2059">
        <f>ROUND(9*E249*F249*G249,3)</f>
        <v>1.0999999999999999E-2</v>
      </c>
      <c r="I249" s="2058">
        <f>I213</f>
        <v>72298</v>
      </c>
      <c r="J249" s="2058">
        <f t="shared" si="19"/>
        <v>795.28</v>
      </c>
    </row>
    <row r="250" spans="1:10" ht="20.2" hidden="1" customHeight="1">
      <c r="A250" s="2051"/>
      <c r="B250" s="2056"/>
      <c r="C250" s="1997" t="s">
        <v>1481</v>
      </c>
      <c r="D250" s="2057" t="s">
        <v>245</v>
      </c>
      <c r="E250" s="2058">
        <f>(1.2-4*0.075+6*0.015)/3-2*0.075+2*0.025</f>
        <v>0.22999999999999998</v>
      </c>
      <c r="F250" s="2059">
        <f>(1.35-2*0.075+2*0.015-3*0.075)/2+2*0.025</f>
        <v>0.55250000000000021</v>
      </c>
      <c r="G250" s="2059">
        <v>2.5000000000000001E-2</v>
      </c>
      <c r="H250" s="2059">
        <f>ROUND(6*E250*F250*G250,3)</f>
        <v>1.9E-2</v>
      </c>
      <c r="I250" s="2058">
        <f>I214</f>
        <v>72298</v>
      </c>
      <c r="J250" s="2058">
        <f t="shared" si="19"/>
        <v>1373.66</v>
      </c>
    </row>
    <row r="251" spans="1:10" ht="20.2" hidden="1" customHeight="1">
      <c r="A251" s="2051"/>
      <c r="B251" s="2056"/>
      <c r="C251" s="1997" t="s">
        <v>1482</v>
      </c>
      <c r="D251" s="2057"/>
      <c r="E251" s="2058"/>
      <c r="F251" s="2059"/>
      <c r="G251" s="2059"/>
      <c r="H251" s="2059">
        <f>SUM(H246:H250)</f>
        <v>0.109</v>
      </c>
      <c r="I251" s="2060">
        <f>G25</f>
        <v>19572.5</v>
      </c>
      <c r="J251" s="2058">
        <f t="shared" si="19"/>
        <v>2133.4</v>
      </c>
    </row>
    <row r="252" spans="1:10" ht="30.6" hidden="1">
      <c r="A252" s="2051" t="s">
        <v>787</v>
      </c>
      <c r="B252" s="2032"/>
      <c r="C252" s="1997" t="s">
        <v>788</v>
      </c>
      <c r="D252" s="2057"/>
      <c r="E252" s="2058"/>
      <c r="F252" s="2059"/>
      <c r="G252" s="2061"/>
      <c r="H252" s="2061"/>
      <c r="I252" s="2058"/>
      <c r="J252" s="2058"/>
    </row>
    <row r="253" spans="1:10" ht="20.2" hidden="1" customHeight="1">
      <c r="A253" s="2051"/>
      <c r="B253" s="2081"/>
      <c r="C253" s="2082" t="s">
        <v>915</v>
      </c>
      <c r="D253" s="2058" t="s">
        <v>1035</v>
      </c>
      <c r="E253" s="2059" t="s">
        <v>1624</v>
      </c>
      <c r="F253" s="2059"/>
      <c r="G253" s="2059"/>
      <c r="H253" s="2063">
        <v>3</v>
      </c>
      <c r="I253" s="2058">
        <f t="shared" ref="I253:I258" si="20">I217</f>
        <v>42</v>
      </c>
      <c r="J253" s="2058">
        <f t="shared" ref="J253:J258" si="21">ROUND(H253*I253,2)</f>
        <v>126</v>
      </c>
    </row>
    <row r="254" spans="1:10" ht="20.2" hidden="1" customHeight="1">
      <c r="A254" s="2051"/>
      <c r="B254" s="2081"/>
      <c r="C254" s="2089" t="s">
        <v>916</v>
      </c>
      <c r="D254" s="2058" t="s">
        <v>1035</v>
      </c>
      <c r="E254" s="2059" t="s">
        <v>1624</v>
      </c>
      <c r="F254" s="2059"/>
      <c r="G254" s="2059"/>
      <c r="H254" s="2063">
        <v>3</v>
      </c>
      <c r="I254" s="2058">
        <f t="shared" si="20"/>
        <v>42</v>
      </c>
      <c r="J254" s="2058">
        <f t="shared" si="21"/>
        <v>126</v>
      </c>
    </row>
    <row r="255" spans="1:10" ht="20.2" hidden="1" customHeight="1">
      <c r="A255" s="2051"/>
      <c r="B255" s="2081"/>
      <c r="C255" s="2090" t="s">
        <v>917</v>
      </c>
      <c r="D255" s="2058" t="s">
        <v>1035</v>
      </c>
      <c r="E255" s="2059" t="s">
        <v>1625</v>
      </c>
      <c r="F255" s="2059"/>
      <c r="G255" s="2059"/>
      <c r="H255" s="2063">
        <v>6</v>
      </c>
      <c r="I255" s="2058">
        <f t="shared" si="20"/>
        <v>27</v>
      </c>
      <c r="J255" s="2058">
        <f t="shared" si="21"/>
        <v>162</v>
      </c>
    </row>
    <row r="256" spans="1:10" ht="20.2" hidden="1" customHeight="1">
      <c r="A256" s="2051"/>
      <c r="B256" s="2081"/>
      <c r="C256" s="2082" t="s">
        <v>918</v>
      </c>
      <c r="D256" s="2058" t="s">
        <v>1035</v>
      </c>
      <c r="E256" s="2059" t="s">
        <v>1626</v>
      </c>
      <c r="F256" s="2059"/>
      <c r="G256" s="2059"/>
      <c r="H256" s="2063">
        <v>3</v>
      </c>
      <c r="I256" s="2058">
        <f t="shared" si="20"/>
        <v>256</v>
      </c>
      <c r="J256" s="2058">
        <f t="shared" si="21"/>
        <v>768</v>
      </c>
    </row>
    <row r="257" spans="1:10" ht="20.2" hidden="1" customHeight="1">
      <c r="A257" s="2051"/>
      <c r="B257" s="2081"/>
      <c r="C257" s="2082" t="s">
        <v>799</v>
      </c>
      <c r="D257" s="2058" t="s">
        <v>1035</v>
      </c>
      <c r="E257" s="2059" t="s">
        <v>1652</v>
      </c>
      <c r="F257" s="2059"/>
      <c r="G257" s="2059"/>
      <c r="H257" s="2063">
        <v>90</v>
      </c>
      <c r="I257" s="2058">
        <f t="shared" si="20"/>
        <v>7</v>
      </c>
      <c r="J257" s="2058">
        <f t="shared" si="21"/>
        <v>630</v>
      </c>
    </row>
    <row r="258" spans="1:10" ht="20.2" hidden="1" customHeight="1">
      <c r="A258" s="2051"/>
      <c r="B258" s="2081"/>
      <c r="C258" s="2082" t="s">
        <v>1598</v>
      </c>
      <c r="D258" s="2058" t="s">
        <v>1035</v>
      </c>
      <c r="E258" s="2068" t="s">
        <v>1651</v>
      </c>
      <c r="F258" s="2059"/>
      <c r="G258" s="2059"/>
      <c r="H258" s="2063">
        <v>4</v>
      </c>
      <c r="I258" s="2058">
        <f t="shared" si="20"/>
        <v>41</v>
      </c>
      <c r="J258" s="2058">
        <f t="shared" si="21"/>
        <v>164</v>
      </c>
    </row>
    <row r="259" spans="1:10" ht="20.2" hidden="1" customHeight="1">
      <c r="A259" s="2051"/>
      <c r="B259" s="2056"/>
      <c r="C259" s="1997" t="s">
        <v>1484</v>
      </c>
      <c r="D259" s="2057">
        <v>2.75</v>
      </c>
      <c r="E259" s="2058">
        <v>1.2</v>
      </c>
      <c r="F259" s="2059"/>
      <c r="G259" s="2058">
        <v>1.35</v>
      </c>
      <c r="H259" s="2059">
        <f>ROUND(G259*E259*D259,2)</f>
        <v>4.46</v>
      </c>
      <c r="I259" s="2066">
        <f>G15</f>
        <v>670.23599999999999</v>
      </c>
      <c r="J259" s="2058">
        <f>ROUND(H259*I259/10,2)</f>
        <v>298.93</v>
      </c>
    </row>
    <row r="260" spans="1:10" ht="20.2" hidden="1" customHeight="1">
      <c r="A260" s="2051"/>
      <c r="B260" s="2056"/>
      <c r="C260" s="2092" t="s">
        <v>1306</v>
      </c>
      <c r="D260" s="2057" t="s">
        <v>246</v>
      </c>
      <c r="E260" s="2058">
        <v>1.2</v>
      </c>
      <c r="F260" s="2059">
        <f>E260*10</f>
        <v>12</v>
      </c>
      <c r="G260" s="2058">
        <v>1.1299999999999999</v>
      </c>
      <c r="H260" s="2059">
        <f>G260*F260</f>
        <v>13.559999999999999</v>
      </c>
      <c r="I260" s="2060">
        <f>I224</f>
        <v>69.62</v>
      </c>
      <c r="J260" s="2058">
        <f>H260*I260</f>
        <v>944.04719999999998</v>
      </c>
    </row>
    <row r="261" spans="1:10" ht="20.2" hidden="1" customHeight="1">
      <c r="A261" s="2051"/>
      <c r="B261" s="2056"/>
      <c r="C261" s="1997" t="s">
        <v>230</v>
      </c>
      <c r="D261" s="2057"/>
      <c r="E261" s="2058"/>
      <c r="F261" s="2059"/>
      <c r="G261" s="2059"/>
      <c r="H261" s="2063">
        <v>1</v>
      </c>
      <c r="I261" s="2058">
        <v>100</v>
      </c>
      <c r="J261" s="2058">
        <f>H261*I261</f>
        <v>100</v>
      </c>
    </row>
    <row r="262" spans="1:10" ht="20.2" hidden="1" customHeight="1">
      <c r="A262" s="2051"/>
      <c r="B262" s="2056"/>
      <c r="D262" s="2057"/>
      <c r="E262" s="2058"/>
      <c r="F262" s="2059"/>
      <c r="G262" s="2059"/>
      <c r="H262" s="2059"/>
      <c r="I262" s="2058"/>
      <c r="J262" s="2058">
        <f>SUM(J246:J261)</f>
        <v>12230.337199999998</v>
      </c>
    </row>
    <row r="263" spans="1:10" s="2020" customFormat="1" ht="20.2" hidden="1" customHeight="1">
      <c r="A263" s="2051"/>
      <c r="B263" s="2070"/>
      <c r="C263" s="1997" t="s">
        <v>1600</v>
      </c>
      <c r="D263" s="2071"/>
      <c r="E263" s="2069"/>
      <c r="F263" s="2072"/>
      <c r="G263" s="2072"/>
      <c r="H263" s="2072">
        <f>J262</f>
        <v>12230.337199999998</v>
      </c>
      <c r="I263" s="2069">
        <f>I6</f>
        <v>0</v>
      </c>
      <c r="J263" s="2069">
        <f>ROUND(H263*I263,2)</f>
        <v>0</v>
      </c>
    </row>
    <row r="264" spans="1:10" s="2020" customFormat="1" ht="20.2" hidden="1" customHeight="1">
      <c r="A264" s="2051"/>
      <c r="B264" s="2073"/>
      <c r="C264" s="2023" t="s">
        <v>256</v>
      </c>
      <c r="D264" s="2074"/>
      <c r="E264" s="2075"/>
      <c r="F264" s="2076"/>
      <c r="G264" s="2076"/>
      <c r="H264" s="2076"/>
      <c r="I264" s="2075" t="s">
        <v>416</v>
      </c>
      <c r="J264" s="2075">
        <f>SUM(J262:J263)</f>
        <v>12230.337199999998</v>
      </c>
    </row>
    <row r="265" spans="1:10" ht="25.2" hidden="1">
      <c r="A265" s="2051"/>
      <c r="B265" s="2056"/>
      <c r="C265" s="2014" t="s">
        <v>1311</v>
      </c>
      <c r="D265" s="2057"/>
      <c r="E265" s="2058"/>
      <c r="F265" s="2059"/>
      <c r="G265" s="2059"/>
      <c r="H265" s="2059"/>
      <c r="I265" s="2058"/>
      <c r="J265" s="2058"/>
    </row>
    <row r="266" spans="1:10" hidden="1">
      <c r="A266" s="2051"/>
      <c r="B266" s="2056"/>
      <c r="C266" s="1997" t="s">
        <v>848</v>
      </c>
      <c r="D266" s="2057"/>
      <c r="E266" s="2058"/>
      <c r="F266" s="2059"/>
      <c r="G266" s="2059"/>
      <c r="H266" s="2059"/>
      <c r="I266" s="2058"/>
      <c r="J266" s="2058"/>
    </row>
    <row r="267" spans="1:10" ht="20.2" hidden="1" customHeight="1">
      <c r="A267" s="2051"/>
      <c r="B267" s="2056"/>
      <c r="C267" s="1997" t="s">
        <v>780</v>
      </c>
      <c r="D267" s="2057">
        <v>4</v>
      </c>
      <c r="E267" s="2058">
        <v>1.35</v>
      </c>
      <c r="F267" s="2059">
        <v>0.1</v>
      </c>
      <c r="G267" s="2059">
        <v>7.4999999999999997E-2</v>
      </c>
      <c r="H267" s="2059">
        <f>ROUND(D267*E267*F267*G267,3)</f>
        <v>4.1000000000000002E-2</v>
      </c>
      <c r="I267" s="2058">
        <f>I231</f>
        <v>54224</v>
      </c>
      <c r="J267" s="2058">
        <f>ROUND(H267*I267,2)</f>
        <v>2223.1799999999998</v>
      </c>
    </row>
    <row r="268" spans="1:10" ht="20.2" hidden="1" customHeight="1">
      <c r="A268" s="2051"/>
      <c r="B268" s="2056"/>
      <c r="C268" s="1997" t="s">
        <v>781</v>
      </c>
      <c r="D268" s="2057">
        <v>2</v>
      </c>
      <c r="E268" s="2058">
        <v>1.2</v>
      </c>
      <c r="F268" s="2059">
        <v>0.1</v>
      </c>
      <c r="G268" s="2059">
        <v>7.4999999999999997E-2</v>
      </c>
      <c r="H268" s="2059">
        <f>ROUND(D268*E268*F268*G268,3)</f>
        <v>1.7999999999999999E-2</v>
      </c>
      <c r="I268" s="2058">
        <f>I232</f>
        <v>54224</v>
      </c>
      <c r="J268" s="2058">
        <f>ROUND(H268*I268,2)</f>
        <v>976.03</v>
      </c>
    </row>
    <row r="269" spans="1:10" ht="20.2" hidden="1" customHeight="1">
      <c r="A269" s="2051"/>
      <c r="B269" s="2056"/>
      <c r="C269" s="1997" t="s">
        <v>1482</v>
      </c>
      <c r="D269" s="2057"/>
      <c r="E269" s="2058"/>
      <c r="F269" s="2059"/>
      <c r="G269" s="2059"/>
      <c r="H269" s="2059">
        <f>SUM(H267:H268)</f>
        <v>5.8999999999999997E-2</v>
      </c>
      <c r="I269" s="2060">
        <f>G25</f>
        <v>19572.5</v>
      </c>
      <c r="J269" s="2058">
        <f>ROUND(H269*I269,2)</f>
        <v>1154.78</v>
      </c>
    </row>
    <row r="270" spans="1:10" ht="27.75" hidden="1" customHeight="1">
      <c r="A270" s="2051" t="s">
        <v>787</v>
      </c>
      <c r="B270" s="2032"/>
      <c r="C270" s="1997" t="s">
        <v>788</v>
      </c>
      <c r="D270" s="2057"/>
      <c r="E270" s="2058"/>
      <c r="F270" s="2059"/>
      <c r="G270" s="2061"/>
      <c r="H270" s="2061"/>
      <c r="I270" s="2058"/>
      <c r="J270" s="2058"/>
    </row>
    <row r="271" spans="1:10" ht="20.2" hidden="1" customHeight="1">
      <c r="A271" s="2051"/>
      <c r="B271" s="2067"/>
      <c r="C271" s="1997" t="s">
        <v>1598</v>
      </c>
      <c r="D271" s="2058" t="s">
        <v>1035</v>
      </c>
      <c r="E271" s="2068" t="s">
        <v>1651</v>
      </c>
      <c r="F271" s="2059"/>
      <c r="G271" s="2059"/>
      <c r="H271" s="2063">
        <v>4</v>
      </c>
      <c r="I271" s="2058">
        <f>I258</f>
        <v>41</v>
      </c>
      <c r="J271" s="2058">
        <f>ROUND(H271*I271,2)</f>
        <v>164</v>
      </c>
    </row>
    <row r="272" spans="1:10" ht="20.2" hidden="1" customHeight="1">
      <c r="A272" s="2051"/>
      <c r="B272" s="2056"/>
      <c r="C272" s="1997" t="s">
        <v>1484</v>
      </c>
      <c r="D272" s="2058" t="s">
        <v>544</v>
      </c>
      <c r="E272" s="2058">
        <v>1.2</v>
      </c>
      <c r="F272" s="2059"/>
      <c r="G272" s="2058">
        <v>1.35</v>
      </c>
      <c r="H272" s="2059">
        <f>ROUND(G272*E272*2.75/3,2)</f>
        <v>1.49</v>
      </c>
      <c r="I272" s="2066">
        <f>G15</f>
        <v>670.23599999999999</v>
      </c>
      <c r="J272" s="2058">
        <f>ROUND(H272*I272/10,2)</f>
        <v>99.87</v>
      </c>
    </row>
    <row r="273" spans="1:10" ht="20.2" hidden="1" customHeight="1">
      <c r="A273" s="2051"/>
      <c r="B273" s="2056"/>
      <c r="C273" s="2092" t="s">
        <v>1306</v>
      </c>
      <c r="D273" s="2057" t="s">
        <v>246</v>
      </c>
      <c r="E273" s="2058">
        <v>1.2</v>
      </c>
      <c r="F273" s="2059">
        <f>E273*10</f>
        <v>12</v>
      </c>
      <c r="G273" s="2058">
        <v>1.1299999999999999</v>
      </c>
      <c r="H273" s="2059">
        <f>G273*F273</f>
        <v>13.559999999999999</v>
      </c>
      <c r="I273" s="2060">
        <f>I260</f>
        <v>69.62</v>
      </c>
      <c r="J273" s="2058">
        <f>H273*I273</f>
        <v>944.04719999999998</v>
      </c>
    </row>
    <row r="274" spans="1:10" ht="20.2" hidden="1" customHeight="1">
      <c r="A274" s="2051"/>
      <c r="B274" s="2056"/>
      <c r="C274" s="1997" t="s">
        <v>230</v>
      </c>
      <c r="D274" s="2057"/>
      <c r="E274" s="2058"/>
      <c r="F274" s="2059"/>
      <c r="G274" s="2059"/>
      <c r="H274" s="2063">
        <v>1</v>
      </c>
      <c r="I274" s="2058">
        <v>50</v>
      </c>
      <c r="J274" s="2058">
        <f>H274*I274</f>
        <v>50</v>
      </c>
    </row>
    <row r="275" spans="1:10" ht="20.2" hidden="1" customHeight="1">
      <c r="A275" s="2051"/>
      <c r="B275" s="2056"/>
      <c r="D275" s="2057"/>
      <c r="E275" s="2058"/>
      <c r="F275" s="2059"/>
      <c r="G275" s="2059"/>
      <c r="H275" s="2059"/>
      <c r="I275" s="2058"/>
      <c r="J275" s="2058">
        <f>SUM(J267:J274)</f>
        <v>5611.9071999999996</v>
      </c>
    </row>
    <row r="276" spans="1:10" s="2020" customFormat="1" ht="11.25" hidden="1" customHeight="1">
      <c r="A276" s="2051"/>
      <c r="B276" s="2070"/>
      <c r="C276" s="1997" t="s">
        <v>1600</v>
      </c>
      <c r="D276" s="2071"/>
      <c r="E276" s="2069"/>
      <c r="F276" s="2072"/>
      <c r="G276" s="2072"/>
      <c r="H276" s="2072">
        <f>J275</f>
        <v>5611.9071999999996</v>
      </c>
      <c r="I276" s="2069">
        <f>I6</f>
        <v>0</v>
      </c>
      <c r="J276" s="2069"/>
    </row>
    <row r="277" spans="1:10" s="2030" customFormat="1" ht="20.2" hidden="1" customHeight="1">
      <c r="A277" s="2051"/>
      <c r="B277" s="2073"/>
      <c r="C277" s="2093" t="s">
        <v>1312</v>
      </c>
      <c r="D277" s="2074"/>
      <c r="E277" s="2075"/>
      <c r="F277" s="2076"/>
      <c r="G277" s="2076"/>
      <c r="H277" s="2076"/>
      <c r="I277" s="2075" t="s">
        <v>416</v>
      </c>
      <c r="J277" s="2075">
        <f>SUM(J275:J276)</f>
        <v>5611.9071999999996</v>
      </c>
    </row>
    <row r="278" spans="1:10" s="2030" customFormat="1" ht="4.2" customHeight="1">
      <c r="A278" s="2051"/>
      <c r="B278" s="2073"/>
      <c r="C278" s="2093" t="s">
        <v>1313</v>
      </c>
      <c r="D278" s="2074"/>
      <c r="E278" s="2075"/>
      <c r="F278" s="2076"/>
      <c r="G278" s="2076"/>
      <c r="H278" s="2076"/>
      <c r="I278" s="2075" t="s">
        <v>416</v>
      </c>
      <c r="J278" s="2075">
        <f>J264-J277</f>
        <v>6618.4299999999985</v>
      </c>
    </row>
    <row r="279" spans="1:10" ht="78" customHeight="1">
      <c r="A279" s="2051"/>
      <c r="B279" s="2038">
        <v>8</v>
      </c>
      <c r="C279" s="2629" t="s">
        <v>1935</v>
      </c>
      <c r="D279" s="2630"/>
      <c r="E279" s="2630"/>
      <c r="F279" s="2630"/>
      <c r="G279" s="2630"/>
      <c r="H279" s="2630"/>
      <c r="I279" s="2631"/>
      <c r="J279" s="2058"/>
    </row>
    <row r="280" spans="1:10" ht="20.2" customHeight="1">
      <c r="A280" s="2051"/>
      <c r="B280" s="2056"/>
      <c r="C280" s="2014" t="s">
        <v>1859</v>
      </c>
      <c r="D280" s="2057"/>
      <c r="E280" s="2058"/>
      <c r="F280" s="2059"/>
      <c r="G280" s="2059"/>
      <c r="H280" s="2059"/>
      <c r="I280" s="2058"/>
      <c r="J280" s="2058"/>
    </row>
    <row r="281" spans="1:10">
      <c r="A281" s="2051"/>
      <c r="B281" s="2056"/>
      <c r="C281" s="1997" t="s">
        <v>848</v>
      </c>
      <c r="D281" s="2057"/>
      <c r="E281" s="2058"/>
      <c r="F281" s="2059"/>
      <c r="G281" s="2059"/>
      <c r="H281" s="2059"/>
      <c r="I281" s="2058"/>
      <c r="J281" s="2058"/>
    </row>
    <row r="282" spans="1:10" ht="20.2" customHeight="1">
      <c r="A282" s="2051"/>
      <c r="B282" s="2056"/>
      <c r="C282" s="1997" t="s">
        <v>780</v>
      </c>
      <c r="D282" s="2057">
        <v>4</v>
      </c>
      <c r="E282" s="2058">
        <v>1.2</v>
      </c>
      <c r="F282" s="2059">
        <v>0.1</v>
      </c>
      <c r="G282" s="2059">
        <v>7.4999999999999997E-2</v>
      </c>
      <c r="H282" s="2059">
        <f>ROUND(D282*E282*F282*G282,3)</f>
        <v>3.5999999999999997E-2</v>
      </c>
      <c r="I282" s="2058">
        <f>I246</f>
        <v>54224</v>
      </c>
      <c r="J282" s="2058">
        <f t="shared" ref="J282:J287" si="22">ROUND(H282*I282,2)</f>
        <v>1952.06</v>
      </c>
    </row>
    <row r="283" spans="1:10" ht="20.2" customHeight="1">
      <c r="A283" s="2051"/>
      <c r="B283" s="2056"/>
      <c r="C283" s="1997" t="s">
        <v>781</v>
      </c>
      <c r="D283" s="2057">
        <v>2</v>
      </c>
      <c r="E283" s="2058">
        <v>1.2</v>
      </c>
      <c r="F283" s="2059">
        <v>0.1</v>
      </c>
      <c r="G283" s="2059">
        <v>7.4999999999999997E-2</v>
      </c>
      <c r="H283" s="2059">
        <f>ROUND(D283*E283*F283*G283,3)</f>
        <v>1.7999999999999999E-2</v>
      </c>
      <c r="I283" s="2058">
        <f>I247</f>
        <v>54224</v>
      </c>
      <c r="J283" s="2058">
        <f t="shared" si="22"/>
        <v>976.03</v>
      </c>
    </row>
    <row r="284" spans="1:10" ht="20.2" customHeight="1">
      <c r="A284" s="2051"/>
      <c r="B284" s="2056"/>
      <c r="C284" s="1997" t="s">
        <v>782</v>
      </c>
      <c r="D284" s="2057" t="s">
        <v>243</v>
      </c>
      <c r="E284" s="2088">
        <f>(1.2-2*0.075+2*0.015)</f>
        <v>1.08</v>
      </c>
      <c r="F284" s="2059">
        <v>7.4999999999999997E-2</v>
      </c>
      <c r="G284" s="2059">
        <f>1.25*25.4/1000</f>
        <v>3.175E-2</v>
      </c>
      <c r="H284" s="2059">
        <f>ROUND(6*E284*F284*G284,3)</f>
        <v>1.4999999999999999E-2</v>
      </c>
      <c r="I284" s="2058">
        <f>I248</f>
        <v>72298</v>
      </c>
      <c r="J284" s="2058">
        <f t="shared" si="22"/>
        <v>1084.47</v>
      </c>
    </row>
    <row r="285" spans="1:10" ht="20.2" customHeight="1">
      <c r="A285" s="2051"/>
      <c r="B285" s="2056"/>
      <c r="C285" s="1997" t="s">
        <v>783</v>
      </c>
      <c r="D285" s="2057" t="s">
        <v>244</v>
      </c>
      <c r="E285" s="2058">
        <f>(1.2-3*0.075+4*0.015)/2</f>
        <v>0.51749999999999996</v>
      </c>
      <c r="F285" s="2059">
        <v>7.4999999999999997E-2</v>
      </c>
      <c r="G285" s="2059">
        <f>1.25*25.4/1000</f>
        <v>3.175E-2</v>
      </c>
      <c r="H285" s="2059">
        <f>ROUND(9*E285*F285*G285,3)</f>
        <v>1.0999999999999999E-2</v>
      </c>
      <c r="I285" s="2058">
        <f>I249</f>
        <v>72298</v>
      </c>
      <c r="J285" s="2058">
        <f t="shared" si="22"/>
        <v>795.28</v>
      </c>
    </row>
    <row r="286" spans="1:10" ht="20.2" customHeight="1">
      <c r="A286" s="2051"/>
      <c r="B286" s="2056"/>
      <c r="C286" s="1997" t="s">
        <v>1481</v>
      </c>
      <c r="D286" s="2057" t="s">
        <v>245</v>
      </c>
      <c r="E286" s="2058">
        <f>(1.2-4*0.075+6*0.015)/3-2*0.075+2*0.025</f>
        <v>0.22999999999999998</v>
      </c>
      <c r="F286" s="2059">
        <f>(1.35-2*0.075+2*0.015-3*0.075)/2+2*0.025</f>
        <v>0.55250000000000021</v>
      </c>
      <c r="G286" s="2059">
        <v>2.5000000000000001E-2</v>
      </c>
      <c r="H286" s="2059">
        <f>ROUND(6*E286*F286*G286,3)</f>
        <v>1.9E-2</v>
      </c>
      <c r="I286" s="2058">
        <f>I250</f>
        <v>72298</v>
      </c>
      <c r="J286" s="2058">
        <f t="shared" si="22"/>
        <v>1373.66</v>
      </c>
    </row>
    <row r="287" spans="1:10" ht="20.2" customHeight="1">
      <c r="A287" s="2051"/>
      <c r="B287" s="2056"/>
      <c r="C287" s="1997" t="s">
        <v>1482</v>
      </c>
      <c r="D287" s="2057"/>
      <c r="E287" s="2058"/>
      <c r="F287" s="2059"/>
      <c r="G287" s="2059"/>
      <c r="H287" s="2059">
        <f>SUM(H282:H286)</f>
        <v>9.8999999999999991E-2</v>
      </c>
      <c r="I287" s="2060">
        <f>I269</f>
        <v>19572.5</v>
      </c>
      <c r="J287" s="2058">
        <f t="shared" si="22"/>
        <v>1937.68</v>
      </c>
    </row>
    <row r="288" spans="1:10" ht="30.6">
      <c r="A288" s="2051" t="s">
        <v>787</v>
      </c>
      <c r="B288" s="2032"/>
      <c r="C288" s="1997" t="s">
        <v>788</v>
      </c>
      <c r="D288" s="2057"/>
      <c r="E288" s="2058"/>
      <c r="F288" s="2059"/>
      <c r="G288" s="2061"/>
      <c r="H288" s="2061"/>
      <c r="I288" s="2058"/>
      <c r="J288" s="2058"/>
    </row>
    <row r="289" spans="1:10" ht="20.2" customHeight="1">
      <c r="A289" s="2051"/>
      <c r="B289" s="2081"/>
      <c r="C289" s="2082" t="s">
        <v>915</v>
      </c>
      <c r="D289" s="2058" t="s">
        <v>1035</v>
      </c>
      <c r="E289" s="2059" t="s">
        <v>1624</v>
      </c>
      <c r="F289" s="2059"/>
      <c r="G289" s="2059"/>
      <c r="H289" s="2063">
        <v>3</v>
      </c>
      <c r="I289" s="2058">
        <f t="shared" ref="I289:I294" si="23">I253</f>
        <v>42</v>
      </c>
      <c r="J289" s="2058">
        <f t="shared" ref="J289:J294" si="24">ROUND(H289*I289,2)</f>
        <v>126</v>
      </c>
    </row>
    <row r="290" spans="1:10" ht="20.2" customHeight="1">
      <c r="A290" s="2051"/>
      <c r="B290" s="2081"/>
      <c r="C290" s="2089" t="s">
        <v>916</v>
      </c>
      <c r="D290" s="2058" t="s">
        <v>1035</v>
      </c>
      <c r="E290" s="2059" t="s">
        <v>1624</v>
      </c>
      <c r="F290" s="2059"/>
      <c r="G290" s="2059"/>
      <c r="H290" s="2063">
        <v>3</v>
      </c>
      <c r="I290" s="2058">
        <f t="shared" si="23"/>
        <v>42</v>
      </c>
      <c r="J290" s="2058">
        <f t="shared" si="24"/>
        <v>126</v>
      </c>
    </row>
    <row r="291" spans="1:10" ht="20.2" customHeight="1">
      <c r="A291" s="2051"/>
      <c r="B291" s="2081"/>
      <c r="C291" s="2090" t="s">
        <v>917</v>
      </c>
      <c r="D291" s="2058" t="s">
        <v>1035</v>
      </c>
      <c r="E291" s="2059" t="s">
        <v>1625</v>
      </c>
      <c r="F291" s="2059"/>
      <c r="G291" s="2059"/>
      <c r="H291" s="2063">
        <v>6</v>
      </c>
      <c r="I291" s="2058">
        <f t="shared" si="23"/>
        <v>27</v>
      </c>
      <c r="J291" s="2058">
        <f t="shared" si="24"/>
        <v>162</v>
      </c>
    </row>
    <row r="292" spans="1:10" ht="20.2" customHeight="1">
      <c r="A292" s="2051"/>
      <c r="B292" s="2081"/>
      <c r="C292" s="2082" t="s">
        <v>918</v>
      </c>
      <c r="D292" s="2058" t="s">
        <v>1035</v>
      </c>
      <c r="E292" s="2059" t="s">
        <v>1626</v>
      </c>
      <c r="F292" s="2059"/>
      <c r="G292" s="2059"/>
      <c r="H292" s="2063">
        <v>3</v>
      </c>
      <c r="I292" s="2058">
        <f t="shared" si="23"/>
        <v>256</v>
      </c>
      <c r="J292" s="2058">
        <f t="shared" si="24"/>
        <v>768</v>
      </c>
    </row>
    <row r="293" spans="1:10" ht="20.2" customHeight="1">
      <c r="A293" s="2051"/>
      <c r="B293" s="2081"/>
      <c r="C293" s="2082" t="s">
        <v>799</v>
      </c>
      <c r="D293" s="2058" t="s">
        <v>1035</v>
      </c>
      <c r="E293" s="2059" t="s">
        <v>1652</v>
      </c>
      <c r="F293" s="2059"/>
      <c r="G293" s="2059"/>
      <c r="H293" s="2063">
        <v>90</v>
      </c>
      <c r="I293" s="2058">
        <f t="shared" si="23"/>
        <v>7</v>
      </c>
      <c r="J293" s="2058">
        <f t="shared" si="24"/>
        <v>630</v>
      </c>
    </row>
    <row r="294" spans="1:10" ht="20.2" customHeight="1">
      <c r="A294" s="2051"/>
      <c r="B294" s="2081"/>
      <c r="C294" s="2082" t="s">
        <v>1598</v>
      </c>
      <c r="D294" s="2058" t="s">
        <v>1035</v>
      </c>
      <c r="E294" s="2068" t="s">
        <v>1651</v>
      </c>
      <c r="F294" s="2059"/>
      <c r="G294" s="2059"/>
      <c r="H294" s="2063">
        <v>4</v>
      </c>
      <c r="I294" s="2058">
        <f t="shared" si="23"/>
        <v>41</v>
      </c>
      <c r="J294" s="2058">
        <f t="shared" si="24"/>
        <v>164</v>
      </c>
    </row>
    <row r="295" spans="1:10" ht="20.2" customHeight="1">
      <c r="A295" s="2051"/>
      <c r="B295" s="2056"/>
      <c r="C295" s="1997" t="s">
        <v>1484</v>
      </c>
      <c r="D295" s="2058" t="str">
        <f>D272</f>
        <v>2.75/3</v>
      </c>
      <c r="E295" s="2058">
        <v>1.2</v>
      </c>
      <c r="F295" s="2059"/>
      <c r="G295" s="2058">
        <v>1.2</v>
      </c>
      <c r="H295" s="2059">
        <f>ROUND(G295*E295*2.75/3,2)</f>
        <v>1.32</v>
      </c>
      <c r="I295" s="2066">
        <f>I272</f>
        <v>670.23599999999999</v>
      </c>
      <c r="J295" s="2058">
        <f>ROUND(H295*I295/10,2)</f>
        <v>88.47</v>
      </c>
    </row>
    <row r="296" spans="1:10" ht="20.2" customHeight="1">
      <c r="A296" s="2051"/>
      <c r="B296" s="2056"/>
      <c r="C296" s="2092" t="s">
        <v>1306</v>
      </c>
      <c r="D296" s="2057" t="s">
        <v>246</v>
      </c>
      <c r="E296" s="2058">
        <v>1.2</v>
      </c>
      <c r="F296" s="2059">
        <f>E296*10</f>
        <v>12</v>
      </c>
      <c r="G296" s="2058">
        <v>1.1299999999999999</v>
      </c>
      <c r="H296" s="2059">
        <f>G296*F296</f>
        <v>13.559999999999999</v>
      </c>
      <c r="I296" s="2060">
        <f>I273</f>
        <v>69.62</v>
      </c>
      <c r="J296" s="2058">
        <f>H296*I296</f>
        <v>944.04719999999998</v>
      </c>
    </row>
    <row r="297" spans="1:10" ht="20.2" customHeight="1">
      <c r="A297" s="2051"/>
      <c r="B297" s="2056"/>
      <c r="C297" s="1997" t="s">
        <v>230</v>
      </c>
      <c r="D297" s="2057"/>
      <c r="E297" s="2058"/>
      <c r="F297" s="2059"/>
      <c r="G297" s="2059"/>
      <c r="H297" s="2063">
        <v>1</v>
      </c>
      <c r="I297" s="2058">
        <v>100</v>
      </c>
      <c r="J297" s="2058">
        <f>H297*I297</f>
        <v>100</v>
      </c>
    </row>
    <row r="298" spans="1:10" ht="20.2" customHeight="1">
      <c r="A298" s="2051"/>
      <c r="B298" s="2056"/>
      <c r="D298" s="2057"/>
      <c r="E298" s="2058"/>
      <c r="F298" s="2059"/>
      <c r="G298" s="2059"/>
      <c r="H298" s="2059"/>
      <c r="I298" s="2058"/>
      <c r="J298" s="2058">
        <f>SUM(J282:J297)</f>
        <v>11227.697199999999</v>
      </c>
    </row>
    <row r="299" spans="1:10" s="2020" customFormat="1" ht="27.7" customHeight="1">
      <c r="A299" s="2051"/>
      <c r="B299" s="2070"/>
      <c r="C299" s="1997" t="s">
        <v>1600</v>
      </c>
      <c r="D299" s="2071"/>
      <c r="E299" s="2069"/>
      <c r="F299" s="2072"/>
      <c r="G299" s="2072"/>
      <c r="H299" s="2072">
        <f>J298</f>
        <v>11227.697199999999</v>
      </c>
      <c r="I299" s="2069">
        <v>0</v>
      </c>
      <c r="J299" s="2069">
        <f>ROUND(H299*I299,2)</f>
        <v>0</v>
      </c>
    </row>
    <row r="300" spans="1:10" s="2020" customFormat="1" ht="20.2" customHeight="1">
      <c r="A300" s="2051"/>
      <c r="B300" s="2073"/>
      <c r="C300" s="2023" t="s">
        <v>256</v>
      </c>
      <c r="D300" s="2074"/>
      <c r="E300" s="2075"/>
      <c r="F300" s="2076"/>
      <c r="G300" s="2076"/>
      <c r="H300" s="2076"/>
      <c r="I300" s="2075" t="s">
        <v>416</v>
      </c>
      <c r="J300" s="2075">
        <f>SUM(J298:J299)</f>
        <v>11227.697199999999</v>
      </c>
    </row>
    <row r="301" spans="1:10" ht="25.2">
      <c r="A301" s="2051"/>
      <c r="B301" s="2056"/>
      <c r="C301" s="2014" t="s">
        <v>11</v>
      </c>
      <c r="D301" s="2057"/>
      <c r="E301" s="2058"/>
      <c r="F301" s="2059"/>
      <c r="G301" s="2059"/>
      <c r="H301" s="2059"/>
      <c r="I301" s="2058"/>
      <c r="J301" s="2058"/>
    </row>
    <row r="302" spans="1:10">
      <c r="A302" s="2051"/>
      <c r="B302" s="2056"/>
      <c r="C302" s="1997" t="s">
        <v>848</v>
      </c>
      <c r="D302" s="2057"/>
      <c r="E302" s="2058"/>
      <c r="F302" s="2059"/>
      <c r="G302" s="2059"/>
      <c r="H302" s="2059"/>
      <c r="I302" s="2058"/>
      <c r="J302" s="2058"/>
    </row>
    <row r="303" spans="1:10" ht="20.2" customHeight="1">
      <c r="A303" s="2051"/>
      <c r="B303" s="2056"/>
      <c r="C303" s="1997" t="s">
        <v>780</v>
      </c>
      <c r="D303" s="2057">
        <v>4</v>
      </c>
      <c r="E303" s="2058">
        <v>1.35</v>
      </c>
      <c r="F303" s="2059">
        <v>0.1</v>
      </c>
      <c r="G303" s="2059">
        <v>7.4999999999999997E-2</v>
      </c>
      <c r="H303" s="2059">
        <f>ROUND(D303*E303*F303*G303,3)</f>
        <v>4.1000000000000002E-2</v>
      </c>
      <c r="I303" s="2058">
        <f>I267</f>
        <v>54224</v>
      </c>
      <c r="J303" s="2058">
        <f>ROUND(H303*I303,2)</f>
        <v>2223.1799999999998</v>
      </c>
    </row>
    <row r="304" spans="1:10" ht="20.2" customHeight="1">
      <c r="A304" s="2051"/>
      <c r="B304" s="2056"/>
      <c r="C304" s="1997" t="s">
        <v>781</v>
      </c>
      <c r="D304" s="2057">
        <v>2</v>
      </c>
      <c r="E304" s="2058">
        <v>1.2</v>
      </c>
      <c r="F304" s="2059">
        <v>0.1</v>
      </c>
      <c r="G304" s="2059">
        <v>7.4999999999999997E-2</v>
      </c>
      <c r="H304" s="2059">
        <f>ROUND(D304*E304*F304*G304,3)</f>
        <v>1.7999999999999999E-2</v>
      </c>
      <c r="I304" s="2058">
        <f>I268</f>
        <v>54224</v>
      </c>
      <c r="J304" s="2058">
        <f>ROUND(H304*I304,2)</f>
        <v>976.03</v>
      </c>
    </row>
    <row r="305" spans="1:10" ht="20.2" customHeight="1">
      <c r="A305" s="2051"/>
      <c r="B305" s="2056"/>
      <c r="C305" s="1997" t="s">
        <v>1482</v>
      </c>
      <c r="D305" s="2057"/>
      <c r="E305" s="2058"/>
      <c r="F305" s="2059"/>
      <c r="G305" s="2059"/>
      <c r="H305" s="2059">
        <f>SUM(H303:H304)</f>
        <v>5.8999999999999997E-2</v>
      </c>
      <c r="I305" s="2060">
        <f>G61</f>
        <v>0</v>
      </c>
      <c r="J305" s="2058">
        <f>ROUND(H305*I305,2)</f>
        <v>0</v>
      </c>
    </row>
    <row r="306" spans="1:10" ht="27.75" customHeight="1">
      <c r="A306" s="2051" t="s">
        <v>787</v>
      </c>
      <c r="B306" s="2032"/>
      <c r="C306" s="1997" t="s">
        <v>788</v>
      </c>
      <c r="D306" s="2057"/>
      <c r="E306" s="2058"/>
      <c r="F306" s="2059"/>
      <c r="G306" s="2061"/>
      <c r="H306" s="2061"/>
      <c r="I306" s="2058"/>
      <c r="J306" s="2058"/>
    </row>
    <row r="307" spans="1:10" ht="20.2" customHeight="1">
      <c r="A307" s="2051"/>
      <c r="B307" s="2067"/>
      <c r="C307" s="1997" t="s">
        <v>1598</v>
      </c>
      <c r="D307" s="2058" t="s">
        <v>1035</v>
      </c>
      <c r="E307" s="2068" t="s">
        <v>1651</v>
      </c>
      <c r="F307" s="2059"/>
      <c r="G307" s="2059"/>
      <c r="H307" s="2063">
        <v>4</v>
      </c>
      <c r="I307" s="2058">
        <f>I294</f>
        <v>41</v>
      </c>
      <c r="J307" s="2058">
        <f>ROUND(H307*I307,2)</f>
        <v>164</v>
      </c>
    </row>
    <row r="308" spans="1:10" ht="20.2" customHeight="1">
      <c r="A308" s="2051"/>
      <c r="B308" s="2056"/>
      <c r="C308" s="1997" t="s">
        <v>1484</v>
      </c>
      <c r="D308" s="2058" t="s">
        <v>544</v>
      </c>
      <c r="E308" s="2058">
        <v>1.2</v>
      </c>
      <c r="F308" s="2059"/>
      <c r="G308" s="2058">
        <v>1.35</v>
      </c>
      <c r="H308" s="2059">
        <f>ROUND(G308*E308*2.75/3,2)</f>
        <v>1.49</v>
      </c>
      <c r="I308" s="2066">
        <f>I295</f>
        <v>670.23599999999999</v>
      </c>
      <c r="J308" s="2058">
        <f>ROUND(H308*I308/10,2)</f>
        <v>99.87</v>
      </c>
    </row>
    <row r="309" spans="1:10" ht="20.2" customHeight="1">
      <c r="A309" s="2051"/>
      <c r="B309" s="2056"/>
      <c r="C309" s="2092" t="s">
        <v>1306</v>
      </c>
      <c r="D309" s="2057" t="s">
        <v>246</v>
      </c>
      <c r="E309" s="2058">
        <v>1.2</v>
      </c>
      <c r="F309" s="2059">
        <f>E309*10</f>
        <v>12</v>
      </c>
      <c r="G309" s="2058">
        <v>1.1299999999999999</v>
      </c>
      <c r="H309" s="2059">
        <f>G309*F309</f>
        <v>13.559999999999999</v>
      </c>
      <c r="I309" s="2060">
        <f>I296</f>
        <v>69.62</v>
      </c>
      <c r="J309" s="2058">
        <f>H309*I309</f>
        <v>944.04719999999998</v>
      </c>
    </row>
    <row r="310" spans="1:10" ht="20.2" customHeight="1">
      <c r="A310" s="2051"/>
      <c r="B310" s="2056"/>
      <c r="C310" s="1997" t="s">
        <v>230</v>
      </c>
      <c r="D310" s="2057"/>
      <c r="E310" s="2058"/>
      <c r="F310" s="2059"/>
      <c r="G310" s="2059"/>
      <c r="H310" s="2063">
        <v>1</v>
      </c>
      <c r="I310" s="2058">
        <v>50</v>
      </c>
      <c r="J310" s="2058">
        <f>H310*I310</f>
        <v>50</v>
      </c>
    </row>
    <row r="311" spans="1:10" ht="20.2" customHeight="1">
      <c r="A311" s="2051"/>
      <c r="B311" s="2056"/>
      <c r="D311" s="2057"/>
      <c r="E311" s="2058"/>
      <c r="F311" s="2059"/>
      <c r="G311" s="2059"/>
      <c r="H311" s="2059"/>
      <c r="I311" s="2058"/>
      <c r="J311" s="2058">
        <f>SUM(J303:J310)</f>
        <v>4457.1271999999999</v>
      </c>
    </row>
    <row r="312" spans="1:10" s="2020" customFormat="1" ht="11.25" customHeight="1">
      <c r="A312" s="2051"/>
      <c r="B312" s="2070"/>
      <c r="C312" s="1997" t="s">
        <v>1600</v>
      </c>
      <c r="D312" s="2071"/>
      <c r="E312" s="2069"/>
      <c r="F312" s="2072"/>
      <c r="G312" s="2072"/>
      <c r="H312" s="2072">
        <f>J311</f>
        <v>4457.1271999999999</v>
      </c>
      <c r="I312" s="2069">
        <f>I42</f>
        <v>7</v>
      </c>
      <c r="J312" s="2069"/>
    </row>
    <row r="313" spans="1:10" s="2030" customFormat="1" ht="27.7" customHeight="1">
      <c r="A313" s="2051"/>
      <c r="B313" s="2073"/>
      <c r="C313" s="2093" t="s">
        <v>12</v>
      </c>
      <c r="D313" s="2074"/>
      <c r="E313" s="2075"/>
      <c r="F313" s="2076"/>
      <c r="G313" s="2076"/>
      <c r="H313" s="2076"/>
      <c r="I313" s="2075" t="s">
        <v>416</v>
      </c>
      <c r="J313" s="2075">
        <f>SUM(J311:J312)</f>
        <v>4457.1271999999999</v>
      </c>
    </row>
    <row r="314" spans="1:10" s="2030" customFormat="1" ht="30.7" customHeight="1">
      <c r="A314" s="2051"/>
      <c r="B314" s="2073"/>
      <c r="C314" s="2093" t="s">
        <v>13</v>
      </c>
      <c r="D314" s="2074"/>
      <c r="E314" s="2075"/>
      <c r="F314" s="2076"/>
      <c r="G314" s="2076"/>
      <c r="H314" s="2076"/>
      <c r="I314" s="2075" t="s">
        <v>416</v>
      </c>
      <c r="J314" s="2075">
        <f>J300-J313</f>
        <v>6770.5699999999988</v>
      </c>
    </row>
    <row r="315" spans="1:10" ht="163.80000000000001" hidden="1">
      <c r="A315" s="2051"/>
      <c r="B315" s="2038">
        <v>8</v>
      </c>
      <c r="C315" s="2014" t="s">
        <v>1831</v>
      </c>
      <c r="D315" s="2057"/>
      <c r="E315" s="2058"/>
      <c r="F315" s="2059"/>
      <c r="G315" s="2059"/>
      <c r="H315" s="2059"/>
      <c r="I315" s="2058"/>
      <c r="J315" s="2058"/>
    </row>
    <row r="316" spans="1:10" hidden="1">
      <c r="A316" s="2051"/>
      <c r="B316" s="2056"/>
      <c r="C316" s="2014" t="s">
        <v>1314</v>
      </c>
      <c r="D316" s="2057"/>
      <c r="E316" s="2058"/>
      <c r="F316" s="2059"/>
      <c r="G316" s="2059"/>
      <c r="H316" s="2059"/>
      <c r="I316" s="2058"/>
      <c r="J316" s="2058"/>
    </row>
    <row r="317" spans="1:10" hidden="1">
      <c r="A317" s="2051"/>
      <c r="B317" s="2056"/>
      <c r="C317" s="1997" t="s">
        <v>848</v>
      </c>
      <c r="D317" s="2057"/>
      <c r="E317" s="2058"/>
      <c r="F317" s="2059"/>
      <c r="G317" s="2059"/>
      <c r="H317" s="2059"/>
      <c r="I317" s="2058"/>
      <c r="J317" s="2058"/>
    </row>
    <row r="318" spans="1:10" ht="20.2" hidden="1" customHeight="1">
      <c r="A318" s="2051"/>
      <c r="B318" s="2056"/>
      <c r="C318" s="1997" t="s">
        <v>780</v>
      </c>
      <c r="D318" s="2057">
        <v>4</v>
      </c>
      <c r="E318" s="2058">
        <v>1.35</v>
      </c>
      <c r="F318" s="2059">
        <v>0.1</v>
      </c>
      <c r="G318" s="2059">
        <v>7.4999999999999997E-2</v>
      </c>
      <c r="H318" s="2059">
        <f>ROUND(G318*F318*E318*D318,3)</f>
        <v>4.1000000000000002E-2</v>
      </c>
      <c r="I318" s="2058">
        <f>I246</f>
        <v>54224</v>
      </c>
      <c r="J318" s="2058">
        <f t="shared" ref="J318:J323" si="25">ROUND(H318*I318,2)</f>
        <v>2223.1799999999998</v>
      </c>
    </row>
    <row r="319" spans="1:10" ht="20.2" hidden="1" customHeight="1">
      <c r="A319" s="2051"/>
      <c r="B319" s="2056"/>
      <c r="C319" s="1997" t="s">
        <v>781</v>
      </c>
      <c r="D319" s="2057">
        <v>2</v>
      </c>
      <c r="E319" s="2058">
        <v>1.65</v>
      </c>
      <c r="F319" s="2059">
        <v>0.1</v>
      </c>
      <c r="G319" s="2059">
        <v>7.4999999999999997E-2</v>
      </c>
      <c r="H319" s="2059">
        <f>ROUND(G319*F319*E319*D319,3)</f>
        <v>2.5000000000000001E-2</v>
      </c>
      <c r="I319" s="2058">
        <f>I247</f>
        <v>54224</v>
      </c>
      <c r="J319" s="2058">
        <f t="shared" si="25"/>
        <v>1355.6</v>
      </c>
    </row>
    <row r="320" spans="1:10" ht="20.2" hidden="1" customHeight="1">
      <c r="A320" s="2051"/>
      <c r="B320" s="2056"/>
      <c r="C320" s="1997" t="s">
        <v>782</v>
      </c>
      <c r="D320" s="2057" t="s">
        <v>243</v>
      </c>
      <c r="E320" s="2088">
        <f>(1.35-2*0.075+2*0.015)</f>
        <v>1.2300000000000002</v>
      </c>
      <c r="F320" s="2059">
        <v>7.4999999999999997E-2</v>
      </c>
      <c r="G320" s="2059">
        <f>1.25*25.4/1000</f>
        <v>3.175E-2</v>
      </c>
      <c r="H320" s="2059">
        <f>ROUND(G320*F320*E320*6,3)</f>
        <v>1.7999999999999999E-2</v>
      </c>
      <c r="I320" s="2058">
        <f>I248</f>
        <v>72298</v>
      </c>
      <c r="J320" s="2058">
        <f t="shared" si="25"/>
        <v>1301.3599999999999</v>
      </c>
    </row>
    <row r="321" spans="1:10" ht="20.2" hidden="1" customHeight="1">
      <c r="A321" s="2051"/>
      <c r="B321" s="2056"/>
      <c r="C321" s="1997" t="s">
        <v>783</v>
      </c>
      <c r="D321" s="2057" t="s">
        <v>244</v>
      </c>
      <c r="E321" s="2058">
        <f>(1.5-3*0.075+6*0.015)/2</f>
        <v>0.6825</v>
      </c>
      <c r="F321" s="2059">
        <v>7.4999999999999997E-2</v>
      </c>
      <c r="G321" s="2059">
        <f>1.25*25.4/1000</f>
        <v>3.175E-2</v>
      </c>
      <c r="H321" s="2059">
        <f>ROUND(9*E321*F321*G321,3)</f>
        <v>1.4999999999999999E-2</v>
      </c>
      <c r="I321" s="2058">
        <f>I249</f>
        <v>72298</v>
      </c>
      <c r="J321" s="2058">
        <f t="shared" si="25"/>
        <v>1084.47</v>
      </c>
    </row>
    <row r="322" spans="1:10" ht="20.2" hidden="1" customHeight="1">
      <c r="A322" s="2051"/>
      <c r="B322" s="2056"/>
      <c r="C322" s="1997" t="s">
        <v>1481</v>
      </c>
      <c r="D322" s="2057" t="s">
        <v>245</v>
      </c>
      <c r="E322" s="2058">
        <f>(1.5-4*0.075+6*0.015)/3-2*0.075+2*0.025</f>
        <v>0.33</v>
      </c>
      <c r="F322" s="2059">
        <f>(1.35-2*0.075+2*0.015-3*0.075)/2+2*0.025</f>
        <v>0.55250000000000021</v>
      </c>
      <c r="G322" s="2059">
        <v>2.5000000000000001E-2</v>
      </c>
      <c r="H322" s="2059">
        <f>ROUND(6*E322*F322*G322,3)</f>
        <v>2.7E-2</v>
      </c>
      <c r="I322" s="2058">
        <f>I250</f>
        <v>72298</v>
      </c>
      <c r="J322" s="2058">
        <f t="shared" si="25"/>
        <v>1952.05</v>
      </c>
    </row>
    <row r="323" spans="1:10" ht="20.2" hidden="1" customHeight="1">
      <c r="A323" s="2051"/>
      <c r="B323" s="2056"/>
      <c r="C323" s="1997" t="s">
        <v>1482</v>
      </c>
      <c r="D323" s="2057"/>
      <c r="E323" s="2058"/>
      <c r="F323" s="2059"/>
      <c r="G323" s="2059"/>
      <c r="H323" s="2059">
        <f>SUM(H318:H322)</f>
        <v>0.126</v>
      </c>
      <c r="I323" s="2060">
        <f>G25</f>
        <v>19572.5</v>
      </c>
      <c r="J323" s="2058">
        <f t="shared" si="25"/>
        <v>2466.14</v>
      </c>
    </row>
    <row r="324" spans="1:10" ht="30.6" hidden="1">
      <c r="A324" s="2051" t="s">
        <v>787</v>
      </c>
      <c r="B324" s="2032"/>
      <c r="C324" s="1997" t="s">
        <v>788</v>
      </c>
      <c r="D324" s="2057"/>
      <c r="E324" s="2058"/>
      <c r="F324" s="2059"/>
      <c r="G324" s="2061"/>
      <c r="H324" s="2061"/>
      <c r="I324" s="2058"/>
      <c r="J324" s="2058"/>
    </row>
    <row r="325" spans="1:10" ht="20.2" hidden="1" customHeight="1">
      <c r="A325" s="2051"/>
      <c r="B325" s="2081"/>
      <c r="C325" s="2082" t="s">
        <v>915</v>
      </c>
      <c r="D325" s="2058" t="s">
        <v>1035</v>
      </c>
      <c r="E325" s="2059" t="s">
        <v>1624</v>
      </c>
      <c r="F325" s="2059"/>
      <c r="G325" s="2059"/>
      <c r="H325" s="2063">
        <v>3</v>
      </c>
      <c r="I325" s="2058">
        <f t="shared" ref="I325:I330" si="26">I253</f>
        <v>42</v>
      </c>
      <c r="J325" s="2058">
        <f t="shared" ref="J325:J330" si="27">ROUND(H325*I325,2)</f>
        <v>126</v>
      </c>
    </row>
    <row r="326" spans="1:10" ht="20.2" hidden="1" customHeight="1">
      <c r="A326" s="2051"/>
      <c r="B326" s="2081"/>
      <c r="C326" s="2089" t="s">
        <v>916</v>
      </c>
      <c r="D326" s="2058" t="s">
        <v>1035</v>
      </c>
      <c r="E326" s="2059" t="s">
        <v>1624</v>
      </c>
      <c r="F326" s="2059"/>
      <c r="G326" s="2059"/>
      <c r="H326" s="2063">
        <v>3</v>
      </c>
      <c r="I326" s="2058">
        <f t="shared" si="26"/>
        <v>42</v>
      </c>
      <c r="J326" s="2058">
        <f t="shared" si="27"/>
        <v>126</v>
      </c>
    </row>
    <row r="327" spans="1:10" ht="20.2" hidden="1" customHeight="1">
      <c r="A327" s="2051"/>
      <c r="B327" s="2081"/>
      <c r="C327" s="2090" t="s">
        <v>917</v>
      </c>
      <c r="D327" s="2058" t="s">
        <v>1035</v>
      </c>
      <c r="E327" s="2059" t="s">
        <v>1625</v>
      </c>
      <c r="F327" s="2059"/>
      <c r="G327" s="2059"/>
      <c r="H327" s="2063">
        <v>6</v>
      </c>
      <c r="I327" s="2058">
        <f t="shared" si="26"/>
        <v>27</v>
      </c>
      <c r="J327" s="2058">
        <f t="shared" si="27"/>
        <v>162</v>
      </c>
    </row>
    <row r="328" spans="1:10" ht="20.2" hidden="1" customHeight="1">
      <c r="A328" s="2051"/>
      <c r="B328" s="2081"/>
      <c r="C328" s="2082" t="s">
        <v>918</v>
      </c>
      <c r="D328" s="2058" t="s">
        <v>1035</v>
      </c>
      <c r="E328" s="2059" t="s">
        <v>1626</v>
      </c>
      <c r="F328" s="2059"/>
      <c r="G328" s="2059"/>
      <c r="H328" s="2063">
        <v>3</v>
      </c>
      <c r="I328" s="2058">
        <f t="shared" si="26"/>
        <v>256</v>
      </c>
      <c r="J328" s="2058">
        <f t="shared" si="27"/>
        <v>768</v>
      </c>
    </row>
    <row r="329" spans="1:10" ht="20.2" hidden="1" customHeight="1">
      <c r="A329" s="2051"/>
      <c r="B329" s="2081"/>
      <c r="C329" s="2082" t="s">
        <v>799</v>
      </c>
      <c r="D329" s="2058" t="s">
        <v>882</v>
      </c>
      <c r="E329" s="2059" t="s">
        <v>1652</v>
      </c>
      <c r="F329" s="2059"/>
      <c r="G329" s="2059"/>
      <c r="H329" s="2063">
        <v>90</v>
      </c>
      <c r="I329" s="2058">
        <f t="shared" si="26"/>
        <v>7</v>
      </c>
      <c r="J329" s="2058">
        <f t="shared" si="27"/>
        <v>630</v>
      </c>
    </row>
    <row r="330" spans="1:10" ht="20.2" hidden="1" customHeight="1">
      <c r="A330" s="2051"/>
      <c r="B330" s="2067"/>
      <c r="C330" s="1997" t="s">
        <v>1598</v>
      </c>
      <c r="D330" s="2058" t="s">
        <v>1035</v>
      </c>
      <c r="E330" s="2068" t="s">
        <v>1651</v>
      </c>
      <c r="F330" s="2059"/>
      <c r="G330" s="2059"/>
      <c r="H330" s="2063">
        <v>4</v>
      </c>
      <c r="I330" s="2058">
        <f t="shared" si="26"/>
        <v>41</v>
      </c>
      <c r="J330" s="2058">
        <f t="shared" si="27"/>
        <v>164</v>
      </c>
    </row>
    <row r="331" spans="1:10" ht="20.2" hidden="1" customHeight="1">
      <c r="A331" s="2051"/>
      <c r="B331" s="2056"/>
      <c r="C331" s="1997" t="s">
        <v>1484</v>
      </c>
      <c r="D331" s="2057">
        <v>2.75</v>
      </c>
      <c r="E331" s="2058">
        <v>1.5</v>
      </c>
      <c r="F331" s="2059"/>
      <c r="G331" s="2058">
        <v>1.35</v>
      </c>
      <c r="H331" s="2059">
        <f>ROUND(G331*E331*D331,2)</f>
        <v>5.57</v>
      </c>
      <c r="I331" s="2066">
        <f>G15</f>
        <v>670.23599999999999</v>
      </c>
      <c r="J331" s="2058">
        <f>ROUND(H331*I331/10,2)</f>
        <v>373.32</v>
      </c>
    </row>
    <row r="332" spans="1:10" ht="20.2" hidden="1" customHeight="1">
      <c r="A332" s="2051"/>
      <c r="B332" s="2056"/>
      <c r="C332" s="2092" t="s">
        <v>1306</v>
      </c>
      <c r="D332" s="2057" t="s">
        <v>246</v>
      </c>
      <c r="E332" s="2058">
        <v>1.5</v>
      </c>
      <c r="F332" s="2059">
        <f>E332*10</f>
        <v>15</v>
      </c>
      <c r="G332" s="2058">
        <v>1.1299999999999999</v>
      </c>
      <c r="H332" s="2059">
        <f>G332*F332</f>
        <v>16.95</v>
      </c>
      <c r="I332" s="2060">
        <f>[221]Lead!R10/1000</f>
        <v>60</v>
      </c>
      <c r="J332" s="2058">
        <f>H332*I332</f>
        <v>1017</v>
      </c>
    </row>
    <row r="333" spans="1:10" ht="20.2" hidden="1" customHeight="1">
      <c r="A333" s="2051"/>
      <c r="B333" s="2056"/>
      <c r="C333" s="1997" t="s">
        <v>230</v>
      </c>
      <c r="D333" s="2057"/>
      <c r="E333" s="2058"/>
      <c r="F333" s="2059"/>
      <c r="G333" s="2059"/>
      <c r="H333" s="2063">
        <v>1</v>
      </c>
      <c r="I333" s="2058">
        <v>125</v>
      </c>
      <c r="J333" s="2058">
        <f>H333*I333</f>
        <v>125</v>
      </c>
    </row>
    <row r="334" spans="1:10" ht="20.2" hidden="1" customHeight="1">
      <c r="A334" s="2051"/>
      <c r="B334" s="2056"/>
      <c r="D334" s="2057"/>
      <c r="E334" s="2058"/>
      <c r="F334" s="2059"/>
      <c r="G334" s="2059"/>
      <c r="H334" s="2059"/>
      <c r="I334" s="2058"/>
      <c r="J334" s="2058">
        <f>SUM(J318:J333)</f>
        <v>13874.119999999999</v>
      </c>
    </row>
    <row r="335" spans="1:10" s="2020" customFormat="1" ht="20.2" hidden="1" customHeight="1">
      <c r="A335" s="2051"/>
      <c r="B335" s="2070"/>
      <c r="C335" s="1997" t="s">
        <v>1600</v>
      </c>
      <c r="D335" s="2071"/>
      <c r="E335" s="2069"/>
      <c r="F335" s="2072"/>
      <c r="G335" s="2072"/>
      <c r="H335" s="2072">
        <f>J334</f>
        <v>13874.119999999999</v>
      </c>
      <c r="I335" s="2069">
        <f>I6</f>
        <v>0</v>
      </c>
      <c r="J335" s="2069">
        <f>ROUND(H335*I335,2)</f>
        <v>0</v>
      </c>
    </row>
    <row r="336" spans="1:10" s="2020" customFormat="1" ht="20.2" hidden="1" customHeight="1">
      <c r="A336" s="2051"/>
      <c r="B336" s="2073"/>
      <c r="C336" s="2023" t="s">
        <v>256</v>
      </c>
      <c r="D336" s="2074"/>
      <c r="E336" s="2075"/>
      <c r="F336" s="2076"/>
      <c r="G336" s="2076"/>
      <c r="H336" s="2076"/>
      <c r="I336" s="2075" t="s">
        <v>416</v>
      </c>
      <c r="J336" s="2075">
        <f>SUM(J334:J335)</f>
        <v>13874.119999999999</v>
      </c>
    </row>
    <row r="337" spans="1:10" ht="25.2" hidden="1">
      <c r="A337" s="2051"/>
      <c r="B337" s="2056"/>
      <c r="C337" s="2014" t="s">
        <v>1315</v>
      </c>
      <c r="D337" s="2057"/>
      <c r="E337" s="2058"/>
      <c r="F337" s="2059"/>
      <c r="G337" s="2059"/>
      <c r="H337" s="2059"/>
      <c r="I337" s="2058"/>
      <c r="J337" s="2058"/>
    </row>
    <row r="338" spans="1:10" hidden="1">
      <c r="A338" s="2051"/>
      <c r="B338" s="2056"/>
      <c r="C338" s="1997" t="s">
        <v>848</v>
      </c>
      <c r="D338" s="2057"/>
      <c r="E338" s="2058"/>
      <c r="F338" s="2059"/>
      <c r="G338" s="2059"/>
      <c r="H338" s="2059"/>
      <c r="I338" s="2058"/>
      <c r="J338" s="2058"/>
    </row>
    <row r="339" spans="1:10" ht="20.2" hidden="1" customHeight="1">
      <c r="A339" s="2051"/>
      <c r="B339" s="2056"/>
      <c r="C339" s="1997" t="s">
        <v>780</v>
      </c>
      <c r="D339" s="2057">
        <v>4</v>
      </c>
      <c r="E339" s="2058">
        <v>1.35</v>
      </c>
      <c r="F339" s="2059">
        <v>0.1</v>
      </c>
      <c r="G339" s="2059">
        <v>7.4999999999999997E-2</v>
      </c>
      <c r="H339" s="2059">
        <f>ROUND(D339*E339*F339*G339,3)</f>
        <v>4.1000000000000002E-2</v>
      </c>
      <c r="I339" s="2058">
        <f>I267</f>
        <v>54224</v>
      </c>
      <c r="J339" s="2058">
        <f>ROUND(H339*I339,2)</f>
        <v>2223.1799999999998</v>
      </c>
    </row>
    <row r="340" spans="1:10" ht="20.2" hidden="1" customHeight="1">
      <c r="A340" s="2051"/>
      <c r="B340" s="2056"/>
      <c r="C340" s="1997" t="s">
        <v>781</v>
      </c>
      <c r="D340" s="2057">
        <v>2</v>
      </c>
      <c r="E340" s="2058">
        <v>1.65</v>
      </c>
      <c r="F340" s="2059">
        <v>0.1</v>
      </c>
      <c r="G340" s="2059">
        <v>7.4999999999999997E-2</v>
      </c>
      <c r="H340" s="2059">
        <f>ROUND(D340*E340*F340*G340,3)</f>
        <v>2.5000000000000001E-2</v>
      </c>
      <c r="I340" s="2058">
        <f>I268</f>
        <v>54224</v>
      </c>
      <c r="J340" s="2058">
        <f>ROUND(H340*I340,2)</f>
        <v>1355.6</v>
      </c>
    </row>
    <row r="341" spans="1:10" ht="20.2" hidden="1" customHeight="1">
      <c r="A341" s="2051"/>
      <c r="B341" s="2056"/>
      <c r="C341" s="1997" t="s">
        <v>1482</v>
      </c>
      <c r="D341" s="2057"/>
      <c r="E341" s="2058"/>
      <c r="F341" s="2059"/>
      <c r="G341" s="2059"/>
      <c r="H341" s="2059">
        <f>SUM(H339:H340)</f>
        <v>6.6000000000000003E-2</v>
      </c>
      <c r="I341" s="2060">
        <f>G25</f>
        <v>19572.5</v>
      </c>
      <c r="J341" s="2058">
        <f>ROUND(H341*I341,2)</f>
        <v>1291.79</v>
      </c>
    </row>
    <row r="342" spans="1:10" ht="30.6" hidden="1">
      <c r="A342" s="2051" t="s">
        <v>787</v>
      </c>
      <c r="B342" s="2032"/>
      <c r="C342" s="1997" t="s">
        <v>788</v>
      </c>
      <c r="D342" s="2057"/>
      <c r="E342" s="2058"/>
      <c r="F342" s="2059"/>
      <c r="G342" s="2061"/>
      <c r="H342" s="2061"/>
      <c r="I342" s="2058"/>
      <c r="J342" s="2058"/>
    </row>
    <row r="343" spans="1:10" ht="20.2" hidden="1" customHeight="1">
      <c r="A343" s="2051"/>
      <c r="B343" s="2067"/>
      <c r="C343" s="1997" t="s">
        <v>1598</v>
      </c>
      <c r="D343" s="2057"/>
      <c r="E343" s="2068" t="s">
        <v>1651</v>
      </c>
      <c r="F343" s="2059"/>
      <c r="G343" s="2059"/>
      <c r="H343" s="2063">
        <v>4</v>
      </c>
      <c r="I343" s="2058">
        <f>I330</f>
        <v>41</v>
      </c>
      <c r="J343" s="2059">
        <f>ROUND(H343*I343,2)</f>
        <v>164</v>
      </c>
    </row>
    <row r="344" spans="1:10" ht="20.2" hidden="1" customHeight="1">
      <c r="A344" s="2051"/>
      <c r="B344" s="2056"/>
      <c r="C344" s="1997" t="s">
        <v>1484</v>
      </c>
      <c r="D344" s="2059" t="s">
        <v>544</v>
      </c>
      <c r="E344" s="2059">
        <v>1.5</v>
      </c>
      <c r="F344" s="2059"/>
      <c r="G344" s="2058">
        <v>1.35</v>
      </c>
      <c r="H344" s="2059">
        <f>ROUND(G344*E344*2.75/3,2)</f>
        <v>1.86</v>
      </c>
      <c r="I344" s="2058">
        <f>G15</f>
        <v>670.23599999999999</v>
      </c>
      <c r="J344" s="2058">
        <f>ROUND(H344*I344/10,2)</f>
        <v>124.66</v>
      </c>
    </row>
    <row r="345" spans="1:10" ht="20.2" hidden="1" customHeight="1">
      <c r="A345" s="2051"/>
      <c r="B345" s="2056"/>
      <c r="C345" s="2092" t="s">
        <v>1306</v>
      </c>
      <c r="D345" s="2057" t="s">
        <v>246</v>
      </c>
      <c r="E345" s="2058">
        <v>1.5</v>
      </c>
      <c r="F345" s="2059">
        <f>E345*10</f>
        <v>15</v>
      </c>
      <c r="G345" s="2058">
        <v>1.1299999999999999</v>
      </c>
      <c r="H345" s="2059">
        <f>G345*F345</f>
        <v>16.95</v>
      </c>
      <c r="I345" s="2060">
        <f>[221]Lead!R10/1000</f>
        <v>60</v>
      </c>
      <c r="J345" s="2058">
        <f>H345*I345</f>
        <v>1017</v>
      </c>
    </row>
    <row r="346" spans="1:10" ht="20.2" hidden="1" customHeight="1">
      <c r="A346" s="2051"/>
      <c r="B346" s="2056"/>
      <c r="C346" s="1997" t="s">
        <v>230</v>
      </c>
      <c r="D346" s="2057"/>
      <c r="E346" s="2058"/>
      <c r="F346" s="2059"/>
      <c r="G346" s="2059"/>
      <c r="H346" s="2063">
        <v>1</v>
      </c>
      <c r="I346" s="2058">
        <v>75</v>
      </c>
      <c r="J346" s="2058">
        <f>H346*I346</f>
        <v>75</v>
      </c>
    </row>
    <row r="347" spans="1:10" ht="20.2" hidden="1" customHeight="1">
      <c r="A347" s="2051"/>
      <c r="B347" s="2056"/>
      <c r="D347" s="2057"/>
      <c r="E347" s="2058"/>
      <c r="F347" s="2059"/>
      <c r="G347" s="2059"/>
      <c r="H347" s="2059"/>
      <c r="I347" s="2058"/>
      <c r="J347" s="2058">
        <f>SUM(J339:J346)</f>
        <v>6251.23</v>
      </c>
    </row>
    <row r="348" spans="1:10" s="2020" customFormat="1" ht="20.2" hidden="1" customHeight="1">
      <c r="A348" s="2051"/>
      <c r="B348" s="2070"/>
      <c r="C348" s="1997" t="s">
        <v>1600</v>
      </c>
      <c r="D348" s="2071"/>
      <c r="E348" s="2069"/>
      <c r="F348" s="2072"/>
      <c r="G348" s="2072"/>
      <c r="H348" s="2072">
        <f>J347</f>
        <v>6251.23</v>
      </c>
      <c r="I348" s="2069">
        <f>I6</f>
        <v>0</v>
      </c>
      <c r="J348" s="2058">
        <f>ROUND(H348*I348,2)</f>
        <v>0</v>
      </c>
    </row>
    <row r="349" spans="1:10" s="2030" customFormat="1" ht="20.2" hidden="1" customHeight="1">
      <c r="A349" s="2051"/>
      <c r="B349" s="2073"/>
      <c r="C349" s="2084" t="s">
        <v>1316</v>
      </c>
      <c r="D349" s="2074"/>
      <c r="E349" s="2075"/>
      <c r="F349" s="2076"/>
      <c r="G349" s="2076"/>
      <c r="H349" s="2076"/>
      <c r="I349" s="2075" t="s">
        <v>416</v>
      </c>
      <c r="J349" s="2075">
        <f>SUM(J347:J348)</f>
        <v>6251.23</v>
      </c>
    </row>
    <row r="350" spans="1:10" s="2030" customFormat="1" ht="20.2" hidden="1" customHeight="1">
      <c r="A350" s="2051"/>
      <c r="B350" s="2073"/>
      <c r="C350" s="2084" t="s">
        <v>1317</v>
      </c>
      <c r="D350" s="2074"/>
      <c r="E350" s="2075"/>
      <c r="F350" s="2076"/>
      <c r="G350" s="2076"/>
      <c r="H350" s="2076"/>
      <c r="I350" s="2075" t="s">
        <v>416</v>
      </c>
      <c r="J350" s="2075">
        <f>J336-J349</f>
        <v>7622.8899999999994</v>
      </c>
    </row>
    <row r="351" spans="1:10" ht="151.19999999999999" hidden="1">
      <c r="A351" s="2051"/>
      <c r="B351" s="2038">
        <v>5</v>
      </c>
      <c r="C351" s="1997" t="s">
        <v>1832</v>
      </c>
      <c r="D351" s="2057"/>
      <c r="E351" s="2058"/>
      <c r="F351" s="2059"/>
      <c r="G351" s="2059"/>
      <c r="H351" s="2059"/>
      <c r="I351" s="2058"/>
      <c r="J351" s="2058"/>
    </row>
    <row r="352" spans="1:10" hidden="1">
      <c r="A352" s="2051"/>
      <c r="B352" s="2056"/>
      <c r="C352" s="2014" t="s">
        <v>1588</v>
      </c>
      <c r="D352" s="2057"/>
      <c r="E352" s="2058"/>
      <c r="F352" s="2059"/>
      <c r="G352" s="2059"/>
      <c r="H352" s="2059"/>
      <c r="I352" s="2058"/>
      <c r="J352" s="2058"/>
    </row>
    <row r="353" spans="1:10" hidden="1">
      <c r="A353" s="2051"/>
      <c r="B353" s="2056"/>
      <c r="C353" s="1997" t="s">
        <v>848</v>
      </c>
      <c r="D353" s="2057"/>
      <c r="E353" s="2058"/>
      <c r="F353" s="2059"/>
      <c r="G353" s="2059"/>
      <c r="H353" s="2059"/>
      <c r="I353" s="2058"/>
      <c r="J353" s="2058"/>
    </row>
    <row r="354" spans="1:10" ht="20.2" hidden="1" customHeight="1">
      <c r="A354" s="2051"/>
      <c r="B354" s="2056"/>
      <c r="C354" s="1997" t="s">
        <v>780</v>
      </c>
      <c r="D354" s="2057">
        <v>4</v>
      </c>
      <c r="E354" s="2058">
        <v>1.35</v>
      </c>
      <c r="F354" s="2059">
        <v>0.1</v>
      </c>
      <c r="G354" s="2059">
        <v>7.4999999999999997E-2</v>
      </c>
      <c r="H354" s="2059">
        <f>ROUND(D354*E354*F354*G354,3)</f>
        <v>4.1000000000000002E-2</v>
      </c>
      <c r="I354" s="2058">
        <f>I318</f>
        <v>54224</v>
      </c>
      <c r="J354" s="2058">
        <f>ROUND(H354*I354,2)</f>
        <v>2223.1799999999998</v>
      </c>
    </row>
    <row r="355" spans="1:10" ht="20.2" hidden="1" customHeight="1">
      <c r="A355" s="2051"/>
      <c r="B355" s="2056"/>
      <c r="C355" s="1997" t="s">
        <v>441</v>
      </c>
      <c r="D355" s="2057">
        <v>2</v>
      </c>
      <c r="E355" s="2058">
        <v>1.5</v>
      </c>
      <c r="F355" s="2059">
        <v>0.1</v>
      </c>
      <c r="G355" s="2059">
        <v>7.4999999999999997E-2</v>
      </c>
      <c r="H355" s="2059">
        <f>ROUND(D355*E355*F355*G355,3)</f>
        <v>2.3E-2</v>
      </c>
      <c r="I355" s="2058">
        <f>I319</f>
        <v>54224</v>
      </c>
      <c r="J355" s="2058">
        <f>ROUND(H355*I355,2)</f>
        <v>1247.1500000000001</v>
      </c>
    </row>
    <row r="356" spans="1:10" ht="20.2" hidden="1" customHeight="1">
      <c r="A356" s="2051"/>
      <c r="B356" s="2056"/>
      <c r="C356" s="1997" t="s">
        <v>782</v>
      </c>
      <c r="D356" s="2057" t="s">
        <v>243</v>
      </c>
      <c r="E356" s="2058">
        <f>(1.35-2*0.075+2*0.015)</f>
        <v>1.2300000000000002</v>
      </c>
      <c r="F356" s="2059">
        <v>7.4999999999999997E-2</v>
      </c>
      <c r="G356" s="2059">
        <v>3.2000000000000001E-2</v>
      </c>
      <c r="H356" s="2059">
        <f>ROUND(6*E356*F356*G356,3)</f>
        <v>1.7999999999999999E-2</v>
      </c>
      <c r="I356" s="2058">
        <f>I320</f>
        <v>72298</v>
      </c>
      <c r="J356" s="2058">
        <f>ROUND(H356*I356,2)</f>
        <v>1301.3599999999999</v>
      </c>
    </row>
    <row r="357" spans="1:10" ht="20.2" hidden="1" customHeight="1">
      <c r="A357" s="2051"/>
      <c r="B357" s="2056"/>
      <c r="C357" s="1997" t="s">
        <v>783</v>
      </c>
      <c r="D357" s="2057" t="s">
        <v>244</v>
      </c>
      <c r="E357" s="2058">
        <f>(1.35-4*0.075+6*0.015)/3</f>
        <v>0.38000000000000006</v>
      </c>
      <c r="F357" s="2059">
        <v>7.4999999999999997E-2</v>
      </c>
      <c r="G357" s="2059">
        <v>3.2000000000000001E-2</v>
      </c>
      <c r="H357" s="2059">
        <f>ROUND(9*E357*F357*G357,3)</f>
        <v>8.0000000000000002E-3</v>
      </c>
      <c r="I357" s="2058">
        <f>I321</f>
        <v>72298</v>
      </c>
      <c r="J357" s="2058">
        <f>ROUND(H357*I357,2)</f>
        <v>578.38</v>
      </c>
    </row>
    <row r="358" spans="1:10" ht="35.200000000000003" hidden="1" customHeight="1">
      <c r="A358" s="2051" t="s">
        <v>3524</v>
      </c>
      <c r="C358" s="1997" t="s">
        <v>417</v>
      </c>
      <c r="D358" s="2057" t="s">
        <v>245</v>
      </c>
      <c r="E358" s="2058">
        <f>(1.35-4*0.075+6*0.015)/3+2*0.025</f>
        <v>0.43000000000000005</v>
      </c>
      <c r="F358" s="2059">
        <f>(1.35-2*0.075+2*0.015-3*0.075)/2+2*0.025</f>
        <v>0.55250000000000021</v>
      </c>
      <c r="G358" s="2059">
        <f>ROUND(6*E358*F358,3)</f>
        <v>1.425</v>
      </c>
      <c r="H358" s="2059"/>
      <c r="I358" s="2094">
        <v>909</v>
      </c>
      <c r="J358" s="2058">
        <f>ROUND(G358*I358,2)</f>
        <v>1295.33</v>
      </c>
    </row>
    <row r="359" spans="1:10" ht="20.2" hidden="1" customHeight="1">
      <c r="A359" s="2051"/>
      <c r="B359" s="2056"/>
      <c r="C359" s="1997" t="s">
        <v>1482</v>
      </c>
      <c r="D359" s="2057"/>
      <c r="E359" s="2058"/>
      <c r="F359" s="2059"/>
      <c r="G359" s="2059"/>
      <c r="H359" s="2059">
        <f>SUM(H354:H358)</f>
        <v>0.09</v>
      </c>
      <c r="I359" s="2060">
        <f>G25</f>
        <v>19572.5</v>
      </c>
      <c r="J359" s="2058">
        <f>ROUND(H359*I359,2)</f>
        <v>1761.53</v>
      </c>
    </row>
    <row r="360" spans="1:10" ht="30.6" hidden="1">
      <c r="A360" s="2051" t="s">
        <v>787</v>
      </c>
      <c r="B360" s="2032"/>
      <c r="C360" s="1997" t="s">
        <v>788</v>
      </c>
      <c r="D360" s="2057"/>
      <c r="E360" s="2058"/>
      <c r="F360" s="2059"/>
      <c r="G360" s="2061"/>
      <c r="H360" s="2061"/>
      <c r="I360" s="2058"/>
      <c r="J360" s="2058"/>
    </row>
    <row r="361" spans="1:10" ht="20.2" hidden="1" customHeight="1">
      <c r="A361" s="2051"/>
      <c r="B361" s="2081"/>
      <c r="C361" s="2082" t="s">
        <v>915</v>
      </c>
      <c r="D361" s="2058" t="s">
        <v>1035</v>
      </c>
      <c r="E361" s="2059" t="s">
        <v>1624</v>
      </c>
      <c r="F361" s="2059"/>
      <c r="G361" s="2059"/>
      <c r="H361" s="2063">
        <v>3</v>
      </c>
      <c r="I361" s="2058">
        <f t="shared" ref="I361:I366" si="28">I325</f>
        <v>42</v>
      </c>
      <c r="J361" s="2058">
        <f t="shared" ref="J361:J366" si="29">ROUND(H361*I361,2)</f>
        <v>126</v>
      </c>
    </row>
    <row r="362" spans="1:10" ht="20.2" hidden="1" customHeight="1">
      <c r="A362" s="2051"/>
      <c r="B362" s="2081"/>
      <c r="C362" s="2089" t="s">
        <v>916</v>
      </c>
      <c r="D362" s="2058" t="s">
        <v>1035</v>
      </c>
      <c r="E362" s="2059" t="s">
        <v>1624</v>
      </c>
      <c r="F362" s="2059"/>
      <c r="G362" s="2059"/>
      <c r="H362" s="2063">
        <v>3</v>
      </c>
      <c r="I362" s="2058">
        <f t="shared" si="28"/>
        <v>42</v>
      </c>
      <c r="J362" s="2058">
        <f t="shared" si="29"/>
        <v>126</v>
      </c>
    </row>
    <row r="363" spans="1:10" ht="20.2" hidden="1" customHeight="1">
      <c r="A363" s="2051"/>
      <c r="B363" s="2081"/>
      <c r="C363" s="2090" t="s">
        <v>917</v>
      </c>
      <c r="D363" s="2058" t="s">
        <v>1035</v>
      </c>
      <c r="E363" s="2059" t="s">
        <v>1625</v>
      </c>
      <c r="F363" s="2059"/>
      <c r="G363" s="2059"/>
      <c r="H363" s="2063">
        <v>6</v>
      </c>
      <c r="I363" s="2058">
        <f t="shared" si="28"/>
        <v>27</v>
      </c>
      <c r="J363" s="2058">
        <f t="shared" si="29"/>
        <v>162</v>
      </c>
    </row>
    <row r="364" spans="1:10" ht="20.2" hidden="1" customHeight="1">
      <c r="A364" s="2051"/>
      <c r="B364" s="2081"/>
      <c r="C364" s="2082" t="s">
        <v>918</v>
      </c>
      <c r="D364" s="2058" t="s">
        <v>1035</v>
      </c>
      <c r="E364" s="2059" t="s">
        <v>1626</v>
      </c>
      <c r="F364" s="2059"/>
      <c r="G364" s="2059"/>
      <c r="H364" s="2063">
        <v>3</v>
      </c>
      <c r="I364" s="2058">
        <f t="shared" si="28"/>
        <v>256</v>
      </c>
      <c r="J364" s="2058">
        <f t="shared" si="29"/>
        <v>768</v>
      </c>
    </row>
    <row r="365" spans="1:10" ht="20.2" hidden="1" customHeight="1">
      <c r="A365" s="2051"/>
      <c r="B365" s="2081"/>
      <c r="C365" s="2082" t="s">
        <v>799</v>
      </c>
      <c r="D365" s="2058" t="s">
        <v>1035</v>
      </c>
      <c r="E365" s="2059" t="s">
        <v>1652</v>
      </c>
      <c r="F365" s="2059"/>
      <c r="G365" s="2059"/>
      <c r="H365" s="2063">
        <v>90</v>
      </c>
      <c r="I365" s="2058">
        <f t="shared" si="28"/>
        <v>7</v>
      </c>
      <c r="J365" s="2058">
        <f t="shared" si="29"/>
        <v>630</v>
      </c>
    </row>
    <row r="366" spans="1:10" ht="20.2" hidden="1" customHeight="1">
      <c r="A366" s="2051"/>
      <c r="B366" s="2067"/>
      <c r="C366" s="1997" t="s">
        <v>1598</v>
      </c>
      <c r="D366" s="2058" t="s">
        <v>1035</v>
      </c>
      <c r="E366" s="2068" t="s">
        <v>1651</v>
      </c>
      <c r="F366" s="2059"/>
      <c r="G366" s="2059"/>
      <c r="H366" s="2063">
        <v>4</v>
      </c>
      <c r="I366" s="2058">
        <f t="shared" si="28"/>
        <v>41</v>
      </c>
      <c r="J366" s="2058">
        <f t="shared" si="29"/>
        <v>164</v>
      </c>
    </row>
    <row r="367" spans="1:10" ht="20.2" hidden="1" customHeight="1">
      <c r="A367" s="2051"/>
      <c r="B367" s="2056"/>
      <c r="C367" s="1997" t="s">
        <v>1484</v>
      </c>
      <c r="D367" s="2057">
        <v>2.75</v>
      </c>
      <c r="E367" s="2058">
        <v>1.3</v>
      </c>
      <c r="F367" s="2059"/>
      <c r="G367" s="2058">
        <v>1.35</v>
      </c>
      <c r="H367" s="2059">
        <f>ROUND(G367*E367*D367,2)</f>
        <v>4.83</v>
      </c>
      <c r="I367" s="2066">
        <f>G15</f>
        <v>670.23599999999999</v>
      </c>
      <c r="J367" s="2058">
        <f>ROUND(H367*I367/10,2)</f>
        <v>323.72000000000003</v>
      </c>
    </row>
    <row r="368" spans="1:10" ht="20.2" hidden="1" customHeight="1">
      <c r="A368" s="2051"/>
      <c r="B368" s="2056"/>
      <c r="C368" s="2092" t="s">
        <v>1306</v>
      </c>
      <c r="D368" s="2057" t="s">
        <v>246</v>
      </c>
      <c r="E368" s="2058">
        <v>1.35</v>
      </c>
      <c r="F368" s="2059">
        <f>10*1.35</f>
        <v>13.5</v>
      </c>
      <c r="G368" s="2058">
        <v>1.1299999999999999</v>
      </c>
      <c r="H368" s="2059">
        <f>G368*F368</f>
        <v>15.254999999999999</v>
      </c>
      <c r="I368" s="2060">
        <f>[221]Lead!R10/1000</f>
        <v>60</v>
      </c>
      <c r="J368" s="2058">
        <f>ROUND(H368*I368,2)</f>
        <v>915.3</v>
      </c>
    </row>
    <row r="369" spans="1:10" ht="20.2" hidden="1" customHeight="1">
      <c r="A369" s="2051"/>
      <c r="B369" s="2056"/>
      <c r="C369" s="1997" t="s">
        <v>230</v>
      </c>
      <c r="D369" s="2057"/>
      <c r="E369" s="2058"/>
      <c r="F369" s="2059"/>
      <c r="G369" s="2059"/>
      <c r="H369" s="2063">
        <v>1</v>
      </c>
      <c r="I369" s="2058">
        <v>100</v>
      </c>
      <c r="J369" s="2058">
        <f>H369*I369</f>
        <v>100</v>
      </c>
    </row>
    <row r="370" spans="1:10" ht="20.2" hidden="1" customHeight="1">
      <c r="A370" s="2051"/>
      <c r="B370" s="2056"/>
      <c r="D370" s="2057"/>
      <c r="E370" s="2058"/>
      <c r="F370" s="2059"/>
      <c r="G370" s="2059"/>
      <c r="H370" s="2059"/>
      <c r="I370" s="2058"/>
      <c r="J370" s="2058">
        <f>SUM(J354:J369)</f>
        <v>11721.949999999999</v>
      </c>
    </row>
    <row r="371" spans="1:10" s="2020" customFormat="1" ht="20.2" hidden="1" customHeight="1">
      <c r="A371" s="2051"/>
      <c r="B371" s="2070"/>
      <c r="C371" s="1997" t="s">
        <v>1600</v>
      </c>
      <c r="D371" s="2071"/>
      <c r="E371" s="2069"/>
      <c r="F371" s="2072"/>
      <c r="G371" s="2072"/>
      <c r="H371" s="2072">
        <f>J370</f>
        <v>11721.949999999999</v>
      </c>
      <c r="I371" s="2069">
        <f>I6</f>
        <v>0</v>
      </c>
      <c r="J371" s="2058">
        <f>ROUND(H371*I371,2)</f>
        <v>0</v>
      </c>
    </row>
    <row r="372" spans="1:10" s="2030" customFormat="1" ht="20.2" hidden="1" customHeight="1">
      <c r="A372" s="2051" t="s">
        <v>542</v>
      </c>
      <c r="B372" s="2073"/>
      <c r="C372" s="2023" t="s">
        <v>256</v>
      </c>
      <c r="D372" s="2074"/>
      <c r="E372" s="2075"/>
      <c r="F372" s="2076"/>
      <c r="G372" s="2076"/>
      <c r="H372" s="2076"/>
      <c r="I372" s="2075" t="s">
        <v>416</v>
      </c>
      <c r="J372" s="2075">
        <f>SUM(J370:J371)</f>
        <v>11721.949999999999</v>
      </c>
    </row>
    <row r="373" spans="1:10" ht="20.399999999999999" hidden="1">
      <c r="A373" s="2051"/>
      <c r="B373" s="2056"/>
      <c r="C373" s="2095" t="s">
        <v>543</v>
      </c>
      <c r="D373" s="2057"/>
      <c r="E373" s="2058"/>
      <c r="F373" s="2059"/>
      <c r="G373" s="2059"/>
      <c r="H373" s="2059"/>
      <c r="I373" s="2058"/>
      <c r="J373" s="2058"/>
    </row>
    <row r="374" spans="1:10" hidden="1">
      <c r="A374" s="2051"/>
      <c r="B374" s="2056"/>
      <c r="C374" s="1997" t="s">
        <v>848</v>
      </c>
      <c r="D374" s="2057"/>
      <c r="E374" s="2058"/>
      <c r="F374" s="2059"/>
      <c r="G374" s="2059"/>
      <c r="H374" s="2059"/>
      <c r="I374" s="2058"/>
      <c r="J374" s="2058"/>
    </row>
    <row r="375" spans="1:10" ht="20.2" hidden="1" customHeight="1">
      <c r="A375" s="2051"/>
      <c r="B375" s="2056"/>
      <c r="C375" s="1997" t="s">
        <v>780</v>
      </c>
      <c r="D375" s="2057">
        <v>4</v>
      </c>
      <c r="E375" s="2058">
        <v>1.35</v>
      </c>
      <c r="F375" s="2059">
        <v>0.1</v>
      </c>
      <c r="G375" s="2059">
        <v>7.4999999999999997E-2</v>
      </c>
      <c r="H375" s="2059">
        <f>ROUND(D375*E375*F375*G375,3)</f>
        <v>4.1000000000000002E-2</v>
      </c>
      <c r="I375" s="2058">
        <f>I339</f>
        <v>54224</v>
      </c>
      <c r="J375" s="2058">
        <f>ROUND(H375*I375,2)</f>
        <v>2223.1799999999998</v>
      </c>
    </row>
    <row r="376" spans="1:10" ht="20.2" hidden="1" customHeight="1">
      <c r="A376" s="2051"/>
      <c r="B376" s="2056"/>
      <c r="C376" s="1997" t="s">
        <v>441</v>
      </c>
      <c r="D376" s="2057">
        <v>2</v>
      </c>
      <c r="E376" s="2058">
        <v>1.5</v>
      </c>
      <c r="F376" s="2059">
        <v>0.1</v>
      </c>
      <c r="G376" s="2059">
        <v>7.4999999999999997E-2</v>
      </c>
      <c r="H376" s="2059">
        <f>ROUND(D376*E376*F376*G376,3)</f>
        <v>2.3E-2</v>
      </c>
      <c r="I376" s="2058">
        <f>I340</f>
        <v>54224</v>
      </c>
      <c r="J376" s="2058">
        <f>ROUND(H376*I376,2)</f>
        <v>1247.1500000000001</v>
      </c>
    </row>
    <row r="377" spans="1:10" ht="20.2" hidden="1" customHeight="1">
      <c r="A377" s="2051"/>
      <c r="B377" s="2056"/>
      <c r="C377" s="1997" t="s">
        <v>1482</v>
      </c>
      <c r="D377" s="2057"/>
      <c r="E377" s="2058"/>
      <c r="F377" s="2059"/>
      <c r="G377" s="2059"/>
      <c r="H377" s="2059">
        <f>SUM(H375:H376)</f>
        <v>6.4000000000000001E-2</v>
      </c>
      <c r="I377" s="2066">
        <f>G25</f>
        <v>19572.5</v>
      </c>
      <c r="J377" s="2058">
        <f>ROUND(H377*I377,2)</f>
        <v>1252.6400000000001</v>
      </c>
    </row>
    <row r="378" spans="1:10" ht="20.2" hidden="1" customHeight="1">
      <c r="A378" s="2051"/>
      <c r="B378" s="2067"/>
      <c r="C378" s="1997" t="s">
        <v>1598</v>
      </c>
      <c r="D378" s="2058" t="s">
        <v>1035</v>
      </c>
      <c r="E378" s="2068" t="s">
        <v>1651</v>
      </c>
      <c r="F378" s="2059"/>
      <c r="G378" s="2059"/>
      <c r="H378" s="2063">
        <v>4</v>
      </c>
      <c r="I378" s="2058">
        <f>I366</f>
        <v>41</v>
      </c>
      <c r="J378" s="2058">
        <f>ROUND(H378*I378,2)</f>
        <v>164</v>
      </c>
    </row>
    <row r="379" spans="1:10" ht="20.2" hidden="1" customHeight="1">
      <c r="A379" s="2051"/>
      <c r="B379" s="2056"/>
      <c r="C379" s="1997" t="s">
        <v>1484</v>
      </c>
      <c r="D379" s="2057" t="s">
        <v>544</v>
      </c>
      <c r="E379" s="2058">
        <v>1.3</v>
      </c>
      <c r="F379" s="2059"/>
      <c r="G379" s="2058">
        <v>1.35</v>
      </c>
      <c r="H379" s="2059">
        <f>ROUND(G379*E379*2.75/3,2)</f>
        <v>1.61</v>
      </c>
      <c r="I379" s="2066">
        <f>G15</f>
        <v>670.23599999999999</v>
      </c>
      <c r="J379" s="2058">
        <f>ROUND(H379*I379/10,2)</f>
        <v>107.91</v>
      </c>
    </row>
    <row r="380" spans="1:10" ht="20.2" hidden="1" customHeight="1">
      <c r="A380" s="2051"/>
      <c r="B380" s="2056"/>
      <c r="C380" s="2092" t="s">
        <v>1306</v>
      </c>
      <c r="D380" s="2057" t="s">
        <v>246</v>
      </c>
      <c r="E380" s="2058">
        <v>1.35</v>
      </c>
      <c r="F380" s="2059">
        <f>10*1.35</f>
        <v>13.5</v>
      </c>
      <c r="G380" s="2058">
        <v>1.1299999999999999</v>
      </c>
      <c r="H380" s="2059">
        <f>G380*F380</f>
        <v>15.254999999999999</v>
      </c>
      <c r="I380" s="2060">
        <f>[221]Lead!R10/1000</f>
        <v>60</v>
      </c>
      <c r="J380" s="2058">
        <f>H380*I380</f>
        <v>915.3</v>
      </c>
    </row>
    <row r="381" spans="1:10" ht="20.2" hidden="1" customHeight="1">
      <c r="A381" s="2051"/>
      <c r="B381" s="2056"/>
      <c r="C381" s="1997" t="s">
        <v>230</v>
      </c>
      <c r="D381" s="2057"/>
      <c r="E381" s="2058"/>
      <c r="F381" s="2059"/>
      <c r="G381" s="2059"/>
      <c r="H381" s="2063">
        <v>1</v>
      </c>
      <c r="I381" s="2058">
        <v>50</v>
      </c>
      <c r="J381" s="2058">
        <f>H381*I381</f>
        <v>50</v>
      </c>
    </row>
    <row r="382" spans="1:10" ht="20.2" hidden="1" customHeight="1">
      <c r="A382" s="2051"/>
      <c r="B382" s="2056"/>
      <c r="D382" s="2057"/>
      <c r="E382" s="2058"/>
      <c r="F382" s="2059"/>
      <c r="G382" s="2059"/>
      <c r="H382" s="2059"/>
      <c r="I382" s="2058"/>
      <c r="J382" s="2058">
        <f>SUM(J375:J381)</f>
        <v>5960.18</v>
      </c>
    </row>
    <row r="383" spans="1:10" s="2020" customFormat="1" ht="20.2" hidden="1" customHeight="1">
      <c r="A383" s="2051"/>
      <c r="B383" s="2070"/>
      <c r="C383" s="1997" t="s">
        <v>1600</v>
      </c>
      <c r="D383" s="2071"/>
      <c r="E383" s="2069"/>
      <c r="F383" s="2072"/>
      <c r="G383" s="2072"/>
      <c r="H383" s="2072">
        <f>J382</f>
        <v>5960.18</v>
      </c>
      <c r="I383" s="2069">
        <f>I6</f>
        <v>0</v>
      </c>
      <c r="J383" s="2058">
        <f>ROUND(H383*I383,2)</f>
        <v>0</v>
      </c>
    </row>
    <row r="384" spans="1:10" s="2030" customFormat="1" ht="20.2" hidden="1" customHeight="1">
      <c r="A384" s="2051" t="s">
        <v>542</v>
      </c>
      <c r="B384" s="2073"/>
      <c r="C384" s="2093" t="s">
        <v>545</v>
      </c>
      <c r="D384" s="2074"/>
      <c r="E384" s="2075"/>
      <c r="F384" s="2076"/>
      <c r="G384" s="2076"/>
      <c r="H384" s="2076"/>
      <c r="I384" s="2075" t="s">
        <v>1486</v>
      </c>
      <c r="J384" s="2075">
        <f>SUM(J382:J383)</f>
        <v>5960.18</v>
      </c>
    </row>
    <row r="385" spans="1:10" s="2030" customFormat="1" ht="20.2" hidden="1" customHeight="1">
      <c r="A385" s="2051">
        <v>0</v>
      </c>
      <c r="B385" s="2073"/>
      <c r="C385" s="2093" t="s">
        <v>546</v>
      </c>
      <c r="D385" s="2074"/>
      <c r="E385" s="2075"/>
      <c r="F385" s="2076"/>
      <c r="G385" s="2076"/>
      <c r="H385" s="2076"/>
      <c r="I385" s="2075" t="s">
        <v>1486</v>
      </c>
      <c r="J385" s="2075">
        <f>J372-J384</f>
        <v>5761.7699999999986</v>
      </c>
    </row>
    <row r="386" spans="1:10" ht="151.19999999999999" hidden="1">
      <c r="A386" s="2051"/>
      <c r="B386" s="2052">
        <v>6</v>
      </c>
      <c r="C386" s="1997" t="s">
        <v>1833</v>
      </c>
      <c r="D386" s="2057"/>
      <c r="E386" s="2058"/>
      <c r="F386" s="2059"/>
      <c r="G386" s="2059"/>
      <c r="H386" s="2059"/>
      <c r="I386" s="2058"/>
      <c r="J386" s="2058"/>
    </row>
    <row r="387" spans="1:10" hidden="1">
      <c r="A387" s="2051"/>
      <c r="B387" s="2056"/>
      <c r="C387" s="2014" t="s">
        <v>947</v>
      </c>
      <c r="D387" s="2057"/>
      <c r="E387" s="2058"/>
      <c r="F387" s="2059"/>
      <c r="G387" s="2059"/>
      <c r="H387" s="2059"/>
      <c r="I387" s="2058"/>
      <c r="J387" s="2058"/>
    </row>
    <row r="388" spans="1:10" hidden="1">
      <c r="A388" s="2051"/>
      <c r="B388" s="2056"/>
      <c r="C388" s="1997" t="s">
        <v>848</v>
      </c>
      <c r="D388" s="2057"/>
      <c r="E388" s="2058"/>
      <c r="F388" s="2059"/>
      <c r="G388" s="2059"/>
      <c r="H388" s="2059"/>
      <c r="I388" s="2058"/>
      <c r="J388" s="2058"/>
    </row>
    <row r="389" spans="1:10" ht="20.2" hidden="1" customHeight="1">
      <c r="A389" s="2051"/>
      <c r="B389" s="2056"/>
      <c r="C389" s="1997" t="s">
        <v>780</v>
      </c>
      <c r="D389" s="2057">
        <v>5</v>
      </c>
      <c r="E389" s="2058">
        <v>1.3</v>
      </c>
      <c r="F389" s="2059">
        <v>0.1</v>
      </c>
      <c r="G389" s="2059">
        <v>7.4999999999999997E-2</v>
      </c>
      <c r="H389" s="2059">
        <f>ROUND(D389*E389*F389*G389,3)</f>
        <v>4.9000000000000002E-2</v>
      </c>
      <c r="I389" s="2058">
        <f>I354</f>
        <v>54224</v>
      </c>
      <c r="J389" s="2058">
        <f>ROUND(H389*I389,2)</f>
        <v>2656.98</v>
      </c>
    </row>
    <row r="390" spans="1:10" ht="20.2" hidden="1" customHeight="1">
      <c r="A390" s="2051"/>
      <c r="B390" s="2056"/>
      <c r="C390" s="1997" t="s">
        <v>441</v>
      </c>
      <c r="D390" s="2057">
        <v>2</v>
      </c>
      <c r="E390" s="2058">
        <v>2</v>
      </c>
      <c r="F390" s="2059">
        <v>0.1</v>
      </c>
      <c r="G390" s="2059">
        <v>7.4999999999999997E-2</v>
      </c>
      <c r="H390" s="2059">
        <f>ROUND(D390*E390*F390*G390,3)</f>
        <v>0.03</v>
      </c>
      <c r="I390" s="2058">
        <f>I355</f>
        <v>54224</v>
      </c>
      <c r="J390" s="2058">
        <f>ROUND(H390*I390,2)</f>
        <v>1626.72</v>
      </c>
    </row>
    <row r="391" spans="1:10" ht="20.2" hidden="1" customHeight="1">
      <c r="A391" s="2051"/>
      <c r="B391" s="2056"/>
      <c r="C391" s="1997" t="s">
        <v>782</v>
      </c>
      <c r="D391" s="2057" t="s">
        <v>854</v>
      </c>
      <c r="E391" s="2058">
        <f>(1.35-2*0.075+2*0.015)</f>
        <v>1.2300000000000002</v>
      </c>
      <c r="F391" s="2059">
        <v>7.4999999999999997E-2</v>
      </c>
      <c r="G391" s="2059">
        <v>3.2000000000000001E-2</v>
      </c>
      <c r="H391" s="2059">
        <f>ROUND(8*E391*F391*G391,3)</f>
        <v>2.4E-2</v>
      </c>
      <c r="I391" s="2058">
        <f>I356</f>
        <v>72298</v>
      </c>
      <c r="J391" s="2058">
        <f>ROUND(H391*I391,2)</f>
        <v>1735.15</v>
      </c>
    </row>
    <row r="392" spans="1:10" ht="20.2" hidden="1" customHeight="1">
      <c r="A392" s="2051"/>
      <c r="B392" s="2056"/>
      <c r="C392" s="1997" t="s">
        <v>783</v>
      </c>
      <c r="D392" s="2057" t="s">
        <v>855</v>
      </c>
      <c r="E392" s="2058">
        <f>(1.85-5*0.075+8*0.015)/4</f>
        <v>0.39875000000000005</v>
      </c>
      <c r="F392" s="2059">
        <v>7.4999999999999997E-2</v>
      </c>
      <c r="G392" s="2059">
        <v>3.2000000000000001E-2</v>
      </c>
      <c r="H392" s="2059">
        <f>ROUND(12*E392*F392*G392,3)</f>
        <v>1.0999999999999999E-2</v>
      </c>
      <c r="I392" s="2058">
        <f>I357</f>
        <v>72298</v>
      </c>
      <c r="J392" s="2058">
        <f>ROUND(H392*I392,2)</f>
        <v>795.28</v>
      </c>
    </row>
    <row r="393" spans="1:10" ht="35.200000000000003" hidden="1" customHeight="1">
      <c r="A393" s="2051" t="s">
        <v>418</v>
      </c>
      <c r="C393" s="1997" t="s">
        <v>417</v>
      </c>
      <c r="D393" s="2057" t="s">
        <v>854</v>
      </c>
      <c r="E393" s="2058">
        <f>(1.85-5*0.075+8*0.015)/4+2*0.025</f>
        <v>0.44875000000000004</v>
      </c>
      <c r="F393" s="2059">
        <f>(1.35-2*0.075+2*0.015-3*0.075)/2+2*0.025</f>
        <v>0.55250000000000021</v>
      </c>
      <c r="G393" s="2059">
        <f>ROUND(8*E393*F393,3)</f>
        <v>1.9830000000000001</v>
      </c>
      <c r="H393" s="2059"/>
      <c r="I393" s="2058">
        <f>I358</f>
        <v>909</v>
      </c>
      <c r="J393" s="2058">
        <f>ROUND(G393*I393,2)</f>
        <v>1802.55</v>
      </c>
    </row>
    <row r="394" spans="1:10" ht="20.2" hidden="1" customHeight="1">
      <c r="A394" s="2051"/>
      <c r="B394" s="2056"/>
      <c r="C394" s="1997" t="s">
        <v>1482</v>
      </c>
      <c r="D394" s="2057"/>
      <c r="E394" s="2058"/>
      <c r="F394" s="2059"/>
      <c r="G394" s="2059"/>
      <c r="H394" s="2059">
        <f>SUM(H389:H393)</f>
        <v>0.114</v>
      </c>
      <c r="I394" s="2060">
        <f>G25</f>
        <v>19572.5</v>
      </c>
      <c r="J394" s="2058">
        <f>ROUND(H394*I394,2)</f>
        <v>2231.27</v>
      </c>
    </row>
    <row r="395" spans="1:10" ht="30.6" hidden="1">
      <c r="A395" s="2051" t="s">
        <v>787</v>
      </c>
      <c r="B395" s="2032"/>
      <c r="C395" s="1997" t="s">
        <v>788</v>
      </c>
      <c r="D395" s="2057"/>
      <c r="E395" s="2058"/>
      <c r="F395" s="2059"/>
      <c r="G395" s="2061"/>
      <c r="H395" s="2061"/>
      <c r="I395" s="2058"/>
      <c r="J395" s="2058"/>
    </row>
    <row r="396" spans="1:10" ht="20.2" hidden="1" customHeight="1">
      <c r="A396" s="2051"/>
      <c r="B396" s="2081"/>
      <c r="C396" s="2082" t="s">
        <v>915</v>
      </c>
      <c r="D396" s="2058" t="s">
        <v>1035</v>
      </c>
      <c r="E396" s="2059" t="s">
        <v>1624</v>
      </c>
      <c r="F396" s="2059"/>
      <c r="G396" s="2059"/>
      <c r="H396" s="2063">
        <v>4</v>
      </c>
      <c r="I396" s="2058">
        <f t="shared" ref="I396:I401" si="30">I361</f>
        <v>42</v>
      </c>
      <c r="J396" s="2058">
        <f t="shared" ref="J396:J401" si="31">ROUND(H396*I396,2)</f>
        <v>168</v>
      </c>
    </row>
    <row r="397" spans="1:10" ht="20.2" hidden="1" customHeight="1">
      <c r="A397" s="2051"/>
      <c r="B397" s="2081"/>
      <c r="C397" s="2089" t="s">
        <v>916</v>
      </c>
      <c r="D397" s="2058" t="s">
        <v>1035</v>
      </c>
      <c r="E397" s="2059" t="s">
        <v>1624</v>
      </c>
      <c r="F397" s="2059"/>
      <c r="G397" s="2059"/>
      <c r="H397" s="2063">
        <v>4</v>
      </c>
      <c r="I397" s="2058">
        <f t="shared" si="30"/>
        <v>42</v>
      </c>
      <c r="J397" s="2058">
        <f t="shared" si="31"/>
        <v>168</v>
      </c>
    </row>
    <row r="398" spans="1:10" ht="20.2" hidden="1" customHeight="1">
      <c r="A398" s="2051"/>
      <c r="B398" s="2081"/>
      <c r="C398" s="2090" t="s">
        <v>917</v>
      </c>
      <c r="D398" s="2058" t="s">
        <v>1035</v>
      </c>
      <c r="E398" s="2059" t="s">
        <v>1625</v>
      </c>
      <c r="F398" s="2059"/>
      <c r="G398" s="2059"/>
      <c r="H398" s="2063">
        <v>8</v>
      </c>
      <c r="I398" s="2058">
        <f t="shared" si="30"/>
        <v>27</v>
      </c>
      <c r="J398" s="2058">
        <f t="shared" si="31"/>
        <v>216</v>
      </c>
    </row>
    <row r="399" spans="1:10" ht="20.2" hidden="1" customHeight="1">
      <c r="A399" s="2051"/>
      <c r="B399" s="2081"/>
      <c r="C399" s="2082" t="s">
        <v>918</v>
      </c>
      <c r="D399" s="2058" t="s">
        <v>1035</v>
      </c>
      <c r="E399" s="2059" t="s">
        <v>1626</v>
      </c>
      <c r="F399" s="2059"/>
      <c r="G399" s="2059"/>
      <c r="H399" s="2063">
        <v>4</v>
      </c>
      <c r="I399" s="2058">
        <f t="shared" si="30"/>
        <v>256</v>
      </c>
      <c r="J399" s="2058">
        <f t="shared" si="31"/>
        <v>1024</v>
      </c>
    </row>
    <row r="400" spans="1:10" ht="20.2" hidden="1" customHeight="1">
      <c r="A400" s="2051"/>
      <c r="B400" s="2081"/>
      <c r="C400" s="2082" t="s">
        <v>799</v>
      </c>
      <c r="D400" s="2058" t="s">
        <v>1035</v>
      </c>
      <c r="E400" s="2059" t="s">
        <v>1652</v>
      </c>
      <c r="F400" s="2059"/>
      <c r="G400" s="2059"/>
      <c r="H400" s="2063">
        <v>120</v>
      </c>
      <c r="I400" s="2058">
        <f t="shared" si="30"/>
        <v>7</v>
      </c>
      <c r="J400" s="2058">
        <f t="shared" si="31"/>
        <v>840</v>
      </c>
    </row>
    <row r="401" spans="1:10" ht="20.2" hidden="1" customHeight="1">
      <c r="A401" s="2051"/>
      <c r="B401" s="2067"/>
      <c r="C401" s="1997" t="s">
        <v>1598</v>
      </c>
      <c r="D401" s="2058" t="s">
        <v>1035</v>
      </c>
      <c r="E401" s="2068" t="s">
        <v>1651</v>
      </c>
      <c r="F401" s="2059"/>
      <c r="G401" s="2059"/>
      <c r="H401" s="2063">
        <v>4</v>
      </c>
      <c r="I401" s="2058">
        <f t="shared" si="30"/>
        <v>41</v>
      </c>
      <c r="J401" s="2058">
        <f t="shared" si="31"/>
        <v>164</v>
      </c>
    </row>
    <row r="402" spans="1:10" ht="20.2" hidden="1" customHeight="1">
      <c r="A402" s="2051"/>
      <c r="B402" s="2056"/>
      <c r="C402" s="1997" t="s">
        <v>1484</v>
      </c>
      <c r="D402" s="2057">
        <v>2.75</v>
      </c>
      <c r="E402" s="2058">
        <v>1.8</v>
      </c>
      <c r="F402" s="2059"/>
      <c r="G402" s="2058">
        <v>1.35</v>
      </c>
      <c r="H402" s="2059">
        <f>ROUND(G402*E402*D402,2)</f>
        <v>6.68</v>
      </c>
      <c r="I402" s="2066">
        <f>G15</f>
        <v>670.23599999999999</v>
      </c>
      <c r="J402" s="2058">
        <f>ROUND(H402*I402/10,2)</f>
        <v>447.72</v>
      </c>
    </row>
    <row r="403" spans="1:10" ht="20.2" hidden="1" customHeight="1">
      <c r="A403" s="2051"/>
      <c r="B403" s="2056"/>
      <c r="C403" s="2092" t="s">
        <v>1306</v>
      </c>
      <c r="D403" s="2057" t="s">
        <v>246</v>
      </c>
      <c r="E403" s="2058">
        <v>1.8</v>
      </c>
      <c r="F403" s="2059">
        <f>10*1.8</f>
        <v>18</v>
      </c>
      <c r="G403" s="2058">
        <v>1.1299999999999999</v>
      </c>
      <c r="H403" s="2059">
        <f>G403*F403</f>
        <v>20.339999999999996</v>
      </c>
      <c r="I403" s="2060">
        <f>[221]Lead!R10/1000</f>
        <v>60</v>
      </c>
      <c r="J403" s="2058">
        <f>H403*I403</f>
        <v>1220.3999999999999</v>
      </c>
    </row>
    <row r="404" spans="1:10" ht="20.2" hidden="1" customHeight="1">
      <c r="A404" s="2051"/>
      <c r="B404" s="2056"/>
      <c r="C404" s="1997" t="s">
        <v>230</v>
      </c>
      <c r="D404" s="2057"/>
      <c r="E404" s="2058"/>
      <c r="F404" s="2059"/>
      <c r="G404" s="2059"/>
      <c r="H404" s="2063">
        <v>1</v>
      </c>
      <c r="I404" s="2058">
        <v>150</v>
      </c>
      <c r="J404" s="2058">
        <f>H408*I408</f>
        <v>0</v>
      </c>
    </row>
    <row r="405" spans="1:10" ht="20.2" hidden="1" customHeight="1">
      <c r="A405" s="2051"/>
      <c r="B405" s="2056"/>
      <c r="D405" s="2057"/>
      <c r="E405" s="2058"/>
      <c r="F405" s="2059"/>
      <c r="G405" s="2059"/>
      <c r="H405" s="2059"/>
      <c r="I405" s="2058"/>
      <c r="J405" s="2058">
        <f>SUM(J389:J404)</f>
        <v>15096.07</v>
      </c>
    </row>
    <row r="406" spans="1:10" s="2020" customFormat="1" ht="20.2" hidden="1" customHeight="1">
      <c r="A406" s="2051"/>
      <c r="B406" s="2070"/>
      <c r="C406" s="1997" t="s">
        <v>1600</v>
      </c>
      <c r="D406" s="2071"/>
      <c r="E406" s="2069"/>
      <c r="F406" s="2072"/>
      <c r="G406" s="2072"/>
      <c r="H406" s="2072">
        <f>J405</f>
        <v>15096.07</v>
      </c>
      <c r="I406" s="2069">
        <f>I6</f>
        <v>0</v>
      </c>
      <c r="J406" s="2058">
        <f>ROUND(H406*I406,2)</f>
        <v>0</v>
      </c>
    </row>
    <row r="407" spans="1:10" s="2030" customFormat="1" ht="20.2" hidden="1" customHeight="1">
      <c r="A407" s="2051" t="s">
        <v>547</v>
      </c>
      <c r="B407" s="2073"/>
      <c r="C407" s="2023" t="s">
        <v>256</v>
      </c>
      <c r="D407" s="2074"/>
      <c r="E407" s="2075"/>
      <c r="F407" s="2076"/>
      <c r="G407" s="2076"/>
      <c r="H407" s="2076"/>
      <c r="I407" s="2075" t="s">
        <v>416</v>
      </c>
      <c r="J407" s="2075">
        <f>SUM(J405:J406)</f>
        <v>15096.07</v>
      </c>
    </row>
    <row r="408" spans="1:10" ht="20.399999999999999" hidden="1">
      <c r="A408" s="2051"/>
      <c r="B408" s="2056"/>
      <c r="C408" s="2095" t="s">
        <v>14</v>
      </c>
      <c r="D408" s="2057"/>
      <c r="E408" s="2058"/>
      <c r="F408" s="2059"/>
      <c r="G408" s="2059"/>
      <c r="H408" s="2059"/>
      <c r="I408" s="2058"/>
      <c r="J408" s="2058"/>
    </row>
    <row r="409" spans="1:10" hidden="1">
      <c r="A409" s="2051"/>
      <c r="B409" s="2056"/>
      <c r="C409" s="1997" t="s">
        <v>848</v>
      </c>
      <c r="D409" s="2057"/>
      <c r="E409" s="2058"/>
      <c r="F409" s="2059"/>
      <c r="G409" s="2059"/>
      <c r="H409" s="2059"/>
      <c r="I409" s="2058"/>
      <c r="J409" s="2058"/>
    </row>
    <row r="410" spans="1:10" ht="20.2" hidden="1" customHeight="1">
      <c r="A410" s="2051"/>
      <c r="B410" s="2056"/>
      <c r="C410" s="1997" t="s">
        <v>780</v>
      </c>
      <c r="D410" s="2057">
        <v>5</v>
      </c>
      <c r="E410" s="2058">
        <v>1.3</v>
      </c>
      <c r="F410" s="2059">
        <v>0.1</v>
      </c>
      <c r="G410" s="2059">
        <v>7.4999999999999997E-2</v>
      </c>
      <c r="H410" s="2059">
        <f>ROUND(D410*E410*F410*G410,3)</f>
        <v>4.9000000000000002E-2</v>
      </c>
      <c r="I410" s="2058">
        <f>I375</f>
        <v>54224</v>
      </c>
      <c r="J410" s="2058">
        <f>ROUND(H410*I410,2)</f>
        <v>2656.98</v>
      </c>
    </row>
    <row r="411" spans="1:10" ht="20.2" hidden="1" customHeight="1">
      <c r="A411" s="2051"/>
      <c r="B411" s="2056"/>
      <c r="C411" s="1997" t="s">
        <v>441</v>
      </c>
      <c r="D411" s="2057">
        <v>2</v>
      </c>
      <c r="E411" s="2058">
        <v>2</v>
      </c>
      <c r="F411" s="2059">
        <v>0.1</v>
      </c>
      <c r="G411" s="2059">
        <v>7.4999999999999997E-2</v>
      </c>
      <c r="H411" s="2059">
        <f>ROUND(D411*E411*F411*G411,3)</f>
        <v>0.03</v>
      </c>
      <c r="I411" s="2058">
        <f>I376</f>
        <v>54224</v>
      </c>
      <c r="J411" s="2058">
        <f>ROUND(H411*I411,2)</f>
        <v>1626.72</v>
      </c>
    </row>
    <row r="412" spans="1:10" ht="20.2" hidden="1" customHeight="1">
      <c r="A412" s="2051"/>
      <c r="B412" s="2056"/>
      <c r="C412" s="1997" t="s">
        <v>1482</v>
      </c>
      <c r="D412" s="2057"/>
      <c r="E412" s="2058"/>
      <c r="F412" s="2059"/>
      <c r="G412" s="2059"/>
      <c r="H412" s="2059">
        <f>SUM(H410:H411)</f>
        <v>7.9000000000000001E-2</v>
      </c>
      <c r="I412" s="2060">
        <f>G25</f>
        <v>19572.5</v>
      </c>
      <c r="J412" s="2058">
        <f>ROUND(H412*I412,2)</f>
        <v>1546.23</v>
      </c>
    </row>
    <row r="413" spans="1:10" ht="30.6" hidden="1">
      <c r="A413" s="2051" t="s">
        <v>787</v>
      </c>
      <c r="B413" s="2032"/>
      <c r="C413" s="1997" t="s">
        <v>788</v>
      </c>
      <c r="D413" s="2057"/>
      <c r="E413" s="2058"/>
      <c r="F413" s="2059"/>
      <c r="G413" s="2061"/>
      <c r="H413" s="2061"/>
      <c r="I413" s="2058"/>
      <c r="J413" s="2058"/>
    </row>
    <row r="414" spans="1:10" ht="20.2" hidden="1" customHeight="1">
      <c r="A414" s="2051"/>
      <c r="B414" s="2067"/>
      <c r="C414" s="1997" t="s">
        <v>1598</v>
      </c>
      <c r="D414" s="2057"/>
      <c r="E414" s="2068" t="s">
        <v>1651</v>
      </c>
      <c r="F414" s="2059"/>
      <c r="G414" s="2059"/>
      <c r="H414" s="2063">
        <v>4</v>
      </c>
      <c r="I414" s="2058">
        <f>I401</f>
        <v>41</v>
      </c>
      <c r="J414" s="2058">
        <f>ROUND(H414*I414,2)</f>
        <v>164</v>
      </c>
    </row>
    <row r="415" spans="1:10" ht="20.2" hidden="1" customHeight="1">
      <c r="A415" s="2051"/>
      <c r="B415" s="2056"/>
      <c r="C415" s="1997" t="s">
        <v>1484</v>
      </c>
      <c r="D415" s="2057">
        <v>2.75</v>
      </c>
      <c r="E415" s="2058">
        <v>1.8</v>
      </c>
      <c r="F415" s="2059"/>
      <c r="G415" s="2058">
        <v>1.3</v>
      </c>
      <c r="H415" s="2059">
        <f>ROUND(G415*E415*D415,2)</f>
        <v>6.44</v>
      </c>
      <c r="I415" s="2066">
        <f>G15</f>
        <v>670.23599999999999</v>
      </c>
      <c r="J415" s="2058">
        <f>ROUND(H415*I415/10,2)</f>
        <v>431.63</v>
      </c>
    </row>
    <row r="416" spans="1:10" ht="20.2" hidden="1" customHeight="1">
      <c r="A416" s="2051"/>
      <c r="B416" s="2056"/>
      <c r="C416" s="2092" t="s">
        <v>1306</v>
      </c>
      <c r="D416" s="2057" t="s">
        <v>246</v>
      </c>
      <c r="E416" s="2058">
        <v>1.8</v>
      </c>
      <c r="F416" s="2059">
        <f>10*1.8</f>
        <v>18</v>
      </c>
      <c r="G416" s="2058">
        <v>1.1299999999999999</v>
      </c>
      <c r="H416" s="2059">
        <f>G416*F416</f>
        <v>20.339999999999996</v>
      </c>
      <c r="I416" s="2060">
        <f>[221]Lead!R10/1000</f>
        <v>60</v>
      </c>
      <c r="J416" s="2058">
        <f>H416*I416</f>
        <v>1220.3999999999999</v>
      </c>
    </row>
    <row r="417" spans="1:10" ht="20.2" hidden="1" customHeight="1">
      <c r="A417" s="2051"/>
      <c r="B417" s="2056"/>
      <c r="C417" s="1997" t="s">
        <v>230</v>
      </c>
      <c r="D417" s="2057"/>
      <c r="E417" s="2058"/>
      <c r="F417" s="2059"/>
      <c r="G417" s="2059"/>
      <c r="H417" s="2063">
        <v>1</v>
      </c>
      <c r="I417" s="2058">
        <v>75</v>
      </c>
      <c r="J417" s="2058">
        <f>H417*I417</f>
        <v>75</v>
      </c>
    </row>
    <row r="418" spans="1:10" ht="20.2" hidden="1" customHeight="1">
      <c r="A418" s="2051"/>
      <c r="B418" s="2056"/>
      <c r="D418" s="2057"/>
      <c r="E418" s="2058"/>
      <c r="F418" s="2059"/>
      <c r="G418" s="2059"/>
      <c r="H418" s="2059"/>
      <c r="I418" s="2058"/>
      <c r="J418" s="2058">
        <f>SUM(J410:J417)</f>
        <v>7720.96</v>
      </c>
    </row>
    <row r="419" spans="1:10" s="2020" customFormat="1" ht="20.2" hidden="1" customHeight="1">
      <c r="A419" s="2051"/>
      <c r="B419" s="2070"/>
      <c r="C419" s="1997" t="s">
        <v>1600</v>
      </c>
      <c r="D419" s="2071"/>
      <c r="E419" s="2069"/>
      <c r="F419" s="2072"/>
      <c r="G419" s="2072"/>
      <c r="H419" s="2072">
        <f>[221]Lead!Q31</f>
        <v>0</v>
      </c>
      <c r="I419" s="2069">
        <f>J418</f>
        <v>7720.96</v>
      </c>
      <c r="J419" s="2058">
        <f>ROUND(H419*I419,2)</f>
        <v>0</v>
      </c>
    </row>
    <row r="420" spans="1:10" s="2030" customFormat="1" ht="20.2" hidden="1" customHeight="1">
      <c r="A420" s="2051"/>
      <c r="B420" s="2073"/>
      <c r="C420" s="2093" t="s">
        <v>15</v>
      </c>
      <c r="D420" s="2074"/>
      <c r="E420" s="2075"/>
      <c r="F420" s="2076"/>
      <c r="G420" s="2076"/>
      <c r="H420" s="2076"/>
      <c r="I420" s="2075" t="s">
        <v>1486</v>
      </c>
      <c r="J420" s="2075">
        <f>SUM(J418:J419)</f>
        <v>7720.96</v>
      </c>
    </row>
    <row r="421" spans="1:10" s="2030" customFormat="1" ht="20.2" hidden="1" customHeight="1">
      <c r="A421" s="2051"/>
      <c r="B421" s="2073"/>
      <c r="C421" s="2093" t="s">
        <v>16</v>
      </c>
      <c r="D421" s="2074"/>
      <c r="E421" s="2075"/>
      <c r="F421" s="2076"/>
      <c r="G421" s="2076"/>
      <c r="H421" s="2076"/>
      <c r="I421" s="2075" t="s">
        <v>1486</v>
      </c>
      <c r="J421" s="2075">
        <f>J407-J420</f>
        <v>7375.11</v>
      </c>
    </row>
    <row r="422" spans="1:10" ht="88" hidden="1" customHeight="1">
      <c r="A422" s="2051"/>
      <c r="B422" s="2038">
        <v>8</v>
      </c>
      <c r="C422" s="2629" t="s">
        <v>1834</v>
      </c>
      <c r="D422" s="2630"/>
      <c r="E422" s="2630"/>
      <c r="F422" s="2630"/>
      <c r="G422" s="2630"/>
      <c r="H422" s="2630"/>
      <c r="I422" s="2631"/>
      <c r="J422" s="2058"/>
    </row>
    <row r="423" spans="1:10" hidden="1">
      <c r="A423" s="2051"/>
      <c r="B423" s="2056"/>
      <c r="C423" s="2014" t="s">
        <v>9</v>
      </c>
      <c r="D423" s="2057"/>
      <c r="E423" s="2058"/>
      <c r="F423" s="2059"/>
      <c r="G423" s="2059"/>
      <c r="H423" s="2059"/>
      <c r="I423" s="2058"/>
      <c r="J423" s="2058"/>
    </row>
    <row r="424" spans="1:10" s="2096" customFormat="1" hidden="1">
      <c r="A424" s="2051"/>
      <c r="B424" s="2056"/>
      <c r="C424" s="1997" t="s">
        <v>848</v>
      </c>
      <c r="D424" s="2057"/>
      <c r="E424" s="2058"/>
      <c r="F424" s="2059"/>
      <c r="G424" s="2059"/>
      <c r="H424" s="2059"/>
      <c r="I424" s="2058"/>
      <c r="J424" s="2058"/>
    </row>
    <row r="425" spans="1:10" s="2096" customFormat="1" hidden="1">
      <c r="A425" s="2051"/>
      <c r="B425" s="2056"/>
      <c r="C425" s="1997" t="s">
        <v>780</v>
      </c>
      <c r="D425" s="2057">
        <v>4</v>
      </c>
      <c r="E425" s="2058">
        <v>1.2</v>
      </c>
      <c r="F425" s="2059">
        <v>0.1</v>
      </c>
      <c r="G425" s="2059">
        <v>7.4999999999999997E-2</v>
      </c>
      <c r="H425" s="2059">
        <f>ROUND(D425*E425*F425*G425,3)</f>
        <v>3.5999999999999997E-2</v>
      </c>
      <c r="I425" s="2058">
        <f>I389</f>
        <v>54224</v>
      </c>
      <c r="J425" s="2058">
        <f t="shared" ref="J425:J430" si="32">ROUND(H425*I425,2)</f>
        <v>1952.06</v>
      </c>
    </row>
    <row r="426" spans="1:10" hidden="1">
      <c r="A426" s="2051"/>
      <c r="B426" s="2056"/>
      <c r="C426" s="1997" t="s">
        <v>781</v>
      </c>
      <c r="D426" s="2057">
        <v>2</v>
      </c>
      <c r="E426" s="2058">
        <v>1.35</v>
      </c>
      <c r="F426" s="2059">
        <v>0.1</v>
      </c>
      <c r="G426" s="2059">
        <v>7.4999999999999997E-2</v>
      </c>
      <c r="H426" s="2059">
        <f>ROUND(D426*E426*F426*G426,3)</f>
        <v>0.02</v>
      </c>
      <c r="I426" s="2058">
        <f>I390</f>
        <v>54224</v>
      </c>
      <c r="J426" s="2058">
        <f t="shared" si="32"/>
        <v>1084.48</v>
      </c>
    </row>
    <row r="427" spans="1:10" hidden="1">
      <c r="A427" s="2051"/>
      <c r="B427" s="2056"/>
      <c r="C427" s="1997" t="s">
        <v>782</v>
      </c>
      <c r="D427" s="2057" t="s">
        <v>243</v>
      </c>
      <c r="E427" s="2088">
        <f>(1.2-2*0.075+2*0.015)</f>
        <v>1.08</v>
      </c>
      <c r="F427" s="2059">
        <v>7.4999999999999997E-2</v>
      </c>
      <c r="G427" s="2059">
        <f>1.25*25.4/1000</f>
        <v>3.175E-2</v>
      </c>
      <c r="H427" s="2059">
        <f>ROUND(6*E427*F427*G427,3)</f>
        <v>1.4999999999999999E-2</v>
      </c>
      <c r="I427" s="2058">
        <f>I391</f>
        <v>72298</v>
      </c>
      <c r="J427" s="2058">
        <f t="shared" si="32"/>
        <v>1084.47</v>
      </c>
    </row>
    <row r="428" spans="1:10" hidden="1">
      <c r="A428" s="2051"/>
      <c r="B428" s="2056"/>
      <c r="C428" s="1997" t="s">
        <v>783</v>
      </c>
      <c r="D428" s="2057" t="s">
        <v>244</v>
      </c>
      <c r="E428" s="2058">
        <f>(1.2-3*0.075+4*0.015)/2</f>
        <v>0.51749999999999996</v>
      </c>
      <c r="F428" s="2059">
        <v>7.4999999999999997E-2</v>
      </c>
      <c r="G428" s="2059">
        <f>1.25*25.4/1000</f>
        <v>3.175E-2</v>
      </c>
      <c r="H428" s="2059">
        <f>ROUND(9*E428*F428*G428,3)</f>
        <v>1.0999999999999999E-2</v>
      </c>
      <c r="I428" s="2058">
        <f>I392</f>
        <v>72298</v>
      </c>
      <c r="J428" s="2058">
        <f t="shared" si="32"/>
        <v>795.28</v>
      </c>
    </row>
    <row r="429" spans="1:10" hidden="1">
      <c r="A429" s="2051"/>
      <c r="B429" s="2056"/>
      <c r="C429" s="1997" t="s">
        <v>1481</v>
      </c>
      <c r="D429" s="2057" t="s">
        <v>245</v>
      </c>
      <c r="E429" s="2058">
        <f>(1.2-4*0.075+6*0.015)/3-2*0.075+2*0.025</f>
        <v>0.22999999999999998</v>
      </c>
      <c r="F429" s="2059">
        <f>(1.2-2*0.075+2*0.015-3*0.075)/2+2*0.025</f>
        <v>0.47750000000000004</v>
      </c>
      <c r="G429" s="2059">
        <v>2.5000000000000001E-2</v>
      </c>
      <c r="H429" s="2059">
        <f>ROUND(6*E429*F429*G429,3)</f>
        <v>1.6E-2</v>
      </c>
      <c r="I429" s="2065">
        <f>I428</f>
        <v>72298</v>
      </c>
      <c r="J429" s="2058">
        <f t="shared" si="32"/>
        <v>1156.77</v>
      </c>
    </row>
    <row r="430" spans="1:10" hidden="1">
      <c r="A430" s="2051"/>
      <c r="B430" s="2056"/>
      <c r="C430" s="1997" t="s">
        <v>1482</v>
      </c>
      <c r="D430" s="2057"/>
      <c r="E430" s="2058"/>
      <c r="F430" s="2059"/>
      <c r="G430" s="2059"/>
      <c r="H430" s="2059">
        <f>SUM(H425:H429)</f>
        <v>9.799999999999999E-2</v>
      </c>
      <c r="I430" s="2060">
        <f>G25</f>
        <v>19572.5</v>
      </c>
      <c r="J430" s="2058">
        <f t="shared" si="32"/>
        <v>1918.11</v>
      </c>
    </row>
    <row r="431" spans="1:10" ht="30.6" hidden="1">
      <c r="A431" s="2051" t="s">
        <v>787</v>
      </c>
      <c r="B431" s="2032"/>
      <c r="C431" s="1997" t="s">
        <v>788</v>
      </c>
      <c r="D431" s="2057"/>
      <c r="E431" s="2058"/>
      <c r="F431" s="2059"/>
      <c r="G431" s="2061"/>
      <c r="H431" s="2061"/>
      <c r="I431" s="2058"/>
      <c r="J431" s="2058"/>
    </row>
    <row r="432" spans="1:10" hidden="1">
      <c r="A432" s="2051"/>
      <c r="B432" s="2081"/>
      <c r="C432" s="2082" t="s">
        <v>915</v>
      </c>
      <c r="D432" s="2058" t="s">
        <v>1035</v>
      </c>
      <c r="E432" s="2059" t="s">
        <v>1624</v>
      </c>
      <c r="F432" s="2059"/>
      <c r="G432" s="2059"/>
      <c r="H432" s="2063">
        <v>3</v>
      </c>
      <c r="I432" s="2058">
        <f t="shared" ref="I432:I437" si="33">I396</f>
        <v>42</v>
      </c>
      <c r="J432" s="2058">
        <f t="shared" ref="J432:J437" si="34">ROUND(H432*I432,2)</f>
        <v>126</v>
      </c>
    </row>
    <row r="433" spans="1:10" hidden="1">
      <c r="A433" s="2051"/>
      <c r="B433" s="2081"/>
      <c r="C433" s="2089" t="s">
        <v>916</v>
      </c>
      <c r="D433" s="2058" t="s">
        <v>1035</v>
      </c>
      <c r="E433" s="2059" t="s">
        <v>1624</v>
      </c>
      <c r="F433" s="2059"/>
      <c r="G433" s="2059"/>
      <c r="H433" s="2063">
        <v>3</v>
      </c>
      <c r="I433" s="2058">
        <f t="shared" si="33"/>
        <v>42</v>
      </c>
      <c r="J433" s="2058">
        <f t="shared" si="34"/>
        <v>126</v>
      </c>
    </row>
    <row r="434" spans="1:10" hidden="1">
      <c r="A434" s="2051"/>
      <c r="B434" s="2081"/>
      <c r="C434" s="2090" t="s">
        <v>917</v>
      </c>
      <c r="D434" s="2058" t="s">
        <v>1035</v>
      </c>
      <c r="E434" s="2059" t="s">
        <v>1625</v>
      </c>
      <c r="F434" s="2059"/>
      <c r="G434" s="2059"/>
      <c r="H434" s="2063">
        <v>6</v>
      </c>
      <c r="I434" s="2058">
        <f t="shared" si="33"/>
        <v>27</v>
      </c>
      <c r="J434" s="2058">
        <f t="shared" si="34"/>
        <v>162</v>
      </c>
    </row>
    <row r="435" spans="1:10" hidden="1">
      <c r="A435" s="2051"/>
      <c r="B435" s="2081"/>
      <c r="C435" s="2082" t="s">
        <v>918</v>
      </c>
      <c r="D435" s="2058" t="s">
        <v>1035</v>
      </c>
      <c r="E435" s="2059" t="s">
        <v>1626</v>
      </c>
      <c r="F435" s="2059"/>
      <c r="G435" s="2059"/>
      <c r="H435" s="2063">
        <v>3</v>
      </c>
      <c r="I435" s="2058">
        <f t="shared" si="33"/>
        <v>256</v>
      </c>
      <c r="J435" s="2058">
        <f t="shared" si="34"/>
        <v>768</v>
      </c>
    </row>
    <row r="436" spans="1:10" hidden="1">
      <c r="A436" s="2051"/>
      <c r="B436" s="2081"/>
      <c r="C436" s="2082" t="s">
        <v>799</v>
      </c>
      <c r="D436" s="2058" t="s">
        <v>1035</v>
      </c>
      <c r="E436" s="2059" t="s">
        <v>1652</v>
      </c>
      <c r="F436" s="2059"/>
      <c r="G436" s="2059"/>
      <c r="H436" s="2063">
        <v>90</v>
      </c>
      <c r="I436" s="2058">
        <f t="shared" si="33"/>
        <v>7</v>
      </c>
      <c r="J436" s="2058">
        <f t="shared" si="34"/>
        <v>630</v>
      </c>
    </row>
    <row r="437" spans="1:10" hidden="1">
      <c r="A437" s="2051"/>
      <c r="B437" s="2081"/>
      <c r="C437" s="2082" t="s">
        <v>1598</v>
      </c>
      <c r="D437" s="2058" t="s">
        <v>1035</v>
      </c>
      <c r="E437" s="2068" t="s">
        <v>1651</v>
      </c>
      <c r="F437" s="2059"/>
      <c r="G437" s="2059"/>
      <c r="H437" s="2063">
        <v>4</v>
      </c>
      <c r="I437" s="2058">
        <f t="shared" si="33"/>
        <v>41</v>
      </c>
      <c r="J437" s="2058">
        <f t="shared" si="34"/>
        <v>164</v>
      </c>
    </row>
    <row r="438" spans="1:10" hidden="1">
      <c r="A438" s="2051"/>
      <c r="B438" s="2056"/>
      <c r="C438" s="1997" t="s">
        <v>1484</v>
      </c>
      <c r="D438" s="2057">
        <v>2.75</v>
      </c>
      <c r="E438" s="2058">
        <v>1.2</v>
      </c>
      <c r="F438" s="2059"/>
      <c r="G438" s="2058">
        <v>1.2</v>
      </c>
      <c r="H438" s="2059">
        <f>ROUND(G438*E438*D438,2)</f>
        <v>3.96</v>
      </c>
      <c r="I438" s="2066">
        <f>G15</f>
        <v>670.23599999999999</v>
      </c>
      <c r="J438" s="2058">
        <f>ROUND(H438*I438/10,2)</f>
        <v>265.41000000000003</v>
      </c>
    </row>
    <row r="439" spans="1:10" hidden="1">
      <c r="A439" s="2051"/>
      <c r="B439" s="2056"/>
      <c r="C439" s="2092" t="s">
        <v>1306</v>
      </c>
      <c r="D439" s="2057" t="s">
        <v>10</v>
      </c>
      <c r="E439" s="2058">
        <v>1.2</v>
      </c>
      <c r="F439" s="2058">
        <f>E439*9</f>
        <v>10.799999999999999</v>
      </c>
      <c r="G439" s="2058">
        <v>1.1299999999999999</v>
      </c>
      <c r="H439" s="2059">
        <f>G439*F439</f>
        <v>12.203999999999997</v>
      </c>
      <c r="I439" s="2060">
        <f>I309</f>
        <v>69.62</v>
      </c>
      <c r="J439" s="2058">
        <f>H439*I439</f>
        <v>849.64247999999986</v>
      </c>
    </row>
    <row r="440" spans="1:10" hidden="1">
      <c r="A440" s="2051"/>
      <c r="B440" s="2056"/>
      <c r="C440" s="1997" t="s">
        <v>230</v>
      </c>
      <c r="D440" s="2057"/>
      <c r="E440" s="2058"/>
      <c r="F440" s="2059"/>
      <c r="G440" s="2059"/>
      <c r="H440" s="2063">
        <v>1</v>
      </c>
      <c r="I440" s="2058">
        <v>100</v>
      </c>
      <c r="J440" s="2058">
        <f>H440*I440</f>
        <v>100</v>
      </c>
    </row>
    <row r="441" spans="1:10" hidden="1">
      <c r="A441" s="2051"/>
      <c r="B441" s="2056"/>
      <c r="D441" s="2057"/>
      <c r="E441" s="2058"/>
      <c r="F441" s="2059"/>
      <c r="G441" s="2059"/>
      <c r="H441" s="2059"/>
      <c r="I441" s="2058"/>
      <c r="J441" s="2058">
        <f>SUM(J425:J440)</f>
        <v>11182.222479999999</v>
      </c>
    </row>
    <row r="442" spans="1:10" ht="25.2" hidden="1">
      <c r="A442" s="2051"/>
      <c r="B442" s="2070"/>
      <c r="C442" s="1997" t="s">
        <v>1600</v>
      </c>
      <c r="D442" s="2071"/>
      <c r="E442" s="2069"/>
      <c r="F442" s="2072"/>
      <c r="G442" s="2072"/>
      <c r="H442" s="2072">
        <f>[221]Lead!Q31</f>
        <v>0</v>
      </c>
      <c r="I442" s="2069">
        <f>J441</f>
        <v>11182.222479999999</v>
      </c>
      <c r="J442" s="2069">
        <f>ROUND(H442*I442,2)</f>
        <v>0</v>
      </c>
    </row>
    <row r="443" spans="1:10" hidden="1">
      <c r="A443" s="2051"/>
      <c r="B443" s="2073"/>
      <c r="C443" s="2023" t="s">
        <v>256</v>
      </c>
      <c r="D443" s="2074"/>
      <c r="E443" s="2075"/>
      <c r="F443" s="2076"/>
      <c r="G443" s="2076"/>
      <c r="H443" s="2076"/>
      <c r="I443" s="2075" t="s">
        <v>416</v>
      </c>
      <c r="J443" s="2075">
        <f>SUM(J441:J442)</f>
        <v>11182.222479999999</v>
      </c>
    </row>
    <row r="444" spans="1:10" ht="25.2" hidden="1">
      <c r="A444" s="2051"/>
      <c r="B444" s="2056"/>
      <c r="C444" s="2014" t="s">
        <v>11</v>
      </c>
      <c r="D444" s="2057"/>
      <c r="E444" s="2058"/>
      <c r="F444" s="2059"/>
      <c r="G444" s="2059"/>
      <c r="H444" s="2059"/>
      <c r="I444" s="2058"/>
      <c r="J444" s="2058"/>
    </row>
    <row r="445" spans="1:10" hidden="1">
      <c r="A445" s="2051"/>
      <c r="B445" s="2056"/>
      <c r="C445" s="1997" t="s">
        <v>848</v>
      </c>
      <c r="D445" s="2057"/>
      <c r="E445" s="2058"/>
      <c r="F445" s="2059"/>
      <c r="G445" s="2059"/>
      <c r="H445" s="2059"/>
      <c r="I445" s="2058"/>
      <c r="J445" s="2058"/>
    </row>
    <row r="446" spans="1:10" hidden="1">
      <c r="A446" s="2051"/>
      <c r="B446" s="2056"/>
      <c r="C446" s="1997" t="s">
        <v>780</v>
      </c>
      <c r="D446" s="2057">
        <v>4</v>
      </c>
      <c r="E446" s="2058">
        <v>1.2</v>
      </c>
      <c r="F446" s="2059">
        <v>0.1</v>
      </c>
      <c r="G446" s="2059">
        <v>7.4999999999999997E-2</v>
      </c>
      <c r="H446" s="2059">
        <f>ROUND(D446*E446*F446*G446,3)</f>
        <v>3.5999999999999997E-2</v>
      </c>
      <c r="I446" s="2058">
        <f>I410</f>
        <v>54224</v>
      </c>
      <c r="J446" s="2058">
        <f>ROUND(H446*I446,2)</f>
        <v>1952.06</v>
      </c>
    </row>
    <row r="447" spans="1:10" hidden="1">
      <c r="A447" s="2051"/>
      <c r="B447" s="2056"/>
      <c r="C447" s="1997" t="s">
        <v>781</v>
      </c>
      <c r="D447" s="2057">
        <v>2</v>
      </c>
      <c r="E447" s="2058">
        <v>1.35</v>
      </c>
      <c r="F447" s="2059">
        <v>0.1</v>
      </c>
      <c r="G447" s="2059">
        <v>7.4999999999999997E-2</v>
      </c>
      <c r="H447" s="2059">
        <f>ROUND(D447*E447*F447*G447,3)</f>
        <v>0.02</v>
      </c>
      <c r="I447" s="2058">
        <f>I411</f>
        <v>54224</v>
      </c>
      <c r="J447" s="2058">
        <f>ROUND(H447*I447,2)</f>
        <v>1084.48</v>
      </c>
    </row>
    <row r="448" spans="1:10" hidden="1">
      <c r="A448" s="2051"/>
      <c r="B448" s="2056"/>
      <c r="C448" s="1997" t="s">
        <v>1482</v>
      </c>
      <c r="D448" s="2057"/>
      <c r="E448" s="2058"/>
      <c r="F448" s="2059"/>
      <c r="G448" s="2059"/>
      <c r="H448" s="2059">
        <f>SUM(H446:H447)</f>
        <v>5.5999999999999994E-2</v>
      </c>
      <c r="I448" s="2060">
        <f>G25</f>
        <v>19572.5</v>
      </c>
      <c r="J448" s="2058">
        <f>ROUND(H448*I448,2)</f>
        <v>1096.06</v>
      </c>
    </row>
    <row r="449" spans="1:10" ht="30.6" hidden="1">
      <c r="A449" s="2051" t="s">
        <v>787</v>
      </c>
      <c r="B449" s="2032"/>
      <c r="C449" s="1997" t="s">
        <v>788</v>
      </c>
      <c r="D449" s="2057"/>
      <c r="E449" s="2058"/>
      <c r="F449" s="2059"/>
      <c r="G449" s="2061"/>
      <c r="H449" s="2061"/>
      <c r="I449" s="2058"/>
      <c r="J449" s="2058"/>
    </row>
    <row r="450" spans="1:10" ht="25.2" hidden="1">
      <c r="A450" s="2051"/>
      <c r="B450" s="2067"/>
      <c r="C450" s="1997" t="s">
        <v>1598</v>
      </c>
      <c r="D450" s="2058" t="s">
        <v>1035</v>
      </c>
      <c r="E450" s="2068" t="s">
        <v>1651</v>
      </c>
      <c r="F450" s="2059"/>
      <c r="G450" s="2059"/>
      <c r="H450" s="2063">
        <v>4</v>
      </c>
      <c r="I450" s="2058">
        <f>I437</f>
        <v>41</v>
      </c>
      <c r="J450" s="2058">
        <f>ROUND(H450*I450,2)</f>
        <v>164</v>
      </c>
    </row>
    <row r="451" spans="1:10" hidden="1">
      <c r="A451" s="2051"/>
      <c r="B451" s="2056"/>
      <c r="C451" s="1997" t="s">
        <v>1484</v>
      </c>
      <c r="D451" s="2058" t="s">
        <v>544</v>
      </c>
      <c r="E451" s="2058">
        <v>1.2</v>
      </c>
      <c r="F451" s="2059"/>
      <c r="G451" s="2058">
        <v>1.2</v>
      </c>
      <c r="H451" s="2059">
        <f>ROUND(G451*E451*2.75/3,2)</f>
        <v>1.32</v>
      </c>
      <c r="I451" s="2066">
        <f>G15</f>
        <v>670.23599999999999</v>
      </c>
      <c r="J451" s="2058">
        <f>ROUND(H451*I451/10,2)</f>
        <v>88.47</v>
      </c>
    </row>
    <row r="452" spans="1:10" hidden="1">
      <c r="A452" s="2051"/>
      <c r="B452" s="2056"/>
      <c r="C452" s="2092" t="s">
        <v>1306</v>
      </c>
      <c r="D452" s="2057" t="s">
        <v>10</v>
      </c>
      <c r="E452" s="2058">
        <v>1.2</v>
      </c>
      <c r="F452" s="2058">
        <f>E452*9</f>
        <v>10.799999999999999</v>
      </c>
      <c r="G452" s="2058">
        <v>1.1299999999999999</v>
      </c>
      <c r="H452" s="2059">
        <f>G452*F452</f>
        <v>12.203999999999997</v>
      </c>
      <c r="I452" s="2060">
        <f>I439</f>
        <v>69.62</v>
      </c>
      <c r="J452" s="2058">
        <f>H452*I452</f>
        <v>849.64247999999986</v>
      </c>
    </row>
    <row r="453" spans="1:10" hidden="1">
      <c r="A453" s="2051"/>
      <c r="B453" s="2056"/>
      <c r="C453" s="1997" t="s">
        <v>230</v>
      </c>
      <c r="D453" s="2057"/>
      <c r="E453" s="2058"/>
      <c r="F453" s="2059"/>
      <c r="G453" s="2059"/>
      <c r="H453" s="2063">
        <v>1</v>
      </c>
      <c r="I453" s="2058">
        <v>50</v>
      </c>
      <c r="J453" s="2058">
        <f>H453*I453</f>
        <v>50</v>
      </c>
    </row>
    <row r="454" spans="1:10" hidden="1">
      <c r="A454" s="2051"/>
      <c r="B454" s="2056"/>
      <c r="D454" s="2057"/>
      <c r="E454" s="2058"/>
      <c r="F454" s="2059"/>
      <c r="G454" s="2059"/>
      <c r="H454" s="2059"/>
      <c r="I454" s="2058"/>
      <c r="J454" s="2058">
        <f>SUM(J446:J453)</f>
        <v>5284.7124800000001</v>
      </c>
    </row>
    <row r="455" spans="1:10" ht="25.2" hidden="1">
      <c r="A455" s="2051"/>
      <c r="B455" s="2070"/>
      <c r="C455" s="1997" t="s">
        <v>1600</v>
      </c>
      <c r="D455" s="2071"/>
      <c r="E455" s="2069"/>
      <c r="F455" s="2072"/>
      <c r="G455" s="2072"/>
      <c r="H455" s="2072">
        <f>[221]Lead!Q31</f>
        <v>0</v>
      </c>
      <c r="I455" s="2069">
        <f>J454</f>
        <v>5284.7124800000001</v>
      </c>
      <c r="J455" s="2058">
        <f>H455*I455</f>
        <v>0</v>
      </c>
    </row>
    <row r="456" spans="1:10" ht="20.399999999999999" hidden="1">
      <c r="A456" s="2051"/>
      <c r="B456" s="2073"/>
      <c r="C456" s="2093" t="s">
        <v>12</v>
      </c>
      <c r="D456" s="2074"/>
      <c r="E456" s="2075"/>
      <c r="F456" s="2076"/>
      <c r="G456" s="2076"/>
      <c r="H456" s="2076"/>
      <c r="I456" s="2075" t="s">
        <v>416</v>
      </c>
      <c r="J456" s="2075">
        <f>SUM(J454:J455)</f>
        <v>5284.7124800000001</v>
      </c>
    </row>
    <row r="457" spans="1:10" ht="20.399999999999999" hidden="1">
      <c r="A457" s="2051"/>
      <c r="B457" s="2073"/>
      <c r="C457" s="2093" t="s">
        <v>13</v>
      </c>
      <c r="D457" s="2074"/>
      <c r="E457" s="2075"/>
      <c r="F457" s="2076"/>
      <c r="G457" s="2076"/>
      <c r="H457" s="2076"/>
      <c r="I457" s="2075" t="s">
        <v>416</v>
      </c>
      <c r="J457" s="2075">
        <f>J443-J456</f>
        <v>5897.5099999999984</v>
      </c>
    </row>
    <row r="458" spans="1:10" ht="76.3" customHeight="1">
      <c r="A458" s="2051"/>
      <c r="B458" s="2038">
        <v>8</v>
      </c>
      <c r="C458" s="2629" t="s">
        <v>3525</v>
      </c>
      <c r="D458" s="2630"/>
      <c r="E458" s="2630"/>
      <c r="F458" s="2630"/>
      <c r="G458" s="2630"/>
      <c r="H458" s="2630"/>
      <c r="I458" s="2631"/>
      <c r="J458" s="2058"/>
    </row>
    <row r="459" spans="1:10">
      <c r="A459" s="2051"/>
      <c r="B459" s="2056"/>
      <c r="C459" s="2014" t="s">
        <v>3526</v>
      </c>
      <c r="D459" s="2057"/>
      <c r="E459" s="2058"/>
      <c r="F459" s="2059"/>
      <c r="G459" s="2059"/>
      <c r="H459" s="2059"/>
      <c r="I459" s="2058"/>
      <c r="J459" s="2058"/>
    </row>
    <row r="460" spans="1:10" s="2096" customFormat="1">
      <c r="A460" s="2051"/>
      <c r="B460" s="2056"/>
      <c r="C460" s="1997" t="s">
        <v>848</v>
      </c>
      <c r="D460" s="2057"/>
      <c r="E460" s="2058"/>
      <c r="F460" s="2059"/>
      <c r="G460" s="2059"/>
      <c r="H460" s="2059"/>
      <c r="I460" s="2058"/>
      <c r="J460" s="2058"/>
    </row>
    <row r="461" spans="1:10" s="2096" customFormat="1">
      <c r="A461" s="2051"/>
      <c r="B461" s="2056"/>
      <c r="C461" s="1997" t="s">
        <v>780</v>
      </c>
      <c r="D461" s="2057">
        <v>4</v>
      </c>
      <c r="E461" s="2058">
        <v>1.2</v>
      </c>
      <c r="F461" s="2059">
        <v>0.1</v>
      </c>
      <c r="G461" s="2059">
        <v>7.4999999999999997E-2</v>
      </c>
      <c r="H461" s="2059">
        <f>ROUND(D461*E461*F461*G461,3)</f>
        <v>3.5999999999999997E-2</v>
      </c>
      <c r="I461" s="2058">
        <f>I425</f>
        <v>54224</v>
      </c>
      <c r="J461" s="2058">
        <f t="shared" ref="J461:J466" si="35">ROUND(H461*I461,2)</f>
        <v>1952.06</v>
      </c>
    </row>
    <row r="462" spans="1:10">
      <c r="A462" s="2051"/>
      <c r="B462" s="2056"/>
      <c r="C462" s="1997" t="s">
        <v>781</v>
      </c>
      <c r="D462" s="2057">
        <v>2</v>
      </c>
      <c r="E462" s="2058">
        <v>0.75</v>
      </c>
      <c r="F462" s="2059">
        <v>0.1</v>
      </c>
      <c r="G462" s="2059">
        <v>7.4999999999999997E-2</v>
      </c>
      <c r="H462" s="2059">
        <f>ROUND(D462*E462*F462*G462,3)</f>
        <v>1.0999999999999999E-2</v>
      </c>
      <c r="I462" s="2058">
        <f>I426</f>
        <v>54224</v>
      </c>
      <c r="J462" s="2058">
        <f t="shared" si="35"/>
        <v>596.46</v>
      </c>
    </row>
    <row r="463" spans="1:10">
      <c r="A463" s="2051"/>
      <c r="B463" s="2056"/>
      <c r="C463" s="1997" t="s">
        <v>782</v>
      </c>
      <c r="D463" s="2057" t="s">
        <v>243</v>
      </c>
      <c r="E463" s="2088">
        <f>(0.75-2*0.075+2*0.015)</f>
        <v>0.63</v>
      </c>
      <c r="F463" s="2059">
        <v>7.4999999999999997E-2</v>
      </c>
      <c r="G463" s="2059">
        <f>1.25*25.4/1000</f>
        <v>3.175E-2</v>
      </c>
      <c r="H463" s="2059">
        <f>ROUND(6*E463*F463*G463,3)</f>
        <v>8.9999999999999993E-3</v>
      </c>
      <c r="I463" s="2058">
        <f>I427</f>
        <v>72298</v>
      </c>
      <c r="J463" s="2058">
        <f t="shared" si="35"/>
        <v>650.67999999999995</v>
      </c>
    </row>
    <row r="464" spans="1:10">
      <c r="A464" s="2051"/>
      <c r="B464" s="2056"/>
      <c r="C464" s="1997" t="s">
        <v>783</v>
      </c>
      <c r="D464" s="2057" t="s">
        <v>244</v>
      </c>
      <c r="E464" s="2058">
        <f>(1.2-3*0.075+4*0.015)/2</f>
        <v>0.51749999999999996</v>
      </c>
      <c r="F464" s="2059">
        <v>7.4999999999999997E-2</v>
      </c>
      <c r="G464" s="2059">
        <f>1.25*25.4/1000</f>
        <v>3.175E-2</v>
      </c>
      <c r="H464" s="2059">
        <f>ROUND(9*E464*F464*G464,3)</f>
        <v>1.0999999999999999E-2</v>
      </c>
      <c r="I464" s="2058">
        <f>I428</f>
        <v>72298</v>
      </c>
      <c r="J464" s="2058">
        <f t="shared" si="35"/>
        <v>795.28</v>
      </c>
    </row>
    <row r="465" spans="1:10">
      <c r="A465" s="2051"/>
      <c r="B465" s="2056"/>
      <c r="C465" s="1997" t="s">
        <v>1481</v>
      </c>
      <c r="D465" s="2057" t="s">
        <v>245</v>
      </c>
      <c r="E465" s="2058">
        <f>(1.2-4*0.075+6*0.015)/3-2*0.075+2*0.025</f>
        <v>0.22999999999999998</v>
      </c>
      <c r="F465" s="2059">
        <f>(1.2-2*0.075+2*0.015-3*0.075)/2+2*0.025</f>
        <v>0.47750000000000004</v>
      </c>
      <c r="G465" s="2059">
        <v>2.5000000000000001E-2</v>
      </c>
      <c r="H465" s="2059">
        <f>ROUND(6*E465*F465*G465,3)</f>
        <v>1.6E-2</v>
      </c>
      <c r="I465" s="2065">
        <f>I464</f>
        <v>72298</v>
      </c>
      <c r="J465" s="2058">
        <f t="shared" si="35"/>
        <v>1156.77</v>
      </c>
    </row>
    <row r="466" spans="1:10">
      <c r="A466" s="2051"/>
      <c r="B466" s="2056"/>
      <c r="C466" s="1997" t="s">
        <v>1482</v>
      </c>
      <c r="D466" s="2057"/>
      <c r="E466" s="2058"/>
      <c r="F466" s="2059"/>
      <c r="G466" s="2059"/>
      <c r="H466" s="2059">
        <f>SUM(H461:H465)</f>
        <v>8.3000000000000004E-2</v>
      </c>
      <c r="I466" s="2060">
        <f>I448</f>
        <v>19572.5</v>
      </c>
      <c r="J466" s="2058">
        <f t="shared" si="35"/>
        <v>1624.52</v>
      </c>
    </row>
    <row r="467" spans="1:10" ht="30.6">
      <c r="A467" s="2051" t="s">
        <v>787</v>
      </c>
      <c r="B467" s="2032"/>
      <c r="C467" s="1997" t="s">
        <v>788</v>
      </c>
      <c r="D467" s="2057"/>
      <c r="E467" s="2058"/>
      <c r="F467" s="2059"/>
      <c r="G467" s="2061"/>
      <c r="H467" s="2061"/>
      <c r="I467" s="2058"/>
      <c r="J467" s="2058"/>
    </row>
    <row r="468" spans="1:10">
      <c r="A468" s="2051"/>
      <c r="B468" s="2081"/>
      <c r="C468" s="2082" t="s">
        <v>915</v>
      </c>
      <c r="D468" s="2058" t="s">
        <v>1035</v>
      </c>
      <c r="E468" s="2059" t="s">
        <v>1624</v>
      </c>
      <c r="F468" s="2059"/>
      <c r="G468" s="2059"/>
      <c r="H468" s="2063">
        <v>3</v>
      </c>
      <c r="I468" s="2058">
        <f t="shared" ref="I468:I473" si="36">I432</f>
        <v>42</v>
      </c>
      <c r="J468" s="2058">
        <f t="shared" ref="J468:J473" si="37">ROUND(H468*I468,2)</f>
        <v>126</v>
      </c>
    </row>
    <row r="469" spans="1:10">
      <c r="A469" s="2051"/>
      <c r="B469" s="2081"/>
      <c r="C469" s="2089" t="s">
        <v>916</v>
      </c>
      <c r="D469" s="2058" t="s">
        <v>1035</v>
      </c>
      <c r="E469" s="2059" t="s">
        <v>1624</v>
      </c>
      <c r="F469" s="2059"/>
      <c r="G469" s="2059"/>
      <c r="H469" s="2063">
        <v>3</v>
      </c>
      <c r="I469" s="2058">
        <f t="shared" si="36"/>
        <v>42</v>
      </c>
      <c r="J469" s="2058">
        <f t="shared" si="37"/>
        <v>126</v>
      </c>
    </row>
    <row r="470" spans="1:10">
      <c r="A470" s="2051"/>
      <c r="B470" s="2081"/>
      <c r="C470" s="2090" t="s">
        <v>917</v>
      </c>
      <c r="D470" s="2058" t="s">
        <v>1035</v>
      </c>
      <c r="E470" s="2059" t="s">
        <v>1625</v>
      </c>
      <c r="F470" s="2059"/>
      <c r="G470" s="2059"/>
      <c r="H470" s="2063">
        <v>6</v>
      </c>
      <c r="I470" s="2058">
        <f t="shared" si="36"/>
        <v>27</v>
      </c>
      <c r="J470" s="2058">
        <f t="shared" si="37"/>
        <v>162</v>
      </c>
    </row>
    <row r="471" spans="1:10">
      <c r="A471" s="2051"/>
      <c r="B471" s="2081"/>
      <c r="C471" s="2082" t="s">
        <v>918</v>
      </c>
      <c r="D471" s="2058" t="s">
        <v>1035</v>
      </c>
      <c r="E471" s="2059" t="s">
        <v>1626</v>
      </c>
      <c r="F471" s="2059"/>
      <c r="G471" s="2059"/>
      <c r="H471" s="2063">
        <v>3</v>
      </c>
      <c r="I471" s="2058">
        <f t="shared" si="36"/>
        <v>256</v>
      </c>
      <c r="J471" s="2058">
        <f t="shared" si="37"/>
        <v>768</v>
      </c>
    </row>
    <row r="472" spans="1:10">
      <c r="A472" s="2051"/>
      <c r="B472" s="2081"/>
      <c r="C472" s="2082" t="s">
        <v>799</v>
      </c>
      <c r="D472" s="2058" t="s">
        <v>1035</v>
      </c>
      <c r="E472" s="2059" t="s">
        <v>1652</v>
      </c>
      <c r="F472" s="2059"/>
      <c r="G472" s="2059"/>
      <c r="H472" s="2063">
        <v>90</v>
      </c>
      <c r="I472" s="2058">
        <f t="shared" si="36"/>
        <v>7</v>
      </c>
      <c r="J472" s="2058">
        <f t="shared" si="37"/>
        <v>630</v>
      </c>
    </row>
    <row r="473" spans="1:10">
      <c r="A473" s="2051"/>
      <c r="B473" s="2081"/>
      <c r="C473" s="2082" t="s">
        <v>1598</v>
      </c>
      <c r="D473" s="2058" t="s">
        <v>1035</v>
      </c>
      <c r="E473" s="2068" t="s">
        <v>1651</v>
      </c>
      <c r="F473" s="2059"/>
      <c r="G473" s="2059"/>
      <c r="H473" s="2063">
        <v>4</v>
      </c>
      <c r="I473" s="2058">
        <f t="shared" si="36"/>
        <v>41</v>
      </c>
      <c r="J473" s="2058">
        <f t="shared" si="37"/>
        <v>164</v>
      </c>
    </row>
    <row r="474" spans="1:10">
      <c r="A474" s="2051"/>
      <c r="B474" s="2056"/>
      <c r="C474" s="1997" t="s">
        <v>1484</v>
      </c>
      <c r="D474" s="2057" t="s">
        <v>544</v>
      </c>
      <c r="E474" s="2058">
        <v>1.2</v>
      </c>
      <c r="F474" s="2059"/>
      <c r="G474" s="2058">
        <v>0.75</v>
      </c>
      <c r="H474" s="2059">
        <f>ROUND(G474*E474*2.75/3,2)</f>
        <v>0.83</v>
      </c>
      <c r="I474" s="2066">
        <f>I451</f>
        <v>670.23599999999999</v>
      </c>
      <c r="J474" s="2058">
        <f>ROUND(H474*I474/10,2)</f>
        <v>55.63</v>
      </c>
    </row>
    <row r="475" spans="1:10">
      <c r="A475" s="2051"/>
      <c r="B475" s="2056"/>
      <c r="C475" s="2092" t="s">
        <v>1306</v>
      </c>
      <c r="D475" s="2057" t="s">
        <v>3527</v>
      </c>
      <c r="E475" s="2058">
        <v>1.2</v>
      </c>
      <c r="F475" s="2058">
        <f>E475*5</f>
        <v>6</v>
      </c>
      <c r="G475" s="2058">
        <v>1.1299999999999999</v>
      </c>
      <c r="H475" s="2059">
        <f>G475*F475</f>
        <v>6.7799999999999994</v>
      </c>
      <c r="I475" s="2060">
        <f>I452</f>
        <v>69.62</v>
      </c>
      <c r="J475" s="2058">
        <f>H475*I475</f>
        <v>472.02359999999999</v>
      </c>
    </row>
    <row r="476" spans="1:10">
      <c r="A476" s="2051"/>
      <c r="B476" s="2056"/>
      <c r="C476" s="1997" t="s">
        <v>230</v>
      </c>
      <c r="D476" s="2057"/>
      <c r="E476" s="2058"/>
      <c r="F476" s="2059"/>
      <c r="G476" s="2059"/>
      <c r="H476" s="2063">
        <v>1</v>
      </c>
      <c r="I476" s="2058">
        <v>50</v>
      </c>
      <c r="J476" s="2058">
        <f>H476*I476</f>
        <v>50</v>
      </c>
    </row>
    <row r="477" spans="1:10">
      <c r="A477" s="2051"/>
      <c r="B477" s="2056"/>
      <c r="D477" s="2057"/>
      <c r="E477" s="2058"/>
      <c r="F477" s="2059"/>
      <c r="G477" s="2059"/>
      <c r="H477" s="2059"/>
      <c r="I477" s="2058"/>
      <c r="J477" s="2058">
        <f>SUM(J461:J476)</f>
        <v>9329.4236000000001</v>
      </c>
    </row>
    <row r="478" spans="1:10" ht="25.2">
      <c r="A478" s="2051"/>
      <c r="B478" s="2070"/>
      <c r="C478" s="1997" t="s">
        <v>1600</v>
      </c>
      <c r="D478" s="2071"/>
      <c r="E478" s="2069"/>
      <c r="F478" s="2072"/>
      <c r="G478" s="2072"/>
      <c r="H478" s="2072">
        <f>[221]Lead!Q67</f>
        <v>0</v>
      </c>
      <c r="I478" s="2069">
        <f>J477</f>
        <v>9329.4236000000001</v>
      </c>
      <c r="J478" s="2069">
        <f>ROUND(H478*I478,2)</f>
        <v>0</v>
      </c>
    </row>
    <row r="479" spans="1:10">
      <c r="A479" s="2051"/>
      <c r="B479" s="2073"/>
      <c r="C479" s="2023" t="s">
        <v>256</v>
      </c>
      <c r="D479" s="2074"/>
      <c r="E479" s="2075"/>
      <c r="F479" s="2076"/>
      <c r="G479" s="2076"/>
      <c r="H479" s="2076"/>
      <c r="I479" s="2075" t="s">
        <v>416</v>
      </c>
      <c r="J479" s="2075">
        <f>SUM(J477:J478)</f>
        <v>9329.4236000000001</v>
      </c>
    </row>
    <row r="480" spans="1:10" ht="25.2">
      <c r="A480" s="2051"/>
      <c r="B480" s="2056"/>
      <c r="C480" s="2014" t="s">
        <v>3528</v>
      </c>
      <c r="D480" s="2057"/>
      <c r="E480" s="2058"/>
      <c r="F480" s="2059"/>
      <c r="G480" s="2059"/>
      <c r="H480" s="2059"/>
      <c r="I480" s="2058"/>
      <c r="J480" s="2058"/>
    </row>
    <row r="481" spans="1:10">
      <c r="A481" s="2051"/>
      <c r="B481" s="2056"/>
      <c r="C481" s="1997" t="s">
        <v>848</v>
      </c>
      <c r="D481" s="2057"/>
      <c r="E481" s="2058"/>
      <c r="F481" s="2059"/>
      <c r="G481" s="2059"/>
      <c r="H481" s="2059"/>
      <c r="I481" s="2058"/>
      <c r="J481" s="2058"/>
    </row>
    <row r="482" spans="1:10">
      <c r="A482" s="2051"/>
      <c r="B482" s="2056"/>
      <c r="C482" s="1997" t="s">
        <v>780</v>
      </c>
      <c r="D482" s="2057">
        <v>4</v>
      </c>
      <c r="E482" s="2058">
        <v>1.2</v>
      </c>
      <c r="F482" s="2059">
        <v>0.1</v>
      </c>
      <c r="G482" s="2059">
        <v>7.4999999999999997E-2</v>
      </c>
      <c r="H482" s="2059">
        <f>ROUND(D482*E482*F482*G482,3)</f>
        <v>3.5999999999999997E-2</v>
      </c>
      <c r="I482" s="2058">
        <f>I446</f>
        <v>54224</v>
      </c>
      <c r="J482" s="2058">
        <f>ROUND(H482*I482,2)</f>
        <v>1952.06</v>
      </c>
    </row>
    <row r="483" spans="1:10">
      <c r="A483" s="2051"/>
      <c r="B483" s="2056"/>
      <c r="C483" s="1997" t="s">
        <v>781</v>
      </c>
      <c r="D483" s="2057">
        <v>2</v>
      </c>
      <c r="E483" s="2058">
        <v>0.75</v>
      </c>
      <c r="F483" s="2059">
        <v>0.1</v>
      </c>
      <c r="G483" s="2059">
        <v>7.4999999999999997E-2</v>
      </c>
      <c r="H483" s="2059">
        <f>ROUND(D483*E483*F483*G483,3)</f>
        <v>1.0999999999999999E-2</v>
      </c>
      <c r="I483" s="2058">
        <f>I447</f>
        <v>54224</v>
      </c>
      <c r="J483" s="2058">
        <f>ROUND(H483*I483,2)</f>
        <v>596.46</v>
      </c>
    </row>
    <row r="484" spans="1:10">
      <c r="A484" s="2051"/>
      <c r="B484" s="2056"/>
      <c r="C484" s="1997" t="s">
        <v>1482</v>
      </c>
      <c r="D484" s="2057"/>
      <c r="E484" s="2058"/>
      <c r="F484" s="2059"/>
      <c r="G484" s="2059"/>
      <c r="H484" s="2059">
        <f>SUM(H482:H483)</f>
        <v>4.7E-2</v>
      </c>
      <c r="I484" s="2060">
        <f>I466</f>
        <v>19572.5</v>
      </c>
      <c r="J484" s="2058">
        <f>ROUND(H484*I484,2)</f>
        <v>919.91</v>
      </c>
    </row>
    <row r="485" spans="1:10" ht="30.6">
      <c r="A485" s="2051" t="s">
        <v>787</v>
      </c>
      <c r="B485" s="2032"/>
      <c r="C485" s="1997" t="s">
        <v>788</v>
      </c>
      <c r="D485" s="2057"/>
      <c r="E485" s="2058"/>
      <c r="F485" s="2059"/>
      <c r="G485" s="2061"/>
      <c r="H485" s="2061"/>
      <c r="I485" s="2058"/>
      <c r="J485" s="2058"/>
    </row>
    <row r="486" spans="1:10" ht="25.2">
      <c r="A486" s="2051"/>
      <c r="B486" s="2067"/>
      <c r="C486" s="1997" t="s">
        <v>1598</v>
      </c>
      <c r="D486" s="2058" t="s">
        <v>1035</v>
      </c>
      <c r="E486" s="2068" t="s">
        <v>1651</v>
      </c>
      <c r="F486" s="2059"/>
      <c r="G486" s="2059"/>
      <c r="H486" s="2063">
        <v>4</v>
      </c>
      <c r="I486" s="2058">
        <f>I473</f>
        <v>41</v>
      </c>
      <c r="J486" s="2058">
        <f>ROUND(H486*I486,2)</f>
        <v>164</v>
      </c>
    </row>
    <row r="487" spans="1:10">
      <c r="A487" s="2051"/>
      <c r="B487" s="2056"/>
      <c r="C487" s="1997" t="s">
        <v>1484</v>
      </c>
      <c r="D487" s="2058" t="s">
        <v>544</v>
      </c>
      <c r="E487" s="2058">
        <v>1.2</v>
      </c>
      <c r="F487" s="2059"/>
      <c r="G487" s="2058">
        <v>1.2</v>
      </c>
      <c r="H487" s="2059">
        <f>ROUND(G487*E487*2.75/3,2)</f>
        <v>1.32</v>
      </c>
      <c r="I487" s="2066">
        <f>I451</f>
        <v>670.23599999999999</v>
      </c>
      <c r="J487" s="2058">
        <f>ROUND(H487*I487/10,2)</f>
        <v>88.47</v>
      </c>
    </row>
    <row r="488" spans="1:10">
      <c r="A488" s="2051"/>
      <c r="B488" s="2056"/>
      <c r="C488" s="2092" t="s">
        <v>1306</v>
      </c>
      <c r="D488" s="2057" t="s">
        <v>3529</v>
      </c>
      <c r="E488" s="2058">
        <v>1.2</v>
      </c>
      <c r="F488" s="2058">
        <f>E488*5</f>
        <v>6</v>
      </c>
      <c r="G488" s="2058">
        <v>1.1299999999999999</v>
      </c>
      <c r="H488" s="2059">
        <f>G488*F488</f>
        <v>6.7799999999999994</v>
      </c>
      <c r="I488" s="2060">
        <f>I475</f>
        <v>69.62</v>
      </c>
      <c r="J488" s="2058">
        <f>H488*I488</f>
        <v>472.02359999999999</v>
      </c>
    </row>
    <row r="489" spans="1:10">
      <c r="A489" s="2051"/>
      <c r="B489" s="2056"/>
      <c r="C489" s="1997" t="s">
        <v>230</v>
      </c>
      <c r="D489" s="2057"/>
      <c r="E489" s="2058"/>
      <c r="F489" s="2059"/>
      <c r="G489" s="2059"/>
      <c r="H489" s="2063">
        <v>1</v>
      </c>
      <c r="I489" s="2058">
        <v>50</v>
      </c>
      <c r="J489" s="2058">
        <f>H489*I489</f>
        <v>50</v>
      </c>
    </row>
    <row r="490" spans="1:10">
      <c r="A490" s="2051"/>
      <c r="B490" s="2056"/>
      <c r="D490" s="2057"/>
      <c r="E490" s="2058"/>
      <c r="F490" s="2059"/>
      <c r="G490" s="2059"/>
      <c r="H490" s="2059"/>
      <c r="I490" s="2058"/>
      <c r="J490" s="2058">
        <f>SUM(J482:J489)</f>
        <v>4242.9236000000001</v>
      </c>
    </row>
    <row r="491" spans="1:10" ht="25.2">
      <c r="A491" s="2051"/>
      <c r="B491" s="2070"/>
      <c r="C491" s="1997" t="s">
        <v>1600</v>
      </c>
      <c r="D491" s="2071"/>
      <c r="E491" s="2069"/>
      <c r="F491" s="2072"/>
      <c r="G491" s="2072"/>
      <c r="H491" s="2072">
        <f>[221]Lead!Q67</f>
        <v>0</v>
      </c>
      <c r="I491" s="2069">
        <f>J490</f>
        <v>4242.9236000000001</v>
      </c>
      <c r="J491" s="2058">
        <f>H491*I491</f>
        <v>0</v>
      </c>
    </row>
    <row r="492" spans="1:10" ht="20.399999999999999">
      <c r="A492" s="2051"/>
      <c r="B492" s="2073"/>
      <c r="C492" s="2093" t="s">
        <v>3530</v>
      </c>
      <c r="D492" s="2074"/>
      <c r="E492" s="2075"/>
      <c r="F492" s="2076"/>
      <c r="G492" s="2076"/>
      <c r="H492" s="2076"/>
      <c r="I492" s="2075" t="s">
        <v>416</v>
      </c>
      <c r="J492" s="2075">
        <f>SUM(J490:J491)</f>
        <v>4242.9236000000001</v>
      </c>
    </row>
    <row r="493" spans="1:10" ht="20.399999999999999">
      <c r="A493" s="2051"/>
      <c r="B493" s="2073"/>
      <c r="C493" s="2093" t="s">
        <v>3531</v>
      </c>
      <c r="D493" s="2074"/>
      <c r="E493" s="2075"/>
      <c r="F493" s="2076"/>
      <c r="G493" s="2076"/>
      <c r="H493" s="2076"/>
      <c r="I493" s="2075" t="s">
        <v>416</v>
      </c>
      <c r="J493" s="2075">
        <f>J479-J492</f>
        <v>5086.5</v>
      </c>
    </row>
    <row r="494" spans="1:10" ht="151.19999999999999" hidden="1">
      <c r="A494" s="2051"/>
      <c r="B494" s="2038">
        <v>8</v>
      </c>
      <c r="C494" s="2014" t="s">
        <v>1835</v>
      </c>
      <c r="D494" s="2057"/>
      <c r="E494" s="2058"/>
      <c r="F494" s="2059"/>
      <c r="G494" s="2059"/>
      <c r="H494" s="2059"/>
      <c r="I494" s="2058"/>
      <c r="J494" s="2058"/>
    </row>
    <row r="495" spans="1:10" hidden="1">
      <c r="A495" s="2051"/>
      <c r="B495" s="2056"/>
      <c r="C495" s="2014" t="s">
        <v>1778</v>
      </c>
      <c r="D495" s="2057"/>
      <c r="E495" s="2058"/>
      <c r="F495" s="2059"/>
      <c r="G495" s="2059"/>
      <c r="H495" s="2059"/>
      <c r="I495" s="2058"/>
      <c r="J495" s="2058"/>
    </row>
    <row r="496" spans="1:10" hidden="1">
      <c r="A496" s="2051"/>
      <c r="B496" s="2056"/>
      <c r="C496" s="1997" t="s">
        <v>848</v>
      </c>
      <c r="D496" s="2057"/>
      <c r="E496" s="2058"/>
      <c r="F496" s="2059"/>
      <c r="G496" s="2059"/>
      <c r="H496" s="2059"/>
      <c r="I496" s="2058"/>
      <c r="J496" s="2058"/>
    </row>
    <row r="497" spans="1:10" hidden="1">
      <c r="A497" s="2051"/>
      <c r="B497" s="2056"/>
      <c r="C497" s="1997" t="s">
        <v>780</v>
      </c>
      <c r="D497" s="2057">
        <v>3</v>
      </c>
      <c r="E497" s="2058">
        <v>0.3</v>
      </c>
      <c r="F497" s="2059">
        <v>6.5000000000000002E-2</v>
      </c>
      <c r="G497" s="2059">
        <v>7.4999999999999997E-2</v>
      </c>
      <c r="H497" s="2059">
        <f>ROUND(D497*E497*F497*G497,3)</f>
        <v>4.0000000000000001E-3</v>
      </c>
      <c r="I497" s="2058">
        <f>I446</f>
        <v>54224</v>
      </c>
      <c r="J497" s="2058">
        <f>ROUND(H497*I497,2)</f>
        <v>216.9</v>
      </c>
    </row>
    <row r="498" spans="1:10" hidden="1">
      <c r="A498" s="2051"/>
      <c r="B498" s="2056"/>
      <c r="C498" s="1997" t="s">
        <v>781</v>
      </c>
      <c r="D498" s="2057">
        <v>2</v>
      </c>
      <c r="E498" s="2058">
        <v>0.6</v>
      </c>
      <c r="F498" s="2059">
        <v>6.5000000000000002E-2</v>
      </c>
      <c r="G498" s="2059">
        <v>7.4999999999999997E-2</v>
      </c>
      <c r="H498" s="2059">
        <f>ROUND(D498*E498*F498*G498,3)</f>
        <v>6.0000000000000001E-3</v>
      </c>
      <c r="I498" s="2058">
        <f>I447</f>
        <v>54224</v>
      </c>
      <c r="J498" s="2058">
        <f>ROUND(H498*I498,2)</f>
        <v>325.33999999999997</v>
      </c>
    </row>
    <row r="499" spans="1:10" hidden="1">
      <c r="A499" s="2051"/>
      <c r="B499" s="2056"/>
      <c r="C499" s="1997" t="s">
        <v>1482</v>
      </c>
      <c r="D499" s="2057"/>
      <c r="E499" s="2058"/>
      <c r="F499" s="2059"/>
      <c r="G499" s="2059"/>
      <c r="H499" s="2059">
        <f>SUM(H497:H498)</f>
        <v>0.01</v>
      </c>
      <c r="I499" s="2060">
        <f>I448</f>
        <v>19572.5</v>
      </c>
      <c r="J499" s="2058">
        <f>ROUND(H499*I499,2)</f>
        <v>195.73</v>
      </c>
    </row>
    <row r="500" spans="1:10" hidden="1">
      <c r="A500" s="2051"/>
      <c r="B500" s="2056"/>
      <c r="C500" s="1997" t="s">
        <v>1484</v>
      </c>
      <c r="D500" s="2057">
        <v>2.25</v>
      </c>
      <c r="E500" s="2058">
        <v>0.6</v>
      </c>
      <c r="F500" s="2059"/>
      <c r="G500" s="2058">
        <v>0.3</v>
      </c>
      <c r="H500" s="2059">
        <f>ROUND(G500*E500*D500,2)</f>
        <v>0.41</v>
      </c>
      <c r="I500" s="2066">
        <f>I451</f>
        <v>670.23599999999999</v>
      </c>
      <c r="J500" s="2058">
        <f>ROUND(H500*I500/10,2)</f>
        <v>27.48</v>
      </c>
    </row>
    <row r="501" spans="1:10" hidden="1">
      <c r="A501" s="2051"/>
      <c r="B501" s="2056"/>
      <c r="C501" s="2092" t="s">
        <v>1779</v>
      </c>
      <c r="D501" s="2057" t="s">
        <v>1780</v>
      </c>
      <c r="E501" s="2058">
        <v>0.6</v>
      </c>
      <c r="F501" s="2058">
        <f>E501*2</f>
        <v>1.2</v>
      </c>
      <c r="G501" s="2058">
        <v>0.62</v>
      </c>
      <c r="H501" s="2059">
        <f>G501*F501</f>
        <v>0.74399999999999999</v>
      </c>
      <c r="I501" s="2060">
        <f>I452</f>
        <v>69.62</v>
      </c>
      <c r="J501" s="2058">
        <f>H501*I501</f>
        <v>51.797280000000001</v>
      </c>
    </row>
    <row r="502" spans="1:10" hidden="1">
      <c r="A502" s="2051"/>
      <c r="B502" s="2056"/>
      <c r="D502" s="2057"/>
      <c r="E502" s="2058"/>
      <c r="F502" s="2059"/>
      <c r="G502" s="2059"/>
      <c r="H502" s="2059"/>
      <c r="I502" s="2058"/>
      <c r="J502" s="2058">
        <f>SUM(J497:J501)</f>
        <v>817.24728000000005</v>
      </c>
    </row>
    <row r="503" spans="1:10" ht="25.2" hidden="1">
      <c r="A503" s="2051"/>
      <c r="B503" s="2070"/>
      <c r="C503" s="1997" t="s">
        <v>1600</v>
      </c>
      <c r="D503" s="2071"/>
      <c r="E503" s="2069"/>
      <c r="F503" s="2072"/>
      <c r="G503" s="2072"/>
      <c r="H503" s="2072">
        <f>[221]Lead!Q73</f>
        <v>0</v>
      </c>
      <c r="I503" s="2069">
        <f>J502</f>
        <v>817.24728000000005</v>
      </c>
      <c r="J503" s="2069">
        <f>ROUND(H503*I503,2)</f>
        <v>0</v>
      </c>
    </row>
    <row r="504" spans="1:10" hidden="1">
      <c r="A504" s="2051"/>
      <c r="B504" s="2073"/>
      <c r="C504" s="2023" t="s">
        <v>256</v>
      </c>
      <c r="D504" s="2074"/>
      <c r="E504" s="2075"/>
      <c r="F504" s="2076"/>
      <c r="G504" s="2076"/>
      <c r="H504" s="2076"/>
      <c r="I504" s="2075" t="s">
        <v>416</v>
      </c>
      <c r="J504" s="2075">
        <f>SUM(J502:J503)</f>
        <v>817.24728000000005</v>
      </c>
    </row>
  </sheetData>
  <mergeCells count="14">
    <mergeCell ref="C62:I62"/>
    <mergeCell ref="C99:I99"/>
    <mergeCell ref="A1:J1"/>
    <mergeCell ref="A2:J2"/>
    <mergeCell ref="A36:B36"/>
    <mergeCell ref="A37:B37"/>
    <mergeCell ref="C26:I26"/>
    <mergeCell ref="C458:I458"/>
    <mergeCell ref="C422:I422"/>
    <mergeCell ref="C135:I135"/>
    <mergeCell ref="C171:I171"/>
    <mergeCell ref="C207:I207"/>
    <mergeCell ref="C243:I243"/>
    <mergeCell ref="C279:I279"/>
  </mergeCells>
  <printOptions horizontalCentered="1"/>
  <pageMargins left="0.24" right="0.1" top="0.5" bottom="0.4" header="0.23622047244094499" footer="0.15748031496063"/>
  <pageSetup paperSize="9" orientation="portrait" r:id="rId1"/>
  <headerFooter alignWithMargins="0">
    <oddFooter>&amp;C&amp;P&amp;R&amp;A</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IV1403"/>
  <sheetViews>
    <sheetView view="pageBreakPreview" zoomScaleSheetLayoutView="100" workbookViewId="0">
      <pane ySplit="4" topLeftCell="A590" activePane="bottomLeft" state="frozen"/>
      <selection pane="bottomLeft" activeCell="A2" sqref="A2:G2"/>
    </sheetView>
  </sheetViews>
  <sheetFormatPr defaultColWidth="13.88671875" defaultRowHeight="12.6"/>
  <cols>
    <col min="1" max="1" width="8.33203125" style="2331" customWidth="1"/>
    <col min="2" max="2" width="7.33203125" style="2212" customWidth="1"/>
    <col min="3" max="3" width="51.5546875" style="2230" customWidth="1"/>
    <col min="4" max="4" width="8.21875" style="2218" bestFit="1" customWidth="1"/>
    <col min="5" max="5" width="7.5546875" style="2328" customWidth="1"/>
    <col min="6" max="6" width="8.6640625" style="2328" customWidth="1"/>
    <col min="7" max="7" width="9.6640625" style="2393" customWidth="1"/>
    <col min="8" max="8" width="18.44140625" style="2251" customWidth="1"/>
    <col min="9" max="9" width="7.5546875" style="2251" customWidth="1"/>
    <col min="10" max="14" width="14" style="2211" bestFit="1" customWidth="1"/>
    <col min="15" max="16384" width="13.88671875" style="2211"/>
  </cols>
  <sheetData>
    <row r="1" spans="1:10" ht="35.4" customHeight="1">
      <c r="A1" s="2648" t="s">
        <v>3618</v>
      </c>
      <c r="B1" s="2648"/>
      <c r="C1" s="2648"/>
      <c r="D1" s="2648"/>
      <c r="E1" s="2648"/>
      <c r="F1" s="2648"/>
      <c r="G1" s="2648"/>
      <c r="H1" s="2209"/>
      <c r="I1" s="2209"/>
      <c r="J1" s="2210"/>
    </row>
    <row r="2" spans="1:10" ht="36" customHeight="1">
      <c r="A2" s="2649" t="str">
        <f>'Lead- Input sheet '!A2</f>
        <v xml:space="preserve"> Construction of  Anganwadi Building at Jeedipally Thanda (V) of Kalwakurthy (M) of Nagarkurnool District </v>
      </c>
      <c r="B2" s="2649"/>
      <c r="C2" s="2649"/>
      <c r="D2" s="2649"/>
      <c r="E2" s="2649"/>
      <c r="F2" s="2649"/>
      <c r="G2" s="2649"/>
      <c r="H2" s="2647"/>
      <c r="I2" s="2647"/>
      <c r="J2" s="2647"/>
    </row>
    <row r="3" spans="1:10" s="2218" customFormat="1" ht="25.2">
      <c r="A3" s="2213" t="s">
        <v>1107</v>
      </c>
      <c r="B3" s="2214" t="s">
        <v>148</v>
      </c>
      <c r="C3" s="2213" t="s">
        <v>517</v>
      </c>
      <c r="D3" s="2213" t="s">
        <v>1034</v>
      </c>
      <c r="E3" s="2215" t="s">
        <v>858</v>
      </c>
      <c r="F3" s="2215" t="s">
        <v>149</v>
      </c>
      <c r="G3" s="2216" t="s">
        <v>150</v>
      </c>
      <c r="H3" s="2217"/>
      <c r="I3" s="2217"/>
    </row>
    <row r="4" spans="1:10" s="2223" customFormat="1">
      <c r="A4" s="2219"/>
      <c r="B4" s="2220">
        <v>1</v>
      </c>
      <c r="C4" s="2220">
        <v>2</v>
      </c>
      <c r="D4" s="2220">
        <v>3</v>
      </c>
      <c r="E4" s="2220">
        <v>4</v>
      </c>
      <c r="F4" s="2220">
        <v>5</v>
      </c>
      <c r="G4" s="2221">
        <v>6</v>
      </c>
      <c r="H4" s="2222"/>
      <c r="I4" s="2222"/>
    </row>
    <row r="5" spans="1:10" s="2231" customFormat="1" ht="88.2">
      <c r="A5" s="2213"/>
      <c r="B5" s="2224">
        <v>1</v>
      </c>
      <c r="C5" s="2225" t="s">
        <v>3584</v>
      </c>
      <c r="D5" s="2226"/>
      <c r="E5" s="2227"/>
      <c r="F5" s="2228"/>
      <c r="G5" s="2229"/>
      <c r="H5" s="2217"/>
      <c r="I5" s="2230"/>
    </row>
    <row r="6" spans="1:10" s="2231" customFormat="1">
      <c r="A6" s="2227" t="s">
        <v>1480</v>
      </c>
      <c r="B6" s="2224"/>
      <c r="C6" s="2232" t="s">
        <v>1169</v>
      </c>
      <c r="D6" s="2233"/>
      <c r="E6" s="2226"/>
      <c r="F6" s="2234"/>
      <c r="G6" s="2235"/>
      <c r="H6" s="2236"/>
      <c r="I6" s="2230"/>
    </row>
    <row r="7" spans="1:10" s="2231" customFormat="1">
      <c r="A7" s="2227"/>
      <c r="B7" s="2224"/>
      <c r="C7" s="2232" t="s">
        <v>1170</v>
      </c>
      <c r="D7" s="2233"/>
      <c r="E7" s="2233"/>
      <c r="F7" s="2237"/>
      <c r="G7" s="2238"/>
      <c r="H7" s="2236"/>
      <c r="I7" s="2230"/>
    </row>
    <row r="8" spans="1:10" s="2231" customFormat="1">
      <c r="A8" s="2227"/>
      <c r="B8" s="2224"/>
      <c r="C8" s="2232" t="s">
        <v>1171</v>
      </c>
      <c r="D8" s="2233"/>
      <c r="E8" s="2233"/>
      <c r="F8" s="2237"/>
      <c r="G8" s="2238"/>
      <c r="H8" s="2236"/>
      <c r="I8" s="2230"/>
    </row>
    <row r="9" spans="1:10" s="2231" customFormat="1">
      <c r="A9" s="2227"/>
      <c r="B9" s="2224"/>
      <c r="C9" s="2232" t="s">
        <v>1172</v>
      </c>
      <c r="D9" s="2239" t="s">
        <v>776</v>
      </c>
      <c r="E9" s="2239">
        <v>3.64</v>
      </c>
      <c r="F9" s="2240">
        <v>605</v>
      </c>
      <c r="G9" s="2241">
        <f>ROUND(F9*E9,2)</f>
        <v>2202.1999999999998</v>
      </c>
      <c r="H9" s="2236"/>
      <c r="I9" s="2230"/>
    </row>
    <row r="10" spans="1:10" s="2231" customFormat="1">
      <c r="A10" s="2227"/>
      <c r="B10" s="2224"/>
      <c r="C10" s="2232" t="s">
        <v>1173</v>
      </c>
      <c r="D10" s="2233" t="s">
        <v>525</v>
      </c>
      <c r="E10" s="2233">
        <v>0.75</v>
      </c>
      <c r="F10" s="2237">
        <f>G9</f>
        <v>2202.1999999999998</v>
      </c>
      <c r="G10" s="2238">
        <f>ROUND(F10*E10,2)</f>
        <v>1651.65</v>
      </c>
      <c r="H10" s="2236"/>
      <c r="I10" s="2230"/>
    </row>
    <row r="11" spans="1:10" s="2231" customFormat="1">
      <c r="A11" s="2227"/>
      <c r="B11" s="2224"/>
      <c r="C11" s="2232" t="s">
        <v>2617</v>
      </c>
      <c r="D11" s="2233"/>
      <c r="E11" s="2233">
        <f>'Lead- Input sheet '!$Q$31</f>
        <v>0</v>
      </c>
      <c r="F11" s="2237">
        <f>SUM(G9:G10)</f>
        <v>3853.85</v>
      </c>
      <c r="G11" s="2238">
        <f>ROUND(F11*E11,2)</f>
        <v>0</v>
      </c>
      <c r="H11" s="2236"/>
      <c r="I11" s="2230"/>
    </row>
    <row r="12" spans="1:10" s="2231" customFormat="1">
      <c r="A12" s="2227"/>
      <c r="B12" s="2224"/>
      <c r="C12" s="2232" t="s">
        <v>1174</v>
      </c>
      <c r="D12" s="2233"/>
      <c r="E12" s="2233"/>
      <c r="F12" s="2237"/>
      <c r="G12" s="2238">
        <f>SUM(G9:G11)</f>
        <v>3853.85</v>
      </c>
      <c r="H12" s="2236"/>
      <c r="I12" s="2230"/>
    </row>
    <row r="13" spans="1:10" s="2246" customFormat="1" hidden="1">
      <c r="A13" s="2224"/>
      <c r="B13" s="2224"/>
      <c r="C13" s="2225" t="s">
        <v>1600</v>
      </c>
      <c r="D13" s="2242"/>
      <c r="E13" s="2242">
        <f>G12</f>
        <v>3853.85</v>
      </c>
      <c r="F13" s="2243">
        <f>'Lead- Input sheet '!$Q$32</f>
        <v>0</v>
      </c>
      <c r="G13" s="2244">
        <f>ROUND(F13*E13,2)</f>
        <v>0</v>
      </c>
      <c r="H13" s="2245"/>
      <c r="I13" s="2230"/>
    </row>
    <row r="14" spans="1:10" s="2231" customFormat="1">
      <c r="A14" s="2227"/>
      <c r="B14" s="2224"/>
      <c r="C14" s="2225" t="s">
        <v>897</v>
      </c>
      <c r="D14" s="2233"/>
      <c r="E14" s="2233"/>
      <c r="F14" s="2237"/>
      <c r="G14" s="2238">
        <f>SUM(G12:G13)</f>
        <v>3853.85</v>
      </c>
      <c r="H14" s="2236"/>
      <c r="I14" s="2230"/>
    </row>
    <row r="15" spans="1:10" s="2246" customFormat="1">
      <c r="A15" s="2224"/>
      <c r="B15" s="2224"/>
      <c r="C15" s="2225" t="s">
        <v>1229</v>
      </c>
      <c r="D15" s="2242"/>
      <c r="E15" s="2226"/>
      <c r="F15" s="2247" t="s">
        <v>1486</v>
      </c>
      <c r="G15" s="2244">
        <f>ROUND(G14/10,20)</f>
        <v>385.38499999999999</v>
      </c>
      <c r="H15" s="2245"/>
      <c r="I15" s="2230"/>
    </row>
    <row r="16" spans="1:10" s="2246" customFormat="1" ht="37.799999999999997" hidden="1">
      <c r="A16" s="2213" t="s">
        <v>1589</v>
      </c>
      <c r="B16" s="2224">
        <v>1</v>
      </c>
      <c r="C16" s="2225" t="s">
        <v>1590</v>
      </c>
      <c r="D16" s="2226"/>
      <c r="E16" s="2227"/>
      <c r="F16" s="2228"/>
      <c r="G16" s="2229"/>
      <c r="H16" s="2245"/>
      <c r="I16" s="2230"/>
    </row>
    <row r="17" spans="1:10" s="2246" customFormat="1" hidden="1">
      <c r="A17" s="2227" t="s">
        <v>1480</v>
      </c>
      <c r="B17" s="2224"/>
      <c r="C17" s="2232" t="s">
        <v>1591</v>
      </c>
      <c r="D17" s="2233"/>
      <c r="E17" s="2226"/>
      <c r="F17" s="2234"/>
      <c r="G17" s="2235"/>
      <c r="H17" s="2245"/>
      <c r="I17" s="2230"/>
    </row>
    <row r="18" spans="1:10" s="2246" customFormat="1" hidden="1">
      <c r="A18" s="2227"/>
      <c r="B18" s="2224"/>
      <c r="C18" s="2232" t="s">
        <v>1170</v>
      </c>
      <c r="D18" s="2233"/>
      <c r="E18" s="2233"/>
      <c r="F18" s="2237"/>
      <c r="G18" s="2238"/>
      <c r="H18" s="2245"/>
      <c r="I18" s="2230"/>
    </row>
    <row r="19" spans="1:10" s="2246" customFormat="1" hidden="1">
      <c r="A19" s="2227"/>
      <c r="B19" s="2224"/>
      <c r="C19" s="2232" t="s">
        <v>1171</v>
      </c>
      <c r="D19" s="2233"/>
      <c r="E19" s="2233"/>
      <c r="F19" s="2237"/>
      <c r="G19" s="2238"/>
      <c r="H19" s="2245"/>
      <c r="I19" s="2230"/>
    </row>
    <row r="20" spans="1:10" s="2246" customFormat="1" hidden="1">
      <c r="A20" s="2227"/>
      <c r="B20" s="2224"/>
      <c r="C20" s="2232" t="s">
        <v>1172</v>
      </c>
      <c r="D20" s="2233" t="s">
        <v>776</v>
      </c>
      <c r="E20" s="2233">
        <v>5.2</v>
      </c>
      <c r="F20" s="2237">
        <f>'Lead- Input sheet '!R28</f>
        <v>605</v>
      </c>
      <c r="G20" s="2238">
        <f>ROUND(F20*E20,2)</f>
        <v>3146</v>
      </c>
      <c r="H20" s="2245"/>
      <c r="I20" s="2230"/>
    </row>
    <row r="21" spans="1:10" s="2246" customFormat="1" hidden="1">
      <c r="A21" s="2227"/>
      <c r="B21" s="2224"/>
      <c r="C21" s="2232" t="s">
        <v>2617</v>
      </c>
      <c r="D21" s="2233"/>
      <c r="E21" s="2233">
        <f>'Lead- Input sheet '!$Q$31</f>
        <v>0</v>
      </c>
      <c r="F21" s="2237">
        <f>SUM(G20:G20)</f>
        <v>3146</v>
      </c>
      <c r="G21" s="2238">
        <f>ROUND(F21*E21,2)</f>
        <v>0</v>
      </c>
      <c r="H21" s="2245"/>
      <c r="I21" s="2230"/>
    </row>
    <row r="22" spans="1:10" s="2246" customFormat="1" hidden="1">
      <c r="A22" s="2227"/>
      <c r="B22" s="2224"/>
      <c r="C22" s="2232" t="s">
        <v>1592</v>
      </c>
      <c r="D22" s="2233"/>
      <c r="E22" s="2233"/>
      <c r="F22" s="2237"/>
      <c r="G22" s="2238"/>
      <c r="H22" s="2245"/>
      <c r="I22" s="2230"/>
      <c r="J22" s="2248"/>
    </row>
    <row r="23" spans="1:10" s="2246" customFormat="1" hidden="1">
      <c r="A23" s="2227"/>
      <c r="B23" s="2224"/>
      <c r="C23" s="2232" t="s">
        <v>1593</v>
      </c>
      <c r="D23" s="2233" t="s">
        <v>1594</v>
      </c>
      <c r="E23" s="2233">
        <v>6</v>
      </c>
      <c r="F23" s="2237">
        <v>1373.2</v>
      </c>
      <c r="G23" s="2238">
        <f>ROUND(F23*E23,2)</f>
        <v>8239.2000000000007</v>
      </c>
      <c r="H23" s="2245"/>
      <c r="I23" s="2230">
        <f>210*0.3048^3</f>
        <v>5.9465377843200011</v>
      </c>
      <c r="J23" s="2230">
        <f>250*0.3048^3</f>
        <v>7.0792116480000011</v>
      </c>
    </row>
    <row r="24" spans="1:10" s="2246" customFormat="1" ht="25.2" hidden="1">
      <c r="A24" s="2227" t="s">
        <v>1597</v>
      </c>
      <c r="B24" s="2224"/>
      <c r="C24" s="2232" t="s">
        <v>1596</v>
      </c>
      <c r="D24" s="2233" t="s">
        <v>1595</v>
      </c>
      <c r="E24" s="2233">
        <v>12</v>
      </c>
      <c r="F24" s="2237">
        <v>525.1</v>
      </c>
      <c r="G24" s="2238">
        <f>ROUND(F24*E24,2)</f>
        <v>6301.2</v>
      </c>
      <c r="H24" s="2245"/>
      <c r="I24" s="2230"/>
    </row>
    <row r="25" spans="1:10" s="2246" customFormat="1" hidden="1">
      <c r="A25" s="2227"/>
      <c r="B25" s="2224"/>
      <c r="C25" s="2232" t="s">
        <v>1174</v>
      </c>
      <c r="D25" s="2233"/>
      <c r="E25" s="2233"/>
      <c r="F25" s="2237"/>
      <c r="G25" s="2238">
        <f>SUM(G20:G24)</f>
        <v>17686.400000000001</v>
      </c>
      <c r="H25" s="2245"/>
      <c r="I25" s="2230"/>
    </row>
    <row r="26" spans="1:10" s="2246" customFormat="1" hidden="1">
      <c r="A26" s="2224"/>
      <c r="B26" s="2224"/>
      <c r="C26" s="2225" t="s">
        <v>1600</v>
      </c>
      <c r="D26" s="2242"/>
      <c r="E26" s="2242">
        <f>G25</f>
        <v>17686.400000000001</v>
      </c>
      <c r="F26" s="2243">
        <f>'Lead- Input sheet '!$Q$32</f>
        <v>0</v>
      </c>
      <c r="G26" s="2244">
        <f>ROUND(F26*E26,2)</f>
        <v>0</v>
      </c>
      <c r="H26" s="2245"/>
      <c r="I26" s="2230"/>
    </row>
    <row r="27" spans="1:10" s="2246" customFormat="1" hidden="1">
      <c r="A27" s="2224"/>
      <c r="B27" s="2224"/>
      <c r="C27" s="2225" t="s">
        <v>744</v>
      </c>
      <c r="D27" s="2242"/>
      <c r="E27" s="2242"/>
      <c r="F27" s="2249"/>
      <c r="G27" s="2244">
        <f>SUM(G25:G26)</f>
        <v>17686.400000000001</v>
      </c>
      <c r="H27" s="2245"/>
      <c r="I27" s="2230"/>
    </row>
    <row r="28" spans="1:10" s="2246" customFormat="1" hidden="1">
      <c r="A28" s="2224"/>
      <c r="B28" s="2224"/>
      <c r="C28" s="2225" t="s">
        <v>1229</v>
      </c>
      <c r="D28" s="2242"/>
      <c r="E28" s="2226"/>
      <c r="F28" s="2247" t="s">
        <v>1486</v>
      </c>
      <c r="G28" s="2244">
        <f>ROUND(G27/10,20)</f>
        <v>1768.64</v>
      </c>
      <c r="H28" s="2245"/>
      <c r="I28" s="2230"/>
    </row>
    <row r="29" spans="1:10" s="2231" customFormat="1" ht="88.2" hidden="1">
      <c r="A29" s="2213" t="s">
        <v>1567</v>
      </c>
      <c r="B29" s="2224">
        <v>2</v>
      </c>
      <c r="C29" s="2225" t="s">
        <v>3585</v>
      </c>
      <c r="D29" s="2233" t="s">
        <v>1925</v>
      </c>
      <c r="E29" s="2233"/>
      <c r="F29" s="2237"/>
      <c r="G29" s="2238"/>
      <c r="H29" s="2236"/>
      <c r="I29" s="2230"/>
    </row>
    <row r="30" spans="1:10" s="2231" customFormat="1" hidden="1">
      <c r="A30" s="2227" t="s">
        <v>1480</v>
      </c>
      <c r="B30" s="2224"/>
      <c r="C30" s="2232" t="s">
        <v>1025</v>
      </c>
      <c r="D30" s="2233"/>
      <c r="E30" s="2233"/>
      <c r="F30" s="2237"/>
      <c r="G30" s="2238"/>
      <c r="H30" s="2217"/>
      <c r="I30" s="2230"/>
    </row>
    <row r="31" spans="1:10" s="2231" customFormat="1" hidden="1">
      <c r="A31" s="2227"/>
      <c r="B31" s="2224"/>
      <c r="C31" s="2232" t="s">
        <v>777</v>
      </c>
      <c r="D31" s="2233"/>
      <c r="E31" s="2233"/>
      <c r="F31" s="2237"/>
      <c r="G31" s="2238"/>
      <c r="H31" s="2217"/>
      <c r="I31" s="2230"/>
    </row>
    <row r="32" spans="1:10" s="2231" customFormat="1" hidden="1">
      <c r="A32" s="2227"/>
      <c r="B32" s="2224"/>
      <c r="C32" s="2232" t="s">
        <v>1171</v>
      </c>
      <c r="D32" s="2233"/>
      <c r="E32" s="2233"/>
      <c r="F32" s="2237"/>
      <c r="G32" s="2238"/>
      <c r="H32" s="2217"/>
      <c r="I32" s="2230"/>
    </row>
    <row r="33" spans="1:9" s="2231" customFormat="1" hidden="1">
      <c r="A33" s="2227"/>
      <c r="B33" s="2224"/>
      <c r="C33" s="2232" t="s">
        <v>1172</v>
      </c>
      <c r="D33" s="2239" t="s">
        <v>776</v>
      </c>
      <c r="E33" s="2239">
        <v>0.31</v>
      </c>
      <c r="F33" s="2240">
        <f>F9</f>
        <v>605</v>
      </c>
      <c r="G33" s="2241">
        <f>ROUND(F33*E33,2)</f>
        <v>187.55</v>
      </c>
      <c r="H33" s="2250"/>
      <c r="I33" s="2230"/>
    </row>
    <row r="34" spans="1:9" s="2231" customFormat="1" hidden="1">
      <c r="A34" s="2227"/>
      <c r="B34" s="2224"/>
      <c r="C34" s="2232" t="s">
        <v>2617</v>
      </c>
      <c r="D34" s="2233"/>
      <c r="E34" s="2233">
        <f>'Lead- Input sheet '!Q31</f>
        <v>0</v>
      </c>
      <c r="F34" s="2237">
        <f>SUM(G32:G33)</f>
        <v>187.55</v>
      </c>
      <c r="G34" s="2238">
        <f>ROUND(F34*E34,2)</f>
        <v>0</v>
      </c>
      <c r="H34" s="2236"/>
      <c r="I34" s="2230"/>
    </row>
    <row r="35" spans="1:9" s="2231" customFormat="1" hidden="1">
      <c r="A35" s="2227"/>
      <c r="B35" s="2224"/>
      <c r="C35" s="2232" t="s">
        <v>778</v>
      </c>
      <c r="D35" s="2233" t="s">
        <v>525</v>
      </c>
      <c r="E35" s="2233">
        <v>6</v>
      </c>
      <c r="F35" s="2237">
        <f>'Lead- Input sheet '!R12</f>
        <v>1010.6380759582802</v>
      </c>
      <c r="G35" s="2238">
        <f>ROUND(F35*E35,2)</f>
        <v>6063.83</v>
      </c>
      <c r="H35" s="2251"/>
      <c r="I35" s="2230"/>
    </row>
    <row r="36" spans="1:9" s="2231" customFormat="1" hidden="1">
      <c r="A36" s="2227"/>
      <c r="B36" s="2224"/>
      <c r="C36" s="2232" t="s">
        <v>1569</v>
      </c>
      <c r="D36" s="2233" t="s">
        <v>1570</v>
      </c>
      <c r="E36" s="2233">
        <v>0.1</v>
      </c>
      <c r="F36" s="2237">
        <v>81</v>
      </c>
      <c r="G36" s="2238">
        <f>ROUND(F36*E36,2)</f>
        <v>8.1</v>
      </c>
      <c r="H36" s="2251"/>
      <c r="I36" s="2230"/>
    </row>
    <row r="37" spans="1:9" s="2246" customFormat="1" hidden="1">
      <c r="A37" s="2224"/>
      <c r="B37" s="2224"/>
      <c r="C37" s="2225"/>
      <c r="D37" s="2242"/>
      <c r="E37" s="2242"/>
      <c r="F37" s="2249"/>
      <c r="G37" s="2244">
        <f>SUM(G33:G36)</f>
        <v>6259.4800000000005</v>
      </c>
      <c r="H37" s="2251"/>
      <c r="I37" s="2230"/>
    </row>
    <row r="38" spans="1:9" s="2246" customFormat="1" hidden="1">
      <c r="A38" s="2224"/>
      <c r="B38" s="2224"/>
      <c r="C38" s="2225" t="s">
        <v>1600</v>
      </c>
      <c r="D38" s="2242"/>
      <c r="E38" s="2242">
        <f>G37</f>
        <v>6259.4800000000005</v>
      </c>
      <c r="F38" s="2243">
        <f>'Lead- Input sheet '!Q32</f>
        <v>0</v>
      </c>
      <c r="G38" s="2244">
        <f>ROUND(F38*E38,2)</f>
        <v>0</v>
      </c>
      <c r="H38" s="2245"/>
      <c r="I38" s="2230"/>
    </row>
    <row r="39" spans="1:9" s="2231" customFormat="1" hidden="1">
      <c r="A39" s="2227"/>
      <c r="B39" s="2224"/>
      <c r="C39" s="2232" t="s">
        <v>898</v>
      </c>
      <c r="D39" s="2233" t="s">
        <v>525</v>
      </c>
      <c r="E39" s="2233">
        <v>1</v>
      </c>
      <c r="F39" s="2237">
        <f>'Lead- Input sheet '!O12</f>
        <v>0</v>
      </c>
      <c r="G39" s="2238">
        <f>ROUND(F39*E39,2)</f>
        <v>0</v>
      </c>
      <c r="H39" s="2251"/>
      <c r="I39" s="2230"/>
    </row>
    <row r="40" spans="1:9" s="2231" customFormat="1" hidden="1">
      <c r="A40" s="2227"/>
      <c r="B40" s="2224"/>
      <c r="C40" s="2232"/>
      <c r="D40" s="2233"/>
      <c r="E40" s="2233"/>
      <c r="F40" s="2237"/>
      <c r="G40" s="2238">
        <f>SUM(G37:G39)</f>
        <v>6259.4800000000005</v>
      </c>
      <c r="H40" s="2251"/>
      <c r="I40" s="2230"/>
    </row>
    <row r="41" spans="1:9" s="2246" customFormat="1" hidden="1">
      <c r="A41" s="2224"/>
      <c r="B41" s="2224"/>
      <c r="C41" s="2225" t="s">
        <v>744</v>
      </c>
      <c r="D41" s="2242"/>
      <c r="E41" s="2242"/>
      <c r="F41" s="2247" t="s">
        <v>1486</v>
      </c>
      <c r="G41" s="2244">
        <f>ROUND(G40/6,2)</f>
        <v>1043.25</v>
      </c>
      <c r="I41" s="2230"/>
    </row>
    <row r="42" spans="1:9" s="2231" customFormat="1" ht="88.2" hidden="1">
      <c r="A42" s="2213" t="s">
        <v>70</v>
      </c>
      <c r="B42" s="2224">
        <v>3</v>
      </c>
      <c r="C42" s="2225" t="s">
        <v>3586</v>
      </c>
      <c r="D42" s="2233"/>
      <c r="E42" s="2242"/>
      <c r="F42" s="2249"/>
      <c r="G42" s="2244"/>
      <c r="H42" s="2236"/>
      <c r="I42" s="2230"/>
    </row>
    <row r="43" spans="1:9" s="2231" customFormat="1" hidden="1">
      <c r="A43" s="2227" t="s">
        <v>1480</v>
      </c>
      <c r="B43" s="2224"/>
      <c r="C43" s="2232" t="s">
        <v>1025</v>
      </c>
      <c r="D43" s="2233"/>
      <c r="E43" s="2233"/>
      <c r="F43" s="2237"/>
      <c r="G43" s="2238"/>
      <c r="H43" s="2236"/>
      <c r="I43" s="2230"/>
    </row>
    <row r="44" spans="1:9" s="2231" customFormat="1" hidden="1">
      <c r="A44" s="2227"/>
      <c r="B44" s="2224"/>
      <c r="C44" s="2232" t="s">
        <v>777</v>
      </c>
      <c r="D44" s="2233"/>
      <c r="E44" s="2233"/>
      <c r="F44" s="2237"/>
      <c r="G44" s="2238"/>
      <c r="H44" s="2236"/>
      <c r="I44" s="2230"/>
    </row>
    <row r="45" spans="1:9" s="2231" customFormat="1" hidden="1">
      <c r="A45" s="2227"/>
      <c r="B45" s="2224"/>
      <c r="C45" s="2232" t="s">
        <v>1171</v>
      </c>
      <c r="D45" s="2233"/>
      <c r="E45" s="2233"/>
      <c r="F45" s="2237"/>
      <c r="G45" s="2244"/>
      <c r="H45" s="2217"/>
      <c r="I45" s="2230"/>
    </row>
    <row r="46" spans="1:9" s="2231" customFormat="1" hidden="1">
      <c r="A46" s="2227"/>
      <c r="B46" s="2224"/>
      <c r="C46" s="2232" t="s">
        <v>1172</v>
      </c>
      <c r="D46" s="2233" t="s">
        <v>776</v>
      </c>
      <c r="E46" s="2233">
        <v>0.31</v>
      </c>
      <c r="F46" s="2240">
        <f>'Lead- Input sheet '!R28</f>
        <v>605</v>
      </c>
      <c r="G46" s="2238">
        <f>ROUND(F46*E46,2)</f>
        <v>187.55</v>
      </c>
      <c r="H46" s="2250"/>
      <c r="I46" s="2230"/>
    </row>
    <row r="47" spans="1:9" s="2231" customFormat="1" hidden="1">
      <c r="A47" s="2227"/>
      <c r="B47" s="2224"/>
      <c r="C47" s="2232" t="s">
        <v>2617</v>
      </c>
      <c r="D47" s="2233"/>
      <c r="E47" s="2233">
        <f>'Lead- Input sheet '!Q31</f>
        <v>0</v>
      </c>
      <c r="F47" s="2237">
        <f>G46</f>
        <v>187.55</v>
      </c>
      <c r="G47" s="2238">
        <f>ROUND(F47*E47,2)</f>
        <v>0</v>
      </c>
      <c r="H47" s="2236"/>
      <c r="I47" s="2230"/>
    </row>
    <row r="48" spans="1:9" s="2231" customFormat="1" hidden="1">
      <c r="A48" s="2227"/>
      <c r="B48" s="2224"/>
      <c r="C48" s="2232" t="s">
        <v>2627</v>
      </c>
      <c r="D48" s="2233" t="s">
        <v>525</v>
      </c>
      <c r="E48" s="2233">
        <v>6</v>
      </c>
      <c r="F48" s="2237">
        <f>'Lead- Input sheet '!R25</f>
        <v>187.35580689169564</v>
      </c>
      <c r="G48" s="2238">
        <f>ROUND(F48*E48,2)</f>
        <v>1124.1300000000001</v>
      </c>
      <c r="H48" s="2251"/>
      <c r="I48" s="2252"/>
    </row>
    <row r="49" spans="1:9" s="2231" customFormat="1" hidden="1">
      <c r="A49" s="2227"/>
      <c r="B49" s="2224"/>
      <c r="C49" s="2232" t="s">
        <v>1569</v>
      </c>
      <c r="D49" s="2233" t="s">
        <v>1570</v>
      </c>
      <c r="E49" s="2233">
        <v>0.72</v>
      </c>
      <c r="F49" s="2240">
        <f>'Lead- Input sheet '!P34</f>
        <v>81</v>
      </c>
      <c r="G49" s="2238">
        <f>ROUND(F49*E49,2)</f>
        <v>58.32</v>
      </c>
      <c r="H49" s="2251"/>
      <c r="I49" s="2252"/>
    </row>
    <row r="50" spans="1:9" s="2231" customFormat="1" hidden="1">
      <c r="A50" s="2227"/>
      <c r="B50" s="2224"/>
      <c r="C50" s="2232"/>
      <c r="D50" s="2233"/>
      <c r="E50" s="2233"/>
      <c r="F50" s="2237"/>
      <c r="G50" s="2238">
        <f>SUM(G46:G49)</f>
        <v>1370</v>
      </c>
      <c r="H50" s="2251"/>
      <c r="I50" s="2230"/>
    </row>
    <row r="51" spans="1:9" s="2246" customFormat="1" hidden="1">
      <c r="A51" s="2224"/>
      <c r="B51" s="2224"/>
      <c r="C51" s="2225" t="s">
        <v>1600</v>
      </c>
      <c r="D51" s="2242"/>
      <c r="E51" s="2242">
        <f>G50</f>
        <v>1370</v>
      </c>
      <c r="F51" s="2243">
        <f>'Lead- Input sheet '!Q32</f>
        <v>0</v>
      </c>
      <c r="G51" s="2244">
        <f>ROUND(F51*E51,2)</f>
        <v>0</v>
      </c>
      <c r="H51" s="2245"/>
      <c r="I51" s="2230"/>
    </row>
    <row r="52" spans="1:9" s="2231" customFormat="1" hidden="1">
      <c r="A52" s="2227"/>
      <c r="B52" s="2224"/>
      <c r="C52" s="2232" t="s">
        <v>898</v>
      </c>
      <c r="D52" s="2233" t="s">
        <v>525</v>
      </c>
      <c r="E52" s="2233">
        <v>6</v>
      </c>
      <c r="F52" s="2237">
        <f>'Lead- Input sheet '!O25</f>
        <v>0</v>
      </c>
      <c r="G52" s="2238">
        <f>ROUND(F52*E52,2)</f>
        <v>0</v>
      </c>
      <c r="H52" s="2251"/>
      <c r="I52" s="2230"/>
    </row>
    <row r="53" spans="1:9" s="2231" customFormat="1" hidden="1">
      <c r="A53" s="2227"/>
      <c r="B53" s="2224"/>
      <c r="C53" s="2232"/>
      <c r="D53" s="2233"/>
      <c r="E53" s="2233"/>
      <c r="F53" s="2237"/>
      <c r="G53" s="2238">
        <f>SUM(G50:G52)</f>
        <v>1370</v>
      </c>
      <c r="H53" s="2251">
        <f>24.11*208.45</f>
        <v>5025.7294999999995</v>
      </c>
      <c r="I53" s="2230"/>
    </row>
    <row r="54" spans="1:9" s="2246" customFormat="1" hidden="1">
      <c r="A54" s="2224"/>
      <c r="B54" s="2224"/>
      <c r="C54" s="2225" t="s">
        <v>744</v>
      </c>
      <c r="D54" s="2242"/>
      <c r="E54" s="2242"/>
      <c r="F54" s="2247" t="s">
        <v>1486</v>
      </c>
      <c r="G54" s="2244">
        <f>ROUND(G53/6,2)</f>
        <v>228.33</v>
      </c>
      <c r="H54" s="2246">
        <f>46.21*36.05</f>
        <v>1665.8705</v>
      </c>
      <c r="I54" s="2230"/>
    </row>
    <row r="55" spans="1:9" s="2246" customFormat="1" ht="100.8">
      <c r="A55" s="2213" t="s">
        <v>1574</v>
      </c>
      <c r="B55" s="2224"/>
      <c r="C55" s="2225" t="s">
        <v>3587</v>
      </c>
      <c r="D55" s="2233"/>
      <c r="E55" s="2242"/>
      <c r="F55" s="2249"/>
      <c r="G55" s="2244"/>
      <c r="I55" s="2230"/>
    </row>
    <row r="56" spans="1:9" s="2246" customFormat="1">
      <c r="A56" s="2224"/>
      <c r="B56" s="2224"/>
      <c r="C56" s="2232" t="s">
        <v>1025</v>
      </c>
      <c r="D56" s="2233"/>
      <c r="E56" s="2233"/>
      <c r="F56" s="2237"/>
      <c r="G56" s="2238"/>
      <c r="I56" s="2230"/>
    </row>
    <row r="57" spans="1:9" s="2246" customFormat="1">
      <c r="A57" s="2224"/>
      <c r="B57" s="2224"/>
      <c r="C57" s="2232" t="s">
        <v>777</v>
      </c>
      <c r="D57" s="2233"/>
      <c r="E57" s="2233"/>
      <c r="F57" s="2237"/>
      <c r="G57" s="2238"/>
      <c r="I57" s="2230"/>
    </row>
    <row r="58" spans="1:9" s="2246" customFormat="1">
      <c r="A58" s="2224"/>
      <c r="B58" s="2224"/>
      <c r="C58" s="2232" t="s">
        <v>1171</v>
      </c>
      <c r="D58" s="2233"/>
      <c r="E58" s="2233"/>
      <c r="F58" s="2237"/>
      <c r="G58" s="2244"/>
      <c r="I58" s="2230"/>
    </row>
    <row r="59" spans="1:9" s="2246" customFormat="1">
      <c r="A59" s="2224"/>
      <c r="B59" s="2224"/>
      <c r="C59" s="2232" t="s">
        <v>1172</v>
      </c>
      <c r="D59" s="2233" t="s">
        <v>776</v>
      </c>
      <c r="E59" s="2233">
        <v>0.31</v>
      </c>
      <c r="F59" s="2240">
        <f>F46</f>
        <v>605</v>
      </c>
      <c r="G59" s="2238">
        <f>ROUND(F59*E59,2)</f>
        <v>187.55</v>
      </c>
      <c r="I59" s="2230"/>
    </row>
    <row r="60" spans="1:9" s="2246" customFormat="1" hidden="1">
      <c r="A60" s="2224"/>
      <c r="B60" s="2224"/>
      <c r="C60" s="2232" t="s">
        <v>2617</v>
      </c>
      <c r="D60" s="2233"/>
      <c r="E60" s="2233">
        <f>'Lead- Input sheet '!Q46</f>
        <v>0</v>
      </c>
      <c r="F60" s="2237">
        <f>G59</f>
        <v>187.55</v>
      </c>
      <c r="G60" s="2238">
        <f>ROUND(F60*E60,2)</f>
        <v>0</v>
      </c>
      <c r="I60" s="2230"/>
    </row>
    <row r="61" spans="1:9" s="2246" customFormat="1">
      <c r="A61" s="2224"/>
      <c r="B61" s="2224"/>
      <c r="C61" s="2232" t="s">
        <v>1569</v>
      </c>
      <c r="D61" s="2233" t="s">
        <v>1570</v>
      </c>
      <c r="E61" s="2233">
        <v>0.72</v>
      </c>
      <c r="F61" s="2240">
        <v>81</v>
      </c>
      <c r="G61" s="2238">
        <f>ROUND(F61*E61,2)</f>
        <v>58.32</v>
      </c>
      <c r="I61" s="2230"/>
    </row>
    <row r="62" spans="1:9" s="2246" customFormat="1">
      <c r="A62" s="2224"/>
      <c r="B62" s="2224"/>
      <c r="C62" s="2232"/>
      <c r="D62" s="2233"/>
      <c r="E62" s="2233"/>
      <c r="F62" s="2237"/>
      <c r="G62" s="2238">
        <f>SUM(G59:G61)</f>
        <v>245.87</v>
      </c>
      <c r="I62" s="2230"/>
    </row>
    <row r="63" spans="1:9" s="2246" customFormat="1" hidden="1">
      <c r="A63" s="2224"/>
      <c r="B63" s="2224"/>
      <c r="C63" s="2225" t="s">
        <v>1600</v>
      </c>
      <c r="D63" s="2242"/>
      <c r="E63" s="2242">
        <f>G62</f>
        <v>245.87</v>
      </c>
      <c r="F63" s="2243">
        <f>'Lead- Input sheet '!Q47</f>
        <v>0</v>
      </c>
      <c r="G63" s="2244">
        <f>ROUND(F63*E63,2)</f>
        <v>0</v>
      </c>
      <c r="I63" s="2230"/>
    </row>
    <row r="64" spans="1:9" s="2246" customFormat="1" hidden="1">
      <c r="A64" s="2224"/>
      <c r="B64" s="2224"/>
      <c r="C64" s="2232" t="s">
        <v>898</v>
      </c>
      <c r="D64" s="2233" t="s">
        <v>525</v>
      </c>
      <c r="E64" s="2233">
        <v>6</v>
      </c>
      <c r="F64" s="2237">
        <f>'Lead- Input sheet '!O37</f>
        <v>0</v>
      </c>
      <c r="G64" s="2238">
        <f>ROUND(F64*E64,2)</f>
        <v>0</v>
      </c>
      <c r="I64" s="2230"/>
    </row>
    <row r="65" spans="1:9" s="2246" customFormat="1">
      <c r="A65" s="2224"/>
      <c r="B65" s="2224"/>
      <c r="C65" s="2232"/>
      <c r="D65" s="2233"/>
      <c r="E65" s="2233"/>
      <c r="F65" s="2237"/>
      <c r="G65" s="2238">
        <f>SUM(G62:G64)</f>
        <v>245.87</v>
      </c>
      <c r="I65" s="2230"/>
    </row>
    <row r="66" spans="1:9" s="2246" customFormat="1">
      <c r="A66" s="2224"/>
      <c r="B66" s="2224"/>
      <c r="C66" s="2225" t="s">
        <v>744</v>
      </c>
      <c r="D66" s="2242"/>
      <c r="E66" s="2242"/>
      <c r="F66" s="2247" t="s">
        <v>1486</v>
      </c>
      <c r="G66" s="2244">
        <f>ROUND(G65/6,2)</f>
        <v>40.98</v>
      </c>
      <c r="I66" s="2230"/>
    </row>
    <row r="67" spans="1:9" s="2231" customFormat="1" ht="25.2">
      <c r="A67" s="2213" t="s">
        <v>151</v>
      </c>
      <c r="B67" s="2224"/>
      <c r="C67" s="2225" t="s">
        <v>152</v>
      </c>
      <c r="D67" s="2233"/>
      <c r="E67" s="2242"/>
      <c r="F67" s="2249"/>
      <c r="G67" s="2244"/>
      <c r="H67" s="2236"/>
      <c r="I67" s="2230"/>
    </row>
    <row r="68" spans="1:9" ht="25.2">
      <c r="A68" s="2213" t="s">
        <v>153</v>
      </c>
      <c r="B68" s="2213">
        <v>4</v>
      </c>
      <c r="C68" s="2225" t="s">
        <v>1039</v>
      </c>
      <c r="D68" s="2233"/>
      <c r="E68" s="2233"/>
      <c r="F68" s="2237"/>
      <c r="G68" s="2238"/>
      <c r="I68" s="2230"/>
    </row>
    <row r="69" spans="1:9">
      <c r="A69" s="2253"/>
      <c r="B69" s="2213"/>
      <c r="C69" s="2232" t="s">
        <v>1040</v>
      </c>
      <c r="D69" s="2233"/>
      <c r="E69" s="2233"/>
      <c r="F69" s="2237"/>
      <c r="G69" s="2238"/>
      <c r="I69" s="2230"/>
    </row>
    <row r="70" spans="1:9">
      <c r="A70" s="2253"/>
      <c r="B70" s="2213"/>
      <c r="C70" s="2232" t="s">
        <v>1041</v>
      </c>
      <c r="D70" s="2233"/>
      <c r="E70" s="2233"/>
      <c r="F70" s="2237"/>
      <c r="G70" s="2238"/>
      <c r="I70" s="2230"/>
    </row>
    <row r="71" spans="1:9">
      <c r="A71" s="2253"/>
      <c r="B71" s="2213"/>
      <c r="C71" s="2232" t="s">
        <v>523</v>
      </c>
      <c r="D71" s="2233" t="s">
        <v>1042</v>
      </c>
      <c r="E71" s="2233">
        <v>1440</v>
      </c>
      <c r="F71" s="2237">
        <f>'Lead- Input sheet '!R8</f>
        <v>6656</v>
      </c>
      <c r="G71" s="2238">
        <f>ROUND(E71*F71/1000,2)</f>
        <v>9584.64</v>
      </c>
      <c r="I71" s="2230"/>
    </row>
    <row r="72" spans="1:9">
      <c r="A72" s="2253"/>
      <c r="B72" s="2213"/>
      <c r="C72" s="2232" t="s">
        <v>1043</v>
      </c>
      <c r="D72" s="2233" t="s">
        <v>1473</v>
      </c>
      <c r="E72" s="2233">
        <v>1.05</v>
      </c>
      <c r="F72" s="2237">
        <f>'Lead- Input sheet '!R11</f>
        <v>1239.6380759582803</v>
      </c>
      <c r="G72" s="2238">
        <f>ROUND(E72*F72,2)</f>
        <v>1301.6199999999999</v>
      </c>
      <c r="I72" s="2230"/>
    </row>
    <row r="73" spans="1:9">
      <c r="A73" s="2253"/>
      <c r="B73" s="2213"/>
      <c r="C73" s="2232" t="s">
        <v>1044</v>
      </c>
      <c r="D73" s="2233"/>
      <c r="E73" s="2233"/>
      <c r="F73" s="2237"/>
      <c r="G73" s="2238"/>
      <c r="I73" s="2230"/>
    </row>
    <row r="74" spans="1:9">
      <c r="A74" s="2253"/>
      <c r="B74" s="2213"/>
      <c r="C74" s="2232" t="s">
        <v>1045</v>
      </c>
      <c r="D74" s="2233"/>
      <c r="E74" s="2233"/>
      <c r="F74" s="2237"/>
      <c r="G74" s="2238"/>
      <c r="I74" s="2230"/>
    </row>
    <row r="75" spans="1:9">
      <c r="A75" s="2253"/>
      <c r="B75" s="2213"/>
      <c r="C75" s="2232" t="s">
        <v>1046</v>
      </c>
      <c r="D75" s="2233" t="s">
        <v>1047</v>
      </c>
      <c r="E75" s="2233">
        <v>0.2</v>
      </c>
      <c r="F75" s="2240">
        <f>'Lead- Input sheet '!R28</f>
        <v>605</v>
      </c>
      <c r="G75" s="2238">
        <f>ROUND(E75*F75,2)</f>
        <v>121</v>
      </c>
      <c r="I75" s="2230"/>
    </row>
    <row r="76" spans="1:9" s="2231" customFormat="1">
      <c r="A76" s="2227"/>
      <c r="B76" s="2224"/>
      <c r="C76" s="2232" t="s">
        <v>2617</v>
      </c>
      <c r="D76" s="2233"/>
      <c r="E76" s="2233">
        <f>'Lead- Input sheet '!Q31</f>
        <v>0</v>
      </c>
      <c r="F76" s="2237">
        <f>G75</f>
        <v>121</v>
      </c>
      <c r="G76" s="2238">
        <f>ROUND(F76*E76,2)</f>
        <v>0</v>
      </c>
      <c r="H76" s="2236"/>
      <c r="I76" s="2230"/>
    </row>
    <row r="77" spans="1:9">
      <c r="A77" s="2253"/>
      <c r="B77" s="2213"/>
      <c r="C77" s="2232" t="s">
        <v>1048</v>
      </c>
      <c r="D77" s="2233"/>
      <c r="E77" s="2233"/>
      <c r="F77" s="2247" t="s">
        <v>1486</v>
      </c>
      <c r="G77" s="2244">
        <f>ROUND(SUM(G71:G76),2)</f>
        <v>11007.26</v>
      </c>
      <c r="I77" s="2230"/>
    </row>
    <row r="78" spans="1:9" ht="37.799999999999997" hidden="1">
      <c r="A78" s="2213" t="s">
        <v>1049</v>
      </c>
      <c r="B78" s="2213">
        <v>5</v>
      </c>
      <c r="C78" s="2225" t="s">
        <v>1050</v>
      </c>
      <c r="D78" s="2233"/>
      <c r="E78" s="2233"/>
      <c r="F78" s="2237"/>
      <c r="G78" s="2238"/>
      <c r="I78" s="2230"/>
    </row>
    <row r="79" spans="1:9" hidden="1">
      <c r="A79" s="2253"/>
      <c r="B79" s="2213"/>
      <c r="C79" s="2232" t="s">
        <v>1040</v>
      </c>
      <c r="D79" s="2233"/>
      <c r="E79" s="2233"/>
      <c r="F79" s="2237"/>
      <c r="G79" s="2238"/>
      <c r="I79" s="2230"/>
    </row>
    <row r="80" spans="1:9" hidden="1">
      <c r="A80" s="2253"/>
      <c r="B80" s="2213"/>
      <c r="C80" s="2232" t="s">
        <v>1041</v>
      </c>
      <c r="D80" s="2233"/>
      <c r="E80" s="2233"/>
      <c r="F80" s="2237"/>
      <c r="G80" s="2238"/>
      <c r="I80" s="2230"/>
    </row>
    <row r="81" spans="1:9" hidden="1">
      <c r="A81" s="2253"/>
      <c r="B81" s="2213"/>
      <c r="C81" s="2232" t="s">
        <v>523</v>
      </c>
      <c r="D81" s="2233" t="s">
        <v>1042</v>
      </c>
      <c r="E81" s="2233">
        <v>720</v>
      </c>
      <c r="F81" s="2237">
        <f>'Lead- Input sheet '!R8</f>
        <v>6656</v>
      </c>
      <c r="G81" s="2238">
        <f>ROUND(E81*F81/1000,2)</f>
        <v>4792.32</v>
      </c>
      <c r="I81" s="2230"/>
    </row>
    <row r="82" spans="1:9" hidden="1">
      <c r="A82" s="2253"/>
      <c r="B82" s="2213"/>
      <c r="C82" s="2232" t="s">
        <v>1043</v>
      </c>
      <c r="D82" s="2233" t="s">
        <v>1473</v>
      </c>
      <c r="E82" s="2233">
        <v>1.05</v>
      </c>
      <c r="F82" s="2237">
        <f>'Lead- Input sheet '!R11</f>
        <v>1239.6380759582803</v>
      </c>
      <c r="G82" s="2238">
        <f>ROUND(E82*F82,2)</f>
        <v>1301.6199999999999</v>
      </c>
      <c r="I82" s="2230"/>
    </row>
    <row r="83" spans="1:9" hidden="1">
      <c r="A83" s="2253"/>
      <c r="B83" s="2213"/>
      <c r="C83" s="2232" t="s">
        <v>1044</v>
      </c>
      <c r="D83" s="2233"/>
      <c r="E83" s="2233"/>
      <c r="F83" s="2237"/>
      <c r="G83" s="2238"/>
      <c r="I83" s="2230"/>
    </row>
    <row r="84" spans="1:9" hidden="1">
      <c r="A84" s="2253"/>
      <c r="B84" s="2213"/>
      <c r="C84" s="2232" t="s">
        <v>1045</v>
      </c>
      <c r="D84" s="2233"/>
      <c r="E84" s="2233"/>
      <c r="F84" s="2237"/>
      <c r="G84" s="2238"/>
      <c r="I84" s="2230"/>
    </row>
    <row r="85" spans="1:9" hidden="1">
      <c r="A85" s="2253"/>
      <c r="B85" s="2213"/>
      <c r="C85" s="2232" t="s">
        <v>1046</v>
      </c>
      <c r="D85" s="2233" t="s">
        <v>1047</v>
      </c>
      <c r="E85" s="2233">
        <v>0.2</v>
      </c>
      <c r="F85" s="2237">
        <f>'Lead- Input sheet '!R28</f>
        <v>605</v>
      </c>
      <c r="G85" s="2238">
        <f>ROUND(E85*F85,2)</f>
        <v>121</v>
      </c>
      <c r="I85" s="2230"/>
    </row>
    <row r="86" spans="1:9" s="2231" customFormat="1" hidden="1">
      <c r="A86" s="2227"/>
      <c r="B86" s="2224"/>
      <c r="C86" s="2232" t="s">
        <v>2617</v>
      </c>
      <c r="D86" s="2233"/>
      <c r="E86" s="2233">
        <f>'Lead- Input sheet '!Q31</f>
        <v>0</v>
      </c>
      <c r="F86" s="2237">
        <f>G85</f>
        <v>121</v>
      </c>
      <c r="G86" s="2238">
        <f>ROUND(F86*E86,2)</f>
        <v>0</v>
      </c>
      <c r="H86" s="2236"/>
      <c r="I86" s="2230"/>
    </row>
    <row r="87" spans="1:9" hidden="1">
      <c r="A87" s="2253"/>
      <c r="B87" s="2213"/>
      <c r="C87" s="2232" t="s">
        <v>1048</v>
      </c>
      <c r="D87" s="2233"/>
      <c r="E87" s="2233"/>
      <c r="F87" s="2247" t="s">
        <v>1486</v>
      </c>
      <c r="G87" s="2244">
        <f>ROUND(SUM(G81:G86),2)</f>
        <v>6214.94</v>
      </c>
      <c r="I87" s="2230"/>
    </row>
    <row r="88" spans="1:9" s="2254" customFormat="1" ht="37.799999999999997" hidden="1">
      <c r="A88" s="2213" t="s">
        <v>1051</v>
      </c>
      <c r="B88" s="2213">
        <v>6</v>
      </c>
      <c r="C88" s="2225" t="s">
        <v>1208</v>
      </c>
      <c r="D88" s="2242"/>
      <c r="E88" s="2242"/>
      <c r="F88" s="2249"/>
      <c r="G88" s="2244"/>
      <c r="H88" s="2209"/>
      <c r="I88" s="2230"/>
    </row>
    <row r="89" spans="1:9" hidden="1">
      <c r="A89" s="2253"/>
      <c r="B89" s="2213"/>
      <c r="C89" s="2232" t="s">
        <v>1040</v>
      </c>
      <c r="D89" s="2233"/>
      <c r="E89" s="2233"/>
      <c r="F89" s="2237"/>
      <c r="G89" s="2238"/>
      <c r="I89" s="2230"/>
    </row>
    <row r="90" spans="1:9" hidden="1">
      <c r="A90" s="2253"/>
      <c r="B90" s="2213"/>
      <c r="C90" s="2232" t="s">
        <v>1041</v>
      </c>
      <c r="D90" s="2233"/>
      <c r="E90" s="2233"/>
      <c r="F90" s="2237"/>
      <c r="G90" s="2238"/>
      <c r="I90" s="2230"/>
    </row>
    <row r="91" spans="1:9" hidden="1">
      <c r="A91" s="2253"/>
      <c r="B91" s="2213"/>
      <c r="C91" s="2232" t="s">
        <v>523</v>
      </c>
      <c r="D91" s="2233" t="s">
        <v>1042</v>
      </c>
      <c r="E91" s="2233">
        <v>480</v>
      </c>
      <c r="F91" s="2237">
        <f>'Lead- Input sheet '!R8</f>
        <v>6656</v>
      </c>
      <c r="G91" s="2238">
        <f>ROUND(E91*F91/1000,2)</f>
        <v>3194.88</v>
      </c>
      <c r="I91" s="2230"/>
    </row>
    <row r="92" spans="1:9" hidden="1">
      <c r="A92" s="2253"/>
      <c r="B92" s="2213"/>
      <c r="C92" s="2232" t="s">
        <v>1043</v>
      </c>
      <c r="D92" s="2233" t="s">
        <v>1473</v>
      </c>
      <c r="E92" s="2233">
        <v>1.05</v>
      </c>
      <c r="F92" s="2237">
        <f>'Lead- Input sheet '!R11</f>
        <v>1239.6380759582803</v>
      </c>
      <c r="G92" s="2238">
        <f>ROUND(E92*F92,2)</f>
        <v>1301.6199999999999</v>
      </c>
      <c r="I92" s="2230"/>
    </row>
    <row r="93" spans="1:9" hidden="1">
      <c r="A93" s="2253"/>
      <c r="B93" s="2213"/>
      <c r="C93" s="2232" t="s">
        <v>1044</v>
      </c>
      <c r="D93" s="2233"/>
      <c r="E93" s="2233"/>
      <c r="F93" s="2237"/>
      <c r="G93" s="2238"/>
      <c r="I93" s="2230"/>
    </row>
    <row r="94" spans="1:9" hidden="1">
      <c r="A94" s="2253"/>
      <c r="B94" s="2213"/>
      <c r="C94" s="2232" t="s">
        <v>1045</v>
      </c>
      <c r="D94" s="2233"/>
      <c r="E94" s="2233"/>
      <c r="F94" s="2237"/>
      <c r="G94" s="2238"/>
      <c r="I94" s="2230"/>
    </row>
    <row r="95" spans="1:9" hidden="1">
      <c r="A95" s="2253"/>
      <c r="B95" s="2213"/>
      <c r="C95" s="2232" t="s">
        <v>1046</v>
      </c>
      <c r="D95" s="2233" t="s">
        <v>1047</v>
      </c>
      <c r="E95" s="2233">
        <v>0.2</v>
      </c>
      <c r="F95" s="2237">
        <f>'Lead- Input sheet '!R28</f>
        <v>605</v>
      </c>
      <c r="G95" s="2238">
        <f>ROUND(E95*F95,2)</f>
        <v>121</v>
      </c>
      <c r="I95" s="2230"/>
    </row>
    <row r="96" spans="1:9" s="2231" customFormat="1" hidden="1">
      <c r="A96" s="2227"/>
      <c r="B96" s="2224"/>
      <c r="C96" s="2232" t="s">
        <v>2617</v>
      </c>
      <c r="D96" s="2233"/>
      <c r="E96" s="2233">
        <f>'Lead- Input sheet '!Q31</f>
        <v>0</v>
      </c>
      <c r="F96" s="2237">
        <f>G95</f>
        <v>121</v>
      </c>
      <c r="G96" s="2238">
        <f>ROUND(F96*E96,2)</f>
        <v>0</v>
      </c>
      <c r="H96" s="2236"/>
      <c r="I96" s="2230"/>
    </row>
    <row r="97" spans="1:9" hidden="1">
      <c r="A97" s="2253"/>
      <c r="B97" s="2213"/>
      <c r="C97" s="2232" t="s">
        <v>1048</v>
      </c>
      <c r="D97" s="2233"/>
      <c r="E97" s="2233"/>
      <c r="F97" s="2247" t="s">
        <v>1486</v>
      </c>
      <c r="G97" s="2244">
        <f>ROUND(SUM(G91:G96),2)</f>
        <v>4617.5</v>
      </c>
      <c r="I97" s="2230"/>
    </row>
    <row r="98" spans="1:9" s="2254" customFormat="1" ht="37.799999999999997" hidden="1">
      <c r="A98" s="2213" t="s">
        <v>156</v>
      </c>
      <c r="B98" s="2213">
        <v>7</v>
      </c>
      <c r="C98" s="2225" t="s">
        <v>157</v>
      </c>
      <c r="D98" s="2242"/>
      <c r="E98" s="2242"/>
      <c r="F98" s="2249"/>
      <c r="G98" s="2244"/>
      <c r="H98" s="2209"/>
      <c r="I98" s="2230"/>
    </row>
    <row r="99" spans="1:9" hidden="1">
      <c r="A99" s="2253"/>
      <c r="B99" s="2213"/>
      <c r="C99" s="2232" t="s">
        <v>1040</v>
      </c>
      <c r="D99" s="2233"/>
      <c r="E99" s="2233"/>
      <c r="F99" s="2237"/>
      <c r="G99" s="2238"/>
      <c r="I99" s="2230"/>
    </row>
    <row r="100" spans="1:9" hidden="1">
      <c r="A100" s="2253"/>
      <c r="B100" s="2213"/>
      <c r="C100" s="2232" t="s">
        <v>1041</v>
      </c>
      <c r="D100" s="2233"/>
      <c r="E100" s="2233"/>
      <c r="F100" s="2237"/>
      <c r="G100" s="2238"/>
      <c r="I100" s="2230"/>
    </row>
    <row r="101" spans="1:9" hidden="1">
      <c r="A101" s="2253"/>
      <c r="B101" s="2213"/>
      <c r="C101" s="2232" t="s">
        <v>523</v>
      </c>
      <c r="D101" s="2233" t="s">
        <v>1042</v>
      </c>
      <c r="E101" s="2233">
        <v>360</v>
      </c>
      <c r="F101" s="2237">
        <f>'Lead- Input sheet '!R8</f>
        <v>6656</v>
      </c>
      <c r="G101" s="2238">
        <f>ROUND(E101*F101/1000,2)</f>
        <v>2396.16</v>
      </c>
      <c r="I101" s="2230"/>
    </row>
    <row r="102" spans="1:9" hidden="1">
      <c r="A102" s="2253"/>
      <c r="B102" s="2213"/>
      <c r="C102" s="2232" t="s">
        <v>1043</v>
      </c>
      <c r="D102" s="2233" t="s">
        <v>1473</v>
      </c>
      <c r="E102" s="2233">
        <v>1.05</v>
      </c>
      <c r="F102" s="2237">
        <f>F92</f>
        <v>1239.6380759582803</v>
      </c>
      <c r="G102" s="2238">
        <f>ROUND(E102*F102,2)</f>
        <v>1301.6199999999999</v>
      </c>
      <c r="I102" s="2230"/>
    </row>
    <row r="103" spans="1:9" hidden="1">
      <c r="A103" s="2253"/>
      <c r="B103" s="2213"/>
      <c r="C103" s="2232" t="s">
        <v>1044</v>
      </c>
      <c r="D103" s="2233"/>
      <c r="E103" s="2233"/>
      <c r="F103" s="2237"/>
      <c r="G103" s="2238"/>
      <c r="I103" s="2230"/>
    </row>
    <row r="104" spans="1:9" hidden="1">
      <c r="A104" s="2253"/>
      <c r="B104" s="2213"/>
      <c r="C104" s="2232" t="s">
        <v>1045</v>
      </c>
      <c r="D104" s="2233"/>
      <c r="E104" s="2233"/>
      <c r="F104" s="2237"/>
      <c r="G104" s="2238"/>
      <c r="I104" s="2230"/>
    </row>
    <row r="105" spans="1:9" hidden="1">
      <c r="A105" s="2253"/>
      <c r="B105" s="2213"/>
      <c r="C105" s="2232" t="s">
        <v>1046</v>
      </c>
      <c r="D105" s="2233" t="s">
        <v>1047</v>
      </c>
      <c r="E105" s="2233">
        <v>0.2</v>
      </c>
      <c r="F105" s="2237">
        <f>F95</f>
        <v>605</v>
      </c>
      <c r="G105" s="2238">
        <f>ROUND(E105*F105,2)</f>
        <v>121</v>
      </c>
      <c r="I105" s="2230"/>
    </row>
    <row r="106" spans="1:9" s="2231" customFormat="1" hidden="1">
      <c r="A106" s="2227"/>
      <c r="B106" s="2224"/>
      <c r="C106" s="2232" t="s">
        <v>2617</v>
      </c>
      <c r="D106" s="2233"/>
      <c r="E106" s="2233">
        <f>'Lead- Input sheet '!Q31</f>
        <v>0</v>
      </c>
      <c r="F106" s="2237">
        <f>G105</f>
        <v>121</v>
      </c>
      <c r="G106" s="2238">
        <f>ROUND(F106*E106,2)</f>
        <v>0</v>
      </c>
      <c r="H106" s="2236"/>
      <c r="I106" s="2230"/>
    </row>
    <row r="107" spans="1:9" hidden="1">
      <c r="A107" s="2253"/>
      <c r="B107" s="2213"/>
      <c r="C107" s="2232" t="s">
        <v>1048</v>
      </c>
      <c r="D107" s="2233"/>
      <c r="E107" s="2233"/>
      <c r="F107" s="2247" t="s">
        <v>1486</v>
      </c>
      <c r="G107" s="2244">
        <f>ROUND(SUM(G101:G106),2)</f>
        <v>3818.78</v>
      </c>
      <c r="I107" s="2230"/>
    </row>
    <row r="108" spans="1:9" s="2254" customFormat="1" ht="37.799999999999997" hidden="1">
      <c r="A108" s="2213" t="s">
        <v>158</v>
      </c>
      <c r="B108" s="2213">
        <v>8</v>
      </c>
      <c r="C108" s="2225" t="s">
        <v>159</v>
      </c>
      <c r="D108" s="2242"/>
      <c r="E108" s="2242"/>
      <c r="F108" s="2249"/>
      <c r="G108" s="2244"/>
      <c r="H108" s="2209"/>
      <c r="I108" s="2230"/>
    </row>
    <row r="109" spans="1:9" hidden="1">
      <c r="A109" s="2253"/>
      <c r="B109" s="2213"/>
      <c r="C109" s="2232" t="s">
        <v>1040</v>
      </c>
      <c r="D109" s="2233"/>
      <c r="E109" s="2233"/>
      <c r="F109" s="2237"/>
      <c r="G109" s="2238"/>
      <c r="I109" s="2230"/>
    </row>
    <row r="110" spans="1:9" hidden="1">
      <c r="A110" s="2253"/>
      <c r="B110" s="2213"/>
      <c r="C110" s="2232" t="s">
        <v>1041</v>
      </c>
      <c r="D110" s="2233"/>
      <c r="E110" s="2233"/>
      <c r="F110" s="2237"/>
      <c r="G110" s="2238"/>
      <c r="I110" s="2230"/>
    </row>
    <row r="111" spans="1:9" hidden="1">
      <c r="A111" s="2253"/>
      <c r="B111" s="2213"/>
      <c r="C111" s="2232" t="s">
        <v>523</v>
      </c>
      <c r="D111" s="2233" t="s">
        <v>1042</v>
      </c>
      <c r="E111" s="2233">
        <v>288</v>
      </c>
      <c r="F111" s="2237">
        <f>'Lead- Input sheet '!R8</f>
        <v>6656</v>
      </c>
      <c r="G111" s="2238">
        <f>ROUND(E111*F111/1000,2)</f>
        <v>1916.93</v>
      </c>
      <c r="I111" s="2230"/>
    </row>
    <row r="112" spans="1:9" hidden="1">
      <c r="A112" s="2253"/>
      <c r="B112" s="2213"/>
      <c r="C112" s="2232" t="s">
        <v>1043</v>
      </c>
      <c r="D112" s="2233" t="s">
        <v>1473</v>
      </c>
      <c r="E112" s="2233">
        <v>1.05</v>
      </c>
      <c r="F112" s="2237">
        <f>F102</f>
        <v>1239.6380759582803</v>
      </c>
      <c r="G112" s="2238">
        <f>ROUND(E112*F112,2)</f>
        <v>1301.6199999999999</v>
      </c>
      <c r="I112" s="2230"/>
    </row>
    <row r="113" spans="1:9" hidden="1">
      <c r="A113" s="2253"/>
      <c r="B113" s="2213"/>
      <c r="C113" s="2232" t="s">
        <v>1044</v>
      </c>
      <c r="D113" s="2233"/>
      <c r="E113" s="2233"/>
      <c r="F113" s="2237"/>
      <c r="G113" s="2238"/>
      <c r="I113" s="2230"/>
    </row>
    <row r="114" spans="1:9" hidden="1">
      <c r="A114" s="2253"/>
      <c r="B114" s="2213"/>
      <c r="C114" s="2232" t="s">
        <v>1045</v>
      </c>
      <c r="D114" s="2233"/>
      <c r="E114" s="2233"/>
      <c r="F114" s="2237"/>
      <c r="G114" s="2238"/>
      <c r="I114" s="2230"/>
    </row>
    <row r="115" spans="1:9" hidden="1">
      <c r="A115" s="2253"/>
      <c r="B115" s="2213"/>
      <c r="C115" s="2232" t="s">
        <v>1046</v>
      </c>
      <c r="D115" s="2233" t="s">
        <v>1047</v>
      </c>
      <c r="E115" s="2233">
        <v>0.2</v>
      </c>
      <c r="F115" s="2237">
        <f>F105</f>
        <v>605</v>
      </c>
      <c r="G115" s="2238">
        <f>ROUND(E115*F115,2)</f>
        <v>121</v>
      </c>
      <c r="I115" s="2230"/>
    </row>
    <row r="116" spans="1:9" s="2231" customFormat="1" hidden="1">
      <c r="A116" s="2227"/>
      <c r="B116" s="2224"/>
      <c r="C116" s="2232" t="s">
        <v>2617</v>
      </c>
      <c r="D116" s="2233"/>
      <c r="E116" s="2233">
        <f>'Lead- Input sheet '!Q31</f>
        <v>0</v>
      </c>
      <c r="F116" s="2237">
        <f>G115</f>
        <v>121</v>
      </c>
      <c r="G116" s="2238">
        <f>ROUND(F116*E116,2)</f>
        <v>0</v>
      </c>
      <c r="H116" s="2236"/>
      <c r="I116" s="2230"/>
    </row>
    <row r="117" spans="1:9" hidden="1">
      <c r="A117" s="2253"/>
      <c r="B117" s="2213"/>
      <c r="C117" s="2232" t="s">
        <v>1048</v>
      </c>
      <c r="D117" s="2233"/>
      <c r="E117" s="2233"/>
      <c r="F117" s="2247" t="s">
        <v>1486</v>
      </c>
      <c r="G117" s="2244">
        <f>SUM(G111:G116)</f>
        <v>3339.55</v>
      </c>
      <c r="I117" s="2230"/>
    </row>
    <row r="118" spans="1:9" s="2254" customFormat="1" ht="37.799999999999997" hidden="1">
      <c r="A118" s="2213" t="s">
        <v>160</v>
      </c>
      <c r="B118" s="2213">
        <v>9</v>
      </c>
      <c r="C118" s="2225" t="s">
        <v>161</v>
      </c>
      <c r="D118" s="2242"/>
      <c r="E118" s="2242"/>
      <c r="F118" s="2249"/>
      <c r="G118" s="2244"/>
      <c r="H118" s="2209"/>
      <c r="I118" s="2230"/>
    </row>
    <row r="119" spans="1:9" hidden="1">
      <c r="A119" s="2253"/>
      <c r="B119" s="2213"/>
      <c r="C119" s="2232" t="s">
        <v>1040</v>
      </c>
      <c r="D119" s="2233"/>
      <c r="E119" s="2233"/>
      <c r="F119" s="2237"/>
      <c r="G119" s="2238"/>
      <c r="I119" s="2230"/>
    </row>
    <row r="120" spans="1:9" hidden="1">
      <c r="A120" s="2253"/>
      <c r="B120" s="2213"/>
      <c r="C120" s="2232" t="s">
        <v>1041</v>
      </c>
      <c r="D120" s="2233"/>
      <c r="E120" s="2233"/>
      <c r="F120" s="2237"/>
      <c r="G120" s="2238"/>
      <c r="I120" s="2230"/>
    </row>
    <row r="121" spans="1:9" hidden="1">
      <c r="A121" s="2253"/>
      <c r="B121" s="2213"/>
      <c r="C121" s="2232" t="s">
        <v>523</v>
      </c>
      <c r="D121" s="2233" t="s">
        <v>1042</v>
      </c>
      <c r="E121" s="2233">
        <v>240</v>
      </c>
      <c r="F121" s="2237">
        <f>'Lead- Input sheet '!R8</f>
        <v>6656</v>
      </c>
      <c r="G121" s="2238">
        <f>ROUND(E121*F121/1000,2)</f>
        <v>1597.44</v>
      </c>
      <c r="I121" s="2230"/>
    </row>
    <row r="122" spans="1:9" hidden="1">
      <c r="A122" s="2253"/>
      <c r="B122" s="2213"/>
      <c r="C122" s="2232" t="s">
        <v>1043</v>
      </c>
      <c r="D122" s="2233" t="s">
        <v>1473</v>
      </c>
      <c r="E122" s="2233">
        <v>1.05</v>
      </c>
      <c r="F122" s="2237">
        <f>F112</f>
        <v>1239.6380759582803</v>
      </c>
      <c r="G122" s="2238">
        <f>ROUND(E122*F122,2)</f>
        <v>1301.6199999999999</v>
      </c>
      <c r="I122" s="2230"/>
    </row>
    <row r="123" spans="1:9" hidden="1">
      <c r="A123" s="2253"/>
      <c r="B123" s="2213"/>
      <c r="C123" s="2232" t="s">
        <v>1044</v>
      </c>
      <c r="D123" s="2233"/>
      <c r="E123" s="2233"/>
      <c r="F123" s="2237"/>
      <c r="G123" s="2238"/>
      <c r="I123" s="2230"/>
    </row>
    <row r="124" spans="1:9" hidden="1">
      <c r="A124" s="2253"/>
      <c r="B124" s="2213"/>
      <c r="C124" s="2232" t="s">
        <v>1045</v>
      </c>
      <c r="D124" s="2233"/>
      <c r="E124" s="2233"/>
      <c r="F124" s="2237"/>
      <c r="G124" s="2238"/>
      <c r="I124" s="2230"/>
    </row>
    <row r="125" spans="1:9" hidden="1">
      <c r="A125" s="2253"/>
      <c r="B125" s="2213"/>
      <c r="C125" s="2232" t="s">
        <v>1046</v>
      </c>
      <c r="D125" s="2233" t="s">
        <v>1047</v>
      </c>
      <c r="E125" s="2233">
        <v>0.2</v>
      </c>
      <c r="F125" s="2237">
        <f>F115</f>
        <v>605</v>
      </c>
      <c r="G125" s="2238">
        <f>ROUND(E125*F125,2)</f>
        <v>121</v>
      </c>
      <c r="I125" s="2230"/>
    </row>
    <row r="126" spans="1:9" s="2231" customFormat="1" hidden="1">
      <c r="A126" s="2227"/>
      <c r="B126" s="2224"/>
      <c r="C126" s="2232" t="s">
        <v>2617</v>
      </c>
      <c r="D126" s="2233"/>
      <c r="E126" s="2233">
        <f>'Lead- Input sheet '!Q31</f>
        <v>0</v>
      </c>
      <c r="F126" s="2237">
        <f>G125</f>
        <v>121</v>
      </c>
      <c r="G126" s="2238">
        <f>ROUND(F126*E126,2)</f>
        <v>0</v>
      </c>
      <c r="H126" s="2236"/>
      <c r="I126" s="2230"/>
    </row>
    <row r="127" spans="1:9" hidden="1">
      <c r="A127" s="2253"/>
      <c r="B127" s="2213"/>
      <c r="C127" s="2232" t="s">
        <v>1048</v>
      </c>
      <c r="D127" s="2233"/>
      <c r="E127" s="2233"/>
      <c r="F127" s="2247" t="s">
        <v>1486</v>
      </c>
      <c r="G127" s="2244">
        <f>ROUND(SUM(G121:G126),2)</f>
        <v>3020.06</v>
      </c>
      <c r="I127" s="2230"/>
    </row>
    <row r="128" spans="1:9" s="2254" customFormat="1" ht="37.799999999999997" hidden="1">
      <c r="A128" s="2213" t="s">
        <v>335</v>
      </c>
      <c r="B128" s="2213">
        <v>10</v>
      </c>
      <c r="C128" s="2225" t="s">
        <v>336</v>
      </c>
      <c r="D128" s="2242"/>
      <c r="E128" s="2242"/>
      <c r="F128" s="2249"/>
      <c r="G128" s="2244"/>
      <c r="H128" s="2209"/>
      <c r="I128" s="2230"/>
    </row>
    <row r="129" spans="1:9" hidden="1">
      <c r="A129" s="2253"/>
      <c r="B129" s="2213"/>
      <c r="C129" s="2232" t="s">
        <v>1040</v>
      </c>
      <c r="D129" s="2233"/>
      <c r="E129" s="2233"/>
      <c r="F129" s="2237"/>
      <c r="G129" s="2238"/>
      <c r="I129" s="2230"/>
    </row>
    <row r="130" spans="1:9" hidden="1">
      <c r="A130" s="2253"/>
      <c r="B130" s="2213"/>
      <c r="C130" s="2232" t="s">
        <v>1041</v>
      </c>
      <c r="D130" s="2233"/>
      <c r="E130" s="2233"/>
      <c r="F130" s="2237"/>
      <c r="G130" s="2238"/>
      <c r="I130" s="2230"/>
    </row>
    <row r="131" spans="1:9" hidden="1">
      <c r="A131" s="2253"/>
      <c r="B131" s="2213"/>
      <c r="C131" s="2232" t="s">
        <v>523</v>
      </c>
      <c r="D131" s="2233" t="s">
        <v>1042</v>
      </c>
      <c r="E131" s="2233">
        <v>180</v>
      </c>
      <c r="F131" s="2237">
        <f>'Lead- Input sheet '!R8</f>
        <v>6656</v>
      </c>
      <c r="G131" s="2238">
        <f>ROUND(E131*F131/1000,2)</f>
        <v>1198.08</v>
      </c>
      <c r="I131" s="2230"/>
    </row>
    <row r="132" spans="1:9" hidden="1">
      <c r="A132" s="2253"/>
      <c r="B132" s="2213"/>
      <c r="C132" s="2232" t="s">
        <v>1043</v>
      </c>
      <c r="D132" s="2233" t="s">
        <v>1473</v>
      </c>
      <c r="E132" s="2233">
        <v>1.05</v>
      </c>
      <c r="F132" s="2237">
        <f>F122</f>
        <v>1239.6380759582803</v>
      </c>
      <c r="G132" s="2238">
        <f>ROUND(E132*F132,2)</f>
        <v>1301.6199999999999</v>
      </c>
      <c r="I132" s="2230"/>
    </row>
    <row r="133" spans="1:9" hidden="1">
      <c r="A133" s="2253"/>
      <c r="B133" s="2213"/>
      <c r="C133" s="2232" t="s">
        <v>1044</v>
      </c>
      <c r="D133" s="2233"/>
      <c r="E133" s="2233"/>
      <c r="F133" s="2237"/>
      <c r="G133" s="2238"/>
      <c r="I133" s="2230"/>
    </row>
    <row r="134" spans="1:9" hidden="1">
      <c r="A134" s="2253"/>
      <c r="B134" s="2213"/>
      <c r="C134" s="2232" t="s">
        <v>1045</v>
      </c>
      <c r="D134" s="2233"/>
      <c r="E134" s="2233"/>
      <c r="F134" s="2237"/>
      <c r="G134" s="2238"/>
      <c r="I134" s="2230"/>
    </row>
    <row r="135" spans="1:9" hidden="1">
      <c r="A135" s="2253"/>
      <c r="B135" s="2213"/>
      <c r="C135" s="2232" t="s">
        <v>1046</v>
      </c>
      <c r="D135" s="2233" t="s">
        <v>1047</v>
      </c>
      <c r="E135" s="2233">
        <v>0.2</v>
      </c>
      <c r="F135" s="2237">
        <f>F125</f>
        <v>605</v>
      </c>
      <c r="G135" s="2238">
        <f>ROUND(E135*F135,2)</f>
        <v>121</v>
      </c>
      <c r="I135" s="2230"/>
    </row>
    <row r="136" spans="1:9" s="2231" customFormat="1" hidden="1">
      <c r="A136" s="2227"/>
      <c r="B136" s="2224"/>
      <c r="C136" s="2232" t="s">
        <v>2617</v>
      </c>
      <c r="D136" s="2233"/>
      <c r="E136" s="2233">
        <f>'Lead- Input sheet '!Q31</f>
        <v>0</v>
      </c>
      <c r="F136" s="2237">
        <f>G135</f>
        <v>121</v>
      </c>
      <c r="G136" s="2238">
        <f>ROUND(F136*E136,2)</f>
        <v>0</v>
      </c>
      <c r="H136" s="2236"/>
      <c r="I136" s="2230"/>
    </row>
    <row r="137" spans="1:9" hidden="1">
      <c r="A137" s="2253"/>
      <c r="B137" s="2213"/>
      <c r="C137" s="2232" t="s">
        <v>1048</v>
      </c>
      <c r="D137" s="2233"/>
      <c r="E137" s="2233"/>
      <c r="F137" s="2247" t="s">
        <v>1486</v>
      </c>
      <c r="G137" s="2244">
        <f>ROUND(SUM(G131:G136),2)</f>
        <v>2620.6999999999998</v>
      </c>
      <c r="I137" s="2230"/>
    </row>
    <row r="138" spans="1:9" ht="151.19999999999999">
      <c r="A138" s="2213" t="s">
        <v>2568</v>
      </c>
      <c r="B138" s="2213">
        <v>11</v>
      </c>
      <c r="C138" s="2225" t="s">
        <v>3588</v>
      </c>
      <c r="D138" s="2233"/>
      <c r="E138" s="2233"/>
      <c r="F138" s="2237"/>
      <c r="G138" s="2238"/>
      <c r="I138" s="2230"/>
    </row>
    <row r="139" spans="1:9">
      <c r="A139" s="2253"/>
      <c r="B139" s="2213"/>
      <c r="C139" s="2232" t="s">
        <v>346</v>
      </c>
      <c r="D139" s="2233"/>
      <c r="E139" s="2233"/>
      <c r="F139" s="2237"/>
      <c r="G139" s="2238"/>
      <c r="I139" s="2230"/>
    </row>
    <row r="140" spans="1:9">
      <c r="A140" s="2253"/>
      <c r="B140" s="2213"/>
      <c r="C140" s="2232" t="s">
        <v>1041</v>
      </c>
      <c r="D140" s="2233"/>
      <c r="E140" s="2233"/>
      <c r="F140" s="2237"/>
      <c r="G140" s="2238"/>
      <c r="I140" s="2230"/>
    </row>
    <row r="141" spans="1:9">
      <c r="A141" s="2253"/>
      <c r="B141" s="2213"/>
      <c r="C141" s="2232" t="s">
        <v>523</v>
      </c>
      <c r="D141" s="2233" t="s">
        <v>347</v>
      </c>
      <c r="E141" s="2233">
        <v>162</v>
      </c>
      <c r="F141" s="2237">
        <f>'Lead- Input sheet '!R8</f>
        <v>6656</v>
      </c>
      <c r="G141" s="2238">
        <f>ROUND(E141*F141/1000,2)</f>
        <v>1078.27</v>
      </c>
      <c r="I141" s="2230"/>
    </row>
    <row r="142" spans="1:9">
      <c r="A142" s="2253"/>
      <c r="B142" s="2213"/>
      <c r="C142" s="2232" t="s">
        <v>349</v>
      </c>
      <c r="D142" s="2233" t="s">
        <v>1473</v>
      </c>
      <c r="E142" s="2233">
        <v>0.9</v>
      </c>
      <c r="F142" s="2237">
        <f>'Lead- Input sheet '!R17</f>
        <v>1182.2033622320996</v>
      </c>
      <c r="G142" s="2238">
        <f>ROUND(E142*F142,2)</f>
        <v>1063.98</v>
      </c>
      <c r="I142" s="2230"/>
    </row>
    <row r="143" spans="1:9">
      <c r="A143" s="2253"/>
      <c r="B143" s="2213"/>
      <c r="C143" s="2232" t="s">
        <v>1571</v>
      </c>
      <c r="D143" s="2233" t="s">
        <v>1473</v>
      </c>
      <c r="E143" s="2233">
        <v>0.22500000000000001</v>
      </c>
      <c r="F143" s="2237">
        <f>'Lead- Input sheet '!R13</f>
        <v>1010.6380759582802</v>
      </c>
      <c r="G143" s="2238">
        <f>F143*E143</f>
        <v>227.39356709061303</v>
      </c>
      <c r="I143" s="2230"/>
    </row>
    <row r="144" spans="1:9">
      <c r="A144" s="2253"/>
      <c r="B144" s="2213"/>
      <c r="C144" s="2232" t="s">
        <v>3141</v>
      </c>
      <c r="D144" s="2233" t="s">
        <v>1473</v>
      </c>
      <c r="E144" s="2233">
        <v>0.22500000000000001</v>
      </c>
      <c r="F144" s="2237">
        <f>'Lead- Input sheet '!R14</f>
        <v>1218.5339963913216</v>
      </c>
      <c r="G144" s="2238">
        <f>ROUND(E144*F144,2)</f>
        <v>274.17</v>
      </c>
      <c r="H144" s="2255">
        <f>G143+G144</f>
        <v>501.56356709061305</v>
      </c>
      <c r="I144" s="2230"/>
    </row>
    <row r="145" spans="1:11">
      <c r="A145" s="2253"/>
      <c r="B145" s="2213"/>
      <c r="C145" s="2232" t="s">
        <v>629</v>
      </c>
      <c r="D145" s="2233" t="s">
        <v>871</v>
      </c>
      <c r="E145" s="2233">
        <v>1.2</v>
      </c>
      <c r="F145" s="2240">
        <f>'Lead- Input sheet '!P34</f>
        <v>81</v>
      </c>
      <c r="G145" s="2238">
        <f>ROUND(E145*F145,2)</f>
        <v>97.2</v>
      </c>
      <c r="H145" s="2251">
        <v>73</v>
      </c>
      <c r="I145" s="2230"/>
    </row>
    <row r="146" spans="1:11" ht="25.2">
      <c r="A146" s="2253"/>
      <c r="B146" s="2213"/>
      <c r="C146" s="2232" t="s">
        <v>2586</v>
      </c>
      <c r="D146" s="2233" t="s">
        <v>345</v>
      </c>
      <c r="E146" s="2233">
        <v>1</v>
      </c>
      <c r="F146" s="2240">
        <v>721.5</v>
      </c>
      <c r="G146" s="2238">
        <f>ROUND(E146*F146,2)</f>
        <v>721.5</v>
      </c>
      <c r="H146" s="2251" t="s">
        <v>2567</v>
      </c>
      <c r="I146" s="2230"/>
      <c r="J146" s="2230"/>
    </row>
    <row r="147" spans="1:11">
      <c r="A147" s="2253"/>
      <c r="B147" s="2213"/>
      <c r="C147" s="2232" t="s">
        <v>1045</v>
      </c>
      <c r="D147" s="2233"/>
      <c r="E147" s="2233"/>
      <c r="F147" s="2237"/>
      <c r="G147" s="2238"/>
      <c r="I147" s="2230"/>
    </row>
    <row r="148" spans="1:11" ht="14.1">
      <c r="A148" s="2253"/>
      <c r="B148" s="2213"/>
      <c r="C148" s="2232" t="s">
        <v>3589</v>
      </c>
      <c r="D148" s="2233" t="s">
        <v>1047</v>
      </c>
      <c r="E148" s="2233">
        <v>0.1</v>
      </c>
      <c r="F148" s="2240">
        <f>'Lead- Input sheet '!R31</f>
        <v>680</v>
      </c>
      <c r="G148" s="2238">
        <f>ROUND(E148*F148,2)</f>
        <v>68</v>
      </c>
      <c r="I148" s="2230"/>
    </row>
    <row r="149" spans="1:11">
      <c r="A149" s="2253"/>
      <c r="B149" s="2213"/>
      <c r="C149" s="2232" t="s">
        <v>341</v>
      </c>
      <c r="D149" s="2233" t="s">
        <v>1047</v>
      </c>
      <c r="E149" s="2233">
        <v>1.39</v>
      </c>
      <c r="F149" s="2240">
        <f>'Lead- Input sheet '!R29</f>
        <v>605</v>
      </c>
      <c r="G149" s="2238">
        <f>ROUND(E149*F149,2)</f>
        <v>840.95</v>
      </c>
      <c r="H149" s="2250"/>
      <c r="I149" s="2230"/>
    </row>
    <row r="150" spans="1:11" s="2231" customFormat="1">
      <c r="A150" s="2227"/>
      <c r="B150" s="2224"/>
      <c r="C150" s="2232" t="s">
        <v>2617</v>
      </c>
      <c r="D150" s="2233"/>
      <c r="E150" s="2233">
        <f>'Lead- Input sheet '!Q31</f>
        <v>0</v>
      </c>
      <c r="F150" s="2237">
        <f>SUM(G148:G149)</f>
        <v>908.95</v>
      </c>
      <c r="G150" s="2238">
        <f>ROUND(F150*E150,2)</f>
        <v>0</v>
      </c>
      <c r="H150" s="2236"/>
      <c r="I150" s="2230"/>
    </row>
    <row r="151" spans="1:11">
      <c r="A151" s="2253"/>
      <c r="B151" s="2213"/>
      <c r="C151" s="2232" t="s">
        <v>710</v>
      </c>
      <c r="D151" s="2233"/>
      <c r="E151" s="2233">
        <f>SUM(G141:G150)</f>
        <v>4371.4635670906127</v>
      </c>
      <c r="F151" s="2237">
        <v>0</v>
      </c>
      <c r="G151" s="2238">
        <f>ROUND(E151*F151,2)</f>
        <v>0</v>
      </c>
      <c r="I151" s="2230"/>
    </row>
    <row r="152" spans="1:11">
      <c r="A152" s="2253"/>
      <c r="B152" s="2213"/>
      <c r="C152" s="2232" t="s">
        <v>1048</v>
      </c>
      <c r="D152" s="2233"/>
      <c r="E152" s="2233"/>
      <c r="F152" s="2237"/>
      <c r="G152" s="2238">
        <f>SUM(G141:G151)</f>
        <v>4371.4635670906127</v>
      </c>
      <c r="I152" s="2230"/>
    </row>
    <row r="153" spans="1:11" s="2246" customFormat="1">
      <c r="A153" s="2224"/>
      <c r="B153" s="2224"/>
      <c r="C153" s="2225" t="s">
        <v>1600</v>
      </c>
      <c r="D153" s="2242"/>
      <c r="E153" s="2242">
        <f>G152</f>
        <v>4371.4635670906127</v>
      </c>
      <c r="F153" s="2243">
        <f>'Lead- Input sheet '!Q32</f>
        <v>0</v>
      </c>
      <c r="G153" s="2244">
        <f>ROUND(F153*E153,2)</f>
        <v>0</v>
      </c>
      <c r="H153" s="2245"/>
      <c r="I153" s="2230"/>
    </row>
    <row r="154" spans="1:11" s="2246" customFormat="1">
      <c r="A154" s="2224"/>
      <c r="B154" s="2224"/>
      <c r="C154" s="2224"/>
      <c r="D154" s="2242"/>
      <c r="E154" s="2242"/>
      <c r="F154" s="2247" t="s">
        <v>1486</v>
      </c>
      <c r="G154" s="2244">
        <f>SUM(G152:G153)</f>
        <v>4371.4635670906127</v>
      </c>
      <c r="H154" s="2256"/>
      <c r="I154" s="2230"/>
    </row>
    <row r="155" spans="1:11" hidden="1">
      <c r="A155" s="2253"/>
      <c r="B155" s="2213"/>
      <c r="C155" s="2232" t="s">
        <v>899</v>
      </c>
      <c r="D155" s="2233" t="s">
        <v>1473</v>
      </c>
      <c r="E155" s="2233">
        <v>0.9</v>
      </c>
      <c r="F155" s="2237">
        <f>'Lead- Input sheet '!O17</f>
        <v>0</v>
      </c>
      <c r="G155" s="2238">
        <f>ROUND(E155*F155,2)</f>
        <v>0</v>
      </c>
      <c r="I155" s="2230"/>
    </row>
    <row r="156" spans="1:11" hidden="1">
      <c r="A156" s="2253"/>
      <c r="B156" s="2213"/>
      <c r="C156" s="2232" t="s">
        <v>900</v>
      </c>
      <c r="D156" s="2233" t="s">
        <v>1473</v>
      </c>
      <c r="E156" s="2233">
        <v>0.45</v>
      </c>
      <c r="F156" s="2237">
        <f>'Lead- Input sheet '!O13</f>
        <v>0</v>
      </c>
      <c r="G156" s="2238">
        <f>ROUND(E156*F156,2)</f>
        <v>0</v>
      </c>
      <c r="I156" s="2230"/>
    </row>
    <row r="157" spans="1:11" s="2246" customFormat="1" hidden="1">
      <c r="A157" s="2224"/>
      <c r="B157" s="2224"/>
      <c r="C157" s="2225" t="s">
        <v>744</v>
      </c>
      <c r="D157" s="2242"/>
      <c r="E157" s="2242"/>
      <c r="F157" s="2247"/>
      <c r="G157" s="2244">
        <f>SUM(G154:G156)</f>
        <v>4371.4635670906127</v>
      </c>
      <c r="H157" s="2256"/>
      <c r="I157" s="2230"/>
    </row>
    <row r="158" spans="1:11" ht="138.6">
      <c r="A158" s="2213" t="s">
        <v>1589</v>
      </c>
      <c r="B158" s="2213">
        <v>12</v>
      </c>
      <c r="C158" s="2225" t="s">
        <v>3590</v>
      </c>
      <c r="D158" s="2233"/>
      <c r="E158" s="2233"/>
      <c r="F158" s="2237"/>
      <c r="G158" s="2238"/>
      <c r="I158" s="2230"/>
    </row>
    <row r="159" spans="1:11">
      <c r="A159" s="2253"/>
      <c r="B159" s="2213"/>
      <c r="C159" s="2232" t="s">
        <v>346</v>
      </c>
      <c r="D159" s="2233"/>
      <c r="E159" s="2233"/>
      <c r="F159" s="2237"/>
      <c r="G159" s="2238"/>
      <c r="I159" s="2230"/>
    </row>
    <row r="160" spans="1:11">
      <c r="A160" s="2253"/>
      <c r="B160" s="2213"/>
      <c r="C160" s="2232" t="s">
        <v>1041</v>
      </c>
      <c r="D160" s="2233"/>
      <c r="E160" s="2233"/>
      <c r="F160" s="2237"/>
      <c r="G160" s="2238"/>
      <c r="I160" s="2230"/>
      <c r="K160" s="2211">
        <f>4027.59-712.8+686.88</f>
        <v>4001.67</v>
      </c>
    </row>
    <row r="161" spans="1:9">
      <c r="A161" s="2253"/>
      <c r="B161" s="2213"/>
      <c r="C161" s="2232" t="s">
        <v>523</v>
      </c>
      <c r="D161" s="2233" t="s">
        <v>347</v>
      </c>
      <c r="E161" s="2233">
        <v>129.6</v>
      </c>
      <c r="F161" s="2237">
        <f>'Lead- Input sheet '!R8</f>
        <v>6656</v>
      </c>
      <c r="G161" s="2238">
        <f>ROUND(E161*F161/1000,2)</f>
        <v>862.62</v>
      </c>
      <c r="I161" s="2230"/>
    </row>
    <row r="162" spans="1:9">
      <c r="A162" s="2253"/>
      <c r="B162" s="2213"/>
      <c r="C162" s="2232" t="s">
        <v>349</v>
      </c>
      <c r="D162" s="2233" t="s">
        <v>1473</v>
      </c>
      <c r="E162" s="2233">
        <v>0.9</v>
      </c>
      <c r="F162" s="2237">
        <f>'Lead- Input sheet '!R17</f>
        <v>1182.2033622320996</v>
      </c>
      <c r="G162" s="2238">
        <f>ROUND(E162*F162,2)</f>
        <v>1063.98</v>
      </c>
      <c r="I162" s="2230"/>
    </row>
    <row r="163" spans="1:9">
      <c r="A163" s="2253"/>
      <c r="B163" s="2213"/>
      <c r="C163" s="2232" t="s">
        <v>1571</v>
      </c>
      <c r="D163" s="2233" t="s">
        <v>1473</v>
      </c>
      <c r="E163" s="2233">
        <v>0.22500000000000001</v>
      </c>
      <c r="F163" s="2237">
        <f>'Lead- Input sheet '!R13</f>
        <v>1010.6380759582802</v>
      </c>
      <c r="G163" s="2238">
        <f>F163*E163</f>
        <v>227.39356709061303</v>
      </c>
      <c r="I163" s="2230"/>
    </row>
    <row r="164" spans="1:9">
      <c r="A164" s="2253"/>
      <c r="B164" s="2213"/>
      <c r="C164" s="2232" t="s">
        <v>3141</v>
      </c>
      <c r="D164" s="2233" t="s">
        <v>1473</v>
      </c>
      <c r="E164" s="2233">
        <v>0.22500000000000001</v>
      </c>
      <c r="F164" s="2237">
        <f>'Lead- Input sheet '!R14</f>
        <v>1218.5339963913216</v>
      </c>
      <c r="G164" s="2238">
        <f>ROUND(E164*F164,2)</f>
        <v>274.17</v>
      </c>
      <c r="H164" s="2255">
        <f>G163+G164</f>
        <v>501.56356709061305</v>
      </c>
      <c r="I164" s="2230"/>
    </row>
    <row r="165" spans="1:9">
      <c r="A165" s="2253"/>
      <c r="B165" s="2213"/>
      <c r="C165" s="2232" t="s">
        <v>870</v>
      </c>
      <c r="D165" s="2233" t="s">
        <v>871</v>
      </c>
      <c r="E165" s="2233">
        <v>1.2</v>
      </c>
      <c r="F165" s="2240">
        <f>'Lead- Input sheet '!P34</f>
        <v>81</v>
      </c>
      <c r="G165" s="2238">
        <f>ROUND(E165*F165,2)</f>
        <v>97.2</v>
      </c>
      <c r="I165" s="2230"/>
    </row>
    <row r="166" spans="1:9">
      <c r="A166" s="2253"/>
      <c r="B166" s="2213"/>
      <c r="C166" s="2232" t="s">
        <v>1044</v>
      </c>
      <c r="D166" s="2233"/>
      <c r="E166" s="2233"/>
      <c r="F166" s="2237"/>
      <c r="G166" s="2238"/>
      <c r="I166" s="2230"/>
    </row>
    <row r="167" spans="1:9">
      <c r="A167" s="2253"/>
      <c r="B167" s="2213"/>
      <c r="C167" s="2232" t="s">
        <v>344</v>
      </c>
      <c r="D167" s="2233" t="s">
        <v>345</v>
      </c>
      <c r="E167" s="2233">
        <v>1</v>
      </c>
      <c r="F167" s="2240">
        <f>F146</f>
        <v>721.5</v>
      </c>
      <c r="G167" s="2238">
        <f>ROUND(E167*F167,2)</f>
        <v>721.5</v>
      </c>
      <c r="I167" s="2230"/>
    </row>
    <row r="168" spans="1:9">
      <c r="A168" s="2253"/>
      <c r="B168" s="2213"/>
      <c r="C168" s="2232" t="s">
        <v>1045</v>
      </c>
      <c r="D168" s="2233"/>
      <c r="E168" s="2233"/>
      <c r="F168" s="2237"/>
      <c r="G168" s="2238"/>
      <c r="I168" s="2230"/>
    </row>
    <row r="169" spans="1:9" ht="14.1">
      <c r="A169" s="2253"/>
      <c r="B169" s="2213"/>
      <c r="C169" s="2232" t="s">
        <v>3589</v>
      </c>
      <c r="D169" s="2233" t="s">
        <v>1047</v>
      </c>
      <c r="E169" s="2233">
        <v>0.1</v>
      </c>
      <c r="F169" s="2240">
        <f>'Lead- Input sheet '!R31</f>
        <v>680</v>
      </c>
      <c r="G169" s="2238">
        <f>ROUND(E169*F169,2)</f>
        <v>68</v>
      </c>
      <c r="I169" s="2230"/>
    </row>
    <row r="170" spans="1:9">
      <c r="A170" s="2253"/>
      <c r="B170" s="2213"/>
      <c r="C170" s="2232" t="s">
        <v>341</v>
      </c>
      <c r="D170" s="2233" t="s">
        <v>1047</v>
      </c>
      <c r="E170" s="2233">
        <v>1.39</v>
      </c>
      <c r="F170" s="2240">
        <f>'Lead- Input sheet '!R29</f>
        <v>605</v>
      </c>
      <c r="G170" s="2238">
        <f>ROUND(E170*F170,2)</f>
        <v>840.95</v>
      </c>
      <c r="H170" s="2250"/>
      <c r="I170" s="2230"/>
    </row>
    <row r="171" spans="1:9" s="2231" customFormat="1">
      <c r="A171" s="2227"/>
      <c r="B171" s="2224"/>
      <c r="C171" s="2232" t="s">
        <v>2617</v>
      </c>
      <c r="D171" s="2233"/>
      <c r="E171" s="2233">
        <f>'Lead- Input sheet '!Q31</f>
        <v>0</v>
      </c>
      <c r="F171" s="2237">
        <f>SUM(G169:G170)</f>
        <v>908.95</v>
      </c>
      <c r="G171" s="2238">
        <f>ROUND(F171*E171,2)</f>
        <v>0</v>
      </c>
      <c r="H171" s="2236"/>
      <c r="I171" s="2230"/>
    </row>
    <row r="172" spans="1:9">
      <c r="A172" s="2253"/>
      <c r="B172" s="2213"/>
      <c r="C172" s="2232" t="s">
        <v>1048</v>
      </c>
      <c r="D172" s="2233"/>
      <c r="E172" s="2233"/>
      <c r="F172" s="2237"/>
      <c r="G172" s="2238">
        <f>ROUND(SUM(G161:G171),2)</f>
        <v>4155.8100000000004</v>
      </c>
      <c r="I172" s="2230"/>
    </row>
    <row r="173" spans="1:9" s="2246" customFormat="1">
      <c r="A173" s="2224"/>
      <c r="B173" s="2224"/>
      <c r="C173" s="2225" t="s">
        <v>1600</v>
      </c>
      <c r="D173" s="2242"/>
      <c r="E173" s="2242">
        <f>G172</f>
        <v>4155.8100000000004</v>
      </c>
      <c r="F173" s="2243">
        <f>'Lead- Input sheet '!Q32</f>
        <v>0</v>
      </c>
      <c r="G173" s="2244">
        <f>ROUND(F173*E173,2)</f>
        <v>0</v>
      </c>
      <c r="H173" s="2245"/>
      <c r="I173" s="2230"/>
    </row>
    <row r="174" spans="1:9" s="2246" customFormat="1">
      <c r="A174" s="2224"/>
      <c r="B174" s="2224"/>
      <c r="C174" s="2225" t="s">
        <v>744</v>
      </c>
      <c r="D174" s="2242"/>
      <c r="E174" s="2242"/>
      <c r="F174" s="2247" t="s">
        <v>1486</v>
      </c>
      <c r="G174" s="2244">
        <f>SUM(G172:G173)</f>
        <v>4155.8100000000004</v>
      </c>
      <c r="H174" s="2256">
        <f>G154-G174</f>
        <v>215.65356709061234</v>
      </c>
      <c r="I174" s="2230"/>
    </row>
    <row r="175" spans="1:9">
      <c r="A175" s="2253"/>
      <c r="B175" s="2213"/>
      <c r="C175" s="2232" t="s">
        <v>899</v>
      </c>
      <c r="D175" s="2233" t="s">
        <v>1473</v>
      </c>
      <c r="E175" s="2233">
        <v>0.9</v>
      </c>
      <c r="F175" s="2237">
        <f>'Lead- Input sheet '!O17</f>
        <v>0</v>
      </c>
      <c r="G175" s="2238">
        <f>ROUND(E175*F175,2)</f>
        <v>0</v>
      </c>
      <c r="H175" s="2251">
        <f>H174*11</f>
        <v>2372.1892379967358</v>
      </c>
      <c r="I175" s="2230"/>
    </row>
    <row r="176" spans="1:9">
      <c r="A176" s="2253"/>
      <c r="B176" s="2213"/>
      <c r="C176" s="2232" t="s">
        <v>900</v>
      </c>
      <c r="D176" s="2233" t="s">
        <v>1473</v>
      </c>
      <c r="E176" s="2233">
        <v>0.45</v>
      </c>
      <c r="F176" s="2237">
        <f>'Lead- Input sheet '!O13</f>
        <v>0</v>
      </c>
      <c r="G176" s="2238">
        <f>ROUND(E176*F176,2)</f>
        <v>0</v>
      </c>
      <c r="I176" s="2230"/>
    </row>
    <row r="177" spans="1:9" s="2246" customFormat="1">
      <c r="A177" s="2224"/>
      <c r="B177" s="2224"/>
      <c r="C177" s="2225" t="s">
        <v>744</v>
      </c>
      <c r="D177" s="2242"/>
      <c r="E177" s="2242"/>
      <c r="F177" s="2247"/>
      <c r="G177" s="2244">
        <f>SUM(G174:G176)</f>
        <v>4155.8100000000004</v>
      </c>
      <c r="H177" s="2256"/>
      <c r="I177" s="2230"/>
    </row>
    <row r="178" spans="1:9" ht="113.4">
      <c r="A178" s="2213" t="s">
        <v>878</v>
      </c>
      <c r="B178" s="2213">
        <v>13</v>
      </c>
      <c r="C178" s="2232" t="s">
        <v>3591</v>
      </c>
      <c r="D178" s="2233"/>
      <c r="E178" s="2233"/>
      <c r="F178" s="2237"/>
      <c r="G178" s="2238"/>
      <c r="I178" s="2230"/>
    </row>
    <row r="179" spans="1:9">
      <c r="A179" s="2253"/>
      <c r="B179" s="2213"/>
      <c r="C179" s="2232" t="s">
        <v>346</v>
      </c>
      <c r="D179" s="2233"/>
      <c r="E179" s="2233"/>
      <c r="F179" s="2237"/>
      <c r="G179" s="2238"/>
      <c r="I179" s="2230"/>
    </row>
    <row r="180" spans="1:9">
      <c r="A180" s="2253"/>
      <c r="B180" s="2213"/>
      <c r="C180" s="2232" t="s">
        <v>1041</v>
      </c>
      <c r="D180" s="2233"/>
      <c r="E180" s="2233"/>
      <c r="F180" s="2237"/>
      <c r="G180" s="2238"/>
      <c r="I180" s="2230"/>
    </row>
    <row r="181" spans="1:9">
      <c r="A181" s="2253"/>
      <c r="B181" s="2213"/>
      <c r="C181" s="2232" t="s">
        <v>523</v>
      </c>
      <c r="D181" s="2233" t="s">
        <v>347</v>
      </c>
      <c r="E181" s="2233">
        <v>79.2</v>
      </c>
      <c r="F181" s="2237">
        <f>'Lead- Input sheet '!R8</f>
        <v>6656</v>
      </c>
      <c r="G181" s="2238">
        <f>ROUND(E181*F181/1000,2)</f>
        <v>527.16</v>
      </c>
      <c r="I181" s="2230"/>
    </row>
    <row r="182" spans="1:9">
      <c r="A182" s="2253"/>
      <c r="B182" s="2213"/>
      <c r="C182" s="2232" t="s">
        <v>1223</v>
      </c>
      <c r="D182" s="2233" t="s">
        <v>1473</v>
      </c>
      <c r="E182" s="2233">
        <v>0.44</v>
      </c>
      <c r="F182" s="2237">
        <f>'Lead- Input sheet '!R22</f>
        <v>438.30251287241998</v>
      </c>
      <c r="G182" s="2238">
        <f>ROUND(E182*F182,2)</f>
        <v>192.85</v>
      </c>
      <c r="I182" s="2230"/>
    </row>
    <row r="183" spans="1:9">
      <c r="A183" s="2253"/>
      <c r="B183" s="2213"/>
      <c r="C183" s="2232" t="s">
        <v>1224</v>
      </c>
      <c r="D183" s="2233" t="s">
        <v>1473</v>
      </c>
      <c r="E183" s="2233">
        <v>0.5</v>
      </c>
      <c r="F183" s="2237">
        <f>'Lead- Input sheet '!R21</f>
        <v>427.30251287241998</v>
      </c>
      <c r="G183" s="2238">
        <f>ROUND(E183*F183,2)</f>
        <v>213.65</v>
      </c>
      <c r="I183" s="2230"/>
    </row>
    <row r="184" spans="1:9">
      <c r="A184" s="2253"/>
      <c r="B184" s="2213"/>
      <c r="C184" s="2232" t="s">
        <v>630</v>
      </c>
      <c r="D184" s="2233" t="s">
        <v>1473</v>
      </c>
      <c r="E184" s="2233">
        <v>0.16</v>
      </c>
      <c r="F184" s="2237">
        <f>'Lead- Input sheet '!R24</f>
        <v>1633.56251287242</v>
      </c>
      <c r="G184" s="2238">
        <f>ROUND(E184*F184,2)</f>
        <v>261.37</v>
      </c>
      <c r="I184" s="2230"/>
    </row>
    <row r="185" spans="1:9">
      <c r="A185" s="2253"/>
      <c r="B185" s="2213"/>
      <c r="C185" s="2232" t="s">
        <v>1577</v>
      </c>
      <c r="D185" s="2233" t="s">
        <v>1473</v>
      </c>
      <c r="E185" s="2233">
        <f>0.33/2</f>
        <v>0.16500000000000001</v>
      </c>
      <c r="F185" s="2237">
        <f>'Lead- Input sheet '!R11</f>
        <v>1239.6380759582803</v>
      </c>
      <c r="G185" s="2238">
        <f>ROUND(E185*F185,2)</f>
        <v>204.54</v>
      </c>
      <c r="I185" s="2230"/>
    </row>
    <row r="186" spans="1:9">
      <c r="A186" s="2253"/>
      <c r="B186" s="2213"/>
      <c r="C186" s="2232" t="s">
        <v>3141</v>
      </c>
      <c r="D186" s="2233" t="s">
        <v>1473</v>
      </c>
      <c r="E186" s="2233">
        <f>0.33/2</f>
        <v>0.16500000000000001</v>
      </c>
      <c r="F186" s="2237">
        <f>'Lead- Input sheet '!R14</f>
        <v>1218.5339963913216</v>
      </c>
      <c r="G186" s="2238">
        <f>ROUND(E186*F186,2)</f>
        <v>201.06</v>
      </c>
      <c r="I186" s="2230"/>
    </row>
    <row r="187" spans="1:9">
      <c r="A187" s="2253"/>
      <c r="B187" s="2213"/>
      <c r="C187" s="2232" t="s">
        <v>340</v>
      </c>
      <c r="D187" s="2233"/>
      <c r="E187" s="2233"/>
      <c r="F187" s="2237"/>
      <c r="G187" s="2238"/>
      <c r="I187" s="2230"/>
    </row>
    <row r="188" spans="1:9" ht="14.1">
      <c r="A188" s="2253"/>
      <c r="B188" s="2213"/>
      <c r="C188" s="2232" t="s">
        <v>3589</v>
      </c>
      <c r="D188" s="2233" t="s">
        <v>1047</v>
      </c>
      <c r="E188" s="2233">
        <v>1.2</v>
      </c>
      <c r="F188" s="2240">
        <f>'Lead- Input sheet '!R31</f>
        <v>680</v>
      </c>
      <c r="G188" s="2238">
        <f>ROUND(E188*F188,2)</f>
        <v>816</v>
      </c>
      <c r="I188" s="2230"/>
    </row>
    <row r="189" spans="1:9">
      <c r="A189" s="2253"/>
      <c r="B189" s="2213"/>
      <c r="C189" s="2232" t="s">
        <v>341</v>
      </c>
      <c r="D189" s="2233" t="s">
        <v>1047</v>
      </c>
      <c r="E189" s="2233">
        <v>2</v>
      </c>
      <c r="F189" s="2240">
        <f>'Lead- Input sheet '!R29</f>
        <v>605</v>
      </c>
      <c r="G189" s="2238">
        <f>ROUND(E189*F189,2)</f>
        <v>1210</v>
      </c>
      <c r="H189" s="2250"/>
      <c r="I189" s="2230"/>
    </row>
    <row r="190" spans="1:9" s="2231" customFormat="1">
      <c r="A190" s="2227"/>
      <c r="B190" s="2224"/>
      <c r="C190" s="2232" t="s">
        <v>2617</v>
      </c>
      <c r="D190" s="2233"/>
      <c r="E190" s="2233">
        <f>'Lead- Input sheet '!Q31</f>
        <v>0</v>
      </c>
      <c r="F190" s="2237">
        <f>SUM(G187:G189)</f>
        <v>2026</v>
      </c>
      <c r="G190" s="2238">
        <f>ROUND(F190*E190,2)</f>
        <v>0</v>
      </c>
      <c r="H190" s="2236"/>
      <c r="I190" s="2230"/>
    </row>
    <row r="191" spans="1:9" s="2254" customFormat="1">
      <c r="A191" s="2213"/>
      <c r="B191" s="2213"/>
      <c r="C191" s="2225" t="s">
        <v>1048</v>
      </c>
      <c r="D191" s="2242"/>
      <c r="E191" s="2242"/>
      <c r="F191" s="2243"/>
      <c r="G191" s="2244">
        <f>SUM(G181:G190)</f>
        <v>3626.63</v>
      </c>
      <c r="H191" s="2251"/>
      <c r="I191" s="2230"/>
    </row>
    <row r="192" spans="1:9" s="2246" customFormat="1">
      <c r="A192" s="2224"/>
      <c r="B192" s="2224"/>
      <c r="C192" s="2225" t="s">
        <v>1600</v>
      </c>
      <c r="D192" s="2242"/>
      <c r="E192" s="2242">
        <f>G191</f>
        <v>3626.63</v>
      </c>
      <c r="F192" s="2243">
        <f>'Lead- Input sheet '!Q32</f>
        <v>0</v>
      </c>
      <c r="G192" s="2244">
        <f>ROUND(F192*E192,2)</f>
        <v>0</v>
      </c>
      <c r="H192" s="2245"/>
      <c r="I192" s="2230"/>
    </row>
    <row r="193" spans="1:9" s="2246" customFormat="1">
      <c r="A193" s="2224"/>
      <c r="B193" s="2224"/>
      <c r="C193" s="2225" t="s">
        <v>1130</v>
      </c>
      <c r="D193" s="2242"/>
      <c r="E193" s="2242"/>
      <c r="F193" s="2247" t="s">
        <v>1486</v>
      </c>
      <c r="G193" s="2244">
        <f>SUM(G191:G192)</f>
        <v>3626.63</v>
      </c>
      <c r="H193" s="2256"/>
      <c r="I193" s="2230"/>
    </row>
    <row r="194" spans="1:9">
      <c r="A194" s="2253"/>
      <c r="B194" s="2213"/>
      <c r="C194" s="2232" t="s">
        <v>902</v>
      </c>
      <c r="D194" s="2233" t="s">
        <v>1473</v>
      </c>
      <c r="E194" s="2233">
        <v>1.1000000000000001</v>
      </c>
      <c r="F194" s="2237">
        <f>'Lead- Input sheet '!$O$21</f>
        <v>0</v>
      </c>
      <c r="G194" s="2244">
        <f>ROUND(F194*E194,2)</f>
        <v>0</v>
      </c>
      <c r="I194" s="2230"/>
    </row>
    <row r="195" spans="1:9">
      <c r="A195" s="2253"/>
      <c r="B195" s="2213"/>
      <c r="C195" s="2232" t="s">
        <v>900</v>
      </c>
      <c r="D195" s="2233" t="s">
        <v>1473</v>
      </c>
      <c r="E195" s="2233">
        <v>0.33</v>
      </c>
      <c r="F195" s="2237">
        <f>'Lead- Input sheet '!$O$11</f>
        <v>0</v>
      </c>
      <c r="G195" s="2244">
        <f>ROUND(F195*E195,2)</f>
        <v>0</v>
      </c>
      <c r="I195" s="2230"/>
    </row>
    <row r="196" spans="1:9">
      <c r="A196" s="2253"/>
      <c r="B196" s="2213"/>
      <c r="C196" s="2225" t="s">
        <v>1130</v>
      </c>
      <c r="D196" s="2233"/>
      <c r="E196" s="2233"/>
      <c r="F196" s="2237"/>
      <c r="G196" s="2244">
        <f>SUM(G193:G195)</f>
        <v>3626.63</v>
      </c>
      <c r="I196" s="2230"/>
    </row>
    <row r="197" spans="1:9" ht="37.799999999999997" hidden="1">
      <c r="A197" s="2213" t="s">
        <v>879</v>
      </c>
      <c r="B197" s="2213">
        <v>14</v>
      </c>
      <c r="C197" s="2225" t="s">
        <v>1225</v>
      </c>
      <c r="D197" s="2233"/>
      <c r="E197" s="2233"/>
      <c r="F197" s="2237"/>
      <c r="G197" s="2238"/>
      <c r="I197" s="2230"/>
    </row>
    <row r="198" spans="1:9" hidden="1">
      <c r="A198" s="2253"/>
      <c r="B198" s="2213"/>
      <c r="C198" s="2232" t="s">
        <v>346</v>
      </c>
      <c r="D198" s="2233"/>
      <c r="E198" s="2233"/>
      <c r="F198" s="2237"/>
      <c r="G198" s="2238"/>
      <c r="I198" s="2230"/>
    </row>
    <row r="199" spans="1:9" hidden="1">
      <c r="A199" s="2253"/>
      <c r="B199" s="2213"/>
      <c r="C199" s="2232" t="s">
        <v>1041</v>
      </c>
      <c r="D199" s="2233"/>
      <c r="E199" s="2233"/>
      <c r="F199" s="2237"/>
      <c r="G199" s="2238"/>
      <c r="I199" s="2230"/>
    </row>
    <row r="200" spans="1:9" hidden="1">
      <c r="A200" s="2253"/>
      <c r="B200" s="2213"/>
      <c r="C200" s="2232" t="s">
        <v>523</v>
      </c>
      <c r="D200" s="2233" t="s">
        <v>347</v>
      </c>
      <c r="E200" s="2233">
        <v>59.4</v>
      </c>
      <c r="F200" s="2237">
        <f>'Lead- Input sheet '!R8</f>
        <v>6656</v>
      </c>
      <c r="G200" s="2238">
        <f>ROUND(E200*F200/1000,2)</f>
        <v>395.37</v>
      </c>
      <c r="I200" s="2230"/>
    </row>
    <row r="201" spans="1:9" hidden="1">
      <c r="A201" s="2253"/>
      <c r="B201" s="2213"/>
      <c r="C201" s="2232" t="s">
        <v>1223</v>
      </c>
      <c r="D201" s="2233" t="s">
        <v>1473</v>
      </c>
      <c r="E201" s="2233">
        <v>0.44</v>
      </c>
      <c r="F201" s="2237">
        <f>'Lead- Input sheet '!R22</f>
        <v>438.30251287241998</v>
      </c>
      <c r="G201" s="2238">
        <f>ROUND(E201*F201,2)</f>
        <v>192.85</v>
      </c>
      <c r="I201" s="2230"/>
    </row>
    <row r="202" spans="1:9" hidden="1">
      <c r="A202" s="2253"/>
      <c r="B202" s="2213"/>
      <c r="C202" s="2232" t="s">
        <v>1224</v>
      </c>
      <c r="D202" s="2233" t="s">
        <v>1473</v>
      </c>
      <c r="E202" s="2233">
        <v>0.5</v>
      </c>
      <c r="F202" s="2237">
        <f>'Lead- Input sheet '!R21</f>
        <v>427.30251287241998</v>
      </c>
      <c r="G202" s="2238">
        <f>ROUND(E202*F202,2)</f>
        <v>213.65</v>
      </c>
      <c r="I202" s="2230"/>
    </row>
    <row r="203" spans="1:9" hidden="1">
      <c r="A203" s="2253"/>
      <c r="B203" s="2213"/>
      <c r="C203" s="2232" t="s">
        <v>1990</v>
      </c>
      <c r="D203" s="2233" t="s">
        <v>1473</v>
      </c>
      <c r="E203" s="2233">
        <v>0.16</v>
      </c>
      <c r="F203" s="2237">
        <f>'Lead- Input sheet '!R24</f>
        <v>1633.56251287242</v>
      </c>
      <c r="G203" s="2238">
        <f>ROUND(E203*F203,2)</f>
        <v>261.37</v>
      </c>
      <c r="I203" s="2230"/>
    </row>
    <row r="204" spans="1:9" hidden="1">
      <c r="A204" s="2253"/>
      <c r="B204" s="2213"/>
      <c r="C204" s="2232" t="s">
        <v>1577</v>
      </c>
      <c r="D204" s="2233" t="s">
        <v>1473</v>
      </c>
      <c r="E204" s="2233">
        <f>0.33/2</f>
        <v>0.16500000000000001</v>
      </c>
      <c r="F204" s="2237">
        <f>'Lead- Input sheet '!R11</f>
        <v>1239.6380759582803</v>
      </c>
      <c r="G204" s="2238">
        <f>ROUND(E204*F204,2)</f>
        <v>204.54</v>
      </c>
      <c r="I204" s="2230"/>
    </row>
    <row r="205" spans="1:9" hidden="1">
      <c r="A205" s="2253"/>
      <c r="B205" s="2213"/>
      <c r="C205" s="2232" t="s">
        <v>3141</v>
      </c>
      <c r="D205" s="2233" t="s">
        <v>1473</v>
      </c>
      <c r="E205" s="2233">
        <f>0.33/2</f>
        <v>0.16500000000000001</v>
      </c>
      <c r="F205" s="2237">
        <f>'Lead- Input sheet '!R14</f>
        <v>1218.5339963913216</v>
      </c>
      <c r="G205" s="2238">
        <f>ROUND(E205*F205,2)</f>
        <v>201.06</v>
      </c>
      <c r="I205" s="2230"/>
    </row>
    <row r="206" spans="1:9" hidden="1">
      <c r="A206" s="2253"/>
      <c r="B206" s="2213"/>
      <c r="C206" s="2232" t="s">
        <v>340</v>
      </c>
      <c r="D206" s="2233"/>
      <c r="E206" s="2233"/>
      <c r="F206" s="2237"/>
      <c r="G206" s="2238"/>
      <c r="I206" s="2230"/>
    </row>
    <row r="207" spans="1:9" ht="14.1" hidden="1">
      <c r="A207" s="2253"/>
      <c r="B207" s="2213"/>
      <c r="C207" s="2232" t="s">
        <v>3589</v>
      </c>
      <c r="D207" s="2233" t="s">
        <v>1047</v>
      </c>
      <c r="E207" s="2233">
        <v>1.2</v>
      </c>
      <c r="F207" s="2237">
        <f>'Lead- Input sheet '!R31</f>
        <v>680</v>
      </c>
      <c r="G207" s="2238">
        <f>ROUND(E207*F207,2)</f>
        <v>816</v>
      </c>
      <c r="I207" s="2230"/>
    </row>
    <row r="208" spans="1:9" hidden="1">
      <c r="A208" s="2253"/>
      <c r="B208" s="2213"/>
      <c r="C208" s="2232" t="s">
        <v>341</v>
      </c>
      <c r="D208" s="2233" t="s">
        <v>1047</v>
      </c>
      <c r="E208" s="2233">
        <v>2</v>
      </c>
      <c r="F208" s="2237">
        <f>'Lead- Input sheet '!R29</f>
        <v>605</v>
      </c>
      <c r="G208" s="2238">
        <f>ROUND(E208*F208,2)</f>
        <v>1210</v>
      </c>
      <c r="I208" s="2230"/>
    </row>
    <row r="209" spans="1:9" s="2231" customFormat="1" hidden="1">
      <c r="A209" s="2227"/>
      <c r="B209" s="2224"/>
      <c r="C209" s="2232" t="s">
        <v>2617</v>
      </c>
      <c r="D209" s="2233"/>
      <c r="E209" s="2233">
        <f>'Lead- Input sheet '!Q31</f>
        <v>0</v>
      </c>
      <c r="F209" s="2237">
        <f>SUM(G206:G208)</f>
        <v>2026</v>
      </c>
      <c r="G209" s="2238">
        <f>ROUND(F209*E209,2)</f>
        <v>0</v>
      </c>
      <c r="H209" s="2236"/>
      <c r="I209" s="2230"/>
    </row>
    <row r="210" spans="1:9" s="2254" customFormat="1" hidden="1">
      <c r="A210" s="2213"/>
      <c r="B210" s="2213"/>
      <c r="C210" s="2225" t="s">
        <v>1048</v>
      </c>
      <c r="D210" s="2242"/>
      <c r="E210" s="2242"/>
      <c r="F210" s="2249"/>
      <c r="G210" s="2244">
        <f>SUM(G200:G209)</f>
        <v>3494.84</v>
      </c>
      <c r="H210" s="2209"/>
      <c r="I210" s="2230"/>
    </row>
    <row r="211" spans="1:9" s="2246" customFormat="1" hidden="1">
      <c r="A211" s="2224"/>
      <c r="B211" s="2224"/>
      <c r="C211" s="2225" t="s">
        <v>1600</v>
      </c>
      <c r="D211" s="2242"/>
      <c r="E211" s="2242">
        <f>G210</f>
        <v>3494.84</v>
      </c>
      <c r="F211" s="2243">
        <f>'Lead- Input sheet '!Q32</f>
        <v>0</v>
      </c>
      <c r="G211" s="2244">
        <f>ROUND(F211*E211,2)</f>
        <v>0</v>
      </c>
      <c r="H211" s="2245"/>
      <c r="I211" s="2230"/>
    </row>
    <row r="212" spans="1:9" s="2246" customFormat="1" hidden="1">
      <c r="A212" s="2224"/>
      <c r="B212" s="2224"/>
      <c r="C212" s="2225" t="s">
        <v>1130</v>
      </c>
      <c r="D212" s="2242"/>
      <c r="E212" s="2242"/>
      <c r="F212" s="2247" t="s">
        <v>1486</v>
      </c>
      <c r="G212" s="2244">
        <f>SUM(G210:G211)</f>
        <v>3494.84</v>
      </c>
      <c r="H212" s="2245"/>
      <c r="I212" s="2230"/>
    </row>
    <row r="213" spans="1:9" hidden="1">
      <c r="A213" s="2253"/>
      <c r="B213" s="2213"/>
      <c r="C213" s="2232" t="s">
        <v>902</v>
      </c>
      <c r="D213" s="2233" t="s">
        <v>1473</v>
      </c>
      <c r="E213" s="2233">
        <v>1.1000000000000001</v>
      </c>
      <c r="F213" s="2237">
        <f>'Lead- Input sheet '!$O$21</f>
        <v>0</v>
      </c>
      <c r="G213" s="2244">
        <f>ROUND(F213*E213,2)</f>
        <v>0</v>
      </c>
      <c r="I213" s="2230"/>
    </row>
    <row r="214" spans="1:9" hidden="1">
      <c r="A214" s="2253"/>
      <c r="B214" s="2213"/>
      <c r="C214" s="2232" t="s">
        <v>900</v>
      </c>
      <c r="D214" s="2233" t="s">
        <v>1473</v>
      </c>
      <c r="E214" s="2233">
        <v>0.33</v>
      </c>
      <c r="F214" s="2237">
        <f>'Lead- Input sheet '!$O$11</f>
        <v>0</v>
      </c>
      <c r="G214" s="2244">
        <f>ROUND(F214*E214,2)</f>
        <v>0</v>
      </c>
      <c r="I214" s="2230"/>
    </row>
    <row r="215" spans="1:9" hidden="1">
      <c r="A215" s="2253"/>
      <c r="B215" s="2213"/>
      <c r="C215" s="2225" t="s">
        <v>1130</v>
      </c>
      <c r="D215" s="2233"/>
      <c r="E215" s="2233"/>
      <c r="F215" s="2249" t="s">
        <v>414</v>
      </c>
      <c r="G215" s="2244">
        <f>SUM(G212:G214)</f>
        <v>3494.84</v>
      </c>
      <c r="I215" s="2230"/>
    </row>
    <row r="216" spans="1:9" s="2246" customFormat="1" ht="113.4" hidden="1">
      <c r="A216" s="2213" t="s">
        <v>1219</v>
      </c>
      <c r="B216" s="2213">
        <v>15</v>
      </c>
      <c r="C216" s="2225" t="s">
        <v>3592</v>
      </c>
      <c r="D216" s="2233"/>
      <c r="E216" s="2233"/>
      <c r="F216" s="2237"/>
      <c r="G216" s="2238"/>
      <c r="H216" s="2256"/>
      <c r="I216" s="2230"/>
    </row>
    <row r="217" spans="1:9" s="2246" customFormat="1" hidden="1">
      <c r="A217" s="2253"/>
      <c r="B217" s="2213"/>
      <c r="C217" s="2232" t="s">
        <v>346</v>
      </c>
      <c r="D217" s="2233"/>
      <c r="E217" s="2233"/>
      <c r="F217" s="2237"/>
      <c r="G217" s="2238"/>
      <c r="H217" s="2256"/>
      <c r="I217" s="2230"/>
    </row>
    <row r="218" spans="1:9" s="2246" customFormat="1" hidden="1">
      <c r="A218" s="2253" t="s">
        <v>1933</v>
      </c>
      <c r="B218" s="2213"/>
      <c r="C218" s="2232" t="s">
        <v>1041</v>
      </c>
      <c r="D218" s="2233"/>
      <c r="E218" s="2233"/>
      <c r="F218" s="2237"/>
      <c r="G218" s="2238"/>
      <c r="H218" s="2256"/>
      <c r="I218" s="2230"/>
    </row>
    <row r="219" spans="1:9" s="2246" customFormat="1" hidden="1">
      <c r="A219" s="2253"/>
      <c r="B219" s="2213"/>
      <c r="C219" s="2232" t="s">
        <v>523</v>
      </c>
      <c r="D219" s="2233" t="s">
        <v>347</v>
      </c>
      <c r="E219" s="2233">
        <v>76.8</v>
      </c>
      <c r="F219" s="2237">
        <f>'Lead- Input sheet '!R8</f>
        <v>6656</v>
      </c>
      <c r="G219" s="2238">
        <f>ROUND(E219*F219/1000,2)</f>
        <v>511.18</v>
      </c>
      <c r="H219" s="2256"/>
      <c r="I219" s="2230"/>
    </row>
    <row r="220" spans="1:9" s="2246" customFormat="1" hidden="1">
      <c r="A220" s="2253"/>
      <c r="B220" s="2213"/>
      <c r="C220" s="2232" t="s">
        <v>877</v>
      </c>
      <c r="D220" s="2233" t="s">
        <v>1473</v>
      </c>
      <c r="E220" s="2233">
        <v>0.94</v>
      </c>
      <c r="F220" s="2237">
        <f>'Lead- Input sheet '!R22</f>
        <v>438.30251287241998</v>
      </c>
      <c r="G220" s="2238">
        <f>ROUND(E220*F220,2)</f>
        <v>412</v>
      </c>
      <c r="H220" s="2256"/>
      <c r="I220" s="2230"/>
    </row>
    <row r="221" spans="1:9" s="2246" customFormat="1" hidden="1">
      <c r="A221" s="2253"/>
      <c r="B221" s="2213"/>
      <c r="C221" s="2232" t="s">
        <v>630</v>
      </c>
      <c r="D221" s="2233" t="s">
        <v>1411</v>
      </c>
      <c r="E221" s="2233">
        <v>0.16</v>
      </c>
      <c r="F221" s="2237">
        <f>'Lead- Input sheet '!R24</f>
        <v>1633.56251287242</v>
      </c>
      <c r="G221" s="2238">
        <f>ROUND(E221*F221,2)</f>
        <v>261.37</v>
      </c>
      <c r="H221" s="2256"/>
      <c r="I221" s="2230"/>
    </row>
    <row r="222" spans="1:9" s="2246" customFormat="1" hidden="1">
      <c r="A222" s="2253"/>
      <c r="B222" s="2213"/>
      <c r="C222" s="2232" t="s">
        <v>1577</v>
      </c>
      <c r="D222" s="2233" t="s">
        <v>1473</v>
      </c>
      <c r="E222" s="2233">
        <v>0.16</v>
      </c>
      <c r="F222" s="2237">
        <f>'Lead- Input sheet '!R11</f>
        <v>1239.6380759582803</v>
      </c>
      <c r="G222" s="2238">
        <f>ROUND(E222*F222,2)</f>
        <v>198.34</v>
      </c>
      <c r="H222" s="2256"/>
      <c r="I222" s="2230"/>
    </row>
    <row r="223" spans="1:9" s="2246" customFormat="1" hidden="1">
      <c r="A223" s="2253"/>
      <c r="B223" s="2213"/>
      <c r="C223" s="2232" t="s">
        <v>3141</v>
      </c>
      <c r="D223" s="2233" t="s">
        <v>1473</v>
      </c>
      <c r="E223" s="2233">
        <v>0.16</v>
      </c>
      <c r="F223" s="2237">
        <f>'Lead- Input sheet '!R14</f>
        <v>1218.5339963913216</v>
      </c>
      <c r="G223" s="2238">
        <f>ROUND(E223*F223,2)</f>
        <v>194.97</v>
      </c>
      <c r="H223" s="2256"/>
      <c r="I223" s="2230"/>
    </row>
    <row r="224" spans="1:9" s="2246" customFormat="1" hidden="1">
      <c r="A224" s="2253"/>
      <c r="B224" s="2213"/>
      <c r="C224" s="2232" t="s">
        <v>340</v>
      </c>
      <c r="D224" s="2233"/>
      <c r="E224" s="2233"/>
      <c r="F224" s="2237"/>
      <c r="G224" s="2238"/>
      <c r="H224" s="2256"/>
      <c r="I224" s="2230"/>
    </row>
    <row r="225" spans="1:9" s="2246" customFormat="1" ht="14.1" hidden="1">
      <c r="A225" s="2253"/>
      <c r="B225" s="2213"/>
      <c r="C225" s="2232" t="s">
        <v>3589</v>
      </c>
      <c r="D225" s="2233" t="s">
        <v>1047</v>
      </c>
      <c r="E225" s="2233">
        <v>1.5</v>
      </c>
      <c r="F225" s="2237">
        <f>'Lead- Input sheet '!R31</f>
        <v>680</v>
      </c>
      <c r="G225" s="2238">
        <f>ROUND(E225*F225,2)</f>
        <v>1020</v>
      </c>
      <c r="H225" s="2256"/>
      <c r="I225" s="2230"/>
    </row>
    <row r="226" spans="1:9" s="2246" customFormat="1" hidden="1">
      <c r="A226" s="2253"/>
      <c r="B226" s="2213"/>
      <c r="C226" s="2232" t="s">
        <v>341</v>
      </c>
      <c r="D226" s="2233" t="s">
        <v>1047</v>
      </c>
      <c r="E226" s="2233">
        <v>2.3199999999999998</v>
      </c>
      <c r="F226" s="2237">
        <f>'Lead- Input sheet '!R29</f>
        <v>605</v>
      </c>
      <c r="G226" s="2238">
        <f>ROUND(E226*F226,2)</f>
        <v>1403.6</v>
      </c>
      <c r="H226" s="2256"/>
      <c r="I226" s="2230"/>
    </row>
    <row r="227" spans="1:9" s="2246" customFormat="1" hidden="1">
      <c r="A227" s="2227"/>
      <c r="B227" s="2224"/>
      <c r="C227" s="2232" t="s">
        <v>2617</v>
      </c>
      <c r="D227" s="2233"/>
      <c r="E227" s="2233">
        <f>'Lead- Input sheet '!Q31</f>
        <v>0</v>
      </c>
      <c r="F227" s="2237">
        <f>SUM(G225:G226)</f>
        <v>2423.6</v>
      </c>
      <c r="G227" s="2238">
        <f>ROUND(F227*E227,2)</f>
        <v>0</v>
      </c>
      <c r="H227" s="2256"/>
      <c r="I227" s="2230"/>
    </row>
    <row r="228" spans="1:9" s="2246" customFormat="1" hidden="1">
      <c r="A228" s="2213"/>
      <c r="B228" s="2213"/>
      <c r="C228" s="2225" t="s">
        <v>1048</v>
      </c>
      <c r="D228" s="2242"/>
      <c r="E228" s="2242"/>
      <c r="F228" s="2249"/>
      <c r="G228" s="2244">
        <f>SUM(G219:G227)</f>
        <v>4001.46</v>
      </c>
      <c r="H228" s="2256"/>
      <c r="I228" s="2230"/>
    </row>
    <row r="229" spans="1:9" s="2246" customFormat="1" hidden="1">
      <c r="A229" s="2224"/>
      <c r="B229" s="2224"/>
      <c r="C229" s="2225" t="s">
        <v>1600</v>
      </c>
      <c r="D229" s="2242"/>
      <c r="E229" s="2242">
        <f>G228</f>
        <v>4001.46</v>
      </c>
      <c r="F229" s="2243">
        <f>'Lead- Input sheet '!Q32</f>
        <v>0</v>
      </c>
      <c r="G229" s="2244">
        <f>ROUND(F229*E229,2)</f>
        <v>0</v>
      </c>
      <c r="H229" s="2256"/>
      <c r="I229" s="2230"/>
    </row>
    <row r="230" spans="1:9" s="2246" customFormat="1" hidden="1">
      <c r="A230" s="2224"/>
      <c r="B230" s="2224"/>
      <c r="C230" s="2225"/>
      <c r="D230" s="2242"/>
      <c r="E230" s="2242"/>
      <c r="F230" s="2247" t="s">
        <v>1486</v>
      </c>
      <c r="G230" s="2244">
        <f>SUM(G228:G229)</f>
        <v>4001.46</v>
      </c>
      <c r="H230" s="2256"/>
      <c r="I230" s="2230"/>
    </row>
    <row r="231" spans="1:9" s="2246" customFormat="1" hidden="1">
      <c r="A231" s="2253"/>
      <c r="B231" s="2213"/>
      <c r="C231" s="2232" t="s">
        <v>902</v>
      </c>
      <c r="D231" s="2233" t="s">
        <v>1473</v>
      </c>
      <c r="E231" s="2233">
        <v>1.1000000000000001</v>
      </c>
      <c r="F231" s="2237">
        <f>'Lead- Input sheet '!$O$21</f>
        <v>0</v>
      </c>
      <c r="G231" s="2244">
        <f>ROUND(F231*E231,2)</f>
        <v>0</v>
      </c>
      <c r="H231" s="2256"/>
      <c r="I231" s="2230"/>
    </row>
    <row r="232" spans="1:9" s="2246" customFormat="1" hidden="1">
      <c r="A232" s="2253"/>
      <c r="B232" s="2213"/>
      <c r="C232" s="2232" t="s">
        <v>900</v>
      </c>
      <c r="D232" s="2233" t="s">
        <v>1473</v>
      </c>
      <c r="E232" s="2233">
        <v>0.32</v>
      </c>
      <c r="F232" s="2237">
        <f>'Lead- Input sheet '!$O$11</f>
        <v>0</v>
      </c>
      <c r="G232" s="2244">
        <f>ROUND(F232*E232,2)</f>
        <v>0</v>
      </c>
      <c r="H232" s="2256"/>
      <c r="I232" s="2230"/>
    </row>
    <row r="233" spans="1:9" s="2246" customFormat="1" hidden="1">
      <c r="A233" s="2253"/>
      <c r="B233" s="2213"/>
      <c r="C233" s="2225" t="s">
        <v>1130</v>
      </c>
      <c r="D233" s="2233"/>
      <c r="E233" s="2233"/>
      <c r="F233" s="2249" t="s">
        <v>414</v>
      </c>
      <c r="G233" s="2244">
        <f>SUM(G230:G232)</f>
        <v>4001.46</v>
      </c>
      <c r="H233" s="2256"/>
      <c r="I233" s="2230"/>
    </row>
    <row r="234" spans="1:9" ht="37.799999999999997" hidden="1">
      <c r="A234" s="2213" t="s">
        <v>1219</v>
      </c>
      <c r="B234" s="2213">
        <v>16</v>
      </c>
      <c r="C234" s="2225" t="s">
        <v>1487</v>
      </c>
      <c r="D234" s="2233"/>
      <c r="E234" s="2233"/>
      <c r="F234" s="2237"/>
      <c r="G234" s="2238"/>
      <c r="I234" s="2230"/>
    </row>
    <row r="235" spans="1:9" hidden="1">
      <c r="A235" s="2253"/>
      <c r="B235" s="2213"/>
      <c r="C235" s="2232" t="s">
        <v>346</v>
      </c>
      <c r="D235" s="2233"/>
      <c r="E235" s="2233"/>
      <c r="F235" s="2237"/>
      <c r="G235" s="2238"/>
      <c r="I235" s="2230"/>
    </row>
    <row r="236" spans="1:9" hidden="1">
      <c r="A236" s="2253"/>
      <c r="B236" s="2213"/>
      <c r="C236" s="2232" t="s">
        <v>1041</v>
      </c>
      <c r="D236" s="2233"/>
      <c r="E236" s="2233"/>
      <c r="F236" s="2237"/>
      <c r="G236" s="2238"/>
      <c r="I236" s="2230"/>
    </row>
    <row r="237" spans="1:9" hidden="1">
      <c r="A237" s="2253"/>
      <c r="B237" s="2213"/>
      <c r="C237" s="2232" t="s">
        <v>523</v>
      </c>
      <c r="D237" s="2233" t="s">
        <v>347</v>
      </c>
      <c r="E237" s="2233">
        <v>57.6</v>
      </c>
      <c r="F237" s="2237">
        <f>'Lead- Input sheet '!R8</f>
        <v>6656</v>
      </c>
      <c r="G237" s="2238">
        <f>ROUND(E237*F237/1000,2)</f>
        <v>383.39</v>
      </c>
      <c r="I237" s="2230"/>
    </row>
    <row r="238" spans="1:9" hidden="1">
      <c r="A238" s="2253"/>
      <c r="B238" s="2213"/>
      <c r="C238" s="2232" t="s">
        <v>877</v>
      </c>
      <c r="D238" s="2233" t="s">
        <v>1473</v>
      </c>
      <c r="E238" s="2233">
        <v>0.94</v>
      </c>
      <c r="F238" s="2237">
        <f>'Lead- Input sheet '!R22</f>
        <v>438.30251287241998</v>
      </c>
      <c r="G238" s="2238">
        <f>ROUND(E238*F238,2)</f>
        <v>412</v>
      </c>
      <c r="I238" s="2230"/>
    </row>
    <row r="239" spans="1:9" hidden="1">
      <c r="A239" s="2253"/>
      <c r="B239" s="2213"/>
      <c r="C239" s="2232" t="s">
        <v>632</v>
      </c>
      <c r="D239" s="2233" t="s">
        <v>1411</v>
      </c>
      <c r="E239" s="2233">
        <v>0.16</v>
      </c>
      <c r="F239" s="2237">
        <f>'Lead- Input sheet '!R24</f>
        <v>1633.56251287242</v>
      </c>
      <c r="G239" s="2238">
        <f>ROUND(E239*F239,2)</f>
        <v>261.37</v>
      </c>
      <c r="I239" s="2230"/>
    </row>
    <row r="240" spans="1:9" s="2246" customFormat="1" hidden="1">
      <c r="A240" s="2253"/>
      <c r="B240" s="2213"/>
      <c r="C240" s="2232" t="s">
        <v>1577</v>
      </c>
      <c r="D240" s="2233" t="s">
        <v>1473</v>
      </c>
      <c r="E240" s="2233">
        <v>0.16</v>
      </c>
      <c r="F240" s="2237">
        <f>'Lead- Input sheet '!R11</f>
        <v>1239.6380759582803</v>
      </c>
      <c r="G240" s="2238">
        <f>ROUND(E240*F240,2)</f>
        <v>198.34</v>
      </c>
      <c r="H240" s="2256"/>
      <c r="I240" s="2230"/>
    </row>
    <row r="241" spans="1:9" s="2246" customFormat="1" hidden="1">
      <c r="A241" s="2253"/>
      <c r="B241" s="2213"/>
      <c r="C241" s="2232" t="s">
        <v>3141</v>
      </c>
      <c r="D241" s="2233" t="s">
        <v>1473</v>
      </c>
      <c r="E241" s="2233">
        <v>0.16</v>
      </c>
      <c r="F241" s="2237">
        <f>'Lead- Input sheet '!R14</f>
        <v>1218.5339963913216</v>
      </c>
      <c r="G241" s="2238">
        <f>ROUND(E241*F241,2)</f>
        <v>194.97</v>
      </c>
      <c r="H241" s="2256"/>
      <c r="I241" s="2230"/>
    </row>
    <row r="242" spans="1:9" hidden="1">
      <c r="A242" s="2253"/>
      <c r="B242" s="2213"/>
      <c r="C242" s="2232" t="s">
        <v>340</v>
      </c>
      <c r="D242" s="2233"/>
      <c r="E242" s="2233"/>
      <c r="F242" s="2237"/>
      <c r="G242" s="2238"/>
      <c r="I242" s="2230"/>
    </row>
    <row r="243" spans="1:9" ht="14.1" hidden="1">
      <c r="A243" s="2253"/>
      <c r="B243" s="2213"/>
      <c r="C243" s="2232" t="s">
        <v>3589</v>
      </c>
      <c r="D243" s="2233" t="s">
        <v>1047</v>
      </c>
      <c r="E243" s="2233">
        <v>1.5</v>
      </c>
      <c r="F243" s="2237">
        <f>'Lead- Input sheet '!R31</f>
        <v>680</v>
      </c>
      <c r="G243" s="2238">
        <f>ROUND(E243*F243,2)</f>
        <v>1020</v>
      </c>
      <c r="I243" s="2230"/>
    </row>
    <row r="244" spans="1:9" hidden="1">
      <c r="A244" s="2253"/>
      <c r="B244" s="2213"/>
      <c r="C244" s="2232" t="s">
        <v>341</v>
      </c>
      <c r="D244" s="2233" t="s">
        <v>1047</v>
      </c>
      <c r="E244" s="2233">
        <v>2.3199999999999998</v>
      </c>
      <c r="F244" s="2237">
        <f>'Lead- Input sheet '!R28</f>
        <v>605</v>
      </c>
      <c r="G244" s="2238">
        <f>ROUND(E244*F244,2)</f>
        <v>1403.6</v>
      </c>
      <c r="H244" s="2250"/>
      <c r="I244" s="2230"/>
    </row>
    <row r="245" spans="1:9" s="2246" customFormat="1" hidden="1">
      <c r="A245" s="2227"/>
      <c r="B245" s="2224"/>
      <c r="C245" s="2232" t="s">
        <v>2617</v>
      </c>
      <c r="D245" s="2233"/>
      <c r="E245" s="2233">
        <f>'Lead- Input sheet '!Q31</f>
        <v>0</v>
      </c>
      <c r="F245" s="2237">
        <f>SUM(G243:G244)</f>
        <v>2423.6</v>
      </c>
      <c r="G245" s="2238">
        <f>ROUND(F245*E245,2)</f>
        <v>0</v>
      </c>
      <c r="H245" s="2256"/>
      <c r="I245" s="2230"/>
    </row>
    <row r="246" spans="1:9" s="2254" customFormat="1" hidden="1">
      <c r="A246" s="2213"/>
      <c r="B246" s="2213"/>
      <c r="C246" s="2225" t="s">
        <v>1048</v>
      </c>
      <c r="D246" s="2242"/>
      <c r="E246" s="2242"/>
      <c r="F246" s="2249"/>
      <c r="G246" s="2244">
        <f>SUM(G237:G245)</f>
        <v>3873.6699999999996</v>
      </c>
      <c r="H246" s="2209"/>
      <c r="I246" s="2230"/>
    </row>
    <row r="247" spans="1:9" s="2246" customFormat="1" hidden="1">
      <c r="A247" s="2224"/>
      <c r="B247" s="2224"/>
      <c r="C247" s="2225" t="s">
        <v>1600</v>
      </c>
      <c r="D247" s="2242"/>
      <c r="E247" s="2242">
        <f>G246</f>
        <v>3873.6699999999996</v>
      </c>
      <c r="F247" s="2243">
        <f>'Lead- Input sheet '!Q32</f>
        <v>0</v>
      </c>
      <c r="G247" s="2244">
        <f>ROUND(F247*E247,2)</f>
        <v>0</v>
      </c>
      <c r="H247" s="2245"/>
      <c r="I247" s="2230"/>
    </row>
    <row r="248" spans="1:9" s="2246" customFormat="1" hidden="1">
      <c r="A248" s="2224"/>
      <c r="B248" s="2224"/>
      <c r="C248" s="2225"/>
      <c r="D248" s="2242"/>
      <c r="E248" s="2242"/>
      <c r="F248" s="2247" t="s">
        <v>1486</v>
      </c>
      <c r="G248" s="2244">
        <f>SUM(G246:G247)</f>
        <v>3873.6699999999996</v>
      </c>
      <c r="H248" s="2245"/>
      <c r="I248" s="2230"/>
    </row>
    <row r="249" spans="1:9" s="2246" customFormat="1" hidden="1">
      <c r="A249" s="2253"/>
      <c r="B249" s="2213"/>
      <c r="C249" s="2232" t="s">
        <v>902</v>
      </c>
      <c r="D249" s="2233" t="s">
        <v>1473</v>
      </c>
      <c r="E249" s="2233">
        <v>1.1000000000000001</v>
      </c>
      <c r="F249" s="2237">
        <f>'Lead- Input sheet '!$O$21</f>
        <v>0</v>
      </c>
      <c r="G249" s="2244">
        <f>ROUND(F249*E249,2)</f>
        <v>0</v>
      </c>
      <c r="H249" s="2256"/>
      <c r="I249" s="2230"/>
    </row>
    <row r="250" spans="1:9" s="2246" customFormat="1" hidden="1">
      <c r="A250" s="2253"/>
      <c r="B250" s="2213"/>
      <c r="C250" s="2232" t="s">
        <v>900</v>
      </c>
      <c r="D250" s="2233" t="s">
        <v>1473</v>
      </c>
      <c r="E250" s="2233">
        <v>0.32</v>
      </c>
      <c r="F250" s="2237">
        <f>'Lead- Input sheet '!$O$11</f>
        <v>0</v>
      </c>
      <c r="G250" s="2244">
        <f>ROUND(F250*E250,2)</f>
        <v>0</v>
      </c>
      <c r="H250" s="2256"/>
      <c r="I250" s="2230"/>
    </row>
    <row r="251" spans="1:9" s="2246" customFormat="1" hidden="1">
      <c r="A251" s="2253"/>
      <c r="B251" s="2213"/>
      <c r="C251" s="2225" t="s">
        <v>1130</v>
      </c>
      <c r="D251" s="2233"/>
      <c r="E251" s="2233"/>
      <c r="F251" s="2249" t="s">
        <v>414</v>
      </c>
      <c r="G251" s="2244">
        <f>SUM(G248:G250)</f>
        <v>3873.6699999999996</v>
      </c>
      <c r="H251" s="2256"/>
      <c r="I251" s="2230"/>
    </row>
    <row r="252" spans="1:9" s="2246" customFormat="1" ht="37.799999999999997" hidden="1">
      <c r="A252" s="2213" t="s">
        <v>494</v>
      </c>
      <c r="B252" s="2213">
        <v>17</v>
      </c>
      <c r="C252" s="2225" t="s">
        <v>1226</v>
      </c>
      <c r="D252" s="2233"/>
      <c r="E252" s="2233"/>
      <c r="F252" s="2237"/>
      <c r="G252" s="2238"/>
      <c r="H252" s="2256"/>
      <c r="I252" s="2230"/>
    </row>
    <row r="253" spans="1:9" s="2246" customFormat="1" hidden="1">
      <c r="A253" s="2253"/>
      <c r="B253" s="2213"/>
      <c r="C253" s="2232" t="s">
        <v>1227</v>
      </c>
      <c r="D253" s="2233"/>
      <c r="E253" s="2233"/>
      <c r="F253" s="2237"/>
      <c r="G253" s="2238"/>
      <c r="H253" s="2256"/>
      <c r="I253" s="2230"/>
    </row>
    <row r="254" spans="1:9" s="2246" customFormat="1" hidden="1">
      <c r="A254" s="2253"/>
      <c r="B254" s="2213"/>
      <c r="C254" s="2232" t="s">
        <v>1041</v>
      </c>
      <c r="D254" s="2233"/>
      <c r="E254" s="2233"/>
      <c r="F254" s="2237"/>
      <c r="G254" s="2238"/>
      <c r="H254" s="2256"/>
      <c r="I254" s="2230"/>
    </row>
    <row r="255" spans="1:9" s="2246" customFormat="1" hidden="1">
      <c r="A255" s="2253"/>
      <c r="B255" s="2213"/>
      <c r="C255" s="2232" t="s">
        <v>523</v>
      </c>
      <c r="D255" s="2233" t="s">
        <v>347</v>
      </c>
      <c r="E255" s="2233">
        <v>14.4</v>
      </c>
      <c r="F255" s="2237">
        <f>'Lead- Input sheet '!R8</f>
        <v>6656</v>
      </c>
      <c r="G255" s="2238">
        <f>ROUND(E255*F255/1000,2)</f>
        <v>95.85</v>
      </c>
      <c r="H255" s="2256"/>
      <c r="I255" s="2230"/>
    </row>
    <row r="256" spans="1:9" s="2246" customFormat="1" hidden="1">
      <c r="A256" s="2253"/>
      <c r="B256" s="2213"/>
      <c r="C256" s="2232" t="s">
        <v>1577</v>
      </c>
      <c r="D256" s="2233" t="s">
        <v>1473</v>
      </c>
      <c r="E256" s="2233">
        <v>0.03</v>
      </c>
      <c r="F256" s="2237">
        <f>'Lead- Input sheet '!R11</f>
        <v>1239.6380759582803</v>
      </c>
      <c r="G256" s="2238">
        <f>ROUND(E256*F256,2)</f>
        <v>37.19</v>
      </c>
      <c r="H256" s="2256"/>
      <c r="I256" s="2230"/>
    </row>
    <row r="257" spans="1:9" s="2246" customFormat="1" hidden="1">
      <c r="A257" s="2253"/>
      <c r="B257" s="2213"/>
      <c r="C257" s="2232" t="s">
        <v>340</v>
      </c>
      <c r="D257" s="2233"/>
      <c r="E257" s="2233"/>
      <c r="F257" s="2237"/>
      <c r="G257" s="2238"/>
      <c r="H257" s="2256"/>
      <c r="I257" s="2230"/>
    </row>
    <row r="258" spans="1:9" s="2246" customFormat="1" ht="14.1" hidden="1">
      <c r="A258" s="2253"/>
      <c r="B258" s="2213"/>
      <c r="C258" s="2232" t="s">
        <v>3593</v>
      </c>
      <c r="D258" s="2233" t="s">
        <v>1047</v>
      </c>
      <c r="E258" s="2233">
        <v>0.5</v>
      </c>
      <c r="F258" s="2237">
        <f>'Lead- Input sheet '!R30</f>
        <v>650</v>
      </c>
      <c r="G258" s="2238">
        <f>ROUND(E258*F258,2)</f>
        <v>325</v>
      </c>
      <c r="H258" s="2256"/>
      <c r="I258" s="2230"/>
    </row>
    <row r="259" spans="1:9" s="2246" customFormat="1" hidden="1">
      <c r="A259" s="2253"/>
      <c r="B259" s="2213"/>
      <c r="C259" s="2232" t="s">
        <v>341</v>
      </c>
      <c r="D259" s="2233" t="s">
        <v>1047</v>
      </c>
      <c r="E259" s="2233">
        <v>0.74</v>
      </c>
      <c r="F259" s="2237">
        <f>'Lead- Input sheet '!R29</f>
        <v>605</v>
      </c>
      <c r="G259" s="2238">
        <f>ROUND(E259*F259,2)</f>
        <v>447.7</v>
      </c>
      <c r="H259" s="2256"/>
      <c r="I259" s="2230"/>
    </row>
    <row r="260" spans="1:9" s="2246" customFormat="1" hidden="1">
      <c r="A260" s="2227"/>
      <c r="B260" s="2224"/>
      <c r="C260" s="2232" t="s">
        <v>2617</v>
      </c>
      <c r="D260" s="2233"/>
      <c r="E260" s="2233">
        <f>'Lead- Input sheet '!Q31</f>
        <v>0</v>
      </c>
      <c r="F260" s="2237">
        <f>SUM(G258:G259)</f>
        <v>772.7</v>
      </c>
      <c r="G260" s="2238">
        <f>ROUND(F260*E260,2)</f>
        <v>0</v>
      </c>
      <c r="H260" s="2256"/>
      <c r="I260" s="2230"/>
    </row>
    <row r="261" spans="1:9" s="2246" customFormat="1" hidden="1">
      <c r="A261" s="2213"/>
      <c r="B261" s="2213"/>
      <c r="C261" s="2225" t="s">
        <v>1048</v>
      </c>
      <c r="D261" s="2242"/>
      <c r="E261" s="2242"/>
      <c r="F261" s="2249"/>
      <c r="G261" s="2244">
        <f>SUM(G255:G260)</f>
        <v>905.74</v>
      </c>
      <c r="H261" s="2256"/>
      <c r="I261" s="2230"/>
    </row>
    <row r="262" spans="1:9" s="2246" customFormat="1" hidden="1">
      <c r="A262" s="2224"/>
      <c r="B262" s="2224"/>
      <c r="C262" s="2225" t="s">
        <v>1600</v>
      </c>
      <c r="D262" s="2242"/>
      <c r="E262" s="2242">
        <f>G261</f>
        <v>905.74</v>
      </c>
      <c r="F262" s="2243">
        <f>'Lead- Input sheet '!Q32</f>
        <v>0</v>
      </c>
      <c r="G262" s="2244">
        <f>ROUND(F262*E262,2)</f>
        <v>0</v>
      </c>
      <c r="H262" s="2256"/>
      <c r="I262" s="2230"/>
    </row>
    <row r="263" spans="1:9" s="2246" customFormat="1" hidden="1">
      <c r="A263" s="2224"/>
      <c r="B263" s="2224"/>
      <c r="C263" s="2225"/>
      <c r="D263" s="2242"/>
      <c r="E263" s="2242"/>
      <c r="F263" s="2247" t="s">
        <v>1486</v>
      </c>
      <c r="G263" s="2244">
        <f>SUM(G261:G262)</f>
        <v>905.74</v>
      </c>
      <c r="H263" s="2256"/>
      <c r="I263" s="2230"/>
    </row>
    <row r="264" spans="1:9" s="2246" customFormat="1" hidden="1">
      <c r="A264" s="2253"/>
      <c r="B264" s="2213"/>
      <c r="C264" s="2232" t="s">
        <v>900</v>
      </c>
      <c r="D264" s="2233" t="s">
        <v>1473</v>
      </c>
      <c r="E264" s="2233">
        <v>0.03</v>
      </c>
      <c r="F264" s="2237">
        <f>'Lead- Input sheet '!$O$11</f>
        <v>0</v>
      </c>
      <c r="G264" s="2244">
        <f>ROUND(F264*E264,2)</f>
        <v>0</v>
      </c>
      <c r="H264" s="2256"/>
      <c r="I264" s="2230"/>
    </row>
    <row r="265" spans="1:9" s="2246" customFormat="1" hidden="1">
      <c r="A265" s="2253"/>
      <c r="B265" s="2213"/>
      <c r="C265" s="2225" t="s">
        <v>1231</v>
      </c>
      <c r="D265" s="2233"/>
      <c r="E265" s="2233"/>
      <c r="F265" s="2249" t="s">
        <v>414</v>
      </c>
      <c r="G265" s="2244">
        <f>SUM(G263:G264)</f>
        <v>905.74</v>
      </c>
      <c r="H265" s="2256"/>
      <c r="I265" s="2230"/>
    </row>
    <row r="266" spans="1:9" s="2246" customFormat="1" ht="37.799999999999997" hidden="1">
      <c r="A266" s="2213" t="s">
        <v>1161</v>
      </c>
      <c r="B266" s="2213">
        <v>18</v>
      </c>
      <c r="C266" s="2225" t="s">
        <v>1206</v>
      </c>
      <c r="D266" s="2233"/>
      <c r="E266" s="2233"/>
      <c r="F266" s="2237"/>
      <c r="G266" s="2238"/>
      <c r="H266" s="2256"/>
      <c r="I266" s="2230"/>
    </row>
    <row r="267" spans="1:9" s="2246" customFormat="1" hidden="1">
      <c r="A267" s="2253"/>
      <c r="B267" s="2213"/>
      <c r="C267" s="2232" t="s">
        <v>1227</v>
      </c>
      <c r="D267" s="2233"/>
      <c r="E267" s="2233"/>
      <c r="F267" s="2237"/>
      <c r="G267" s="2238"/>
      <c r="H267" s="2256"/>
      <c r="I267" s="2230"/>
    </row>
    <row r="268" spans="1:9" s="2246" customFormat="1" hidden="1">
      <c r="A268" s="2253"/>
      <c r="B268" s="2253"/>
      <c r="C268" s="2232" t="s">
        <v>1041</v>
      </c>
      <c r="D268" s="2233"/>
      <c r="E268" s="2233"/>
      <c r="F268" s="2237"/>
      <c r="G268" s="2238"/>
      <c r="H268" s="2256"/>
      <c r="I268" s="2230"/>
    </row>
    <row r="269" spans="1:9" s="2246" customFormat="1" hidden="1">
      <c r="A269" s="2253"/>
      <c r="B269" s="2213"/>
      <c r="C269" s="2232" t="s">
        <v>523</v>
      </c>
      <c r="D269" s="2233" t="s">
        <v>347</v>
      </c>
      <c r="E269" s="2233">
        <v>14.4</v>
      </c>
      <c r="F269" s="2237">
        <f>'Lead- Input sheet '!R8</f>
        <v>6656</v>
      </c>
      <c r="G269" s="2238">
        <f>ROUND(E269*F269/1000,2)</f>
        <v>95.85</v>
      </c>
      <c r="H269" s="2256"/>
      <c r="I269" s="2230"/>
    </row>
    <row r="270" spans="1:9" s="2246" customFormat="1" hidden="1">
      <c r="A270" s="2253"/>
      <c r="B270" s="2213"/>
      <c r="C270" s="2232" t="s">
        <v>1577</v>
      </c>
      <c r="D270" s="2233" t="s">
        <v>1473</v>
      </c>
      <c r="E270" s="2233">
        <v>0.03</v>
      </c>
      <c r="F270" s="2237">
        <f>'Lead- Input sheet '!R11</f>
        <v>1239.6380759582803</v>
      </c>
      <c r="G270" s="2238">
        <f>ROUND(E270*F270,2)</f>
        <v>37.19</v>
      </c>
      <c r="H270" s="2256"/>
      <c r="I270" s="2230"/>
    </row>
    <row r="271" spans="1:9" s="2246" customFormat="1" hidden="1">
      <c r="A271" s="2253"/>
      <c r="B271" s="2213"/>
      <c r="C271" s="2232" t="s">
        <v>340</v>
      </c>
      <c r="D271" s="2233"/>
      <c r="E271" s="2233"/>
      <c r="F271" s="2237"/>
      <c r="G271" s="2238"/>
      <c r="H271" s="2256"/>
      <c r="I271" s="2230"/>
    </row>
    <row r="272" spans="1:9" s="2246" customFormat="1" ht="14.1" hidden="1">
      <c r="A272" s="2253"/>
      <c r="B272" s="2213"/>
      <c r="C272" s="2232" t="s">
        <v>3593</v>
      </c>
      <c r="D272" s="2233" t="s">
        <v>1047</v>
      </c>
      <c r="E272" s="2233">
        <v>0.5</v>
      </c>
      <c r="F272" s="2237">
        <f>'Lead- Input sheet '!R30</f>
        <v>650</v>
      </c>
      <c r="G272" s="2238">
        <f>ROUND(E272*F272,2)</f>
        <v>325</v>
      </c>
      <c r="H272" s="2256"/>
      <c r="I272" s="2230"/>
    </row>
    <row r="273" spans="1:9" s="2246" customFormat="1" hidden="1">
      <c r="A273" s="2253"/>
      <c r="B273" s="2213"/>
      <c r="C273" s="2232" t="s">
        <v>341</v>
      </c>
      <c r="D273" s="2233" t="s">
        <v>1047</v>
      </c>
      <c r="E273" s="2233">
        <v>0.74</v>
      </c>
      <c r="F273" s="2237">
        <f>'Lead- Input sheet '!R29</f>
        <v>605</v>
      </c>
      <c r="G273" s="2238">
        <f>ROUND(E273*F273,2)</f>
        <v>447.7</v>
      </c>
      <c r="H273" s="2256"/>
      <c r="I273" s="2230"/>
    </row>
    <row r="274" spans="1:9" s="2246" customFormat="1" hidden="1">
      <c r="A274" s="2227"/>
      <c r="B274" s="2224"/>
      <c r="C274" s="2232" t="s">
        <v>2617</v>
      </c>
      <c r="D274" s="2233"/>
      <c r="E274" s="2233">
        <f>'Lead- Input sheet '!Q31</f>
        <v>0</v>
      </c>
      <c r="F274" s="2237">
        <f>SUM(G271:G273)</f>
        <v>772.7</v>
      </c>
      <c r="G274" s="2238">
        <f>ROUND(F274*E274,2)</f>
        <v>0</v>
      </c>
      <c r="H274" s="2256"/>
      <c r="I274" s="2230"/>
    </row>
    <row r="275" spans="1:9" s="2246" customFormat="1" hidden="1">
      <c r="A275" s="2213"/>
      <c r="B275" s="2213"/>
      <c r="C275" s="2225" t="s">
        <v>1048</v>
      </c>
      <c r="D275" s="2242"/>
      <c r="E275" s="2242"/>
      <c r="F275" s="2249"/>
      <c r="G275" s="2244">
        <f>SUM(G269:G274)</f>
        <v>905.74</v>
      </c>
      <c r="H275" s="2256"/>
      <c r="I275" s="2230"/>
    </row>
    <row r="276" spans="1:9" s="2246" customFormat="1" hidden="1">
      <c r="A276" s="2224"/>
      <c r="B276" s="2224"/>
      <c r="C276" s="2225" t="s">
        <v>1600</v>
      </c>
      <c r="D276" s="2242"/>
      <c r="E276" s="2242">
        <f>G275</f>
        <v>905.74</v>
      </c>
      <c r="F276" s="2243">
        <f>'Lead- Input sheet '!Q32</f>
        <v>0</v>
      </c>
      <c r="G276" s="2244">
        <f>ROUND(F276*E276,2)</f>
        <v>0</v>
      </c>
      <c r="H276" s="2256"/>
      <c r="I276" s="2230"/>
    </row>
    <row r="277" spans="1:9" s="2246" customFormat="1" hidden="1">
      <c r="A277" s="2224"/>
      <c r="B277" s="2224"/>
      <c r="C277" s="2225"/>
      <c r="D277" s="2242"/>
      <c r="E277" s="2242"/>
      <c r="F277" s="2247" t="s">
        <v>1486</v>
      </c>
      <c r="G277" s="2244">
        <f>SUM(G275:G276)</f>
        <v>905.74</v>
      </c>
      <c r="H277" s="2256"/>
      <c r="I277" s="2230"/>
    </row>
    <row r="278" spans="1:9" s="2246" customFormat="1" hidden="1">
      <c r="A278" s="2253"/>
      <c r="B278" s="2213"/>
      <c r="C278" s="2232" t="s">
        <v>900</v>
      </c>
      <c r="D278" s="2233" t="s">
        <v>1473</v>
      </c>
      <c r="E278" s="2233">
        <v>0.03</v>
      </c>
      <c r="F278" s="2237">
        <f>'Lead- Input sheet '!$O$11</f>
        <v>0</v>
      </c>
      <c r="G278" s="2244">
        <f>ROUND(F278*E278,2)</f>
        <v>0</v>
      </c>
      <c r="H278" s="2256"/>
      <c r="I278" s="2230"/>
    </row>
    <row r="279" spans="1:9" s="2246" customFormat="1" hidden="1">
      <c r="A279" s="2253"/>
      <c r="B279" s="2213"/>
      <c r="C279" s="2225" t="s">
        <v>1231</v>
      </c>
      <c r="D279" s="2233"/>
      <c r="E279" s="2233"/>
      <c r="F279" s="2249" t="s">
        <v>414</v>
      </c>
      <c r="G279" s="2244">
        <f>SUM(G277:G278)</f>
        <v>905.74</v>
      </c>
      <c r="H279" s="2256"/>
      <c r="I279" s="2230"/>
    </row>
    <row r="280" spans="1:9" s="2246" customFormat="1" ht="37.799999999999997" hidden="1">
      <c r="A280" s="2213" t="s">
        <v>880</v>
      </c>
      <c r="B280" s="2213">
        <v>19</v>
      </c>
      <c r="C280" s="2225" t="s">
        <v>1207</v>
      </c>
      <c r="D280" s="2233"/>
      <c r="E280" s="2233"/>
      <c r="F280" s="2237"/>
      <c r="G280" s="2238"/>
      <c r="H280" s="2256"/>
      <c r="I280" s="2230"/>
    </row>
    <row r="281" spans="1:9" s="2246" customFormat="1" hidden="1">
      <c r="A281" s="2253"/>
      <c r="B281" s="2213"/>
      <c r="C281" s="2232" t="s">
        <v>1227</v>
      </c>
      <c r="D281" s="2233"/>
      <c r="E281" s="2233"/>
      <c r="F281" s="2237"/>
      <c r="G281" s="2238"/>
      <c r="H281" s="2256"/>
      <c r="I281" s="2230"/>
    </row>
    <row r="282" spans="1:9" s="2246" customFormat="1" hidden="1">
      <c r="A282" s="2253"/>
      <c r="B282" s="2213"/>
      <c r="C282" s="2232" t="s">
        <v>1041</v>
      </c>
      <c r="D282" s="2233"/>
      <c r="E282" s="2233"/>
      <c r="F282" s="2237"/>
      <c r="G282" s="2238"/>
      <c r="H282" s="2256"/>
      <c r="I282" s="2230"/>
    </row>
    <row r="283" spans="1:9" s="2246" customFormat="1" hidden="1">
      <c r="A283" s="2253"/>
      <c r="B283" s="2213"/>
      <c r="C283" s="2232" t="s">
        <v>523</v>
      </c>
      <c r="D283" s="2233" t="s">
        <v>347</v>
      </c>
      <c r="E283" s="2233">
        <v>28.8</v>
      </c>
      <c r="F283" s="2237">
        <f>'Lead- Input sheet '!R8</f>
        <v>6656</v>
      </c>
      <c r="G283" s="2238">
        <f>ROUND(E283*F283/1000,2)</f>
        <v>191.69</v>
      </c>
      <c r="H283" s="2256"/>
      <c r="I283" s="2230"/>
    </row>
    <row r="284" spans="1:9" s="2246" customFormat="1" hidden="1">
      <c r="A284" s="2253"/>
      <c r="B284" s="2213"/>
      <c r="C284" s="2232" t="s">
        <v>1578</v>
      </c>
      <c r="D284" s="2233" t="s">
        <v>1473</v>
      </c>
      <c r="E284" s="2233">
        <v>0.06</v>
      </c>
      <c r="F284" s="2237">
        <f>'Lead- Input sheet '!R11</f>
        <v>1239.6380759582803</v>
      </c>
      <c r="G284" s="2238">
        <f>ROUND(E284*F284,2)</f>
        <v>74.38</v>
      </c>
      <c r="H284" s="2256"/>
      <c r="I284" s="2230"/>
    </row>
    <row r="285" spans="1:9" s="2246" customFormat="1" hidden="1">
      <c r="A285" s="2253"/>
      <c r="B285" s="2213"/>
      <c r="C285" s="2232" t="s">
        <v>340</v>
      </c>
      <c r="D285" s="2233"/>
      <c r="E285" s="2233"/>
      <c r="F285" s="2237"/>
      <c r="G285" s="2238"/>
      <c r="H285" s="2256"/>
      <c r="I285" s="2230"/>
    </row>
    <row r="286" spans="1:9" s="2246" customFormat="1" ht="14.1" hidden="1">
      <c r="A286" s="2253"/>
      <c r="B286" s="2213"/>
      <c r="C286" s="2232" t="s">
        <v>3593</v>
      </c>
      <c r="D286" s="2233" t="s">
        <v>1047</v>
      </c>
      <c r="E286" s="2233">
        <v>0.5</v>
      </c>
      <c r="F286" s="2237">
        <f>'Lead- Input sheet '!R30</f>
        <v>650</v>
      </c>
      <c r="G286" s="2238">
        <f>ROUND(E286*F286,2)</f>
        <v>325</v>
      </c>
      <c r="H286" s="2256"/>
      <c r="I286" s="2230"/>
    </row>
    <row r="287" spans="1:9" s="2246" customFormat="1" hidden="1">
      <c r="A287" s="2253"/>
      <c r="B287" s="2213"/>
      <c r="C287" s="2232" t="s">
        <v>341</v>
      </c>
      <c r="D287" s="2233" t="s">
        <v>1047</v>
      </c>
      <c r="E287" s="2233">
        <v>0.74</v>
      </c>
      <c r="F287" s="2237">
        <f>'Lead- Input sheet '!R29</f>
        <v>605</v>
      </c>
      <c r="G287" s="2238">
        <f>ROUND(E287*F287,2)</f>
        <v>447.7</v>
      </c>
      <c r="H287" s="2256"/>
      <c r="I287" s="2230"/>
    </row>
    <row r="288" spans="1:9" s="2246" customFormat="1" hidden="1">
      <c r="A288" s="2227"/>
      <c r="B288" s="2224"/>
      <c r="C288" s="2232" t="s">
        <v>2617</v>
      </c>
      <c r="D288" s="2233"/>
      <c r="E288" s="2233">
        <f>'Lead- Input sheet '!Q31</f>
        <v>0</v>
      </c>
      <c r="F288" s="2237">
        <f>SUM(G285:G287)</f>
        <v>772.7</v>
      </c>
      <c r="G288" s="2238">
        <f>ROUND(F288*E288,2)</f>
        <v>0</v>
      </c>
      <c r="H288" s="2256"/>
      <c r="I288" s="2230"/>
    </row>
    <row r="289" spans="1:9" s="2246" customFormat="1" hidden="1">
      <c r="A289" s="2213"/>
      <c r="B289" s="2213"/>
      <c r="C289" s="2225" t="s">
        <v>1048</v>
      </c>
      <c r="D289" s="2242"/>
      <c r="E289" s="2242"/>
      <c r="F289" s="2249"/>
      <c r="G289" s="2244">
        <f>SUM(G283:G288)</f>
        <v>1038.77</v>
      </c>
      <c r="H289" s="2256"/>
      <c r="I289" s="2230"/>
    </row>
    <row r="290" spans="1:9" s="2246" customFormat="1" hidden="1">
      <c r="A290" s="2224"/>
      <c r="B290" s="2224"/>
      <c r="C290" s="2225" t="s">
        <v>1600</v>
      </c>
      <c r="D290" s="2242"/>
      <c r="E290" s="2242">
        <f>G289</f>
        <v>1038.77</v>
      </c>
      <c r="F290" s="2243">
        <f>'Lead- Input sheet '!Q32</f>
        <v>0</v>
      </c>
      <c r="G290" s="2244">
        <f>ROUND(F290*E290,2)</f>
        <v>0</v>
      </c>
      <c r="H290" s="2256"/>
      <c r="I290" s="2230"/>
    </row>
    <row r="291" spans="1:9" s="2246" customFormat="1" hidden="1">
      <c r="A291" s="2224"/>
      <c r="B291" s="2224"/>
      <c r="C291" s="2225"/>
      <c r="D291" s="2242"/>
      <c r="E291" s="2242"/>
      <c r="F291" s="2247" t="s">
        <v>1486</v>
      </c>
      <c r="G291" s="2244">
        <f>SUM(G289:G290)</f>
        <v>1038.77</v>
      </c>
      <c r="H291" s="2256"/>
      <c r="I291" s="2230"/>
    </row>
    <row r="292" spans="1:9" s="2246" customFormat="1" hidden="1">
      <c r="A292" s="2253"/>
      <c r="B292" s="2213"/>
      <c r="C292" s="2232" t="s">
        <v>900</v>
      </c>
      <c r="D292" s="2233" t="s">
        <v>1473</v>
      </c>
      <c r="E292" s="2233">
        <v>0.03</v>
      </c>
      <c r="F292" s="2237">
        <f>'Lead- Input sheet '!$O$11</f>
        <v>0</v>
      </c>
      <c r="G292" s="2244">
        <f>ROUND(F292*E292,2)</f>
        <v>0</v>
      </c>
      <c r="H292" s="2256"/>
      <c r="I292" s="2230"/>
    </row>
    <row r="293" spans="1:9" s="2246" customFormat="1" hidden="1">
      <c r="A293" s="2253"/>
      <c r="B293" s="2213"/>
      <c r="C293" s="2225" t="s">
        <v>1231</v>
      </c>
      <c r="D293" s="2233"/>
      <c r="E293" s="2233"/>
      <c r="F293" s="2249" t="s">
        <v>414</v>
      </c>
      <c r="G293" s="2244">
        <f>SUM(G291:G292)</f>
        <v>1038.77</v>
      </c>
      <c r="H293" s="2256"/>
      <c r="I293" s="2230"/>
    </row>
    <row r="294" spans="1:9" ht="138.6">
      <c r="A294" s="2213" t="s">
        <v>860</v>
      </c>
      <c r="B294" s="2213">
        <v>20</v>
      </c>
      <c r="C294" s="2225" t="s">
        <v>1572</v>
      </c>
      <c r="D294" s="2233"/>
      <c r="E294" s="2233"/>
      <c r="F294" s="2237"/>
      <c r="G294" s="2238"/>
      <c r="H294" s="2209"/>
      <c r="I294" s="2230"/>
    </row>
    <row r="295" spans="1:9">
      <c r="A295" s="2253"/>
      <c r="B295" s="2213" t="s">
        <v>350</v>
      </c>
      <c r="C295" s="2225" t="s">
        <v>758</v>
      </c>
      <c r="D295" s="2233"/>
      <c r="E295" s="2233"/>
      <c r="F295" s="2237"/>
      <c r="G295" s="2238"/>
      <c r="I295" s="2230"/>
    </row>
    <row r="296" spans="1:9">
      <c r="A296" s="2253"/>
      <c r="B296" s="2213"/>
      <c r="C296" s="2232" t="s">
        <v>1041</v>
      </c>
      <c r="D296" s="2233"/>
      <c r="E296" s="2233"/>
      <c r="F296" s="2237"/>
      <c r="G296" s="2238"/>
      <c r="I296" s="2230"/>
    </row>
    <row r="297" spans="1:9">
      <c r="A297" s="2253"/>
      <c r="B297" s="2213"/>
      <c r="C297" s="2232" t="s">
        <v>3196</v>
      </c>
      <c r="D297" s="2233" t="s">
        <v>1473</v>
      </c>
      <c r="E297" s="2233">
        <v>0.9</v>
      </c>
      <c r="F297" s="2237">
        <f>('Lead- Input sheet '!R18*0.66+'Lead- Input sheet '!$R$19*0.34)</f>
        <v>1442.2033622320996</v>
      </c>
      <c r="G297" s="2238">
        <f>ROUND(E297*F297,2)</f>
        <v>1297.98</v>
      </c>
      <c r="I297" s="2230"/>
    </row>
    <row r="298" spans="1:9">
      <c r="A298" s="2253"/>
      <c r="B298" s="2213"/>
      <c r="C298" s="2232" t="s">
        <v>1579</v>
      </c>
      <c r="D298" s="2233" t="s">
        <v>1473</v>
      </c>
      <c r="E298" s="2233">
        <v>0.22500000000000001</v>
      </c>
      <c r="F298" s="2237">
        <f>'Lead- Input sheet '!R13</f>
        <v>1010.6380759582802</v>
      </c>
      <c r="G298" s="2238">
        <f>ROUND(E298*F298,2)</f>
        <v>227.39</v>
      </c>
      <c r="I298" s="2230"/>
    </row>
    <row r="299" spans="1:9">
      <c r="A299" s="2253"/>
      <c r="B299" s="2213"/>
      <c r="C299" s="2232" t="s">
        <v>3141</v>
      </c>
      <c r="D299" s="2233" t="s">
        <v>1473</v>
      </c>
      <c r="E299" s="2233">
        <v>0.22500000000000001</v>
      </c>
      <c r="F299" s="2237">
        <f>'Lead- Input sheet '!R14</f>
        <v>1218.5339963913216</v>
      </c>
      <c r="G299" s="2238">
        <f>ROUND(E299*F299,2)</f>
        <v>274.17</v>
      </c>
      <c r="I299" s="2230"/>
    </row>
    <row r="300" spans="1:9">
      <c r="A300" s="2253"/>
      <c r="B300" s="2213"/>
      <c r="C300" s="2232" t="s">
        <v>1209</v>
      </c>
      <c r="D300" s="2233" t="s">
        <v>1038</v>
      </c>
      <c r="E300" s="2233">
        <v>330</v>
      </c>
      <c r="F300" s="2237">
        <f>'Lead- Input sheet '!R8</f>
        <v>6656</v>
      </c>
      <c r="G300" s="2238">
        <f>ROUND(E300*F300/1000,2)</f>
        <v>2196.48</v>
      </c>
      <c r="I300" s="2230"/>
    </row>
    <row r="301" spans="1:9">
      <c r="A301" s="2253"/>
      <c r="B301" s="2213"/>
      <c r="C301" s="2232" t="s">
        <v>340</v>
      </c>
      <c r="D301" s="2233"/>
      <c r="E301" s="2233"/>
      <c r="F301" s="2237"/>
      <c r="G301" s="2238"/>
      <c r="I301" s="2230"/>
    </row>
    <row r="302" spans="1:9">
      <c r="A302" s="2253"/>
      <c r="B302" s="2213"/>
      <c r="C302" s="2232" t="s">
        <v>932</v>
      </c>
      <c r="D302" s="2233" t="s">
        <v>1047</v>
      </c>
      <c r="E302" s="2233">
        <v>0.13300000000000001</v>
      </c>
      <c r="F302" s="2240">
        <f>'Lead- Input sheet '!R31</f>
        <v>680</v>
      </c>
      <c r="G302" s="2238">
        <f>ROUND(E302*F302,2)</f>
        <v>90.44</v>
      </c>
      <c r="I302" s="2230"/>
    </row>
    <row r="303" spans="1:9">
      <c r="A303" s="2253"/>
      <c r="B303" s="2213"/>
      <c r="C303" s="2232" t="s">
        <v>933</v>
      </c>
      <c r="D303" s="2233" t="s">
        <v>1047</v>
      </c>
      <c r="E303" s="2233">
        <v>0.26700000000000002</v>
      </c>
      <c r="F303" s="2240">
        <f>'Lead- Input sheet '!R30</f>
        <v>650</v>
      </c>
      <c r="G303" s="2238">
        <f t="shared" ref="G303:G309" si="0">ROUND(E303*F303,2)</f>
        <v>173.55</v>
      </c>
      <c r="I303" s="2230"/>
    </row>
    <row r="304" spans="1:9">
      <c r="A304" s="2253"/>
      <c r="B304" s="2213"/>
      <c r="C304" s="2232" t="s">
        <v>934</v>
      </c>
      <c r="D304" s="2233" t="s">
        <v>1047</v>
      </c>
      <c r="E304" s="2233">
        <v>3.6</v>
      </c>
      <c r="F304" s="2240">
        <f>'Lead- Input sheet '!R29</f>
        <v>605</v>
      </c>
      <c r="G304" s="2238">
        <f t="shared" si="0"/>
        <v>2178</v>
      </c>
      <c r="I304" s="2230"/>
    </row>
    <row r="305" spans="1:9" s="2254" customFormat="1">
      <c r="A305" s="2227"/>
      <c r="B305" s="2224"/>
      <c r="C305" s="2232" t="s">
        <v>2617</v>
      </c>
      <c r="D305" s="2233"/>
      <c r="E305" s="2233">
        <f>'Lead- Input sheet '!Q31</f>
        <v>0</v>
      </c>
      <c r="F305" s="2237">
        <f>SUM(G302:G304)</f>
        <v>2441.9899999999998</v>
      </c>
      <c r="G305" s="2238">
        <f>ROUND(F305*E305,2)</f>
        <v>0</v>
      </c>
      <c r="H305" s="2257"/>
      <c r="I305" s="2230"/>
    </row>
    <row r="306" spans="1:9">
      <c r="A306" s="2253"/>
      <c r="B306" s="2213"/>
      <c r="C306" s="2232" t="s">
        <v>1044</v>
      </c>
      <c r="D306" s="2233"/>
      <c r="E306" s="2233"/>
      <c r="F306" s="2237"/>
      <c r="G306" s="2238"/>
      <c r="I306" s="2230"/>
    </row>
    <row r="307" spans="1:9">
      <c r="A307" s="2253"/>
      <c r="B307" s="2213"/>
      <c r="C307" s="2232" t="s">
        <v>344</v>
      </c>
      <c r="D307" s="2233" t="s">
        <v>345</v>
      </c>
      <c r="E307" s="2233">
        <v>1</v>
      </c>
      <c r="F307" s="2240">
        <f>F167</f>
        <v>721.5</v>
      </c>
      <c r="G307" s="2238">
        <f t="shared" si="0"/>
        <v>721.5</v>
      </c>
      <c r="I307" s="2230"/>
    </row>
    <row r="308" spans="1:9">
      <c r="A308" s="2253"/>
      <c r="B308" s="2213"/>
      <c r="C308" s="2232" t="s">
        <v>1232</v>
      </c>
      <c r="D308" s="2233" t="s">
        <v>345</v>
      </c>
      <c r="E308" s="2233">
        <v>1</v>
      </c>
      <c r="F308" s="2240">
        <v>292.8</v>
      </c>
      <c r="G308" s="2238">
        <f t="shared" si="0"/>
        <v>292.8</v>
      </c>
      <c r="I308" s="2230"/>
    </row>
    <row r="309" spans="1:9">
      <c r="A309" s="2253"/>
      <c r="B309" s="2213"/>
      <c r="C309" s="2232" t="s">
        <v>342</v>
      </c>
      <c r="D309" s="2233" t="s">
        <v>343</v>
      </c>
      <c r="E309" s="2233">
        <v>1.2</v>
      </c>
      <c r="F309" s="2240">
        <f>'Lead- Input sheet '!P34</f>
        <v>81</v>
      </c>
      <c r="G309" s="2238">
        <f t="shared" si="0"/>
        <v>97.2</v>
      </c>
      <c r="I309" s="2230"/>
    </row>
    <row r="310" spans="1:9" s="2246" customFormat="1">
      <c r="A310" s="2213"/>
      <c r="B310" s="2213"/>
      <c r="C310" s="2225" t="s">
        <v>1130</v>
      </c>
      <c r="D310" s="2242"/>
      <c r="E310" s="2242"/>
      <c r="F310" s="2249" t="s">
        <v>414</v>
      </c>
      <c r="G310" s="2244">
        <f>ROUND(SUM(G297:G309),2)</f>
        <v>7549.51</v>
      </c>
      <c r="H310" s="2245"/>
      <c r="I310" s="2230"/>
    </row>
    <row r="311" spans="1:9" s="2246" customFormat="1">
      <c r="A311" s="2253"/>
      <c r="B311" s="2213">
        <v>1</v>
      </c>
      <c r="C311" s="2225" t="s">
        <v>1474</v>
      </c>
      <c r="D311" s="2233"/>
      <c r="E311" s="2233"/>
      <c r="F311" s="2237"/>
      <c r="G311" s="2238"/>
      <c r="H311" s="2256"/>
      <c r="I311" s="2230"/>
    </row>
    <row r="312" spans="1:9">
      <c r="A312" s="2253"/>
      <c r="B312" s="2213"/>
      <c r="C312" s="2232" t="s">
        <v>1130</v>
      </c>
      <c r="D312" s="2233"/>
      <c r="E312" s="2233"/>
      <c r="F312" s="2237"/>
      <c r="G312" s="2244">
        <f>G310</f>
        <v>7549.51</v>
      </c>
      <c r="I312" s="2230"/>
    </row>
    <row r="313" spans="1:9">
      <c r="A313" s="2253"/>
      <c r="B313" s="2213"/>
      <c r="C313" s="2232" t="s">
        <v>862</v>
      </c>
      <c r="D313" s="2233"/>
      <c r="E313" s="2233"/>
      <c r="F313" s="2237"/>
      <c r="G313" s="2241">
        <v>350</v>
      </c>
      <c r="I313" s="2230"/>
    </row>
    <row r="314" spans="1:9" s="2246" customFormat="1">
      <c r="A314" s="2253"/>
      <c r="B314" s="2213"/>
      <c r="C314" s="2232" t="s">
        <v>863</v>
      </c>
      <c r="D314" s="2233"/>
      <c r="E314" s="2233"/>
      <c r="F314" s="2237"/>
      <c r="G314" s="2241">
        <v>889</v>
      </c>
      <c r="H314" s="2256"/>
      <c r="I314" s="2230"/>
    </row>
    <row r="315" spans="1:9" s="2246" customFormat="1">
      <c r="A315" s="2253"/>
      <c r="B315" s="2213"/>
      <c r="C315" s="2232" t="s">
        <v>1485</v>
      </c>
      <c r="D315" s="2233"/>
      <c r="E315" s="2233">
        <f>G314</f>
        <v>889</v>
      </c>
      <c r="F315" s="2237">
        <f>'Lead- Input sheet '!Q31</f>
        <v>0</v>
      </c>
      <c r="G315" s="2238">
        <f>ROUND(E315*F315,2)</f>
        <v>0</v>
      </c>
      <c r="H315" s="2250"/>
      <c r="I315" s="2230"/>
    </row>
    <row r="316" spans="1:9">
      <c r="A316" s="2253"/>
      <c r="B316" s="2213"/>
      <c r="C316" s="2232"/>
      <c r="D316" s="2233"/>
      <c r="E316" s="2233"/>
      <c r="F316" s="2237"/>
      <c r="G316" s="2238">
        <f>SUM(G312:G315)</f>
        <v>8788.51</v>
      </c>
      <c r="I316" s="2230"/>
    </row>
    <row r="317" spans="1:9">
      <c r="A317" s="2224"/>
      <c r="B317" s="2224"/>
      <c r="C317" s="2225" t="s">
        <v>1600</v>
      </c>
      <c r="D317" s="2242"/>
      <c r="E317" s="2242">
        <f>G316</f>
        <v>8788.51</v>
      </c>
      <c r="F317" s="2243">
        <f>'Lead- Input sheet '!Q32</f>
        <v>0</v>
      </c>
      <c r="G317" s="2244">
        <f>ROUND(F317*E317,2)</f>
        <v>0</v>
      </c>
      <c r="I317" s="2230"/>
    </row>
    <row r="318" spans="1:9">
      <c r="A318" s="2213"/>
      <c r="B318" s="2213"/>
      <c r="C318" s="2225" t="s">
        <v>861</v>
      </c>
      <c r="D318" s="2242"/>
      <c r="E318" s="2242"/>
      <c r="F318" s="2247" t="s">
        <v>1486</v>
      </c>
      <c r="G318" s="2244">
        <f>SUM(G316:G317)</f>
        <v>8788.51</v>
      </c>
      <c r="I318" s="2230"/>
    </row>
    <row r="319" spans="1:9">
      <c r="A319" s="2253"/>
      <c r="B319" s="2213"/>
      <c r="C319" s="2232" t="s">
        <v>899</v>
      </c>
      <c r="D319" s="2233" t="s">
        <v>1473</v>
      </c>
      <c r="E319" s="2233">
        <v>0.9</v>
      </c>
      <c r="F319" s="2237">
        <f>'Lead- Input sheet '!$O$19</f>
        <v>0</v>
      </c>
      <c r="G319" s="2238">
        <f>ROUND(E319*F319,2)</f>
        <v>0</v>
      </c>
      <c r="I319" s="2230"/>
    </row>
    <row r="320" spans="1:9">
      <c r="A320" s="2253"/>
      <c r="B320" s="2213"/>
      <c r="C320" s="2232" t="s">
        <v>900</v>
      </c>
      <c r="D320" s="2233" t="s">
        <v>1473</v>
      </c>
      <c r="E320" s="2233">
        <v>0.45</v>
      </c>
      <c r="F320" s="2237">
        <f>'Lead- Input sheet '!$O$13</f>
        <v>0</v>
      </c>
      <c r="G320" s="2238">
        <f>ROUND(E320*F320,2)</f>
        <v>0</v>
      </c>
      <c r="I320" s="2230"/>
    </row>
    <row r="321" spans="1:9" s="2254" customFormat="1">
      <c r="A321" s="2224"/>
      <c r="B321" s="2224"/>
      <c r="C321" s="2225" t="s">
        <v>744</v>
      </c>
      <c r="D321" s="2242"/>
      <c r="E321" s="2242"/>
      <c r="F321" s="2249" t="s">
        <v>414</v>
      </c>
      <c r="G321" s="2244">
        <f>SUM(G318:G320)</f>
        <v>8788.51</v>
      </c>
      <c r="H321" s="2257"/>
      <c r="I321" s="2230"/>
    </row>
    <row r="322" spans="1:9">
      <c r="A322" s="2253"/>
      <c r="B322" s="2213" t="s">
        <v>1476</v>
      </c>
      <c r="C322" s="2225" t="s">
        <v>1131</v>
      </c>
      <c r="D322" s="2233"/>
      <c r="E322" s="2233"/>
      <c r="F322" s="2237"/>
      <c r="G322" s="2238"/>
      <c r="I322" s="2230"/>
    </row>
    <row r="323" spans="1:9">
      <c r="A323" s="2253"/>
      <c r="B323" s="2213"/>
      <c r="C323" s="2232" t="s">
        <v>1130</v>
      </c>
      <c r="D323" s="2233"/>
      <c r="E323" s="2233"/>
      <c r="F323" s="2237"/>
      <c r="G323" s="2244">
        <f>G312</f>
        <v>7549.51</v>
      </c>
      <c r="I323" s="2230"/>
    </row>
    <row r="324" spans="1:9">
      <c r="A324" s="2253"/>
      <c r="B324" s="2213"/>
      <c r="C324" s="2232" t="s">
        <v>862</v>
      </c>
      <c r="D324" s="2233"/>
      <c r="E324" s="2233"/>
      <c r="F324" s="2237"/>
      <c r="G324" s="2241">
        <v>398</v>
      </c>
      <c r="I324" s="2230"/>
    </row>
    <row r="325" spans="1:9">
      <c r="A325" s="2253"/>
      <c r="B325" s="2213"/>
      <c r="C325" s="2232" t="s">
        <v>863</v>
      </c>
      <c r="D325" s="2233"/>
      <c r="E325" s="2233"/>
      <c r="F325" s="2237"/>
      <c r="G325" s="2241">
        <v>1413</v>
      </c>
      <c r="I325" s="2230"/>
    </row>
    <row r="326" spans="1:9" s="2246" customFormat="1">
      <c r="A326" s="2253"/>
      <c r="B326" s="2213"/>
      <c r="C326" s="2232" t="s">
        <v>1485</v>
      </c>
      <c r="D326" s="2233"/>
      <c r="E326" s="2233">
        <f>G325</f>
        <v>1413</v>
      </c>
      <c r="F326" s="2237">
        <f>'Lead- Input sheet '!Q31</f>
        <v>0</v>
      </c>
      <c r="G326" s="2238">
        <f>ROUND(E326*F326,2)</f>
        <v>0</v>
      </c>
      <c r="H326" s="2245"/>
      <c r="I326" s="2230"/>
    </row>
    <row r="327" spans="1:9" s="2246" customFormat="1">
      <c r="A327" s="2253"/>
      <c r="B327" s="2213"/>
      <c r="C327" s="2232"/>
      <c r="D327" s="2233"/>
      <c r="E327" s="2233"/>
      <c r="F327" s="2237"/>
      <c r="G327" s="2238">
        <f>SUM(G323:G326)</f>
        <v>9360.51</v>
      </c>
      <c r="H327" s="2256"/>
      <c r="I327" s="2230"/>
    </row>
    <row r="328" spans="1:9" s="2246" customFormat="1">
      <c r="A328" s="2224"/>
      <c r="B328" s="2224"/>
      <c r="C328" s="2225" t="s">
        <v>1600</v>
      </c>
      <c r="D328" s="2242"/>
      <c r="E328" s="2242">
        <f>G327</f>
        <v>9360.51</v>
      </c>
      <c r="F328" s="2243">
        <f>'Lead- Input sheet '!Q32</f>
        <v>0</v>
      </c>
      <c r="G328" s="2244">
        <f>ROUND(F328*E328,2)</f>
        <v>0</v>
      </c>
      <c r="H328" s="2250"/>
      <c r="I328" s="2230"/>
    </row>
    <row r="329" spans="1:9">
      <c r="A329" s="2213"/>
      <c r="B329" s="2213"/>
      <c r="C329" s="2225" t="s">
        <v>861</v>
      </c>
      <c r="D329" s="2242"/>
      <c r="E329" s="2242"/>
      <c r="F329" s="2247" t="s">
        <v>1486</v>
      </c>
      <c r="G329" s="2244">
        <f>SUM(G327:G328)</f>
        <v>9360.51</v>
      </c>
      <c r="I329" s="2230"/>
    </row>
    <row r="330" spans="1:9">
      <c r="A330" s="2253"/>
      <c r="B330" s="2213"/>
      <c r="C330" s="2232" t="s">
        <v>899</v>
      </c>
      <c r="D330" s="2233" t="s">
        <v>1473</v>
      </c>
      <c r="E330" s="2233">
        <v>0.9</v>
      </c>
      <c r="F330" s="2237">
        <f>'Lead- Input sheet '!$O$19</f>
        <v>0</v>
      </c>
      <c r="G330" s="2238">
        <f>ROUND(E330*F330,2)</f>
        <v>0</v>
      </c>
      <c r="I330" s="2230"/>
    </row>
    <row r="331" spans="1:9">
      <c r="A331" s="2253"/>
      <c r="B331" s="2213"/>
      <c r="C331" s="2232" t="s">
        <v>900</v>
      </c>
      <c r="D331" s="2233" t="s">
        <v>1473</v>
      </c>
      <c r="E331" s="2233">
        <v>0.45</v>
      </c>
      <c r="F331" s="2237">
        <f>'Lead- Input sheet '!$O$13</f>
        <v>0</v>
      </c>
      <c r="G331" s="2238">
        <f>ROUND(E331*F331,2)</f>
        <v>0</v>
      </c>
      <c r="I331" s="2230"/>
    </row>
    <row r="332" spans="1:9">
      <c r="A332" s="2224"/>
      <c r="B332" s="2224"/>
      <c r="C332" s="2225" t="s">
        <v>744</v>
      </c>
      <c r="D332" s="2242"/>
      <c r="E332" s="2242"/>
      <c r="F332" s="2249" t="s">
        <v>414</v>
      </c>
      <c r="G332" s="2244">
        <f>SUM(G329:G331)</f>
        <v>9360.51</v>
      </c>
      <c r="I332" s="2230"/>
    </row>
    <row r="333" spans="1:9">
      <c r="A333" s="2253"/>
      <c r="B333" s="2213" t="s">
        <v>1477</v>
      </c>
      <c r="C333" s="2225" t="s">
        <v>154</v>
      </c>
      <c r="D333" s="2233"/>
      <c r="E333" s="2233"/>
      <c r="F333" s="2237"/>
      <c r="G333" s="2238"/>
      <c r="I333" s="2230"/>
    </row>
    <row r="334" spans="1:9">
      <c r="A334" s="2253"/>
      <c r="B334" s="2213"/>
      <c r="C334" s="2232" t="s">
        <v>1130</v>
      </c>
      <c r="D334" s="2233"/>
      <c r="E334" s="2233"/>
      <c r="F334" s="2237"/>
      <c r="G334" s="2244">
        <f>G323</f>
        <v>7549.51</v>
      </c>
      <c r="I334" s="2230"/>
    </row>
    <row r="335" spans="1:9">
      <c r="A335" s="2253"/>
      <c r="B335" s="2213"/>
      <c r="C335" s="2232" t="s">
        <v>862</v>
      </c>
      <c r="D335" s="2233"/>
      <c r="E335" s="2233"/>
      <c r="F335" s="2237"/>
      <c r="G335" s="2241">
        <v>1688</v>
      </c>
      <c r="I335" s="2230"/>
    </row>
    <row r="336" spans="1:9">
      <c r="A336" s="2253"/>
      <c r="B336" s="2213"/>
      <c r="C336" s="2232" t="s">
        <v>863</v>
      </c>
      <c r="D336" s="2233"/>
      <c r="E336" s="2233"/>
      <c r="F336" s="2237"/>
      <c r="G336" s="2241">
        <v>2141</v>
      </c>
      <c r="I336" s="2230"/>
    </row>
    <row r="337" spans="1:9">
      <c r="A337" s="2253"/>
      <c r="B337" s="2213"/>
      <c r="C337" s="2232" t="s">
        <v>1485</v>
      </c>
      <c r="D337" s="2233"/>
      <c r="E337" s="2233">
        <f>G336</f>
        <v>2141</v>
      </c>
      <c r="F337" s="2237">
        <f>'Lead- Input sheet '!Q31</f>
        <v>0</v>
      </c>
      <c r="G337" s="2238">
        <f>ROUND(E337*F337,2)</f>
        <v>0</v>
      </c>
      <c r="H337" s="2250"/>
      <c r="I337" s="2230"/>
    </row>
    <row r="338" spans="1:9" s="2231" customFormat="1">
      <c r="A338" s="2253"/>
      <c r="B338" s="2213"/>
      <c r="C338" s="2232"/>
      <c r="D338" s="2233"/>
      <c r="E338" s="2233"/>
      <c r="F338" s="2237"/>
      <c r="G338" s="2238">
        <f>SUM(G334:G337)</f>
        <v>11378.51</v>
      </c>
      <c r="H338" s="2236"/>
      <c r="I338" s="2230"/>
    </row>
    <row r="339" spans="1:9">
      <c r="A339" s="2224"/>
      <c r="B339" s="2224"/>
      <c r="C339" s="2225" t="s">
        <v>1600</v>
      </c>
      <c r="D339" s="2242"/>
      <c r="E339" s="2242">
        <f>G338</f>
        <v>11378.51</v>
      </c>
      <c r="F339" s="2243">
        <f>'Lead- Input sheet '!Q32</f>
        <v>0</v>
      </c>
      <c r="G339" s="2238">
        <f>ROUND(E339*F339,2)</f>
        <v>0</v>
      </c>
      <c r="H339" s="2209"/>
      <c r="I339" s="2230"/>
    </row>
    <row r="340" spans="1:9">
      <c r="A340" s="2213"/>
      <c r="B340" s="2213"/>
      <c r="C340" s="2225" t="s">
        <v>861</v>
      </c>
      <c r="D340" s="2242"/>
      <c r="E340" s="2242"/>
      <c r="F340" s="2247" t="s">
        <v>1486</v>
      </c>
      <c r="G340" s="2244">
        <f>SUM(G338:G339)</f>
        <v>11378.51</v>
      </c>
      <c r="H340" s="2250"/>
      <c r="I340" s="2230"/>
    </row>
    <row r="341" spans="1:9">
      <c r="A341" s="2253"/>
      <c r="B341" s="2213"/>
      <c r="C341" s="2232" t="s">
        <v>899</v>
      </c>
      <c r="D341" s="2233" t="s">
        <v>1473</v>
      </c>
      <c r="E341" s="2233">
        <v>0.9</v>
      </c>
      <c r="F341" s="2237">
        <f>'Lead- Input sheet '!$O$19</f>
        <v>0</v>
      </c>
      <c r="G341" s="2238">
        <f>ROUND(E341*F341,2)</f>
        <v>0</v>
      </c>
      <c r="H341" s="2250"/>
      <c r="I341" s="2230"/>
    </row>
    <row r="342" spans="1:9" s="2254" customFormat="1">
      <c r="A342" s="2253"/>
      <c r="B342" s="2213"/>
      <c r="C342" s="2232" t="s">
        <v>900</v>
      </c>
      <c r="D342" s="2233" t="s">
        <v>1473</v>
      </c>
      <c r="E342" s="2233">
        <v>0.45</v>
      </c>
      <c r="F342" s="2237">
        <f>'Lead- Input sheet '!$O$13</f>
        <v>0</v>
      </c>
      <c r="G342" s="2238">
        <f>ROUND(E342*F342,2)</f>
        <v>0</v>
      </c>
      <c r="H342" s="2209"/>
      <c r="I342" s="2230"/>
    </row>
    <row r="343" spans="1:9">
      <c r="A343" s="2224"/>
      <c r="B343" s="2224"/>
      <c r="C343" s="2225" t="s">
        <v>744</v>
      </c>
      <c r="D343" s="2242"/>
      <c r="E343" s="2242"/>
      <c r="F343" s="2249" t="s">
        <v>414</v>
      </c>
      <c r="G343" s="2244">
        <f>SUM(G340:G342)</f>
        <v>11378.51</v>
      </c>
      <c r="H343" s="2209"/>
      <c r="I343" s="2230"/>
    </row>
    <row r="344" spans="1:9" ht="25.2">
      <c r="A344" s="2253"/>
      <c r="B344" s="2213" t="s">
        <v>859</v>
      </c>
      <c r="C344" s="2225" t="s">
        <v>1132</v>
      </c>
      <c r="D344" s="2233"/>
      <c r="E344" s="2233"/>
      <c r="F344" s="2237"/>
      <c r="G344" s="2238"/>
      <c r="I344" s="2230"/>
    </row>
    <row r="345" spans="1:9">
      <c r="A345" s="2253"/>
      <c r="B345" s="2213"/>
      <c r="C345" s="2225" t="s">
        <v>1097</v>
      </c>
      <c r="D345" s="2233"/>
      <c r="E345" s="2233"/>
      <c r="F345" s="2237"/>
      <c r="G345" s="2238"/>
      <c r="I345" s="2230"/>
    </row>
    <row r="346" spans="1:9">
      <c r="A346" s="2253"/>
      <c r="B346" s="2213"/>
      <c r="C346" s="2232" t="s">
        <v>1041</v>
      </c>
      <c r="D346" s="2233"/>
      <c r="E346" s="2233"/>
      <c r="F346" s="2237"/>
      <c r="G346" s="2238"/>
      <c r="I346" s="2230"/>
    </row>
    <row r="347" spans="1:9">
      <c r="A347" s="2253"/>
      <c r="B347" s="2213"/>
      <c r="C347" s="2232" t="s">
        <v>759</v>
      </c>
      <c r="D347" s="2233" t="s">
        <v>1473</v>
      </c>
      <c r="E347" s="2233">
        <v>0.9</v>
      </c>
      <c r="F347" s="2237">
        <f>'Lead- Input sheet '!R18</f>
        <v>1493.2033622320996</v>
      </c>
      <c r="G347" s="2238">
        <f>ROUND(E347*F347,2)</f>
        <v>1343.88</v>
      </c>
      <c r="I347" s="2230"/>
    </row>
    <row r="348" spans="1:9">
      <c r="A348" s="2253"/>
      <c r="B348" s="2213"/>
      <c r="C348" s="2232" t="s">
        <v>1579</v>
      </c>
      <c r="D348" s="2233" t="s">
        <v>1473</v>
      </c>
      <c r="E348" s="2233">
        <v>0.22500000000000001</v>
      </c>
      <c r="F348" s="2237">
        <f>'Lead- Input sheet '!R13</f>
        <v>1010.6380759582802</v>
      </c>
      <c r="G348" s="2238">
        <f>ROUND(E348*F348,2)</f>
        <v>227.39</v>
      </c>
      <c r="I348" s="2230"/>
    </row>
    <row r="349" spans="1:9">
      <c r="A349" s="2253"/>
      <c r="B349" s="2213"/>
      <c r="C349" s="2232" t="s">
        <v>3141</v>
      </c>
      <c r="D349" s="2233" t="s">
        <v>1473</v>
      </c>
      <c r="E349" s="2233">
        <v>0.22500000000000001</v>
      </c>
      <c r="F349" s="2237">
        <f>'Lead- Input sheet '!R14</f>
        <v>1218.5339963913216</v>
      </c>
      <c r="G349" s="2238">
        <f>ROUND(E349*F349,2)</f>
        <v>274.17</v>
      </c>
      <c r="I349" s="2230"/>
    </row>
    <row r="350" spans="1:9">
      <c r="A350" s="2253"/>
      <c r="B350" s="2213"/>
      <c r="C350" s="2232" t="s">
        <v>1209</v>
      </c>
      <c r="D350" s="2233" t="s">
        <v>1038</v>
      </c>
      <c r="E350" s="2233">
        <v>330</v>
      </c>
      <c r="F350" s="2237">
        <f>'Lead- Input sheet '!R8</f>
        <v>6656</v>
      </c>
      <c r="G350" s="2238">
        <f>ROUND(E350*F350/1000,2)</f>
        <v>2196.48</v>
      </c>
      <c r="I350" s="2230"/>
    </row>
    <row r="351" spans="1:9">
      <c r="A351" s="2253"/>
      <c r="B351" s="2213"/>
      <c r="C351" s="2232" t="s">
        <v>340</v>
      </c>
      <c r="D351" s="2233"/>
      <c r="E351" s="2233"/>
      <c r="F351" s="2237"/>
      <c r="G351" s="2238"/>
      <c r="I351" s="2230"/>
    </row>
    <row r="352" spans="1:9">
      <c r="A352" s="2253"/>
      <c r="B352" s="2213"/>
      <c r="C352" s="2232" t="s">
        <v>932</v>
      </c>
      <c r="D352" s="2233" t="s">
        <v>1047</v>
      </c>
      <c r="E352" s="2233">
        <v>0.16700000000000001</v>
      </c>
      <c r="F352" s="2240">
        <f>'Lead- Input sheet '!R31</f>
        <v>680</v>
      </c>
      <c r="G352" s="2238">
        <f>ROUND(E352*F352,2)</f>
        <v>113.56</v>
      </c>
      <c r="I352" s="2230"/>
    </row>
    <row r="353" spans="1:9">
      <c r="A353" s="2253"/>
      <c r="B353" s="2213"/>
      <c r="C353" s="2232" t="s">
        <v>933</v>
      </c>
      <c r="D353" s="2233" t="s">
        <v>1047</v>
      </c>
      <c r="E353" s="2233">
        <v>0.16700000000000001</v>
      </c>
      <c r="F353" s="2240">
        <f>'Lead- Input sheet '!R30</f>
        <v>650</v>
      </c>
      <c r="G353" s="2238">
        <f>ROUND(E353*F353,2)</f>
        <v>108.55</v>
      </c>
      <c r="I353" s="2230"/>
    </row>
    <row r="354" spans="1:9" s="2246" customFormat="1">
      <c r="A354" s="2253"/>
      <c r="B354" s="2213"/>
      <c r="C354" s="2232" t="s">
        <v>934</v>
      </c>
      <c r="D354" s="2233" t="s">
        <v>1047</v>
      </c>
      <c r="E354" s="2233">
        <v>4.7</v>
      </c>
      <c r="F354" s="2240">
        <f>'Lead- Input sheet '!R29</f>
        <v>605</v>
      </c>
      <c r="G354" s="2238">
        <f>ROUND(E354*F354,2)</f>
        <v>2843.5</v>
      </c>
      <c r="H354" s="2245"/>
      <c r="I354" s="2230"/>
    </row>
    <row r="355" spans="1:9" s="2246" customFormat="1">
      <c r="A355" s="2227"/>
      <c r="B355" s="2224"/>
      <c r="C355" s="2232" t="s">
        <v>2617</v>
      </c>
      <c r="D355" s="2233"/>
      <c r="E355" s="2233">
        <f>'Lead- Input sheet '!Q31</f>
        <v>0</v>
      </c>
      <c r="F355" s="2237">
        <f>SUM(G352:G354)</f>
        <v>3065.61</v>
      </c>
      <c r="G355" s="2238">
        <f>ROUND(F355*E355,2)</f>
        <v>0</v>
      </c>
      <c r="H355" s="2256"/>
      <c r="I355" s="2230"/>
    </row>
    <row r="356" spans="1:9">
      <c r="A356" s="2253"/>
      <c r="B356" s="2213"/>
      <c r="C356" s="2232" t="s">
        <v>1044</v>
      </c>
      <c r="D356" s="2233"/>
      <c r="E356" s="2233"/>
      <c r="F356" s="2237"/>
      <c r="G356" s="2238"/>
      <c r="I356" s="2230"/>
    </row>
    <row r="357" spans="1:9">
      <c r="A357" s="2253"/>
      <c r="B357" s="2213"/>
      <c r="C357" s="2232" t="s">
        <v>344</v>
      </c>
      <c r="D357" s="2233" t="s">
        <v>345</v>
      </c>
      <c r="E357" s="2233">
        <v>1</v>
      </c>
      <c r="F357" s="2240">
        <f>F307</f>
        <v>721.5</v>
      </c>
      <c r="G357" s="2238">
        <f>ROUND(E357*F357,2)</f>
        <v>721.5</v>
      </c>
      <c r="I357" s="2230"/>
    </row>
    <row r="358" spans="1:9" s="2246" customFormat="1">
      <c r="A358" s="2253"/>
      <c r="B358" s="2213"/>
      <c r="C358" s="2232" t="s">
        <v>1232</v>
      </c>
      <c r="D358" s="2233" t="s">
        <v>345</v>
      </c>
      <c r="E358" s="2233">
        <v>1</v>
      </c>
      <c r="F358" s="2240">
        <f>F308</f>
        <v>292.8</v>
      </c>
      <c r="G358" s="2238">
        <f>ROUND(E358*F358,2)</f>
        <v>292.8</v>
      </c>
      <c r="H358" s="2256"/>
      <c r="I358" s="2230"/>
    </row>
    <row r="359" spans="1:9" s="2246" customFormat="1">
      <c r="A359" s="2253"/>
      <c r="B359" s="2213"/>
      <c r="C359" s="2232" t="s">
        <v>342</v>
      </c>
      <c r="D359" s="2233" t="s">
        <v>343</v>
      </c>
      <c r="E359" s="2233">
        <v>1.2</v>
      </c>
      <c r="F359" s="2240">
        <f>'Lead- Input sheet '!P34</f>
        <v>81</v>
      </c>
      <c r="G359" s="2238">
        <f>E359*F359</f>
        <v>97.2</v>
      </c>
      <c r="H359" s="2250"/>
      <c r="I359" s="2230"/>
    </row>
    <row r="360" spans="1:9">
      <c r="A360" s="2253"/>
      <c r="B360" s="2213"/>
      <c r="C360" s="2232" t="s">
        <v>1130</v>
      </c>
      <c r="D360" s="2233"/>
      <c r="E360" s="2233"/>
      <c r="F360" s="2247" t="s">
        <v>1486</v>
      </c>
      <c r="G360" s="2244">
        <f>SUM(G347:G359)</f>
        <v>8219.0300000000007</v>
      </c>
      <c r="I360" s="2230"/>
    </row>
    <row r="361" spans="1:9">
      <c r="A361" s="2253"/>
      <c r="B361" s="2213" t="s">
        <v>1475</v>
      </c>
      <c r="C361" s="2225" t="s">
        <v>1133</v>
      </c>
      <c r="D361" s="2233"/>
      <c r="E361" s="2233"/>
      <c r="F361" s="2237"/>
      <c r="G361" s="2238"/>
      <c r="I361" s="2230"/>
    </row>
    <row r="362" spans="1:9">
      <c r="A362" s="2253"/>
      <c r="B362" s="2213"/>
      <c r="C362" s="2232" t="s">
        <v>1130</v>
      </c>
      <c r="D362" s="2233"/>
      <c r="E362" s="2233"/>
      <c r="F362" s="2237"/>
      <c r="G362" s="2238">
        <f>G360</f>
        <v>8219.0300000000007</v>
      </c>
      <c r="I362" s="2230"/>
    </row>
    <row r="363" spans="1:9">
      <c r="A363" s="2253"/>
      <c r="B363" s="2213"/>
      <c r="C363" s="2232" t="s">
        <v>862</v>
      </c>
      <c r="D363" s="2233"/>
      <c r="E363" s="2233"/>
      <c r="F363" s="2237"/>
      <c r="G363" s="2241">
        <v>1413</v>
      </c>
      <c r="I363" s="2230"/>
    </row>
    <row r="364" spans="1:9">
      <c r="A364" s="2253"/>
      <c r="B364" s="2213"/>
      <c r="C364" s="2232" t="s">
        <v>863</v>
      </c>
      <c r="D364" s="2233"/>
      <c r="E364" s="2233"/>
      <c r="F364" s="2237"/>
      <c r="G364" s="2241">
        <v>2273</v>
      </c>
      <c r="I364" s="2230"/>
    </row>
    <row r="365" spans="1:9" s="2254" customFormat="1">
      <c r="A365" s="2253"/>
      <c r="B365" s="2213"/>
      <c r="C365" s="2232" t="s">
        <v>1485</v>
      </c>
      <c r="D365" s="2233"/>
      <c r="E365" s="2233">
        <f>G364</f>
        <v>2273</v>
      </c>
      <c r="F365" s="2237">
        <f>'Lead- Input sheet '!Q31</f>
        <v>0</v>
      </c>
      <c r="G365" s="2238">
        <f>ROUND(E365*F365,2)</f>
        <v>0</v>
      </c>
      <c r="H365" s="2257"/>
      <c r="I365" s="2230"/>
    </row>
    <row r="366" spans="1:9">
      <c r="A366" s="2213"/>
      <c r="B366" s="2213"/>
      <c r="C366" s="2225" t="s">
        <v>861</v>
      </c>
      <c r="D366" s="2242"/>
      <c r="E366" s="2242"/>
      <c r="F366" s="2247" t="s">
        <v>1486</v>
      </c>
      <c r="G366" s="2244">
        <f>SUM(G362:G365)</f>
        <v>11905.03</v>
      </c>
      <c r="I366" s="2230"/>
    </row>
    <row r="367" spans="1:9">
      <c r="A367" s="2253"/>
      <c r="B367" s="2213"/>
      <c r="C367" s="2232"/>
      <c r="D367" s="2233"/>
      <c r="E367" s="2242" t="s">
        <v>1098</v>
      </c>
      <c r="F367" s="2249" t="s">
        <v>1099</v>
      </c>
      <c r="G367" s="2244" t="s">
        <v>1100</v>
      </c>
      <c r="I367" s="2230"/>
    </row>
    <row r="368" spans="1:9">
      <c r="A368" s="2253"/>
      <c r="B368" s="2213"/>
      <c r="C368" s="2232" t="s">
        <v>1101</v>
      </c>
      <c r="D368" s="2233"/>
      <c r="E368" s="2258">
        <f>G366</f>
        <v>11905.03</v>
      </c>
      <c r="F368" s="2259">
        <f>G366</f>
        <v>11905.03</v>
      </c>
      <c r="G368" s="2238">
        <f>G366</f>
        <v>11905.03</v>
      </c>
      <c r="I368" s="2230"/>
    </row>
    <row r="369" spans="1:9">
      <c r="A369" s="2253"/>
      <c r="B369" s="2213"/>
      <c r="C369" s="2232" t="s">
        <v>1103</v>
      </c>
      <c r="D369" s="2260" t="s">
        <v>1102</v>
      </c>
      <c r="E369" s="2258">
        <v>0</v>
      </c>
      <c r="F369" s="2259">
        <f>(SUM(G364:G365)+SUM(G352:G355))*D369</f>
        <v>533.8610000000001</v>
      </c>
      <c r="G369" s="2238">
        <f>F369*2</f>
        <v>1067.7220000000002</v>
      </c>
      <c r="I369" s="2230"/>
    </row>
    <row r="370" spans="1:9" s="2246" customFormat="1" ht="25.2">
      <c r="A370" s="2253"/>
      <c r="B370" s="2213"/>
      <c r="C370" s="2232" t="s">
        <v>1938</v>
      </c>
      <c r="D370" s="2260" t="s">
        <v>1102</v>
      </c>
      <c r="E370" s="2258"/>
      <c r="F370" s="2259"/>
      <c r="G370" s="2238">
        <f>ROUND(D370*G364,2)</f>
        <v>227.3</v>
      </c>
      <c r="H370" s="2245"/>
      <c r="I370" s="2230"/>
    </row>
    <row r="371" spans="1:9" s="2246" customFormat="1">
      <c r="A371" s="2224"/>
      <c r="B371" s="2224"/>
      <c r="C371" s="2225" t="s">
        <v>1600</v>
      </c>
      <c r="D371" s="2261">
        <f>'Lead- Input sheet '!Q32</f>
        <v>0</v>
      </c>
      <c r="E371" s="2258">
        <f>ROUND(SUM(E368:E370)*D371,2)</f>
        <v>0</v>
      </c>
      <c r="F371" s="2259">
        <f>ROUND(SUM(F368:F370)*D371,2)</f>
        <v>0</v>
      </c>
      <c r="G371" s="2238">
        <f>ROUND(SUM(G368:G370)*D371,2)</f>
        <v>0</v>
      </c>
      <c r="H371" s="2256"/>
      <c r="I371" s="2230"/>
    </row>
    <row r="372" spans="1:9">
      <c r="A372" s="2224"/>
      <c r="B372" s="2224"/>
      <c r="C372" s="2225" t="s">
        <v>861</v>
      </c>
      <c r="D372" s="2262"/>
      <c r="E372" s="2258">
        <f>SUM(E368:E371)</f>
        <v>11905.03</v>
      </c>
      <c r="F372" s="2259">
        <f>SUM(F368:F371)</f>
        <v>12438.891000000001</v>
      </c>
      <c r="G372" s="2238">
        <f>SUM(G368:G371)</f>
        <v>13200.052</v>
      </c>
      <c r="I372" s="2230"/>
    </row>
    <row r="373" spans="1:9">
      <c r="A373" s="2253"/>
      <c r="B373" s="2213"/>
      <c r="C373" s="2232" t="s">
        <v>899</v>
      </c>
      <c r="D373" s="2233">
        <v>0.9</v>
      </c>
      <c r="E373" s="2233">
        <f>'Lead- Input sheet '!$O$19*$D$373</f>
        <v>0</v>
      </c>
      <c r="F373" s="2233">
        <f>'Lead- Input sheet '!$O$19*$D$373</f>
        <v>0</v>
      </c>
      <c r="G373" s="2233">
        <f>'Lead- Input sheet '!$O$19*$D$373</f>
        <v>0</v>
      </c>
      <c r="I373" s="2230"/>
    </row>
    <row r="374" spans="1:9" s="2246" customFormat="1">
      <c r="A374" s="2253"/>
      <c r="B374" s="2213"/>
      <c r="C374" s="2232" t="s">
        <v>900</v>
      </c>
      <c r="D374" s="2233">
        <v>0.45</v>
      </c>
      <c r="E374" s="2233">
        <f>'Lead- Input sheet '!$O$13*$D$374</f>
        <v>0</v>
      </c>
      <c r="F374" s="2233">
        <f>'Lead- Input sheet '!$O$13*$D$374</f>
        <v>0</v>
      </c>
      <c r="G374" s="2233">
        <f>'Lead- Input sheet '!$O$13*$D$374</f>
        <v>0</v>
      </c>
      <c r="H374" s="2256"/>
      <c r="I374" s="2230"/>
    </row>
    <row r="375" spans="1:9" s="2246" customFormat="1">
      <c r="A375" s="2224"/>
      <c r="B375" s="2224"/>
      <c r="C375" s="2225" t="s">
        <v>744</v>
      </c>
      <c r="D375" s="2263" t="s">
        <v>415</v>
      </c>
      <c r="E375" s="2244">
        <f>SUM(E372:E374)</f>
        <v>11905.03</v>
      </c>
      <c r="F375" s="2247">
        <f>SUM(F372:F374)</f>
        <v>12438.891000000001</v>
      </c>
      <c r="G375" s="2244">
        <f>SUM(G372:G374)</f>
        <v>13200.052</v>
      </c>
      <c r="H375" s="2250"/>
      <c r="I375" s="2230"/>
    </row>
    <row r="376" spans="1:9" s="2254" customFormat="1">
      <c r="A376" s="2224"/>
      <c r="B376" s="2224"/>
      <c r="C376" s="2225"/>
      <c r="D376" s="2262"/>
      <c r="E376" s="2258"/>
      <c r="F376" s="2259"/>
      <c r="G376" s="2238"/>
      <c r="H376" s="2209"/>
      <c r="I376" s="2230"/>
    </row>
    <row r="377" spans="1:9" s="2254" customFormat="1">
      <c r="A377" s="2253"/>
      <c r="B377" s="2213" t="s">
        <v>1476</v>
      </c>
      <c r="C377" s="2225" t="s">
        <v>155</v>
      </c>
      <c r="D377" s="2233"/>
      <c r="E377" s="2233"/>
      <c r="F377" s="2237"/>
      <c r="G377" s="2238"/>
      <c r="H377" s="2209"/>
      <c r="I377" s="2230"/>
    </row>
    <row r="378" spans="1:9" s="2254" customFormat="1">
      <c r="A378" s="2253"/>
      <c r="B378" s="2213"/>
      <c r="C378" s="2232" t="s">
        <v>1130</v>
      </c>
      <c r="D378" s="2233"/>
      <c r="E378" s="2233"/>
      <c r="F378" s="2237"/>
      <c r="G378" s="2238">
        <f>G360</f>
        <v>8219.0300000000007</v>
      </c>
      <c r="H378" s="2209"/>
      <c r="I378" s="2230"/>
    </row>
    <row r="379" spans="1:9" s="2254" customFormat="1">
      <c r="A379" s="2253"/>
      <c r="B379" s="2213"/>
      <c r="C379" s="2232" t="s">
        <v>862</v>
      </c>
      <c r="D379" s="2233"/>
      <c r="E379" s="2233"/>
      <c r="F379" s="2237"/>
      <c r="G379" s="2241">
        <v>431</v>
      </c>
      <c r="H379" s="2209"/>
      <c r="I379" s="2230"/>
    </row>
    <row r="380" spans="1:9" s="2254" customFormat="1">
      <c r="A380" s="2253"/>
      <c r="B380" s="2213"/>
      <c r="C380" s="2232" t="s">
        <v>863</v>
      </c>
      <c r="D380" s="2233"/>
      <c r="E380" s="2233"/>
      <c r="F380" s="2237"/>
      <c r="G380" s="2241">
        <v>3192</v>
      </c>
      <c r="H380" s="2209"/>
      <c r="I380" s="2230"/>
    </row>
    <row r="381" spans="1:9" s="2254" customFormat="1">
      <c r="A381" s="2253"/>
      <c r="B381" s="2213"/>
      <c r="C381" s="2232" t="s">
        <v>1485</v>
      </c>
      <c r="D381" s="2233"/>
      <c r="E381" s="2233">
        <f>G380</f>
        <v>3192</v>
      </c>
      <c r="F381" s="2237">
        <f>'Lead- Input sheet '!Q31</f>
        <v>0</v>
      </c>
      <c r="G381" s="2238">
        <f>ROUND(E381*F381,2)</f>
        <v>0</v>
      </c>
      <c r="H381" s="2257"/>
      <c r="I381" s="2230"/>
    </row>
    <row r="382" spans="1:9">
      <c r="A382" s="2213"/>
      <c r="B382" s="2213"/>
      <c r="C382" s="2225" t="s">
        <v>861</v>
      </c>
      <c r="D382" s="2242"/>
      <c r="E382" s="2242"/>
      <c r="F382" s="2247" t="s">
        <v>1486</v>
      </c>
      <c r="G382" s="2244">
        <f>SUM(G378:G381)</f>
        <v>11842.03</v>
      </c>
      <c r="I382" s="2230"/>
    </row>
    <row r="383" spans="1:9">
      <c r="A383" s="2253"/>
      <c r="B383" s="2213"/>
      <c r="C383" s="2232"/>
      <c r="D383" s="2233"/>
      <c r="E383" s="2242" t="s">
        <v>1098</v>
      </c>
      <c r="F383" s="2249" t="s">
        <v>1099</v>
      </c>
      <c r="G383" s="2244" t="s">
        <v>1100</v>
      </c>
      <c r="I383" s="2230"/>
    </row>
    <row r="384" spans="1:9">
      <c r="A384" s="2253"/>
      <c r="B384" s="2213"/>
      <c r="C384" s="2232" t="s">
        <v>1101</v>
      </c>
      <c r="D384" s="2233"/>
      <c r="E384" s="2258">
        <f>G382</f>
        <v>11842.03</v>
      </c>
      <c r="F384" s="2259">
        <f>G382</f>
        <v>11842.03</v>
      </c>
      <c r="G384" s="2238">
        <f>G382</f>
        <v>11842.03</v>
      </c>
      <c r="I384" s="2230"/>
    </row>
    <row r="385" spans="1:9">
      <c r="A385" s="2253"/>
      <c r="B385" s="2213"/>
      <c r="C385" s="2232" t="s">
        <v>1103</v>
      </c>
      <c r="D385" s="2260" t="s">
        <v>1102</v>
      </c>
      <c r="E385" s="2258">
        <v>0</v>
      </c>
      <c r="F385" s="2259">
        <f>(SUM(G352:G355)+SUM(G380:G381))*D385</f>
        <v>625.76100000000008</v>
      </c>
      <c r="G385" s="2238">
        <f>F385*2</f>
        <v>1251.5220000000002</v>
      </c>
      <c r="I385" s="2230"/>
    </row>
    <row r="386" spans="1:9" s="2246" customFormat="1" ht="25.2">
      <c r="A386" s="2253"/>
      <c r="B386" s="2213"/>
      <c r="C386" s="2232" t="s">
        <v>1939</v>
      </c>
      <c r="D386" s="2260" t="s">
        <v>1102</v>
      </c>
      <c r="E386" s="2258"/>
      <c r="F386" s="2259"/>
      <c r="G386" s="2238">
        <f>ROUND(D386*G380,2)</f>
        <v>319.2</v>
      </c>
      <c r="H386" s="2245"/>
      <c r="I386" s="2230"/>
    </row>
    <row r="387" spans="1:9" s="2246" customFormat="1">
      <c r="A387" s="2224"/>
      <c r="B387" s="2224"/>
      <c r="C387" s="2225" t="s">
        <v>1600</v>
      </c>
      <c r="D387" s="2264">
        <f>'Lead- Input sheet '!Q32</f>
        <v>0</v>
      </c>
      <c r="E387" s="2258">
        <f>ROUND(SUM(E384:E386)*D387,2)</f>
        <v>0</v>
      </c>
      <c r="F387" s="2259">
        <f>ROUND(SUM(F384:F386)*D387,2)</f>
        <v>0</v>
      </c>
      <c r="G387" s="2238">
        <f>ROUND(SUM(G384:G386)*D387,2)</f>
        <v>0</v>
      </c>
      <c r="H387" s="2256"/>
      <c r="I387" s="2230"/>
    </row>
    <row r="388" spans="1:9">
      <c r="A388" s="2224"/>
      <c r="B388" s="2224"/>
      <c r="C388" s="2225" t="s">
        <v>861</v>
      </c>
      <c r="D388" s="2263" t="s">
        <v>415</v>
      </c>
      <c r="E388" s="2258">
        <f>SUM(E384:E387)</f>
        <v>11842.03</v>
      </c>
      <c r="F388" s="2259">
        <f>SUM(F384:F387)</f>
        <v>12467.791000000001</v>
      </c>
      <c r="G388" s="2238">
        <f>SUM(G384:G387)</f>
        <v>13412.752000000002</v>
      </c>
      <c r="I388" s="2230"/>
    </row>
    <row r="389" spans="1:9">
      <c r="A389" s="2253"/>
      <c r="B389" s="2213"/>
      <c r="C389" s="2232" t="s">
        <v>899</v>
      </c>
      <c r="D389" s="2233">
        <v>0.9</v>
      </c>
      <c r="E389" s="2233">
        <f>'Lead- Input sheet '!$O$19*$D$389</f>
        <v>0</v>
      </c>
      <c r="F389" s="2233">
        <f>'Lead- Input sheet '!$O$19*$D$389</f>
        <v>0</v>
      </c>
      <c r="G389" s="2233">
        <f>'Lead- Input sheet '!$O$19*$D$389</f>
        <v>0</v>
      </c>
      <c r="H389" s="2250"/>
      <c r="I389" s="2230"/>
    </row>
    <row r="390" spans="1:9" s="2254" customFormat="1">
      <c r="A390" s="2253"/>
      <c r="B390" s="2213"/>
      <c r="C390" s="2232" t="s">
        <v>900</v>
      </c>
      <c r="D390" s="2233">
        <v>0.45</v>
      </c>
      <c r="E390" s="2233">
        <f>'Lead- Input sheet '!$O$13*$D$390</f>
        <v>0</v>
      </c>
      <c r="F390" s="2233">
        <f>'Lead- Input sheet '!$O$13*$D$390</f>
        <v>0</v>
      </c>
      <c r="G390" s="2233">
        <f>'Lead- Input sheet '!$O$13*$D$390</f>
        <v>0</v>
      </c>
      <c r="H390" s="2209"/>
      <c r="I390" s="2230"/>
    </row>
    <row r="391" spans="1:9">
      <c r="A391" s="2224"/>
      <c r="B391" s="2224"/>
      <c r="C391" s="2225" t="s">
        <v>744</v>
      </c>
      <c r="D391" s="2263" t="s">
        <v>415</v>
      </c>
      <c r="E391" s="2244">
        <f>SUM(E388:E390)</f>
        <v>11842.03</v>
      </c>
      <c r="F391" s="2247">
        <f>SUM(F388:F390)</f>
        <v>12467.791000000001</v>
      </c>
      <c r="G391" s="2244">
        <f>SUM(G388:G390)</f>
        <v>13412.752000000002</v>
      </c>
      <c r="H391" s="2209"/>
      <c r="I391" s="2230"/>
    </row>
    <row r="392" spans="1:9">
      <c r="A392" s="2224"/>
      <c r="B392" s="2224"/>
      <c r="C392" s="2225"/>
      <c r="D392" s="2262"/>
      <c r="E392" s="2258"/>
      <c r="F392" s="2259"/>
      <c r="G392" s="2238"/>
      <c r="I392" s="2230"/>
    </row>
    <row r="393" spans="1:9" s="2246" customFormat="1">
      <c r="A393" s="2253"/>
      <c r="B393" s="2213" t="s">
        <v>1134</v>
      </c>
      <c r="C393" s="2225" t="s">
        <v>333</v>
      </c>
      <c r="D393" s="2233"/>
      <c r="E393" s="2233"/>
      <c r="F393" s="2237"/>
      <c r="G393" s="2238"/>
      <c r="H393" s="2256"/>
      <c r="I393" s="2230"/>
    </row>
    <row r="394" spans="1:9" s="2246" customFormat="1">
      <c r="A394" s="2253"/>
      <c r="B394" s="2213"/>
      <c r="C394" s="2232" t="s">
        <v>1041</v>
      </c>
      <c r="D394" s="2233"/>
      <c r="E394" s="2233"/>
      <c r="F394" s="2237"/>
      <c r="G394" s="2238"/>
      <c r="H394" s="2250"/>
      <c r="I394" s="2230"/>
    </row>
    <row r="395" spans="1:9" s="2254" customFormat="1">
      <c r="A395" s="2253"/>
      <c r="B395" s="2213"/>
      <c r="C395" s="2232" t="s">
        <v>759</v>
      </c>
      <c r="D395" s="2233" t="s">
        <v>1473</v>
      </c>
      <c r="E395" s="2233">
        <v>0.9</v>
      </c>
      <c r="F395" s="2237">
        <f>'Lead- Input sheet '!R18</f>
        <v>1493.2033622320996</v>
      </c>
      <c r="G395" s="2238">
        <f>ROUND(E395*F395,2)</f>
        <v>1343.88</v>
      </c>
      <c r="H395" s="2209"/>
      <c r="I395" s="2230"/>
    </row>
    <row r="396" spans="1:9" s="2254" customFormat="1">
      <c r="A396" s="2253"/>
      <c r="B396" s="2213"/>
      <c r="C396" s="2232" t="s">
        <v>1576</v>
      </c>
      <c r="D396" s="2233" t="s">
        <v>1473</v>
      </c>
      <c r="E396" s="2233">
        <v>0.22500000000000001</v>
      </c>
      <c r="F396" s="2237">
        <f>'Lead- Input sheet '!R13</f>
        <v>1010.6380759582802</v>
      </c>
      <c r="G396" s="2238">
        <f>ROUND(E396*F396,2)</f>
        <v>227.39</v>
      </c>
      <c r="H396" s="2209"/>
      <c r="I396" s="2230"/>
    </row>
    <row r="397" spans="1:9" s="2254" customFormat="1">
      <c r="A397" s="2253"/>
      <c r="B397" s="2213"/>
      <c r="C397" s="2232" t="s">
        <v>3141</v>
      </c>
      <c r="D397" s="2233" t="s">
        <v>1473</v>
      </c>
      <c r="E397" s="2233">
        <v>0.22500000000000001</v>
      </c>
      <c r="F397" s="2237">
        <f>'Lead- Input sheet '!R14</f>
        <v>1218.5339963913216</v>
      </c>
      <c r="G397" s="2238">
        <f>ROUND(E397*F397,2)</f>
        <v>274.17</v>
      </c>
      <c r="H397" s="2209"/>
      <c r="I397" s="2230"/>
    </row>
    <row r="398" spans="1:9" s="2254" customFormat="1">
      <c r="A398" s="2253"/>
      <c r="B398" s="2213"/>
      <c r="C398" s="2232" t="s">
        <v>1209</v>
      </c>
      <c r="D398" s="2233" t="s">
        <v>1038</v>
      </c>
      <c r="E398" s="2233">
        <v>330</v>
      </c>
      <c r="F398" s="2237">
        <f>'Lead- Input sheet '!R8</f>
        <v>6656</v>
      </c>
      <c r="G398" s="2238">
        <f>ROUND(E398*F398/1000,2)</f>
        <v>2196.48</v>
      </c>
      <c r="H398" s="2209"/>
      <c r="I398" s="2230"/>
    </row>
    <row r="399" spans="1:9" s="2254" customFormat="1">
      <c r="A399" s="2253"/>
      <c r="B399" s="2213"/>
      <c r="C399" s="2232" t="s">
        <v>340</v>
      </c>
      <c r="D399" s="2233"/>
      <c r="E399" s="2233"/>
      <c r="F399" s="2237"/>
      <c r="G399" s="2238"/>
      <c r="H399" s="2209"/>
      <c r="I399" s="2230"/>
    </row>
    <row r="400" spans="1:9" s="2254" customFormat="1">
      <c r="A400" s="2253"/>
      <c r="B400" s="2213"/>
      <c r="C400" s="2232" t="s">
        <v>932</v>
      </c>
      <c r="D400" s="2233" t="s">
        <v>1047</v>
      </c>
      <c r="E400" s="2233">
        <v>6.7000000000000004E-2</v>
      </c>
      <c r="F400" s="2240">
        <f>'Lead- Input sheet '!R31</f>
        <v>680</v>
      </c>
      <c r="G400" s="2238">
        <f>ROUND(E400*F400,2)</f>
        <v>45.56</v>
      </c>
      <c r="H400" s="2209"/>
      <c r="I400" s="2230"/>
    </row>
    <row r="401" spans="1:11" s="2254" customFormat="1">
      <c r="A401" s="2253"/>
      <c r="B401" s="2213"/>
      <c r="C401" s="2232" t="s">
        <v>933</v>
      </c>
      <c r="D401" s="2233" t="s">
        <v>1047</v>
      </c>
      <c r="E401" s="2233">
        <v>0.13300000000000001</v>
      </c>
      <c r="F401" s="2240">
        <f>'Lead- Input sheet '!R30</f>
        <v>650</v>
      </c>
      <c r="G401" s="2238">
        <f>ROUND(E401*F401,2)</f>
        <v>86.45</v>
      </c>
      <c r="H401" s="2257"/>
      <c r="I401" s="2230"/>
    </row>
    <row r="402" spans="1:11">
      <c r="A402" s="2253"/>
      <c r="B402" s="2213"/>
      <c r="C402" s="2232" t="s">
        <v>934</v>
      </c>
      <c r="D402" s="2233" t="s">
        <v>1047</v>
      </c>
      <c r="E402" s="2233">
        <v>2.5</v>
      </c>
      <c r="F402" s="2240">
        <f>'Lead- Input sheet '!R29</f>
        <v>605</v>
      </c>
      <c r="G402" s="2238">
        <f>ROUND(E402*F402,2)</f>
        <v>1512.5</v>
      </c>
      <c r="I402" s="2230"/>
    </row>
    <row r="403" spans="1:11">
      <c r="A403" s="2227"/>
      <c r="B403" s="2224"/>
      <c r="C403" s="2232" t="s">
        <v>2617</v>
      </c>
      <c r="D403" s="2233"/>
      <c r="E403" s="2233">
        <f>'Lead- Input sheet '!Q31</f>
        <v>0</v>
      </c>
      <c r="F403" s="2237">
        <f>SUM(G400:G402)</f>
        <v>1644.51</v>
      </c>
      <c r="G403" s="2238">
        <f>ROUND(F403*E403,2)</f>
        <v>0</v>
      </c>
      <c r="I403" s="2230"/>
    </row>
    <row r="404" spans="1:11">
      <c r="A404" s="2253"/>
      <c r="B404" s="2213"/>
      <c r="C404" s="2232" t="s">
        <v>344</v>
      </c>
      <c r="D404" s="2233" t="s">
        <v>345</v>
      </c>
      <c r="E404" s="2233">
        <v>0.26700000000000002</v>
      </c>
      <c r="F404" s="2240">
        <f>F357</f>
        <v>721.5</v>
      </c>
      <c r="G404" s="2238">
        <f>ROUND(E404*F404,2)</f>
        <v>192.64</v>
      </c>
      <c r="I404" s="2230"/>
    </row>
    <row r="405" spans="1:11">
      <c r="A405" s="2253"/>
      <c r="B405" s="2213"/>
      <c r="C405" s="2232" t="s">
        <v>1232</v>
      </c>
      <c r="D405" s="2233" t="s">
        <v>345</v>
      </c>
      <c r="E405" s="2233">
        <v>0.26700000000000002</v>
      </c>
      <c r="F405" s="2240">
        <v>279.3</v>
      </c>
      <c r="G405" s="2238">
        <f>ROUND(E405*F405,2)</f>
        <v>74.569999999999993</v>
      </c>
      <c r="I405" s="2230"/>
    </row>
    <row r="406" spans="1:11" s="2246" customFormat="1">
      <c r="A406" s="2253"/>
      <c r="B406" s="2213"/>
      <c r="C406" s="2232" t="s">
        <v>342</v>
      </c>
      <c r="D406" s="2233" t="s">
        <v>343</v>
      </c>
      <c r="E406" s="2233">
        <v>1.2</v>
      </c>
      <c r="F406" s="2240">
        <v>81</v>
      </c>
      <c r="G406" s="2238">
        <f>E406*F406</f>
        <v>97.2</v>
      </c>
      <c r="H406" s="2245"/>
      <c r="I406" s="2230"/>
    </row>
    <row r="407" spans="1:11" s="2246" customFormat="1">
      <c r="A407" s="2213"/>
      <c r="B407" s="2213"/>
      <c r="C407" s="2225" t="s">
        <v>1130</v>
      </c>
      <c r="D407" s="2242"/>
      <c r="E407" s="2242"/>
      <c r="F407" s="2247" t="s">
        <v>1486</v>
      </c>
      <c r="G407" s="2244">
        <f>SUM(G395:G406)</f>
        <v>6050.84</v>
      </c>
      <c r="H407" s="2256"/>
      <c r="I407" s="2230"/>
    </row>
    <row r="408" spans="1:11">
      <c r="A408" s="2253"/>
      <c r="B408" s="2213" t="s">
        <v>1475</v>
      </c>
      <c r="C408" s="2225" t="s">
        <v>1422</v>
      </c>
      <c r="D408" s="2233"/>
      <c r="E408" s="2233"/>
      <c r="F408" s="2237"/>
      <c r="G408" s="2238"/>
      <c r="I408" s="2230"/>
    </row>
    <row r="409" spans="1:11">
      <c r="A409" s="2253"/>
      <c r="B409" s="2213"/>
      <c r="C409" s="2232" t="s">
        <v>1130</v>
      </c>
      <c r="D409" s="2233"/>
      <c r="E409" s="2233"/>
      <c r="F409" s="2237"/>
      <c r="G409" s="2238">
        <f>G407</f>
        <v>6050.84</v>
      </c>
      <c r="I409" s="2230"/>
    </row>
    <row r="410" spans="1:11" s="2246" customFormat="1">
      <c r="A410" s="2253"/>
      <c r="B410" s="2213"/>
      <c r="C410" s="2232" t="s">
        <v>862</v>
      </c>
      <c r="D410" s="2233"/>
      <c r="E410" s="2233"/>
      <c r="F410" s="2237"/>
      <c r="G410" s="2241">
        <v>2531</v>
      </c>
      <c r="H410" s="2256"/>
      <c r="I410" s="2230"/>
    </row>
    <row r="411" spans="1:11" s="2246" customFormat="1">
      <c r="A411" s="2253"/>
      <c r="B411" s="2213"/>
      <c r="C411" s="2232" t="s">
        <v>863</v>
      </c>
      <c r="D411" s="2233"/>
      <c r="E411" s="2233"/>
      <c r="F411" s="2237"/>
      <c r="G411" s="2241">
        <v>2676</v>
      </c>
      <c r="H411" s="2250"/>
      <c r="I411" s="2230"/>
    </row>
    <row r="412" spans="1:11">
      <c r="A412" s="2253"/>
      <c r="B412" s="2213"/>
      <c r="C412" s="2232" t="s">
        <v>1485</v>
      </c>
      <c r="D412" s="2233"/>
      <c r="E412" s="2233">
        <f>G411</f>
        <v>2676</v>
      </c>
      <c r="F412" s="2237">
        <f>'Lead- Input sheet '!Q31</f>
        <v>0</v>
      </c>
      <c r="G412" s="2238">
        <f>ROUND(E412*F412,2)</f>
        <v>0</v>
      </c>
      <c r="I412" s="2230"/>
      <c r="J412" s="2211">
        <f>0.05+0.075</f>
        <v>0.125</v>
      </c>
      <c r="K412" s="2211">
        <f>J412/2</f>
        <v>6.25E-2</v>
      </c>
    </row>
    <row r="413" spans="1:11">
      <c r="A413" s="2213"/>
      <c r="B413" s="2213"/>
      <c r="C413" s="2225" t="s">
        <v>861</v>
      </c>
      <c r="D413" s="2242"/>
      <c r="E413" s="2242"/>
      <c r="F413" s="2247" t="s">
        <v>1486</v>
      </c>
      <c r="G413" s="2244">
        <f>SUM(G409:G412)</f>
        <v>11257.84</v>
      </c>
      <c r="I413" s="2230"/>
      <c r="J413" s="2211">
        <f>0.0625*0.6</f>
        <v>3.7499999999999999E-2</v>
      </c>
    </row>
    <row r="414" spans="1:11" s="2254" customFormat="1">
      <c r="A414" s="2253"/>
      <c r="B414" s="2213"/>
      <c r="C414" s="2232"/>
      <c r="D414" s="2233"/>
      <c r="E414" s="2242" t="s">
        <v>1098</v>
      </c>
      <c r="F414" s="2249" t="s">
        <v>1099</v>
      </c>
      <c r="G414" s="2244" t="s">
        <v>1100</v>
      </c>
      <c r="H414" s="2209"/>
      <c r="I414" s="2230"/>
    </row>
    <row r="415" spans="1:11" s="2254" customFormat="1">
      <c r="A415" s="2253"/>
      <c r="B415" s="2213"/>
      <c r="C415" s="2232" t="s">
        <v>1101</v>
      </c>
      <c r="D415" s="2233"/>
      <c r="E415" s="2258">
        <f>G413</f>
        <v>11257.84</v>
      </c>
      <c r="F415" s="2259">
        <f>G413</f>
        <v>11257.84</v>
      </c>
      <c r="G415" s="2238">
        <f>G413</f>
        <v>11257.84</v>
      </c>
      <c r="H415" s="2209"/>
      <c r="I415" s="2230"/>
    </row>
    <row r="416" spans="1:11" s="2254" customFormat="1">
      <c r="A416" s="2253"/>
      <c r="B416" s="2213"/>
      <c r="C416" s="2232" t="s">
        <v>1103</v>
      </c>
      <c r="D416" s="2260" t="s">
        <v>1102</v>
      </c>
      <c r="E416" s="2258">
        <v>0</v>
      </c>
      <c r="F416" s="2259">
        <f>(SUM(G400:G403)+SUM(G411:G412))*D416</f>
        <v>432.05100000000004</v>
      </c>
      <c r="G416" s="2238">
        <f>F416*2</f>
        <v>864.10200000000009</v>
      </c>
      <c r="H416" s="2209"/>
      <c r="I416" s="2230"/>
    </row>
    <row r="417" spans="1:9" s="2254" customFormat="1" ht="25.2">
      <c r="A417" s="2253"/>
      <c r="B417" s="2213"/>
      <c r="C417" s="2232" t="s">
        <v>1940</v>
      </c>
      <c r="D417" s="2260" t="s">
        <v>1102</v>
      </c>
      <c r="E417" s="2258"/>
      <c r="F417" s="2259"/>
      <c r="G417" s="2238">
        <f>ROUND(D417*G411,2)</f>
        <v>267.60000000000002</v>
      </c>
      <c r="H417" s="2209"/>
      <c r="I417" s="2230"/>
    </row>
    <row r="418" spans="1:9" s="2246" customFormat="1">
      <c r="A418" s="2224"/>
      <c r="B418" s="2224"/>
      <c r="C418" s="2225" t="s">
        <v>1600</v>
      </c>
      <c r="D418" s="2264">
        <f>'Lead- Input sheet '!Q32</f>
        <v>0</v>
      </c>
      <c r="E418" s="2258">
        <f>ROUND(SUM(E415:E417)*D418,2)</f>
        <v>0</v>
      </c>
      <c r="F418" s="2259">
        <f>ROUND(SUM(F415:F417)*D418,2)</f>
        <v>0</v>
      </c>
      <c r="G418" s="2238">
        <f>ROUND(SUM(G415:G417)*D418,2)</f>
        <v>0</v>
      </c>
      <c r="H418" s="2245"/>
      <c r="I418" s="2230"/>
    </row>
    <row r="419" spans="1:9" s="2254" customFormat="1">
      <c r="A419" s="2224"/>
      <c r="B419" s="2224"/>
      <c r="C419" s="2225" t="s">
        <v>861</v>
      </c>
      <c r="D419" s="2262"/>
      <c r="E419" s="2258">
        <f>SUM(E415:E418)</f>
        <v>11257.84</v>
      </c>
      <c r="F419" s="2259">
        <f>SUM(F415:F418)</f>
        <v>11689.891</v>
      </c>
      <c r="G419" s="2238">
        <f>SUM(G415:G418)</f>
        <v>12389.542000000001</v>
      </c>
      <c r="H419" s="2257"/>
      <c r="I419" s="2230"/>
    </row>
    <row r="420" spans="1:9">
      <c r="A420" s="2253"/>
      <c r="B420" s="2213"/>
      <c r="C420" s="2232" t="s">
        <v>899</v>
      </c>
      <c r="D420" s="2233">
        <v>0.9</v>
      </c>
      <c r="E420" s="2233">
        <f>'Lead- Input sheet '!$O$19*$D$420</f>
        <v>0</v>
      </c>
      <c r="F420" s="2233">
        <f>'Lead- Input sheet '!$O$19*$D$420</f>
        <v>0</v>
      </c>
      <c r="G420" s="2233">
        <f>'Lead- Input sheet '!$O$19*$D$420</f>
        <v>0</v>
      </c>
      <c r="I420" s="2230"/>
    </row>
    <row r="421" spans="1:9">
      <c r="A421" s="2253"/>
      <c r="B421" s="2213"/>
      <c r="C421" s="2232" t="s">
        <v>900</v>
      </c>
      <c r="D421" s="2233">
        <v>0.45</v>
      </c>
      <c r="E421" s="2233">
        <f>'Lead- Input sheet '!$O$13*$D$421</f>
        <v>0</v>
      </c>
      <c r="F421" s="2233">
        <f>'Lead- Input sheet '!$O$13*$D$421</f>
        <v>0</v>
      </c>
      <c r="G421" s="2233">
        <f>'Lead- Input sheet '!$O$13*$D$421</f>
        <v>0</v>
      </c>
      <c r="I421" s="2230"/>
    </row>
    <row r="422" spans="1:9">
      <c r="A422" s="2224"/>
      <c r="B422" s="2224"/>
      <c r="C422" s="2225" t="s">
        <v>744</v>
      </c>
      <c r="D422" s="2263" t="s">
        <v>415</v>
      </c>
      <c r="E422" s="2244">
        <f>SUM(E419:E421)</f>
        <v>11257.84</v>
      </c>
      <c r="F422" s="2247">
        <f>SUM(F419:F421)</f>
        <v>11689.891</v>
      </c>
      <c r="G422" s="2244">
        <f>SUM(G419:G421)</f>
        <v>12389.542000000001</v>
      </c>
      <c r="I422" s="2230"/>
    </row>
    <row r="423" spans="1:9">
      <c r="A423" s="2224"/>
      <c r="B423" s="2224"/>
      <c r="C423" s="2225"/>
      <c r="D423" s="2262"/>
      <c r="E423" s="2258"/>
      <c r="F423" s="2259"/>
      <c r="G423" s="2238"/>
      <c r="I423" s="2230"/>
    </row>
    <row r="424" spans="1:9" s="2246" customFormat="1">
      <c r="A424" s="2253"/>
      <c r="B424" s="2213">
        <v>100</v>
      </c>
      <c r="C424" s="2225" t="s">
        <v>1601</v>
      </c>
      <c r="D424" s="2233"/>
      <c r="E424" s="2233"/>
      <c r="F424" s="2237"/>
      <c r="G424" s="2238"/>
      <c r="H424" s="2245"/>
      <c r="I424" s="2230"/>
    </row>
    <row r="425" spans="1:9" s="2246" customFormat="1">
      <c r="A425" s="2253"/>
      <c r="B425" s="2213"/>
      <c r="C425" s="2232" t="s">
        <v>1130</v>
      </c>
      <c r="D425" s="2233" t="s">
        <v>1473</v>
      </c>
      <c r="E425" s="2233">
        <v>1</v>
      </c>
      <c r="F425" s="2237">
        <f>G407</f>
        <v>6050.84</v>
      </c>
      <c r="G425" s="2238">
        <f>ROUND(E425*F425,2)</f>
        <v>6050.84</v>
      </c>
      <c r="H425" s="2256"/>
      <c r="I425" s="2230"/>
    </row>
    <row r="426" spans="1:9">
      <c r="A426" s="2253"/>
      <c r="B426" s="2213"/>
      <c r="C426" s="2232" t="s">
        <v>862</v>
      </c>
      <c r="D426" s="2233"/>
      <c r="E426" s="2233"/>
      <c r="F426" s="2237"/>
      <c r="G426" s="2241">
        <v>2870</v>
      </c>
      <c r="I426" s="2230"/>
    </row>
    <row r="427" spans="1:9">
      <c r="A427" s="2253"/>
      <c r="B427" s="2213"/>
      <c r="C427" s="2232" t="s">
        <v>863</v>
      </c>
      <c r="D427" s="2233"/>
      <c r="E427" s="2233"/>
      <c r="F427" s="2237"/>
      <c r="G427" s="2241">
        <v>3030</v>
      </c>
      <c r="I427" s="2230"/>
    </row>
    <row r="428" spans="1:9" s="2246" customFormat="1">
      <c r="A428" s="2253"/>
      <c r="B428" s="2213"/>
      <c r="C428" s="2232" t="s">
        <v>1485</v>
      </c>
      <c r="D428" s="2233"/>
      <c r="E428" s="2233">
        <f>G427</f>
        <v>3030</v>
      </c>
      <c r="F428" s="2237">
        <f>'Lead- Input sheet '!Q31</f>
        <v>0</v>
      </c>
      <c r="G428" s="2238">
        <f>ROUND(E428*F428,2)</f>
        <v>0</v>
      </c>
      <c r="H428" s="2256"/>
      <c r="I428" s="2230"/>
    </row>
    <row r="429" spans="1:9" s="2246" customFormat="1">
      <c r="A429" s="2213"/>
      <c r="B429" s="2213"/>
      <c r="C429" s="2225" t="s">
        <v>864</v>
      </c>
      <c r="D429" s="2242"/>
      <c r="E429" s="2242"/>
      <c r="F429" s="2247" t="s">
        <v>1486</v>
      </c>
      <c r="G429" s="2244">
        <f>SUM(G425:G428)</f>
        <v>11950.84</v>
      </c>
      <c r="H429" s="2250"/>
      <c r="I429" s="2230"/>
    </row>
    <row r="430" spans="1:9">
      <c r="A430" s="2253"/>
      <c r="B430" s="2213"/>
      <c r="C430" s="2232"/>
      <c r="D430" s="2233"/>
      <c r="E430" s="2242" t="s">
        <v>1098</v>
      </c>
      <c r="F430" s="2249" t="s">
        <v>1099</v>
      </c>
      <c r="G430" s="2244" t="s">
        <v>1100</v>
      </c>
      <c r="I430" s="2230"/>
    </row>
    <row r="431" spans="1:9">
      <c r="A431" s="2253"/>
      <c r="B431" s="2213"/>
      <c r="C431" s="2232" t="s">
        <v>1101</v>
      </c>
      <c r="D431" s="2233"/>
      <c r="E431" s="2258">
        <f>G429</f>
        <v>11950.84</v>
      </c>
      <c r="F431" s="2259">
        <f>G429</f>
        <v>11950.84</v>
      </c>
      <c r="G431" s="2238">
        <f>G429</f>
        <v>11950.84</v>
      </c>
      <c r="I431" s="2230"/>
    </row>
    <row r="432" spans="1:9">
      <c r="A432" s="2253"/>
      <c r="B432" s="2213"/>
      <c r="C432" s="2232" t="s">
        <v>1103</v>
      </c>
      <c r="D432" s="2260" t="s">
        <v>1102</v>
      </c>
      <c r="E432" s="2258"/>
      <c r="F432" s="2259">
        <f>(SUM( G400:G403)+SUM(G427:G428))*D432</f>
        <v>467.45100000000002</v>
      </c>
      <c r="G432" s="2238">
        <f>F432*2</f>
        <v>934.90200000000004</v>
      </c>
      <c r="I432" s="2230"/>
    </row>
    <row r="433" spans="1:9" ht="25.2">
      <c r="A433" s="2253"/>
      <c r="B433" s="2213"/>
      <c r="C433" s="2232" t="s">
        <v>1941</v>
      </c>
      <c r="D433" s="2260" t="s">
        <v>1102</v>
      </c>
      <c r="E433" s="2258"/>
      <c r="F433" s="2259"/>
      <c r="G433" s="2238">
        <f>ROUND(D433*G427,2)</f>
        <v>303</v>
      </c>
      <c r="I433" s="2230"/>
    </row>
    <row r="434" spans="1:9">
      <c r="A434" s="2224"/>
      <c r="B434" s="2224"/>
      <c r="C434" s="2225" t="s">
        <v>1600</v>
      </c>
      <c r="D434" s="2264">
        <f>'Lead- Input sheet '!Q32</f>
        <v>0</v>
      </c>
      <c r="E434" s="2258">
        <f>ROUND(SUM(E431:E433)*D434,2)</f>
        <v>0</v>
      </c>
      <c r="F434" s="2259">
        <f>ROUND(SUM(F431:F433)*D434,2)</f>
        <v>0</v>
      </c>
      <c r="G434" s="2238">
        <f>ROUND(SUM(G431:G433)*D434,2)</f>
        <v>0</v>
      </c>
      <c r="I434" s="2230"/>
    </row>
    <row r="435" spans="1:9">
      <c r="A435" s="2224"/>
      <c r="B435" s="2224"/>
      <c r="C435" s="2225" t="s">
        <v>864</v>
      </c>
      <c r="D435" s="2262"/>
      <c r="E435" s="2258">
        <f>SUM(E431:E434)</f>
        <v>11950.84</v>
      </c>
      <c r="F435" s="2259">
        <f>SUM(F431:F434)</f>
        <v>12418.291000000001</v>
      </c>
      <c r="G435" s="2238">
        <f>SUM(G431:G434)</f>
        <v>13188.742</v>
      </c>
      <c r="I435" s="2230"/>
    </row>
    <row r="436" spans="1:9">
      <c r="A436" s="2253"/>
      <c r="B436" s="2213"/>
      <c r="C436" s="2232" t="s">
        <v>899</v>
      </c>
      <c r="D436" s="2233">
        <f>E425*0.9</f>
        <v>0.9</v>
      </c>
      <c r="E436" s="2233">
        <f>'Lead- Input sheet '!$O$19*$D$436</f>
        <v>0</v>
      </c>
      <c r="F436" s="2233">
        <f>'Lead- Input sheet '!$O$19*$D$436</f>
        <v>0</v>
      </c>
      <c r="G436" s="2233">
        <f>'Lead- Input sheet '!$O$19*$D$436</f>
        <v>0</v>
      </c>
      <c r="I436" s="2230"/>
    </row>
    <row r="437" spans="1:9">
      <c r="A437" s="2253"/>
      <c r="B437" s="2213"/>
      <c r="C437" s="2232" t="s">
        <v>900</v>
      </c>
      <c r="D437" s="2233">
        <f>E425*0.45</f>
        <v>0.45</v>
      </c>
      <c r="E437" s="2233">
        <f>'Lead- Input sheet '!$O$13*$D$437</f>
        <v>0</v>
      </c>
      <c r="F437" s="2233">
        <f>'Lead- Input sheet '!$O$13*$D$437</f>
        <v>0</v>
      </c>
      <c r="G437" s="2233">
        <f>'Lead- Input sheet '!$O$13*$D$437</f>
        <v>0</v>
      </c>
      <c r="I437" s="2230"/>
    </row>
    <row r="438" spans="1:9">
      <c r="A438" s="2224"/>
      <c r="B438" s="2224"/>
      <c r="C438" s="2225" t="s">
        <v>744</v>
      </c>
      <c r="D438" s="2263" t="s">
        <v>415</v>
      </c>
      <c r="E438" s="2244">
        <f>SUM(E435:E437)</f>
        <v>11950.84</v>
      </c>
      <c r="F438" s="2247">
        <f>SUM(F435:F437)</f>
        <v>12418.291000000001</v>
      </c>
      <c r="G438" s="2244">
        <f>SUM(G435:G437)</f>
        <v>13188.742</v>
      </c>
      <c r="H438" s="2250"/>
      <c r="I438" s="2230"/>
    </row>
    <row r="439" spans="1:9" s="2231" customFormat="1">
      <c r="A439" s="2224"/>
      <c r="B439" s="2224"/>
      <c r="C439" s="2225"/>
      <c r="D439" s="2262"/>
      <c r="E439" s="2258"/>
      <c r="F439" s="2259"/>
      <c r="G439" s="2238"/>
      <c r="H439" s="2236"/>
      <c r="I439" s="2230"/>
    </row>
    <row r="440" spans="1:9" s="2246" customFormat="1">
      <c r="A440" s="2253"/>
      <c r="B440" s="2213">
        <v>115</v>
      </c>
      <c r="C440" s="2225" t="s">
        <v>223</v>
      </c>
      <c r="D440" s="2233"/>
      <c r="E440" s="2233"/>
      <c r="F440" s="2237"/>
      <c r="G440" s="2238"/>
      <c r="H440" s="2245"/>
      <c r="I440" s="2230"/>
    </row>
    <row r="441" spans="1:9" s="2246" customFormat="1">
      <c r="A441" s="2253"/>
      <c r="B441" s="2213"/>
      <c r="C441" s="2232" t="s">
        <v>1130</v>
      </c>
      <c r="D441" s="2233" t="s">
        <v>1473</v>
      </c>
      <c r="E441" s="2233">
        <v>1.1499999999999999</v>
      </c>
      <c r="F441" s="2237">
        <f>G407</f>
        <v>6050.84</v>
      </c>
      <c r="G441" s="2238">
        <f>ROUND(E441*F441,2)</f>
        <v>6958.47</v>
      </c>
      <c r="H441" s="2256"/>
      <c r="I441" s="2230"/>
    </row>
    <row r="442" spans="1:9">
      <c r="A442" s="2253"/>
      <c r="B442" s="2213"/>
      <c r="C442" s="2232" t="s">
        <v>862</v>
      </c>
      <c r="D442" s="2233"/>
      <c r="E442" s="2233"/>
      <c r="F442" s="2237"/>
      <c r="G442" s="2241">
        <f>G426</f>
        <v>2870</v>
      </c>
      <c r="I442" s="2230"/>
    </row>
    <row r="443" spans="1:9">
      <c r="A443" s="2253"/>
      <c r="B443" s="2213"/>
      <c r="C443" s="2232" t="s">
        <v>863</v>
      </c>
      <c r="D443" s="2233"/>
      <c r="E443" s="2233"/>
      <c r="F443" s="2237"/>
      <c r="G443" s="2241">
        <f>G427</f>
        <v>3030</v>
      </c>
      <c r="I443" s="2230"/>
    </row>
    <row r="444" spans="1:9" s="2246" customFormat="1">
      <c r="A444" s="2253"/>
      <c r="B444" s="2213"/>
      <c r="C444" s="2232" t="s">
        <v>1485</v>
      </c>
      <c r="D444" s="2233"/>
      <c r="E444" s="2233">
        <f>G443</f>
        <v>3030</v>
      </c>
      <c r="F444" s="2237">
        <f>'Lead- Input sheet '!Q31</f>
        <v>0</v>
      </c>
      <c r="G444" s="2238">
        <f>ROUND(E444*F444,2)</f>
        <v>0</v>
      </c>
      <c r="H444" s="2256"/>
      <c r="I444" s="2230"/>
    </row>
    <row r="445" spans="1:9" s="2246" customFormat="1">
      <c r="A445" s="2213"/>
      <c r="B445" s="2213"/>
      <c r="C445" s="2225" t="s">
        <v>864</v>
      </c>
      <c r="D445" s="2242"/>
      <c r="E445" s="2242"/>
      <c r="F445" s="2247" t="s">
        <v>1486</v>
      </c>
      <c r="G445" s="2244">
        <f>SUM(G441:G444)</f>
        <v>12858.470000000001</v>
      </c>
      <c r="H445" s="2250"/>
      <c r="I445" s="2230"/>
    </row>
    <row r="446" spans="1:9">
      <c r="A446" s="2253"/>
      <c r="B446" s="2213"/>
      <c r="C446" s="2232"/>
      <c r="D446" s="2233"/>
      <c r="E446" s="2242" t="s">
        <v>1098</v>
      </c>
      <c r="F446" s="2249" t="s">
        <v>1099</v>
      </c>
      <c r="G446" s="2244" t="s">
        <v>1100</v>
      </c>
      <c r="I446" s="2230"/>
    </row>
    <row r="447" spans="1:9">
      <c r="A447" s="2253"/>
      <c r="B447" s="2213"/>
      <c r="C447" s="2232" t="s">
        <v>1101</v>
      </c>
      <c r="D447" s="2233"/>
      <c r="E447" s="2258">
        <f>G445</f>
        <v>12858.470000000001</v>
      </c>
      <c r="F447" s="2259">
        <f>G445</f>
        <v>12858.470000000001</v>
      </c>
      <c r="G447" s="2238">
        <f>G445</f>
        <v>12858.470000000001</v>
      </c>
      <c r="I447" s="2230"/>
    </row>
    <row r="448" spans="1:9">
      <c r="A448" s="2253"/>
      <c r="B448" s="2213"/>
      <c r="C448" s="2232" t="s">
        <v>1103</v>
      </c>
      <c r="D448" s="2260" t="s">
        <v>1102</v>
      </c>
      <c r="E448" s="2258"/>
      <c r="F448" s="2259">
        <f>(SUM(G400:G403)+SUM(G443:G444))*D448</f>
        <v>467.45100000000002</v>
      </c>
      <c r="G448" s="2238">
        <f>F448*2</f>
        <v>934.90200000000004</v>
      </c>
      <c r="I448" s="2230"/>
    </row>
    <row r="449" spans="1:9" ht="25.2">
      <c r="A449" s="2253"/>
      <c r="B449" s="2213"/>
      <c r="C449" s="2232" t="s">
        <v>1941</v>
      </c>
      <c r="D449" s="2260" t="s">
        <v>1102</v>
      </c>
      <c r="E449" s="2258"/>
      <c r="F449" s="2259"/>
      <c r="G449" s="2238">
        <f>ROUND(D449*G443,2)</f>
        <v>303</v>
      </c>
      <c r="I449" s="2230"/>
    </row>
    <row r="450" spans="1:9">
      <c r="A450" s="2224"/>
      <c r="B450" s="2224"/>
      <c r="C450" s="2225" t="s">
        <v>1600</v>
      </c>
      <c r="D450" s="2264">
        <f>'Lead- Input sheet '!Q32</f>
        <v>0</v>
      </c>
      <c r="E450" s="2258">
        <f>ROUND(SUM(E447:E449)*D450,2)</f>
        <v>0</v>
      </c>
      <c r="F450" s="2259">
        <f>ROUND(SUM(F447:F449)*D450,2)</f>
        <v>0</v>
      </c>
      <c r="G450" s="2238">
        <f>ROUND(SUM(G447:G449)*D450,2)</f>
        <v>0</v>
      </c>
      <c r="I450" s="2230"/>
    </row>
    <row r="451" spans="1:9">
      <c r="A451" s="2224"/>
      <c r="B451" s="2224"/>
      <c r="C451" s="2225" t="s">
        <v>864</v>
      </c>
      <c r="D451" s="2262"/>
      <c r="E451" s="2258">
        <f>SUM(E447:E450)</f>
        <v>12858.470000000001</v>
      </c>
      <c r="F451" s="2259">
        <f>SUM(F447:F450)</f>
        <v>13325.921000000002</v>
      </c>
      <c r="G451" s="2238">
        <f>SUM(G447:G450)</f>
        <v>14096.372000000001</v>
      </c>
      <c r="I451" s="2230"/>
    </row>
    <row r="452" spans="1:9">
      <c r="A452" s="2253"/>
      <c r="B452" s="2213"/>
      <c r="C452" s="2232" t="s">
        <v>899</v>
      </c>
      <c r="D452" s="2233">
        <f>E441*0.9</f>
        <v>1.0349999999999999</v>
      </c>
      <c r="E452" s="2233">
        <f>'Lead- Input sheet '!$O$19*$D$452</f>
        <v>0</v>
      </c>
      <c r="F452" s="2233">
        <f>'Lead- Input sheet '!$O$19*$D$452</f>
        <v>0</v>
      </c>
      <c r="G452" s="2233">
        <f>'Lead- Input sheet '!$O$19*$D$452</f>
        <v>0</v>
      </c>
      <c r="I452" s="2230"/>
    </row>
    <row r="453" spans="1:9">
      <c r="A453" s="2253"/>
      <c r="B453" s="2213"/>
      <c r="C453" s="2232" t="s">
        <v>900</v>
      </c>
      <c r="D453" s="2233">
        <f>E441*0.45</f>
        <v>0.51749999999999996</v>
      </c>
      <c r="E453" s="2233">
        <f>'Lead- Input sheet '!$O$13*$D$453</f>
        <v>0</v>
      </c>
      <c r="F453" s="2233">
        <f>'Lead- Input sheet '!$O$13*$D$453</f>
        <v>0</v>
      </c>
      <c r="G453" s="2233">
        <f>'Lead- Input sheet '!$O$13*$D$453</f>
        <v>0</v>
      </c>
      <c r="I453" s="2230"/>
    </row>
    <row r="454" spans="1:9">
      <c r="A454" s="2224"/>
      <c r="B454" s="2224"/>
      <c r="C454" s="2225" t="s">
        <v>744</v>
      </c>
      <c r="D454" s="2263" t="s">
        <v>415</v>
      </c>
      <c r="E454" s="2244">
        <f>SUM(E451:E453)</f>
        <v>12858.470000000001</v>
      </c>
      <c r="F454" s="2247">
        <f>SUM(F451:F453)</f>
        <v>13325.921000000002</v>
      </c>
      <c r="G454" s="2244">
        <f>SUM(G451:G453)</f>
        <v>14096.372000000001</v>
      </c>
      <c r="H454" s="2250"/>
      <c r="I454" s="2230"/>
    </row>
    <row r="455" spans="1:9" s="2231" customFormat="1">
      <c r="A455" s="2224"/>
      <c r="B455" s="2224"/>
      <c r="C455" s="2225"/>
      <c r="D455" s="2262"/>
      <c r="E455" s="2258"/>
      <c r="F455" s="2259"/>
      <c r="G455" s="2238"/>
      <c r="H455" s="2236"/>
      <c r="I455" s="2230"/>
    </row>
    <row r="456" spans="1:9">
      <c r="A456" s="2213"/>
      <c r="B456" s="2213">
        <v>125</v>
      </c>
      <c r="C456" s="2225" t="s">
        <v>1603</v>
      </c>
      <c r="D456" s="2233"/>
      <c r="E456" s="2233"/>
      <c r="F456" s="2237"/>
      <c r="G456" s="2238"/>
      <c r="I456" s="2230"/>
    </row>
    <row r="457" spans="1:9" s="2254" customFormat="1">
      <c r="A457" s="2213"/>
      <c r="B457" s="2213"/>
      <c r="C457" s="2232" t="s">
        <v>1130</v>
      </c>
      <c r="D457" s="2233" t="s">
        <v>1473</v>
      </c>
      <c r="E457" s="2233">
        <v>1.25</v>
      </c>
      <c r="F457" s="2237">
        <f>G407</f>
        <v>6050.84</v>
      </c>
      <c r="G457" s="2238">
        <f>ROUND(E457*F457,2)</f>
        <v>7563.55</v>
      </c>
      <c r="H457" s="2209"/>
      <c r="I457" s="2230"/>
    </row>
    <row r="458" spans="1:9" s="2254" customFormat="1">
      <c r="A458" s="2213"/>
      <c r="B458" s="2213"/>
      <c r="C458" s="2232" t="s">
        <v>862</v>
      </c>
      <c r="D458" s="2233"/>
      <c r="E458" s="2233"/>
      <c r="F458" s="2237"/>
      <c r="G458" s="2241">
        <f>G442</f>
        <v>2870</v>
      </c>
      <c r="H458" s="2250"/>
      <c r="I458" s="2230"/>
    </row>
    <row r="459" spans="1:9">
      <c r="A459" s="2213"/>
      <c r="B459" s="2213"/>
      <c r="C459" s="2232" t="s">
        <v>863</v>
      </c>
      <c r="D459" s="2233"/>
      <c r="E459" s="2233"/>
      <c r="F459" s="2237"/>
      <c r="G459" s="2241">
        <f>G443</f>
        <v>3030</v>
      </c>
      <c r="I459" s="2230"/>
    </row>
    <row r="460" spans="1:9">
      <c r="A460" s="2213"/>
      <c r="B460" s="2213"/>
      <c r="C460" s="2232" t="s">
        <v>1485</v>
      </c>
      <c r="D460" s="2233"/>
      <c r="E460" s="2233">
        <f>G459</f>
        <v>3030</v>
      </c>
      <c r="F460" s="2237">
        <f>'Lead- Input sheet '!Q31</f>
        <v>0</v>
      </c>
      <c r="G460" s="2238">
        <f>ROUND(E460*F460,2)</f>
        <v>0</v>
      </c>
      <c r="I460" s="2230"/>
    </row>
    <row r="461" spans="1:9">
      <c r="A461" s="2213"/>
      <c r="B461" s="2213"/>
      <c r="C461" s="2225" t="s">
        <v>864</v>
      </c>
      <c r="D461" s="2242"/>
      <c r="E461" s="2242"/>
      <c r="F461" s="2247" t="s">
        <v>1486</v>
      </c>
      <c r="G461" s="2244">
        <f>SUM(G457:G460)</f>
        <v>13463.55</v>
      </c>
      <c r="I461" s="2230"/>
    </row>
    <row r="462" spans="1:9">
      <c r="A462" s="2253"/>
      <c r="B462" s="2213"/>
      <c r="C462" s="2232"/>
      <c r="D462" s="2233"/>
      <c r="E462" s="2242" t="s">
        <v>1098</v>
      </c>
      <c r="F462" s="2249" t="s">
        <v>1099</v>
      </c>
      <c r="G462" s="2244" t="s">
        <v>1100</v>
      </c>
      <c r="I462" s="2230"/>
    </row>
    <row r="463" spans="1:9">
      <c r="A463" s="2253"/>
      <c r="B463" s="2213"/>
      <c r="C463" s="2232" t="s">
        <v>1101</v>
      </c>
      <c r="D463" s="2233"/>
      <c r="E463" s="2258">
        <f>G461</f>
        <v>13463.55</v>
      </c>
      <c r="F463" s="2259">
        <f>G461</f>
        <v>13463.55</v>
      </c>
      <c r="G463" s="2238">
        <f>G461</f>
        <v>13463.55</v>
      </c>
      <c r="I463" s="2230"/>
    </row>
    <row r="464" spans="1:9">
      <c r="A464" s="2253"/>
      <c r="B464" s="2213"/>
      <c r="C464" s="2232" t="s">
        <v>1103</v>
      </c>
      <c r="D464" s="2260" t="s">
        <v>1102</v>
      </c>
      <c r="E464" s="2258"/>
      <c r="F464" s="2259">
        <f>(SUM(G400:G403)+SUM(G459:G460))*D464</f>
        <v>467.45100000000002</v>
      </c>
      <c r="G464" s="2238">
        <f>F464*2</f>
        <v>934.90200000000004</v>
      </c>
      <c r="I464" s="2230"/>
    </row>
    <row r="465" spans="1:9" ht="25.2">
      <c r="A465" s="2253"/>
      <c r="B465" s="2213"/>
      <c r="C465" s="2232" t="s">
        <v>1941</v>
      </c>
      <c r="D465" s="2260" t="s">
        <v>1102</v>
      </c>
      <c r="E465" s="2258"/>
      <c r="F465" s="2259"/>
      <c r="G465" s="2238">
        <f>ROUND(D465*G459,2)</f>
        <v>303</v>
      </c>
      <c r="I465" s="2230"/>
    </row>
    <row r="466" spans="1:9">
      <c r="A466" s="2224"/>
      <c r="B466" s="2224"/>
      <c r="C466" s="2225" t="s">
        <v>1600</v>
      </c>
      <c r="D466" s="2262">
        <f>'Lead- Input sheet '!Q32</f>
        <v>0</v>
      </c>
      <c r="E466" s="2258">
        <f>ROUND(SUM(E463:E465)*D466,2)</f>
        <v>0</v>
      </c>
      <c r="F466" s="2259">
        <f>ROUND(SUM(F463:F465)*D466,2)</f>
        <v>0</v>
      </c>
      <c r="G466" s="2238">
        <f>ROUND(SUM(G463:G465)*D466,2)</f>
        <v>0</v>
      </c>
      <c r="I466" s="2230"/>
    </row>
    <row r="467" spans="1:9">
      <c r="A467" s="2224"/>
      <c r="B467" s="2224"/>
      <c r="C467" s="2225" t="s">
        <v>864</v>
      </c>
      <c r="D467" s="2262"/>
      <c r="E467" s="2258">
        <f>SUM(E463:E466)</f>
        <v>13463.55</v>
      </c>
      <c r="F467" s="2259">
        <f>SUM(F463:F466)</f>
        <v>13931.001</v>
      </c>
      <c r="G467" s="2238">
        <f>SUM(G463:G466)</f>
        <v>14701.451999999999</v>
      </c>
      <c r="I467" s="2230"/>
    </row>
    <row r="468" spans="1:9">
      <c r="A468" s="2253"/>
      <c r="B468" s="2213"/>
      <c r="C468" s="2232" t="s">
        <v>899</v>
      </c>
      <c r="D468" s="2233">
        <f>E457*0.9</f>
        <v>1.125</v>
      </c>
      <c r="E468" s="2233">
        <f>'Lead- Input sheet '!$O$19*$D$468</f>
        <v>0</v>
      </c>
      <c r="F468" s="2233">
        <f>'Lead- Input sheet '!$O$19*$D$468</f>
        <v>0</v>
      </c>
      <c r="G468" s="2233">
        <f>'Lead- Input sheet '!$O$19*$D$468</f>
        <v>0</v>
      </c>
      <c r="I468" s="2230"/>
    </row>
    <row r="469" spans="1:9">
      <c r="A469" s="2253"/>
      <c r="B469" s="2213"/>
      <c r="C469" s="2232" t="s">
        <v>900</v>
      </c>
      <c r="D469" s="2233">
        <f>E457*0.45</f>
        <v>0.5625</v>
      </c>
      <c r="E469" s="2233">
        <f>'Lead- Input sheet '!$O$13*$D$469</f>
        <v>0</v>
      </c>
      <c r="F469" s="2233">
        <f>'Lead- Input sheet '!$O$13*$D$469</f>
        <v>0</v>
      </c>
      <c r="G469" s="2233">
        <f>'Lead- Input sheet '!$O$13*$D$469</f>
        <v>0</v>
      </c>
      <c r="H469" s="2250"/>
      <c r="I469" s="2230"/>
    </row>
    <row r="470" spans="1:9" s="2231" customFormat="1">
      <c r="A470" s="2224"/>
      <c r="B470" s="2224"/>
      <c r="C470" s="2225" t="s">
        <v>3197</v>
      </c>
      <c r="D470" s="2263" t="s">
        <v>415</v>
      </c>
      <c r="E470" s="2244">
        <f>SUM(E467:E469)/10</f>
        <v>1346.355</v>
      </c>
      <c r="F470" s="2244">
        <f>SUM(F467:F469)/10</f>
        <v>1393.1001000000001</v>
      </c>
      <c r="G470" s="2244">
        <f>SUM(G467:G469)/10</f>
        <v>1470.1451999999999</v>
      </c>
      <c r="H470" s="2236"/>
      <c r="I470" s="2230"/>
    </row>
    <row r="471" spans="1:9">
      <c r="A471" s="2224"/>
      <c r="B471" s="2224"/>
      <c r="C471" s="2225"/>
      <c r="D471" s="2262"/>
      <c r="E471" s="2258"/>
      <c r="F471" s="2259"/>
      <c r="G471" s="2238"/>
      <c r="I471" s="2230"/>
    </row>
    <row r="472" spans="1:9" s="2231" customFormat="1">
      <c r="A472" s="2213"/>
      <c r="B472" s="2213">
        <v>175</v>
      </c>
      <c r="C472" s="2225" t="s">
        <v>126</v>
      </c>
      <c r="D472" s="2233"/>
      <c r="E472" s="2233"/>
      <c r="F472" s="2237"/>
      <c r="G472" s="2238"/>
      <c r="H472" s="2236"/>
      <c r="I472" s="2230"/>
    </row>
    <row r="473" spans="1:9" s="2231" customFormat="1">
      <c r="A473" s="2213"/>
      <c r="B473" s="2213"/>
      <c r="C473" s="2232" t="s">
        <v>1130</v>
      </c>
      <c r="D473" s="2233" t="s">
        <v>1473</v>
      </c>
      <c r="E473" s="2233">
        <v>1.75</v>
      </c>
      <c r="F473" s="2237">
        <f>G407</f>
        <v>6050.84</v>
      </c>
      <c r="G473" s="2238">
        <f>ROUND(E473*F473,2)</f>
        <v>10588.97</v>
      </c>
      <c r="H473" s="2236"/>
      <c r="I473" s="2230"/>
    </row>
    <row r="474" spans="1:9" s="2231" customFormat="1">
      <c r="A474" s="2213"/>
      <c r="B474" s="2213"/>
      <c r="C474" s="2232" t="s">
        <v>862</v>
      </c>
      <c r="D474" s="2233"/>
      <c r="E474" s="2233"/>
      <c r="F474" s="2237"/>
      <c r="G474" s="2241">
        <v>3090</v>
      </c>
      <c r="H474" s="2236"/>
      <c r="I474" s="2230"/>
    </row>
    <row r="475" spans="1:9" s="2246" customFormat="1">
      <c r="A475" s="2213"/>
      <c r="B475" s="2213"/>
      <c r="C475" s="2232" t="s">
        <v>863</v>
      </c>
      <c r="D475" s="2233"/>
      <c r="E475" s="2233"/>
      <c r="F475" s="2237"/>
      <c r="G475" s="2241">
        <v>3120</v>
      </c>
      <c r="H475" s="2245"/>
      <c r="I475" s="2230"/>
    </row>
    <row r="476" spans="1:9" s="2246" customFormat="1">
      <c r="A476" s="2213"/>
      <c r="B476" s="2213"/>
      <c r="C476" s="2232" t="s">
        <v>1485</v>
      </c>
      <c r="D476" s="2233"/>
      <c r="E476" s="2233">
        <f>G475</f>
        <v>3120</v>
      </c>
      <c r="F476" s="2237">
        <f>'Lead- Input sheet '!Q31</f>
        <v>0</v>
      </c>
      <c r="G476" s="2238">
        <f>ROUND(E476*F476,2)</f>
        <v>0</v>
      </c>
      <c r="H476" s="2245"/>
      <c r="I476" s="2230"/>
    </row>
    <row r="477" spans="1:9" s="2246" customFormat="1">
      <c r="A477" s="2213"/>
      <c r="B477" s="2213"/>
      <c r="C477" s="2225" t="s">
        <v>864</v>
      </c>
      <c r="D477" s="2242"/>
      <c r="E477" s="2242"/>
      <c r="F477" s="2247" t="s">
        <v>1486</v>
      </c>
      <c r="G477" s="2244">
        <f>SUM(G473:G476)</f>
        <v>16798.97</v>
      </c>
      <c r="H477" s="2245"/>
      <c r="I477" s="2230"/>
    </row>
    <row r="478" spans="1:9">
      <c r="A478" s="2253"/>
      <c r="B478" s="2213"/>
      <c r="C478" s="2232"/>
      <c r="D478" s="2233"/>
      <c r="E478" s="2242" t="s">
        <v>1098</v>
      </c>
      <c r="F478" s="2249" t="s">
        <v>1099</v>
      </c>
      <c r="G478" s="2244" t="s">
        <v>1100</v>
      </c>
      <c r="I478" s="2230"/>
    </row>
    <row r="479" spans="1:9">
      <c r="A479" s="2253"/>
      <c r="B479" s="2213"/>
      <c r="C479" s="2232" t="s">
        <v>1101</v>
      </c>
      <c r="D479" s="2233"/>
      <c r="E479" s="2258">
        <f>G477</f>
        <v>16798.97</v>
      </c>
      <c r="F479" s="2259">
        <f>G477</f>
        <v>16798.97</v>
      </c>
      <c r="G479" s="2238">
        <f>G477</f>
        <v>16798.97</v>
      </c>
      <c r="I479" s="2230"/>
    </row>
    <row r="480" spans="1:9">
      <c r="A480" s="2253"/>
      <c r="B480" s="2213"/>
      <c r="C480" s="2232" t="s">
        <v>1103</v>
      </c>
      <c r="D480" s="2260" t="s">
        <v>1102</v>
      </c>
      <c r="E480" s="2258">
        <v>0</v>
      </c>
      <c r="F480" s="2259">
        <f>(SUM(G400:G403)+SUM(G475:G476))*D480</f>
        <v>476.45100000000002</v>
      </c>
      <c r="G480" s="2238">
        <f>F480*2</f>
        <v>952.90200000000004</v>
      </c>
      <c r="I480" s="2230"/>
    </row>
    <row r="481" spans="1:9" ht="25.2">
      <c r="A481" s="2253"/>
      <c r="B481" s="2213"/>
      <c r="C481" s="2232" t="s">
        <v>1942</v>
      </c>
      <c r="D481" s="2260" t="s">
        <v>1102</v>
      </c>
      <c r="E481" s="2258"/>
      <c r="F481" s="2259"/>
      <c r="G481" s="2238">
        <f>ROUND(D481*G475,2)</f>
        <v>312</v>
      </c>
      <c r="I481" s="2230"/>
    </row>
    <row r="482" spans="1:9">
      <c r="A482" s="2224"/>
      <c r="B482" s="2224"/>
      <c r="C482" s="2225" t="s">
        <v>1600</v>
      </c>
      <c r="D482" s="2264">
        <f>'Lead- Input sheet '!Q32</f>
        <v>0</v>
      </c>
      <c r="E482" s="2258">
        <f>ROUND(SUM(E479:E481)*D482,2)</f>
        <v>0</v>
      </c>
      <c r="F482" s="2259">
        <f>ROUND(SUM(F479:F481)*D482,2)</f>
        <v>0</v>
      </c>
      <c r="G482" s="2238">
        <f>ROUND(SUM(G479:G481)*D482,2)</f>
        <v>0</v>
      </c>
      <c r="I482" s="2230"/>
    </row>
    <row r="483" spans="1:9">
      <c r="A483" s="2224"/>
      <c r="B483" s="2224"/>
      <c r="C483" s="2225" t="s">
        <v>864</v>
      </c>
      <c r="D483" s="2262"/>
      <c r="E483" s="2258">
        <f>SUM(E479:E482)</f>
        <v>16798.97</v>
      </c>
      <c r="F483" s="2259">
        <f>SUM(F479:F482)</f>
        <v>17275.421000000002</v>
      </c>
      <c r="G483" s="2238">
        <f>SUM(G479:G482)</f>
        <v>18063.872000000003</v>
      </c>
      <c r="I483" s="2230"/>
    </row>
    <row r="484" spans="1:9">
      <c r="A484" s="2253"/>
      <c r="B484" s="2213"/>
      <c r="C484" s="2232" t="s">
        <v>899</v>
      </c>
      <c r="D484" s="2233">
        <f>E473*0.9</f>
        <v>1.575</v>
      </c>
      <c r="E484" s="2233">
        <f>'Lead- Input sheet '!$O$19*$D$484</f>
        <v>0</v>
      </c>
      <c r="F484" s="2233">
        <f>'Lead- Input sheet '!$O$19*$D$484</f>
        <v>0</v>
      </c>
      <c r="G484" s="2233">
        <f>'Lead- Input sheet '!$O$19*$D$484</f>
        <v>0</v>
      </c>
      <c r="I484" s="2230"/>
    </row>
    <row r="485" spans="1:9">
      <c r="A485" s="2253"/>
      <c r="B485" s="2213"/>
      <c r="C485" s="2232" t="s">
        <v>900</v>
      </c>
      <c r="D485" s="2233">
        <f>E473*0.45</f>
        <v>0.78749999999999998</v>
      </c>
      <c r="E485" s="2233">
        <f>'Lead- Input sheet '!$O$13*$D$485</f>
        <v>0</v>
      </c>
      <c r="F485" s="2233">
        <f>'Lead- Input sheet '!$O$13*$D$485</f>
        <v>0</v>
      </c>
      <c r="G485" s="2233">
        <f>'Lead- Input sheet '!$O$13*$D$485</f>
        <v>0</v>
      </c>
      <c r="I485" s="2230"/>
    </row>
    <row r="486" spans="1:9">
      <c r="A486" s="2224"/>
      <c r="B486" s="2224"/>
      <c r="C486" s="2225" t="s">
        <v>864</v>
      </c>
      <c r="D486" s="2263" t="s">
        <v>415</v>
      </c>
      <c r="E486" s="2244">
        <f>SUM(E483:E485)/10</f>
        <v>1679.8970000000002</v>
      </c>
      <c r="F486" s="2244">
        <f>SUM(F483:F485)/10</f>
        <v>1727.5421000000001</v>
      </c>
      <c r="G486" s="2244">
        <f>SUM(G483:G485)/10</f>
        <v>1806.3872000000003</v>
      </c>
      <c r="I486" s="2230"/>
    </row>
    <row r="487" spans="1:9">
      <c r="A487" s="2253"/>
      <c r="B487" s="2213" t="s">
        <v>1477</v>
      </c>
      <c r="C487" s="2225" t="s">
        <v>1423</v>
      </c>
      <c r="D487" s="2233"/>
      <c r="E487" s="2233"/>
      <c r="F487" s="2237"/>
      <c r="G487" s="2238"/>
      <c r="I487" s="2230"/>
    </row>
    <row r="488" spans="1:9">
      <c r="A488" s="2253"/>
      <c r="B488" s="2213"/>
      <c r="C488" s="2232" t="s">
        <v>867</v>
      </c>
      <c r="D488" s="2233" t="s">
        <v>1162</v>
      </c>
      <c r="E488" s="2265">
        <v>3.7499999999999999E-2</v>
      </c>
      <c r="F488" s="2237">
        <f>G407</f>
        <v>6050.84</v>
      </c>
      <c r="G488" s="2238">
        <f>ROUND(E488*F488,2)</f>
        <v>226.91</v>
      </c>
      <c r="H488" s="2251">
        <f>0.0625*0.6*1</f>
        <v>3.7499999999999999E-2</v>
      </c>
      <c r="I488" s="2230"/>
    </row>
    <row r="489" spans="1:9">
      <c r="A489" s="2213"/>
      <c r="B489" s="2213"/>
      <c r="C489" s="2232" t="s">
        <v>862</v>
      </c>
      <c r="D489" s="2233" t="s">
        <v>1478</v>
      </c>
      <c r="E489" s="2262">
        <v>0.6</v>
      </c>
      <c r="F489" s="2240">
        <v>283</v>
      </c>
      <c r="G489" s="2238">
        <f>ROUND(E489*F489,2)</f>
        <v>169.8</v>
      </c>
      <c r="I489" s="2230"/>
    </row>
    <row r="490" spans="1:9">
      <c r="A490" s="2213"/>
      <c r="B490" s="2213"/>
      <c r="C490" s="2232" t="s">
        <v>863</v>
      </c>
      <c r="D490" s="2233" t="s">
        <v>1478</v>
      </c>
      <c r="E490" s="2262">
        <v>0.6</v>
      </c>
      <c r="F490" s="2240">
        <v>349</v>
      </c>
      <c r="G490" s="2238">
        <f>ROUND(E490*F490,2)</f>
        <v>209.4</v>
      </c>
      <c r="H490" s="2250"/>
      <c r="I490" s="2230"/>
    </row>
    <row r="491" spans="1:9" s="2231" customFormat="1">
      <c r="A491" s="2213"/>
      <c r="B491" s="2213"/>
      <c r="C491" s="2232" t="s">
        <v>1485</v>
      </c>
      <c r="D491" s="2233"/>
      <c r="E491" s="2262">
        <f>G490</f>
        <v>209.4</v>
      </c>
      <c r="F491" s="2237">
        <f>'Lead- Input sheet '!Q31</f>
        <v>0</v>
      </c>
      <c r="G491" s="2238">
        <f>ROUND(E491*F491,2)</f>
        <v>0</v>
      </c>
      <c r="H491" s="2236"/>
      <c r="I491" s="2230"/>
    </row>
    <row r="492" spans="1:9" s="2246" customFormat="1">
      <c r="A492" s="2213"/>
      <c r="B492" s="2213"/>
      <c r="C492" s="2225"/>
      <c r="D492" s="2242"/>
      <c r="E492" s="2242"/>
      <c r="F492" s="2249"/>
      <c r="G492" s="2244">
        <f>SUM(G488:G491)</f>
        <v>606.11</v>
      </c>
      <c r="H492" s="2256"/>
      <c r="I492" s="2230"/>
    </row>
    <row r="493" spans="1:9">
      <c r="A493" s="2224"/>
      <c r="B493" s="2224"/>
      <c r="C493" s="2225"/>
      <c r="D493" s="2242"/>
      <c r="E493" s="2242"/>
      <c r="F493" s="2249"/>
      <c r="G493" s="2244"/>
      <c r="H493" s="2250"/>
      <c r="I493" s="2230"/>
    </row>
    <row r="494" spans="1:9">
      <c r="A494" s="2213"/>
      <c r="B494" s="2213"/>
      <c r="C494" s="2225" t="s">
        <v>868</v>
      </c>
      <c r="D494" s="2242"/>
      <c r="E494" s="2242"/>
      <c r="F494" s="2247" t="s">
        <v>1486</v>
      </c>
      <c r="G494" s="2244">
        <f>SUM(G492:G493)</f>
        <v>606.11</v>
      </c>
      <c r="H494" s="2250"/>
      <c r="I494" s="2230"/>
    </row>
    <row r="495" spans="1:9">
      <c r="A495" s="2253"/>
      <c r="B495" s="2213"/>
      <c r="C495" s="2232"/>
      <c r="D495" s="2233"/>
      <c r="E495" s="2242" t="s">
        <v>1098</v>
      </c>
      <c r="F495" s="2249" t="s">
        <v>1929</v>
      </c>
      <c r="G495" s="2244" t="s">
        <v>1100</v>
      </c>
      <c r="I495" s="2230"/>
    </row>
    <row r="496" spans="1:9">
      <c r="A496" s="2253"/>
      <c r="B496" s="2213"/>
      <c r="C496" s="2232" t="s">
        <v>1101</v>
      </c>
      <c r="D496" s="2233"/>
      <c r="E496" s="2258">
        <f>G494</f>
        <v>606.11</v>
      </c>
      <c r="F496" s="2259">
        <f>G494</f>
        <v>606.11</v>
      </c>
      <c r="G496" s="2238">
        <f>G494</f>
        <v>606.11</v>
      </c>
      <c r="I496" s="2230"/>
    </row>
    <row r="497" spans="1:9">
      <c r="A497" s="2253"/>
      <c r="B497" s="2213"/>
      <c r="C497" s="2232" t="s">
        <v>1103</v>
      </c>
      <c r="D497" s="2260" t="s">
        <v>1102</v>
      </c>
      <c r="E497" s="2258">
        <v>0</v>
      </c>
      <c r="F497" s="2259">
        <f>((SUM(G400:G403)+SUM(G490:G491)*D497))*0.0375</f>
        <v>62.454374999999999</v>
      </c>
      <c r="G497" s="2238">
        <f>F497*2</f>
        <v>124.90875</v>
      </c>
      <c r="I497" s="2230"/>
    </row>
    <row r="498" spans="1:9" ht="25.2">
      <c r="A498" s="2253"/>
      <c r="B498" s="2213"/>
      <c r="C498" s="2232" t="s">
        <v>1943</v>
      </c>
      <c r="D498" s="2260" t="s">
        <v>1102</v>
      </c>
      <c r="E498" s="2258"/>
      <c r="F498" s="2259"/>
      <c r="G498" s="2238">
        <f>ROUND(D498*G490,2)</f>
        <v>20.94</v>
      </c>
      <c r="I498" s="2230"/>
    </row>
    <row r="499" spans="1:9" s="2246" customFormat="1">
      <c r="A499" s="2224"/>
      <c r="B499" s="2224"/>
      <c r="C499" s="2225" t="s">
        <v>1600</v>
      </c>
      <c r="D499" s="2264">
        <f>'Lead- Input sheet '!Q32</f>
        <v>0</v>
      </c>
      <c r="E499" s="2258">
        <f>ROUND(SUM(E496:E498)*D499,2)</f>
        <v>0</v>
      </c>
      <c r="F499" s="2259">
        <f>ROUND(SUM(F496:F498)*D499,2)</f>
        <v>0</v>
      </c>
      <c r="G499" s="2238">
        <f>ROUND(SUM(G496:G498)*D499,2)</f>
        <v>0</v>
      </c>
      <c r="H499" s="2245"/>
      <c r="I499" s="2230"/>
    </row>
    <row r="500" spans="1:9" s="2246" customFormat="1">
      <c r="A500" s="2224"/>
      <c r="B500" s="2224"/>
      <c r="C500" s="2225"/>
      <c r="D500" s="2262"/>
      <c r="E500" s="2258">
        <f>SUM(E496:E499)</f>
        <v>606.11</v>
      </c>
      <c r="F500" s="2259">
        <f>SUM(F496:F499)</f>
        <v>668.56437500000004</v>
      </c>
      <c r="G500" s="2238">
        <f>SUM(G496:G499)</f>
        <v>751.95875000000001</v>
      </c>
      <c r="H500" s="2256"/>
      <c r="I500" s="2230"/>
    </row>
    <row r="501" spans="1:9">
      <c r="A501" s="2253"/>
      <c r="B501" s="2213"/>
      <c r="C501" s="2232" t="s">
        <v>899</v>
      </c>
      <c r="D501" s="2233">
        <f>E488*0.9</f>
        <v>3.3750000000000002E-2</v>
      </c>
      <c r="E501" s="2233">
        <f>'Lead- Input sheet '!$O$19*$D$501</f>
        <v>0</v>
      </c>
      <c r="F501" s="2233">
        <f>'Lead- Input sheet '!$O$19*$D$501</f>
        <v>0</v>
      </c>
      <c r="G501" s="2233">
        <f>'Lead- Input sheet '!$O$19*$D$501</f>
        <v>0</v>
      </c>
      <c r="I501" s="2230"/>
    </row>
    <row r="502" spans="1:9">
      <c r="A502" s="2253"/>
      <c r="B502" s="2213"/>
      <c r="C502" s="2232" t="s">
        <v>900</v>
      </c>
      <c r="D502" s="2233">
        <f>E488*0.45</f>
        <v>1.6875000000000001E-2</v>
      </c>
      <c r="E502" s="2233">
        <f>'Lead- Input sheet '!$O$13*$D$502</f>
        <v>0</v>
      </c>
      <c r="F502" s="2233">
        <f>'Lead- Input sheet '!$O$13*$D$502</f>
        <v>0</v>
      </c>
      <c r="G502" s="2233">
        <f>'Lead- Input sheet '!$O$13*$D$502</f>
        <v>0</v>
      </c>
      <c r="I502" s="2230"/>
    </row>
    <row r="503" spans="1:9">
      <c r="A503" s="2224"/>
      <c r="B503" s="2224"/>
      <c r="C503" s="2225" t="s">
        <v>868</v>
      </c>
      <c r="D503" s="2263" t="s">
        <v>415</v>
      </c>
      <c r="E503" s="2244">
        <f>SUM(E500:E502)</f>
        <v>606.11</v>
      </c>
      <c r="F503" s="2247">
        <f>SUM(F500:F502)</f>
        <v>668.56437500000004</v>
      </c>
      <c r="G503" s="2244">
        <f>SUM(G500:G502)</f>
        <v>751.95875000000001</v>
      </c>
      <c r="I503" s="2230"/>
    </row>
    <row r="504" spans="1:9" hidden="1">
      <c r="A504" s="2224"/>
      <c r="B504" s="2213" t="s">
        <v>1477</v>
      </c>
      <c r="C504" s="2225" t="s">
        <v>3167</v>
      </c>
      <c r="D504" s="2233"/>
      <c r="E504" s="2233"/>
      <c r="F504" s="2237"/>
      <c r="G504" s="2238"/>
      <c r="I504" s="2230"/>
    </row>
    <row r="505" spans="1:9" hidden="1">
      <c r="A505" s="2224"/>
      <c r="B505" s="2213"/>
      <c r="C505" s="2232" t="s">
        <v>1130</v>
      </c>
      <c r="D505" s="2233"/>
      <c r="E505" s="2233"/>
      <c r="F505" s="2237"/>
      <c r="G505" s="2238">
        <f>+G407</f>
        <v>6050.84</v>
      </c>
      <c r="I505" s="2230"/>
    </row>
    <row r="506" spans="1:9" hidden="1">
      <c r="A506" s="2224"/>
      <c r="B506" s="2213"/>
      <c r="C506" s="2232" t="s">
        <v>862</v>
      </c>
      <c r="D506" s="2233">
        <f>1/0.1</f>
        <v>10</v>
      </c>
      <c r="E506" s="2233"/>
      <c r="F506" s="2237">
        <v>1599</v>
      </c>
      <c r="G506" s="2238">
        <f>+D506*F506</f>
        <v>15990</v>
      </c>
      <c r="I506" s="2230"/>
    </row>
    <row r="507" spans="1:9" hidden="1">
      <c r="A507" s="2224"/>
      <c r="B507" s="2213"/>
      <c r="C507" s="2232"/>
      <c r="D507" s="2233"/>
      <c r="E507" s="2233"/>
      <c r="F507" s="2237"/>
      <c r="G507" s="2238"/>
      <c r="I507" s="2230"/>
    </row>
    <row r="508" spans="1:9" hidden="1">
      <c r="A508" s="2224"/>
      <c r="B508" s="2213"/>
      <c r="C508" s="2232" t="s">
        <v>1485</v>
      </c>
      <c r="D508" s="2233"/>
      <c r="E508" s="2233">
        <f>G507</f>
        <v>0</v>
      </c>
      <c r="F508" s="2237">
        <f>'Lead- Input sheet '!Q127</f>
        <v>0</v>
      </c>
      <c r="G508" s="2238">
        <f>ROUND(E508*F508,2)</f>
        <v>0</v>
      </c>
      <c r="I508" s="2230"/>
    </row>
    <row r="509" spans="1:9" hidden="1">
      <c r="A509" s="2224"/>
      <c r="B509" s="2213"/>
      <c r="C509" s="2225" t="s">
        <v>861</v>
      </c>
      <c r="D509" s="2242"/>
      <c r="E509" s="2242"/>
      <c r="F509" s="2247" t="s">
        <v>1486</v>
      </c>
      <c r="G509" s="2244">
        <f>SUM(G505:G508)</f>
        <v>22040.84</v>
      </c>
      <c r="I509" s="2230"/>
    </row>
    <row r="510" spans="1:9" hidden="1">
      <c r="A510" s="2224"/>
      <c r="B510" s="2224"/>
      <c r="C510" s="2232"/>
      <c r="D510" s="2233"/>
      <c r="E510" s="2242" t="s">
        <v>1098</v>
      </c>
      <c r="F510" s="2249" t="s">
        <v>1099</v>
      </c>
      <c r="G510" s="2244" t="s">
        <v>1100</v>
      </c>
      <c r="I510" s="2230"/>
    </row>
    <row r="511" spans="1:9" hidden="1">
      <c r="A511" s="2224"/>
      <c r="B511" s="2213"/>
      <c r="C511" s="2232" t="s">
        <v>1101</v>
      </c>
      <c r="D511" s="2233"/>
      <c r="E511" s="2258">
        <f>G509</f>
        <v>22040.84</v>
      </c>
      <c r="F511" s="2259">
        <f>G509</f>
        <v>22040.84</v>
      </c>
      <c r="G511" s="2238">
        <f>G509</f>
        <v>22040.84</v>
      </c>
      <c r="I511" s="2230"/>
    </row>
    <row r="512" spans="1:9" hidden="1">
      <c r="A512" s="2224"/>
      <c r="B512" s="2213"/>
      <c r="C512" s="2232" t="s">
        <v>1103</v>
      </c>
      <c r="D512" s="2260" t="s">
        <v>1102</v>
      </c>
      <c r="E512" s="2258">
        <v>0</v>
      </c>
      <c r="F512" s="2259">
        <f>(SUM(G496:G499)+SUM(G507:G508))*D512</f>
        <v>75.195875000000001</v>
      </c>
      <c r="G512" s="2238">
        <f>F512*2</f>
        <v>150.39175</v>
      </c>
      <c r="I512" s="2230"/>
    </row>
    <row r="513" spans="1:9" ht="25.2" hidden="1">
      <c r="A513" s="2224"/>
      <c r="B513" s="2213"/>
      <c r="C513" s="2232" t="s">
        <v>1940</v>
      </c>
      <c r="D513" s="2260" t="s">
        <v>1102</v>
      </c>
      <c r="E513" s="2258"/>
      <c r="F513" s="2259"/>
      <c r="G513" s="2238">
        <f>ROUND(D513*G507,2)</f>
        <v>0</v>
      </c>
      <c r="I513" s="2230"/>
    </row>
    <row r="514" spans="1:9" hidden="1">
      <c r="A514" s="2224"/>
      <c r="B514" s="2213"/>
      <c r="C514" s="2225" t="s">
        <v>1600</v>
      </c>
      <c r="D514" s="2264">
        <f>'Lead- Input sheet '!Q128</f>
        <v>0</v>
      </c>
      <c r="E514" s="2258">
        <f>ROUND(SUM(E511:E513)*D514,2)</f>
        <v>0</v>
      </c>
      <c r="F514" s="2259">
        <f>ROUND(SUM(F511:F513)*D514,2)</f>
        <v>0</v>
      </c>
      <c r="G514" s="2238">
        <f>ROUND(SUM(G511:G513)*D514,2)</f>
        <v>0</v>
      </c>
      <c r="I514" s="2230"/>
    </row>
    <row r="515" spans="1:9" hidden="1">
      <c r="A515" s="2224"/>
      <c r="B515" s="2213"/>
      <c r="C515" s="2225" t="s">
        <v>861</v>
      </c>
      <c r="D515" s="2262"/>
      <c r="E515" s="2258">
        <f>SUM(E511:E514)</f>
        <v>22040.84</v>
      </c>
      <c r="F515" s="2259">
        <f>SUM(F511:F514)</f>
        <v>22116.035875000001</v>
      </c>
      <c r="G515" s="2238">
        <f>SUM(G511:G514)</f>
        <v>22191.231749999999</v>
      </c>
      <c r="I515" s="2230"/>
    </row>
    <row r="516" spans="1:9" hidden="1">
      <c r="A516" s="2224"/>
      <c r="B516" s="2224"/>
      <c r="C516" s="2232" t="s">
        <v>899</v>
      </c>
      <c r="D516" s="2233">
        <v>0.9</v>
      </c>
      <c r="E516" s="2233">
        <f>'Lead- Input sheet '!$O$19*$D$420</f>
        <v>0</v>
      </c>
      <c r="F516" s="2233">
        <f>'Lead- Input sheet '!$O$19*$D$420</f>
        <v>0</v>
      </c>
      <c r="G516" s="2233">
        <f>'Lead- Input sheet '!$O$19*$D$420</f>
        <v>0</v>
      </c>
      <c r="I516" s="2230"/>
    </row>
    <row r="517" spans="1:9" hidden="1">
      <c r="A517" s="2224"/>
      <c r="B517" s="2224"/>
      <c r="C517" s="2232" t="s">
        <v>900</v>
      </c>
      <c r="D517" s="2233">
        <v>0.45</v>
      </c>
      <c r="E517" s="2233">
        <f>'Lead- Input sheet '!$O$13*$D$421</f>
        <v>0</v>
      </c>
      <c r="F517" s="2233">
        <f>'Lead- Input sheet '!$O$13*$D$421</f>
        <v>0</v>
      </c>
      <c r="G517" s="2233">
        <f>'Lead- Input sheet '!$O$13*$D$421</f>
        <v>0</v>
      </c>
      <c r="I517" s="2230"/>
    </row>
    <row r="518" spans="1:9" hidden="1">
      <c r="A518" s="2224"/>
      <c r="B518" s="2213"/>
      <c r="C518" s="2225" t="s">
        <v>744</v>
      </c>
      <c r="D518" s="2263" t="s">
        <v>415</v>
      </c>
      <c r="E518" s="2244">
        <f>SUM(E515:E517)</f>
        <v>22040.84</v>
      </c>
      <c r="F518" s="2247">
        <f>SUM(F515:F517)</f>
        <v>22116.035875000001</v>
      </c>
      <c r="G518" s="2244">
        <f>SUM(G515:G517)</f>
        <v>22191.231749999999</v>
      </c>
      <c r="I518" s="2230"/>
    </row>
    <row r="519" spans="1:9" s="2274" customFormat="1" ht="37.799999999999997">
      <c r="A519" s="2266" t="s">
        <v>1399</v>
      </c>
      <c r="B519" s="2267">
        <v>21</v>
      </c>
      <c r="C519" s="2268" t="s">
        <v>1402</v>
      </c>
      <c r="D519" s="2269"/>
      <c r="E519" s="2269"/>
      <c r="F519" s="2270"/>
      <c r="G519" s="2271"/>
      <c r="H519" s="2272"/>
      <c r="I519" s="2273"/>
    </row>
    <row r="520" spans="1:9">
      <c r="A520" s="2275"/>
      <c r="B520" s="2276"/>
      <c r="C520" s="2277" t="s">
        <v>1400</v>
      </c>
      <c r="D520" s="2233"/>
      <c r="E520" s="2233"/>
      <c r="F520" s="2237"/>
      <c r="G520" s="2238"/>
      <c r="H520" s="2217"/>
      <c r="I520" s="2230"/>
    </row>
    <row r="521" spans="1:9">
      <c r="A521" s="2275"/>
      <c r="B521" s="2276"/>
      <c r="C521" s="2277" t="s">
        <v>1040</v>
      </c>
      <c r="D521" s="2233"/>
      <c r="E521" s="2233"/>
      <c r="F521" s="2237"/>
      <c r="G521" s="2238"/>
      <c r="H521" s="2217"/>
      <c r="I521" s="2230"/>
    </row>
    <row r="522" spans="1:9">
      <c r="A522" s="2275"/>
      <c r="B522" s="2276"/>
      <c r="C522" s="2277" t="s">
        <v>1041</v>
      </c>
      <c r="D522" s="2233"/>
      <c r="E522" s="2233"/>
      <c r="F522" s="2237"/>
      <c r="G522" s="2238"/>
      <c r="H522" s="2217"/>
      <c r="I522" s="2230"/>
    </row>
    <row r="523" spans="1:9">
      <c r="A523" s="2275"/>
      <c r="B523" s="2276"/>
      <c r="C523" s="2277" t="s">
        <v>523</v>
      </c>
      <c r="D523" s="2233" t="s">
        <v>338</v>
      </c>
      <c r="E523" s="2233">
        <v>220</v>
      </c>
      <c r="F523" s="2237">
        <f>'Lead- Input sheet '!R8</f>
        <v>6656</v>
      </c>
      <c r="G523" s="2238">
        <f>ROUND(E523*F523/1000,2)</f>
        <v>1464.32</v>
      </c>
      <c r="H523" s="2217"/>
      <c r="I523" s="2230"/>
    </row>
    <row r="524" spans="1:9">
      <c r="A524" s="2275"/>
      <c r="B524" s="2276"/>
      <c r="C524" s="2277" t="s">
        <v>1401</v>
      </c>
      <c r="D524" s="2233" t="s">
        <v>1473</v>
      </c>
      <c r="E524" s="2233">
        <v>0.9</v>
      </c>
      <c r="F524" s="2237">
        <f>'Lead- Input sheet '!R18</f>
        <v>1493.2033622320996</v>
      </c>
      <c r="G524" s="2238">
        <f>ROUND(E524*F524,2)</f>
        <v>1343.88</v>
      </c>
      <c r="H524" s="2217"/>
      <c r="I524" s="2230"/>
    </row>
    <row r="525" spans="1:9">
      <c r="A525" s="2275"/>
      <c r="B525" s="2276"/>
      <c r="C525" s="2277" t="s">
        <v>1571</v>
      </c>
      <c r="D525" s="2233" t="s">
        <v>1473</v>
      </c>
      <c r="E525" s="2233">
        <v>0.22500000000000001</v>
      </c>
      <c r="F525" s="2237">
        <f>'Lead- Input sheet '!R13</f>
        <v>1010.6380759582802</v>
      </c>
      <c r="G525" s="2238">
        <f>ROUND(E525*F525,2)</f>
        <v>227.39</v>
      </c>
      <c r="H525" s="2217"/>
      <c r="I525" s="2230"/>
    </row>
    <row r="526" spans="1:9">
      <c r="A526" s="2275"/>
      <c r="B526" s="2276"/>
      <c r="C526" s="2232" t="s">
        <v>3141</v>
      </c>
      <c r="D526" s="2233" t="s">
        <v>1473</v>
      </c>
      <c r="E526" s="2233">
        <v>0.22500000000000001</v>
      </c>
      <c r="F526" s="2237">
        <f>'Lead- Input sheet '!R14</f>
        <v>1218.5339963913216</v>
      </c>
      <c r="G526" s="2238">
        <f>ROUND(E526*F526,2)</f>
        <v>274.17</v>
      </c>
      <c r="H526" s="2217"/>
      <c r="I526" s="2230"/>
    </row>
    <row r="527" spans="1:9">
      <c r="A527" s="2275"/>
      <c r="B527" s="2276"/>
      <c r="C527" s="2277" t="s">
        <v>340</v>
      </c>
      <c r="D527" s="2233"/>
      <c r="E527" s="2233"/>
      <c r="F527" s="2237"/>
      <c r="G527" s="2238"/>
      <c r="H527" s="2217"/>
      <c r="I527" s="2230"/>
    </row>
    <row r="528" spans="1:9" ht="14.1">
      <c r="A528" s="2275"/>
      <c r="B528" s="2276"/>
      <c r="C528" s="2277" t="s">
        <v>3589</v>
      </c>
      <c r="D528" s="2233" t="s">
        <v>1047</v>
      </c>
      <c r="E528" s="2233">
        <v>0.1</v>
      </c>
      <c r="F528" s="2240">
        <f>'Lead- Input sheet '!R31</f>
        <v>680</v>
      </c>
      <c r="G528" s="2238">
        <f>ROUND(E528*F528,2)</f>
        <v>68</v>
      </c>
      <c r="H528" s="2217"/>
      <c r="I528" s="2230"/>
    </row>
    <row r="529" spans="1:11">
      <c r="A529" s="2275"/>
      <c r="B529" s="2276"/>
      <c r="C529" s="2277" t="s">
        <v>341</v>
      </c>
      <c r="D529" s="2233" t="s">
        <v>1047</v>
      </c>
      <c r="E529" s="2233">
        <v>2.36</v>
      </c>
      <c r="F529" s="2240">
        <f>'Lead- Input sheet '!R29</f>
        <v>605</v>
      </c>
      <c r="G529" s="2238">
        <f>ROUND(E529*F529,2)</f>
        <v>1427.8</v>
      </c>
      <c r="H529" s="2250"/>
      <c r="I529" s="2230"/>
    </row>
    <row r="530" spans="1:11">
      <c r="A530" s="2227"/>
      <c r="B530" s="2224"/>
      <c r="C530" s="2232" t="s">
        <v>2617</v>
      </c>
      <c r="D530" s="2233"/>
      <c r="E530" s="2233">
        <f>'Lead- Input sheet '!Q31</f>
        <v>0</v>
      </c>
      <c r="F530" s="2240">
        <f>SUM(G528:G529)</f>
        <v>1495.8</v>
      </c>
      <c r="G530" s="2238">
        <f>ROUND(F530*E530,2)</f>
        <v>0</v>
      </c>
      <c r="H530" s="2250"/>
      <c r="I530" s="2230"/>
    </row>
    <row r="531" spans="1:11" s="2246" customFormat="1">
      <c r="A531" s="2253"/>
      <c r="B531" s="2213"/>
      <c r="C531" s="2232" t="s">
        <v>862</v>
      </c>
      <c r="D531" s="2233"/>
      <c r="E531" s="2233"/>
      <c r="F531" s="2237"/>
      <c r="G531" s="2241">
        <v>77</v>
      </c>
      <c r="H531" s="2256"/>
      <c r="I531" s="2230"/>
    </row>
    <row r="532" spans="1:11" s="2246" customFormat="1">
      <c r="A532" s="2253"/>
      <c r="B532" s="2213"/>
      <c r="C532" s="2232" t="s">
        <v>863</v>
      </c>
      <c r="D532" s="2233"/>
      <c r="E532" s="2233"/>
      <c r="F532" s="2237"/>
      <c r="G532" s="2241">
        <v>458</v>
      </c>
      <c r="H532" s="2250"/>
      <c r="I532" s="2230"/>
    </row>
    <row r="533" spans="1:11">
      <c r="A533" s="2253"/>
      <c r="B533" s="2213"/>
      <c r="C533" s="2232" t="s">
        <v>1485</v>
      </c>
      <c r="D533" s="2233"/>
      <c r="E533" s="2233">
        <f>G532</f>
        <v>458</v>
      </c>
      <c r="F533" s="2237">
        <f>'Lead- Input sheet '!Q31</f>
        <v>0</v>
      </c>
      <c r="G533" s="2238">
        <f>ROUND(E533*F533,2)</f>
        <v>0</v>
      </c>
      <c r="I533" s="2230"/>
      <c r="J533" s="2211">
        <f>0.05+0.075</f>
        <v>0.125</v>
      </c>
      <c r="K533" s="2211">
        <f>J533/2</f>
        <v>6.25E-2</v>
      </c>
    </row>
    <row r="534" spans="1:11">
      <c r="A534" s="2275"/>
      <c r="B534" s="2276"/>
      <c r="C534" s="2277" t="s">
        <v>1048</v>
      </c>
      <c r="D534" s="2233"/>
      <c r="E534" s="2233"/>
      <c r="F534" s="2237"/>
      <c r="G534" s="2244">
        <f>SUM(G523:G533)</f>
        <v>5340.5599999999995</v>
      </c>
      <c r="H534" s="2256"/>
      <c r="I534" s="2230"/>
    </row>
    <row r="535" spans="1:11" s="2246" customFormat="1">
      <c r="A535" s="2224"/>
      <c r="B535" s="2224"/>
      <c r="C535" s="2225" t="s">
        <v>1600</v>
      </c>
      <c r="D535" s="2242"/>
      <c r="E535" s="2242">
        <f>G534</f>
        <v>5340.5599999999995</v>
      </c>
      <c r="F535" s="2249">
        <f>'Lead- Input sheet '!Q32</f>
        <v>0</v>
      </c>
      <c r="G535" s="2244">
        <f>ROUND(E535*F535,2)</f>
        <v>0</v>
      </c>
      <c r="H535" s="2245"/>
      <c r="I535" s="2230"/>
    </row>
    <row r="536" spans="1:11" s="2246" customFormat="1">
      <c r="A536" s="2224"/>
      <c r="B536" s="2224"/>
      <c r="C536" s="2225" t="s">
        <v>1062</v>
      </c>
      <c r="D536" s="2242"/>
      <c r="E536" s="2242"/>
      <c r="F536" s="2247" t="s">
        <v>1486</v>
      </c>
      <c r="G536" s="2244">
        <f>SUM(G534:G535)</f>
        <v>5340.5599999999995</v>
      </c>
      <c r="H536" s="2256"/>
      <c r="I536" s="2230"/>
    </row>
    <row r="537" spans="1:11">
      <c r="A537" s="2253"/>
      <c r="B537" s="2213"/>
      <c r="C537" s="2232" t="s">
        <v>899</v>
      </c>
      <c r="D537" s="2233"/>
      <c r="E537" s="2233">
        <v>0.9</v>
      </c>
      <c r="F537" s="2237">
        <f>'Lead- Input sheet '!$O$18</f>
        <v>0</v>
      </c>
      <c r="G537" s="2238">
        <f>ROUND(E537*F537,2)</f>
        <v>0</v>
      </c>
      <c r="I537" s="2230"/>
    </row>
    <row r="538" spans="1:11">
      <c r="A538" s="2253"/>
      <c r="B538" s="2213"/>
      <c r="C538" s="2232" t="s">
        <v>900</v>
      </c>
      <c r="D538" s="2233"/>
      <c r="E538" s="2233">
        <v>0.45</v>
      </c>
      <c r="F538" s="2237">
        <f>'Lead- Input sheet '!$O$11</f>
        <v>0</v>
      </c>
      <c r="G538" s="2238">
        <f>ROUND(E538*F538,2)</f>
        <v>0</v>
      </c>
      <c r="I538" s="2230"/>
    </row>
    <row r="539" spans="1:11">
      <c r="A539" s="2224"/>
      <c r="B539" s="2224"/>
      <c r="C539" s="2225" t="s">
        <v>744</v>
      </c>
      <c r="D539" s="2263" t="s">
        <v>415</v>
      </c>
      <c r="E539" s="2244"/>
      <c r="F539" s="2247"/>
      <c r="G539" s="2244">
        <f>SUM(G536:G538)</f>
        <v>5340.5599999999995</v>
      </c>
      <c r="I539" s="2230"/>
    </row>
    <row r="540" spans="1:11">
      <c r="A540" s="2253"/>
      <c r="B540" s="2213"/>
      <c r="C540" s="2232" t="s">
        <v>1424</v>
      </c>
      <c r="D540" s="2233"/>
      <c r="E540" s="2233"/>
      <c r="F540" s="2237"/>
      <c r="G540" s="2238"/>
      <c r="I540" s="2230"/>
    </row>
    <row r="541" spans="1:11" ht="90" hidden="1" customHeight="1">
      <c r="A541" s="2213">
        <v>10</v>
      </c>
      <c r="B541" s="2278" t="s">
        <v>3077</v>
      </c>
      <c r="C541" s="2654" t="s">
        <v>3078</v>
      </c>
      <c r="D541" s="2654"/>
      <c r="E541" s="2654"/>
      <c r="F541" s="2654"/>
      <c r="G541" s="2654"/>
      <c r="H541" s="2279"/>
      <c r="I541" s="2211"/>
    </row>
    <row r="542" spans="1:11" hidden="1">
      <c r="A542" s="2213"/>
      <c r="B542" s="2280"/>
      <c r="C542" s="2281" t="s">
        <v>3079</v>
      </c>
      <c r="D542" s="2228"/>
      <c r="E542" s="2228"/>
      <c r="F542" s="2228"/>
      <c r="G542" s="2277"/>
      <c r="H542" s="2282"/>
      <c r="I542" s="2211"/>
    </row>
    <row r="543" spans="1:11" hidden="1">
      <c r="A543" s="2213"/>
      <c r="B543" s="2280"/>
      <c r="C543" s="2283" t="s">
        <v>759</v>
      </c>
      <c r="D543" s="2228" t="s">
        <v>1473</v>
      </c>
      <c r="E543" s="2284">
        <v>0.9</v>
      </c>
      <c r="F543" s="2228">
        <f>'Lead- Input sheet '!R18</f>
        <v>1493.2033622320996</v>
      </c>
      <c r="G543" s="2277">
        <f>ROUND(E543*F543,2)</f>
        <v>1343.88</v>
      </c>
      <c r="H543" s="2282">
        <v>1322.34</v>
      </c>
      <c r="I543" s="2211"/>
    </row>
    <row r="544" spans="1:11" hidden="1">
      <c r="A544" s="2213"/>
      <c r="B544" s="2280"/>
      <c r="C544" s="2283" t="s">
        <v>3080</v>
      </c>
      <c r="D544" s="2228" t="s">
        <v>1473</v>
      </c>
      <c r="E544" s="2284">
        <v>0.45</v>
      </c>
      <c r="F544" s="2228">
        <f>'Lead- Input sheet '!R13</f>
        <v>1010.6380759582802</v>
      </c>
      <c r="G544" s="2277">
        <f>ROUND(E544*F544,2)</f>
        <v>454.79</v>
      </c>
      <c r="H544" s="2282">
        <v>389.08</v>
      </c>
      <c r="I544" s="2211"/>
    </row>
    <row r="545" spans="1:9" hidden="1">
      <c r="A545" s="2213"/>
      <c r="B545" s="2280"/>
      <c r="C545" s="2283" t="s">
        <v>523</v>
      </c>
      <c r="D545" s="2228" t="s">
        <v>1038</v>
      </c>
      <c r="E545" s="2285">
        <v>330</v>
      </c>
      <c r="F545" s="2228">
        <f>'Lead- Input sheet '!R8</f>
        <v>6656</v>
      </c>
      <c r="G545" s="2277">
        <f>ROUND(E545*F545/1000,2)</f>
        <v>2196.48</v>
      </c>
      <c r="H545" s="2282">
        <v>1749</v>
      </c>
      <c r="I545" s="2211"/>
    </row>
    <row r="546" spans="1:9" hidden="1">
      <c r="A546" s="2213"/>
      <c r="B546" s="2280"/>
      <c r="C546" s="2281" t="s">
        <v>3081</v>
      </c>
      <c r="D546" s="2228"/>
      <c r="E546" s="2284"/>
      <c r="F546" s="2228"/>
      <c r="G546" s="2277"/>
      <c r="H546" s="2282"/>
      <c r="I546" s="2211"/>
    </row>
    <row r="547" spans="1:9" hidden="1">
      <c r="A547" s="2213"/>
      <c r="B547" s="2280"/>
      <c r="C547" s="2283" t="s">
        <v>932</v>
      </c>
      <c r="D547" s="2228" t="s">
        <v>1047</v>
      </c>
      <c r="E547" s="2284">
        <v>0.13300000000000001</v>
      </c>
      <c r="F547" s="2286">
        <f>'Lead- Input sheet '!R31</f>
        <v>680</v>
      </c>
      <c r="G547" s="2277">
        <f>ROUND(E547*F547,2)</f>
        <v>90.44</v>
      </c>
      <c r="H547" s="2282">
        <v>77.14</v>
      </c>
      <c r="I547" s="2211"/>
    </row>
    <row r="548" spans="1:9" hidden="1">
      <c r="A548" s="2213"/>
      <c r="B548" s="2280"/>
      <c r="C548" s="2283" t="s">
        <v>933</v>
      </c>
      <c r="D548" s="2228" t="s">
        <v>1047</v>
      </c>
      <c r="E548" s="2284">
        <v>0.26700000000000002</v>
      </c>
      <c r="F548" s="2286">
        <f>'Lead- Input sheet '!R30</f>
        <v>650</v>
      </c>
      <c r="G548" s="2277">
        <f>ROUND(E548*F548,2)</f>
        <v>173.55</v>
      </c>
      <c r="H548" s="2282">
        <v>146.85</v>
      </c>
      <c r="I548" s="2211"/>
    </row>
    <row r="549" spans="1:9" hidden="1">
      <c r="A549" s="2213"/>
      <c r="B549" s="2280"/>
      <c r="C549" s="2283" t="s">
        <v>934</v>
      </c>
      <c r="D549" s="2228" t="s">
        <v>1047</v>
      </c>
      <c r="E549" s="2284">
        <v>3.6</v>
      </c>
      <c r="F549" s="2286">
        <f>'Lead- Input sheet '!R28</f>
        <v>605</v>
      </c>
      <c r="G549" s="2277">
        <f>ROUND(E549*F549,2)</f>
        <v>2178</v>
      </c>
      <c r="H549" s="2287">
        <v>1872</v>
      </c>
      <c r="I549" s="2211"/>
    </row>
    <row r="550" spans="1:9" hidden="1">
      <c r="A550" s="2213"/>
      <c r="B550" s="2280"/>
      <c r="C550" s="2288" t="s">
        <v>3082</v>
      </c>
      <c r="D550" s="2289">
        <v>0</v>
      </c>
      <c r="E550" s="2290"/>
      <c r="F550" s="2291"/>
      <c r="G550" s="2292">
        <f>ROUND(SUM(G547:G549)*D550,2)</f>
        <v>0</v>
      </c>
      <c r="H550" s="2287">
        <v>0</v>
      </c>
      <c r="I550" s="2211"/>
    </row>
    <row r="551" spans="1:9" hidden="1">
      <c r="A551" s="2213"/>
      <c r="B551" s="2280"/>
      <c r="C551" s="2281" t="s">
        <v>3083</v>
      </c>
      <c r="D551" s="2228"/>
      <c r="E551" s="2284"/>
      <c r="F551" s="2228"/>
      <c r="G551" s="2277"/>
      <c r="H551" s="2287"/>
      <c r="I551" s="2211"/>
    </row>
    <row r="552" spans="1:9" hidden="1">
      <c r="A552" s="2213"/>
      <c r="B552" s="2280"/>
      <c r="C552" s="2293" t="s">
        <v>3084</v>
      </c>
      <c r="D552" s="2228" t="s">
        <v>345</v>
      </c>
      <c r="E552" s="2284">
        <v>1</v>
      </c>
      <c r="F552" s="2286">
        <v>721.5</v>
      </c>
      <c r="G552" s="2277">
        <f>ROUND(E552*F552,2)</f>
        <v>721.5</v>
      </c>
      <c r="H552" s="2287">
        <v>667.2</v>
      </c>
      <c r="I552" s="2211"/>
    </row>
    <row r="553" spans="1:9" hidden="1">
      <c r="A553" s="2213"/>
      <c r="B553" s="2280"/>
      <c r="C553" s="2283" t="s">
        <v>342</v>
      </c>
      <c r="D553" s="2228" t="s">
        <v>343</v>
      </c>
      <c r="E553" s="2284">
        <v>1.2</v>
      </c>
      <c r="F553" s="2294">
        <v>550</v>
      </c>
      <c r="G553" s="2277">
        <f>ROUND(E553*F553,2)</f>
        <v>660</v>
      </c>
      <c r="H553" s="2287">
        <v>96</v>
      </c>
      <c r="I553" s="2211"/>
    </row>
    <row r="554" spans="1:9" hidden="1">
      <c r="A554" s="2213"/>
      <c r="B554" s="2280"/>
      <c r="C554" s="2283" t="s">
        <v>3085</v>
      </c>
      <c r="D554" s="2228" t="s">
        <v>525</v>
      </c>
      <c r="E554" s="2284">
        <v>1</v>
      </c>
      <c r="F554" s="2294">
        <v>350</v>
      </c>
      <c r="G554" s="2277">
        <f>ROUND(E554*F554,2)</f>
        <v>350</v>
      </c>
      <c r="H554" s="2287">
        <v>0</v>
      </c>
      <c r="I554" s="2211"/>
    </row>
    <row r="555" spans="1:9" hidden="1">
      <c r="A555" s="2224"/>
      <c r="B555" s="2280"/>
      <c r="C555" s="2283" t="s">
        <v>3086</v>
      </c>
      <c r="D555" s="2289">
        <v>0</v>
      </c>
      <c r="E555" s="2290"/>
      <c r="F555" s="2291">
        <v>0</v>
      </c>
      <c r="G555" s="2292">
        <f>ROUND(F555*D555,2)</f>
        <v>0</v>
      </c>
      <c r="H555" s="2295">
        <v>0</v>
      </c>
      <c r="I555" s="2211"/>
    </row>
    <row r="556" spans="1:9" hidden="1">
      <c r="A556" s="2224"/>
      <c r="B556" s="2280"/>
      <c r="C556" s="2296" t="s">
        <v>3175</v>
      </c>
      <c r="D556" s="2297">
        <v>0</v>
      </c>
      <c r="E556" s="2290"/>
      <c r="F556" s="2291"/>
      <c r="G556" s="2292">
        <f>ROUND(SUM(G543:G555)*D556,2)</f>
        <v>0</v>
      </c>
      <c r="H556" s="2295">
        <v>0</v>
      </c>
      <c r="I556" s="2211"/>
    </row>
    <row r="557" spans="1:9" hidden="1">
      <c r="A557" s="2224"/>
      <c r="B557" s="2280"/>
      <c r="C557" s="2281" t="s">
        <v>1048</v>
      </c>
      <c r="D557" s="2253"/>
      <c r="E557" s="2253"/>
      <c r="F557" s="2228" t="s">
        <v>1473</v>
      </c>
      <c r="G557" s="2298">
        <f>SUM(G543:G556)</f>
        <v>8168.64</v>
      </c>
      <c r="H557" s="2299">
        <v>6319.61</v>
      </c>
      <c r="I557" s="2211"/>
    </row>
    <row r="558" spans="1:9" hidden="1">
      <c r="A558" s="2214"/>
      <c r="B558" s="2300"/>
      <c r="C558" s="2301"/>
      <c r="D558" s="2242"/>
      <c r="E558" s="2242"/>
      <c r="F558" s="2249"/>
      <c r="G558" s="2244"/>
      <c r="H558" s="2217"/>
      <c r="I558" s="2230"/>
    </row>
    <row r="559" spans="1:9" hidden="1">
      <c r="A559" s="2253"/>
      <c r="B559" s="2213"/>
      <c r="C559" s="2232"/>
      <c r="D559" s="2233"/>
      <c r="E559" s="2233"/>
      <c r="F559" s="2237"/>
      <c r="G559" s="2238"/>
      <c r="I559" s="2230"/>
    </row>
    <row r="560" spans="1:9" hidden="1">
      <c r="A560" s="2253"/>
      <c r="B560" s="2213"/>
      <c r="C560" s="2232"/>
      <c r="D560" s="2233"/>
      <c r="E560" s="2233"/>
      <c r="F560" s="2237"/>
      <c r="G560" s="2238"/>
      <c r="I560" s="2230"/>
    </row>
    <row r="561" spans="1:9" hidden="1">
      <c r="A561" s="2253"/>
      <c r="B561" s="2213"/>
      <c r="C561" s="2232"/>
      <c r="D561" s="2233"/>
      <c r="E561" s="2233"/>
      <c r="F561" s="2237"/>
      <c r="G561" s="2238"/>
      <c r="I561" s="2230"/>
    </row>
    <row r="562" spans="1:9" hidden="1">
      <c r="A562" s="2253"/>
      <c r="B562" s="2213"/>
      <c r="C562" s="2232"/>
      <c r="D562" s="2233"/>
      <c r="E562" s="2233"/>
      <c r="F562" s="2237"/>
      <c r="G562" s="2238"/>
      <c r="I562" s="2230"/>
    </row>
    <row r="563" spans="1:9" hidden="1">
      <c r="A563" s="2253"/>
      <c r="B563" s="2213"/>
      <c r="C563" s="2232"/>
      <c r="D563" s="2233"/>
      <c r="E563" s="2233"/>
      <c r="F563" s="2237"/>
      <c r="G563" s="2238"/>
      <c r="I563" s="2230"/>
    </row>
    <row r="564" spans="1:9" hidden="1">
      <c r="A564" s="2253"/>
      <c r="B564" s="2213"/>
      <c r="C564" s="2232"/>
      <c r="D564" s="2233"/>
      <c r="E564" s="2233"/>
      <c r="F564" s="2237"/>
      <c r="G564" s="2238"/>
      <c r="I564" s="2230"/>
    </row>
    <row r="565" spans="1:9" hidden="1">
      <c r="A565" s="2253"/>
      <c r="B565" s="2213"/>
      <c r="C565" s="2232"/>
      <c r="D565" s="2233"/>
      <c r="E565" s="2233"/>
      <c r="F565" s="2237"/>
      <c r="G565" s="2238"/>
      <c r="I565" s="2230"/>
    </row>
    <row r="566" spans="1:9" hidden="1">
      <c r="A566" s="2253"/>
      <c r="B566" s="2213"/>
      <c r="C566" s="2232"/>
      <c r="D566" s="2233"/>
      <c r="E566" s="2233"/>
      <c r="F566" s="2237"/>
      <c r="G566" s="2238"/>
      <c r="I566" s="2230"/>
    </row>
    <row r="567" spans="1:9" hidden="1">
      <c r="A567" s="2253"/>
      <c r="B567" s="2213"/>
      <c r="C567" s="2232"/>
      <c r="D567" s="2233"/>
      <c r="E567" s="2233"/>
      <c r="F567" s="2237"/>
      <c r="G567" s="2238"/>
      <c r="I567" s="2230"/>
    </row>
    <row r="568" spans="1:9" hidden="1">
      <c r="A568" s="2253"/>
      <c r="B568" s="2213"/>
      <c r="C568" s="2232"/>
      <c r="D568" s="2233"/>
      <c r="E568" s="2233"/>
      <c r="F568" s="2237"/>
      <c r="G568" s="2238"/>
      <c r="I568" s="2230"/>
    </row>
    <row r="569" spans="1:9" hidden="1">
      <c r="A569" s="2253"/>
      <c r="B569" s="2213"/>
      <c r="C569" s="2232"/>
      <c r="D569" s="2233"/>
      <c r="E569" s="2233"/>
      <c r="F569" s="2237"/>
      <c r="G569" s="2238"/>
      <c r="I569" s="2230"/>
    </row>
    <row r="570" spans="1:9" hidden="1">
      <c r="A570" s="2253"/>
      <c r="B570" s="2213"/>
      <c r="C570" s="2232"/>
      <c r="D570" s="2233"/>
      <c r="E570" s="2233"/>
      <c r="F570" s="2237"/>
      <c r="G570" s="2238"/>
      <c r="I570" s="2230"/>
    </row>
    <row r="571" spans="1:9" hidden="1">
      <c r="A571" s="2253"/>
      <c r="B571" s="2213"/>
      <c r="C571" s="2232"/>
      <c r="D571" s="2233"/>
      <c r="E571" s="2233"/>
      <c r="F571" s="2237"/>
      <c r="G571" s="2238"/>
      <c r="I571" s="2230"/>
    </row>
    <row r="572" spans="1:9" hidden="1">
      <c r="A572" s="2253"/>
      <c r="B572" s="2213"/>
      <c r="C572" s="2232"/>
      <c r="D572" s="2233"/>
      <c r="E572" s="2233"/>
      <c r="F572" s="2237"/>
      <c r="G572" s="2238"/>
      <c r="I572" s="2230"/>
    </row>
    <row r="573" spans="1:9" ht="137.25" customHeight="1">
      <c r="A573" s="2213" t="s">
        <v>1480</v>
      </c>
      <c r="B573" s="2302" t="s">
        <v>2991</v>
      </c>
      <c r="C573" s="2652" t="s">
        <v>3594</v>
      </c>
      <c r="D573" s="2652"/>
      <c r="E573" s="2652"/>
      <c r="F573" s="2652"/>
      <c r="G573" s="2238"/>
      <c r="I573" s="2230"/>
    </row>
    <row r="574" spans="1:9">
      <c r="A574" s="2253"/>
      <c r="B574" s="2651"/>
      <c r="C574" s="2232" t="s">
        <v>996</v>
      </c>
      <c r="D574" s="2233"/>
      <c r="E574" s="2233"/>
      <c r="F574" s="2237"/>
      <c r="G574" s="2238"/>
      <c r="I574" s="2230"/>
    </row>
    <row r="575" spans="1:9">
      <c r="A575" s="2253"/>
      <c r="B575" s="2651"/>
      <c r="C575" s="2232" t="s">
        <v>997</v>
      </c>
      <c r="D575" s="2233"/>
      <c r="E575" s="2233"/>
      <c r="F575" s="2237"/>
      <c r="G575" s="2238"/>
      <c r="I575" s="2230"/>
    </row>
    <row r="576" spans="1:9">
      <c r="A576" s="2253"/>
      <c r="B576" s="2651"/>
      <c r="C576" s="2232" t="s">
        <v>998</v>
      </c>
      <c r="D576" s="2233" t="s">
        <v>999</v>
      </c>
      <c r="E576" s="2233">
        <v>1.05</v>
      </c>
      <c r="F576" s="2237">
        <f>'Lead- Input sheet '!R9</f>
        <v>60180</v>
      </c>
      <c r="G576" s="2238">
        <f>ROUND(E576*F576,2)</f>
        <v>63189</v>
      </c>
      <c r="I576" s="2230"/>
    </row>
    <row r="577" spans="1:9">
      <c r="A577" s="2253"/>
      <c r="B577" s="2213"/>
      <c r="C577" s="2232" t="s">
        <v>2569</v>
      </c>
      <c r="D577" s="2233" t="s">
        <v>347</v>
      </c>
      <c r="E577" s="2233">
        <v>6</v>
      </c>
      <c r="F577" s="2240">
        <v>85</v>
      </c>
      <c r="G577" s="2238">
        <f>ROUND(E577*F577,2)</f>
        <v>510</v>
      </c>
      <c r="I577" s="2230"/>
    </row>
    <row r="578" spans="1:9" ht="25.2">
      <c r="A578" s="2253"/>
      <c r="B578" s="2213"/>
      <c r="C578" s="2232" t="s">
        <v>1338</v>
      </c>
      <c r="D578" s="2233"/>
      <c r="E578" s="2233"/>
      <c r="F578" s="2237"/>
      <c r="G578" s="2238"/>
      <c r="I578" s="2230"/>
    </row>
    <row r="579" spans="1:9">
      <c r="A579" s="2253"/>
      <c r="B579" s="2213"/>
      <c r="C579" s="2232" t="s">
        <v>1339</v>
      </c>
      <c r="D579" s="2233" t="s">
        <v>1047</v>
      </c>
      <c r="E579" s="2233">
        <v>10</v>
      </c>
      <c r="F579" s="2240">
        <f>'Lead- Input sheet '!R34</f>
        <v>805</v>
      </c>
      <c r="G579" s="2238">
        <f>ROUND(E579*F579,2)</f>
        <v>8050</v>
      </c>
      <c r="I579" s="2230"/>
    </row>
    <row r="580" spans="1:9">
      <c r="A580" s="2253"/>
      <c r="B580" s="2213"/>
      <c r="C580" s="2232" t="s">
        <v>348</v>
      </c>
      <c r="D580" s="2233" t="s">
        <v>1047</v>
      </c>
      <c r="E580" s="2233">
        <v>10</v>
      </c>
      <c r="F580" s="2240">
        <f>'Lead- Input sheet '!R29</f>
        <v>605</v>
      </c>
      <c r="G580" s="2238">
        <f>ROUND(E580*F580,2)</f>
        <v>6050</v>
      </c>
      <c r="I580" s="2230"/>
    </row>
    <row r="581" spans="1:9">
      <c r="A581" s="2227"/>
      <c r="B581" s="2224"/>
      <c r="C581" s="2232" t="s">
        <v>2617</v>
      </c>
      <c r="D581" s="2233"/>
      <c r="E581" s="2233">
        <f>'Lead- Input sheet '!Q31</f>
        <v>0</v>
      </c>
      <c r="F581" s="2237">
        <f>SUM(G579:G580)</f>
        <v>14100</v>
      </c>
      <c r="G581" s="2238">
        <f>ROUND(F581*E581,2)</f>
        <v>0</v>
      </c>
      <c r="H581" s="2250"/>
      <c r="I581" s="2230"/>
    </row>
    <row r="582" spans="1:9" s="2231" customFormat="1">
      <c r="A582" s="2253"/>
      <c r="B582" s="2213"/>
      <c r="C582" s="2232" t="s">
        <v>873</v>
      </c>
      <c r="D582" s="2233"/>
      <c r="E582" s="2233"/>
      <c r="F582" s="2237"/>
      <c r="G582" s="2238">
        <f>SUM(G576:G581)</f>
        <v>77799</v>
      </c>
      <c r="H582" s="2236"/>
      <c r="I582" s="2230"/>
    </row>
    <row r="583" spans="1:9" s="2254" customFormat="1">
      <c r="A583" s="2213"/>
      <c r="B583" s="2213"/>
      <c r="C583" s="2225" t="s">
        <v>1600</v>
      </c>
      <c r="D583" s="2242"/>
      <c r="E583" s="2242">
        <f>G582</f>
        <v>77799</v>
      </c>
      <c r="F583" s="2243">
        <f>'Lead- Input sheet '!Q32</f>
        <v>0</v>
      </c>
      <c r="G583" s="2244">
        <f>ROUND(E583*F583,2)</f>
        <v>0</v>
      </c>
      <c r="H583" s="2251"/>
      <c r="I583" s="2230"/>
    </row>
    <row r="584" spans="1:9" s="2246" customFormat="1">
      <c r="A584" s="2213"/>
      <c r="B584" s="2213"/>
      <c r="C584" s="2225" t="s">
        <v>872</v>
      </c>
      <c r="D584" s="2242"/>
      <c r="E584" s="2242"/>
      <c r="F584" s="2247" t="s">
        <v>1486</v>
      </c>
      <c r="G584" s="2244">
        <f>SUM(G582:G583)</f>
        <v>77799</v>
      </c>
      <c r="H584" s="2245"/>
      <c r="I584" s="2230"/>
    </row>
    <row r="585" spans="1:9" s="2246" customFormat="1" ht="37.799999999999997">
      <c r="A585" s="2213" t="s">
        <v>365</v>
      </c>
      <c r="B585" s="2213">
        <v>23</v>
      </c>
      <c r="C585" s="2225" t="s">
        <v>77</v>
      </c>
      <c r="D585" s="2233"/>
      <c r="E585" s="2233"/>
      <c r="F585" s="2237"/>
      <c r="G585" s="2238"/>
      <c r="H585" s="2256"/>
      <c r="I585" s="2230"/>
    </row>
    <row r="586" spans="1:9">
      <c r="A586" s="2253"/>
      <c r="B586" s="2213"/>
      <c r="C586" s="2232" t="s">
        <v>346</v>
      </c>
      <c r="D586" s="2233"/>
      <c r="E586" s="2233"/>
      <c r="F586" s="2237"/>
      <c r="G586" s="2238"/>
      <c r="I586" s="2230"/>
    </row>
    <row r="587" spans="1:9">
      <c r="A587" s="2253"/>
      <c r="B587" s="2213"/>
      <c r="C587" s="2232" t="s">
        <v>1041</v>
      </c>
      <c r="D587" s="2233"/>
      <c r="E587" s="2233"/>
      <c r="F587" s="2237"/>
      <c r="G587" s="2238"/>
      <c r="I587" s="2230"/>
    </row>
    <row r="588" spans="1:9">
      <c r="A588" s="2253"/>
      <c r="B588" s="2213"/>
      <c r="C588" s="2232" t="s">
        <v>523</v>
      </c>
      <c r="D588" s="2233" t="s">
        <v>347</v>
      </c>
      <c r="E588" s="2233">
        <v>48</v>
      </c>
      <c r="F588" s="2237">
        <f>'Lead- Input sheet '!R8</f>
        <v>6656</v>
      </c>
      <c r="G588" s="2238">
        <f>ROUND(E588*F588/1000,2)</f>
        <v>319.49</v>
      </c>
      <c r="I588" s="2230"/>
    </row>
    <row r="589" spans="1:9">
      <c r="A589" s="2253"/>
      <c r="B589" s="2213"/>
      <c r="C589" s="2232" t="s">
        <v>75</v>
      </c>
      <c r="D589" s="2233" t="s">
        <v>1035</v>
      </c>
      <c r="E589" s="2233">
        <v>512</v>
      </c>
      <c r="F589" s="2237">
        <f>'Lead- Input sheet '!R15</f>
        <v>9331.822382607932</v>
      </c>
      <c r="G589" s="2238">
        <f>ROUND(E589*F589/1000,2)</f>
        <v>4777.8900000000003</v>
      </c>
      <c r="I589" s="2230"/>
    </row>
    <row r="590" spans="1:9">
      <c r="A590" s="2253"/>
      <c r="B590" s="2213"/>
      <c r="C590" s="2232" t="s">
        <v>1580</v>
      </c>
      <c r="D590" s="2233" t="s">
        <v>1473</v>
      </c>
      <c r="E590" s="2233">
        <v>0.2</v>
      </c>
      <c r="F590" s="2237">
        <f>AVERAGE('Lead- Input sheet '!$R$11,'Lead- Input sheet '!$R$14)</f>
        <v>1229.0860361748009</v>
      </c>
      <c r="G590" s="2238">
        <f>ROUND(E590*F590,2)</f>
        <v>245.82</v>
      </c>
      <c r="I590" s="2230"/>
    </row>
    <row r="591" spans="1:9">
      <c r="A591" s="2253"/>
      <c r="B591" s="2213"/>
      <c r="C591" s="2232" t="s">
        <v>340</v>
      </c>
      <c r="D591" s="2233"/>
      <c r="E591" s="2233"/>
      <c r="F591" s="2237"/>
      <c r="G591" s="2238"/>
      <c r="I591" s="2230"/>
    </row>
    <row r="592" spans="1:9" ht="14.1">
      <c r="A592" s="2253"/>
      <c r="B592" s="2213"/>
      <c r="C592" s="2232" t="s">
        <v>3589</v>
      </c>
      <c r="D592" s="2233" t="s">
        <v>1047</v>
      </c>
      <c r="E592" s="2233">
        <v>0.24</v>
      </c>
      <c r="F592" s="2240">
        <f>'Lead- Input sheet '!R31</f>
        <v>680</v>
      </c>
      <c r="G592" s="2238">
        <f>ROUND(E592*F592,2)</f>
        <v>163.19999999999999</v>
      </c>
      <c r="I592" s="2230"/>
    </row>
    <row r="593" spans="1:10" ht="14.1">
      <c r="A593" s="2253"/>
      <c r="B593" s="2213"/>
      <c r="C593" s="2232" t="s">
        <v>3593</v>
      </c>
      <c r="D593" s="2233" t="s">
        <v>1047</v>
      </c>
      <c r="E593" s="2233">
        <v>0.56000000000000005</v>
      </c>
      <c r="F593" s="2240">
        <f>'Lead- Input sheet '!R30</f>
        <v>650</v>
      </c>
      <c r="G593" s="2238">
        <f>ROUND(E593*F593,2)</f>
        <v>364</v>
      </c>
      <c r="I593" s="2230"/>
    </row>
    <row r="594" spans="1:10">
      <c r="A594" s="2253"/>
      <c r="B594" s="2213"/>
      <c r="C594" s="2232" t="s">
        <v>341</v>
      </c>
      <c r="D594" s="2233" t="s">
        <v>1047</v>
      </c>
      <c r="E594" s="2233">
        <v>1.89</v>
      </c>
      <c r="F594" s="2240">
        <f>'Lead- Input sheet '!R29</f>
        <v>605</v>
      </c>
      <c r="G594" s="2238">
        <f>ROUND(E594*F594,2)</f>
        <v>1143.45</v>
      </c>
      <c r="I594" s="2230"/>
    </row>
    <row r="595" spans="1:10">
      <c r="A595" s="2227"/>
      <c r="B595" s="2224"/>
      <c r="C595" s="2232" t="s">
        <v>2617</v>
      </c>
      <c r="D595" s="2233"/>
      <c r="E595" s="2233">
        <f>'Lead- Input sheet '!Q31</f>
        <v>0</v>
      </c>
      <c r="F595" s="2237">
        <f>SUM(G592:G594)</f>
        <v>1670.65</v>
      </c>
      <c r="G595" s="2238">
        <f>ROUND(F595*E595,2)</f>
        <v>0</v>
      </c>
      <c r="H595" s="2250"/>
      <c r="I595" s="2230"/>
    </row>
    <row r="596" spans="1:10" s="2231" customFormat="1">
      <c r="A596" s="2253"/>
      <c r="B596" s="2213"/>
      <c r="C596" s="2232" t="s">
        <v>1048</v>
      </c>
      <c r="D596" s="2233"/>
      <c r="E596" s="2233"/>
      <c r="F596" s="2247" t="s">
        <v>1486</v>
      </c>
      <c r="G596" s="2244">
        <f>SUM(G588:G595)</f>
        <v>7013.8499999999995</v>
      </c>
      <c r="H596" s="2236"/>
      <c r="I596" s="2230"/>
    </row>
    <row r="597" spans="1:10" s="2254" customFormat="1">
      <c r="A597" s="2227"/>
      <c r="B597" s="2224"/>
      <c r="C597" s="2225" t="s">
        <v>875</v>
      </c>
      <c r="D597" s="2233"/>
      <c r="E597" s="2233"/>
      <c r="F597" s="2237"/>
      <c r="G597" s="2238"/>
      <c r="H597" s="2209"/>
      <c r="I597" s="2230"/>
    </row>
    <row r="598" spans="1:10" s="2246" customFormat="1">
      <c r="A598" s="2227"/>
      <c r="B598" s="2224"/>
      <c r="C598" s="2232" t="s">
        <v>1130</v>
      </c>
      <c r="D598" s="2233" t="s">
        <v>525</v>
      </c>
      <c r="E598" s="2233">
        <v>1</v>
      </c>
      <c r="F598" s="2237">
        <f>G596</f>
        <v>7013.8499999999995</v>
      </c>
      <c r="G598" s="2238">
        <f>ROUND(E598*F598,2)</f>
        <v>7013.85</v>
      </c>
      <c r="H598" s="2245"/>
      <c r="I598" s="2230"/>
    </row>
    <row r="599" spans="1:10" s="2246" customFormat="1">
      <c r="A599" s="2227"/>
      <c r="B599" s="2224"/>
      <c r="C599" s="2232" t="s">
        <v>876</v>
      </c>
      <c r="D599" s="2233" t="s">
        <v>525</v>
      </c>
      <c r="E599" s="2233">
        <v>1</v>
      </c>
      <c r="F599" s="2237">
        <f>G597</f>
        <v>0</v>
      </c>
      <c r="G599" s="2238">
        <f>ROUND(E599*F599,2)</f>
        <v>0</v>
      </c>
      <c r="H599" s="2250"/>
      <c r="I599" s="2230"/>
    </row>
    <row r="600" spans="1:10">
      <c r="A600" s="2224"/>
      <c r="B600" s="2224"/>
      <c r="C600" s="2225"/>
      <c r="D600" s="2242"/>
      <c r="E600" s="2242"/>
      <c r="F600" s="2249"/>
      <c r="G600" s="2244">
        <f>SUM(G598:G599)</f>
        <v>7013.85</v>
      </c>
      <c r="I600" s="2230"/>
    </row>
    <row r="601" spans="1:10">
      <c r="A601" s="2224"/>
      <c r="B601" s="2224"/>
      <c r="C601" s="2225"/>
      <c r="D601" s="2242"/>
      <c r="E601" s="2242"/>
      <c r="F601" s="2247" t="s">
        <v>1486</v>
      </c>
      <c r="G601" s="2244">
        <f>SUM(G600:G600)</f>
        <v>7013.85</v>
      </c>
      <c r="I601" s="2230"/>
    </row>
    <row r="602" spans="1:10">
      <c r="A602" s="2253"/>
      <c r="B602" s="2213"/>
      <c r="C602" s="2232"/>
      <c r="D602" s="2233"/>
      <c r="E602" s="2242" t="s">
        <v>1098</v>
      </c>
      <c r="F602" s="2249" t="s">
        <v>1099</v>
      </c>
      <c r="G602" s="2244" t="s">
        <v>1100</v>
      </c>
      <c r="I602" s="2230"/>
    </row>
    <row r="603" spans="1:10">
      <c r="A603" s="2253"/>
      <c r="B603" s="2213"/>
      <c r="C603" s="2232" t="s">
        <v>1101</v>
      </c>
      <c r="D603" s="2233"/>
      <c r="E603" s="2258">
        <f>G601</f>
        <v>7013.85</v>
      </c>
      <c r="F603" s="2259">
        <f>G601</f>
        <v>7013.85</v>
      </c>
      <c r="G603" s="2238">
        <f>G601</f>
        <v>7013.85</v>
      </c>
      <c r="I603" s="2230"/>
    </row>
    <row r="604" spans="1:10">
      <c r="A604" s="2253"/>
      <c r="B604" s="2213"/>
      <c r="C604" s="2304" t="s">
        <v>3575</v>
      </c>
      <c r="D604" s="2260" t="s">
        <v>1028</v>
      </c>
      <c r="E604" s="2276"/>
      <c r="F604" s="2305">
        <f>D604*12.56</f>
        <v>54.610880000000002</v>
      </c>
      <c r="G604" s="2238">
        <f>F604*2</f>
        <v>109.22176</v>
      </c>
      <c r="I604" s="2230"/>
    </row>
    <row r="605" spans="1:10" ht="25.2">
      <c r="A605" s="2253"/>
      <c r="B605" s="2213"/>
      <c r="C605" s="2304" t="s">
        <v>3576</v>
      </c>
      <c r="D605" s="2260" t="s">
        <v>1028</v>
      </c>
      <c r="E605" s="2276"/>
      <c r="F605" s="2305">
        <f>D605*109.7</f>
        <v>476.97559999999999</v>
      </c>
      <c r="G605" s="2238">
        <f>D605*157.32</f>
        <v>684.02735999999993</v>
      </c>
      <c r="I605" s="2230"/>
    </row>
    <row r="606" spans="1:10">
      <c r="A606" s="2253"/>
      <c r="B606" s="2213"/>
      <c r="C606" s="2232" t="s">
        <v>1029</v>
      </c>
      <c r="D606" s="2233">
        <f>'Lead- Input sheet '!Q31</f>
        <v>0</v>
      </c>
      <c r="E606" s="2276">
        <f>ROUND(D606*E605,2)</f>
        <v>0</v>
      </c>
      <c r="F606" s="2305">
        <f>ROUND(D606*F605,2)</f>
        <v>0</v>
      </c>
      <c r="G606" s="2306">
        <f>ROUND(D606*G605,2)</f>
        <v>0</v>
      </c>
      <c r="I606" s="2230"/>
    </row>
    <row r="607" spans="1:10" ht="25.2">
      <c r="A607" s="2253"/>
      <c r="B607" s="2213"/>
      <c r="C607" s="2232" t="s">
        <v>1632</v>
      </c>
      <c r="D607" s="2260" t="s">
        <v>129</v>
      </c>
      <c r="E607" s="2258"/>
      <c r="F607" s="2305"/>
      <c r="G607" s="2238">
        <f>ROUND(D607*SUM(G605:G606),2)</f>
        <v>342.01</v>
      </c>
      <c r="I607" s="2230"/>
      <c r="J607" s="2211">
        <f>334.84+66.97</f>
        <v>401.80999999999995</v>
      </c>
    </row>
    <row r="608" spans="1:10" s="2231" customFormat="1">
      <c r="A608" s="2224"/>
      <c r="B608" s="2224"/>
      <c r="C608" s="2225" t="s">
        <v>1600</v>
      </c>
      <c r="D608" s="2262">
        <f>'Lead- Input sheet '!Q32</f>
        <v>0</v>
      </c>
      <c r="E608" s="2258">
        <f>ROUND(SUM(E603:E607)*D608,2)</f>
        <v>0</v>
      </c>
      <c r="F608" s="2305">
        <f>ROUND(SUM(F603:F607)*D608,2)</f>
        <v>0</v>
      </c>
      <c r="G608" s="2238">
        <f>ROUND(SUM(G603:G607)*D608,2)</f>
        <v>0</v>
      </c>
      <c r="H608" s="2236"/>
      <c r="I608" s="2230"/>
    </row>
    <row r="609" spans="1:9" s="2254" customFormat="1">
      <c r="A609" s="2224"/>
      <c r="B609" s="2224"/>
      <c r="C609" s="2225" t="s">
        <v>861</v>
      </c>
      <c r="D609" s="2262"/>
      <c r="E609" s="2258">
        <f>SUM(E603:E608)</f>
        <v>7013.85</v>
      </c>
      <c r="F609" s="2259">
        <f>SUM(F603:F608)</f>
        <v>7545.4364800000003</v>
      </c>
      <c r="G609" s="2238">
        <f>SUM(G603:G608)</f>
        <v>8149.109120000001</v>
      </c>
      <c r="H609" s="2209"/>
      <c r="I609" s="2230"/>
    </row>
    <row r="610" spans="1:9" s="2246" customFormat="1">
      <c r="A610" s="2253"/>
      <c r="B610" s="2213"/>
      <c r="C610" s="2232" t="s">
        <v>901</v>
      </c>
      <c r="D610" s="2233">
        <v>512</v>
      </c>
      <c r="E610" s="2233">
        <f>ROUND($D$610*'Lead- Input sheet '!$O$15/1000,2)</f>
        <v>0</v>
      </c>
      <c r="F610" s="2233">
        <f>ROUND($D$610*'Lead- Input sheet '!$O$15/1000,2)</f>
        <v>0</v>
      </c>
      <c r="G610" s="2233">
        <f>ROUND($D$610*'Lead- Input sheet '!$O$15/1000,2)</f>
        <v>0</v>
      </c>
      <c r="H610" s="2245"/>
      <c r="I610" s="2230"/>
    </row>
    <row r="611" spans="1:9" s="2246" customFormat="1">
      <c r="A611" s="2253"/>
      <c r="B611" s="2213"/>
      <c r="C611" s="2232" t="s">
        <v>900</v>
      </c>
      <c r="D611" s="2233">
        <v>0.2</v>
      </c>
      <c r="E611" s="2233">
        <f>ROUND($D$611*'Lead- Input sheet '!$O$11,2)</f>
        <v>0</v>
      </c>
      <c r="F611" s="2233">
        <f>ROUND($D$611*'Lead- Input sheet '!$O$11,2)</f>
        <v>0</v>
      </c>
      <c r="G611" s="2233">
        <f>ROUND($D$611*'Lead- Input sheet '!$O$11,2)</f>
        <v>0</v>
      </c>
      <c r="H611" s="2245"/>
      <c r="I611" s="2230"/>
    </row>
    <row r="612" spans="1:9">
      <c r="A612" s="2253"/>
      <c r="B612" s="2213"/>
      <c r="C612" s="2225" t="s">
        <v>1130</v>
      </c>
      <c r="D612" s="2244" t="s">
        <v>1486</v>
      </c>
      <c r="E612" s="2244">
        <f>SUM(E609:E611)</f>
        <v>7013.85</v>
      </c>
      <c r="F612" s="2247">
        <f>SUM(F609:F611)</f>
        <v>7545.4364800000003</v>
      </c>
      <c r="G612" s="2244">
        <f>SUM(G609:G611)</f>
        <v>8149.109120000001</v>
      </c>
      <c r="I612" s="2230"/>
    </row>
    <row r="613" spans="1:9" ht="25.2" hidden="1">
      <c r="A613" s="2213" t="s">
        <v>2005</v>
      </c>
      <c r="B613" s="2213">
        <v>24</v>
      </c>
      <c r="C613" s="2225" t="s">
        <v>874</v>
      </c>
      <c r="D613" s="2233"/>
      <c r="E613" s="2233"/>
      <c r="F613" s="2237"/>
      <c r="G613" s="2238"/>
      <c r="I613" s="2230"/>
    </row>
    <row r="614" spans="1:9" hidden="1">
      <c r="A614" s="2253"/>
      <c r="B614" s="2213"/>
      <c r="C614" s="2232" t="s">
        <v>346</v>
      </c>
      <c r="D614" s="2233"/>
      <c r="E614" s="2233"/>
      <c r="F614" s="2237"/>
      <c r="G614" s="2238"/>
      <c r="I614" s="2230"/>
    </row>
    <row r="615" spans="1:9" hidden="1">
      <c r="A615" s="2253"/>
      <c r="B615" s="2213"/>
      <c r="C615" s="2232" t="s">
        <v>1041</v>
      </c>
      <c r="D615" s="2233"/>
      <c r="E615" s="2233"/>
      <c r="F615" s="2237"/>
      <c r="G615" s="2238"/>
      <c r="I615" s="2230"/>
    </row>
    <row r="616" spans="1:9" hidden="1">
      <c r="A616" s="2253"/>
      <c r="B616" s="2213"/>
      <c r="C616" s="2232" t="s">
        <v>523</v>
      </c>
      <c r="D616" s="2233" t="s">
        <v>347</v>
      </c>
      <c r="E616" s="2233">
        <v>36</v>
      </c>
      <c r="F616" s="2237">
        <f>'Lead- Input sheet '!R8</f>
        <v>6656</v>
      </c>
      <c r="G616" s="2238">
        <f>ROUND(E616*F616/1000,2)</f>
        <v>239.62</v>
      </c>
      <c r="H616" s="2250"/>
      <c r="I616" s="2230"/>
    </row>
    <row r="617" spans="1:9" s="2231" customFormat="1" hidden="1">
      <c r="A617" s="2253"/>
      <c r="B617" s="2213"/>
      <c r="C617" s="2232" t="s">
        <v>75</v>
      </c>
      <c r="D617" s="2233" t="s">
        <v>1035</v>
      </c>
      <c r="E617" s="2233">
        <v>512</v>
      </c>
      <c r="F617" s="2237">
        <f>'Lead- Input sheet '!R15</f>
        <v>9331.822382607932</v>
      </c>
      <c r="G617" s="2238">
        <f>ROUND(E617*F617/1000,2)</f>
        <v>4777.8900000000003</v>
      </c>
      <c r="H617" s="2236"/>
      <c r="I617" s="2230"/>
    </row>
    <row r="618" spans="1:9" s="2254" customFormat="1" hidden="1">
      <c r="A618" s="2253"/>
      <c r="B618" s="2213"/>
      <c r="C618" s="2232" t="s">
        <v>1580</v>
      </c>
      <c r="D618" s="2233" t="s">
        <v>1473</v>
      </c>
      <c r="E618" s="2233">
        <v>0.2</v>
      </c>
      <c r="F618" s="2237">
        <f>'Lead- Input sheet '!R11</f>
        <v>1239.6380759582803</v>
      </c>
      <c r="G618" s="2238">
        <f>ROUND(E618*F618,2)</f>
        <v>247.93</v>
      </c>
      <c r="H618" s="2209"/>
      <c r="I618" s="2230"/>
    </row>
    <row r="619" spans="1:9" s="2246" customFormat="1" hidden="1">
      <c r="A619" s="2253"/>
      <c r="B619" s="2213"/>
      <c r="C619" s="2232" t="s">
        <v>340</v>
      </c>
      <c r="D619" s="2233"/>
      <c r="E619" s="2233"/>
      <c r="F619" s="2237"/>
      <c r="G619" s="2238"/>
      <c r="H619" s="2245"/>
      <c r="I619" s="2230"/>
    </row>
    <row r="620" spans="1:9" ht="14.1" hidden="1">
      <c r="A620" s="2253"/>
      <c r="B620" s="2213"/>
      <c r="C620" s="2232" t="s">
        <v>3589</v>
      </c>
      <c r="D620" s="2233" t="s">
        <v>1047</v>
      </c>
      <c r="E620" s="2233">
        <v>0.24</v>
      </c>
      <c r="F620" s="2237">
        <f>'Lead- Input sheet '!R31</f>
        <v>680</v>
      </c>
      <c r="G620" s="2238">
        <f>ROUND(E620*F620,2)</f>
        <v>163.19999999999999</v>
      </c>
      <c r="I620" s="2230"/>
    </row>
    <row r="621" spans="1:9" ht="14.1" hidden="1">
      <c r="A621" s="2253"/>
      <c r="B621" s="2213"/>
      <c r="C621" s="2232" t="s">
        <v>3593</v>
      </c>
      <c r="D621" s="2233" t="s">
        <v>1047</v>
      </c>
      <c r="E621" s="2233">
        <v>0.56000000000000005</v>
      </c>
      <c r="F621" s="2237">
        <f>'Lead- Input sheet '!R30</f>
        <v>650</v>
      </c>
      <c r="G621" s="2238">
        <f>ROUND(E621*F621,2)</f>
        <v>364</v>
      </c>
      <c r="I621" s="2230"/>
    </row>
    <row r="622" spans="1:9" hidden="1">
      <c r="A622" s="2253"/>
      <c r="B622" s="2213"/>
      <c r="C622" s="2232" t="s">
        <v>341</v>
      </c>
      <c r="D622" s="2233" t="s">
        <v>1047</v>
      </c>
      <c r="E622" s="2233">
        <v>1.89</v>
      </c>
      <c r="F622" s="2237">
        <f>'Lead- Input sheet '!R29</f>
        <v>605</v>
      </c>
      <c r="G622" s="2238">
        <f>ROUND(E622*F622,2)</f>
        <v>1143.45</v>
      </c>
      <c r="I622" s="2230"/>
    </row>
    <row r="623" spans="1:9" hidden="1">
      <c r="A623" s="2227"/>
      <c r="B623" s="2224"/>
      <c r="C623" s="2232" t="s">
        <v>2617</v>
      </c>
      <c r="D623" s="2233"/>
      <c r="E623" s="2233">
        <f>'Lead- Input sheet '!Q31</f>
        <v>0</v>
      </c>
      <c r="F623" s="2237">
        <f>SUM(G620:G622)</f>
        <v>1670.65</v>
      </c>
      <c r="G623" s="2238">
        <f>ROUND(F623*E623,2)</f>
        <v>0</v>
      </c>
      <c r="I623" s="2230"/>
    </row>
    <row r="624" spans="1:9" hidden="1">
      <c r="A624" s="2224"/>
      <c r="B624" s="2224"/>
      <c r="C624" s="2225" t="s">
        <v>1130</v>
      </c>
      <c r="D624" s="2242"/>
      <c r="E624" s="2242"/>
      <c r="F624" s="2247" t="s">
        <v>1486</v>
      </c>
      <c r="G624" s="2244">
        <f>SUM(G616:G623)</f>
        <v>6936.09</v>
      </c>
      <c r="I624" s="2230"/>
    </row>
    <row r="625" spans="1:9" hidden="1">
      <c r="A625" s="2253"/>
      <c r="B625" s="2213"/>
      <c r="C625" s="2232"/>
      <c r="D625" s="2233"/>
      <c r="E625" s="2242" t="s">
        <v>1098</v>
      </c>
      <c r="F625" s="2249" t="s">
        <v>1099</v>
      </c>
      <c r="G625" s="2244" t="s">
        <v>1100</v>
      </c>
      <c r="I625" s="2230"/>
    </row>
    <row r="626" spans="1:9" hidden="1">
      <c r="A626" s="2253"/>
      <c r="B626" s="2213"/>
      <c r="C626" s="2232" t="s">
        <v>1101</v>
      </c>
      <c r="D626" s="2233"/>
      <c r="E626" s="2258">
        <f>G624</f>
        <v>6936.09</v>
      </c>
      <c r="F626" s="2259">
        <f>G624</f>
        <v>6936.09</v>
      </c>
      <c r="G626" s="2238">
        <f>G624</f>
        <v>6936.09</v>
      </c>
      <c r="I626" s="2230"/>
    </row>
    <row r="627" spans="1:9" hidden="1">
      <c r="A627" s="2253"/>
      <c r="B627" s="2213"/>
      <c r="C627" s="2232" t="s">
        <v>1799</v>
      </c>
      <c r="D627" s="2260" t="s">
        <v>1028</v>
      </c>
      <c r="E627" s="2276"/>
      <c r="F627" s="2259">
        <f>D627*10.32</f>
        <v>44.871360000000003</v>
      </c>
      <c r="G627" s="2238">
        <f>F627*2</f>
        <v>89.742720000000006</v>
      </c>
      <c r="I627" s="2230"/>
    </row>
    <row r="628" spans="1:9" ht="25.2" hidden="1">
      <c r="A628" s="2253"/>
      <c r="B628" s="2213"/>
      <c r="C628" s="2232" t="s">
        <v>1944</v>
      </c>
      <c r="D628" s="2260" t="s">
        <v>1028</v>
      </c>
      <c r="E628" s="2276"/>
      <c r="F628" s="2259">
        <f>D628*83.43</f>
        <v>362.75364000000002</v>
      </c>
      <c r="G628" s="2238">
        <f>D628*119.47</f>
        <v>519.45555999999999</v>
      </c>
      <c r="I628" s="2230"/>
    </row>
    <row r="629" spans="1:9" hidden="1">
      <c r="A629" s="2253"/>
      <c r="B629" s="2213"/>
      <c r="C629" s="2232" t="s">
        <v>1029</v>
      </c>
      <c r="D629" s="2233">
        <f>'Lead- Input sheet '!Q31</f>
        <v>0</v>
      </c>
      <c r="E629" s="2276">
        <f>ROUND(D629*E628,2)</f>
        <v>0</v>
      </c>
      <c r="F629" s="2259">
        <f>ROUND(D629*F628,2)</f>
        <v>0</v>
      </c>
      <c r="G629" s="2306">
        <f>ROUND(D629*G628,2)</f>
        <v>0</v>
      </c>
      <c r="I629" s="2230"/>
    </row>
    <row r="630" spans="1:9" ht="25.2" hidden="1">
      <c r="A630" s="2253"/>
      <c r="B630" s="2213"/>
      <c r="C630" s="2232" t="s">
        <v>1633</v>
      </c>
      <c r="D630" s="2260" t="s">
        <v>129</v>
      </c>
      <c r="E630" s="2258"/>
      <c r="F630" s="2259"/>
      <c r="G630" s="2238">
        <f>ROUND(D630*SUM(G628:G629),2)</f>
        <v>259.73</v>
      </c>
      <c r="I630" s="2230"/>
    </row>
    <row r="631" spans="1:9" s="2231" customFormat="1" hidden="1">
      <c r="A631" s="2224"/>
      <c r="B631" s="2224"/>
      <c r="C631" s="2225" t="s">
        <v>1600</v>
      </c>
      <c r="D631" s="2264">
        <f>'Lead- Input sheet '!Q32</f>
        <v>0</v>
      </c>
      <c r="E631" s="2258">
        <f>ROUND(SUM(E626:E630)*D631,2)</f>
        <v>0</v>
      </c>
      <c r="F631" s="2259">
        <f>ROUND(SUM(F626:F630)*D631,2)</f>
        <v>0</v>
      </c>
      <c r="G631" s="2238">
        <f>ROUND(SUM(G626:G630)*D631,2)</f>
        <v>0</v>
      </c>
      <c r="H631" s="2236"/>
      <c r="I631" s="2230"/>
    </row>
    <row r="632" spans="1:9" s="2254" customFormat="1" hidden="1">
      <c r="A632" s="2224"/>
      <c r="B632" s="2224"/>
      <c r="C632" s="2225" t="s">
        <v>861</v>
      </c>
      <c r="D632" s="2262"/>
      <c r="E632" s="2258">
        <f>SUM(E626:E631)</f>
        <v>6936.09</v>
      </c>
      <c r="F632" s="2259">
        <f>SUM(F626:F631)</f>
        <v>7343.7150000000001</v>
      </c>
      <c r="G632" s="2238">
        <f>SUM(G626:G631)</f>
        <v>7805.0182800000002</v>
      </c>
      <c r="H632" s="2209"/>
      <c r="I632" s="2230"/>
    </row>
    <row r="633" spans="1:9" s="2246" customFormat="1" hidden="1">
      <c r="A633" s="2253"/>
      <c r="B633" s="2213"/>
      <c r="C633" s="2232" t="s">
        <v>901</v>
      </c>
      <c r="D633" s="2233">
        <v>512</v>
      </c>
      <c r="E633" s="2233">
        <f>ROUND($D$633*'Lead- Input sheet '!$O$15/1000,2)</f>
        <v>0</v>
      </c>
      <c r="F633" s="2233">
        <f>ROUND($D$633*'Lead- Input sheet '!$O$15/1000,2)</f>
        <v>0</v>
      </c>
      <c r="G633" s="2233">
        <f>ROUND($D$633*'Lead- Input sheet '!$O$15/1000,2)</f>
        <v>0</v>
      </c>
      <c r="H633" s="2245"/>
      <c r="I633" s="2230"/>
    </row>
    <row r="634" spans="1:9" s="2246" customFormat="1" hidden="1">
      <c r="A634" s="2253"/>
      <c r="B634" s="2213"/>
      <c r="C634" s="2232" t="s">
        <v>900</v>
      </c>
      <c r="D634" s="2233">
        <v>0.2</v>
      </c>
      <c r="E634" s="2233">
        <f>ROUND($D$634*'Lead- Input sheet '!$O$11,2)</f>
        <v>0</v>
      </c>
      <c r="F634" s="2233">
        <f>ROUND($D$634*'Lead- Input sheet '!$O$11,2)</f>
        <v>0</v>
      </c>
      <c r="G634" s="2233">
        <f>ROUND($D$634*'Lead- Input sheet '!$O$11,2)</f>
        <v>0</v>
      </c>
      <c r="H634" s="2245"/>
      <c r="I634" s="2230"/>
    </row>
    <row r="635" spans="1:9" hidden="1">
      <c r="A635" s="2253"/>
      <c r="B635" s="2213"/>
      <c r="C635" s="2225" t="s">
        <v>1130</v>
      </c>
      <c r="D635" s="2244" t="s">
        <v>1486</v>
      </c>
      <c r="E635" s="2244">
        <f>SUM(E632:E634)</f>
        <v>6936.09</v>
      </c>
      <c r="F635" s="2247">
        <f>SUM(F632:F634)</f>
        <v>7343.7150000000001</v>
      </c>
      <c r="G635" s="2244">
        <f>SUM(G632:G634)</f>
        <v>7805.0182800000002</v>
      </c>
      <c r="I635" s="2230"/>
    </row>
    <row r="636" spans="1:9" ht="25.2" hidden="1">
      <c r="A636" s="2275" t="s">
        <v>1403</v>
      </c>
      <c r="B636" s="2276">
        <v>25</v>
      </c>
      <c r="C636" s="2298" t="s">
        <v>253</v>
      </c>
      <c r="D636" s="2233"/>
      <c r="E636" s="2233"/>
      <c r="F636" s="2237"/>
      <c r="G636" s="2238"/>
      <c r="H636" s="2217"/>
      <c r="I636" s="2230"/>
    </row>
    <row r="637" spans="1:9" hidden="1">
      <c r="A637" s="2275"/>
      <c r="B637" s="2276"/>
      <c r="C637" s="2277" t="s">
        <v>1227</v>
      </c>
      <c r="D637" s="2233"/>
      <c r="E637" s="2233"/>
      <c r="F637" s="2237"/>
      <c r="G637" s="2238"/>
      <c r="H637" s="2217"/>
      <c r="I637" s="2230"/>
    </row>
    <row r="638" spans="1:9" hidden="1">
      <c r="A638" s="2275"/>
      <c r="B638" s="2276"/>
      <c r="C638" s="2277" t="s">
        <v>1041</v>
      </c>
      <c r="D638" s="2233"/>
      <c r="E638" s="2233"/>
      <c r="F638" s="2237"/>
      <c r="G638" s="2238"/>
      <c r="H638" s="2217"/>
      <c r="I638" s="2230"/>
    </row>
    <row r="639" spans="1:9" hidden="1">
      <c r="A639" s="2275"/>
      <c r="B639" s="2276" t="s">
        <v>1934</v>
      </c>
      <c r="C639" s="2277" t="s">
        <v>254</v>
      </c>
      <c r="D639" s="2233" t="s">
        <v>1473</v>
      </c>
      <c r="E639" s="2233">
        <v>0.15</v>
      </c>
      <c r="F639" s="2237">
        <f>$G$117</f>
        <v>3339.55</v>
      </c>
      <c r="G639" s="2238">
        <f>ROUND(E639*F639,2)</f>
        <v>500.93</v>
      </c>
      <c r="H639" s="2217"/>
      <c r="I639" s="2230"/>
    </row>
    <row r="640" spans="1:9" hidden="1">
      <c r="A640" s="2275">
        <v>0</v>
      </c>
      <c r="B640" s="2276"/>
      <c r="C640" s="2277" t="s">
        <v>340</v>
      </c>
      <c r="D640" s="2233"/>
      <c r="E640" s="2233"/>
      <c r="F640" s="2237"/>
      <c r="G640" s="2238"/>
      <c r="H640" s="2217"/>
      <c r="I640" s="2230"/>
    </row>
    <row r="641" spans="1:9" ht="14.1" hidden="1">
      <c r="A641" s="2275"/>
      <c r="B641" s="2276"/>
      <c r="C641" s="2277" t="s">
        <v>3589</v>
      </c>
      <c r="D641" s="2233" t="s">
        <v>1047</v>
      </c>
      <c r="E641" s="2233">
        <v>0.6</v>
      </c>
      <c r="F641" s="2237">
        <f>'Lead- Input sheet '!R31</f>
        <v>680</v>
      </c>
      <c r="G641" s="2238">
        <f>ROUND(E641*F641,2)</f>
        <v>408</v>
      </c>
      <c r="H641" s="2217"/>
      <c r="I641" s="2230"/>
    </row>
    <row r="642" spans="1:9" hidden="1">
      <c r="A642" s="2275"/>
      <c r="B642" s="2276"/>
      <c r="C642" s="2277" t="s">
        <v>341</v>
      </c>
      <c r="D642" s="2233" t="s">
        <v>1047</v>
      </c>
      <c r="E642" s="2233">
        <v>0.96</v>
      </c>
      <c r="F642" s="2237">
        <f>'Lead- Input sheet '!R29</f>
        <v>605</v>
      </c>
      <c r="G642" s="2238">
        <f>ROUND(E642*F642,2)</f>
        <v>580.79999999999995</v>
      </c>
      <c r="H642" s="2250"/>
      <c r="I642" s="2230"/>
    </row>
    <row r="643" spans="1:9" hidden="1">
      <c r="A643" s="2227"/>
      <c r="B643" s="2224"/>
      <c r="C643" s="2232" t="s">
        <v>2617</v>
      </c>
      <c r="D643" s="2233"/>
      <c r="E643" s="2233">
        <f>'Lead- Input sheet '!Q31</f>
        <v>0</v>
      </c>
      <c r="F643" s="2237">
        <f>SUM(G641:G642)</f>
        <v>988.8</v>
      </c>
      <c r="G643" s="2238">
        <f>ROUND(F643*E643,2)</f>
        <v>0</v>
      </c>
      <c r="I643" s="2230"/>
    </row>
    <row r="644" spans="1:9" s="2246" customFormat="1" hidden="1">
      <c r="A644" s="2224"/>
      <c r="B644" s="2224"/>
      <c r="C644" s="2225" t="s">
        <v>1231</v>
      </c>
      <c r="D644" s="2307"/>
      <c r="E644" s="2242"/>
      <c r="F644" s="2247" t="s">
        <v>1486</v>
      </c>
      <c r="G644" s="2244">
        <f>SUM(G639:G643)</f>
        <v>1489.73</v>
      </c>
      <c r="H644" s="2250"/>
      <c r="I644" s="2230"/>
    </row>
    <row r="645" spans="1:9" hidden="1">
      <c r="A645" s="2253"/>
      <c r="B645" s="2213"/>
      <c r="C645" s="2232"/>
      <c r="D645" s="2233"/>
      <c r="E645" s="2242" t="s">
        <v>1098</v>
      </c>
      <c r="F645" s="2249" t="s">
        <v>1099</v>
      </c>
      <c r="G645" s="2244" t="s">
        <v>1100</v>
      </c>
      <c r="H645" s="2250"/>
      <c r="I645" s="2230"/>
    </row>
    <row r="646" spans="1:9" hidden="1">
      <c r="A646" s="2253"/>
      <c r="B646" s="2213"/>
      <c r="C646" s="2232" t="s">
        <v>1101</v>
      </c>
      <c r="D646" s="2233"/>
      <c r="E646" s="2258">
        <f>G644</f>
        <v>1489.73</v>
      </c>
      <c r="F646" s="2259">
        <f>G644</f>
        <v>1489.73</v>
      </c>
      <c r="G646" s="2238">
        <f>G644</f>
        <v>1489.73</v>
      </c>
      <c r="H646" s="2250"/>
      <c r="I646" s="2230"/>
    </row>
    <row r="647" spans="1:9" hidden="1">
      <c r="A647" s="2253"/>
      <c r="B647" s="2213"/>
      <c r="C647" s="2232" t="s">
        <v>1801</v>
      </c>
      <c r="D647" s="2260" t="s">
        <v>1030</v>
      </c>
      <c r="E647" s="2276"/>
      <c r="F647" s="2259">
        <f>D647*2.46</f>
        <v>24.6</v>
      </c>
      <c r="G647" s="2238">
        <f>F647*2</f>
        <v>49.2</v>
      </c>
      <c r="I647" s="2230"/>
    </row>
    <row r="648" spans="1:9" ht="25.2" hidden="1">
      <c r="A648" s="2253"/>
      <c r="B648" s="2213"/>
      <c r="C648" s="2232" t="s">
        <v>1945</v>
      </c>
      <c r="D648" s="2260" t="s">
        <v>1030</v>
      </c>
      <c r="E648" s="2276"/>
      <c r="F648" s="2259">
        <f>D648*16.71</f>
        <v>167.10000000000002</v>
      </c>
      <c r="G648" s="2238">
        <f>D648*23.7</f>
        <v>237</v>
      </c>
      <c r="I648" s="2230"/>
    </row>
    <row r="649" spans="1:9" hidden="1">
      <c r="A649" s="2253"/>
      <c r="B649" s="2213"/>
      <c r="C649" s="2232" t="s">
        <v>1029</v>
      </c>
      <c r="D649" s="2233">
        <f>'Lead- Input sheet '!Q31</f>
        <v>0</v>
      </c>
      <c r="E649" s="2276">
        <f>ROUND(D649*E648,2)</f>
        <v>0</v>
      </c>
      <c r="F649" s="2259">
        <f>ROUND(D649*F648,2)</f>
        <v>0</v>
      </c>
      <c r="G649" s="2238">
        <f>ROUND(D649*G648,2)</f>
        <v>0</v>
      </c>
      <c r="I649" s="2230"/>
    </row>
    <row r="650" spans="1:9" ht="25.2" hidden="1">
      <c r="A650" s="2253"/>
      <c r="B650" s="2213"/>
      <c r="C650" s="2232" t="s">
        <v>1634</v>
      </c>
      <c r="D650" s="2260" t="s">
        <v>129</v>
      </c>
      <c r="E650" s="2258"/>
      <c r="F650" s="2259"/>
      <c r="G650" s="2238">
        <f>ROUND(D650*G648,2)</f>
        <v>118.5</v>
      </c>
      <c r="I650" s="2230"/>
    </row>
    <row r="651" spans="1:9" s="2246" customFormat="1" hidden="1">
      <c r="A651" s="2224"/>
      <c r="B651" s="2224"/>
      <c r="C651" s="2225" t="s">
        <v>1600</v>
      </c>
      <c r="D651" s="2264">
        <f>'Lead- Input sheet '!Q32</f>
        <v>0</v>
      </c>
      <c r="E651" s="2258">
        <f>ROUND(SUM(E646:E650)*D651,2)</f>
        <v>0</v>
      </c>
      <c r="F651" s="2259">
        <f>ROUND(SUM(F646:F650)*D651,2)</f>
        <v>0</v>
      </c>
      <c r="G651" s="2238">
        <f>ROUND(SUM(G646:G650)*D651,2)</f>
        <v>0</v>
      </c>
      <c r="H651" s="2245"/>
      <c r="I651" s="2230"/>
    </row>
    <row r="652" spans="1:9" s="2246" customFormat="1" hidden="1">
      <c r="A652" s="2224"/>
      <c r="B652" s="2224"/>
      <c r="C652" s="2225"/>
      <c r="D652" s="2262"/>
      <c r="E652" s="2258">
        <f>SUM(E646:E651)</f>
        <v>1489.73</v>
      </c>
      <c r="F652" s="2259">
        <f>SUM(F646:F651)</f>
        <v>1681.4299999999998</v>
      </c>
      <c r="G652" s="2238">
        <f>SUM(G646:G651)</f>
        <v>1894.43</v>
      </c>
      <c r="H652" s="2256"/>
      <c r="I652" s="2230"/>
    </row>
    <row r="653" spans="1:9" hidden="1">
      <c r="A653" s="2253"/>
      <c r="B653" s="2213"/>
      <c r="C653" s="2232" t="s">
        <v>903</v>
      </c>
      <c r="D653" s="2233">
        <f>E639</f>
        <v>0.15</v>
      </c>
      <c r="E653" s="2233">
        <f>$D$653*'Lead- Input sheet '!$O$11</f>
        <v>0</v>
      </c>
      <c r="F653" s="2233">
        <f>$D$653*'Lead- Input sheet '!$O$11</f>
        <v>0</v>
      </c>
      <c r="G653" s="2233">
        <f>$D$653*'Lead- Input sheet '!$O$11</f>
        <v>0</v>
      </c>
      <c r="I653" s="2230"/>
    </row>
    <row r="654" spans="1:9" hidden="1">
      <c r="A654" s="2253"/>
      <c r="B654" s="2213"/>
      <c r="C654" s="2225" t="s">
        <v>1231</v>
      </c>
      <c r="D654" s="2244" t="s">
        <v>1486</v>
      </c>
      <c r="E654" s="2244">
        <f>SUM(E652:E653)</f>
        <v>1489.73</v>
      </c>
      <c r="F654" s="2247">
        <f>SUM(F652:F653)</f>
        <v>1681.4299999999998</v>
      </c>
      <c r="G654" s="2244">
        <f>SUM(G652:G653)</f>
        <v>1894.43</v>
      </c>
      <c r="I654" s="2230"/>
    </row>
    <row r="655" spans="1:9" hidden="1">
      <c r="A655" s="2224"/>
      <c r="B655" s="2224"/>
      <c r="C655" s="2225"/>
      <c r="D655" s="2262"/>
      <c r="E655" s="2258"/>
      <c r="F655" s="2259"/>
      <c r="G655" s="2238"/>
      <c r="I655" s="2230"/>
    </row>
    <row r="656" spans="1:9" s="2254" customFormat="1" ht="100.8">
      <c r="A656" s="2213" t="s">
        <v>881</v>
      </c>
      <c r="B656" s="2213">
        <v>26</v>
      </c>
      <c r="C656" s="2232" t="s">
        <v>3595</v>
      </c>
      <c r="D656" s="2242"/>
      <c r="E656" s="2242"/>
      <c r="F656" s="2249"/>
      <c r="G656" s="2244"/>
      <c r="H656" s="2209"/>
      <c r="I656" s="2230"/>
    </row>
    <row r="657" spans="1:9">
      <c r="A657" s="2253"/>
      <c r="B657" s="2213"/>
      <c r="C657" s="2232" t="s">
        <v>1227</v>
      </c>
      <c r="D657" s="2233"/>
      <c r="E657" s="2233"/>
      <c r="F657" s="2237"/>
      <c r="G657" s="2238"/>
      <c r="I657" s="2230"/>
    </row>
    <row r="658" spans="1:9">
      <c r="A658" s="2253"/>
      <c r="B658" s="2213"/>
      <c r="C658" s="2232" t="s">
        <v>1041</v>
      </c>
      <c r="D658" s="2233"/>
      <c r="E658" s="2233"/>
      <c r="F658" s="2237"/>
      <c r="G658" s="2238"/>
      <c r="I658" s="2230"/>
    </row>
    <row r="659" spans="1:9">
      <c r="A659" s="2253"/>
      <c r="B659" s="2213"/>
      <c r="C659" s="2232" t="s">
        <v>534</v>
      </c>
      <c r="D659" s="2233"/>
      <c r="E659" s="2308"/>
      <c r="F659" s="2237"/>
      <c r="G659" s="2238"/>
      <c r="I659" s="2230"/>
    </row>
    <row r="660" spans="1:9">
      <c r="A660" s="2253"/>
      <c r="B660" s="2213"/>
      <c r="C660" s="2232" t="s">
        <v>523</v>
      </c>
      <c r="D660" s="2233" t="s">
        <v>347</v>
      </c>
      <c r="E660" s="2233">
        <v>31.68</v>
      </c>
      <c r="F660" s="2237">
        <f>'Lead- Input sheet '!R8</f>
        <v>6656</v>
      </c>
      <c r="G660" s="2238">
        <f>ROUND(E660*F660/1000,2)</f>
        <v>210.86</v>
      </c>
      <c r="I660" s="2230"/>
    </row>
    <row r="661" spans="1:9">
      <c r="A661" s="2253"/>
      <c r="B661" s="2213"/>
      <c r="C661" s="2232" t="s">
        <v>1573</v>
      </c>
      <c r="D661" s="2233" t="s">
        <v>1473</v>
      </c>
      <c r="E661" s="2233">
        <v>0.11</v>
      </c>
      <c r="F661" s="2237">
        <f>AVERAGE('Lead- Input sheet '!$R$11,'Lead- Input sheet '!$R$14)</f>
        <v>1229.0860361748009</v>
      </c>
      <c r="G661" s="2238">
        <f>ROUND(E661*F661,2)</f>
        <v>135.19999999999999</v>
      </c>
      <c r="I661" s="2230"/>
    </row>
    <row r="662" spans="1:9">
      <c r="A662" s="2253"/>
      <c r="B662" s="2213"/>
      <c r="C662" s="2232" t="s">
        <v>1199</v>
      </c>
      <c r="D662" s="2233"/>
      <c r="E662" s="2308"/>
      <c r="F662" s="2237"/>
      <c r="G662" s="2238"/>
      <c r="I662" s="2230"/>
    </row>
    <row r="663" spans="1:9">
      <c r="A663" s="2253"/>
      <c r="B663" s="2213"/>
      <c r="C663" s="2232" t="s">
        <v>523</v>
      </c>
      <c r="D663" s="2233" t="s">
        <v>347</v>
      </c>
      <c r="E663" s="2233">
        <v>19.2</v>
      </c>
      <c r="F663" s="2237">
        <f>'Lead- Input sheet '!R8</f>
        <v>6656</v>
      </c>
      <c r="G663" s="2238">
        <f>ROUND(E663*F663/1000,2)</f>
        <v>127.8</v>
      </c>
      <c r="I663" s="2230"/>
    </row>
    <row r="664" spans="1:9">
      <c r="A664" s="2253"/>
      <c r="B664" s="2213"/>
      <c r="C664" s="2232" t="s">
        <v>1571</v>
      </c>
      <c r="D664" s="2233" t="s">
        <v>1473</v>
      </c>
      <c r="E664" s="2233">
        <v>0.04</v>
      </c>
      <c r="F664" s="2237">
        <f>'Lead- Input sheet '!$R$11</f>
        <v>1239.6380759582803</v>
      </c>
      <c r="G664" s="2238">
        <f>ROUND(E664*F664,2)</f>
        <v>49.59</v>
      </c>
      <c r="I664" s="2230"/>
    </row>
    <row r="665" spans="1:9">
      <c r="A665" s="2253"/>
      <c r="B665" s="2213"/>
      <c r="C665" s="2232" t="s">
        <v>339</v>
      </c>
      <c r="D665" s="2233" t="s">
        <v>1473</v>
      </c>
      <c r="E665" s="2233">
        <v>0.15</v>
      </c>
      <c r="F665" s="2237"/>
      <c r="G665" s="2238"/>
      <c r="I665" s="2230"/>
    </row>
    <row r="666" spans="1:9">
      <c r="A666" s="2253"/>
      <c r="B666" s="2213"/>
      <c r="C666" s="2232" t="s">
        <v>340</v>
      </c>
      <c r="D666" s="2233"/>
      <c r="E666" s="2233"/>
      <c r="F666" s="2237"/>
      <c r="G666" s="2238"/>
      <c r="I666" s="2230"/>
    </row>
    <row r="667" spans="1:9" ht="14.1">
      <c r="A667" s="2253"/>
      <c r="B667" s="2213"/>
      <c r="C667" s="2232" t="s">
        <v>3589</v>
      </c>
      <c r="D667" s="2233" t="s">
        <v>1047</v>
      </c>
      <c r="E667" s="2233">
        <v>0.63</v>
      </c>
      <c r="F667" s="2240">
        <f>'Lead- Input sheet '!R31</f>
        <v>680</v>
      </c>
      <c r="G667" s="2238">
        <f>ROUND(E667*F667,2)</f>
        <v>428.4</v>
      </c>
      <c r="I667" s="2230"/>
    </row>
    <row r="668" spans="1:9" ht="14.1">
      <c r="A668" s="2253"/>
      <c r="B668" s="2213"/>
      <c r="C668" s="2232" t="s">
        <v>3593</v>
      </c>
      <c r="D668" s="2233" t="s">
        <v>1047</v>
      </c>
      <c r="E668" s="2233">
        <v>1.47</v>
      </c>
      <c r="F668" s="2240">
        <f>'Lead- Input sheet '!R30</f>
        <v>650</v>
      </c>
      <c r="G668" s="2238">
        <f>ROUND(E668*F668,2)</f>
        <v>955.5</v>
      </c>
      <c r="I668" s="2230"/>
    </row>
    <row r="669" spans="1:9">
      <c r="A669" s="2253"/>
      <c r="B669" s="2213"/>
      <c r="C669" s="2232" t="s">
        <v>341</v>
      </c>
      <c r="D669" s="2233" t="s">
        <v>1047</v>
      </c>
      <c r="E669" s="2233">
        <v>3.9</v>
      </c>
      <c r="F669" s="2240">
        <f>'Lead- Input sheet '!R29</f>
        <v>605</v>
      </c>
      <c r="G669" s="2238">
        <f>ROUND(E669*F669,2)</f>
        <v>2359.5</v>
      </c>
      <c r="H669" s="2250"/>
      <c r="I669" s="2230"/>
    </row>
    <row r="670" spans="1:9" s="2231" customFormat="1">
      <c r="A670" s="2227"/>
      <c r="B670" s="2224"/>
      <c r="C670" s="2232" t="s">
        <v>2617</v>
      </c>
      <c r="D670" s="2233"/>
      <c r="E670" s="2233">
        <f>'Lead- Input sheet '!Q31</f>
        <v>0</v>
      </c>
      <c r="F670" s="2237">
        <f>SUM(G667:G669)</f>
        <v>3743.4</v>
      </c>
      <c r="G670" s="2238">
        <f>ROUND(F670*E670,2)</f>
        <v>0</v>
      </c>
      <c r="H670" s="2236"/>
      <c r="I670" s="2230"/>
    </row>
    <row r="671" spans="1:9" s="2246" customFormat="1">
      <c r="A671" s="2224"/>
      <c r="B671" s="2224"/>
      <c r="C671" s="2225" t="s">
        <v>1231</v>
      </c>
      <c r="D671" s="2242"/>
      <c r="E671" s="2242"/>
      <c r="F671" s="2247" t="s">
        <v>1486</v>
      </c>
      <c r="G671" s="2244">
        <f>SUM(G660:G670)</f>
        <v>4266.8500000000004</v>
      </c>
      <c r="H671" s="2250"/>
      <c r="I671" s="2230"/>
    </row>
    <row r="672" spans="1:9">
      <c r="A672" s="2253"/>
      <c r="B672" s="2213"/>
      <c r="C672" s="2232"/>
      <c r="D672" s="2233"/>
      <c r="E672" s="2242" t="s">
        <v>1098</v>
      </c>
      <c r="F672" s="2249" t="s">
        <v>1099</v>
      </c>
      <c r="G672" s="2244" t="s">
        <v>1100</v>
      </c>
      <c r="H672" s="2250"/>
      <c r="I672" s="2230"/>
    </row>
    <row r="673" spans="1:10">
      <c r="A673" s="2253"/>
      <c r="B673" s="2213"/>
      <c r="C673" s="2232" t="s">
        <v>1101</v>
      </c>
      <c r="D673" s="2233"/>
      <c r="E673" s="2258">
        <f>G671</f>
        <v>4266.8500000000004</v>
      </c>
      <c r="F673" s="2259">
        <f>G671</f>
        <v>4266.8500000000004</v>
      </c>
      <c r="G673" s="2238">
        <f>G671</f>
        <v>4266.8500000000004</v>
      </c>
      <c r="H673" s="2250"/>
      <c r="I673" s="2230"/>
    </row>
    <row r="674" spans="1:10">
      <c r="A674" s="2253"/>
      <c r="B674" s="2213"/>
      <c r="C674" s="2232" t="s">
        <v>3577</v>
      </c>
      <c r="D674" s="2260" t="s">
        <v>1030</v>
      </c>
      <c r="E674" s="2276"/>
      <c r="F674" s="2309">
        <f>D674*1.26</f>
        <v>12.6</v>
      </c>
      <c r="G674" s="2238">
        <f>F674*2</f>
        <v>25.2</v>
      </c>
      <c r="I674" s="2230"/>
    </row>
    <row r="675" spans="1:10" ht="25.2">
      <c r="A675" s="2253"/>
      <c r="B675" s="2213"/>
      <c r="C675" s="2232" t="s">
        <v>3578</v>
      </c>
      <c r="D675" s="2260" t="s">
        <v>1030</v>
      </c>
      <c r="E675" s="2276"/>
      <c r="F675" s="2309">
        <f>D675*10.91</f>
        <v>109.1</v>
      </c>
      <c r="G675" s="2258">
        <f>D675*15.73</f>
        <v>157.30000000000001</v>
      </c>
      <c r="I675" s="2230"/>
    </row>
    <row r="676" spans="1:10">
      <c r="A676" s="2253"/>
      <c r="B676" s="2213"/>
      <c r="C676" s="2232" t="s">
        <v>1029</v>
      </c>
      <c r="D676" s="2233">
        <f>'Lead- Input sheet '!Q31</f>
        <v>0</v>
      </c>
      <c r="E676" s="2276">
        <f>ROUND(D676*E675,2)</f>
        <v>0</v>
      </c>
      <c r="F676" s="2309">
        <f>ROUND(D676*F675,2)</f>
        <v>0</v>
      </c>
      <c r="G676" s="2306">
        <f>ROUND(D676*G675,2)</f>
        <v>0</v>
      </c>
      <c r="I676" s="2230"/>
    </row>
    <row r="677" spans="1:10" ht="25.2">
      <c r="A677" s="2253"/>
      <c r="B677" s="2213"/>
      <c r="C677" s="2232" t="s">
        <v>1946</v>
      </c>
      <c r="D677" s="2260" t="s">
        <v>129</v>
      </c>
      <c r="E677" s="2258"/>
      <c r="F677" s="2259"/>
      <c r="G677" s="2238">
        <f>ROUND(D677*G675,2)</f>
        <v>78.650000000000006</v>
      </c>
      <c r="I677" s="2230"/>
    </row>
    <row r="678" spans="1:10" s="2246" customFormat="1">
      <c r="A678" s="2224"/>
      <c r="B678" s="2224"/>
      <c r="C678" s="2225" t="s">
        <v>1600</v>
      </c>
      <c r="D678" s="2262">
        <f>'Lead- Input sheet '!Q32</f>
        <v>0</v>
      </c>
      <c r="E678" s="2258">
        <f>ROUND(SUM(E673:E677)*D678,2)</f>
        <v>0</v>
      </c>
      <c r="F678" s="2259">
        <f>ROUND(SUM(F673:F677)*D678,2)</f>
        <v>0</v>
      </c>
      <c r="G678" s="2238">
        <f>ROUND(SUM(G673:G677)*D678,2)</f>
        <v>0</v>
      </c>
      <c r="H678" s="2245"/>
      <c r="I678" s="2230"/>
    </row>
    <row r="679" spans="1:10" s="2246" customFormat="1">
      <c r="A679" s="2224"/>
      <c r="B679" s="2224"/>
      <c r="C679" s="2225"/>
      <c r="D679" s="2262"/>
      <c r="E679" s="2258">
        <f>SUM(E673:E678)</f>
        <v>4266.8500000000004</v>
      </c>
      <c r="F679" s="2259">
        <f>SUM(F673:F678)</f>
        <v>4388.5500000000011</v>
      </c>
      <c r="G679" s="2238">
        <f>SUM(G673:G678)</f>
        <v>4528</v>
      </c>
      <c r="H679" s="2256"/>
      <c r="I679" s="2230"/>
    </row>
    <row r="680" spans="1:10">
      <c r="A680" s="2253"/>
      <c r="B680" s="2213"/>
      <c r="C680" s="2232" t="s">
        <v>903</v>
      </c>
      <c r="D680" s="2233">
        <v>0.15</v>
      </c>
      <c r="E680" s="2233">
        <f>$D$680*'Lead- Input sheet '!$O$11</f>
        <v>0</v>
      </c>
      <c r="F680" s="2233">
        <f>$D$680*'Lead- Input sheet '!$O$11</f>
        <v>0</v>
      </c>
      <c r="G680" s="2233">
        <f>$D$680*'Lead- Input sheet '!$O$11</f>
        <v>0</v>
      </c>
      <c r="I680" s="2230"/>
    </row>
    <row r="681" spans="1:10">
      <c r="A681" s="2253"/>
      <c r="B681" s="2213"/>
      <c r="C681" s="2225" t="s">
        <v>3198</v>
      </c>
      <c r="D681" s="2244" t="s">
        <v>1486</v>
      </c>
      <c r="E681" s="2244">
        <f>SUM(E679:E680)/10</f>
        <v>426.68500000000006</v>
      </c>
      <c r="F681" s="2244">
        <f>SUM(F679:F680)/10</f>
        <v>438.85500000000013</v>
      </c>
      <c r="G681" s="2244">
        <f>SUM(G679:G680)/10</f>
        <v>452.8</v>
      </c>
      <c r="I681" s="2230"/>
    </row>
    <row r="682" spans="1:10" s="2254" customFormat="1" ht="37.799999999999997">
      <c r="A682" s="2213" t="s">
        <v>1095</v>
      </c>
      <c r="B682" s="2213">
        <v>27</v>
      </c>
      <c r="C682" s="2232" t="s">
        <v>535</v>
      </c>
      <c r="D682" s="2242"/>
      <c r="E682" s="2242"/>
      <c r="F682" s="2249"/>
      <c r="G682" s="2244"/>
      <c r="H682" s="2209"/>
      <c r="I682" s="2230"/>
    </row>
    <row r="683" spans="1:10">
      <c r="A683" s="2253"/>
      <c r="B683" s="2213"/>
      <c r="C683" s="2232" t="s">
        <v>1227</v>
      </c>
      <c r="D683" s="2233"/>
      <c r="E683" s="2233"/>
      <c r="F683" s="2237"/>
      <c r="G683" s="2238"/>
      <c r="I683" s="2230"/>
    </row>
    <row r="684" spans="1:10">
      <c r="A684" s="2253"/>
      <c r="B684" s="2213"/>
      <c r="C684" s="2232" t="s">
        <v>1041</v>
      </c>
      <c r="D684" s="2233"/>
      <c r="E684" s="2233"/>
      <c r="F684" s="2237"/>
      <c r="G684" s="2238"/>
      <c r="I684" s="2230"/>
    </row>
    <row r="685" spans="1:10">
      <c r="A685" s="2253"/>
      <c r="B685" s="2213"/>
      <c r="C685" s="2232" t="s">
        <v>809</v>
      </c>
      <c r="D685" s="2233"/>
      <c r="E685" s="2308"/>
      <c r="F685" s="2237"/>
      <c r="G685" s="2238"/>
      <c r="I685" s="2230"/>
    </row>
    <row r="686" spans="1:10">
      <c r="A686" s="2253"/>
      <c r="B686" s="2213"/>
      <c r="C686" s="2232" t="s">
        <v>523</v>
      </c>
      <c r="D686" s="2233" t="s">
        <v>347</v>
      </c>
      <c r="E686" s="2233">
        <v>43.2</v>
      </c>
      <c r="F686" s="2237">
        <f>'Lead- Input sheet '!R8</f>
        <v>6656</v>
      </c>
      <c r="G686" s="2238">
        <f>ROUND(E686*F686/1000,2)</f>
        <v>287.54000000000002</v>
      </c>
      <c r="I686" s="2230"/>
      <c r="J686" s="2211">
        <f>0.04/4*1.44</f>
        <v>1.44E-2</v>
      </c>
    </row>
    <row r="687" spans="1:10">
      <c r="A687" s="2253"/>
      <c r="B687" s="2213"/>
      <c r="C687" s="2232" t="s">
        <v>3158</v>
      </c>
      <c r="D687" s="2233" t="s">
        <v>1473</v>
      </c>
      <c r="E687" s="2233">
        <v>0.18</v>
      </c>
      <c r="F687" s="2237">
        <f>AVERAGE('Lead- Input sheet '!$R$11,'Lead- Input sheet '!$R$14)</f>
        <v>1229.0860361748009</v>
      </c>
      <c r="G687" s="2238">
        <f>ROUND(E687*F687,2)</f>
        <v>221.24</v>
      </c>
      <c r="I687" s="2230"/>
    </row>
    <row r="688" spans="1:10">
      <c r="A688" s="2253"/>
      <c r="B688" s="2213"/>
      <c r="C688" s="2232" t="s">
        <v>224</v>
      </c>
      <c r="D688" s="2233"/>
      <c r="E688" s="2310"/>
      <c r="F688" s="2237"/>
      <c r="G688" s="2238"/>
      <c r="I688" s="2230"/>
    </row>
    <row r="689" spans="1:9">
      <c r="A689" s="2253"/>
      <c r="B689" s="2213"/>
      <c r="C689" s="2232" t="s">
        <v>523</v>
      </c>
      <c r="D689" s="2233" t="s">
        <v>347</v>
      </c>
      <c r="E689" s="2233">
        <v>14.4</v>
      </c>
      <c r="F689" s="2237">
        <f>'Lead- Input sheet '!R8</f>
        <v>6656</v>
      </c>
      <c r="G689" s="2238">
        <f>ROUND(E689*F689/1000,2)</f>
        <v>95.85</v>
      </c>
      <c r="I689" s="2230"/>
    </row>
    <row r="690" spans="1:9">
      <c r="A690" s="2253"/>
      <c r="B690" s="2213"/>
      <c r="C690" s="2232" t="s">
        <v>3158</v>
      </c>
      <c r="D690" s="2233" t="s">
        <v>1473</v>
      </c>
      <c r="E690" s="2233">
        <v>0.04</v>
      </c>
      <c r="F690" s="2237">
        <f>'Lead- Input sheet '!$R$11</f>
        <v>1239.6380759582803</v>
      </c>
      <c r="G690" s="2238">
        <f>ROUND(E690*F690,2)</f>
        <v>49.59</v>
      </c>
      <c r="I690" s="2230"/>
    </row>
    <row r="691" spans="1:9">
      <c r="A691" s="2253"/>
      <c r="B691" s="2213"/>
      <c r="C691" s="2232" t="s">
        <v>340</v>
      </c>
      <c r="D691" s="2233"/>
      <c r="E691" s="2233"/>
      <c r="F691" s="2237"/>
      <c r="G691" s="2238">
        <f>E691*F691</f>
        <v>0</v>
      </c>
      <c r="I691" s="2230"/>
    </row>
    <row r="692" spans="1:9" ht="14.1">
      <c r="A692" s="2253"/>
      <c r="B692" s="2213"/>
      <c r="C692" s="2232" t="s">
        <v>3589</v>
      </c>
      <c r="D692" s="2233" t="s">
        <v>1047</v>
      </c>
      <c r="E692" s="2233">
        <v>0.63</v>
      </c>
      <c r="F692" s="2240">
        <f>'Lead- Input sheet '!R31</f>
        <v>680</v>
      </c>
      <c r="G692" s="2238">
        <f>ROUND(E692*F692,2)</f>
        <v>428.4</v>
      </c>
      <c r="I692" s="2230"/>
    </row>
    <row r="693" spans="1:9" ht="14.1">
      <c r="A693" s="2253"/>
      <c r="B693" s="2213"/>
      <c r="C693" s="2232" t="s">
        <v>3593</v>
      </c>
      <c r="D693" s="2233" t="s">
        <v>1047</v>
      </c>
      <c r="E693" s="2233">
        <v>1.47</v>
      </c>
      <c r="F693" s="2240">
        <f>'Lead- Input sheet '!R30</f>
        <v>650</v>
      </c>
      <c r="G693" s="2238">
        <f>ROUND(E693*F693,2)</f>
        <v>955.5</v>
      </c>
      <c r="I693" s="2230"/>
    </row>
    <row r="694" spans="1:9">
      <c r="A694" s="2253"/>
      <c r="B694" s="2213"/>
      <c r="C694" s="2232" t="s">
        <v>341</v>
      </c>
      <c r="D694" s="2233" t="s">
        <v>1047</v>
      </c>
      <c r="E694" s="2233">
        <v>3.9</v>
      </c>
      <c r="F694" s="2240">
        <f>'Lead- Input sheet '!R29</f>
        <v>605</v>
      </c>
      <c r="G694" s="2238">
        <f>ROUND(E694*F694,2)</f>
        <v>2359.5</v>
      </c>
      <c r="H694" s="2250"/>
      <c r="I694" s="2230"/>
    </row>
    <row r="695" spans="1:9" s="2231" customFormat="1">
      <c r="A695" s="2227"/>
      <c r="B695" s="2224"/>
      <c r="C695" s="2232" t="s">
        <v>2617</v>
      </c>
      <c r="D695" s="2233"/>
      <c r="E695" s="2233">
        <f>'Lead- Input sheet '!Q31</f>
        <v>0</v>
      </c>
      <c r="F695" s="2237">
        <f>SUM(G692:G694)</f>
        <v>3743.4</v>
      </c>
      <c r="G695" s="2238">
        <f>ROUND(F695*E695,2)</f>
        <v>0</v>
      </c>
      <c r="H695" s="2236"/>
      <c r="I695" s="2230"/>
    </row>
    <row r="696" spans="1:9" s="2246" customFormat="1">
      <c r="A696" s="2224"/>
      <c r="B696" s="2224"/>
      <c r="C696" s="2225" t="s">
        <v>1231</v>
      </c>
      <c r="D696" s="2242"/>
      <c r="E696" s="2242"/>
      <c r="F696" s="2247" t="s">
        <v>1486</v>
      </c>
      <c r="G696" s="2244">
        <f>SUM(G686:G695)</f>
        <v>4397.62</v>
      </c>
      <c r="H696" s="2250"/>
      <c r="I696" s="2230"/>
    </row>
    <row r="697" spans="1:9">
      <c r="A697" s="2253"/>
      <c r="B697" s="2213"/>
      <c r="C697" s="2232"/>
      <c r="D697" s="2233"/>
      <c r="E697" s="2242" t="s">
        <v>1098</v>
      </c>
      <c r="F697" s="2249" t="s">
        <v>1099</v>
      </c>
      <c r="G697" s="2244" t="s">
        <v>1100</v>
      </c>
      <c r="H697" s="2250"/>
      <c r="I697" s="2230"/>
    </row>
    <row r="698" spans="1:9">
      <c r="A698" s="2253"/>
      <c r="B698" s="2213"/>
      <c r="C698" s="2232" t="s">
        <v>1101</v>
      </c>
      <c r="D698" s="2233"/>
      <c r="E698" s="2258">
        <f>G696</f>
        <v>4397.62</v>
      </c>
      <c r="F698" s="2259">
        <f>G696</f>
        <v>4397.62</v>
      </c>
      <c r="G698" s="2238">
        <f>G696</f>
        <v>4397.62</v>
      </c>
      <c r="H698" s="2250"/>
      <c r="I698" s="2230"/>
    </row>
    <row r="699" spans="1:9">
      <c r="A699" s="2253"/>
      <c r="B699" s="2213"/>
      <c r="C699" s="2232" t="s">
        <v>3577</v>
      </c>
      <c r="D699" s="2260" t="s">
        <v>1030</v>
      </c>
      <c r="E699" s="2276"/>
      <c r="F699" s="2309">
        <f>D699*1.26</f>
        <v>12.6</v>
      </c>
      <c r="G699" s="2238">
        <f>F699*2</f>
        <v>25.2</v>
      </c>
      <c r="I699" s="2230"/>
    </row>
    <row r="700" spans="1:9" ht="25.2">
      <c r="A700" s="2253"/>
      <c r="B700" s="2213"/>
      <c r="C700" s="2232" t="s">
        <v>3579</v>
      </c>
      <c r="D700" s="2260" t="s">
        <v>1030</v>
      </c>
      <c r="E700" s="2276"/>
      <c r="F700" s="2309">
        <f>D700*10.91</f>
        <v>109.1</v>
      </c>
      <c r="G700" s="2258">
        <f>D700*11.95</f>
        <v>119.5</v>
      </c>
      <c r="H700" s="2251">
        <f>6.05/15</f>
        <v>0.40333333333333332</v>
      </c>
      <c r="I700" s="2230"/>
    </row>
    <row r="701" spans="1:9">
      <c r="A701" s="2253"/>
      <c r="B701" s="2213"/>
      <c r="C701" s="2232" t="s">
        <v>1029</v>
      </c>
      <c r="D701" s="2233">
        <f>'Lead- Input sheet '!Q31</f>
        <v>0</v>
      </c>
      <c r="E701" s="2276">
        <f>ROUND(D701*E700,2)</f>
        <v>0</v>
      </c>
      <c r="F701" s="2309">
        <f>ROUND(D701*F700,2)</f>
        <v>0</v>
      </c>
      <c r="G701" s="2306">
        <f>ROUND(D701*G700,2)</f>
        <v>0</v>
      </c>
      <c r="H701" s="2251">
        <f>+H700*1000</f>
        <v>403.33333333333331</v>
      </c>
      <c r="I701" s="2230"/>
    </row>
    <row r="702" spans="1:9" ht="25.2">
      <c r="A702" s="2253"/>
      <c r="B702" s="2213"/>
      <c r="C702" s="2232" t="s">
        <v>1947</v>
      </c>
      <c r="D702" s="2260" t="s">
        <v>129</v>
      </c>
      <c r="E702" s="2258"/>
      <c r="F702" s="2259"/>
      <c r="G702" s="2238">
        <f>ROUND(D702*G700,2)</f>
        <v>59.75</v>
      </c>
      <c r="I702" s="2230"/>
    </row>
    <row r="703" spans="1:9" s="2246" customFormat="1">
      <c r="A703" s="2224"/>
      <c r="B703" s="2224"/>
      <c r="C703" s="2225" t="s">
        <v>1600</v>
      </c>
      <c r="D703" s="2264">
        <f>'Lead- Input sheet '!Q32</f>
        <v>0</v>
      </c>
      <c r="E703" s="2258">
        <f>ROUND(SUM(E698:E702)*D703,2)</f>
        <v>0</v>
      </c>
      <c r="F703" s="2259">
        <f>ROUND(SUM(F698:F702)*D703,2)</f>
        <v>0</v>
      </c>
      <c r="G703" s="2238">
        <f>ROUND(SUM(G698:G702)*D703,2)</f>
        <v>0</v>
      </c>
      <c r="H703" s="2245"/>
      <c r="I703" s="2230"/>
    </row>
    <row r="704" spans="1:9" s="2246" customFormat="1">
      <c r="A704" s="2224"/>
      <c r="B704" s="2224"/>
      <c r="C704" s="2225"/>
      <c r="D704" s="2262"/>
      <c r="E704" s="2258">
        <f>SUM(E698:E703)</f>
        <v>4397.62</v>
      </c>
      <c r="F704" s="2259">
        <f>SUM(F698:F703)</f>
        <v>4519.3200000000006</v>
      </c>
      <c r="G704" s="2238">
        <f>SUM(G698:G703)</f>
        <v>4602.07</v>
      </c>
      <c r="H704" s="2256"/>
      <c r="I704" s="2230"/>
    </row>
    <row r="705" spans="1:10">
      <c r="A705" s="2253"/>
      <c r="B705" s="2213"/>
      <c r="C705" s="2232" t="s">
        <v>903</v>
      </c>
      <c r="D705" s="2233">
        <v>0.22</v>
      </c>
      <c r="E705" s="2233">
        <f>$D$705*'Lead- Input sheet '!$O$11</f>
        <v>0</v>
      </c>
      <c r="F705" s="2233">
        <f>$D$705*'Lead- Input sheet '!$O$11</f>
        <v>0</v>
      </c>
      <c r="G705" s="2233">
        <f>$D$705*'Lead- Input sheet '!$O$11</f>
        <v>0</v>
      </c>
      <c r="I705" s="2230"/>
    </row>
    <row r="706" spans="1:10">
      <c r="A706" s="2253"/>
      <c r="B706" s="2213"/>
      <c r="C706" s="2225" t="s">
        <v>3198</v>
      </c>
      <c r="D706" s="2244" t="s">
        <v>1486</v>
      </c>
      <c r="E706" s="2244">
        <f>SUM(E704:E705)/10</f>
        <v>439.762</v>
      </c>
      <c r="F706" s="2244">
        <f>SUM(F704:F705)/10</f>
        <v>451.93200000000007</v>
      </c>
      <c r="G706" s="2244">
        <f>SUM(G704:G705)/10</f>
        <v>460.20699999999999</v>
      </c>
      <c r="I706" s="2230"/>
    </row>
    <row r="707" spans="1:10" s="2246" customFormat="1">
      <c r="A707" s="2224"/>
      <c r="B707" s="2224"/>
      <c r="C707" s="2225"/>
      <c r="D707" s="2262"/>
      <c r="E707" s="2258"/>
      <c r="F707" s="2259"/>
      <c r="G707" s="2238"/>
      <c r="H707" s="2250"/>
      <c r="I707" s="2230"/>
    </row>
    <row r="708" spans="1:10" ht="126" hidden="1">
      <c r="A708" s="2213" t="s">
        <v>1220</v>
      </c>
      <c r="B708" s="2213">
        <v>27</v>
      </c>
      <c r="C708" s="2232" t="s">
        <v>3596</v>
      </c>
      <c r="D708" s="2233"/>
      <c r="E708" s="2233"/>
      <c r="F708" s="2237"/>
      <c r="G708" s="2238"/>
      <c r="I708" s="2230"/>
      <c r="J708" s="2211">
        <f>6.1/15</f>
        <v>0.40666666666666662</v>
      </c>
    </row>
    <row r="709" spans="1:10" hidden="1">
      <c r="A709" s="2253"/>
      <c r="B709" s="2213"/>
      <c r="C709" s="2232" t="s">
        <v>1118</v>
      </c>
      <c r="D709" s="2233"/>
      <c r="E709" s="2233"/>
      <c r="F709" s="2237"/>
      <c r="G709" s="2238"/>
      <c r="I709" s="2230"/>
    </row>
    <row r="710" spans="1:10" hidden="1">
      <c r="A710" s="2253"/>
      <c r="B710" s="2213"/>
      <c r="C710" s="2232" t="s">
        <v>1119</v>
      </c>
      <c r="D710" s="2233"/>
      <c r="E710" s="2233"/>
      <c r="F710" s="2237"/>
      <c r="G710" s="2238"/>
      <c r="I710" s="2230"/>
    </row>
    <row r="711" spans="1:10" hidden="1">
      <c r="A711" s="2253"/>
      <c r="B711" s="2213"/>
      <c r="C711" s="2232" t="s">
        <v>1635</v>
      </c>
      <c r="D711" s="2233" t="s">
        <v>987</v>
      </c>
      <c r="E711" s="2233">
        <v>13.3</v>
      </c>
      <c r="F711" s="2237">
        <v>23</v>
      </c>
      <c r="G711" s="2238">
        <f>ROUND(E711*F711,2)</f>
        <v>305.89999999999998</v>
      </c>
      <c r="I711" s="2230"/>
    </row>
    <row r="712" spans="1:10" hidden="1">
      <c r="A712" s="2253"/>
      <c r="B712" s="2213"/>
      <c r="C712" s="2232" t="s">
        <v>1120</v>
      </c>
      <c r="D712" s="2233" t="s">
        <v>1473</v>
      </c>
      <c r="E712" s="2233">
        <v>0.25</v>
      </c>
      <c r="F712" s="2237">
        <f>G97</f>
        <v>4617.5</v>
      </c>
      <c r="G712" s="2238">
        <f>ROUND(E712*F712,2)</f>
        <v>1154.3800000000001</v>
      </c>
      <c r="H712" s="2251">
        <f>0.25/3*1.44*1000</f>
        <v>120</v>
      </c>
      <c r="I712" s="2230"/>
    </row>
    <row r="713" spans="1:10" hidden="1">
      <c r="A713" s="2253"/>
      <c r="B713" s="2213"/>
      <c r="C713" s="2232" t="s">
        <v>1121</v>
      </c>
      <c r="D713" s="2233" t="s">
        <v>347</v>
      </c>
      <c r="E713" s="2233">
        <v>50</v>
      </c>
      <c r="F713" s="2237">
        <f>'Lead- Input sheet '!R8</f>
        <v>6656</v>
      </c>
      <c r="G713" s="2238">
        <f>ROUND(E713*F713/1000,2)</f>
        <v>332.8</v>
      </c>
      <c r="H713" s="2251">
        <v>50</v>
      </c>
      <c r="I713" s="2230"/>
    </row>
    <row r="714" spans="1:10" ht="37.799999999999997" hidden="1">
      <c r="A714" s="2253"/>
      <c r="B714" s="2213"/>
      <c r="C714" s="2232" t="s">
        <v>618</v>
      </c>
      <c r="D714" s="2233" t="s">
        <v>987</v>
      </c>
      <c r="E714" s="2285" t="s">
        <v>617</v>
      </c>
      <c r="F714" s="2237">
        <f>AVERAGE(G87,G107)</f>
        <v>5016.8599999999997</v>
      </c>
      <c r="G714" s="2238">
        <f>ROUND(0.26*F714,2)</f>
        <v>1304.3800000000001</v>
      </c>
      <c r="H714" s="2251">
        <f>0.26/3*1.44*1000</f>
        <v>124.8</v>
      </c>
      <c r="I714" s="2230"/>
    </row>
    <row r="715" spans="1:10" hidden="1">
      <c r="A715" s="2253"/>
      <c r="B715" s="2213"/>
      <c r="C715" s="2232" t="s">
        <v>1122</v>
      </c>
      <c r="D715" s="2233"/>
      <c r="E715" s="2233"/>
      <c r="F715" s="2237"/>
      <c r="G715" s="2238"/>
      <c r="I715" s="2230"/>
    </row>
    <row r="716" spans="1:10" hidden="1">
      <c r="A716" s="2253"/>
      <c r="B716" s="2213"/>
      <c r="C716" s="2232" t="s">
        <v>1123</v>
      </c>
      <c r="D716" s="2233"/>
      <c r="E716" s="2233"/>
      <c r="F716" s="2237"/>
      <c r="G716" s="2238"/>
      <c r="I716" s="2230"/>
    </row>
    <row r="717" spans="1:10" hidden="1">
      <c r="A717" s="2253"/>
      <c r="B717" s="2213"/>
      <c r="C717" s="2232" t="s">
        <v>932</v>
      </c>
      <c r="D717" s="2233" t="s">
        <v>1047</v>
      </c>
      <c r="E717" s="2233">
        <v>8</v>
      </c>
      <c r="F717" s="2237">
        <f>'Lead- Input sheet '!R31</f>
        <v>680</v>
      </c>
      <c r="G717" s="2238">
        <f>ROUND(E717*F717,2)</f>
        <v>5440</v>
      </c>
      <c r="I717" s="2230"/>
    </row>
    <row r="718" spans="1:10" hidden="1">
      <c r="A718" s="2253"/>
      <c r="B718" s="2213"/>
      <c r="C718" s="2232" t="s">
        <v>1124</v>
      </c>
      <c r="D718" s="2233" t="s">
        <v>1047</v>
      </c>
      <c r="E718" s="2233">
        <v>1</v>
      </c>
      <c r="F718" s="2237">
        <f>'Lead- Input sheet '!R30</f>
        <v>650</v>
      </c>
      <c r="G718" s="2238">
        <f>ROUND(E718*F718,2)</f>
        <v>650</v>
      </c>
      <c r="I718" s="2230"/>
    </row>
    <row r="719" spans="1:10" hidden="1">
      <c r="A719" s="2253"/>
      <c r="B719" s="2213"/>
      <c r="C719" s="2232" t="s">
        <v>341</v>
      </c>
      <c r="D719" s="2233" t="s">
        <v>1047</v>
      </c>
      <c r="E719" s="2233">
        <v>10</v>
      </c>
      <c r="F719" s="2237">
        <f>'Lead- Input sheet '!R29</f>
        <v>605</v>
      </c>
      <c r="G719" s="2238">
        <f>ROUND(E719*F719,2)</f>
        <v>6050</v>
      </c>
      <c r="H719" s="2250"/>
      <c r="I719" s="2230"/>
    </row>
    <row r="720" spans="1:10" s="2231" customFormat="1" hidden="1">
      <c r="A720" s="2227"/>
      <c r="B720" s="2224"/>
      <c r="C720" s="2232" t="s">
        <v>2617</v>
      </c>
      <c r="D720" s="2233"/>
      <c r="E720" s="2233">
        <f>'Lead- Input sheet '!Q31</f>
        <v>0</v>
      </c>
      <c r="F720" s="2237">
        <f>SUM(G717:G719)</f>
        <v>12140</v>
      </c>
      <c r="G720" s="2238">
        <f>ROUND(F720*E720,2)</f>
        <v>0</v>
      </c>
      <c r="H720" s="2236"/>
      <c r="I720" s="2230"/>
    </row>
    <row r="721" spans="1:9" hidden="1">
      <c r="A721" s="2253"/>
      <c r="B721" s="2213"/>
      <c r="C721" s="2232" t="s">
        <v>1222</v>
      </c>
      <c r="D721" s="2233"/>
      <c r="E721" s="2233"/>
      <c r="F721" s="2237"/>
      <c r="G721" s="2238"/>
      <c r="I721" s="2230"/>
    </row>
    <row r="722" spans="1:9" hidden="1">
      <c r="A722" s="2253"/>
      <c r="B722" s="2213"/>
      <c r="C722" s="2232" t="s">
        <v>1230</v>
      </c>
      <c r="D722" s="2233" t="s">
        <v>1216</v>
      </c>
      <c r="E722" s="2233">
        <v>2</v>
      </c>
      <c r="F722" s="2237">
        <f>F404</f>
        <v>721.5</v>
      </c>
      <c r="G722" s="2238">
        <f>ROUND(E722*F722,2)</f>
        <v>1443</v>
      </c>
      <c r="I722" s="2230"/>
    </row>
    <row r="723" spans="1:9" s="2254" customFormat="1" hidden="1">
      <c r="A723" s="2213"/>
      <c r="B723" s="2213"/>
      <c r="C723" s="2225" t="s">
        <v>1231</v>
      </c>
      <c r="D723" s="2242"/>
      <c r="E723" s="2242"/>
      <c r="F723" s="2249"/>
      <c r="G723" s="2244">
        <f>SUM(G711:G722)</f>
        <v>16680.46</v>
      </c>
      <c r="H723" s="2209"/>
      <c r="I723" s="2230"/>
    </row>
    <row r="724" spans="1:9" s="2246" customFormat="1" hidden="1">
      <c r="A724" s="2224"/>
      <c r="B724" s="2224"/>
      <c r="C724" s="2225" t="s">
        <v>1600</v>
      </c>
      <c r="D724" s="2242"/>
      <c r="E724" s="2242">
        <f>G723</f>
        <v>16680.46</v>
      </c>
      <c r="F724" s="2249">
        <f>'Lead- Input sheet '!Q32</f>
        <v>0</v>
      </c>
      <c r="G724" s="2244">
        <f>ROUND(F724*E724,2)</f>
        <v>0</v>
      </c>
      <c r="H724" s="2245"/>
      <c r="I724" s="2230"/>
    </row>
    <row r="725" spans="1:9" s="2246" customFormat="1" hidden="1">
      <c r="A725" s="2224"/>
      <c r="B725" s="2224"/>
      <c r="C725" s="2225"/>
      <c r="D725" s="2242"/>
      <c r="E725" s="2242"/>
      <c r="F725" s="2247" t="s">
        <v>1486</v>
      </c>
      <c r="G725" s="2244">
        <f>SUM(G723:G724)</f>
        <v>16680.46</v>
      </c>
      <c r="H725" s="2245"/>
      <c r="I725" s="2230"/>
    </row>
    <row r="726" spans="1:9" hidden="1">
      <c r="A726" s="2253"/>
      <c r="B726" s="2213"/>
      <c r="C726" s="2232" t="s">
        <v>225</v>
      </c>
      <c r="D726" s="2233"/>
      <c r="E726" s="2233">
        <f>0.26+0.25</f>
        <v>0.51</v>
      </c>
      <c r="F726" s="2237">
        <f>'Lead- Input sheet '!O11</f>
        <v>0</v>
      </c>
      <c r="G726" s="2238">
        <f>ROUND(E726*F726,2)</f>
        <v>0</v>
      </c>
      <c r="I726" s="2230"/>
    </row>
    <row r="727" spans="1:9" hidden="1">
      <c r="A727" s="2253"/>
      <c r="B727" s="2213"/>
      <c r="C727" s="2225" t="s">
        <v>1231</v>
      </c>
      <c r="D727" s="2244"/>
      <c r="E727" s="2244"/>
      <c r="F727" s="2247" t="s">
        <v>1486</v>
      </c>
      <c r="G727" s="2244">
        <f>SUM(G725:G726)</f>
        <v>16680.46</v>
      </c>
      <c r="I727" s="2230"/>
    </row>
    <row r="728" spans="1:9" ht="113.4" hidden="1">
      <c r="A728" s="2213" t="s">
        <v>619</v>
      </c>
      <c r="B728" s="2213">
        <v>28</v>
      </c>
      <c r="C728" s="2232" t="s">
        <v>2618</v>
      </c>
      <c r="D728" s="2233"/>
      <c r="E728" s="2233"/>
      <c r="F728" s="2237"/>
      <c r="G728" s="2238"/>
      <c r="I728" s="2230"/>
    </row>
    <row r="729" spans="1:9" hidden="1">
      <c r="A729" s="2253"/>
      <c r="B729" s="2213"/>
      <c r="C729" s="2232" t="s">
        <v>1227</v>
      </c>
      <c r="D729" s="2233"/>
      <c r="E729" s="2233"/>
      <c r="F729" s="2237"/>
      <c r="G729" s="2238"/>
      <c r="I729" s="2230"/>
    </row>
    <row r="730" spans="1:9" hidden="1">
      <c r="A730" s="2253"/>
      <c r="B730" s="2213"/>
      <c r="C730" s="2232" t="s">
        <v>1041</v>
      </c>
      <c r="D730" s="2233"/>
      <c r="E730" s="2233"/>
      <c r="F730" s="2237"/>
      <c r="G730" s="2238"/>
      <c r="I730" s="2230"/>
    </row>
    <row r="731" spans="1:9" ht="25.2" hidden="1">
      <c r="A731" s="2253"/>
      <c r="B731" s="2213"/>
      <c r="C731" s="2232" t="s">
        <v>2619</v>
      </c>
      <c r="D731" s="2233" t="s">
        <v>987</v>
      </c>
      <c r="E731" s="2233">
        <v>11</v>
      </c>
      <c r="F731" s="2237">
        <f>'Lead- Input sheet '!R26</f>
        <v>3209.0725256348192</v>
      </c>
      <c r="G731" s="2238">
        <f>ROUND(E731*F731/10,2)</f>
        <v>3529.98</v>
      </c>
      <c r="I731" s="2230"/>
    </row>
    <row r="732" spans="1:9" hidden="1">
      <c r="A732" s="2253"/>
      <c r="B732" s="2213"/>
      <c r="C732" s="2232" t="s">
        <v>700</v>
      </c>
      <c r="D732" s="2233" t="s">
        <v>1042</v>
      </c>
      <c r="E732" s="2233">
        <v>21.6</v>
      </c>
      <c r="F732" s="2237">
        <f>'Lead- Input sheet '!R8</f>
        <v>6656</v>
      </c>
      <c r="G732" s="2238">
        <f>ROUND(E732*F732/1000,2)</f>
        <v>143.77000000000001</v>
      </c>
      <c r="I732" s="2230"/>
    </row>
    <row r="733" spans="1:9" hidden="1">
      <c r="A733" s="2253"/>
      <c r="B733" s="2213"/>
      <c r="C733" s="2232" t="s">
        <v>701</v>
      </c>
      <c r="D733" s="2233" t="s">
        <v>1042</v>
      </c>
      <c r="E733" s="2233">
        <v>33</v>
      </c>
      <c r="F733" s="2237">
        <f>F732</f>
        <v>6656</v>
      </c>
      <c r="G733" s="2238">
        <f>ROUND(E733*F733/1000,2)</f>
        <v>219.65</v>
      </c>
      <c r="I733" s="2230"/>
    </row>
    <row r="734" spans="1:9" hidden="1">
      <c r="A734" s="2253"/>
      <c r="B734" s="2213"/>
      <c r="C734" s="2232" t="s">
        <v>702</v>
      </c>
      <c r="D734" s="2233" t="s">
        <v>1042</v>
      </c>
      <c r="E734" s="2233">
        <v>20</v>
      </c>
      <c r="F734" s="2237">
        <f>F733</f>
        <v>6656</v>
      </c>
      <c r="G734" s="2238">
        <f>ROUND(E734*F734/1000,2)</f>
        <v>133.12</v>
      </c>
      <c r="I734" s="2230"/>
    </row>
    <row r="735" spans="1:9" hidden="1">
      <c r="A735" s="2253"/>
      <c r="B735" s="2213"/>
      <c r="C735" s="2232" t="s">
        <v>703</v>
      </c>
      <c r="D735" s="2233" t="s">
        <v>1473</v>
      </c>
      <c r="E735" s="2233">
        <v>0.12</v>
      </c>
      <c r="F735" s="2237">
        <f>'Lead- Input sheet '!R11</f>
        <v>1239.6380759582803</v>
      </c>
      <c r="G735" s="2238">
        <f>ROUND(E735*F735,2)</f>
        <v>148.76</v>
      </c>
      <c r="I735" s="2230"/>
    </row>
    <row r="736" spans="1:9" hidden="1">
      <c r="A736" s="2253"/>
      <c r="B736" s="2213"/>
      <c r="C736" s="2232" t="s">
        <v>340</v>
      </c>
      <c r="D736" s="2233"/>
      <c r="E736" s="2233"/>
      <c r="F736" s="2237"/>
      <c r="G736" s="2238"/>
      <c r="H736" s="2251">
        <f>3.68-3.28</f>
        <v>0.40000000000000036</v>
      </c>
      <c r="I736" s="2230"/>
    </row>
    <row r="737" spans="1:14" ht="14.1" hidden="1">
      <c r="A737" s="2253"/>
      <c r="B737" s="2213"/>
      <c r="C737" s="2232" t="s">
        <v>3589</v>
      </c>
      <c r="D737" s="2233" t="s">
        <v>1047</v>
      </c>
      <c r="E737" s="2233">
        <v>3.1</v>
      </c>
      <c r="F737" s="2237">
        <f>'Lead- Input sheet '!R31</f>
        <v>680</v>
      </c>
      <c r="G737" s="2238">
        <f>ROUND(E737*F737,2)</f>
        <v>2108</v>
      </c>
      <c r="I737" s="2230"/>
    </row>
    <row r="738" spans="1:14" ht="14.1" hidden="1">
      <c r="A738" s="2253"/>
      <c r="B738" s="2213"/>
      <c r="C738" s="2232" t="s">
        <v>3593</v>
      </c>
      <c r="D738" s="2233" t="s">
        <v>1047</v>
      </c>
      <c r="E738" s="2233">
        <v>1.1000000000000001</v>
      </c>
      <c r="F738" s="2237">
        <f>'Lead- Input sheet '!R30</f>
        <v>650</v>
      </c>
      <c r="G738" s="2238">
        <f>ROUND(E738*F738,2)</f>
        <v>715</v>
      </c>
      <c r="I738" s="2230"/>
    </row>
    <row r="739" spans="1:14" hidden="1">
      <c r="A739" s="2253"/>
      <c r="B739" s="2213"/>
      <c r="C739" s="2232" t="s">
        <v>341</v>
      </c>
      <c r="D739" s="2233" t="s">
        <v>1047</v>
      </c>
      <c r="E739" s="2233">
        <v>0.86</v>
      </c>
      <c r="F739" s="2237">
        <f>'Lead- Input sheet '!R29</f>
        <v>605</v>
      </c>
      <c r="G739" s="2238">
        <f>ROUND(E739*F739,2)</f>
        <v>520.29999999999995</v>
      </c>
      <c r="H739" s="2250"/>
      <c r="I739" s="2230"/>
    </row>
    <row r="740" spans="1:14" s="2231" customFormat="1" hidden="1">
      <c r="A740" s="2227"/>
      <c r="B740" s="2224"/>
      <c r="C740" s="2232" t="s">
        <v>2617</v>
      </c>
      <c r="D740" s="2233"/>
      <c r="E740" s="2233">
        <f>'Lead- Input sheet '!Q31</f>
        <v>0</v>
      </c>
      <c r="F740" s="2237">
        <f>SUM(G737:G739)</f>
        <v>3343.3</v>
      </c>
      <c r="G740" s="2238">
        <f>ROUND(F740*E740,2)</f>
        <v>0</v>
      </c>
      <c r="H740" s="2236"/>
      <c r="I740" s="2230"/>
    </row>
    <row r="741" spans="1:14" hidden="1">
      <c r="A741" s="2253"/>
      <c r="B741" s="2213"/>
      <c r="C741" s="2232" t="s">
        <v>1221</v>
      </c>
      <c r="D741" s="2233"/>
      <c r="E741" s="2233">
        <v>0.01</v>
      </c>
      <c r="F741" s="2237">
        <f>SUM(G731:G740)</f>
        <v>7518.58</v>
      </c>
      <c r="G741" s="2238">
        <f>ROUND(E741*F741,2)</f>
        <v>75.19</v>
      </c>
      <c r="I741" s="2230"/>
    </row>
    <row r="742" spans="1:14" hidden="1">
      <c r="A742" s="2253"/>
      <c r="B742" s="2213"/>
      <c r="C742" s="2232"/>
      <c r="D742" s="2233"/>
      <c r="E742" s="2233"/>
      <c r="F742" s="2237"/>
      <c r="G742" s="2238">
        <f>SUM(G731:G741)</f>
        <v>7593.7699999999995</v>
      </c>
      <c r="I742" s="2230"/>
      <c r="L742" s="2211">
        <f>3.28+0.15*2</f>
        <v>3.5799999999999996</v>
      </c>
      <c r="M742" s="2211">
        <f>3.12+0.3</f>
        <v>3.42</v>
      </c>
    </row>
    <row r="743" spans="1:14" s="2246" customFormat="1" hidden="1">
      <c r="A743" s="2224"/>
      <c r="B743" s="2224"/>
      <c r="C743" s="2225" t="s">
        <v>1231</v>
      </c>
      <c r="D743" s="2242"/>
      <c r="E743" s="2242"/>
      <c r="F743" s="2247" t="s">
        <v>1486</v>
      </c>
      <c r="G743" s="2244">
        <f>SUM(G742:G742)</f>
        <v>7593.7699999999995</v>
      </c>
      <c r="H743" s="2256"/>
      <c r="I743" s="2230"/>
      <c r="L743" s="2246">
        <f>2.66+0.3</f>
        <v>2.96</v>
      </c>
    </row>
    <row r="744" spans="1:14" hidden="1">
      <c r="A744" s="2253"/>
      <c r="B744" s="2213"/>
      <c r="C744" s="2232"/>
      <c r="D744" s="2233"/>
      <c r="E744" s="2242" t="s">
        <v>1098</v>
      </c>
      <c r="F744" s="2249" t="s">
        <v>1099</v>
      </c>
      <c r="G744" s="2244" t="s">
        <v>1100</v>
      </c>
      <c r="H744" s="2250"/>
      <c r="I744" s="2230"/>
    </row>
    <row r="745" spans="1:14" hidden="1">
      <c r="A745" s="2253"/>
      <c r="B745" s="2213"/>
      <c r="C745" s="2232" t="s">
        <v>1101</v>
      </c>
      <c r="D745" s="2233"/>
      <c r="E745" s="2258">
        <f>G743</f>
        <v>7593.7699999999995</v>
      </c>
      <c r="F745" s="2259">
        <f>G743</f>
        <v>7593.7699999999995</v>
      </c>
      <c r="G745" s="2238">
        <f>G743</f>
        <v>7593.7699999999995</v>
      </c>
      <c r="H745" s="2250"/>
      <c r="I745" s="2230"/>
      <c r="N745" s="2211">
        <f>3.28-0.46</f>
        <v>2.82</v>
      </c>
    </row>
    <row r="746" spans="1:14" hidden="1">
      <c r="A746" s="2253"/>
      <c r="B746" s="2213"/>
      <c r="C746" s="2232" t="s">
        <v>536</v>
      </c>
      <c r="D746" s="2260"/>
      <c r="E746" s="2276"/>
      <c r="F746" s="2259">
        <f>SUM(G737:G740)*10%</f>
        <v>334.33000000000004</v>
      </c>
      <c r="G746" s="2238">
        <f>F746*2</f>
        <v>668.66000000000008</v>
      </c>
      <c r="I746" s="2230"/>
      <c r="L746" s="2211">
        <f>3.25+0.3</f>
        <v>3.55</v>
      </c>
      <c r="N746" s="2211">
        <f>2.22-3.12</f>
        <v>-0.89999999999999991</v>
      </c>
    </row>
    <row r="747" spans="1:14" s="2246" customFormat="1" hidden="1">
      <c r="A747" s="2224"/>
      <c r="B747" s="2224"/>
      <c r="C747" s="2225" t="s">
        <v>1600</v>
      </c>
      <c r="D747" s="2242">
        <f>'Lead- Input sheet '!Q32</f>
        <v>0</v>
      </c>
      <c r="E747" s="2258">
        <f>ROUND(SUM(E745:E746)*D747,2)</f>
        <v>0</v>
      </c>
      <c r="F747" s="2259">
        <f>ROUND(SUM(F745:F746)*D747,2)</f>
        <v>0</v>
      </c>
      <c r="G747" s="2238">
        <f>ROUND(SUM(G745:G746)*D747,2)</f>
        <v>0</v>
      </c>
      <c r="H747" s="2245"/>
      <c r="I747" s="2230"/>
      <c r="N747" s="2246">
        <f>3.28+0.9</f>
        <v>4.18</v>
      </c>
    </row>
    <row r="748" spans="1:14" s="2246" customFormat="1" hidden="1">
      <c r="A748" s="2224"/>
      <c r="B748" s="2224"/>
      <c r="C748" s="2225"/>
      <c r="D748" s="2262"/>
      <c r="E748" s="2311">
        <f>SUM(E745:E747)</f>
        <v>7593.7699999999995</v>
      </c>
      <c r="F748" s="2312">
        <f>SUM(F745:F747)</f>
        <v>7928.0999999999995</v>
      </c>
      <c r="G748" s="2244">
        <f>SUM(G745:G747)</f>
        <v>8262.43</v>
      </c>
      <c r="H748" s="2256"/>
      <c r="I748" s="2230"/>
      <c r="N748" s="2246">
        <f>3.28-3.68</f>
        <v>-0.40000000000000036</v>
      </c>
    </row>
    <row r="749" spans="1:14" hidden="1">
      <c r="A749" s="2253"/>
      <c r="B749" s="2213"/>
      <c r="C749" s="2232" t="s">
        <v>904</v>
      </c>
      <c r="D749" s="2233">
        <v>1.1000000000000001</v>
      </c>
      <c r="E749" s="2313">
        <f>$D$749*'Lead- Input sheet '!$O$26</f>
        <v>0</v>
      </c>
      <c r="F749" s="2313">
        <f>$D$749*'Lead- Input sheet '!$O$26</f>
        <v>0</v>
      </c>
      <c r="G749" s="2313">
        <f>$D$749*'Lead- Input sheet '!$O$26</f>
        <v>0</v>
      </c>
      <c r="I749" s="2230"/>
    </row>
    <row r="750" spans="1:14" hidden="1">
      <c r="A750" s="2253"/>
      <c r="B750" s="2213"/>
      <c r="C750" s="2232" t="s">
        <v>900</v>
      </c>
      <c r="D750" s="2233">
        <f>E735</f>
        <v>0.12</v>
      </c>
      <c r="E750" s="2314">
        <f>$D$750*'Lead- Input sheet '!$O$11</f>
        <v>0</v>
      </c>
      <c r="F750" s="2314">
        <f>$D$750*'Lead- Input sheet '!$O$11</f>
        <v>0</v>
      </c>
      <c r="G750" s="2314">
        <f>$D$750*'Lead- Input sheet '!$O$11</f>
        <v>0</v>
      </c>
      <c r="I750" s="2230"/>
    </row>
    <row r="751" spans="1:14" hidden="1">
      <c r="A751" s="2253"/>
      <c r="B751" s="2213"/>
      <c r="C751" s="2225" t="s">
        <v>1231</v>
      </c>
      <c r="D751" s="2244" t="s">
        <v>1486</v>
      </c>
      <c r="E751" s="2244">
        <f>SUM(E748:E750)</f>
        <v>7593.7699999999995</v>
      </c>
      <c r="F751" s="2247">
        <f>SUM(F748:F750)</f>
        <v>7928.0999999999995</v>
      </c>
      <c r="G751" s="2244">
        <f>SUM(G748:G750)</f>
        <v>8262.43</v>
      </c>
      <c r="I751" s="2230"/>
    </row>
    <row r="752" spans="1:14" s="2246" customFormat="1" hidden="1">
      <c r="A752" s="2224"/>
      <c r="B752" s="2224"/>
      <c r="C752" s="2225"/>
      <c r="D752" s="2262"/>
      <c r="E752" s="2258"/>
      <c r="F752" s="2259"/>
      <c r="G752" s="2238"/>
      <c r="H752" s="2256"/>
      <c r="I752" s="2230"/>
    </row>
    <row r="753" spans="1:10" ht="100.8" hidden="1">
      <c r="A753" s="2213" t="s">
        <v>620</v>
      </c>
      <c r="B753" s="2213">
        <v>29</v>
      </c>
      <c r="C753" s="2232" t="s">
        <v>2620</v>
      </c>
      <c r="D753" s="2233"/>
      <c r="E753" s="2233"/>
      <c r="F753" s="2237"/>
      <c r="G753" s="2238"/>
      <c r="I753" s="2230"/>
      <c r="J753" s="2211">
        <v>97.5</v>
      </c>
    </row>
    <row r="754" spans="1:10" hidden="1">
      <c r="A754" s="2253"/>
      <c r="B754" s="2213"/>
      <c r="C754" s="2232" t="s">
        <v>1227</v>
      </c>
      <c r="D754" s="2233"/>
      <c r="E754" s="2233"/>
      <c r="F754" s="2237"/>
      <c r="G754" s="2238"/>
      <c r="I754" s="2230"/>
      <c r="J754" s="2211">
        <v>40</v>
      </c>
    </row>
    <row r="755" spans="1:10" hidden="1">
      <c r="A755" s="2253"/>
      <c r="B755" s="2213"/>
      <c r="C755" s="2232" t="s">
        <v>1041</v>
      </c>
      <c r="D755" s="2233"/>
      <c r="E755" s="2233"/>
      <c r="F755" s="2237"/>
      <c r="G755" s="2238"/>
      <c r="I755" s="2230"/>
      <c r="J755" s="2211">
        <v>30</v>
      </c>
    </row>
    <row r="756" spans="1:10" ht="25.2" hidden="1">
      <c r="A756" s="2253" t="s">
        <v>1636</v>
      </c>
      <c r="B756" s="2213"/>
      <c r="C756" s="2232" t="s">
        <v>2621</v>
      </c>
      <c r="D756" s="2233" t="s">
        <v>987</v>
      </c>
      <c r="E756" s="2233">
        <v>10.5</v>
      </c>
      <c r="F756" s="2237">
        <f>'Lead- Input sheet '!R27</f>
        <v>2503.1272279188488</v>
      </c>
      <c r="G756" s="2238">
        <f>ROUND(E756*F756/10,2)</f>
        <v>2628.28</v>
      </c>
      <c r="I756" s="2230"/>
    </row>
    <row r="757" spans="1:10" hidden="1">
      <c r="A757" s="2253"/>
      <c r="B757" s="2213"/>
      <c r="C757" s="2232" t="s">
        <v>700</v>
      </c>
      <c r="D757" s="2233" t="s">
        <v>1042</v>
      </c>
      <c r="E757" s="2233">
        <v>21.6</v>
      </c>
      <c r="F757" s="2237">
        <f>'Lead- Input sheet '!R8</f>
        <v>6656</v>
      </c>
      <c r="G757" s="2238">
        <f>ROUND(E757*F757/1000,2)</f>
        <v>143.77000000000001</v>
      </c>
      <c r="I757" s="2230"/>
    </row>
    <row r="758" spans="1:10" hidden="1">
      <c r="A758" s="2253"/>
      <c r="B758" s="2213"/>
      <c r="C758" s="2232" t="s">
        <v>704</v>
      </c>
      <c r="D758" s="2233" t="s">
        <v>1042</v>
      </c>
      <c r="E758" s="2233">
        <v>9.6</v>
      </c>
      <c r="F758" s="2237">
        <f>'Lead- Input sheet '!R8</f>
        <v>6656</v>
      </c>
      <c r="G758" s="2238">
        <f>ROUND(E758*F758/1000,2)</f>
        <v>63.9</v>
      </c>
      <c r="I758" s="2230"/>
    </row>
    <row r="759" spans="1:10" hidden="1">
      <c r="A759" s="2253"/>
      <c r="B759" s="2213"/>
      <c r="C759" s="2232" t="s">
        <v>703</v>
      </c>
      <c r="D759" s="2233" t="s">
        <v>1473</v>
      </c>
      <c r="E759" s="2233">
        <v>0.12</v>
      </c>
      <c r="F759" s="2237">
        <f>'Lead- Input sheet '!R11</f>
        <v>1239.6380759582803</v>
      </c>
      <c r="G759" s="2238">
        <f>ROUND(E759*F759,2)</f>
        <v>148.76</v>
      </c>
      <c r="I759" s="2230"/>
    </row>
    <row r="760" spans="1:10" hidden="1">
      <c r="A760" s="2253"/>
      <c r="B760" s="2213"/>
      <c r="C760" s="2232" t="s">
        <v>705</v>
      </c>
      <c r="D760" s="2233" t="s">
        <v>1473</v>
      </c>
      <c r="E760" s="2233">
        <v>0.02</v>
      </c>
      <c r="F760" s="2237">
        <f>'Lead- Input sheet '!R11</f>
        <v>1239.6380759582803</v>
      </c>
      <c r="G760" s="2238">
        <f>ROUND(E760*F760,2)</f>
        <v>24.79</v>
      </c>
      <c r="I760" s="2230"/>
    </row>
    <row r="761" spans="1:10" hidden="1">
      <c r="A761" s="2253"/>
      <c r="B761" s="2213"/>
      <c r="C761" s="2232" t="s">
        <v>340</v>
      </c>
      <c r="D761" s="2233"/>
      <c r="E761" s="2233"/>
      <c r="F761" s="2237"/>
      <c r="G761" s="2238" t="s">
        <v>1480</v>
      </c>
      <c r="I761" s="2230"/>
    </row>
    <row r="762" spans="1:10" ht="14.1" hidden="1">
      <c r="A762" s="2253"/>
      <c r="B762" s="2213"/>
      <c r="C762" s="2232" t="s">
        <v>3589</v>
      </c>
      <c r="D762" s="2233" t="s">
        <v>1047</v>
      </c>
      <c r="E762" s="2233">
        <v>0.96</v>
      </c>
      <c r="F762" s="2237">
        <f>'Lead- Input sheet '!R31</f>
        <v>680</v>
      </c>
      <c r="G762" s="2238">
        <f>ROUND(E762*F762,2)</f>
        <v>652.79999999999995</v>
      </c>
      <c r="I762" s="2230"/>
    </row>
    <row r="763" spans="1:10" ht="14.1" hidden="1">
      <c r="A763" s="2253"/>
      <c r="B763" s="2213"/>
      <c r="C763" s="2232" t="s">
        <v>3593</v>
      </c>
      <c r="D763" s="2233" t="s">
        <v>1047</v>
      </c>
      <c r="E763" s="2233">
        <v>2.2400000000000002</v>
      </c>
      <c r="F763" s="2237">
        <f>'Lead- Input sheet '!R30</f>
        <v>650</v>
      </c>
      <c r="G763" s="2238">
        <f>ROUND(E763*F763,2)</f>
        <v>1456</v>
      </c>
      <c r="I763" s="2230"/>
    </row>
    <row r="764" spans="1:10" hidden="1">
      <c r="A764" s="2253"/>
      <c r="B764" s="2213"/>
      <c r="C764" s="2232" t="s">
        <v>341</v>
      </c>
      <c r="D764" s="2233" t="s">
        <v>1047</v>
      </c>
      <c r="E764" s="2233">
        <v>3.3</v>
      </c>
      <c r="F764" s="2237">
        <f>'Lead- Input sheet '!R29</f>
        <v>605</v>
      </c>
      <c r="G764" s="2238">
        <f>ROUND(E764*F764,2)</f>
        <v>1996.5</v>
      </c>
      <c r="H764" s="2250"/>
      <c r="I764" s="2230"/>
    </row>
    <row r="765" spans="1:10" s="2231" customFormat="1" hidden="1">
      <c r="A765" s="2227"/>
      <c r="B765" s="2224"/>
      <c r="C765" s="2232" t="s">
        <v>2617</v>
      </c>
      <c r="D765" s="2233"/>
      <c r="E765" s="2233">
        <f>'Lead- Input sheet '!Q31</f>
        <v>0</v>
      </c>
      <c r="F765" s="2237">
        <f>SUM(G762:G764)</f>
        <v>4105.3</v>
      </c>
      <c r="G765" s="2238">
        <f>ROUND(F765*E765,2)</f>
        <v>0</v>
      </c>
      <c r="H765" s="2236"/>
      <c r="I765" s="2230"/>
    </row>
    <row r="766" spans="1:10" hidden="1">
      <c r="A766" s="2253"/>
      <c r="B766" s="2213"/>
      <c r="C766" s="2232" t="s">
        <v>1221</v>
      </c>
      <c r="D766" s="2233"/>
      <c r="E766" s="2233">
        <v>0.01</v>
      </c>
      <c r="F766" s="2237">
        <f>SUM(G756:G764)</f>
        <v>7114.8</v>
      </c>
      <c r="G766" s="2238">
        <f>ROUND(E766*F766,2)</f>
        <v>71.150000000000006</v>
      </c>
      <c r="I766" s="2230"/>
    </row>
    <row r="767" spans="1:10" s="2254" customFormat="1" hidden="1">
      <c r="A767" s="2213"/>
      <c r="B767" s="2213"/>
      <c r="C767" s="2225" t="s">
        <v>522</v>
      </c>
      <c r="D767" s="2242"/>
      <c r="E767" s="2242"/>
      <c r="F767" s="2249"/>
      <c r="G767" s="2244">
        <f>SUM(G756:G766)</f>
        <v>7185.95</v>
      </c>
      <c r="H767" s="2209"/>
      <c r="I767" s="2230"/>
    </row>
    <row r="768" spans="1:10" s="2246" customFormat="1" hidden="1">
      <c r="A768" s="2224"/>
      <c r="B768" s="2224"/>
      <c r="C768" s="2225" t="s">
        <v>1600</v>
      </c>
      <c r="D768" s="2242"/>
      <c r="E768" s="2242">
        <f>G767</f>
        <v>7185.95</v>
      </c>
      <c r="F768" s="2243">
        <f>'Lead- Input sheet '!Q32</f>
        <v>0</v>
      </c>
      <c r="G768" s="2244">
        <f>ROUND(F768*E768,2)</f>
        <v>0</v>
      </c>
      <c r="H768" s="2245"/>
      <c r="I768" s="2230"/>
    </row>
    <row r="769" spans="1:9" s="2246" customFormat="1" hidden="1">
      <c r="A769" s="2224"/>
      <c r="B769" s="2224"/>
      <c r="C769" s="2225"/>
      <c r="D769" s="2242"/>
      <c r="E769" s="2242"/>
      <c r="F769" s="2247" t="s">
        <v>1486</v>
      </c>
      <c r="G769" s="2244">
        <f>SUM(G767:G768)</f>
        <v>7185.95</v>
      </c>
      <c r="H769" s="2245"/>
      <c r="I769" s="2230"/>
    </row>
    <row r="770" spans="1:9" hidden="1">
      <c r="A770" s="2253"/>
      <c r="B770" s="2213"/>
      <c r="C770" s="2232" t="s">
        <v>904</v>
      </c>
      <c r="D770" s="2314" t="s">
        <v>1478</v>
      </c>
      <c r="E770" s="2233">
        <f>E756</f>
        <v>10.5</v>
      </c>
      <c r="F770" s="2315">
        <f>'Lead- Input sheet '!O26</f>
        <v>0</v>
      </c>
      <c r="G770" s="2238">
        <f>ROUND(E770*F770,2)</f>
        <v>0</v>
      </c>
      <c r="I770" s="2230"/>
    </row>
    <row r="771" spans="1:9" hidden="1">
      <c r="A771" s="2253"/>
      <c r="B771" s="2213"/>
      <c r="C771" s="2232" t="s">
        <v>900</v>
      </c>
      <c r="D771" s="2314" t="s">
        <v>525</v>
      </c>
      <c r="E771" s="2233">
        <f>E760+E759</f>
        <v>0.13999999999999999</v>
      </c>
      <c r="F771" s="2315">
        <f>'Lead- Input sheet '!O11</f>
        <v>0</v>
      </c>
      <c r="G771" s="2238">
        <f>ROUND(E771*F771,2)</f>
        <v>0</v>
      </c>
      <c r="I771" s="2230"/>
    </row>
    <row r="772" spans="1:9" hidden="1">
      <c r="A772" s="2253"/>
      <c r="B772" s="2213"/>
      <c r="C772" s="2225" t="s">
        <v>1231</v>
      </c>
      <c r="D772" s="2233"/>
      <c r="E772" s="2244"/>
      <c r="F772" s="2247" t="s">
        <v>1486</v>
      </c>
      <c r="G772" s="2244">
        <f>SUM(G769:G771)</f>
        <v>7185.95</v>
      </c>
      <c r="I772" s="2230"/>
    </row>
    <row r="773" spans="1:9" ht="113.4" hidden="1">
      <c r="A773" s="2213" t="s">
        <v>621</v>
      </c>
      <c r="B773" s="2213">
        <v>29</v>
      </c>
      <c r="C773" s="2232" t="s">
        <v>3597</v>
      </c>
      <c r="D773" s="2233"/>
      <c r="E773" s="2233"/>
      <c r="F773" s="2237"/>
      <c r="G773" s="2238"/>
      <c r="I773" s="2230"/>
    </row>
    <row r="774" spans="1:9" hidden="1">
      <c r="A774" s="2253"/>
      <c r="B774" s="2213"/>
      <c r="C774" s="2232" t="s">
        <v>1227</v>
      </c>
      <c r="D774" s="2233"/>
      <c r="E774" s="2233"/>
      <c r="F774" s="2237"/>
      <c r="G774" s="2238"/>
      <c r="I774" s="2230"/>
    </row>
    <row r="775" spans="1:9" hidden="1">
      <c r="A775" s="2253"/>
      <c r="B775" s="2213"/>
      <c r="C775" s="2232" t="s">
        <v>1041</v>
      </c>
      <c r="D775" s="2233"/>
      <c r="E775" s="2233"/>
      <c r="F775" s="2237"/>
      <c r="G775" s="2238"/>
      <c r="I775" s="2230"/>
    </row>
    <row r="776" spans="1:9" ht="25.2" hidden="1">
      <c r="A776" s="2253" t="s">
        <v>1608</v>
      </c>
      <c r="B776" s="2213"/>
      <c r="C776" s="2232" t="s">
        <v>1637</v>
      </c>
      <c r="D776" s="2233" t="s">
        <v>987</v>
      </c>
      <c r="E776" s="2233">
        <v>10.5</v>
      </c>
      <c r="F776" s="2237">
        <v>315</v>
      </c>
      <c r="G776" s="2238">
        <f>ROUND(E776*F776,2)</f>
        <v>3307.5</v>
      </c>
      <c r="I776" s="2230"/>
    </row>
    <row r="777" spans="1:9" hidden="1">
      <c r="A777" s="2253"/>
      <c r="B777" s="2213"/>
      <c r="C777" s="2232" t="s">
        <v>991</v>
      </c>
      <c r="D777" s="2233" t="s">
        <v>1042</v>
      </c>
      <c r="E777" s="2233">
        <v>21.6</v>
      </c>
      <c r="F777" s="2237">
        <f>'Lead- Input sheet '!R8</f>
        <v>6656</v>
      </c>
      <c r="G777" s="2238">
        <f>ROUND(E777*F777/1000,2)</f>
        <v>143.77000000000001</v>
      </c>
      <c r="I777" s="2230"/>
    </row>
    <row r="778" spans="1:9" hidden="1">
      <c r="A778" s="2253"/>
      <c r="B778" s="2213"/>
      <c r="C778" s="2232" t="s">
        <v>701</v>
      </c>
      <c r="D778" s="2233" t="s">
        <v>1042</v>
      </c>
      <c r="E778" s="2233">
        <v>33</v>
      </c>
      <c r="F778" s="2237">
        <f>'Lead- Input sheet '!R8</f>
        <v>6656</v>
      </c>
      <c r="G778" s="2238">
        <f>ROUND(E778*F778/1000,2)</f>
        <v>219.65</v>
      </c>
      <c r="I778" s="2230"/>
    </row>
    <row r="779" spans="1:9" ht="25.2" hidden="1">
      <c r="A779" s="2253" t="s">
        <v>1609</v>
      </c>
      <c r="B779" s="2213"/>
      <c r="C779" s="2232" t="s">
        <v>905</v>
      </c>
      <c r="D779" s="2233" t="s">
        <v>1042</v>
      </c>
      <c r="E779" s="2233">
        <v>2</v>
      </c>
      <c r="F779" s="2237">
        <v>36</v>
      </c>
      <c r="G779" s="2238">
        <f>ROUND(E779*F779,2)</f>
        <v>72</v>
      </c>
      <c r="I779" s="2230"/>
    </row>
    <row r="780" spans="1:9" hidden="1">
      <c r="A780" s="2253"/>
      <c r="B780" s="2213"/>
      <c r="C780" s="2232" t="s">
        <v>990</v>
      </c>
      <c r="D780" s="2233" t="s">
        <v>1473</v>
      </c>
      <c r="E780" s="2233">
        <v>0.12</v>
      </c>
      <c r="F780" s="2237">
        <f>'Lead- Input sheet '!R11</f>
        <v>1239.6380759582803</v>
      </c>
      <c r="G780" s="2238">
        <f>ROUND(E780*F780,2)</f>
        <v>148.76</v>
      </c>
      <c r="I780" s="2230"/>
    </row>
    <row r="781" spans="1:9" hidden="1">
      <c r="A781" s="2253"/>
      <c r="B781" s="2213"/>
      <c r="C781" s="2232" t="s">
        <v>653</v>
      </c>
      <c r="D781" s="2233"/>
      <c r="E781" s="2233"/>
      <c r="F781" s="2237"/>
      <c r="G781" s="2238"/>
      <c r="I781" s="2230"/>
    </row>
    <row r="782" spans="1:9" ht="14.1" hidden="1">
      <c r="A782" s="2253"/>
      <c r="B782" s="2213"/>
      <c r="C782" s="2232" t="s">
        <v>3589</v>
      </c>
      <c r="D782" s="2233" t="s">
        <v>1047</v>
      </c>
      <c r="E782" s="2233">
        <v>0.96</v>
      </c>
      <c r="F782" s="2237">
        <f>'Lead- Input sheet '!R31</f>
        <v>680</v>
      </c>
      <c r="G782" s="2238">
        <f>ROUND(E782*F782,2)</f>
        <v>652.79999999999995</v>
      </c>
      <c r="I782" s="2230"/>
    </row>
    <row r="783" spans="1:9" ht="14.1" hidden="1">
      <c r="A783" s="2253"/>
      <c r="B783" s="2213"/>
      <c r="C783" s="2232" t="s">
        <v>3593</v>
      </c>
      <c r="D783" s="2233" t="s">
        <v>1047</v>
      </c>
      <c r="E783" s="2233">
        <v>2.2400000000000002</v>
      </c>
      <c r="F783" s="2237">
        <f>'Lead- Input sheet '!R30</f>
        <v>650</v>
      </c>
      <c r="G783" s="2238">
        <f>ROUND(E783*F783,2)</f>
        <v>1456</v>
      </c>
      <c r="I783" s="2230"/>
    </row>
    <row r="784" spans="1:9" hidden="1">
      <c r="A784" s="2253"/>
      <c r="B784" s="2213"/>
      <c r="C784" s="2232" t="s">
        <v>706</v>
      </c>
      <c r="D784" s="2233" t="s">
        <v>1047</v>
      </c>
      <c r="E784" s="2233">
        <v>3.3</v>
      </c>
      <c r="F784" s="2237">
        <f>'Lead- Input sheet '!R29</f>
        <v>605</v>
      </c>
      <c r="G784" s="2238">
        <f>ROUND(E784*F784,2)</f>
        <v>1996.5</v>
      </c>
      <c r="H784" s="2250"/>
      <c r="I784" s="2230"/>
    </row>
    <row r="785" spans="1:9" s="2231" customFormat="1" hidden="1">
      <c r="A785" s="2227"/>
      <c r="B785" s="2224"/>
      <c r="C785" s="2232" t="s">
        <v>2617</v>
      </c>
      <c r="D785" s="2233"/>
      <c r="E785" s="2233">
        <f>'Lead- Input sheet '!Q31</f>
        <v>0</v>
      </c>
      <c r="F785" s="2237">
        <f>SUM(G782:G784)</f>
        <v>4105.3</v>
      </c>
      <c r="G785" s="2238">
        <f>ROUND(F785*E785,2)</f>
        <v>0</v>
      </c>
      <c r="H785" s="2236"/>
      <c r="I785" s="2230"/>
    </row>
    <row r="786" spans="1:9" hidden="1">
      <c r="A786" s="2253"/>
      <c r="B786" s="2213"/>
      <c r="C786" s="2232" t="s">
        <v>1221</v>
      </c>
      <c r="D786" s="2233"/>
      <c r="E786" s="2233">
        <v>0.01</v>
      </c>
      <c r="F786" s="2237">
        <f>SUM(G776:G785)</f>
        <v>7996.9800000000005</v>
      </c>
      <c r="G786" s="2238">
        <f>E786*F786</f>
        <v>79.969800000000006</v>
      </c>
      <c r="I786" s="2230"/>
    </row>
    <row r="787" spans="1:9" s="2254" customFormat="1" hidden="1">
      <c r="A787" s="2213"/>
      <c r="B787" s="2213"/>
      <c r="C787" s="2225" t="s">
        <v>1048</v>
      </c>
      <c r="D787" s="2242"/>
      <c r="E787" s="2242"/>
      <c r="F787" s="2249"/>
      <c r="G787" s="2244">
        <f>SUM(G776:G786)</f>
        <v>8076.9498000000003</v>
      </c>
      <c r="H787" s="2209"/>
      <c r="I787" s="2230"/>
    </row>
    <row r="788" spans="1:9" s="2246" customFormat="1" hidden="1">
      <c r="A788" s="2224"/>
      <c r="B788" s="2224"/>
      <c r="C788" s="2225" t="s">
        <v>1600</v>
      </c>
      <c r="D788" s="2242"/>
      <c r="E788" s="2242">
        <f>G787</f>
        <v>8076.9498000000003</v>
      </c>
      <c r="F788" s="2249">
        <f>'Lead- Input sheet '!Q32</f>
        <v>0</v>
      </c>
      <c r="G788" s="2244">
        <f>ROUND(F788*E788,2)</f>
        <v>0</v>
      </c>
      <c r="H788" s="2245"/>
      <c r="I788" s="2230"/>
    </row>
    <row r="789" spans="1:9" s="2246" customFormat="1" hidden="1">
      <c r="A789" s="2224"/>
      <c r="B789" s="2224"/>
      <c r="C789" s="2225"/>
      <c r="D789" s="2242"/>
      <c r="E789" s="2242"/>
      <c r="F789" s="2247" t="s">
        <v>1486</v>
      </c>
      <c r="G789" s="2244">
        <f>SUM(G787:G788)</f>
        <v>8076.9498000000003</v>
      </c>
      <c r="H789" s="2250"/>
      <c r="I789" s="2230"/>
    </row>
    <row r="790" spans="1:9" hidden="1">
      <c r="A790" s="2253"/>
      <c r="B790" s="2213"/>
      <c r="C790" s="2232" t="s">
        <v>900</v>
      </c>
      <c r="D790" s="2314" t="s">
        <v>525</v>
      </c>
      <c r="E790" s="2233">
        <f>E780</f>
        <v>0.12</v>
      </c>
      <c r="F790" s="2315">
        <f>'Lead- Input sheet '!O11</f>
        <v>0</v>
      </c>
      <c r="G790" s="2238">
        <f>ROUND(E790*F790,2)</f>
        <v>0</v>
      </c>
      <c r="I790" s="2230"/>
    </row>
    <row r="791" spans="1:9" hidden="1">
      <c r="A791" s="2253"/>
      <c r="B791" s="2213"/>
      <c r="C791" s="2225" t="s">
        <v>3198</v>
      </c>
      <c r="D791" s="2233"/>
      <c r="E791" s="2244"/>
      <c r="F791" s="2247" t="s">
        <v>1486</v>
      </c>
      <c r="G791" s="2244">
        <f>SUM(G789:G790)/10</f>
        <v>807.69497999999999</v>
      </c>
      <c r="I791" s="2230"/>
    </row>
    <row r="792" spans="1:9" ht="138.6" hidden="1">
      <c r="A792" s="2213" t="s">
        <v>622</v>
      </c>
      <c r="B792" s="2213">
        <v>30</v>
      </c>
      <c r="C792" s="2232" t="s">
        <v>3244</v>
      </c>
      <c r="D792" s="2233"/>
      <c r="E792" s="2233"/>
      <c r="F792" s="2237"/>
      <c r="G792" s="2238"/>
      <c r="I792" s="2230"/>
    </row>
    <row r="793" spans="1:9" hidden="1">
      <c r="A793" s="2253"/>
      <c r="B793" s="2213"/>
      <c r="C793" s="2232" t="s">
        <v>3598</v>
      </c>
      <c r="D793" s="2233"/>
      <c r="E793" s="2233"/>
      <c r="F793" s="2237"/>
      <c r="G793" s="2238"/>
      <c r="I793" s="2230"/>
    </row>
    <row r="794" spans="1:9" hidden="1">
      <c r="A794" s="2253"/>
      <c r="B794" s="2213"/>
      <c r="C794" s="2232" t="s">
        <v>1041</v>
      </c>
      <c r="D794" s="2233"/>
      <c r="E794" s="2233"/>
      <c r="F794" s="2237"/>
      <c r="G794" s="2238"/>
      <c r="I794" s="2230"/>
    </row>
    <row r="795" spans="1:9" ht="25.2" hidden="1">
      <c r="A795" s="2253" t="s">
        <v>1883</v>
      </c>
      <c r="B795" s="2213"/>
      <c r="C795" s="2275" t="s">
        <v>1876</v>
      </c>
      <c r="D795" s="2233" t="s">
        <v>987</v>
      </c>
      <c r="E795" s="2233">
        <v>10.5</v>
      </c>
      <c r="F795" s="2237">
        <v>420</v>
      </c>
      <c r="G795" s="2238">
        <f>ROUND(E795*F795,2)</f>
        <v>4410</v>
      </c>
      <c r="H795" s="2251" t="s">
        <v>1875</v>
      </c>
      <c r="I795" s="2230">
        <v>599</v>
      </c>
    </row>
    <row r="796" spans="1:9" hidden="1">
      <c r="A796" s="2253"/>
      <c r="B796" s="2213"/>
      <c r="C796" s="2232" t="s">
        <v>624</v>
      </c>
      <c r="D796" s="2233" t="s">
        <v>1473</v>
      </c>
      <c r="E796" s="2233">
        <v>0.12</v>
      </c>
      <c r="F796" s="2237">
        <f>'Lead- Input sheet '!R11</f>
        <v>1239.6380759582803</v>
      </c>
      <c r="G796" s="2238">
        <f>ROUND(E796*F796,2)</f>
        <v>148.76</v>
      </c>
      <c r="I796" s="2230"/>
    </row>
    <row r="797" spans="1:9" hidden="1">
      <c r="A797" s="2253"/>
      <c r="B797" s="2213"/>
      <c r="C797" s="2232" t="s">
        <v>625</v>
      </c>
      <c r="D797" s="2233" t="s">
        <v>1217</v>
      </c>
      <c r="E797" s="2233">
        <v>57.6</v>
      </c>
      <c r="F797" s="2237">
        <f>'Lead- Input sheet '!R8</f>
        <v>6656</v>
      </c>
      <c r="G797" s="2238">
        <f>ROUND(E797*F797/1000,2)</f>
        <v>383.39</v>
      </c>
      <c r="I797" s="2230"/>
    </row>
    <row r="798" spans="1:9" hidden="1">
      <c r="A798" s="2253"/>
      <c r="B798" s="2213"/>
      <c r="C798" s="2232" t="s">
        <v>484</v>
      </c>
      <c r="D798" s="2233" t="s">
        <v>1217</v>
      </c>
      <c r="E798" s="2233">
        <v>33</v>
      </c>
      <c r="F798" s="2237">
        <f>'Lead- Input sheet '!R8</f>
        <v>6656</v>
      </c>
      <c r="G798" s="2238">
        <f>ROUND(E798*F798/1000,2)</f>
        <v>219.65</v>
      </c>
      <c r="I798" s="2230"/>
    </row>
    <row r="799" spans="1:9" hidden="1">
      <c r="A799" s="2253"/>
      <c r="B799" s="2213"/>
      <c r="C799" s="2232" t="s">
        <v>992</v>
      </c>
      <c r="D799" s="2233" t="s">
        <v>1217</v>
      </c>
      <c r="E799" s="2233">
        <v>6</v>
      </c>
      <c r="F799" s="2237">
        <f>F779</f>
        <v>36</v>
      </c>
      <c r="G799" s="2238">
        <f>ROUND(E799*F799,2)</f>
        <v>216</v>
      </c>
      <c r="I799" s="2230"/>
    </row>
    <row r="800" spans="1:9" hidden="1">
      <c r="A800" s="2253"/>
      <c r="B800" s="2213"/>
      <c r="C800" s="2232" t="s">
        <v>653</v>
      </c>
      <c r="D800" s="2233"/>
      <c r="E800" s="2233"/>
      <c r="F800" s="2237"/>
      <c r="G800" s="2238"/>
      <c r="I800" s="2230"/>
    </row>
    <row r="801" spans="1:9" ht="14.1" hidden="1">
      <c r="A801" s="2253"/>
      <c r="B801" s="2213"/>
      <c r="C801" s="2232" t="s">
        <v>3589</v>
      </c>
      <c r="D801" s="2233" t="s">
        <v>1047</v>
      </c>
      <c r="E801" s="2233">
        <v>0.77</v>
      </c>
      <c r="F801" s="2237">
        <f>'Lead- Input sheet '!R31</f>
        <v>680</v>
      </c>
      <c r="G801" s="2238">
        <f>ROUND(E801*F801,2)</f>
        <v>523.6</v>
      </c>
      <c r="I801" s="2230"/>
    </row>
    <row r="802" spans="1:9" hidden="1">
      <c r="A802" s="2253"/>
      <c r="B802" s="2213"/>
      <c r="C802" s="2232" t="s">
        <v>706</v>
      </c>
      <c r="D802" s="2233" t="s">
        <v>1047</v>
      </c>
      <c r="E802" s="2233">
        <v>0.8</v>
      </c>
      <c r="F802" s="2237">
        <f>'Lead- Input sheet '!R29</f>
        <v>605</v>
      </c>
      <c r="G802" s="2238">
        <f>ROUND(E802*F802,2)</f>
        <v>484</v>
      </c>
      <c r="H802" s="2250"/>
      <c r="I802" s="2230"/>
    </row>
    <row r="803" spans="1:9" s="2231" customFormat="1" hidden="1">
      <c r="A803" s="2227"/>
      <c r="B803" s="2224"/>
      <c r="C803" s="2232" t="s">
        <v>2617</v>
      </c>
      <c r="D803" s="2233"/>
      <c r="E803" s="2233">
        <f>'Lead- Input sheet '!Q31</f>
        <v>0</v>
      </c>
      <c r="F803" s="2237">
        <f>SUM(G801:G802)</f>
        <v>1007.6</v>
      </c>
      <c r="G803" s="2238">
        <f>ROUND(F803*E803,2)</f>
        <v>0</v>
      </c>
      <c r="H803" s="2236"/>
      <c r="I803" s="2230"/>
    </row>
    <row r="804" spans="1:9" s="2254" customFormat="1" hidden="1">
      <c r="A804" s="2213"/>
      <c r="B804" s="2213"/>
      <c r="C804" s="2225" t="s">
        <v>1048</v>
      </c>
      <c r="D804" s="2242"/>
      <c r="E804" s="2242"/>
      <c r="F804" s="2249"/>
      <c r="G804" s="2244">
        <f>SUM(G795:G803)</f>
        <v>6385.4000000000005</v>
      </c>
      <c r="H804" s="2209"/>
      <c r="I804" s="2230"/>
    </row>
    <row r="805" spans="1:9" s="2246" customFormat="1" hidden="1">
      <c r="A805" s="2224"/>
      <c r="B805" s="2224"/>
      <c r="C805" s="2225" t="s">
        <v>1600</v>
      </c>
      <c r="D805" s="2242"/>
      <c r="E805" s="2242">
        <f>G804</f>
        <v>6385.4000000000005</v>
      </c>
      <c r="F805" s="2243">
        <f>'Lead- Input sheet '!Q32</f>
        <v>0</v>
      </c>
      <c r="G805" s="2244">
        <f>ROUND(F805*E805,2)</f>
        <v>0</v>
      </c>
      <c r="H805" s="2245"/>
      <c r="I805" s="2230"/>
    </row>
    <row r="806" spans="1:9" s="2246" customFormat="1" hidden="1">
      <c r="A806" s="2224"/>
      <c r="B806" s="2224"/>
      <c r="C806" s="2225"/>
      <c r="D806" s="2242"/>
      <c r="E806" s="2242"/>
      <c r="F806" s="2247" t="s">
        <v>1486</v>
      </c>
      <c r="G806" s="2244">
        <f>SUM(G804:G805)</f>
        <v>6385.4000000000005</v>
      </c>
      <c r="H806" s="2250"/>
      <c r="I806" s="2230"/>
    </row>
    <row r="807" spans="1:9" hidden="1">
      <c r="A807" s="2253"/>
      <c r="B807" s="2213"/>
      <c r="C807" s="2232" t="s">
        <v>900</v>
      </c>
      <c r="D807" s="2314" t="s">
        <v>525</v>
      </c>
      <c r="E807" s="2233">
        <f>E796</f>
        <v>0.12</v>
      </c>
      <c r="F807" s="2315">
        <f>'Lead- Input sheet '!O11</f>
        <v>0</v>
      </c>
      <c r="G807" s="2238">
        <f>ROUND(E807*F807,2)</f>
        <v>0</v>
      </c>
      <c r="I807" s="2230"/>
    </row>
    <row r="808" spans="1:9" hidden="1">
      <c r="A808" s="2253"/>
      <c r="B808" s="2213"/>
      <c r="C808" s="2225" t="s">
        <v>1231</v>
      </c>
      <c r="D808" s="2233"/>
      <c r="E808" s="2244"/>
      <c r="F808" s="2247" t="s">
        <v>1486</v>
      </c>
      <c r="G808" s="2244">
        <f>SUM(G806:G807)/10</f>
        <v>638.54000000000008</v>
      </c>
      <c r="I808" s="2230"/>
    </row>
    <row r="809" spans="1:9" ht="113.4" hidden="1">
      <c r="A809" s="2213" t="s">
        <v>622</v>
      </c>
      <c r="B809" s="2213">
        <v>31</v>
      </c>
      <c r="C809" s="2225" t="s">
        <v>3176</v>
      </c>
      <c r="D809" s="2233"/>
      <c r="E809" s="2233"/>
      <c r="F809" s="2237"/>
      <c r="G809" s="2238"/>
      <c r="I809" s="2230"/>
    </row>
    <row r="810" spans="1:9" hidden="1">
      <c r="A810" s="2253"/>
      <c r="B810" s="2213"/>
      <c r="C810" s="2232" t="s">
        <v>3598</v>
      </c>
      <c r="D810" s="2233"/>
      <c r="E810" s="2233"/>
      <c r="F810" s="2237"/>
      <c r="G810" s="2238"/>
      <c r="I810" s="2230"/>
    </row>
    <row r="811" spans="1:9" hidden="1">
      <c r="A811" s="2253"/>
      <c r="B811" s="2213"/>
      <c r="C811" s="2232" t="s">
        <v>1041</v>
      </c>
      <c r="D811" s="2233"/>
      <c r="E811" s="2233"/>
      <c r="F811" s="2237"/>
      <c r="G811" s="2238"/>
      <c r="I811" s="2230"/>
    </row>
    <row r="812" spans="1:9" ht="25.2" hidden="1">
      <c r="A812" s="2253" t="s">
        <v>1883</v>
      </c>
      <c r="B812" s="2213"/>
      <c r="C812" s="2275" t="s">
        <v>2648</v>
      </c>
      <c r="D812" s="2233" t="s">
        <v>987</v>
      </c>
      <c r="E812" s="2233">
        <v>10.5</v>
      </c>
      <c r="F812" s="2237">
        <v>578</v>
      </c>
      <c r="G812" s="2238">
        <f>ROUND(E812*F812,2)</f>
        <v>6069</v>
      </c>
      <c r="I812" s="2230"/>
    </row>
    <row r="813" spans="1:9" hidden="1">
      <c r="A813" s="2253"/>
      <c r="B813" s="2213"/>
      <c r="C813" s="2232" t="s">
        <v>2647</v>
      </c>
      <c r="D813" s="2233" t="s">
        <v>1473</v>
      </c>
      <c r="E813" s="2233">
        <v>0.12</v>
      </c>
      <c r="F813" s="2237">
        <f>'Lead- Input sheet '!R11</f>
        <v>1239.6380759582803</v>
      </c>
      <c r="G813" s="2238">
        <f>ROUND(E813*F813,2)</f>
        <v>148.76</v>
      </c>
      <c r="I813" s="2230"/>
    </row>
    <row r="814" spans="1:9" hidden="1">
      <c r="A814" s="2253"/>
      <c r="B814" s="2213"/>
      <c r="C814" s="2232" t="s">
        <v>625</v>
      </c>
      <c r="D814" s="2233" t="s">
        <v>1217</v>
      </c>
      <c r="E814" s="2233">
        <v>57.6</v>
      </c>
      <c r="F814" s="2237">
        <f>'Lead- Input sheet '!R8</f>
        <v>6656</v>
      </c>
      <c r="G814" s="2238">
        <f>ROUND(E814*F814/1000,2)</f>
        <v>383.39</v>
      </c>
      <c r="I814" s="2230"/>
    </row>
    <row r="815" spans="1:9" hidden="1">
      <c r="A815" s="2253"/>
      <c r="B815" s="2213"/>
      <c r="C815" s="2232" t="s">
        <v>484</v>
      </c>
      <c r="D815" s="2233" t="s">
        <v>1217</v>
      </c>
      <c r="E815" s="2233">
        <v>33</v>
      </c>
      <c r="F815" s="2237">
        <f>F814</f>
        <v>6656</v>
      </c>
      <c r="G815" s="2238">
        <f>ROUND(E815*F815/1000,2)</f>
        <v>219.65</v>
      </c>
      <c r="I815" s="2230"/>
    </row>
    <row r="816" spans="1:9" hidden="1">
      <c r="A816" s="2253"/>
      <c r="B816" s="2213"/>
      <c r="C816" s="2232" t="s">
        <v>992</v>
      </c>
      <c r="D816" s="2233" t="s">
        <v>1217</v>
      </c>
      <c r="E816" s="2233">
        <v>6</v>
      </c>
      <c r="F816" s="2237">
        <f>F799</f>
        <v>36</v>
      </c>
      <c r="G816" s="2238">
        <f>ROUND(E816*F816,2)</f>
        <v>216</v>
      </c>
      <c r="I816" s="2230"/>
    </row>
    <row r="817" spans="1:9" hidden="1">
      <c r="A817" s="2253"/>
      <c r="B817" s="2213"/>
      <c r="C817" s="2232" t="s">
        <v>653</v>
      </c>
      <c r="D817" s="2233"/>
      <c r="E817" s="2233"/>
      <c r="F817" s="2237"/>
      <c r="G817" s="2238"/>
      <c r="I817" s="2230"/>
    </row>
    <row r="818" spans="1:9" ht="14.1" hidden="1">
      <c r="A818" s="2253"/>
      <c r="B818" s="2213"/>
      <c r="C818" s="2232" t="s">
        <v>3589</v>
      </c>
      <c r="D818" s="2233" t="s">
        <v>1047</v>
      </c>
      <c r="E818" s="2233">
        <v>0.9</v>
      </c>
      <c r="F818" s="2237">
        <f>F801</f>
        <v>680</v>
      </c>
      <c r="G818" s="2238">
        <f>ROUND(E818*F818,2)</f>
        <v>612</v>
      </c>
      <c r="I818" s="2230"/>
    </row>
    <row r="819" spans="1:9" hidden="1">
      <c r="A819" s="2253"/>
      <c r="B819" s="2213"/>
      <c r="C819" s="2232" t="s">
        <v>654</v>
      </c>
      <c r="D819" s="2233" t="s">
        <v>1047</v>
      </c>
      <c r="E819" s="2233">
        <v>0</v>
      </c>
      <c r="F819" s="2237">
        <f>F783</f>
        <v>650</v>
      </c>
      <c r="G819" s="2238">
        <f>ROUND(E819*F819,2)</f>
        <v>0</v>
      </c>
      <c r="I819" s="2230"/>
    </row>
    <row r="820" spans="1:9" hidden="1">
      <c r="A820" s="2253"/>
      <c r="B820" s="2213"/>
      <c r="C820" s="2232" t="s">
        <v>706</v>
      </c>
      <c r="D820" s="2233" t="s">
        <v>1047</v>
      </c>
      <c r="E820" s="2233">
        <v>0.8</v>
      </c>
      <c r="F820" s="2237">
        <v>615</v>
      </c>
      <c r="G820" s="2238">
        <f>ROUND(E820*F820,2)</f>
        <v>492</v>
      </c>
      <c r="I820" s="2230"/>
    </row>
    <row r="821" spans="1:9" hidden="1">
      <c r="A821" s="2227"/>
      <c r="B821" s="2224"/>
      <c r="C821" s="2232" t="s">
        <v>2617</v>
      </c>
      <c r="D821" s="2233"/>
      <c r="E821" s="2233">
        <f>'Lead- Input sheet '!Q31</f>
        <v>0</v>
      </c>
      <c r="F821" s="2237">
        <f>SUM(G818:G820)</f>
        <v>1104</v>
      </c>
      <c r="G821" s="2238">
        <f>ROUND(F821*E821,2)</f>
        <v>0</v>
      </c>
      <c r="I821" s="2230"/>
    </row>
    <row r="822" spans="1:9" hidden="1">
      <c r="A822" s="2213"/>
      <c r="B822" s="2213"/>
      <c r="C822" s="2225" t="s">
        <v>1048</v>
      </c>
      <c r="D822" s="2242"/>
      <c r="E822" s="2242"/>
      <c r="F822" s="2249"/>
      <c r="G822" s="2244">
        <f>SUM(G812:G821)</f>
        <v>8140.8</v>
      </c>
      <c r="I822" s="2230"/>
    </row>
    <row r="823" spans="1:9" hidden="1">
      <c r="A823" s="2224"/>
      <c r="B823" s="2224"/>
      <c r="C823" s="2225" t="s">
        <v>1600</v>
      </c>
      <c r="D823" s="2242"/>
      <c r="E823" s="2242">
        <f>G822</f>
        <v>8140.8</v>
      </c>
      <c r="F823" s="2243">
        <f>'Lead- Input sheet '!Q32</f>
        <v>0</v>
      </c>
      <c r="G823" s="2244">
        <f>ROUND(F823*E823,2)</f>
        <v>0</v>
      </c>
      <c r="I823" s="2230"/>
    </row>
    <row r="824" spans="1:9" hidden="1">
      <c r="A824" s="2224"/>
      <c r="B824" s="2224"/>
      <c r="C824" s="2225"/>
      <c r="D824" s="2242"/>
      <c r="E824" s="2242"/>
      <c r="F824" s="2247" t="s">
        <v>1486</v>
      </c>
      <c r="G824" s="2244">
        <f>SUM(G822:G823)</f>
        <v>8140.8</v>
      </c>
      <c r="I824" s="2230"/>
    </row>
    <row r="825" spans="1:9" hidden="1">
      <c r="A825" s="2253"/>
      <c r="B825" s="2213"/>
      <c r="C825" s="2232" t="s">
        <v>900</v>
      </c>
      <c r="D825" s="2314" t="s">
        <v>525</v>
      </c>
      <c r="E825" s="2233">
        <f>E813</f>
        <v>0.12</v>
      </c>
      <c r="F825" s="2315">
        <f>'Lead- Input sheet '!O27</f>
        <v>0</v>
      </c>
      <c r="G825" s="2238">
        <f>ROUND(E825*F825,2)</f>
        <v>0</v>
      </c>
      <c r="I825" s="2230"/>
    </row>
    <row r="826" spans="1:9" hidden="1">
      <c r="A826" s="2253"/>
      <c r="B826" s="2213"/>
      <c r="C826" s="2225" t="s">
        <v>1231</v>
      </c>
      <c r="D826" s="2233"/>
      <c r="E826" s="2244"/>
      <c r="F826" s="2247" t="s">
        <v>1486</v>
      </c>
      <c r="G826" s="2244">
        <f>SUM(G824:G825)/10</f>
        <v>814.08</v>
      </c>
      <c r="I826" s="2230"/>
    </row>
    <row r="827" spans="1:9" hidden="1">
      <c r="A827" s="2253"/>
      <c r="B827" s="2213"/>
      <c r="C827" s="2225"/>
      <c r="D827" s="2233"/>
      <c r="E827" s="2244"/>
      <c r="F827" s="2247"/>
      <c r="G827" s="2244"/>
      <c r="I827" s="2230"/>
    </row>
    <row r="828" spans="1:9" hidden="1">
      <c r="A828" s="2253"/>
      <c r="B828" s="2213"/>
      <c r="C828" s="2225"/>
      <c r="D828" s="2233"/>
      <c r="E828" s="2244"/>
      <c r="F828" s="2247"/>
      <c r="G828" s="2244"/>
      <c r="I828" s="2230"/>
    </row>
    <row r="829" spans="1:9" ht="126" hidden="1">
      <c r="A829" s="2213" t="s">
        <v>623</v>
      </c>
      <c r="B829" s="2213">
        <v>32</v>
      </c>
      <c r="C829" s="2232" t="s">
        <v>2622</v>
      </c>
      <c r="D829" s="2233"/>
      <c r="E829" s="2233"/>
      <c r="F829" s="2237"/>
      <c r="G829" s="2238"/>
      <c r="I829" s="2230"/>
    </row>
    <row r="830" spans="1:9" hidden="1">
      <c r="A830" s="2253"/>
      <c r="B830" s="2213"/>
      <c r="C830" s="2232" t="s">
        <v>1227</v>
      </c>
      <c r="D830" s="2233"/>
      <c r="E830" s="2233"/>
      <c r="F830" s="2237"/>
      <c r="G830" s="2238"/>
      <c r="I830" s="2230"/>
    </row>
    <row r="831" spans="1:9" hidden="1">
      <c r="A831" s="2253"/>
      <c r="B831" s="2213"/>
      <c r="C831" s="2232" t="s">
        <v>1041</v>
      </c>
      <c r="D831" s="2233"/>
      <c r="E831" s="2233"/>
      <c r="F831" s="2237"/>
      <c r="G831" s="2238"/>
      <c r="I831" s="2230"/>
    </row>
    <row r="832" spans="1:9" hidden="1">
      <c r="A832" s="2253"/>
      <c r="B832" s="2213"/>
      <c r="C832" s="2232" t="s">
        <v>2623</v>
      </c>
      <c r="D832" s="2233" t="s">
        <v>987</v>
      </c>
      <c r="E832" s="2233">
        <v>11</v>
      </c>
      <c r="F832" s="2237">
        <f>'Lead- Input sheet '!R26</f>
        <v>3209.0725256348192</v>
      </c>
      <c r="G832" s="2238">
        <f>ROUND(E832*F832/10,2)</f>
        <v>3529.98</v>
      </c>
      <c r="I832" s="2230"/>
    </row>
    <row r="833" spans="1:11" hidden="1">
      <c r="A833" s="2253"/>
      <c r="B833" s="2213"/>
      <c r="C833" s="2232" t="s">
        <v>624</v>
      </c>
      <c r="D833" s="2233" t="s">
        <v>1473</v>
      </c>
      <c r="E833" s="2233">
        <v>0.12</v>
      </c>
      <c r="F833" s="2237">
        <f>'Lead- Input sheet '!R11</f>
        <v>1239.6380759582803</v>
      </c>
      <c r="G833" s="2238">
        <f>ROUND(E833*F833,2)</f>
        <v>148.76</v>
      </c>
      <c r="I833" s="2230"/>
    </row>
    <row r="834" spans="1:11" hidden="1">
      <c r="A834" s="2253"/>
      <c r="B834" s="2213"/>
      <c r="C834" s="2232" t="s">
        <v>625</v>
      </c>
      <c r="D834" s="2233" t="s">
        <v>1217</v>
      </c>
      <c r="E834" s="2233">
        <v>57.6</v>
      </c>
      <c r="F834" s="2237">
        <f>'Lead- Input sheet '!R8</f>
        <v>6656</v>
      </c>
      <c r="G834" s="2238">
        <f>ROUND(F834/1000*E834,2)</f>
        <v>383.39</v>
      </c>
      <c r="I834" s="2230"/>
    </row>
    <row r="835" spans="1:11" hidden="1">
      <c r="A835" s="2253"/>
      <c r="B835" s="2213"/>
      <c r="C835" s="2232" t="s">
        <v>484</v>
      </c>
      <c r="D835" s="2233" t="s">
        <v>1217</v>
      </c>
      <c r="E835" s="2233">
        <v>33</v>
      </c>
      <c r="F835" s="2237">
        <f>'Lead- Input sheet '!R8</f>
        <v>6656</v>
      </c>
      <c r="G835" s="2238">
        <f>ROUND(F835/1000*E835,2)</f>
        <v>219.65</v>
      </c>
      <c r="I835" s="2230"/>
    </row>
    <row r="836" spans="1:11" hidden="1">
      <c r="A836" s="2253"/>
      <c r="B836" s="2213"/>
      <c r="C836" s="2232" t="s">
        <v>653</v>
      </c>
      <c r="D836" s="2233"/>
      <c r="E836" s="2233"/>
      <c r="F836" s="2237"/>
      <c r="G836" s="2238"/>
      <c r="I836" s="2230"/>
    </row>
    <row r="837" spans="1:11" hidden="1">
      <c r="A837" s="2253"/>
      <c r="B837" s="2213"/>
      <c r="C837" s="2232" t="s">
        <v>496</v>
      </c>
      <c r="D837" s="2233" t="s">
        <v>1047</v>
      </c>
      <c r="E837" s="2233">
        <v>0.96</v>
      </c>
      <c r="F837" s="2237">
        <f>'Lead- Input sheet '!R31</f>
        <v>680</v>
      </c>
      <c r="G837" s="2238">
        <f>ROUND(E837*F837,2)</f>
        <v>652.79999999999995</v>
      </c>
      <c r="I837" s="2230"/>
    </row>
    <row r="838" spans="1:11" hidden="1">
      <c r="A838" s="2253"/>
      <c r="B838" s="2213"/>
      <c r="C838" s="2232" t="s">
        <v>654</v>
      </c>
      <c r="D838" s="2233" t="s">
        <v>1047</v>
      </c>
      <c r="E838" s="2233">
        <v>2.2400000000000002</v>
      </c>
      <c r="F838" s="2237">
        <f>'Lead- Input sheet '!R30</f>
        <v>650</v>
      </c>
      <c r="G838" s="2238">
        <f>ROUND(E838*F838,2)</f>
        <v>1456</v>
      </c>
      <c r="I838" s="2230"/>
    </row>
    <row r="839" spans="1:11" hidden="1">
      <c r="A839" s="2253"/>
      <c r="B839" s="2213"/>
      <c r="C839" s="2232" t="s">
        <v>706</v>
      </c>
      <c r="D839" s="2233" t="s">
        <v>1047</v>
      </c>
      <c r="E839" s="2233">
        <v>3.1</v>
      </c>
      <c r="F839" s="2237">
        <f>'Lead- Input sheet '!R29</f>
        <v>605</v>
      </c>
      <c r="G839" s="2238">
        <f>ROUND(E839*F839,2)</f>
        <v>1875.5</v>
      </c>
      <c r="H839" s="2250"/>
      <c r="I839" s="2230"/>
    </row>
    <row r="840" spans="1:11" s="2231" customFormat="1" hidden="1">
      <c r="A840" s="2227"/>
      <c r="B840" s="2224"/>
      <c r="C840" s="2232" t="s">
        <v>2617</v>
      </c>
      <c r="D840" s="2233"/>
      <c r="E840" s="2233">
        <f>'Lead- Input sheet '!Q31</f>
        <v>0</v>
      </c>
      <c r="F840" s="2237">
        <f>SUM(G837:G839)</f>
        <v>3984.3</v>
      </c>
      <c r="G840" s="2238">
        <f>ROUND(F840*E840,2)</f>
        <v>0</v>
      </c>
      <c r="H840" s="2236"/>
      <c r="I840" s="2230"/>
      <c r="K840" s="2231">
        <f>0.4*520</f>
        <v>208</v>
      </c>
    </row>
    <row r="841" spans="1:11" hidden="1">
      <c r="A841" s="2253"/>
      <c r="B841" s="2213"/>
      <c r="C841" s="2232" t="s">
        <v>1221</v>
      </c>
      <c r="D841" s="2233"/>
      <c r="E841" s="2233">
        <v>0.01</v>
      </c>
      <c r="F841" s="2237">
        <f>SUM(G832:G840)</f>
        <v>8266.08</v>
      </c>
      <c r="G841" s="2238">
        <f>ROUND(E841*F841,2)</f>
        <v>82.66</v>
      </c>
      <c r="I841" s="2230"/>
      <c r="K841" s="2211">
        <f>10*520</f>
        <v>5200</v>
      </c>
    </row>
    <row r="842" spans="1:11" hidden="1">
      <c r="A842" s="2253"/>
      <c r="B842" s="2213"/>
      <c r="C842" s="2232" t="s">
        <v>1048</v>
      </c>
      <c r="D842" s="2233"/>
      <c r="E842" s="2233"/>
      <c r="F842" s="2237"/>
      <c r="G842" s="2238">
        <f>SUM(G832:G841)</f>
        <v>8348.74</v>
      </c>
      <c r="I842" s="2230"/>
      <c r="K842" s="2211">
        <f>6*3502.9</f>
        <v>21017.4</v>
      </c>
    </row>
    <row r="843" spans="1:11" s="2246" customFormat="1" hidden="1">
      <c r="A843" s="2224"/>
      <c r="B843" s="2224"/>
      <c r="C843" s="2225" t="s">
        <v>1600</v>
      </c>
      <c r="D843" s="2242"/>
      <c r="E843" s="2242">
        <f>G842</f>
        <v>8348.74</v>
      </c>
      <c r="F843" s="2243">
        <f>'Lead- Input sheet '!Q32</f>
        <v>0</v>
      </c>
      <c r="G843" s="2238">
        <f>ROUND(E843*F843,2)</f>
        <v>0</v>
      </c>
      <c r="H843" s="2245"/>
      <c r="I843" s="2230"/>
      <c r="K843" s="2246">
        <f>6.5*1250.1</f>
        <v>8125.65</v>
      </c>
    </row>
    <row r="844" spans="1:11" s="2246" customFormat="1" hidden="1">
      <c r="A844" s="2224"/>
      <c r="B844" s="2224"/>
      <c r="C844" s="2225"/>
      <c r="D844" s="2242"/>
      <c r="E844" s="2242"/>
      <c r="F844" s="2249" t="s">
        <v>1486</v>
      </c>
      <c r="G844" s="2244">
        <f>SUM(G842:G843)</f>
        <v>8348.74</v>
      </c>
      <c r="H844" s="2250"/>
      <c r="I844" s="2230"/>
      <c r="K844" s="2246">
        <f>SUM(K840:K843)</f>
        <v>34551.050000000003</v>
      </c>
    </row>
    <row r="845" spans="1:11" hidden="1">
      <c r="A845" s="2253"/>
      <c r="B845" s="2213"/>
      <c r="C845" s="2232" t="s">
        <v>904</v>
      </c>
      <c r="D845" s="2314" t="s">
        <v>1478</v>
      </c>
      <c r="E845" s="2233">
        <v>1.1000000000000001</v>
      </c>
      <c r="F845" s="2315">
        <f>'Lead- Input sheet '!O26</f>
        <v>0</v>
      </c>
      <c r="G845" s="2238">
        <f>ROUND(E845*F845,2)</f>
        <v>0</v>
      </c>
      <c r="I845" s="2230"/>
      <c r="K845" s="2211">
        <f>+K844/36</f>
        <v>959.75138888888898</v>
      </c>
    </row>
    <row r="846" spans="1:11" hidden="1">
      <c r="A846" s="2253"/>
      <c r="B846" s="2213"/>
      <c r="C846" s="2232" t="s">
        <v>900</v>
      </c>
      <c r="D846" s="2314" t="s">
        <v>525</v>
      </c>
      <c r="E846" s="2233">
        <f>E833</f>
        <v>0.12</v>
      </c>
      <c r="F846" s="2315">
        <f>'Lead- Input sheet '!O11</f>
        <v>0</v>
      </c>
      <c r="G846" s="2238">
        <f>ROUND(E846*F846,2)</f>
        <v>0</v>
      </c>
      <c r="I846" s="2230"/>
    </row>
    <row r="847" spans="1:11" hidden="1">
      <c r="A847" s="2253"/>
      <c r="B847" s="2213"/>
      <c r="C847" s="2225" t="s">
        <v>1231</v>
      </c>
      <c r="D847" s="2233"/>
      <c r="E847" s="2244"/>
      <c r="F847" s="2247" t="s">
        <v>1486</v>
      </c>
      <c r="G847" s="2244">
        <f>SUM(G844:G846)</f>
        <v>8348.74</v>
      </c>
      <c r="I847" s="2230"/>
    </row>
    <row r="848" spans="1:11" ht="113.4" hidden="1">
      <c r="A848" s="2213" t="s">
        <v>1471</v>
      </c>
      <c r="B848" s="2213">
        <v>33</v>
      </c>
      <c r="C848" s="2232" t="s">
        <v>3599</v>
      </c>
      <c r="D848" s="2233"/>
      <c r="E848" s="2233"/>
      <c r="F848" s="2237"/>
      <c r="G848" s="2238"/>
      <c r="I848" s="2230"/>
    </row>
    <row r="849" spans="1:9" hidden="1">
      <c r="A849" s="2253"/>
      <c r="B849" s="2213"/>
      <c r="C849" s="2232" t="s">
        <v>1227</v>
      </c>
      <c r="D849" s="2233"/>
      <c r="E849" s="2233"/>
      <c r="F849" s="2237"/>
      <c r="G849" s="2238"/>
      <c r="I849" s="2230"/>
    </row>
    <row r="850" spans="1:9" hidden="1">
      <c r="A850" s="2253"/>
      <c r="B850" s="2213"/>
      <c r="C850" s="2232" t="s">
        <v>1041</v>
      </c>
      <c r="D850" s="2233"/>
      <c r="E850" s="2233"/>
      <c r="F850" s="2237"/>
      <c r="G850" s="2238"/>
      <c r="I850" s="2230"/>
    </row>
    <row r="851" spans="1:9" hidden="1">
      <c r="A851" s="2253"/>
      <c r="B851" s="2213"/>
      <c r="C851" s="2232" t="s">
        <v>1032</v>
      </c>
      <c r="D851" s="2233" t="s">
        <v>1473</v>
      </c>
      <c r="E851" s="2233">
        <v>0.21</v>
      </c>
      <c r="F851" s="2237">
        <f>G97</f>
        <v>4617.5</v>
      </c>
      <c r="G851" s="2238">
        <f>ROUND(E851*F851,2)</f>
        <v>969.68</v>
      </c>
      <c r="I851" s="2230"/>
    </row>
    <row r="852" spans="1:9" ht="25.2" hidden="1">
      <c r="A852" s="2253" t="s">
        <v>1884</v>
      </c>
      <c r="B852" s="2314"/>
      <c r="C852" s="2232" t="s">
        <v>1639</v>
      </c>
      <c r="D852" s="2233" t="s">
        <v>347</v>
      </c>
      <c r="E852" s="2233">
        <v>2</v>
      </c>
      <c r="F852" s="2237">
        <v>118</v>
      </c>
      <c r="G852" s="2238">
        <f>ROUND(E852*F852,2)</f>
        <v>236</v>
      </c>
      <c r="I852" s="2230"/>
    </row>
    <row r="853" spans="1:9" hidden="1">
      <c r="A853" s="2253">
        <v>733</v>
      </c>
      <c r="B853" s="2213"/>
      <c r="C853" s="2232" t="s">
        <v>653</v>
      </c>
      <c r="D853" s="2233"/>
      <c r="E853" s="2233"/>
      <c r="F853" s="2237"/>
      <c r="G853" s="2238"/>
      <c r="I853" s="2230"/>
    </row>
    <row r="854" spans="1:9" ht="14.1" hidden="1">
      <c r="A854" s="2253"/>
      <c r="B854" s="2213"/>
      <c r="C854" s="2232" t="s">
        <v>3589</v>
      </c>
      <c r="D854" s="2233" t="s">
        <v>1047</v>
      </c>
      <c r="E854" s="2233">
        <v>0.66</v>
      </c>
      <c r="F854" s="2237">
        <f>'Lead- Input sheet '!R31</f>
        <v>680</v>
      </c>
      <c r="G854" s="2238">
        <f>ROUND(E854*F854,2)</f>
        <v>448.8</v>
      </c>
      <c r="I854" s="2230"/>
    </row>
    <row r="855" spans="1:9" ht="14.1" hidden="1">
      <c r="A855" s="2253"/>
      <c r="B855" s="2213"/>
      <c r="C855" s="2232" t="s">
        <v>3593</v>
      </c>
      <c r="D855" s="2233" t="s">
        <v>1047</v>
      </c>
      <c r="E855" s="2233">
        <v>1.54</v>
      </c>
      <c r="F855" s="2237">
        <f>'Lead- Input sheet '!R30</f>
        <v>650</v>
      </c>
      <c r="G855" s="2238">
        <f>ROUND(E855*F855,2)</f>
        <v>1001</v>
      </c>
      <c r="I855" s="2230"/>
    </row>
    <row r="856" spans="1:9" hidden="1">
      <c r="A856" s="2253"/>
      <c r="B856" s="2213"/>
      <c r="C856" s="2232" t="s">
        <v>706</v>
      </c>
      <c r="D856" s="2233" t="s">
        <v>1047</v>
      </c>
      <c r="E856" s="2233">
        <v>3.7</v>
      </c>
      <c r="F856" s="2237">
        <f>'Lead- Input sheet '!R29</f>
        <v>605</v>
      </c>
      <c r="G856" s="2238">
        <f>ROUND(E856*F856,2)</f>
        <v>2238.5</v>
      </c>
      <c r="H856" s="2250"/>
      <c r="I856" s="2230"/>
    </row>
    <row r="857" spans="1:9" s="2231" customFormat="1" hidden="1">
      <c r="A857" s="2227"/>
      <c r="B857" s="2224"/>
      <c r="C857" s="2232" t="s">
        <v>2617</v>
      </c>
      <c r="D857" s="2233"/>
      <c r="E857" s="2233">
        <f>'Lead- Input sheet '!Q31</f>
        <v>0</v>
      </c>
      <c r="F857" s="2237">
        <f>SUM(G854:G856)</f>
        <v>3688.3</v>
      </c>
      <c r="G857" s="2238">
        <f>ROUND(F857*E857,2)</f>
        <v>0</v>
      </c>
      <c r="H857" s="2236"/>
      <c r="I857" s="2230"/>
    </row>
    <row r="858" spans="1:9" hidden="1">
      <c r="A858" s="2253"/>
      <c r="B858" s="2213"/>
      <c r="C858" s="2232" t="s">
        <v>1048</v>
      </c>
      <c r="D858" s="2233"/>
      <c r="E858" s="2233"/>
      <c r="F858" s="2237"/>
      <c r="G858" s="2238">
        <f>SUM(G851:G857)</f>
        <v>4893.9799999999996</v>
      </c>
      <c r="I858" s="2230"/>
    </row>
    <row r="859" spans="1:9" s="2246" customFormat="1" hidden="1">
      <c r="A859" s="2224"/>
      <c r="B859" s="2224"/>
      <c r="C859" s="2225"/>
      <c r="D859" s="2242"/>
      <c r="E859" s="2242"/>
      <c r="F859" s="2249"/>
      <c r="G859" s="2244"/>
      <c r="H859" s="2245"/>
      <c r="I859" s="2230"/>
    </row>
    <row r="860" spans="1:9" s="2246" customFormat="1" hidden="1">
      <c r="A860" s="2224"/>
      <c r="B860" s="2224"/>
      <c r="C860" s="2225"/>
      <c r="D860" s="2242"/>
      <c r="E860" s="2242"/>
      <c r="F860" s="2247" t="s">
        <v>1486</v>
      </c>
      <c r="G860" s="2244">
        <f>SUM(G858:G859)</f>
        <v>4893.9799999999996</v>
      </c>
      <c r="H860" s="2250"/>
      <c r="I860" s="2230"/>
    </row>
    <row r="861" spans="1:9" hidden="1">
      <c r="A861" s="2253"/>
      <c r="B861" s="2213"/>
      <c r="C861" s="2232"/>
      <c r="D861" s="2233"/>
      <c r="E861" s="2242" t="s">
        <v>1098</v>
      </c>
      <c r="F861" s="2249" t="s">
        <v>1099</v>
      </c>
      <c r="G861" s="2244" t="s">
        <v>1100</v>
      </c>
      <c r="H861" s="2250"/>
      <c r="I861" s="2230"/>
    </row>
    <row r="862" spans="1:9" hidden="1">
      <c r="A862" s="2253"/>
      <c r="B862" s="2213"/>
      <c r="C862" s="2232" t="s">
        <v>1101</v>
      </c>
      <c r="D862" s="2233"/>
      <c r="E862" s="2258">
        <f>G860</f>
        <v>4893.9799999999996</v>
      </c>
      <c r="F862" s="2259">
        <f>G860</f>
        <v>4893.9799999999996</v>
      </c>
      <c r="G862" s="2238">
        <f>G860</f>
        <v>4893.9799999999996</v>
      </c>
      <c r="H862" s="2250"/>
      <c r="I862" s="2230"/>
    </row>
    <row r="863" spans="1:9" hidden="1">
      <c r="A863" s="2253"/>
      <c r="B863" s="2213"/>
      <c r="C863" s="2232" t="s">
        <v>1583</v>
      </c>
      <c r="D863" s="2260" t="s">
        <v>1102</v>
      </c>
      <c r="E863" s="2276"/>
      <c r="F863" s="2259">
        <f>ROUND($D$863*SUM($G$854:$G$857),2)</f>
        <v>368.83</v>
      </c>
      <c r="G863" s="2276">
        <f>ROUND($D$863*SUM($G$854:$G$857)*2,2)</f>
        <v>737.66</v>
      </c>
      <c r="I863" s="2230"/>
    </row>
    <row r="864" spans="1:9" s="2246" customFormat="1" hidden="1">
      <c r="A864" s="2224"/>
      <c r="B864" s="2224"/>
      <c r="C864" s="2225" t="s">
        <v>1600</v>
      </c>
      <c r="D864" s="2264">
        <f>'Lead- Input sheet '!Q32</f>
        <v>0</v>
      </c>
      <c r="E864" s="2258">
        <f>ROUND(SUM(E862:E863)*$D$864,2)</f>
        <v>0</v>
      </c>
      <c r="F864" s="2259">
        <f>ROUND(SUM(F862:F863)*$D$864,2)</f>
        <v>0</v>
      </c>
      <c r="G864" s="2258">
        <f>ROUND(SUM(G862:G863)*$D$864,2)</f>
        <v>0</v>
      </c>
      <c r="H864" s="2245"/>
      <c r="I864" s="2230"/>
    </row>
    <row r="865" spans="1:9" s="2246" customFormat="1" hidden="1">
      <c r="A865" s="2224"/>
      <c r="B865" s="2224"/>
      <c r="C865" s="2225"/>
      <c r="D865" s="2262"/>
      <c r="E865" s="2258">
        <f>SUM(E862:E864)</f>
        <v>4893.9799999999996</v>
      </c>
      <c r="F865" s="2259">
        <f>SUM(F862:F864)</f>
        <v>5262.8099999999995</v>
      </c>
      <c r="G865" s="2238">
        <f>SUM(G862:G864)</f>
        <v>5631.6399999999994</v>
      </c>
      <c r="H865" s="2256"/>
      <c r="I865" s="2230"/>
    </row>
    <row r="866" spans="1:9" hidden="1">
      <c r="A866" s="2253"/>
      <c r="B866" s="2213"/>
      <c r="C866" s="2232" t="s">
        <v>903</v>
      </c>
      <c r="D866" s="2233">
        <v>0.21</v>
      </c>
      <c r="E866" s="2233">
        <f>'Lead- Input sheet '!$O$11*$D$866</f>
        <v>0</v>
      </c>
      <c r="F866" s="2233">
        <f>'Lead- Input sheet '!$O$11*$D$866</f>
        <v>0</v>
      </c>
      <c r="G866" s="2233">
        <f>'Lead- Input sheet '!$O$11*$D$866</f>
        <v>0</v>
      </c>
      <c r="I866" s="2230"/>
    </row>
    <row r="867" spans="1:9" hidden="1">
      <c r="A867" s="2253"/>
      <c r="B867" s="2213"/>
      <c r="C867" s="2225" t="s">
        <v>3198</v>
      </c>
      <c r="D867" s="2244" t="s">
        <v>1486</v>
      </c>
      <c r="E867" s="2244">
        <f>SUM(E865:E866)/10</f>
        <v>489.39799999999997</v>
      </c>
      <c r="F867" s="2244">
        <f>SUM(F865:F866)/10</f>
        <v>526.28099999999995</v>
      </c>
      <c r="G867" s="2244">
        <f>SUM(G865:G866)/10</f>
        <v>563.16399999999999</v>
      </c>
      <c r="I867" s="2230"/>
    </row>
    <row r="868" spans="1:9" ht="75.599999999999994" hidden="1">
      <c r="A868" s="2213" t="s">
        <v>1470</v>
      </c>
      <c r="B868" s="2213">
        <v>34</v>
      </c>
      <c r="C868" s="2232" t="s">
        <v>3600</v>
      </c>
      <c r="D868" s="2233"/>
      <c r="E868" s="2233"/>
      <c r="F868" s="2237"/>
      <c r="G868" s="2238"/>
      <c r="I868" s="2230"/>
    </row>
    <row r="869" spans="1:9" hidden="1">
      <c r="A869" s="2253"/>
      <c r="B869" s="2213"/>
      <c r="C869" s="2232" t="s">
        <v>1394</v>
      </c>
      <c r="D869" s="2233"/>
      <c r="E869" s="2233"/>
      <c r="F869" s="2237"/>
      <c r="G869" s="2238"/>
      <c r="I869" s="2230"/>
    </row>
    <row r="870" spans="1:9" hidden="1">
      <c r="A870" s="2253"/>
      <c r="B870" s="2213"/>
      <c r="C870" s="2232" t="s">
        <v>1395</v>
      </c>
      <c r="D870" s="2233"/>
      <c r="E870" s="2233"/>
      <c r="F870" s="2237"/>
      <c r="G870" s="2238"/>
      <c r="I870" s="2230"/>
    </row>
    <row r="871" spans="1:9" ht="25.2" hidden="1">
      <c r="A871" s="2253" t="s">
        <v>1609</v>
      </c>
      <c r="B871" s="2253">
        <v>815</v>
      </c>
      <c r="C871" s="2232" t="s">
        <v>906</v>
      </c>
      <c r="D871" s="2233" t="s">
        <v>1055</v>
      </c>
      <c r="E871" s="2233">
        <v>2</v>
      </c>
      <c r="F871" s="2237">
        <v>34</v>
      </c>
      <c r="G871" s="2238">
        <f t="shared" ref="G871:G877" si="1">ROUND(E871*F871,2)</f>
        <v>68</v>
      </c>
      <c r="I871" s="2230"/>
    </row>
    <row r="872" spans="1:9" ht="25.2" hidden="1">
      <c r="A872" s="2253"/>
      <c r="B872" s="2213"/>
      <c r="C872" s="2232" t="s">
        <v>1396</v>
      </c>
      <c r="D872" s="2233" t="s">
        <v>1397</v>
      </c>
      <c r="E872" s="2233">
        <v>1</v>
      </c>
      <c r="F872" s="2237"/>
      <c r="G872" s="2238">
        <v>10</v>
      </c>
      <c r="I872" s="2230"/>
    </row>
    <row r="873" spans="1:9" hidden="1">
      <c r="A873" s="2253"/>
      <c r="B873" s="2213"/>
      <c r="C873" s="2232" t="s">
        <v>653</v>
      </c>
      <c r="D873" s="2233"/>
      <c r="E873" s="2233"/>
      <c r="F873" s="2237"/>
      <c r="G873" s="2238"/>
      <c r="I873" s="2230"/>
    </row>
    <row r="874" spans="1:9" hidden="1">
      <c r="A874" s="2253"/>
      <c r="B874" s="2213"/>
      <c r="C874" s="2232" t="s">
        <v>627</v>
      </c>
      <c r="D874" s="2233" t="s">
        <v>1047</v>
      </c>
      <c r="E874" s="2233">
        <v>0.21</v>
      </c>
      <c r="F874" s="2237">
        <f>'Lead- Input sheet '!R36</f>
        <v>650</v>
      </c>
      <c r="G874" s="2238">
        <f t="shared" si="1"/>
        <v>136.5</v>
      </c>
      <c r="I874" s="2230"/>
    </row>
    <row r="875" spans="1:9" hidden="1">
      <c r="A875" s="2253"/>
      <c r="B875" s="2213"/>
      <c r="C875" s="2232" t="s">
        <v>341</v>
      </c>
      <c r="D875" s="2233" t="s">
        <v>1047</v>
      </c>
      <c r="E875" s="2233">
        <v>0.32</v>
      </c>
      <c r="F875" s="2237">
        <f>F802</f>
        <v>605</v>
      </c>
      <c r="G875" s="2238">
        <f t="shared" si="1"/>
        <v>193.6</v>
      </c>
      <c r="H875" s="2250"/>
      <c r="I875" s="2230"/>
    </row>
    <row r="876" spans="1:9" s="2231" customFormat="1" hidden="1">
      <c r="A876" s="2227"/>
      <c r="B876" s="2224"/>
      <c r="C876" s="2232" t="s">
        <v>2617</v>
      </c>
      <c r="D876" s="2233"/>
      <c r="E876" s="2233">
        <f>'Lead- Input sheet '!Q31</f>
        <v>0</v>
      </c>
      <c r="F876" s="2237">
        <f>SUM(G874:G875)</f>
        <v>330.1</v>
      </c>
      <c r="G876" s="2238">
        <f>ROUND(F876*E876,2)</f>
        <v>0</v>
      </c>
      <c r="H876" s="2236"/>
      <c r="I876" s="2230"/>
    </row>
    <row r="877" spans="1:9" hidden="1">
      <c r="A877" s="2253"/>
      <c r="B877" s="2213"/>
      <c r="C877" s="2232" t="s">
        <v>628</v>
      </c>
      <c r="D877" s="2233"/>
      <c r="E877" s="2233">
        <v>0.01</v>
      </c>
      <c r="F877" s="2237">
        <f>SUM(G871:G876)</f>
        <v>408.1</v>
      </c>
      <c r="G877" s="2238">
        <f t="shared" si="1"/>
        <v>4.08</v>
      </c>
      <c r="I877" s="2230"/>
    </row>
    <row r="878" spans="1:9" hidden="1">
      <c r="A878" s="2253"/>
      <c r="B878" s="2213"/>
      <c r="C878" s="2232" t="s">
        <v>1398</v>
      </c>
      <c r="D878" s="2233"/>
      <c r="E878" s="2233"/>
      <c r="F878" s="2237"/>
      <c r="G878" s="2238">
        <f>SUM(G871:G877)</f>
        <v>412.18</v>
      </c>
      <c r="I878" s="2230"/>
    </row>
    <row r="879" spans="1:9" s="2246" customFormat="1" hidden="1">
      <c r="A879" s="2224"/>
      <c r="B879" s="2224"/>
      <c r="C879" s="2225" t="s">
        <v>1600</v>
      </c>
      <c r="D879" s="2242"/>
      <c r="E879" s="2242">
        <f>G878</f>
        <v>412.18</v>
      </c>
      <c r="F879" s="2243">
        <f>'Lead- Input sheet '!Q32</f>
        <v>0</v>
      </c>
      <c r="G879" s="2244">
        <f>ROUND(E879*F879,2)</f>
        <v>0</v>
      </c>
      <c r="H879" s="2245"/>
      <c r="I879" s="2230"/>
    </row>
    <row r="880" spans="1:9" s="2246" customFormat="1" hidden="1">
      <c r="A880" s="2224"/>
      <c r="B880" s="2224"/>
      <c r="C880" s="2225" t="s">
        <v>1231</v>
      </c>
      <c r="D880" s="2242"/>
      <c r="E880" s="2242"/>
      <c r="F880" s="2249" t="s">
        <v>1486</v>
      </c>
      <c r="G880" s="2244">
        <f>SUM(G878:G879)</f>
        <v>412.18</v>
      </c>
      <c r="H880" s="2250"/>
      <c r="I880" s="2230"/>
    </row>
    <row r="881" spans="1:12" s="2254" customFormat="1" ht="113.4" hidden="1">
      <c r="A881" s="2213" t="s">
        <v>1233</v>
      </c>
      <c r="B881" s="2213">
        <v>35</v>
      </c>
      <c r="C881" s="2232" t="s">
        <v>3601</v>
      </c>
      <c r="D881" s="2242"/>
      <c r="E881" s="2242"/>
      <c r="F881" s="2249"/>
      <c r="G881" s="2244"/>
      <c r="H881" s="2209"/>
      <c r="I881" s="2230"/>
    </row>
    <row r="882" spans="1:12" hidden="1">
      <c r="A882" s="2253"/>
      <c r="B882" s="2213"/>
      <c r="C882" s="2232" t="s">
        <v>90</v>
      </c>
      <c r="D882" s="2233"/>
      <c r="E882" s="2233"/>
      <c r="F882" s="2237"/>
      <c r="G882" s="2238"/>
      <c r="I882" s="2230"/>
    </row>
    <row r="883" spans="1:12" ht="25.2" hidden="1">
      <c r="A883" s="2253" t="s">
        <v>1612</v>
      </c>
      <c r="B883" s="2213">
        <v>204</v>
      </c>
      <c r="C883" s="2232" t="s">
        <v>3602</v>
      </c>
      <c r="D883" s="2233" t="s">
        <v>91</v>
      </c>
      <c r="E883" s="2233">
        <v>0.5</v>
      </c>
      <c r="F883" s="2237">
        <v>173</v>
      </c>
      <c r="G883" s="2238">
        <f t="shared" ref="G883:G888" si="2">ROUND(E883*F883,2)</f>
        <v>86.5</v>
      </c>
      <c r="I883" s="2230"/>
      <c r="J883" s="2316">
        <v>0.5</v>
      </c>
      <c r="K883" s="2317">
        <v>150</v>
      </c>
      <c r="L883" s="2318"/>
    </row>
    <row r="884" spans="1:12" hidden="1">
      <c r="A884" s="2253"/>
      <c r="B884" s="2213"/>
      <c r="C884" s="2232" t="s">
        <v>92</v>
      </c>
      <c r="D884" s="2233" t="s">
        <v>1035</v>
      </c>
      <c r="E884" s="2233">
        <v>0.08</v>
      </c>
      <c r="F884" s="2237">
        <f>'Lead- Input sheet '!R32</f>
        <v>780</v>
      </c>
      <c r="G884" s="2238">
        <f t="shared" si="2"/>
        <v>62.4</v>
      </c>
      <c r="I884" s="2230"/>
      <c r="J884" s="2316">
        <v>0.08</v>
      </c>
      <c r="K884" s="2317">
        <f>F884</f>
        <v>780</v>
      </c>
      <c r="L884" s="2318"/>
    </row>
    <row r="885" spans="1:12" hidden="1">
      <c r="A885" s="2253"/>
      <c r="B885" s="2213"/>
      <c r="C885" s="2232" t="s">
        <v>1858</v>
      </c>
      <c r="D885" s="2233" t="s">
        <v>1035</v>
      </c>
      <c r="E885" s="2233">
        <v>0.19</v>
      </c>
      <c r="F885" s="2237">
        <f>'Lead- Input sheet '!R36</f>
        <v>650</v>
      </c>
      <c r="G885" s="2238">
        <f t="shared" si="2"/>
        <v>123.5</v>
      </c>
      <c r="I885" s="2230"/>
      <c r="J885" s="2316">
        <v>0.19</v>
      </c>
      <c r="K885" s="2317">
        <f>F885</f>
        <v>650</v>
      </c>
      <c r="L885" s="2318"/>
    </row>
    <row r="886" spans="1:12" ht="25.2" hidden="1">
      <c r="A886" s="2253" t="s">
        <v>1613</v>
      </c>
      <c r="B886" s="2213"/>
      <c r="C886" s="2232" t="s">
        <v>94</v>
      </c>
      <c r="D886" s="2233" t="s">
        <v>91</v>
      </c>
      <c r="E886" s="2233">
        <v>1.7</v>
      </c>
      <c r="F886" s="2237">
        <v>63</v>
      </c>
      <c r="G886" s="2238">
        <f t="shared" si="2"/>
        <v>107.1</v>
      </c>
      <c r="I886" s="2230"/>
      <c r="J886" s="2316">
        <v>1.7</v>
      </c>
      <c r="K886" s="2317">
        <f>F886</f>
        <v>63</v>
      </c>
      <c r="L886" s="2318">
        <f>ROUND(J886*K886,2)</f>
        <v>107.1</v>
      </c>
    </row>
    <row r="887" spans="1:12" hidden="1">
      <c r="A887" s="2253"/>
      <c r="B887" s="2213"/>
      <c r="C887" s="2232" t="s">
        <v>95</v>
      </c>
      <c r="D887" s="2233" t="s">
        <v>1035</v>
      </c>
      <c r="E887" s="2233">
        <v>0.36</v>
      </c>
      <c r="F887" s="2237">
        <f>'Lead- Input sheet '!R32</f>
        <v>780</v>
      </c>
      <c r="G887" s="2238">
        <f t="shared" si="2"/>
        <v>280.8</v>
      </c>
      <c r="I887" s="2230"/>
      <c r="J887" s="2316">
        <v>0.36</v>
      </c>
      <c r="K887" s="2317">
        <f>F887</f>
        <v>780</v>
      </c>
      <c r="L887" s="2318">
        <f>ROUND(J887*K887,2)</f>
        <v>280.8</v>
      </c>
    </row>
    <row r="888" spans="1:12" hidden="1">
      <c r="A888" s="2253"/>
      <c r="B888" s="2213"/>
      <c r="C888" s="2232" t="s">
        <v>96</v>
      </c>
      <c r="D888" s="2233" t="s">
        <v>1035</v>
      </c>
      <c r="E888" s="2233">
        <v>0.84</v>
      </c>
      <c r="F888" s="2237">
        <f>'Lead- Input sheet '!R36</f>
        <v>650</v>
      </c>
      <c r="G888" s="2238">
        <f t="shared" si="2"/>
        <v>546</v>
      </c>
      <c r="I888" s="2230"/>
      <c r="J888" s="2316">
        <v>0.84</v>
      </c>
      <c r="K888" s="2317">
        <f>F888</f>
        <v>650</v>
      </c>
      <c r="L888" s="2318">
        <f>ROUND(J888*K888,2)</f>
        <v>546</v>
      </c>
    </row>
    <row r="889" spans="1:12" s="2231" customFormat="1" hidden="1">
      <c r="A889" s="2227"/>
      <c r="B889" s="2224"/>
      <c r="C889" s="2232" t="s">
        <v>2617</v>
      </c>
      <c r="D889" s="2233"/>
      <c r="E889" s="2233">
        <f>'Lead- Input sheet '!Q31</f>
        <v>0</v>
      </c>
      <c r="F889" s="2237">
        <f>SUM(G887:G888)+SUM(G884:G885)</f>
        <v>1012.6999999999999</v>
      </c>
      <c r="G889" s="2238">
        <f>ROUND(F889*E889,2)</f>
        <v>0</v>
      </c>
      <c r="H889" s="2236"/>
      <c r="I889" s="2230"/>
      <c r="J889" s="2316">
        <v>0.2</v>
      </c>
      <c r="K889" s="2317">
        <f>SUM(L887:L888)+SUM(L884:L885)</f>
        <v>826.8</v>
      </c>
      <c r="L889" s="2318">
        <f>ROUND(K889*J889,2)</f>
        <v>165.36</v>
      </c>
    </row>
    <row r="890" spans="1:12" hidden="1">
      <c r="A890" s="2253"/>
      <c r="B890" s="2213"/>
      <c r="C890" s="2232" t="s">
        <v>97</v>
      </c>
      <c r="D890" s="2233"/>
      <c r="E890" s="2233"/>
      <c r="F890" s="2237"/>
      <c r="G890" s="2238">
        <f>SUM(G883:G889)</f>
        <v>1206.3</v>
      </c>
      <c r="I890" s="2230"/>
      <c r="J890" s="2316"/>
      <c r="K890" s="2317"/>
      <c r="L890" s="2318">
        <f>SUM(L883:L889)</f>
        <v>1099.26</v>
      </c>
    </row>
    <row r="891" spans="1:12" s="2246" customFormat="1" hidden="1">
      <c r="A891" s="2224"/>
      <c r="B891" s="2224"/>
      <c r="C891" s="2225" t="s">
        <v>1600</v>
      </c>
      <c r="D891" s="2242"/>
      <c r="E891" s="2242">
        <f>G890</f>
        <v>1206.3</v>
      </c>
      <c r="F891" s="2243">
        <f>'Lead- Input sheet '!Q32</f>
        <v>0</v>
      </c>
      <c r="G891" s="2244">
        <f>ROUND(E891*F891,2)</f>
        <v>0</v>
      </c>
      <c r="H891" s="2245"/>
      <c r="I891" s="2230"/>
      <c r="J891" s="2319">
        <f>L890</f>
        <v>1099.26</v>
      </c>
      <c r="K891" s="2320">
        <f>F891</f>
        <v>0</v>
      </c>
      <c r="L891" s="2321">
        <f>ROUND(J891*K891,2)</f>
        <v>0</v>
      </c>
    </row>
    <row r="892" spans="1:12" s="2246" customFormat="1" hidden="1">
      <c r="A892" s="2224"/>
      <c r="B892" s="2224"/>
      <c r="C892" s="2225" t="s">
        <v>1231</v>
      </c>
      <c r="D892" s="2242"/>
      <c r="E892" s="2242"/>
      <c r="F892" s="2247" t="s">
        <v>1486</v>
      </c>
      <c r="G892" s="2244">
        <f>SUM(G890:G891)</f>
        <v>1206.3</v>
      </c>
      <c r="H892" s="2245"/>
      <c r="I892" s="2230"/>
      <c r="J892" s="2319"/>
      <c r="K892" s="2322" t="s">
        <v>1486</v>
      </c>
      <c r="L892" s="2321">
        <f>SUM(L890:L891)</f>
        <v>1099.26</v>
      </c>
    </row>
    <row r="893" spans="1:12" ht="37.799999999999997" hidden="1">
      <c r="A893" s="2213" t="s">
        <v>1234</v>
      </c>
      <c r="B893" s="2213">
        <v>36</v>
      </c>
      <c r="C893" s="2232" t="s">
        <v>98</v>
      </c>
      <c r="D893" s="2233"/>
      <c r="E893" s="2233"/>
      <c r="F893" s="2237"/>
      <c r="G893" s="2238"/>
      <c r="I893" s="2230"/>
    </row>
    <row r="894" spans="1:12" hidden="1">
      <c r="A894" s="2253"/>
      <c r="B894" s="2213"/>
      <c r="C894" s="2232" t="s">
        <v>1394</v>
      </c>
      <c r="D894" s="2233"/>
      <c r="E894" s="2233"/>
      <c r="F894" s="2237"/>
      <c r="G894" s="2238"/>
      <c r="I894" s="2230"/>
    </row>
    <row r="895" spans="1:12" hidden="1">
      <c r="A895" s="2253"/>
      <c r="B895" s="2213"/>
      <c r="C895" s="2232" t="s">
        <v>1395</v>
      </c>
      <c r="D895" s="2233"/>
      <c r="E895" s="2233"/>
      <c r="F895" s="2237"/>
      <c r="G895" s="2238"/>
      <c r="I895" s="2230"/>
    </row>
    <row r="896" spans="1:12" hidden="1">
      <c r="A896" s="2253"/>
      <c r="B896" s="2213"/>
      <c r="C896" s="2232" t="s">
        <v>1088</v>
      </c>
      <c r="D896" s="2233" t="s">
        <v>347</v>
      </c>
      <c r="E896" s="2233">
        <v>1</v>
      </c>
      <c r="F896" s="2237">
        <v>173</v>
      </c>
      <c r="G896" s="2238">
        <f>ROUND(E896*F896,2)</f>
        <v>173</v>
      </c>
      <c r="I896" s="2230"/>
    </row>
    <row r="897" spans="1:9" hidden="1">
      <c r="A897" s="2253"/>
      <c r="B897" s="2213"/>
      <c r="C897" s="2232" t="s">
        <v>653</v>
      </c>
      <c r="D897" s="2233"/>
      <c r="E897" s="2233"/>
      <c r="F897" s="2237"/>
      <c r="G897" s="2238"/>
      <c r="I897" s="2230"/>
    </row>
    <row r="898" spans="1:9" hidden="1">
      <c r="A898" s="2253"/>
      <c r="B898" s="2213"/>
      <c r="C898" s="2232" t="s">
        <v>989</v>
      </c>
      <c r="D898" s="2233" t="s">
        <v>1047</v>
      </c>
      <c r="E898" s="2233">
        <v>0.7</v>
      </c>
      <c r="F898" s="2237">
        <f>'Lead- Input sheet '!R30</f>
        <v>650</v>
      </c>
      <c r="G898" s="2238">
        <f>ROUND(E898*F898,2)</f>
        <v>455</v>
      </c>
      <c r="I898" s="2230"/>
    </row>
    <row r="899" spans="1:9" s="2231" customFormat="1" hidden="1">
      <c r="A899" s="2227"/>
      <c r="B899" s="2224"/>
      <c r="C899" s="2232" t="s">
        <v>2617</v>
      </c>
      <c r="D899" s="2233"/>
      <c r="E899" s="2233">
        <f>'Lead- Input sheet '!Q31</f>
        <v>0</v>
      </c>
      <c r="F899" s="2237">
        <f>SUM(G898:G898)</f>
        <v>455</v>
      </c>
      <c r="G899" s="2238">
        <f>ROUND(F899*E899,2)</f>
        <v>0</v>
      </c>
      <c r="H899" s="2236"/>
      <c r="I899" s="2230"/>
    </row>
    <row r="900" spans="1:9" hidden="1">
      <c r="A900" s="2253"/>
      <c r="B900" s="2213"/>
      <c r="C900" s="2232" t="s">
        <v>99</v>
      </c>
      <c r="D900" s="2233"/>
      <c r="E900" s="2323">
        <v>5.0000000000000001E-3</v>
      </c>
      <c r="F900" s="2237">
        <f>SUM(G896:G899)</f>
        <v>628</v>
      </c>
      <c r="G900" s="2238">
        <f>ROUND(E900*F900,2)</f>
        <v>3.14</v>
      </c>
      <c r="I900" s="2230"/>
    </row>
    <row r="901" spans="1:9" hidden="1">
      <c r="A901" s="2253"/>
      <c r="B901" s="2213"/>
      <c r="C901" s="2232" t="s">
        <v>100</v>
      </c>
      <c r="D901" s="2233"/>
      <c r="E901" s="2233"/>
      <c r="F901" s="2237"/>
      <c r="G901" s="2238">
        <f>SUM(G896:G900)</f>
        <v>631.14</v>
      </c>
      <c r="I901" s="2230"/>
    </row>
    <row r="902" spans="1:9" s="2246" customFormat="1" hidden="1">
      <c r="A902" s="2224"/>
      <c r="B902" s="2224"/>
      <c r="C902" s="2225" t="s">
        <v>1600</v>
      </c>
      <c r="D902" s="2242"/>
      <c r="E902" s="2242">
        <f>G901</f>
        <v>631.14</v>
      </c>
      <c r="F902" s="2243">
        <f>'Lead- Input sheet '!Q32</f>
        <v>0</v>
      </c>
      <c r="G902" s="2238">
        <f>ROUND(E902*F902,2)</f>
        <v>0</v>
      </c>
      <c r="H902" s="2245"/>
      <c r="I902" s="2230"/>
    </row>
    <row r="903" spans="1:9" s="2246" customFormat="1" hidden="1">
      <c r="A903" s="2224"/>
      <c r="B903" s="2224"/>
      <c r="C903" s="2225" t="s">
        <v>1231</v>
      </c>
      <c r="D903" s="2242"/>
      <c r="E903" s="2242"/>
      <c r="F903" s="2247" t="s">
        <v>1486</v>
      </c>
      <c r="G903" s="2244">
        <f>SUM(G901:G902)</f>
        <v>631.14</v>
      </c>
      <c r="H903" s="2245"/>
      <c r="I903" s="2230"/>
    </row>
    <row r="904" spans="1:9" s="2254" customFormat="1" ht="100.8" hidden="1">
      <c r="A904" s="2213" t="s">
        <v>1235</v>
      </c>
      <c r="B904" s="2213">
        <v>37</v>
      </c>
      <c r="C904" s="2232" t="s">
        <v>3603</v>
      </c>
      <c r="D904" s="2242"/>
      <c r="E904" s="2242"/>
      <c r="F904" s="2249"/>
      <c r="G904" s="2244"/>
      <c r="H904" s="2209"/>
      <c r="I904" s="2230"/>
    </row>
    <row r="905" spans="1:9" ht="25.2" hidden="1">
      <c r="A905" s="2253" t="s">
        <v>1612</v>
      </c>
      <c r="B905" s="2213"/>
      <c r="C905" s="2232" t="s">
        <v>1614</v>
      </c>
      <c r="D905" s="2233" t="s">
        <v>347</v>
      </c>
      <c r="E905" s="2233">
        <v>1</v>
      </c>
      <c r="F905" s="2237">
        <v>221</v>
      </c>
      <c r="G905" s="2238">
        <f t="shared" ref="G905:G911" si="3">ROUND(E905*F905,2)</f>
        <v>221</v>
      </c>
      <c r="I905" s="2230"/>
    </row>
    <row r="906" spans="1:9" hidden="1">
      <c r="A906" s="2253"/>
      <c r="B906" s="2213"/>
      <c r="C906" s="2232" t="s">
        <v>1413</v>
      </c>
      <c r="D906" s="2233" t="s">
        <v>1047</v>
      </c>
      <c r="E906" s="2233">
        <v>0.21</v>
      </c>
      <c r="F906" s="2237">
        <f>'Lead- Input sheet '!R32</f>
        <v>780</v>
      </c>
      <c r="G906" s="2238">
        <f t="shared" si="3"/>
        <v>163.80000000000001</v>
      </c>
      <c r="I906" s="2230"/>
    </row>
    <row r="907" spans="1:9" hidden="1">
      <c r="A907" s="2253"/>
      <c r="B907" s="2213"/>
      <c r="C907" s="2232" t="s">
        <v>1414</v>
      </c>
      <c r="D907" s="2233" t="s">
        <v>1047</v>
      </c>
      <c r="E907" s="2233">
        <v>0.49</v>
      </c>
      <c r="F907" s="2237">
        <f>'Lead- Input sheet '!R36</f>
        <v>650</v>
      </c>
      <c r="G907" s="2238">
        <f t="shared" si="3"/>
        <v>318.5</v>
      </c>
      <c r="I907" s="2230"/>
    </row>
    <row r="908" spans="1:9" ht="25.2" hidden="1">
      <c r="A908" s="2253" t="s">
        <v>1611</v>
      </c>
      <c r="B908" s="2213"/>
      <c r="C908" s="2232" t="s">
        <v>1415</v>
      </c>
      <c r="D908" s="2233" t="s">
        <v>347</v>
      </c>
      <c r="E908" s="2233">
        <v>3.5</v>
      </c>
      <c r="F908" s="2237">
        <v>60</v>
      </c>
      <c r="G908" s="2238">
        <f t="shared" si="3"/>
        <v>210</v>
      </c>
      <c r="I908" s="2230"/>
    </row>
    <row r="909" spans="1:9" hidden="1">
      <c r="A909" s="2253">
        <v>229</v>
      </c>
      <c r="B909" s="2213"/>
      <c r="C909" s="2232" t="s">
        <v>95</v>
      </c>
      <c r="D909" s="2233" t="s">
        <v>1047</v>
      </c>
      <c r="E909" s="2233">
        <v>0.15</v>
      </c>
      <c r="F909" s="2237">
        <f>F906</f>
        <v>780</v>
      </c>
      <c r="G909" s="2238">
        <f t="shared" si="3"/>
        <v>117</v>
      </c>
      <c r="I909" s="2230"/>
    </row>
    <row r="910" spans="1:9" hidden="1">
      <c r="A910" s="2253"/>
      <c r="B910" s="2213"/>
      <c r="C910" s="2232" t="s">
        <v>1414</v>
      </c>
      <c r="D910" s="2233" t="s">
        <v>1047</v>
      </c>
      <c r="E910" s="2233">
        <v>0.35</v>
      </c>
      <c r="F910" s="2237">
        <f>F907</f>
        <v>650</v>
      </c>
      <c r="G910" s="2238">
        <f t="shared" si="3"/>
        <v>227.5</v>
      </c>
      <c r="I910" s="2230"/>
    </row>
    <row r="911" spans="1:9" hidden="1">
      <c r="A911" s="2253"/>
      <c r="B911" s="2213"/>
      <c r="C911" s="2232" t="s">
        <v>341</v>
      </c>
      <c r="D911" s="2233" t="s">
        <v>1047</v>
      </c>
      <c r="E911" s="2233">
        <v>1.5</v>
      </c>
      <c r="F911" s="2237">
        <f>'Lead- Input sheet '!R29</f>
        <v>605</v>
      </c>
      <c r="G911" s="2238">
        <f t="shared" si="3"/>
        <v>907.5</v>
      </c>
      <c r="H911" s="2250"/>
      <c r="I911" s="2230"/>
    </row>
    <row r="912" spans="1:9" s="2231" customFormat="1" hidden="1">
      <c r="A912" s="2227"/>
      <c r="B912" s="2224"/>
      <c r="C912" s="2232" t="s">
        <v>2617</v>
      </c>
      <c r="D912" s="2233"/>
      <c r="E912" s="2233">
        <f>'Lead- Input sheet '!Q31</f>
        <v>0</v>
      </c>
      <c r="F912" s="2237">
        <f>SUM(G909:G911)+SUM(G906:G907)</f>
        <v>1734.3</v>
      </c>
      <c r="G912" s="2238">
        <f>ROUND(F912*E912,2)</f>
        <v>0</v>
      </c>
      <c r="H912" s="2236"/>
      <c r="I912" s="2230"/>
    </row>
    <row r="913" spans="1:12" hidden="1">
      <c r="A913" s="2253"/>
      <c r="B913" s="2213"/>
      <c r="C913" s="2232" t="s">
        <v>1416</v>
      </c>
      <c r="D913" s="2233"/>
      <c r="E913" s="2233"/>
      <c r="F913" s="2237"/>
      <c r="G913" s="2238">
        <f>SUM(G905:G912)</f>
        <v>2165.3000000000002</v>
      </c>
      <c r="I913" s="2230"/>
    </row>
    <row r="914" spans="1:12" s="2246" customFormat="1" hidden="1">
      <c r="A914" s="2224"/>
      <c r="B914" s="2224"/>
      <c r="C914" s="2225" t="s">
        <v>1600</v>
      </c>
      <c r="D914" s="2242"/>
      <c r="E914" s="2242">
        <f>G913</f>
        <v>2165.3000000000002</v>
      </c>
      <c r="F914" s="2243">
        <f>'Lead- Input sheet '!Q32</f>
        <v>0</v>
      </c>
      <c r="G914" s="2244">
        <f>ROUND(E914*F914,2)</f>
        <v>0</v>
      </c>
      <c r="H914" s="2245"/>
      <c r="I914" s="2230"/>
    </row>
    <row r="915" spans="1:12" s="2246" customFormat="1" hidden="1">
      <c r="A915" s="2224"/>
      <c r="B915" s="2224"/>
      <c r="C915" s="2225" t="s">
        <v>1231</v>
      </c>
      <c r="D915" s="2242"/>
      <c r="E915" s="2242"/>
      <c r="F915" s="2247" t="s">
        <v>1486</v>
      </c>
      <c r="G915" s="2244">
        <f>SUM(G913:G914)</f>
        <v>2165.3000000000002</v>
      </c>
      <c r="H915" s="2245"/>
      <c r="I915" s="2230"/>
    </row>
    <row r="916" spans="1:12" s="2254" customFormat="1" ht="63" hidden="1">
      <c r="A916" s="2213"/>
      <c r="B916" s="2213" t="s">
        <v>76</v>
      </c>
      <c r="C916" s="2225" t="s">
        <v>1168</v>
      </c>
      <c r="D916" s="2242"/>
      <c r="E916" s="2242"/>
      <c r="F916" s="2249"/>
      <c r="G916" s="2244"/>
      <c r="H916" s="2324" t="s">
        <v>1928</v>
      </c>
      <c r="I916" s="2319"/>
      <c r="J916" s="2319"/>
      <c r="K916" s="2325"/>
      <c r="L916" s="2321"/>
    </row>
    <row r="917" spans="1:12" hidden="1">
      <c r="A917" s="2253"/>
      <c r="B917" s="2213"/>
      <c r="C917" s="2232" t="s">
        <v>1395</v>
      </c>
      <c r="D917" s="2233"/>
      <c r="E917" s="2233"/>
      <c r="F917" s="2237"/>
      <c r="G917" s="2238"/>
      <c r="H917" s="2326" t="s">
        <v>1395</v>
      </c>
      <c r="I917" s="2316"/>
      <c r="J917" s="2316"/>
      <c r="K917" s="2317"/>
      <c r="L917" s="2318"/>
    </row>
    <row r="918" spans="1:12" ht="50.4" hidden="1">
      <c r="A918" s="2253" t="s">
        <v>2587</v>
      </c>
      <c r="B918" s="2253">
        <f>+B904+1</f>
        <v>38</v>
      </c>
      <c r="C918" s="2232" t="s">
        <v>1167</v>
      </c>
      <c r="D918" s="2233" t="s">
        <v>1417</v>
      </c>
      <c r="E918" s="2233">
        <v>1.2</v>
      </c>
      <c r="F918" s="2237">
        <v>289</v>
      </c>
      <c r="G918" s="2238">
        <f>ROUND(E918*F918,2)</f>
        <v>346.8</v>
      </c>
      <c r="H918" s="2326" t="s">
        <v>1167</v>
      </c>
      <c r="I918" s="2316" t="s">
        <v>1417</v>
      </c>
      <c r="J918" s="2316">
        <v>2.4</v>
      </c>
      <c r="K918" s="2317">
        <v>251</v>
      </c>
      <c r="L918" s="2318">
        <f>ROUND(J918*K918,2)</f>
        <v>602.4</v>
      </c>
    </row>
    <row r="919" spans="1:12" hidden="1">
      <c r="A919" s="2253"/>
      <c r="B919" s="2213"/>
      <c r="C919" s="2232" t="s">
        <v>653</v>
      </c>
      <c r="D919" s="2233"/>
      <c r="E919" s="2233"/>
      <c r="F919" s="2237"/>
      <c r="G919" s="2238">
        <f>E919*F919</f>
        <v>0</v>
      </c>
      <c r="H919" s="2326" t="s">
        <v>653</v>
      </c>
      <c r="I919" s="2316"/>
      <c r="J919" s="2316"/>
      <c r="K919" s="2317"/>
      <c r="L919" s="2318">
        <f>J919*K919</f>
        <v>0</v>
      </c>
    </row>
    <row r="920" spans="1:12" hidden="1">
      <c r="A920" s="2253"/>
      <c r="B920" s="2213"/>
      <c r="C920" s="2232" t="s">
        <v>989</v>
      </c>
      <c r="D920" s="2233" t="s">
        <v>1047</v>
      </c>
      <c r="E920" s="2233">
        <v>1.2</v>
      </c>
      <c r="F920" s="2237">
        <f>'Lead- Input sheet '!R36</f>
        <v>650</v>
      </c>
      <c r="G920" s="2238">
        <f>E920*F920</f>
        <v>780</v>
      </c>
      <c r="H920" s="2326" t="s">
        <v>989</v>
      </c>
      <c r="I920" s="2316" t="s">
        <v>1047</v>
      </c>
      <c r="J920" s="2316">
        <v>1.2</v>
      </c>
      <c r="K920" s="2317">
        <f>F920</f>
        <v>650</v>
      </c>
      <c r="L920" s="2318">
        <f>J920*K920</f>
        <v>780</v>
      </c>
    </row>
    <row r="921" spans="1:12" s="2231" customFormat="1" hidden="1">
      <c r="A921" s="2227"/>
      <c r="B921" s="2224"/>
      <c r="C921" s="2232" t="s">
        <v>2617</v>
      </c>
      <c r="D921" s="2233"/>
      <c r="E921" s="2233">
        <f>'Lead- Input sheet '!Q31</f>
        <v>0</v>
      </c>
      <c r="F921" s="2237">
        <f>G920</f>
        <v>780</v>
      </c>
      <c r="G921" s="2238">
        <f>ROUND(F921*E921,2)</f>
        <v>0</v>
      </c>
      <c r="H921" s="2326" t="s">
        <v>2617</v>
      </c>
      <c r="I921" s="2316"/>
      <c r="J921" s="2316">
        <f>'Lead- Input sheet '!T31</f>
        <v>0</v>
      </c>
      <c r="K921" s="2317">
        <f>L920</f>
        <v>780</v>
      </c>
      <c r="L921" s="2318">
        <f>ROUND(K921*J921,2)</f>
        <v>0</v>
      </c>
    </row>
    <row r="922" spans="1:12" ht="37.799999999999997" hidden="1">
      <c r="A922" s="2253"/>
      <c r="B922" s="2213"/>
      <c r="C922" s="2232" t="s">
        <v>1166</v>
      </c>
      <c r="D922" s="2233"/>
      <c r="E922" s="2233">
        <v>1</v>
      </c>
      <c r="F922" s="2237">
        <v>10</v>
      </c>
      <c r="G922" s="2238">
        <f>E922*F922</f>
        <v>10</v>
      </c>
      <c r="H922" s="2326" t="s">
        <v>1166</v>
      </c>
      <c r="I922" s="2316"/>
      <c r="J922" s="2316">
        <v>1</v>
      </c>
      <c r="K922" s="2317">
        <v>10</v>
      </c>
      <c r="L922" s="2318">
        <f>J922*K922</f>
        <v>10</v>
      </c>
    </row>
    <row r="923" spans="1:12" hidden="1">
      <c r="A923" s="2253"/>
      <c r="B923" s="2213"/>
      <c r="C923" s="2232" t="s">
        <v>1398</v>
      </c>
      <c r="D923" s="2233"/>
      <c r="E923" s="2233"/>
      <c r="F923" s="2237"/>
      <c r="G923" s="2238">
        <f>SUM(G918:G922)</f>
        <v>1136.8</v>
      </c>
      <c r="H923" s="2326" t="s">
        <v>1398</v>
      </c>
      <c r="I923" s="2316"/>
      <c r="J923" s="2316"/>
      <c r="K923" s="2317"/>
      <c r="L923" s="2318">
        <f>SUM(L918:L922)</f>
        <v>1392.4</v>
      </c>
    </row>
    <row r="924" spans="1:12" s="2246" customFormat="1" ht="37.799999999999997" hidden="1">
      <c r="A924" s="2224"/>
      <c r="B924" s="2224"/>
      <c r="C924" s="2225" t="s">
        <v>1600</v>
      </c>
      <c r="D924" s="2242"/>
      <c r="E924" s="2242">
        <f>G923</f>
        <v>1136.8</v>
      </c>
      <c r="F924" s="2243">
        <f>'Lead- Input sheet '!Q32</f>
        <v>0</v>
      </c>
      <c r="G924" s="2244">
        <f>ROUND(E924*F924,2)</f>
        <v>0</v>
      </c>
      <c r="H924" s="2324" t="s">
        <v>1600</v>
      </c>
      <c r="I924" s="2319"/>
      <c r="J924" s="2319">
        <f>L923</f>
        <v>1392.4</v>
      </c>
      <c r="K924" s="2320">
        <f>F924</f>
        <v>0</v>
      </c>
      <c r="L924" s="2321">
        <f>ROUND(J924*K924,2)</f>
        <v>0</v>
      </c>
    </row>
    <row r="925" spans="1:12" s="2246" customFormat="1" ht="25.2" hidden="1">
      <c r="A925" s="2224"/>
      <c r="B925" s="2224"/>
      <c r="C925" s="2225" t="s">
        <v>3198</v>
      </c>
      <c r="D925" s="2242"/>
      <c r="E925" s="2242"/>
      <c r="F925" s="2247" t="s">
        <v>1486</v>
      </c>
      <c r="G925" s="2244">
        <f>SUM(G923:G924)/10</f>
        <v>113.67999999999999</v>
      </c>
      <c r="H925" s="2324" t="s">
        <v>1231</v>
      </c>
      <c r="I925" s="2319"/>
      <c r="J925" s="2319"/>
      <c r="K925" s="2322" t="s">
        <v>1486</v>
      </c>
      <c r="L925" s="2321">
        <f>SUM(L923:L924)</f>
        <v>1392.4</v>
      </c>
    </row>
    <row r="926" spans="1:12" ht="50.4" hidden="1">
      <c r="A926" s="2213" t="s">
        <v>367</v>
      </c>
      <c r="B926" s="2213">
        <f>+B918+1</f>
        <v>39</v>
      </c>
      <c r="C926" s="2281" t="s">
        <v>795</v>
      </c>
      <c r="D926" s="2233"/>
      <c r="E926" s="2233"/>
      <c r="F926" s="2237"/>
      <c r="G926" s="2238"/>
      <c r="H926" s="2217"/>
      <c r="I926" s="2230"/>
    </row>
    <row r="927" spans="1:12" hidden="1">
      <c r="A927" s="2280"/>
      <c r="B927" s="2213"/>
      <c r="C927" s="2232" t="s">
        <v>1394</v>
      </c>
      <c r="D927" s="2233"/>
      <c r="E927" s="2233"/>
      <c r="F927" s="2237"/>
      <c r="G927" s="2238"/>
      <c r="H927" s="2217"/>
      <c r="I927" s="2230"/>
    </row>
    <row r="928" spans="1:12" hidden="1">
      <c r="A928" s="2280"/>
      <c r="B928" s="2213"/>
      <c r="C928" s="2281" t="s">
        <v>1395</v>
      </c>
      <c r="D928" s="2233"/>
      <c r="E928" s="2233"/>
      <c r="F928" s="2237"/>
      <c r="G928" s="2238"/>
      <c r="H928" s="2217"/>
      <c r="I928" s="2230"/>
    </row>
    <row r="929" spans="1:256" ht="25.2" hidden="1">
      <c r="A929" s="2253" t="s">
        <v>1616</v>
      </c>
      <c r="B929" s="2213"/>
      <c r="C929" s="2283" t="s">
        <v>796</v>
      </c>
      <c r="D929" s="2233" t="s">
        <v>1417</v>
      </c>
      <c r="E929" s="2233">
        <v>0.7</v>
      </c>
      <c r="F929" s="2237">
        <v>167</v>
      </c>
      <c r="G929" s="2238">
        <f>E929*F929</f>
        <v>116.89999999999999</v>
      </c>
      <c r="H929" s="2217"/>
      <c r="I929" s="2230"/>
    </row>
    <row r="930" spans="1:256" hidden="1">
      <c r="A930" s="2280">
        <v>210</v>
      </c>
      <c r="B930" s="2213"/>
      <c r="C930" s="2281" t="s">
        <v>653</v>
      </c>
      <c r="D930" s="2233"/>
      <c r="E930" s="2233"/>
      <c r="F930" s="2237"/>
      <c r="G930" s="2238"/>
      <c r="H930" s="2217"/>
      <c r="I930" s="2230"/>
    </row>
    <row r="931" spans="1:256" hidden="1">
      <c r="A931" s="2280"/>
      <c r="B931" s="2213"/>
      <c r="C931" s="2283" t="s">
        <v>989</v>
      </c>
      <c r="D931" s="2233" t="s">
        <v>1047</v>
      </c>
      <c r="E931" s="2233">
        <v>0.7</v>
      </c>
      <c r="F931" s="2237">
        <f>'Lead- Input sheet '!R36</f>
        <v>650</v>
      </c>
      <c r="G931" s="2238">
        <f>E931*F931</f>
        <v>454.99999999999994</v>
      </c>
      <c r="H931" s="2217"/>
      <c r="I931" s="2230"/>
    </row>
    <row r="932" spans="1:256" s="2231" customFormat="1" hidden="1">
      <c r="A932" s="2227"/>
      <c r="B932" s="2224"/>
      <c r="C932" s="2232" t="s">
        <v>2617</v>
      </c>
      <c r="D932" s="2233"/>
      <c r="E932" s="2233">
        <f>'Lead- Input sheet '!Q31</f>
        <v>0</v>
      </c>
      <c r="F932" s="2237">
        <f>G931</f>
        <v>454.99999999999994</v>
      </c>
      <c r="G932" s="2238">
        <f>ROUND(F932*E932,2)</f>
        <v>0</v>
      </c>
      <c r="H932" s="2236"/>
      <c r="I932" s="2230"/>
    </row>
    <row r="933" spans="1:256" hidden="1">
      <c r="A933" s="2280"/>
      <c r="B933" s="2213"/>
      <c r="C933" s="2283" t="s">
        <v>1166</v>
      </c>
      <c r="D933" s="2233"/>
      <c r="E933" s="2233">
        <v>0.01</v>
      </c>
      <c r="F933" s="2237">
        <f>SUM(G929:G932)</f>
        <v>571.9</v>
      </c>
      <c r="G933" s="2238">
        <f>E933*F933</f>
        <v>5.7190000000000003</v>
      </c>
      <c r="H933" s="2217"/>
      <c r="I933" s="2230"/>
    </row>
    <row r="934" spans="1:256" hidden="1">
      <c r="A934" s="2280"/>
      <c r="B934" s="2213"/>
      <c r="C934" s="2281" t="s">
        <v>1398</v>
      </c>
      <c r="D934" s="2233"/>
      <c r="E934" s="2233"/>
      <c r="F934" s="2237"/>
      <c r="G934" s="2244">
        <f>SUM(G929:G933)</f>
        <v>577.61900000000003</v>
      </c>
      <c r="H934" s="2217"/>
      <c r="I934" s="2230"/>
    </row>
    <row r="935" spans="1:256" s="2246" customFormat="1" hidden="1">
      <c r="A935" s="2224"/>
      <c r="B935" s="2224"/>
      <c r="C935" s="2225" t="s">
        <v>1600</v>
      </c>
      <c r="D935" s="2242"/>
      <c r="E935" s="2242">
        <f>G934</f>
        <v>577.61900000000003</v>
      </c>
      <c r="F935" s="2249">
        <f>'Lead- Input sheet '!Q32</f>
        <v>0</v>
      </c>
      <c r="G935" s="2244">
        <f>ROUND(E935*F935,2)</f>
        <v>0</v>
      </c>
      <c r="H935" s="2245"/>
      <c r="I935" s="2230"/>
    </row>
    <row r="936" spans="1:256" s="2246" customFormat="1" hidden="1">
      <c r="A936" s="2224"/>
      <c r="B936" s="2224"/>
      <c r="C936" s="2225" t="s">
        <v>1231</v>
      </c>
      <c r="D936" s="2242"/>
      <c r="E936" s="2242"/>
      <c r="F936" s="2247" t="s">
        <v>1486</v>
      </c>
      <c r="G936" s="2244">
        <f>SUM(G934:G935)</f>
        <v>577.61900000000003</v>
      </c>
      <c r="H936" s="2245"/>
      <c r="I936" s="2230"/>
    </row>
    <row r="937" spans="1:256" s="2246" customFormat="1" hidden="1">
      <c r="A937" s="2224"/>
      <c r="B937" s="2224"/>
      <c r="C937" s="2225"/>
      <c r="D937" s="2262"/>
      <c r="E937" s="2258"/>
      <c r="F937" s="2259"/>
      <c r="G937" s="2238"/>
      <c r="H937" s="2250"/>
      <c r="I937" s="2230"/>
    </row>
    <row r="938" spans="1:256" ht="126" hidden="1">
      <c r="A938" s="2213" t="s">
        <v>368</v>
      </c>
      <c r="B938" s="2213">
        <f>+B926+1</f>
        <v>40</v>
      </c>
      <c r="C938" s="2232" t="s">
        <v>3604</v>
      </c>
      <c r="D938" s="2253"/>
      <c r="E938" s="2237"/>
      <c r="F938" s="2237"/>
      <c r="G938" s="2247"/>
      <c r="H938" s="2327"/>
      <c r="I938" s="2230"/>
      <c r="J938" s="2212"/>
      <c r="K938" s="2230"/>
      <c r="L938" s="2230"/>
      <c r="M938" s="2328"/>
      <c r="N938" s="2328"/>
      <c r="O938" s="2329"/>
      <c r="P938" s="2212"/>
      <c r="Q938" s="2210"/>
      <c r="R938" s="2212"/>
      <c r="S938" s="2230"/>
      <c r="T938" s="2230"/>
      <c r="U938" s="2328"/>
      <c r="V938" s="2328"/>
      <c r="W938" s="2329"/>
      <c r="X938" s="2212"/>
      <c r="Y938" s="2210"/>
      <c r="Z938" s="2212"/>
      <c r="AA938" s="2230"/>
      <c r="AB938" s="2230"/>
      <c r="AC938" s="2328"/>
      <c r="AD938" s="2328"/>
      <c r="AE938" s="2329"/>
      <c r="AF938" s="2212"/>
      <c r="AG938" s="2210"/>
      <c r="AH938" s="2212"/>
      <c r="AI938" s="2230"/>
      <c r="AJ938" s="2230"/>
      <c r="AK938" s="2328"/>
      <c r="AL938" s="2328"/>
      <c r="AM938" s="2329"/>
      <c r="AN938" s="2212"/>
      <c r="AO938" s="2210"/>
      <c r="AP938" s="2212"/>
      <c r="AQ938" s="2230"/>
      <c r="AR938" s="2230"/>
      <c r="AS938" s="2328"/>
      <c r="AT938" s="2328"/>
      <c r="AU938" s="2329"/>
      <c r="AV938" s="2212"/>
      <c r="AW938" s="2210"/>
      <c r="AX938" s="2212"/>
      <c r="AY938" s="2230"/>
      <c r="AZ938" s="2230"/>
      <c r="BA938" s="2328"/>
      <c r="BB938" s="2328"/>
      <c r="BC938" s="2329"/>
      <c r="BD938" s="2212"/>
      <c r="BE938" s="2210"/>
      <c r="BF938" s="2212"/>
      <c r="BG938" s="2230"/>
      <c r="BH938" s="2230"/>
      <c r="BI938" s="2328"/>
      <c r="BJ938" s="2328"/>
      <c r="BK938" s="2329"/>
      <c r="BL938" s="2212"/>
      <c r="BM938" s="2210"/>
      <c r="BN938" s="2212"/>
      <c r="BO938" s="2230"/>
      <c r="BP938" s="2230"/>
      <c r="BQ938" s="2328"/>
      <c r="BR938" s="2328"/>
      <c r="BS938" s="2329"/>
      <c r="BT938" s="2212"/>
      <c r="BU938" s="2210"/>
      <c r="BV938" s="2212"/>
      <c r="BW938" s="2230"/>
      <c r="BX938" s="2230"/>
      <c r="BY938" s="2328"/>
      <c r="BZ938" s="2328"/>
      <c r="CA938" s="2329"/>
      <c r="CB938" s="2212"/>
      <c r="CC938" s="2210"/>
      <c r="CD938" s="2212"/>
      <c r="CE938" s="2230"/>
      <c r="CF938" s="2230"/>
      <c r="CG938" s="2328"/>
      <c r="CH938" s="2328"/>
      <c r="CI938" s="2329"/>
      <c r="CJ938" s="2212"/>
      <c r="CK938" s="2210"/>
      <c r="CL938" s="2212"/>
      <c r="CM938" s="2230"/>
      <c r="CN938" s="2230"/>
      <c r="CO938" s="2328"/>
      <c r="CP938" s="2328"/>
      <c r="CQ938" s="2329"/>
      <c r="CR938" s="2212"/>
      <c r="CS938" s="2210"/>
      <c r="CT938" s="2212"/>
      <c r="CU938" s="2230"/>
      <c r="CV938" s="2230"/>
      <c r="CW938" s="2328"/>
      <c r="CX938" s="2328"/>
      <c r="CY938" s="2329"/>
      <c r="CZ938" s="2212"/>
      <c r="DA938" s="2210"/>
      <c r="DB938" s="2212"/>
      <c r="DC938" s="2230"/>
      <c r="DD938" s="2230"/>
      <c r="DE938" s="2328"/>
      <c r="DF938" s="2328"/>
      <c r="DG938" s="2329"/>
      <c r="DH938" s="2212"/>
      <c r="DI938" s="2210"/>
      <c r="DJ938" s="2212"/>
      <c r="DK938" s="2230"/>
      <c r="DL938" s="2230"/>
      <c r="DM938" s="2328"/>
      <c r="DN938" s="2328"/>
      <c r="DO938" s="2329"/>
      <c r="DP938" s="2212"/>
      <c r="DQ938" s="2210"/>
      <c r="DR938" s="2212"/>
      <c r="DS938" s="2230"/>
      <c r="DT938" s="2230"/>
      <c r="DU938" s="2328"/>
      <c r="DV938" s="2328"/>
      <c r="DW938" s="2329"/>
      <c r="DX938" s="2212"/>
      <c r="DY938" s="2210"/>
      <c r="DZ938" s="2212"/>
      <c r="EA938" s="2230"/>
      <c r="EB938" s="2230"/>
      <c r="EC938" s="2328"/>
      <c r="ED938" s="2328"/>
      <c r="EE938" s="2329"/>
      <c r="EF938" s="2212"/>
      <c r="EG938" s="2210"/>
      <c r="EH938" s="2212"/>
      <c r="EI938" s="2230"/>
      <c r="EJ938" s="2230"/>
      <c r="EK938" s="2328"/>
      <c r="EL938" s="2328"/>
      <c r="EM938" s="2329"/>
      <c r="EN938" s="2212"/>
      <c r="EO938" s="2210"/>
      <c r="EP938" s="2212"/>
      <c r="EQ938" s="2230"/>
      <c r="ER938" s="2230"/>
      <c r="ES938" s="2328"/>
      <c r="ET938" s="2328"/>
      <c r="EU938" s="2329"/>
      <c r="EV938" s="2212"/>
      <c r="EW938" s="2210"/>
      <c r="EX938" s="2212"/>
      <c r="EY938" s="2230"/>
      <c r="EZ938" s="2230"/>
      <c r="FA938" s="2328"/>
      <c r="FB938" s="2328"/>
      <c r="FC938" s="2329"/>
      <c r="FD938" s="2212"/>
      <c r="FE938" s="2210"/>
      <c r="FF938" s="2212"/>
      <c r="FG938" s="2230"/>
      <c r="FH938" s="2230"/>
      <c r="FI938" s="2328"/>
      <c r="FJ938" s="2328"/>
      <c r="FK938" s="2329"/>
      <c r="FL938" s="2212"/>
      <c r="FM938" s="2210"/>
      <c r="FN938" s="2212"/>
      <c r="FO938" s="2230"/>
      <c r="FP938" s="2230"/>
      <c r="FQ938" s="2328"/>
      <c r="FR938" s="2328"/>
      <c r="FS938" s="2329"/>
      <c r="FT938" s="2212"/>
      <c r="FU938" s="2210"/>
      <c r="FV938" s="2212"/>
      <c r="FW938" s="2230"/>
      <c r="FX938" s="2230"/>
      <c r="FY938" s="2328"/>
      <c r="FZ938" s="2328"/>
      <c r="GA938" s="2329"/>
      <c r="GB938" s="2212"/>
      <c r="GC938" s="2210"/>
      <c r="GD938" s="2212"/>
      <c r="GE938" s="2230"/>
      <c r="GF938" s="2230"/>
      <c r="GG938" s="2328"/>
      <c r="GH938" s="2328"/>
      <c r="GI938" s="2329"/>
      <c r="GJ938" s="2212"/>
      <c r="GK938" s="2210"/>
      <c r="GL938" s="2212"/>
      <c r="GM938" s="2230"/>
      <c r="GN938" s="2230"/>
      <c r="GO938" s="2328"/>
      <c r="GP938" s="2328"/>
      <c r="GQ938" s="2329"/>
      <c r="GR938" s="2212"/>
      <c r="GS938" s="2210"/>
      <c r="GT938" s="2212"/>
      <c r="GU938" s="2230"/>
      <c r="GV938" s="2230"/>
      <c r="GW938" s="2328"/>
      <c r="GX938" s="2328"/>
      <c r="GY938" s="2329"/>
      <c r="GZ938" s="2212"/>
      <c r="HA938" s="2210"/>
      <c r="HB938" s="2212"/>
      <c r="HC938" s="2230"/>
      <c r="HD938" s="2230"/>
      <c r="HE938" s="2328"/>
      <c r="HF938" s="2328"/>
      <c r="HG938" s="2329"/>
      <c r="HH938" s="2212"/>
      <c r="HI938" s="2210"/>
      <c r="HJ938" s="2212"/>
      <c r="HK938" s="2230"/>
      <c r="HL938" s="2230"/>
      <c r="HM938" s="2328"/>
      <c r="HN938" s="2328"/>
      <c r="HO938" s="2329"/>
      <c r="HP938" s="2212"/>
      <c r="HQ938" s="2210"/>
      <c r="HR938" s="2212"/>
      <c r="HS938" s="2230"/>
      <c r="HT938" s="2230"/>
      <c r="HU938" s="2328"/>
      <c r="HV938" s="2328"/>
      <c r="HW938" s="2329"/>
      <c r="HX938" s="2212"/>
      <c r="HY938" s="2210"/>
      <c r="HZ938" s="2212"/>
      <c r="IA938" s="2230"/>
      <c r="IB938" s="2230"/>
      <c r="IC938" s="2328"/>
      <c r="ID938" s="2328"/>
      <c r="IE938" s="2329"/>
      <c r="IF938" s="2212"/>
      <c r="IG938" s="2210"/>
      <c r="IH938" s="2212"/>
      <c r="II938" s="2230"/>
      <c r="IJ938" s="2230"/>
      <c r="IK938" s="2328"/>
      <c r="IL938" s="2328"/>
      <c r="IM938" s="2329"/>
      <c r="IN938" s="2212"/>
      <c r="IO938" s="2210"/>
      <c r="IP938" s="2212"/>
      <c r="IQ938" s="2230"/>
      <c r="IR938" s="2230"/>
      <c r="IS938" s="2328"/>
      <c r="IT938" s="2328"/>
      <c r="IU938" s="2329"/>
      <c r="IV938" s="2212"/>
    </row>
    <row r="939" spans="1:256" hidden="1">
      <c r="A939" s="2213"/>
      <c r="B939" s="2213"/>
      <c r="C939" s="2225" t="s">
        <v>2984</v>
      </c>
      <c r="D939" s="2253"/>
      <c r="E939" s="2237"/>
      <c r="F939" s="2237"/>
      <c r="G939" s="2247"/>
      <c r="H939" s="2327"/>
      <c r="I939" s="2230"/>
      <c r="J939" s="2212"/>
      <c r="K939" s="2230"/>
      <c r="L939" s="2230"/>
      <c r="M939" s="2328"/>
      <c r="N939" s="2328"/>
      <c r="O939" s="2329"/>
      <c r="P939" s="2212"/>
      <c r="Q939" s="2210"/>
      <c r="R939" s="2212"/>
      <c r="S939" s="2230"/>
      <c r="T939" s="2230"/>
      <c r="U939" s="2328"/>
      <c r="V939" s="2328"/>
      <c r="W939" s="2329"/>
      <c r="X939" s="2212"/>
      <c r="Y939" s="2210"/>
      <c r="Z939" s="2212"/>
      <c r="AA939" s="2230"/>
      <c r="AB939" s="2230"/>
      <c r="AC939" s="2328"/>
      <c r="AD939" s="2328"/>
      <c r="AE939" s="2329"/>
      <c r="AF939" s="2212"/>
      <c r="AG939" s="2210"/>
      <c r="AH939" s="2212"/>
      <c r="AI939" s="2230"/>
      <c r="AJ939" s="2230"/>
      <c r="AK939" s="2328"/>
      <c r="AL939" s="2328"/>
      <c r="AM939" s="2329"/>
      <c r="AN939" s="2212"/>
      <c r="AO939" s="2210"/>
      <c r="AP939" s="2212"/>
      <c r="AQ939" s="2230"/>
      <c r="AR939" s="2230"/>
      <c r="AS939" s="2328"/>
      <c r="AT939" s="2328"/>
      <c r="AU939" s="2329"/>
      <c r="AV939" s="2212"/>
      <c r="AW939" s="2210"/>
      <c r="AX939" s="2212"/>
      <c r="AY939" s="2230"/>
      <c r="AZ939" s="2230"/>
      <c r="BA939" s="2328"/>
      <c r="BB939" s="2328"/>
      <c r="BC939" s="2329"/>
      <c r="BD939" s="2212"/>
      <c r="BE939" s="2210"/>
      <c r="BF939" s="2212"/>
      <c r="BG939" s="2230"/>
      <c r="BH939" s="2230"/>
      <c r="BI939" s="2328"/>
      <c r="BJ939" s="2328"/>
      <c r="BK939" s="2329"/>
      <c r="BL939" s="2212"/>
      <c r="BM939" s="2210"/>
      <c r="BN939" s="2212"/>
      <c r="BO939" s="2230"/>
      <c r="BP939" s="2230"/>
      <c r="BQ939" s="2328"/>
      <c r="BR939" s="2328"/>
      <c r="BS939" s="2329"/>
      <c r="BT939" s="2212"/>
      <c r="BU939" s="2210"/>
      <c r="BV939" s="2212"/>
      <c r="BW939" s="2230"/>
      <c r="BX939" s="2230"/>
      <c r="BY939" s="2328"/>
      <c r="BZ939" s="2328"/>
      <c r="CA939" s="2329"/>
      <c r="CB939" s="2212"/>
      <c r="CC939" s="2210"/>
      <c r="CD939" s="2212"/>
      <c r="CE939" s="2230"/>
      <c r="CF939" s="2230"/>
      <c r="CG939" s="2328"/>
      <c r="CH939" s="2328"/>
      <c r="CI939" s="2329"/>
      <c r="CJ939" s="2212"/>
      <c r="CK939" s="2210"/>
      <c r="CL939" s="2212"/>
      <c r="CM939" s="2230"/>
      <c r="CN939" s="2230"/>
      <c r="CO939" s="2328"/>
      <c r="CP939" s="2328"/>
      <c r="CQ939" s="2329"/>
      <c r="CR939" s="2212"/>
      <c r="CS939" s="2210"/>
      <c r="CT939" s="2212"/>
      <c r="CU939" s="2230"/>
      <c r="CV939" s="2230"/>
      <c r="CW939" s="2328"/>
      <c r="CX939" s="2328"/>
      <c r="CY939" s="2329"/>
      <c r="CZ939" s="2212"/>
      <c r="DA939" s="2210"/>
      <c r="DB939" s="2212"/>
      <c r="DC939" s="2230"/>
      <c r="DD939" s="2230"/>
      <c r="DE939" s="2328"/>
      <c r="DF939" s="2328"/>
      <c r="DG939" s="2329"/>
      <c r="DH939" s="2212"/>
      <c r="DI939" s="2210"/>
      <c r="DJ939" s="2212"/>
      <c r="DK939" s="2230"/>
      <c r="DL939" s="2230"/>
      <c r="DM939" s="2328"/>
      <c r="DN939" s="2328"/>
      <c r="DO939" s="2329"/>
      <c r="DP939" s="2212"/>
      <c r="DQ939" s="2210"/>
      <c r="DR939" s="2212"/>
      <c r="DS939" s="2230"/>
      <c r="DT939" s="2230"/>
      <c r="DU939" s="2328"/>
      <c r="DV939" s="2328"/>
      <c r="DW939" s="2329"/>
      <c r="DX939" s="2212"/>
      <c r="DY939" s="2210"/>
      <c r="DZ939" s="2212"/>
      <c r="EA939" s="2230"/>
      <c r="EB939" s="2230"/>
      <c r="EC939" s="2328"/>
      <c r="ED939" s="2328"/>
      <c r="EE939" s="2329"/>
      <c r="EF939" s="2212"/>
      <c r="EG939" s="2210"/>
      <c r="EH939" s="2212"/>
      <c r="EI939" s="2230"/>
      <c r="EJ939" s="2230"/>
      <c r="EK939" s="2328"/>
      <c r="EL939" s="2328"/>
      <c r="EM939" s="2329"/>
      <c r="EN939" s="2212"/>
      <c r="EO939" s="2210"/>
      <c r="EP939" s="2212"/>
      <c r="EQ939" s="2230"/>
      <c r="ER939" s="2230"/>
      <c r="ES939" s="2328"/>
      <c r="ET939" s="2328"/>
      <c r="EU939" s="2329"/>
      <c r="EV939" s="2212"/>
      <c r="EW939" s="2210"/>
      <c r="EX939" s="2212"/>
      <c r="EY939" s="2230"/>
      <c r="EZ939" s="2230"/>
      <c r="FA939" s="2328"/>
      <c r="FB939" s="2328"/>
      <c r="FC939" s="2329"/>
      <c r="FD939" s="2212"/>
      <c r="FE939" s="2210"/>
      <c r="FF939" s="2212"/>
      <c r="FG939" s="2230"/>
      <c r="FH939" s="2230"/>
      <c r="FI939" s="2328"/>
      <c r="FJ939" s="2328"/>
      <c r="FK939" s="2329"/>
      <c r="FL939" s="2212"/>
      <c r="FM939" s="2210"/>
      <c r="FN939" s="2212"/>
      <c r="FO939" s="2230"/>
      <c r="FP939" s="2230"/>
      <c r="FQ939" s="2328"/>
      <c r="FR939" s="2328"/>
      <c r="FS939" s="2329"/>
      <c r="FT939" s="2212"/>
      <c r="FU939" s="2210"/>
      <c r="FV939" s="2212"/>
      <c r="FW939" s="2230"/>
      <c r="FX939" s="2230"/>
      <c r="FY939" s="2328"/>
      <c r="FZ939" s="2328"/>
      <c r="GA939" s="2329"/>
      <c r="GB939" s="2212"/>
      <c r="GC939" s="2210"/>
      <c r="GD939" s="2212"/>
      <c r="GE939" s="2230"/>
      <c r="GF939" s="2230"/>
      <c r="GG939" s="2328"/>
      <c r="GH939" s="2328"/>
      <c r="GI939" s="2329"/>
      <c r="GJ939" s="2212"/>
      <c r="GK939" s="2210"/>
      <c r="GL939" s="2212"/>
      <c r="GM939" s="2230"/>
      <c r="GN939" s="2230"/>
      <c r="GO939" s="2328"/>
      <c r="GP939" s="2328"/>
      <c r="GQ939" s="2329"/>
      <c r="GR939" s="2212"/>
      <c r="GS939" s="2210"/>
      <c r="GT939" s="2212"/>
      <c r="GU939" s="2230"/>
      <c r="GV939" s="2230"/>
      <c r="GW939" s="2328"/>
      <c r="GX939" s="2328"/>
      <c r="GY939" s="2329"/>
      <c r="GZ939" s="2212"/>
      <c r="HA939" s="2210"/>
      <c r="HB939" s="2212"/>
      <c r="HC939" s="2230"/>
      <c r="HD939" s="2230"/>
      <c r="HE939" s="2328"/>
      <c r="HF939" s="2328"/>
      <c r="HG939" s="2329"/>
      <c r="HH939" s="2212"/>
      <c r="HI939" s="2210"/>
      <c r="HJ939" s="2212"/>
      <c r="HK939" s="2230"/>
      <c r="HL939" s="2230"/>
      <c r="HM939" s="2328"/>
      <c r="HN939" s="2328"/>
      <c r="HO939" s="2329"/>
      <c r="HP939" s="2212"/>
      <c r="HQ939" s="2210"/>
      <c r="HR939" s="2212"/>
      <c r="HS939" s="2230"/>
      <c r="HT939" s="2230"/>
      <c r="HU939" s="2328"/>
      <c r="HV939" s="2328"/>
      <c r="HW939" s="2329"/>
      <c r="HX939" s="2212"/>
      <c r="HY939" s="2210"/>
      <c r="HZ939" s="2212"/>
      <c r="IA939" s="2230"/>
      <c r="IB939" s="2230"/>
      <c r="IC939" s="2328"/>
      <c r="ID939" s="2328"/>
      <c r="IE939" s="2329"/>
      <c r="IF939" s="2212"/>
      <c r="IG939" s="2210"/>
      <c r="IH939" s="2212"/>
      <c r="II939" s="2230"/>
      <c r="IJ939" s="2230"/>
      <c r="IK939" s="2328"/>
      <c r="IL939" s="2328"/>
      <c r="IM939" s="2329"/>
      <c r="IN939" s="2212"/>
      <c r="IO939" s="2210"/>
      <c r="IP939" s="2212"/>
      <c r="IQ939" s="2230"/>
      <c r="IR939" s="2230"/>
      <c r="IS939" s="2328"/>
      <c r="IT939" s="2328"/>
      <c r="IU939" s="2329"/>
      <c r="IV939" s="2212"/>
    </row>
    <row r="940" spans="1:256" hidden="1">
      <c r="A940" s="2280"/>
      <c r="B940" s="2213"/>
      <c r="C940" s="2281" t="s">
        <v>1056</v>
      </c>
      <c r="D940" s="2228"/>
      <c r="E940" s="2237"/>
      <c r="F940" s="2237"/>
      <c r="G940" s="2247"/>
      <c r="H940" s="2217"/>
      <c r="I940" s="2230"/>
      <c r="J940" s="2212"/>
      <c r="K940" s="2330"/>
      <c r="L940" s="2328"/>
      <c r="M940" s="2328"/>
      <c r="N940" s="2328"/>
      <c r="O940" s="2329"/>
      <c r="P940" s="2218"/>
      <c r="Q940" s="2331"/>
      <c r="R940" s="2212"/>
      <c r="S940" s="2330"/>
      <c r="T940" s="2328"/>
      <c r="U940" s="2328"/>
      <c r="V940" s="2328"/>
      <c r="W940" s="2329"/>
      <c r="X940" s="2218"/>
      <c r="Y940" s="2331"/>
      <c r="Z940" s="2212"/>
      <c r="AA940" s="2330"/>
      <c r="AB940" s="2328"/>
      <c r="AC940" s="2328"/>
      <c r="AD940" s="2328"/>
      <c r="AE940" s="2329"/>
      <c r="AF940" s="2218"/>
      <c r="AG940" s="2331"/>
      <c r="AH940" s="2212"/>
      <c r="AI940" s="2330"/>
      <c r="AJ940" s="2328"/>
      <c r="AK940" s="2328"/>
      <c r="AL940" s="2328"/>
      <c r="AM940" s="2329"/>
      <c r="AN940" s="2218"/>
      <c r="AO940" s="2331"/>
      <c r="AP940" s="2212"/>
      <c r="AQ940" s="2330"/>
      <c r="AR940" s="2328"/>
      <c r="AS940" s="2328"/>
      <c r="AT940" s="2328"/>
      <c r="AU940" s="2329"/>
      <c r="AV940" s="2218"/>
      <c r="AW940" s="2331"/>
      <c r="AX940" s="2212"/>
      <c r="AY940" s="2330"/>
      <c r="AZ940" s="2328"/>
      <c r="BA940" s="2328"/>
      <c r="BB940" s="2328"/>
      <c r="BC940" s="2329"/>
      <c r="BD940" s="2218"/>
      <c r="BE940" s="2331"/>
      <c r="BF940" s="2212"/>
      <c r="BG940" s="2330"/>
      <c r="BH940" s="2328"/>
      <c r="BI940" s="2328"/>
      <c r="BJ940" s="2328"/>
      <c r="BK940" s="2329"/>
      <c r="BL940" s="2218"/>
      <c r="BM940" s="2331"/>
      <c r="BN940" s="2212"/>
      <c r="BO940" s="2330"/>
      <c r="BP940" s="2328"/>
      <c r="BQ940" s="2328"/>
      <c r="BR940" s="2328"/>
      <c r="BS940" s="2329"/>
      <c r="BT940" s="2218"/>
      <c r="BU940" s="2331"/>
      <c r="BV940" s="2212"/>
      <c r="BW940" s="2330"/>
      <c r="BX940" s="2328"/>
      <c r="BY940" s="2328"/>
      <c r="BZ940" s="2328"/>
      <c r="CA940" s="2329"/>
      <c r="CB940" s="2218"/>
      <c r="CC940" s="2331"/>
      <c r="CD940" s="2212"/>
      <c r="CE940" s="2330"/>
      <c r="CF940" s="2328"/>
      <c r="CG940" s="2328"/>
      <c r="CH940" s="2328"/>
      <c r="CI940" s="2329"/>
      <c r="CJ940" s="2218"/>
      <c r="CK940" s="2331"/>
      <c r="CL940" s="2212"/>
      <c r="CM940" s="2330"/>
      <c r="CN940" s="2328"/>
      <c r="CO940" s="2328"/>
      <c r="CP940" s="2328"/>
      <c r="CQ940" s="2329"/>
      <c r="CR940" s="2218"/>
      <c r="CS940" s="2331"/>
      <c r="CT940" s="2212"/>
      <c r="CU940" s="2330"/>
      <c r="CV940" s="2328"/>
      <c r="CW940" s="2328"/>
      <c r="CX940" s="2328"/>
      <c r="CY940" s="2329"/>
      <c r="CZ940" s="2218"/>
      <c r="DA940" s="2331"/>
      <c r="DB940" s="2212"/>
      <c r="DC940" s="2330"/>
      <c r="DD940" s="2328"/>
      <c r="DE940" s="2328"/>
      <c r="DF940" s="2328"/>
      <c r="DG940" s="2329"/>
      <c r="DH940" s="2218"/>
      <c r="DI940" s="2331"/>
      <c r="DJ940" s="2212"/>
      <c r="DK940" s="2330"/>
      <c r="DL940" s="2328"/>
      <c r="DM940" s="2328"/>
      <c r="DN940" s="2328"/>
      <c r="DO940" s="2329"/>
      <c r="DP940" s="2218"/>
      <c r="DQ940" s="2331"/>
      <c r="DR940" s="2212"/>
      <c r="DS940" s="2330"/>
      <c r="DT940" s="2328"/>
      <c r="DU940" s="2328"/>
      <c r="DV940" s="2328"/>
      <c r="DW940" s="2329"/>
      <c r="DX940" s="2218"/>
      <c r="DY940" s="2331"/>
      <c r="DZ940" s="2212"/>
      <c r="EA940" s="2330"/>
      <c r="EB940" s="2328"/>
      <c r="EC940" s="2328"/>
      <c r="ED940" s="2328"/>
      <c r="EE940" s="2329"/>
      <c r="EF940" s="2218"/>
      <c r="EG940" s="2331"/>
      <c r="EH940" s="2212"/>
      <c r="EI940" s="2330"/>
      <c r="EJ940" s="2328"/>
      <c r="EK940" s="2328"/>
      <c r="EL940" s="2328"/>
      <c r="EM940" s="2329"/>
      <c r="EN940" s="2218"/>
      <c r="EO940" s="2331"/>
      <c r="EP940" s="2212"/>
      <c r="EQ940" s="2330"/>
      <c r="ER940" s="2328"/>
      <c r="ES940" s="2328"/>
      <c r="ET940" s="2328"/>
      <c r="EU940" s="2329"/>
      <c r="EV940" s="2218"/>
      <c r="EW940" s="2331"/>
      <c r="EX940" s="2212"/>
      <c r="EY940" s="2330"/>
      <c r="EZ940" s="2328"/>
      <c r="FA940" s="2328"/>
      <c r="FB940" s="2328"/>
      <c r="FC940" s="2329"/>
      <c r="FD940" s="2218"/>
      <c r="FE940" s="2331"/>
      <c r="FF940" s="2212"/>
      <c r="FG940" s="2330"/>
      <c r="FH940" s="2328"/>
      <c r="FI940" s="2328"/>
      <c r="FJ940" s="2328"/>
      <c r="FK940" s="2329"/>
      <c r="FL940" s="2218"/>
      <c r="FM940" s="2331"/>
      <c r="FN940" s="2212"/>
      <c r="FO940" s="2330"/>
      <c r="FP940" s="2328"/>
      <c r="FQ940" s="2328"/>
      <c r="FR940" s="2328"/>
      <c r="FS940" s="2329"/>
      <c r="FT940" s="2218"/>
      <c r="FU940" s="2331"/>
      <c r="FV940" s="2212"/>
      <c r="FW940" s="2330"/>
      <c r="FX940" s="2328"/>
      <c r="FY940" s="2328"/>
      <c r="FZ940" s="2328"/>
      <c r="GA940" s="2329"/>
      <c r="GB940" s="2218"/>
      <c r="GC940" s="2331"/>
      <c r="GD940" s="2212"/>
      <c r="GE940" s="2330"/>
      <c r="GF940" s="2328"/>
      <c r="GG940" s="2328"/>
      <c r="GH940" s="2328"/>
      <c r="GI940" s="2329"/>
      <c r="GJ940" s="2218"/>
      <c r="GK940" s="2331"/>
      <c r="GL940" s="2212"/>
      <c r="GM940" s="2330"/>
      <c r="GN940" s="2328"/>
      <c r="GO940" s="2328"/>
      <c r="GP940" s="2328"/>
      <c r="GQ940" s="2329"/>
      <c r="GR940" s="2218"/>
      <c r="GS940" s="2331"/>
      <c r="GT940" s="2212"/>
      <c r="GU940" s="2330"/>
      <c r="GV940" s="2328"/>
      <c r="GW940" s="2328"/>
      <c r="GX940" s="2328"/>
      <c r="GY940" s="2329"/>
      <c r="GZ940" s="2218"/>
      <c r="HA940" s="2331"/>
      <c r="HB940" s="2212"/>
      <c r="HC940" s="2330"/>
      <c r="HD940" s="2328"/>
      <c r="HE940" s="2328"/>
      <c r="HF940" s="2328"/>
      <c r="HG940" s="2329"/>
      <c r="HH940" s="2218"/>
      <c r="HI940" s="2331"/>
      <c r="HJ940" s="2212"/>
      <c r="HK940" s="2330"/>
      <c r="HL940" s="2328"/>
      <c r="HM940" s="2328"/>
      <c r="HN940" s="2328"/>
      <c r="HO940" s="2329"/>
      <c r="HP940" s="2218"/>
      <c r="HQ940" s="2331"/>
      <c r="HR940" s="2212"/>
      <c r="HS940" s="2330"/>
      <c r="HT940" s="2328"/>
      <c r="HU940" s="2328"/>
      <c r="HV940" s="2328"/>
      <c r="HW940" s="2329"/>
      <c r="HX940" s="2218"/>
      <c r="HY940" s="2331"/>
      <c r="HZ940" s="2212"/>
      <c r="IA940" s="2330"/>
      <c r="IB940" s="2328"/>
      <c r="IC940" s="2328"/>
      <c r="ID940" s="2328"/>
      <c r="IE940" s="2329"/>
      <c r="IF940" s="2218"/>
      <c r="IG940" s="2331"/>
      <c r="IH940" s="2212"/>
      <c r="II940" s="2330"/>
      <c r="IJ940" s="2328"/>
      <c r="IK940" s="2328"/>
      <c r="IL940" s="2328"/>
      <c r="IM940" s="2329"/>
      <c r="IN940" s="2218"/>
      <c r="IO940" s="2331"/>
      <c r="IP940" s="2212"/>
      <c r="IQ940" s="2330"/>
      <c r="IR940" s="2328"/>
      <c r="IS940" s="2328"/>
      <c r="IT940" s="2328"/>
      <c r="IU940" s="2329"/>
      <c r="IV940" s="2218"/>
    </row>
    <row r="941" spans="1:256" hidden="1">
      <c r="A941" s="2280"/>
      <c r="B941" s="2213"/>
      <c r="C941" s="2281" t="s">
        <v>1041</v>
      </c>
      <c r="D941" s="2228"/>
      <c r="E941" s="2237"/>
      <c r="F941" s="2237"/>
      <c r="G941" s="2247"/>
      <c r="H941" s="2217"/>
      <c r="I941" s="2230"/>
      <c r="J941" s="2212"/>
      <c r="K941" s="2330"/>
      <c r="L941" s="2328"/>
      <c r="M941" s="2328"/>
      <c r="N941" s="2328"/>
      <c r="O941" s="2329"/>
      <c r="P941" s="2218"/>
      <c r="Q941" s="2331"/>
      <c r="R941" s="2212"/>
      <c r="S941" s="2330"/>
      <c r="T941" s="2328"/>
      <c r="U941" s="2328"/>
      <c r="V941" s="2328"/>
      <c r="W941" s="2329"/>
      <c r="X941" s="2218"/>
      <c r="Y941" s="2331"/>
      <c r="Z941" s="2212"/>
      <c r="AA941" s="2330"/>
      <c r="AB941" s="2328"/>
      <c r="AC941" s="2328"/>
      <c r="AD941" s="2328"/>
      <c r="AE941" s="2329"/>
      <c r="AF941" s="2218"/>
      <c r="AG941" s="2331"/>
      <c r="AH941" s="2212"/>
      <c r="AI941" s="2330"/>
      <c r="AJ941" s="2328"/>
      <c r="AK941" s="2328"/>
      <c r="AL941" s="2328"/>
      <c r="AM941" s="2329"/>
      <c r="AN941" s="2218"/>
      <c r="AO941" s="2331"/>
      <c r="AP941" s="2212"/>
      <c r="AQ941" s="2330"/>
      <c r="AR941" s="2328"/>
      <c r="AS941" s="2328"/>
      <c r="AT941" s="2328"/>
      <c r="AU941" s="2329"/>
      <c r="AV941" s="2218"/>
      <c r="AW941" s="2331"/>
      <c r="AX941" s="2212"/>
      <c r="AY941" s="2330"/>
      <c r="AZ941" s="2328"/>
      <c r="BA941" s="2328"/>
      <c r="BB941" s="2328"/>
      <c r="BC941" s="2329"/>
      <c r="BD941" s="2218"/>
      <c r="BE941" s="2331"/>
      <c r="BF941" s="2212"/>
      <c r="BG941" s="2330"/>
      <c r="BH941" s="2328"/>
      <c r="BI941" s="2328"/>
      <c r="BJ941" s="2328"/>
      <c r="BK941" s="2329"/>
      <c r="BL941" s="2218"/>
      <c r="BM941" s="2331"/>
      <c r="BN941" s="2212"/>
      <c r="BO941" s="2330"/>
      <c r="BP941" s="2328"/>
      <c r="BQ941" s="2328"/>
      <c r="BR941" s="2328"/>
      <c r="BS941" s="2329"/>
      <c r="BT941" s="2218"/>
      <c r="BU941" s="2331"/>
      <c r="BV941" s="2212"/>
      <c r="BW941" s="2330"/>
      <c r="BX941" s="2328"/>
      <c r="BY941" s="2328"/>
      <c r="BZ941" s="2328"/>
      <c r="CA941" s="2329"/>
      <c r="CB941" s="2218"/>
      <c r="CC941" s="2331"/>
      <c r="CD941" s="2212"/>
      <c r="CE941" s="2330"/>
      <c r="CF941" s="2328"/>
      <c r="CG941" s="2328"/>
      <c r="CH941" s="2328"/>
      <c r="CI941" s="2329"/>
      <c r="CJ941" s="2218"/>
      <c r="CK941" s="2331"/>
      <c r="CL941" s="2212"/>
      <c r="CM941" s="2330"/>
      <c r="CN941" s="2328"/>
      <c r="CO941" s="2328"/>
      <c r="CP941" s="2328"/>
      <c r="CQ941" s="2329"/>
      <c r="CR941" s="2218"/>
      <c r="CS941" s="2331"/>
      <c r="CT941" s="2212"/>
      <c r="CU941" s="2330"/>
      <c r="CV941" s="2328"/>
      <c r="CW941" s="2328"/>
      <c r="CX941" s="2328"/>
      <c r="CY941" s="2329"/>
      <c r="CZ941" s="2218"/>
      <c r="DA941" s="2331"/>
      <c r="DB941" s="2212"/>
      <c r="DC941" s="2330"/>
      <c r="DD941" s="2328"/>
      <c r="DE941" s="2328"/>
      <c r="DF941" s="2328"/>
      <c r="DG941" s="2329"/>
      <c r="DH941" s="2218"/>
      <c r="DI941" s="2331"/>
      <c r="DJ941" s="2212"/>
      <c r="DK941" s="2330"/>
      <c r="DL941" s="2328"/>
      <c r="DM941" s="2328"/>
      <c r="DN941" s="2328"/>
      <c r="DO941" s="2329"/>
      <c r="DP941" s="2218"/>
      <c r="DQ941" s="2331"/>
      <c r="DR941" s="2212"/>
      <c r="DS941" s="2330"/>
      <c r="DT941" s="2328"/>
      <c r="DU941" s="2328"/>
      <c r="DV941" s="2328"/>
      <c r="DW941" s="2329"/>
      <c r="DX941" s="2218"/>
      <c r="DY941" s="2331"/>
      <c r="DZ941" s="2212"/>
      <c r="EA941" s="2330"/>
      <c r="EB941" s="2328"/>
      <c r="EC941" s="2328"/>
      <c r="ED941" s="2328"/>
      <c r="EE941" s="2329"/>
      <c r="EF941" s="2218"/>
      <c r="EG941" s="2331"/>
      <c r="EH941" s="2212"/>
      <c r="EI941" s="2330"/>
      <c r="EJ941" s="2328"/>
      <c r="EK941" s="2328"/>
      <c r="EL941" s="2328"/>
      <c r="EM941" s="2329"/>
      <c r="EN941" s="2218"/>
      <c r="EO941" s="2331"/>
      <c r="EP941" s="2212"/>
      <c r="EQ941" s="2330"/>
      <c r="ER941" s="2328"/>
      <c r="ES941" s="2328"/>
      <c r="ET941" s="2328"/>
      <c r="EU941" s="2329"/>
      <c r="EV941" s="2218"/>
      <c r="EW941" s="2331"/>
      <c r="EX941" s="2212"/>
      <c r="EY941" s="2330"/>
      <c r="EZ941" s="2328"/>
      <c r="FA941" s="2328"/>
      <c r="FB941" s="2328"/>
      <c r="FC941" s="2329"/>
      <c r="FD941" s="2218"/>
      <c r="FE941" s="2331"/>
      <c r="FF941" s="2212"/>
      <c r="FG941" s="2330"/>
      <c r="FH941" s="2328"/>
      <c r="FI941" s="2328"/>
      <c r="FJ941" s="2328"/>
      <c r="FK941" s="2329"/>
      <c r="FL941" s="2218"/>
      <c r="FM941" s="2331"/>
      <c r="FN941" s="2212"/>
      <c r="FO941" s="2330"/>
      <c r="FP941" s="2328"/>
      <c r="FQ941" s="2328"/>
      <c r="FR941" s="2328"/>
      <c r="FS941" s="2329"/>
      <c r="FT941" s="2218"/>
      <c r="FU941" s="2331"/>
      <c r="FV941" s="2212"/>
      <c r="FW941" s="2330"/>
      <c r="FX941" s="2328"/>
      <c r="FY941" s="2328"/>
      <c r="FZ941" s="2328"/>
      <c r="GA941" s="2329"/>
      <c r="GB941" s="2218"/>
      <c r="GC941" s="2331"/>
      <c r="GD941" s="2212"/>
      <c r="GE941" s="2330"/>
      <c r="GF941" s="2328"/>
      <c r="GG941" s="2328"/>
      <c r="GH941" s="2328"/>
      <c r="GI941" s="2329"/>
      <c r="GJ941" s="2218"/>
      <c r="GK941" s="2331"/>
      <c r="GL941" s="2212"/>
      <c r="GM941" s="2330"/>
      <c r="GN941" s="2328"/>
      <c r="GO941" s="2328"/>
      <c r="GP941" s="2328"/>
      <c r="GQ941" s="2329"/>
      <c r="GR941" s="2218"/>
      <c r="GS941" s="2331"/>
      <c r="GT941" s="2212"/>
      <c r="GU941" s="2330"/>
      <c r="GV941" s="2328"/>
      <c r="GW941" s="2328"/>
      <c r="GX941" s="2328"/>
      <c r="GY941" s="2329"/>
      <c r="GZ941" s="2218"/>
      <c r="HA941" s="2331"/>
      <c r="HB941" s="2212"/>
      <c r="HC941" s="2330"/>
      <c r="HD941" s="2328"/>
      <c r="HE941" s="2328"/>
      <c r="HF941" s="2328"/>
      <c r="HG941" s="2329"/>
      <c r="HH941" s="2218"/>
      <c r="HI941" s="2331"/>
      <c r="HJ941" s="2212"/>
      <c r="HK941" s="2330"/>
      <c r="HL941" s="2328"/>
      <c r="HM941" s="2328"/>
      <c r="HN941" s="2328"/>
      <c r="HO941" s="2329"/>
      <c r="HP941" s="2218"/>
      <c r="HQ941" s="2331"/>
      <c r="HR941" s="2212"/>
      <c r="HS941" s="2330"/>
      <c r="HT941" s="2328"/>
      <c r="HU941" s="2328"/>
      <c r="HV941" s="2328"/>
      <c r="HW941" s="2329"/>
      <c r="HX941" s="2218"/>
      <c r="HY941" s="2331"/>
      <c r="HZ941" s="2212"/>
      <c r="IA941" s="2330"/>
      <c r="IB941" s="2328"/>
      <c r="IC941" s="2328"/>
      <c r="ID941" s="2328"/>
      <c r="IE941" s="2329"/>
      <c r="IF941" s="2218"/>
      <c r="IG941" s="2331"/>
      <c r="IH941" s="2212"/>
      <c r="II941" s="2330"/>
      <c r="IJ941" s="2328"/>
      <c r="IK941" s="2328"/>
      <c r="IL941" s="2328"/>
      <c r="IM941" s="2329"/>
      <c r="IN941" s="2218"/>
      <c r="IO941" s="2331"/>
      <c r="IP941" s="2212"/>
      <c r="IQ941" s="2330"/>
      <c r="IR941" s="2328"/>
      <c r="IS941" s="2328"/>
      <c r="IT941" s="2328"/>
      <c r="IU941" s="2329"/>
      <c r="IV941" s="2218"/>
    </row>
    <row r="942" spans="1:256" hidden="1">
      <c r="A942" s="2280"/>
      <c r="B942" s="2213"/>
      <c r="C942" s="2232" t="s">
        <v>1057</v>
      </c>
      <c r="D942" s="2228" t="s">
        <v>1473</v>
      </c>
      <c r="E942" s="2332">
        <v>512</v>
      </c>
      <c r="F942" s="2237">
        <f>'Lead- Input sheet '!R15</f>
        <v>9331.822382607932</v>
      </c>
      <c r="G942" s="2238">
        <f>ROUND(E942*F942/1000,2)</f>
        <v>4777.8900000000003</v>
      </c>
      <c r="H942" s="2217"/>
      <c r="I942" s="2230"/>
      <c r="J942" s="2212"/>
      <c r="K942" s="2230"/>
      <c r="L942" s="2328"/>
      <c r="M942" s="2333"/>
      <c r="N942" s="2328"/>
      <c r="O942" s="2329"/>
      <c r="P942" s="2218"/>
      <c r="Q942" s="2331"/>
      <c r="R942" s="2212"/>
      <c r="S942" s="2230"/>
      <c r="T942" s="2328"/>
      <c r="U942" s="2333"/>
      <c r="V942" s="2328"/>
      <c r="W942" s="2329"/>
      <c r="X942" s="2218"/>
      <c r="Y942" s="2331"/>
      <c r="Z942" s="2212"/>
      <c r="AA942" s="2230"/>
      <c r="AB942" s="2328"/>
      <c r="AC942" s="2333"/>
      <c r="AD942" s="2328"/>
      <c r="AE942" s="2329"/>
      <c r="AF942" s="2218"/>
      <c r="AG942" s="2331"/>
      <c r="AH942" s="2212"/>
      <c r="AI942" s="2230"/>
      <c r="AJ942" s="2328"/>
      <c r="AK942" s="2333"/>
      <c r="AL942" s="2328"/>
      <c r="AM942" s="2329"/>
      <c r="AN942" s="2218"/>
      <c r="AO942" s="2331"/>
      <c r="AP942" s="2212"/>
      <c r="AQ942" s="2230"/>
      <c r="AR942" s="2328"/>
      <c r="AS942" s="2333"/>
      <c r="AT942" s="2328"/>
      <c r="AU942" s="2329"/>
      <c r="AV942" s="2218"/>
      <c r="AW942" s="2331"/>
      <c r="AX942" s="2212"/>
      <c r="AY942" s="2230"/>
      <c r="AZ942" s="2328"/>
      <c r="BA942" s="2333"/>
      <c r="BB942" s="2328"/>
      <c r="BC942" s="2329"/>
      <c r="BD942" s="2218"/>
      <c r="BE942" s="2331"/>
      <c r="BF942" s="2212"/>
      <c r="BG942" s="2230"/>
      <c r="BH942" s="2328"/>
      <c r="BI942" s="2333"/>
      <c r="BJ942" s="2328"/>
      <c r="BK942" s="2329"/>
      <c r="BL942" s="2218"/>
      <c r="BM942" s="2331"/>
      <c r="BN942" s="2212"/>
      <c r="BO942" s="2230"/>
      <c r="BP942" s="2328"/>
      <c r="BQ942" s="2333"/>
      <c r="BR942" s="2328"/>
      <c r="BS942" s="2329"/>
      <c r="BT942" s="2218"/>
      <c r="BU942" s="2331"/>
      <c r="BV942" s="2212"/>
      <c r="BW942" s="2230"/>
      <c r="BX942" s="2328"/>
      <c r="BY942" s="2333"/>
      <c r="BZ942" s="2328"/>
      <c r="CA942" s="2329"/>
      <c r="CB942" s="2218"/>
      <c r="CC942" s="2331"/>
      <c r="CD942" s="2212"/>
      <c r="CE942" s="2230"/>
      <c r="CF942" s="2328"/>
      <c r="CG942" s="2333"/>
      <c r="CH942" s="2328"/>
      <c r="CI942" s="2329"/>
      <c r="CJ942" s="2218"/>
      <c r="CK942" s="2331"/>
      <c r="CL942" s="2212"/>
      <c r="CM942" s="2230"/>
      <c r="CN942" s="2328"/>
      <c r="CO942" s="2333"/>
      <c r="CP942" s="2328"/>
      <c r="CQ942" s="2329"/>
      <c r="CR942" s="2218"/>
      <c r="CS942" s="2331"/>
      <c r="CT942" s="2212"/>
      <c r="CU942" s="2230"/>
      <c r="CV942" s="2328"/>
      <c r="CW942" s="2333"/>
      <c r="CX942" s="2328"/>
      <c r="CY942" s="2329"/>
      <c r="CZ942" s="2218"/>
      <c r="DA942" s="2331"/>
      <c r="DB942" s="2212"/>
      <c r="DC942" s="2230"/>
      <c r="DD942" s="2328"/>
      <c r="DE942" s="2333"/>
      <c r="DF942" s="2328"/>
      <c r="DG942" s="2329"/>
      <c r="DH942" s="2218"/>
      <c r="DI942" s="2331"/>
      <c r="DJ942" s="2212"/>
      <c r="DK942" s="2230"/>
      <c r="DL942" s="2328"/>
      <c r="DM942" s="2333"/>
      <c r="DN942" s="2328"/>
      <c r="DO942" s="2329"/>
      <c r="DP942" s="2218"/>
      <c r="DQ942" s="2331"/>
      <c r="DR942" s="2212"/>
      <c r="DS942" s="2230"/>
      <c r="DT942" s="2328"/>
      <c r="DU942" s="2333"/>
      <c r="DV942" s="2328"/>
      <c r="DW942" s="2329"/>
      <c r="DX942" s="2218"/>
      <c r="DY942" s="2331"/>
      <c r="DZ942" s="2212"/>
      <c r="EA942" s="2230"/>
      <c r="EB942" s="2328"/>
      <c r="EC942" s="2333"/>
      <c r="ED942" s="2328"/>
      <c r="EE942" s="2329"/>
      <c r="EF942" s="2218"/>
      <c r="EG942" s="2331"/>
      <c r="EH942" s="2212"/>
      <c r="EI942" s="2230"/>
      <c r="EJ942" s="2328"/>
      <c r="EK942" s="2333"/>
      <c r="EL942" s="2328"/>
      <c r="EM942" s="2329"/>
      <c r="EN942" s="2218"/>
      <c r="EO942" s="2331"/>
      <c r="EP942" s="2212"/>
      <c r="EQ942" s="2230"/>
      <c r="ER942" s="2328"/>
      <c r="ES942" s="2333"/>
      <c r="ET942" s="2328"/>
      <c r="EU942" s="2329"/>
      <c r="EV942" s="2218"/>
      <c r="EW942" s="2331"/>
      <c r="EX942" s="2212"/>
      <c r="EY942" s="2230"/>
      <c r="EZ942" s="2328"/>
      <c r="FA942" s="2333"/>
      <c r="FB942" s="2328"/>
      <c r="FC942" s="2329"/>
      <c r="FD942" s="2218"/>
      <c r="FE942" s="2331"/>
      <c r="FF942" s="2212"/>
      <c r="FG942" s="2230"/>
      <c r="FH942" s="2328"/>
      <c r="FI942" s="2333"/>
      <c r="FJ942" s="2328"/>
      <c r="FK942" s="2329"/>
      <c r="FL942" s="2218"/>
      <c r="FM942" s="2331"/>
      <c r="FN942" s="2212"/>
      <c r="FO942" s="2230"/>
      <c r="FP942" s="2328"/>
      <c r="FQ942" s="2333"/>
      <c r="FR942" s="2328"/>
      <c r="FS942" s="2329"/>
      <c r="FT942" s="2218"/>
      <c r="FU942" s="2331"/>
      <c r="FV942" s="2212"/>
      <c r="FW942" s="2230"/>
      <c r="FX942" s="2328"/>
      <c r="FY942" s="2333"/>
      <c r="FZ942" s="2328"/>
      <c r="GA942" s="2329"/>
      <c r="GB942" s="2218"/>
      <c r="GC942" s="2331"/>
      <c r="GD942" s="2212"/>
      <c r="GE942" s="2230"/>
      <c r="GF942" s="2328"/>
      <c r="GG942" s="2333"/>
      <c r="GH942" s="2328"/>
      <c r="GI942" s="2329"/>
      <c r="GJ942" s="2218"/>
      <c r="GK942" s="2331"/>
      <c r="GL942" s="2212"/>
      <c r="GM942" s="2230"/>
      <c r="GN942" s="2328"/>
      <c r="GO942" s="2333"/>
      <c r="GP942" s="2328"/>
      <c r="GQ942" s="2329"/>
      <c r="GR942" s="2218"/>
      <c r="GS942" s="2331"/>
      <c r="GT942" s="2212"/>
      <c r="GU942" s="2230"/>
      <c r="GV942" s="2328"/>
      <c r="GW942" s="2333"/>
      <c r="GX942" s="2328"/>
      <c r="GY942" s="2329"/>
      <c r="GZ942" s="2218"/>
      <c r="HA942" s="2331"/>
      <c r="HB942" s="2212"/>
      <c r="HC942" s="2230"/>
      <c r="HD942" s="2328"/>
      <c r="HE942" s="2333"/>
      <c r="HF942" s="2328"/>
      <c r="HG942" s="2329"/>
      <c r="HH942" s="2218"/>
      <c r="HI942" s="2331"/>
      <c r="HJ942" s="2212"/>
      <c r="HK942" s="2230"/>
      <c r="HL942" s="2328"/>
      <c r="HM942" s="2333"/>
      <c r="HN942" s="2328"/>
      <c r="HO942" s="2329"/>
      <c r="HP942" s="2218"/>
      <c r="HQ942" s="2331"/>
      <c r="HR942" s="2212"/>
      <c r="HS942" s="2230"/>
      <c r="HT942" s="2328"/>
      <c r="HU942" s="2333"/>
      <c r="HV942" s="2328"/>
      <c r="HW942" s="2329"/>
      <c r="HX942" s="2218"/>
      <c r="HY942" s="2331"/>
      <c r="HZ942" s="2212"/>
      <c r="IA942" s="2230"/>
      <c r="IB942" s="2328"/>
      <c r="IC942" s="2333"/>
      <c r="ID942" s="2328"/>
      <c r="IE942" s="2329"/>
      <c r="IF942" s="2218"/>
      <c r="IG942" s="2331"/>
      <c r="IH942" s="2212"/>
      <c r="II942" s="2230"/>
      <c r="IJ942" s="2328"/>
      <c r="IK942" s="2333"/>
      <c r="IL942" s="2328"/>
      <c r="IM942" s="2329"/>
      <c r="IN942" s="2218"/>
      <c r="IO942" s="2331"/>
      <c r="IP942" s="2212"/>
      <c r="IQ942" s="2230"/>
      <c r="IR942" s="2328"/>
      <c r="IS942" s="2333"/>
      <c r="IT942" s="2328"/>
      <c r="IU942" s="2329"/>
      <c r="IV942" s="2218"/>
    </row>
    <row r="943" spans="1:256" hidden="1">
      <c r="A943" s="2280"/>
      <c r="B943" s="2213"/>
      <c r="C943" s="2232" t="s">
        <v>106</v>
      </c>
      <c r="D943" s="2228" t="s">
        <v>1473</v>
      </c>
      <c r="E943" s="2332">
        <v>0.2</v>
      </c>
      <c r="F943" s="2249">
        <f>G107</f>
        <v>3818.78</v>
      </c>
      <c r="G943" s="2238">
        <f>ROUND(E943*F943,2)</f>
        <v>763.76</v>
      </c>
      <c r="H943" s="2217"/>
      <c r="I943" s="2230"/>
      <c r="J943" s="2212">
        <f>0.2/4*1.44</f>
        <v>7.1999999999999995E-2</v>
      </c>
      <c r="K943" s="2230"/>
      <c r="L943" s="2328"/>
      <c r="M943" s="2333"/>
      <c r="N943" s="2329"/>
      <c r="O943" s="2329"/>
      <c r="P943" s="2218"/>
      <c r="Q943" s="2331"/>
      <c r="R943" s="2212"/>
      <c r="S943" s="2230"/>
      <c r="T943" s="2328"/>
      <c r="U943" s="2333"/>
      <c r="V943" s="2329"/>
      <c r="W943" s="2329"/>
      <c r="X943" s="2218"/>
      <c r="Y943" s="2331"/>
      <c r="Z943" s="2212"/>
      <c r="AA943" s="2230"/>
      <c r="AB943" s="2328"/>
      <c r="AC943" s="2333"/>
      <c r="AD943" s="2329"/>
      <c r="AE943" s="2329"/>
      <c r="AF943" s="2218"/>
      <c r="AG943" s="2331"/>
      <c r="AH943" s="2212"/>
      <c r="AI943" s="2230"/>
      <c r="AJ943" s="2328"/>
      <c r="AK943" s="2333"/>
      <c r="AL943" s="2329"/>
      <c r="AM943" s="2329"/>
      <c r="AN943" s="2218"/>
      <c r="AO943" s="2331"/>
      <c r="AP943" s="2212"/>
      <c r="AQ943" s="2230"/>
      <c r="AR943" s="2328"/>
      <c r="AS943" s="2333"/>
      <c r="AT943" s="2329"/>
      <c r="AU943" s="2329"/>
      <c r="AV943" s="2218"/>
      <c r="AW943" s="2331"/>
      <c r="AX943" s="2212"/>
      <c r="AY943" s="2230"/>
      <c r="AZ943" s="2328"/>
      <c r="BA943" s="2333"/>
      <c r="BB943" s="2329"/>
      <c r="BC943" s="2329"/>
      <c r="BD943" s="2218"/>
      <c r="BE943" s="2331"/>
      <c r="BF943" s="2212"/>
      <c r="BG943" s="2230"/>
      <c r="BH943" s="2328"/>
      <c r="BI943" s="2333"/>
      <c r="BJ943" s="2329"/>
      <c r="BK943" s="2329"/>
      <c r="BL943" s="2218"/>
      <c r="BM943" s="2331"/>
      <c r="BN943" s="2212"/>
      <c r="BO943" s="2230"/>
      <c r="BP943" s="2328"/>
      <c r="BQ943" s="2333"/>
      <c r="BR943" s="2329"/>
      <c r="BS943" s="2329"/>
      <c r="BT943" s="2218"/>
      <c r="BU943" s="2331"/>
      <c r="BV943" s="2212"/>
      <c r="BW943" s="2230"/>
      <c r="BX943" s="2328"/>
      <c r="BY943" s="2333"/>
      <c r="BZ943" s="2329"/>
      <c r="CA943" s="2329"/>
      <c r="CB943" s="2218"/>
      <c r="CC943" s="2331"/>
      <c r="CD943" s="2212"/>
      <c r="CE943" s="2230"/>
      <c r="CF943" s="2328"/>
      <c r="CG943" s="2333"/>
      <c r="CH943" s="2329"/>
      <c r="CI943" s="2329"/>
      <c r="CJ943" s="2218"/>
      <c r="CK943" s="2331"/>
      <c r="CL943" s="2212"/>
      <c r="CM943" s="2230"/>
      <c r="CN943" s="2328"/>
      <c r="CO943" s="2333"/>
      <c r="CP943" s="2329"/>
      <c r="CQ943" s="2329"/>
      <c r="CR943" s="2218"/>
      <c r="CS943" s="2331"/>
      <c r="CT943" s="2212"/>
      <c r="CU943" s="2230"/>
      <c r="CV943" s="2328"/>
      <c r="CW943" s="2333"/>
      <c r="CX943" s="2329"/>
      <c r="CY943" s="2329"/>
      <c r="CZ943" s="2218"/>
      <c r="DA943" s="2331"/>
      <c r="DB943" s="2212"/>
      <c r="DC943" s="2230"/>
      <c r="DD943" s="2328"/>
      <c r="DE943" s="2333"/>
      <c r="DF943" s="2329"/>
      <c r="DG943" s="2329"/>
      <c r="DH943" s="2218"/>
      <c r="DI943" s="2331"/>
      <c r="DJ943" s="2212"/>
      <c r="DK943" s="2230"/>
      <c r="DL943" s="2328"/>
      <c r="DM943" s="2333"/>
      <c r="DN943" s="2329"/>
      <c r="DO943" s="2329"/>
      <c r="DP943" s="2218"/>
      <c r="DQ943" s="2331"/>
      <c r="DR943" s="2212"/>
      <c r="DS943" s="2230"/>
      <c r="DT943" s="2328"/>
      <c r="DU943" s="2333"/>
      <c r="DV943" s="2329"/>
      <c r="DW943" s="2329"/>
      <c r="DX943" s="2218"/>
      <c r="DY943" s="2331"/>
      <c r="DZ943" s="2212"/>
      <c r="EA943" s="2230"/>
      <c r="EB943" s="2328"/>
      <c r="EC943" s="2333"/>
      <c r="ED943" s="2329"/>
      <c r="EE943" s="2329"/>
      <c r="EF943" s="2218"/>
      <c r="EG943" s="2331"/>
      <c r="EH943" s="2212"/>
      <c r="EI943" s="2230"/>
      <c r="EJ943" s="2328"/>
      <c r="EK943" s="2333"/>
      <c r="EL943" s="2329"/>
      <c r="EM943" s="2329"/>
      <c r="EN943" s="2218"/>
      <c r="EO943" s="2331"/>
      <c r="EP943" s="2212"/>
      <c r="EQ943" s="2230"/>
      <c r="ER943" s="2328"/>
      <c r="ES943" s="2333"/>
      <c r="ET943" s="2329"/>
      <c r="EU943" s="2329"/>
      <c r="EV943" s="2218"/>
      <c r="EW943" s="2331"/>
      <c r="EX943" s="2212"/>
      <c r="EY943" s="2230"/>
      <c r="EZ943" s="2328"/>
      <c r="FA943" s="2333"/>
      <c r="FB943" s="2329"/>
      <c r="FC943" s="2329"/>
      <c r="FD943" s="2218"/>
      <c r="FE943" s="2331"/>
      <c r="FF943" s="2212"/>
      <c r="FG943" s="2230"/>
      <c r="FH943" s="2328"/>
      <c r="FI943" s="2333"/>
      <c r="FJ943" s="2329"/>
      <c r="FK943" s="2329"/>
      <c r="FL943" s="2218"/>
      <c r="FM943" s="2331"/>
      <c r="FN943" s="2212"/>
      <c r="FO943" s="2230"/>
      <c r="FP943" s="2328"/>
      <c r="FQ943" s="2333"/>
      <c r="FR943" s="2329"/>
      <c r="FS943" s="2329"/>
      <c r="FT943" s="2218"/>
      <c r="FU943" s="2331"/>
      <c r="FV943" s="2212"/>
      <c r="FW943" s="2230"/>
      <c r="FX943" s="2328"/>
      <c r="FY943" s="2333"/>
      <c r="FZ943" s="2329"/>
      <c r="GA943" s="2329"/>
      <c r="GB943" s="2218"/>
      <c r="GC943" s="2331"/>
      <c r="GD943" s="2212"/>
      <c r="GE943" s="2230"/>
      <c r="GF943" s="2328"/>
      <c r="GG943" s="2333"/>
      <c r="GH943" s="2329"/>
      <c r="GI943" s="2329"/>
      <c r="GJ943" s="2218"/>
      <c r="GK943" s="2331"/>
      <c r="GL943" s="2212"/>
      <c r="GM943" s="2230"/>
      <c r="GN943" s="2328"/>
      <c r="GO943" s="2333"/>
      <c r="GP943" s="2329"/>
      <c r="GQ943" s="2329"/>
      <c r="GR943" s="2218"/>
      <c r="GS943" s="2331"/>
      <c r="GT943" s="2212"/>
      <c r="GU943" s="2230"/>
      <c r="GV943" s="2328"/>
      <c r="GW943" s="2333"/>
      <c r="GX943" s="2329"/>
      <c r="GY943" s="2329"/>
      <c r="GZ943" s="2218"/>
      <c r="HA943" s="2331"/>
      <c r="HB943" s="2212"/>
      <c r="HC943" s="2230"/>
      <c r="HD943" s="2328"/>
      <c r="HE943" s="2333"/>
      <c r="HF943" s="2329"/>
      <c r="HG943" s="2329"/>
      <c r="HH943" s="2218"/>
      <c r="HI943" s="2331"/>
      <c r="HJ943" s="2212"/>
      <c r="HK943" s="2230"/>
      <c r="HL943" s="2328"/>
      <c r="HM943" s="2333"/>
      <c r="HN943" s="2329"/>
      <c r="HO943" s="2329"/>
      <c r="HP943" s="2218"/>
      <c r="HQ943" s="2331"/>
      <c r="HR943" s="2212"/>
      <c r="HS943" s="2230"/>
      <c r="HT943" s="2328"/>
      <c r="HU943" s="2333"/>
      <c r="HV943" s="2329"/>
      <c r="HW943" s="2329"/>
      <c r="HX943" s="2218"/>
      <c r="HY943" s="2331"/>
      <c r="HZ943" s="2212"/>
      <c r="IA943" s="2230"/>
      <c r="IB943" s="2328"/>
      <c r="IC943" s="2333"/>
      <c r="ID943" s="2329"/>
      <c r="IE943" s="2329"/>
      <c r="IF943" s="2218"/>
      <c r="IG943" s="2331"/>
      <c r="IH943" s="2212"/>
      <c r="II943" s="2230"/>
      <c r="IJ943" s="2328"/>
      <c r="IK943" s="2333"/>
      <c r="IL943" s="2329"/>
      <c r="IM943" s="2329"/>
      <c r="IN943" s="2218"/>
      <c r="IO943" s="2331"/>
      <c r="IP943" s="2212"/>
      <c r="IQ943" s="2230"/>
      <c r="IR943" s="2328"/>
      <c r="IS943" s="2333"/>
      <c r="IT943" s="2329"/>
      <c r="IU943" s="2329"/>
      <c r="IV943" s="2218"/>
    </row>
    <row r="944" spans="1:256" hidden="1">
      <c r="A944" s="2280"/>
      <c r="B944" s="2213"/>
      <c r="C944" s="2281" t="s">
        <v>340</v>
      </c>
      <c r="D944" s="2228"/>
      <c r="E944" s="2332"/>
      <c r="F944" s="2237"/>
      <c r="G944" s="2238"/>
      <c r="H944" s="2217"/>
      <c r="I944" s="2230"/>
      <c r="J944" s="2212"/>
      <c r="K944" s="2330"/>
      <c r="L944" s="2328"/>
      <c r="M944" s="2333"/>
      <c r="N944" s="2328"/>
      <c r="O944" s="2329"/>
      <c r="P944" s="2218"/>
      <c r="Q944" s="2331"/>
      <c r="R944" s="2212"/>
      <c r="S944" s="2330"/>
      <c r="T944" s="2328"/>
      <c r="U944" s="2333"/>
      <c r="V944" s="2328"/>
      <c r="W944" s="2329"/>
      <c r="X944" s="2218"/>
      <c r="Y944" s="2331"/>
      <c r="Z944" s="2212"/>
      <c r="AA944" s="2330"/>
      <c r="AB944" s="2328"/>
      <c r="AC944" s="2333"/>
      <c r="AD944" s="2328"/>
      <c r="AE944" s="2329"/>
      <c r="AF944" s="2218"/>
      <c r="AG944" s="2331"/>
      <c r="AH944" s="2212"/>
      <c r="AI944" s="2330"/>
      <c r="AJ944" s="2328"/>
      <c r="AK944" s="2333"/>
      <c r="AL944" s="2328"/>
      <c r="AM944" s="2329"/>
      <c r="AN944" s="2218"/>
      <c r="AO944" s="2331"/>
      <c r="AP944" s="2212"/>
      <c r="AQ944" s="2330"/>
      <c r="AR944" s="2328"/>
      <c r="AS944" s="2333"/>
      <c r="AT944" s="2328"/>
      <c r="AU944" s="2329"/>
      <c r="AV944" s="2218"/>
      <c r="AW944" s="2331"/>
      <c r="AX944" s="2212"/>
      <c r="AY944" s="2330"/>
      <c r="AZ944" s="2328"/>
      <c r="BA944" s="2333"/>
      <c r="BB944" s="2328"/>
      <c r="BC944" s="2329"/>
      <c r="BD944" s="2218"/>
      <c r="BE944" s="2331"/>
      <c r="BF944" s="2212"/>
      <c r="BG944" s="2330"/>
      <c r="BH944" s="2328"/>
      <c r="BI944" s="2333"/>
      <c r="BJ944" s="2328"/>
      <c r="BK944" s="2329"/>
      <c r="BL944" s="2218"/>
      <c r="BM944" s="2331"/>
      <c r="BN944" s="2212"/>
      <c r="BO944" s="2330"/>
      <c r="BP944" s="2328"/>
      <c r="BQ944" s="2333"/>
      <c r="BR944" s="2328"/>
      <c r="BS944" s="2329"/>
      <c r="BT944" s="2218"/>
      <c r="BU944" s="2331"/>
      <c r="BV944" s="2212"/>
      <c r="BW944" s="2330"/>
      <c r="BX944" s="2328"/>
      <c r="BY944" s="2333"/>
      <c r="BZ944" s="2328"/>
      <c r="CA944" s="2329"/>
      <c r="CB944" s="2218"/>
      <c r="CC944" s="2331"/>
      <c r="CD944" s="2212"/>
      <c r="CE944" s="2330"/>
      <c r="CF944" s="2328"/>
      <c r="CG944" s="2333"/>
      <c r="CH944" s="2328"/>
      <c r="CI944" s="2329"/>
      <c r="CJ944" s="2218"/>
      <c r="CK944" s="2331"/>
      <c r="CL944" s="2212"/>
      <c r="CM944" s="2330"/>
      <c r="CN944" s="2328"/>
      <c r="CO944" s="2333"/>
      <c r="CP944" s="2328"/>
      <c r="CQ944" s="2329"/>
      <c r="CR944" s="2218"/>
      <c r="CS944" s="2331"/>
      <c r="CT944" s="2212"/>
      <c r="CU944" s="2330"/>
      <c r="CV944" s="2328"/>
      <c r="CW944" s="2333"/>
      <c r="CX944" s="2328"/>
      <c r="CY944" s="2329"/>
      <c r="CZ944" s="2218"/>
      <c r="DA944" s="2331"/>
      <c r="DB944" s="2212"/>
      <c r="DC944" s="2330"/>
      <c r="DD944" s="2328"/>
      <c r="DE944" s="2333"/>
      <c r="DF944" s="2328"/>
      <c r="DG944" s="2329"/>
      <c r="DH944" s="2218"/>
      <c r="DI944" s="2331"/>
      <c r="DJ944" s="2212"/>
      <c r="DK944" s="2330"/>
      <c r="DL944" s="2328"/>
      <c r="DM944" s="2333"/>
      <c r="DN944" s="2328"/>
      <c r="DO944" s="2329"/>
      <c r="DP944" s="2218"/>
      <c r="DQ944" s="2331"/>
      <c r="DR944" s="2212"/>
      <c r="DS944" s="2330"/>
      <c r="DT944" s="2328"/>
      <c r="DU944" s="2333"/>
      <c r="DV944" s="2328"/>
      <c r="DW944" s="2329"/>
      <c r="DX944" s="2218"/>
      <c r="DY944" s="2331"/>
      <c r="DZ944" s="2212"/>
      <c r="EA944" s="2330"/>
      <c r="EB944" s="2328"/>
      <c r="EC944" s="2333"/>
      <c r="ED944" s="2328"/>
      <c r="EE944" s="2329"/>
      <c r="EF944" s="2218"/>
      <c r="EG944" s="2331"/>
      <c r="EH944" s="2212"/>
      <c r="EI944" s="2330"/>
      <c r="EJ944" s="2328"/>
      <c r="EK944" s="2333"/>
      <c r="EL944" s="2328"/>
      <c r="EM944" s="2329"/>
      <c r="EN944" s="2218"/>
      <c r="EO944" s="2331"/>
      <c r="EP944" s="2212"/>
      <c r="EQ944" s="2330"/>
      <c r="ER944" s="2328"/>
      <c r="ES944" s="2333"/>
      <c r="ET944" s="2328"/>
      <c r="EU944" s="2329"/>
      <c r="EV944" s="2218"/>
      <c r="EW944" s="2331"/>
      <c r="EX944" s="2212"/>
      <c r="EY944" s="2330"/>
      <c r="EZ944" s="2328"/>
      <c r="FA944" s="2333"/>
      <c r="FB944" s="2328"/>
      <c r="FC944" s="2329"/>
      <c r="FD944" s="2218"/>
      <c r="FE944" s="2331"/>
      <c r="FF944" s="2212"/>
      <c r="FG944" s="2330"/>
      <c r="FH944" s="2328"/>
      <c r="FI944" s="2333"/>
      <c r="FJ944" s="2328"/>
      <c r="FK944" s="2329"/>
      <c r="FL944" s="2218"/>
      <c r="FM944" s="2331"/>
      <c r="FN944" s="2212"/>
      <c r="FO944" s="2330"/>
      <c r="FP944" s="2328"/>
      <c r="FQ944" s="2333"/>
      <c r="FR944" s="2328"/>
      <c r="FS944" s="2329"/>
      <c r="FT944" s="2218"/>
      <c r="FU944" s="2331"/>
      <c r="FV944" s="2212"/>
      <c r="FW944" s="2330"/>
      <c r="FX944" s="2328"/>
      <c r="FY944" s="2333"/>
      <c r="FZ944" s="2328"/>
      <c r="GA944" s="2329"/>
      <c r="GB944" s="2218"/>
      <c r="GC944" s="2331"/>
      <c r="GD944" s="2212"/>
      <c r="GE944" s="2330"/>
      <c r="GF944" s="2328"/>
      <c r="GG944" s="2333"/>
      <c r="GH944" s="2328"/>
      <c r="GI944" s="2329"/>
      <c r="GJ944" s="2218"/>
      <c r="GK944" s="2331"/>
      <c r="GL944" s="2212"/>
      <c r="GM944" s="2330"/>
      <c r="GN944" s="2328"/>
      <c r="GO944" s="2333"/>
      <c r="GP944" s="2328"/>
      <c r="GQ944" s="2329"/>
      <c r="GR944" s="2218"/>
      <c r="GS944" s="2331"/>
      <c r="GT944" s="2212"/>
      <c r="GU944" s="2330"/>
      <c r="GV944" s="2328"/>
      <c r="GW944" s="2333"/>
      <c r="GX944" s="2328"/>
      <c r="GY944" s="2329"/>
      <c r="GZ944" s="2218"/>
      <c r="HA944" s="2331"/>
      <c r="HB944" s="2212"/>
      <c r="HC944" s="2330"/>
      <c r="HD944" s="2328"/>
      <c r="HE944" s="2333"/>
      <c r="HF944" s="2328"/>
      <c r="HG944" s="2329"/>
      <c r="HH944" s="2218"/>
      <c r="HI944" s="2331"/>
      <c r="HJ944" s="2212"/>
      <c r="HK944" s="2330"/>
      <c r="HL944" s="2328"/>
      <c r="HM944" s="2333"/>
      <c r="HN944" s="2328"/>
      <c r="HO944" s="2329"/>
      <c r="HP944" s="2218"/>
      <c r="HQ944" s="2331"/>
      <c r="HR944" s="2212"/>
      <c r="HS944" s="2330"/>
      <c r="HT944" s="2328"/>
      <c r="HU944" s="2333"/>
      <c r="HV944" s="2328"/>
      <c r="HW944" s="2329"/>
      <c r="HX944" s="2218"/>
      <c r="HY944" s="2331"/>
      <c r="HZ944" s="2212"/>
      <c r="IA944" s="2330"/>
      <c r="IB944" s="2328"/>
      <c r="IC944" s="2333"/>
      <c r="ID944" s="2328"/>
      <c r="IE944" s="2329"/>
      <c r="IF944" s="2218"/>
      <c r="IG944" s="2331"/>
      <c r="IH944" s="2212"/>
      <c r="II944" s="2330"/>
      <c r="IJ944" s="2328"/>
      <c r="IK944" s="2333"/>
      <c r="IL944" s="2328"/>
      <c r="IM944" s="2329"/>
      <c r="IN944" s="2218"/>
      <c r="IO944" s="2331"/>
      <c r="IP944" s="2212"/>
      <c r="IQ944" s="2330"/>
      <c r="IR944" s="2328"/>
      <c r="IS944" s="2333"/>
      <c r="IT944" s="2328"/>
      <c r="IU944" s="2329"/>
      <c r="IV944" s="2218"/>
    </row>
    <row r="945" spans="1:256" ht="14.1" hidden="1">
      <c r="A945" s="2280"/>
      <c r="B945" s="2213"/>
      <c r="C945" s="2283" t="s">
        <v>3589</v>
      </c>
      <c r="D945" s="2228" t="s">
        <v>1047</v>
      </c>
      <c r="E945" s="2332">
        <v>0.6</v>
      </c>
      <c r="F945" s="2237">
        <f>'Lead- Input sheet '!R31</f>
        <v>680</v>
      </c>
      <c r="G945" s="2238">
        <f>ROUND(E945*F945,2)</f>
        <v>408</v>
      </c>
      <c r="H945" s="2217"/>
      <c r="I945" s="2230"/>
      <c r="J945" s="2212"/>
      <c r="K945" s="2334"/>
      <c r="L945" s="2328"/>
      <c r="M945" s="2333"/>
      <c r="N945" s="2328"/>
      <c r="O945" s="2329"/>
      <c r="P945" s="2218"/>
      <c r="Q945" s="2331"/>
      <c r="R945" s="2212"/>
      <c r="S945" s="2334"/>
      <c r="T945" s="2328"/>
      <c r="U945" s="2333"/>
      <c r="V945" s="2328"/>
      <c r="W945" s="2329"/>
      <c r="X945" s="2218"/>
      <c r="Y945" s="2331"/>
      <c r="Z945" s="2212"/>
      <c r="AA945" s="2334"/>
      <c r="AB945" s="2328"/>
      <c r="AC945" s="2333"/>
      <c r="AD945" s="2328"/>
      <c r="AE945" s="2329"/>
      <c r="AF945" s="2218"/>
      <c r="AG945" s="2331"/>
      <c r="AH945" s="2212"/>
      <c r="AI945" s="2334"/>
      <c r="AJ945" s="2328"/>
      <c r="AK945" s="2333"/>
      <c r="AL945" s="2328"/>
      <c r="AM945" s="2329"/>
      <c r="AN945" s="2218"/>
      <c r="AO945" s="2331"/>
      <c r="AP945" s="2212"/>
      <c r="AQ945" s="2334"/>
      <c r="AR945" s="2328"/>
      <c r="AS945" s="2333"/>
      <c r="AT945" s="2328"/>
      <c r="AU945" s="2329"/>
      <c r="AV945" s="2218"/>
      <c r="AW945" s="2331"/>
      <c r="AX945" s="2212"/>
      <c r="AY945" s="2334"/>
      <c r="AZ945" s="2328"/>
      <c r="BA945" s="2333"/>
      <c r="BB945" s="2328"/>
      <c r="BC945" s="2329"/>
      <c r="BD945" s="2218"/>
      <c r="BE945" s="2331"/>
      <c r="BF945" s="2212"/>
      <c r="BG945" s="2334"/>
      <c r="BH945" s="2328"/>
      <c r="BI945" s="2333"/>
      <c r="BJ945" s="2328"/>
      <c r="BK945" s="2329"/>
      <c r="BL945" s="2218"/>
      <c r="BM945" s="2331"/>
      <c r="BN945" s="2212"/>
      <c r="BO945" s="2334"/>
      <c r="BP945" s="2328"/>
      <c r="BQ945" s="2333"/>
      <c r="BR945" s="2328"/>
      <c r="BS945" s="2329"/>
      <c r="BT945" s="2218"/>
      <c r="BU945" s="2331"/>
      <c r="BV945" s="2212"/>
      <c r="BW945" s="2334"/>
      <c r="BX945" s="2328"/>
      <c r="BY945" s="2333"/>
      <c r="BZ945" s="2328"/>
      <c r="CA945" s="2329"/>
      <c r="CB945" s="2218"/>
      <c r="CC945" s="2331"/>
      <c r="CD945" s="2212"/>
      <c r="CE945" s="2334"/>
      <c r="CF945" s="2328"/>
      <c r="CG945" s="2333"/>
      <c r="CH945" s="2328"/>
      <c r="CI945" s="2329"/>
      <c r="CJ945" s="2218"/>
      <c r="CK945" s="2331"/>
      <c r="CL945" s="2212"/>
      <c r="CM945" s="2334"/>
      <c r="CN945" s="2328"/>
      <c r="CO945" s="2333"/>
      <c r="CP945" s="2328"/>
      <c r="CQ945" s="2329"/>
      <c r="CR945" s="2218"/>
      <c r="CS945" s="2331"/>
      <c r="CT945" s="2212"/>
      <c r="CU945" s="2334"/>
      <c r="CV945" s="2328"/>
      <c r="CW945" s="2333"/>
      <c r="CX945" s="2328"/>
      <c r="CY945" s="2329"/>
      <c r="CZ945" s="2218"/>
      <c r="DA945" s="2331"/>
      <c r="DB945" s="2212"/>
      <c r="DC945" s="2334"/>
      <c r="DD945" s="2328"/>
      <c r="DE945" s="2333"/>
      <c r="DF945" s="2328"/>
      <c r="DG945" s="2329"/>
      <c r="DH945" s="2218"/>
      <c r="DI945" s="2331"/>
      <c r="DJ945" s="2212"/>
      <c r="DK945" s="2334"/>
      <c r="DL945" s="2328"/>
      <c r="DM945" s="2333"/>
      <c r="DN945" s="2328"/>
      <c r="DO945" s="2329"/>
      <c r="DP945" s="2218"/>
      <c r="DQ945" s="2331"/>
      <c r="DR945" s="2212"/>
      <c r="DS945" s="2334"/>
      <c r="DT945" s="2328"/>
      <c r="DU945" s="2333"/>
      <c r="DV945" s="2328"/>
      <c r="DW945" s="2329"/>
      <c r="DX945" s="2218"/>
      <c r="DY945" s="2331"/>
      <c r="DZ945" s="2212"/>
      <c r="EA945" s="2334"/>
      <c r="EB945" s="2328"/>
      <c r="EC945" s="2333"/>
      <c r="ED945" s="2328"/>
      <c r="EE945" s="2329"/>
      <c r="EF945" s="2218"/>
      <c r="EG945" s="2331"/>
      <c r="EH945" s="2212"/>
      <c r="EI945" s="2334"/>
      <c r="EJ945" s="2328"/>
      <c r="EK945" s="2333"/>
      <c r="EL945" s="2328"/>
      <c r="EM945" s="2329"/>
      <c r="EN945" s="2218"/>
      <c r="EO945" s="2331"/>
      <c r="EP945" s="2212"/>
      <c r="EQ945" s="2334"/>
      <c r="ER945" s="2328"/>
      <c r="ES945" s="2333"/>
      <c r="ET945" s="2328"/>
      <c r="EU945" s="2329"/>
      <c r="EV945" s="2218"/>
      <c r="EW945" s="2331"/>
      <c r="EX945" s="2212"/>
      <c r="EY945" s="2334"/>
      <c r="EZ945" s="2328"/>
      <c r="FA945" s="2333"/>
      <c r="FB945" s="2328"/>
      <c r="FC945" s="2329"/>
      <c r="FD945" s="2218"/>
      <c r="FE945" s="2331"/>
      <c r="FF945" s="2212"/>
      <c r="FG945" s="2334"/>
      <c r="FH945" s="2328"/>
      <c r="FI945" s="2333"/>
      <c r="FJ945" s="2328"/>
      <c r="FK945" s="2329"/>
      <c r="FL945" s="2218"/>
      <c r="FM945" s="2331"/>
      <c r="FN945" s="2212"/>
      <c r="FO945" s="2334"/>
      <c r="FP945" s="2328"/>
      <c r="FQ945" s="2333"/>
      <c r="FR945" s="2328"/>
      <c r="FS945" s="2329"/>
      <c r="FT945" s="2218"/>
      <c r="FU945" s="2331"/>
      <c r="FV945" s="2212"/>
      <c r="FW945" s="2334"/>
      <c r="FX945" s="2328"/>
      <c r="FY945" s="2333"/>
      <c r="FZ945" s="2328"/>
      <c r="GA945" s="2329"/>
      <c r="GB945" s="2218"/>
      <c r="GC945" s="2331"/>
      <c r="GD945" s="2212"/>
      <c r="GE945" s="2334"/>
      <c r="GF945" s="2328"/>
      <c r="GG945" s="2333"/>
      <c r="GH945" s="2328"/>
      <c r="GI945" s="2329"/>
      <c r="GJ945" s="2218"/>
      <c r="GK945" s="2331"/>
      <c r="GL945" s="2212"/>
      <c r="GM945" s="2334"/>
      <c r="GN945" s="2328"/>
      <c r="GO945" s="2333"/>
      <c r="GP945" s="2328"/>
      <c r="GQ945" s="2329"/>
      <c r="GR945" s="2218"/>
      <c r="GS945" s="2331"/>
      <c r="GT945" s="2212"/>
      <c r="GU945" s="2334"/>
      <c r="GV945" s="2328"/>
      <c r="GW945" s="2333"/>
      <c r="GX945" s="2328"/>
      <c r="GY945" s="2329"/>
      <c r="GZ945" s="2218"/>
      <c r="HA945" s="2331"/>
      <c r="HB945" s="2212"/>
      <c r="HC945" s="2334"/>
      <c r="HD945" s="2328"/>
      <c r="HE945" s="2333"/>
      <c r="HF945" s="2328"/>
      <c r="HG945" s="2329"/>
      <c r="HH945" s="2218"/>
      <c r="HI945" s="2331"/>
      <c r="HJ945" s="2212"/>
      <c r="HK945" s="2334"/>
      <c r="HL945" s="2328"/>
      <c r="HM945" s="2333"/>
      <c r="HN945" s="2328"/>
      <c r="HO945" s="2329"/>
      <c r="HP945" s="2218"/>
      <c r="HQ945" s="2331"/>
      <c r="HR945" s="2212"/>
      <c r="HS945" s="2334"/>
      <c r="HT945" s="2328"/>
      <c r="HU945" s="2333"/>
      <c r="HV945" s="2328"/>
      <c r="HW945" s="2329"/>
      <c r="HX945" s="2218"/>
      <c r="HY945" s="2331"/>
      <c r="HZ945" s="2212"/>
      <c r="IA945" s="2334"/>
      <c r="IB945" s="2328"/>
      <c r="IC945" s="2333"/>
      <c r="ID945" s="2328"/>
      <c r="IE945" s="2329"/>
      <c r="IF945" s="2218"/>
      <c r="IG945" s="2331"/>
      <c r="IH945" s="2212"/>
      <c r="II945" s="2334"/>
      <c r="IJ945" s="2328"/>
      <c r="IK945" s="2333"/>
      <c r="IL945" s="2328"/>
      <c r="IM945" s="2329"/>
      <c r="IN945" s="2218"/>
      <c r="IO945" s="2331"/>
      <c r="IP945" s="2212"/>
      <c r="IQ945" s="2334"/>
      <c r="IR945" s="2328"/>
      <c r="IS945" s="2333"/>
      <c r="IT945" s="2328"/>
      <c r="IU945" s="2329"/>
      <c r="IV945" s="2218"/>
    </row>
    <row r="946" spans="1:256" ht="14.1" hidden="1">
      <c r="A946" s="2280"/>
      <c r="B946" s="2213"/>
      <c r="C946" s="2283" t="s">
        <v>3593</v>
      </c>
      <c r="D946" s="2228" t="s">
        <v>1047</v>
      </c>
      <c r="E946" s="2332">
        <v>0.6</v>
      </c>
      <c r="F946" s="2237">
        <f>'Lead- Input sheet '!R36</f>
        <v>650</v>
      </c>
      <c r="G946" s="2238">
        <f>ROUND(E946*F946,2)</f>
        <v>390</v>
      </c>
      <c r="H946" s="2217"/>
      <c r="I946" s="2230"/>
      <c r="J946" s="2212"/>
      <c r="K946" s="2334"/>
      <c r="L946" s="2328"/>
      <c r="M946" s="2333"/>
      <c r="N946" s="2328"/>
      <c r="O946" s="2329"/>
      <c r="P946" s="2218"/>
      <c r="Q946" s="2331"/>
      <c r="R946" s="2212"/>
      <c r="S946" s="2334"/>
      <c r="T946" s="2328"/>
      <c r="U946" s="2333"/>
      <c r="V946" s="2328"/>
      <c r="W946" s="2329"/>
      <c r="X946" s="2218"/>
      <c r="Y946" s="2331"/>
      <c r="Z946" s="2212"/>
      <c r="AA946" s="2334"/>
      <c r="AB946" s="2328"/>
      <c r="AC946" s="2333"/>
      <c r="AD946" s="2328"/>
      <c r="AE946" s="2329"/>
      <c r="AF946" s="2218"/>
      <c r="AG946" s="2331"/>
      <c r="AH946" s="2212"/>
      <c r="AI946" s="2334"/>
      <c r="AJ946" s="2328"/>
      <c r="AK946" s="2333"/>
      <c r="AL946" s="2328"/>
      <c r="AM946" s="2329"/>
      <c r="AN946" s="2218"/>
      <c r="AO946" s="2331"/>
      <c r="AP946" s="2212"/>
      <c r="AQ946" s="2334"/>
      <c r="AR946" s="2328"/>
      <c r="AS946" s="2333"/>
      <c r="AT946" s="2328"/>
      <c r="AU946" s="2329"/>
      <c r="AV946" s="2218"/>
      <c r="AW946" s="2331"/>
      <c r="AX946" s="2212"/>
      <c r="AY946" s="2334"/>
      <c r="AZ946" s="2328"/>
      <c r="BA946" s="2333"/>
      <c r="BB946" s="2328"/>
      <c r="BC946" s="2329"/>
      <c r="BD946" s="2218"/>
      <c r="BE946" s="2331"/>
      <c r="BF946" s="2212"/>
      <c r="BG946" s="2334"/>
      <c r="BH946" s="2328"/>
      <c r="BI946" s="2333"/>
      <c r="BJ946" s="2328"/>
      <c r="BK946" s="2329"/>
      <c r="BL946" s="2218"/>
      <c r="BM946" s="2331"/>
      <c r="BN946" s="2212"/>
      <c r="BO946" s="2334"/>
      <c r="BP946" s="2328"/>
      <c r="BQ946" s="2333"/>
      <c r="BR946" s="2328"/>
      <c r="BS946" s="2329"/>
      <c r="BT946" s="2218"/>
      <c r="BU946" s="2331"/>
      <c r="BV946" s="2212"/>
      <c r="BW946" s="2334"/>
      <c r="BX946" s="2328"/>
      <c r="BY946" s="2333"/>
      <c r="BZ946" s="2328"/>
      <c r="CA946" s="2329"/>
      <c r="CB946" s="2218"/>
      <c r="CC946" s="2331"/>
      <c r="CD946" s="2212"/>
      <c r="CE946" s="2334"/>
      <c r="CF946" s="2328"/>
      <c r="CG946" s="2333"/>
      <c r="CH946" s="2328"/>
      <c r="CI946" s="2329"/>
      <c r="CJ946" s="2218"/>
      <c r="CK946" s="2331"/>
      <c r="CL946" s="2212"/>
      <c r="CM946" s="2334"/>
      <c r="CN946" s="2328"/>
      <c r="CO946" s="2333"/>
      <c r="CP946" s="2328"/>
      <c r="CQ946" s="2329"/>
      <c r="CR946" s="2218"/>
      <c r="CS946" s="2331"/>
      <c r="CT946" s="2212"/>
      <c r="CU946" s="2334"/>
      <c r="CV946" s="2328"/>
      <c r="CW946" s="2333"/>
      <c r="CX946" s="2328"/>
      <c r="CY946" s="2329"/>
      <c r="CZ946" s="2218"/>
      <c r="DA946" s="2331"/>
      <c r="DB946" s="2212"/>
      <c r="DC946" s="2334"/>
      <c r="DD946" s="2328"/>
      <c r="DE946" s="2333"/>
      <c r="DF946" s="2328"/>
      <c r="DG946" s="2329"/>
      <c r="DH946" s="2218"/>
      <c r="DI946" s="2331"/>
      <c r="DJ946" s="2212"/>
      <c r="DK946" s="2334"/>
      <c r="DL946" s="2328"/>
      <c r="DM946" s="2333"/>
      <c r="DN946" s="2328"/>
      <c r="DO946" s="2329"/>
      <c r="DP946" s="2218"/>
      <c r="DQ946" s="2331"/>
      <c r="DR946" s="2212"/>
      <c r="DS946" s="2334"/>
      <c r="DT946" s="2328"/>
      <c r="DU946" s="2333"/>
      <c r="DV946" s="2328"/>
      <c r="DW946" s="2329"/>
      <c r="DX946" s="2218"/>
      <c r="DY946" s="2331"/>
      <c r="DZ946" s="2212"/>
      <c r="EA946" s="2334"/>
      <c r="EB946" s="2328"/>
      <c r="EC946" s="2333"/>
      <c r="ED946" s="2328"/>
      <c r="EE946" s="2329"/>
      <c r="EF946" s="2218"/>
      <c r="EG946" s="2331"/>
      <c r="EH946" s="2212"/>
      <c r="EI946" s="2334"/>
      <c r="EJ946" s="2328"/>
      <c r="EK946" s="2333"/>
      <c r="EL946" s="2328"/>
      <c r="EM946" s="2329"/>
      <c r="EN946" s="2218"/>
      <c r="EO946" s="2331"/>
      <c r="EP946" s="2212"/>
      <c r="EQ946" s="2334"/>
      <c r="ER946" s="2328"/>
      <c r="ES946" s="2333"/>
      <c r="ET946" s="2328"/>
      <c r="EU946" s="2329"/>
      <c r="EV946" s="2218"/>
      <c r="EW946" s="2331"/>
      <c r="EX946" s="2212"/>
      <c r="EY946" s="2334"/>
      <c r="EZ946" s="2328"/>
      <c r="FA946" s="2333"/>
      <c r="FB946" s="2328"/>
      <c r="FC946" s="2329"/>
      <c r="FD946" s="2218"/>
      <c r="FE946" s="2331"/>
      <c r="FF946" s="2212"/>
      <c r="FG946" s="2334"/>
      <c r="FH946" s="2328"/>
      <c r="FI946" s="2333"/>
      <c r="FJ946" s="2328"/>
      <c r="FK946" s="2329"/>
      <c r="FL946" s="2218"/>
      <c r="FM946" s="2331"/>
      <c r="FN946" s="2212"/>
      <c r="FO946" s="2334"/>
      <c r="FP946" s="2328"/>
      <c r="FQ946" s="2333"/>
      <c r="FR946" s="2328"/>
      <c r="FS946" s="2329"/>
      <c r="FT946" s="2218"/>
      <c r="FU946" s="2331"/>
      <c r="FV946" s="2212"/>
      <c r="FW946" s="2334"/>
      <c r="FX946" s="2328"/>
      <c r="FY946" s="2333"/>
      <c r="FZ946" s="2328"/>
      <c r="GA946" s="2329"/>
      <c r="GB946" s="2218"/>
      <c r="GC946" s="2331"/>
      <c r="GD946" s="2212"/>
      <c r="GE946" s="2334"/>
      <c r="GF946" s="2328"/>
      <c r="GG946" s="2333"/>
      <c r="GH946" s="2328"/>
      <c r="GI946" s="2329"/>
      <c r="GJ946" s="2218"/>
      <c r="GK946" s="2331"/>
      <c r="GL946" s="2212"/>
      <c r="GM946" s="2334"/>
      <c r="GN946" s="2328"/>
      <c r="GO946" s="2333"/>
      <c r="GP946" s="2328"/>
      <c r="GQ946" s="2329"/>
      <c r="GR946" s="2218"/>
      <c r="GS946" s="2331"/>
      <c r="GT946" s="2212"/>
      <c r="GU946" s="2334"/>
      <c r="GV946" s="2328"/>
      <c r="GW946" s="2333"/>
      <c r="GX946" s="2328"/>
      <c r="GY946" s="2329"/>
      <c r="GZ946" s="2218"/>
      <c r="HA946" s="2331"/>
      <c r="HB946" s="2212"/>
      <c r="HC946" s="2334"/>
      <c r="HD946" s="2328"/>
      <c r="HE946" s="2333"/>
      <c r="HF946" s="2328"/>
      <c r="HG946" s="2329"/>
      <c r="HH946" s="2218"/>
      <c r="HI946" s="2331"/>
      <c r="HJ946" s="2212"/>
      <c r="HK946" s="2334"/>
      <c r="HL946" s="2328"/>
      <c r="HM946" s="2333"/>
      <c r="HN946" s="2328"/>
      <c r="HO946" s="2329"/>
      <c r="HP946" s="2218"/>
      <c r="HQ946" s="2331"/>
      <c r="HR946" s="2212"/>
      <c r="HS946" s="2334"/>
      <c r="HT946" s="2328"/>
      <c r="HU946" s="2333"/>
      <c r="HV946" s="2328"/>
      <c r="HW946" s="2329"/>
      <c r="HX946" s="2218"/>
      <c r="HY946" s="2331"/>
      <c r="HZ946" s="2212"/>
      <c r="IA946" s="2334"/>
      <c r="IB946" s="2328"/>
      <c r="IC946" s="2333"/>
      <c r="ID946" s="2328"/>
      <c r="IE946" s="2329"/>
      <c r="IF946" s="2218"/>
      <c r="IG946" s="2331"/>
      <c r="IH946" s="2212"/>
      <c r="II946" s="2334"/>
      <c r="IJ946" s="2328"/>
      <c r="IK946" s="2333"/>
      <c r="IL946" s="2328"/>
      <c r="IM946" s="2329"/>
      <c r="IN946" s="2218"/>
      <c r="IO946" s="2331"/>
      <c r="IP946" s="2212"/>
      <c r="IQ946" s="2334"/>
      <c r="IR946" s="2328"/>
      <c r="IS946" s="2333"/>
      <c r="IT946" s="2328"/>
      <c r="IU946" s="2329"/>
      <c r="IV946" s="2218"/>
    </row>
    <row r="947" spans="1:256" hidden="1">
      <c r="A947" s="2280"/>
      <c r="B947" s="2213"/>
      <c r="C947" s="2283" t="s">
        <v>341</v>
      </c>
      <c r="D947" s="2228" t="s">
        <v>1047</v>
      </c>
      <c r="E947" s="2332">
        <v>2.75</v>
      </c>
      <c r="F947" s="2237">
        <f>'Lead- Input sheet '!R28</f>
        <v>605</v>
      </c>
      <c r="G947" s="2238">
        <f>ROUND(E947*F947,2)</f>
        <v>1663.75</v>
      </c>
      <c r="H947" s="2335"/>
      <c r="I947" s="2230"/>
      <c r="J947" s="2212"/>
      <c r="K947" s="2334"/>
      <c r="L947" s="2328"/>
      <c r="M947" s="2333"/>
      <c r="N947" s="2328"/>
      <c r="O947" s="2329"/>
      <c r="P947" s="2218"/>
      <c r="Q947" s="2331"/>
      <c r="R947" s="2212"/>
      <c r="S947" s="2334"/>
      <c r="T947" s="2328"/>
      <c r="U947" s="2333"/>
      <c r="V947" s="2328"/>
      <c r="W947" s="2329"/>
      <c r="X947" s="2218"/>
      <c r="Y947" s="2331"/>
      <c r="Z947" s="2212"/>
      <c r="AA947" s="2334"/>
      <c r="AB947" s="2328"/>
      <c r="AC947" s="2333"/>
      <c r="AD947" s="2328"/>
      <c r="AE947" s="2329"/>
      <c r="AF947" s="2218"/>
      <c r="AG947" s="2331"/>
      <c r="AH947" s="2212"/>
      <c r="AI947" s="2334"/>
      <c r="AJ947" s="2328"/>
      <c r="AK947" s="2333"/>
      <c r="AL947" s="2328"/>
      <c r="AM947" s="2329"/>
      <c r="AN947" s="2218"/>
      <c r="AO947" s="2331"/>
      <c r="AP947" s="2212"/>
      <c r="AQ947" s="2334"/>
      <c r="AR947" s="2328"/>
      <c r="AS947" s="2333"/>
      <c r="AT947" s="2328"/>
      <c r="AU947" s="2329"/>
      <c r="AV947" s="2218"/>
      <c r="AW947" s="2331"/>
      <c r="AX947" s="2212"/>
      <c r="AY947" s="2334"/>
      <c r="AZ947" s="2328"/>
      <c r="BA947" s="2333"/>
      <c r="BB947" s="2328"/>
      <c r="BC947" s="2329"/>
      <c r="BD947" s="2218"/>
      <c r="BE947" s="2331"/>
      <c r="BF947" s="2212"/>
      <c r="BG947" s="2334"/>
      <c r="BH947" s="2328"/>
      <c r="BI947" s="2333"/>
      <c r="BJ947" s="2328"/>
      <c r="BK947" s="2329"/>
      <c r="BL947" s="2218"/>
      <c r="BM947" s="2331"/>
      <c r="BN947" s="2212"/>
      <c r="BO947" s="2334"/>
      <c r="BP947" s="2328"/>
      <c r="BQ947" s="2333"/>
      <c r="BR947" s="2328"/>
      <c r="BS947" s="2329"/>
      <c r="BT947" s="2218"/>
      <c r="BU947" s="2331"/>
      <c r="BV947" s="2212"/>
      <c r="BW947" s="2334"/>
      <c r="BX947" s="2328"/>
      <c r="BY947" s="2333"/>
      <c r="BZ947" s="2328"/>
      <c r="CA947" s="2329"/>
      <c r="CB947" s="2218"/>
      <c r="CC947" s="2331"/>
      <c r="CD947" s="2212"/>
      <c r="CE947" s="2334"/>
      <c r="CF947" s="2328"/>
      <c r="CG947" s="2333"/>
      <c r="CH947" s="2328"/>
      <c r="CI947" s="2329"/>
      <c r="CJ947" s="2218"/>
      <c r="CK947" s="2331"/>
      <c r="CL947" s="2212"/>
      <c r="CM947" s="2334"/>
      <c r="CN947" s="2328"/>
      <c r="CO947" s="2333"/>
      <c r="CP947" s="2328"/>
      <c r="CQ947" s="2329"/>
      <c r="CR947" s="2218"/>
      <c r="CS947" s="2331"/>
      <c r="CT947" s="2212"/>
      <c r="CU947" s="2334"/>
      <c r="CV947" s="2328"/>
      <c r="CW947" s="2333"/>
      <c r="CX947" s="2328"/>
      <c r="CY947" s="2329"/>
      <c r="CZ947" s="2218"/>
      <c r="DA947" s="2331"/>
      <c r="DB947" s="2212"/>
      <c r="DC947" s="2334"/>
      <c r="DD947" s="2328"/>
      <c r="DE947" s="2333"/>
      <c r="DF947" s="2328"/>
      <c r="DG947" s="2329"/>
      <c r="DH947" s="2218"/>
      <c r="DI947" s="2331"/>
      <c r="DJ947" s="2212"/>
      <c r="DK947" s="2334"/>
      <c r="DL947" s="2328"/>
      <c r="DM947" s="2333"/>
      <c r="DN947" s="2328"/>
      <c r="DO947" s="2329"/>
      <c r="DP947" s="2218"/>
      <c r="DQ947" s="2331"/>
      <c r="DR947" s="2212"/>
      <c r="DS947" s="2334"/>
      <c r="DT947" s="2328"/>
      <c r="DU947" s="2333"/>
      <c r="DV947" s="2328"/>
      <c r="DW947" s="2329"/>
      <c r="DX947" s="2218"/>
      <c r="DY947" s="2331"/>
      <c r="DZ947" s="2212"/>
      <c r="EA947" s="2334"/>
      <c r="EB947" s="2328"/>
      <c r="EC947" s="2333"/>
      <c r="ED947" s="2328"/>
      <c r="EE947" s="2329"/>
      <c r="EF947" s="2218"/>
      <c r="EG947" s="2331"/>
      <c r="EH947" s="2212"/>
      <c r="EI947" s="2334"/>
      <c r="EJ947" s="2328"/>
      <c r="EK947" s="2333"/>
      <c r="EL947" s="2328"/>
      <c r="EM947" s="2329"/>
      <c r="EN947" s="2218"/>
      <c r="EO947" s="2331"/>
      <c r="EP947" s="2212"/>
      <c r="EQ947" s="2334"/>
      <c r="ER947" s="2328"/>
      <c r="ES947" s="2333"/>
      <c r="ET947" s="2328"/>
      <c r="EU947" s="2329"/>
      <c r="EV947" s="2218"/>
      <c r="EW947" s="2331"/>
      <c r="EX947" s="2212"/>
      <c r="EY947" s="2334"/>
      <c r="EZ947" s="2328"/>
      <c r="FA947" s="2333"/>
      <c r="FB947" s="2328"/>
      <c r="FC947" s="2329"/>
      <c r="FD947" s="2218"/>
      <c r="FE947" s="2331"/>
      <c r="FF947" s="2212"/>
      <c r="FG947" s="2334"/>
      <c r="FH947" s="2328"/>
      <c r="FI947" s="2333"/>
      <c r="FJ947" s="2328"/>
      <c r="FK947" s="2329"/>
      <c r="FL947" s="2218"/>
      <c r="FM947" s="2331"/>
      <c r="FN947" s="2212"/>
      <c r="FO947" s="2334"/>
      <c r="FP947" s="2328"/>
      <c r="FQ947" s="2333"/>
      <c r="FR947" s="2328"/>
      <c r="FS947" s="2329"/>
      <c r="FT947" s="2218"/>
      <c r="FU947" s="2331"/>
      <c r="FV947" s="2212"/>
      <c r="FW947" s="2334"/>
      <c r="FX947" s="2328"/>
      <c r="FY947" s="2333"/>
      <c r="FZ947" s="2328"/>
      <c r="GA947" s="2329"/>
      <c r="GB947" s="2218"/>
      <c r="GC947" s="2331"/>
      <c r="GD947" s="2212"/>
      <c r="GE947" s="2334"/>
      <c r="GF947" s="2328"/>
      <c r="GG947" s="2333"/>
      <c r="GH947" s="2328"/>
      <c r="GI947" s="2329"/>
      <c r="GJ947" s="2218"/>
      <c r="GK947" s="2331"/>
      <c r="GL947" s="2212"/>
      <c r="GM947" s="2334"/>
      <c r="GN947" s="2328"/>
      <c r="GO947" s="2333"/>
      <c r="GP947" s="2328"/>
      <c r="GQ947" s="2329"/>
      <c r="GR947" s="2218"/>
      <c r="GS947" s="2331"/>
      <c r="GT947" s="2212"/>
      <c r="GU947" s="2334"/>
      <c r="GV947" s="2328"/>
      <c r="GW947" s="2333"/>
      <c r="GX947" s="2328"/>
      <c r="GY947" s="2329"/>
      <c r="GZ947" s="2218"/>
      <c r="HA947" s="2331"/>
      <c r="HB947" s="2212"/>
      <c r="HC947" s="2334"/>
      <c r="HD947" s="2328"/>
      <c r="HE947" s="2333"/>
      <c r="HF947" s="2328"/>
      <c r="HG947" s="2329"/>
      <c r="HH947" s="2218"/>
      <c r="HI947" s="2331"/>
      <c r="HJ947" s="2212"/>
      <c r="HK947" s="2334"/>
      <c r="HL947" s="2328"/>
      <c r="HM947" s="2333"/>
      <c r="HN947" s="2328"/>
      <c r="HO947" s="2329"/>
      <c r="HP947" s="2218"/>
      <c r="HQ947" s="2331"/>
      <c r="HR947" s="2212"/>
      <c r="HS947" s="2334"/>
      <c r="HT947" s="2328"/>
      <c r="HU947" s="2333"/>
      <c r="HV947" s="2328"/>
      <c r="HW947" s="2329"/>
      <c r="HX947" s="2218"/>
      <c r="HY947" s="2331"/>
      <c r="HZ947" s="2212"/>
      <c r="IA947" s="2334"/>
      <c r="IB947" s="2328"/>
      <c r="IC947" s="2333"/>
      <c r="ID947" s="2328"/>
      <c r="IE947" s="2329"/>
      <c r="IF947" s="2218"/>
      <c r="IG947" s="2331"/>
      <c r="IH947" s="2212"/>
      <c r="II947" s="2334"/>
      <c r="IJ947" s="2328"/>
      <c r="IK947" s="2333"/>
      <c r="IL947" s="2328"/>
      <c r="IM947" s="2329"/>
      <c r="IN947" s="2218"/>
      <c r="IO947" s="2331"/>
      <c r="IP947" s="2212"/>
      <c r="IQ947" s="2334"/>
      <c r="IR947" s="2328"/>
      <c r="IS947" s="2333"/>
      <c r="IT947" s="2328"/>
      <c r="IU947" s="2329"/>
      <c r="IV947" s="2218"/>
    </row>
    <row r="948" spans="1:256" s="2231" customFormat="1" hidden="1">
      <c r="A948" s="2227"/>
      <c r="B948" s="2224"/>
      <c r="C948" s="2232" t="s">
        <v>2617</v>
      </c>
      <c r="D948" s="2233"/>
      <c r="E948" s="2233">
        <f>'Lead- Input sheet '!Q31</f>
        <v>0</v>
      </c>
      <c r="F948" s="2237">
        <f>SUM(G945:G947)</f>
        <v>2461.75</v>
      </c>
      <c r="G948" s="2238">
        <f>ROUND(F948*E948,2)</f>
        <v>0</v>
      </c>
      <c r="H948" s="2236"/>
      <c r="I948" s="2230"/>
    </row>
    <row r="949" spans="1:256" s="2246" customFormat="1" hidden="1">
      <c r="A949" s="2224"/>
      <c r="B949" s="2224"/>
      <c r="C949" s="2225" t="s">
        <v>1231</v>
      </c>
      <c r="D949" s="2242"/>
      <c r="E949" s="2242"/>
      <c r="F949" s="2247" t="s">
        <v>1480</v>
      </c>
      <c r="G949" s="2244">
        <f>SUM(G942:G948)</f>
        <v>8003.4000000000005</v>
      </c>
      <c r="H949" s="2335"/>
      <c r="I949" s="2230"/>
    </row>
    <row r="950" spans="1:256" hidden="1">
      <c r="A950" s="2253"/>
      <c r="B950" s="2213"/>
      <c r="C950" s="2232"/>
      <c r="D950" s="2233"/>
      <c r="E950" s="2242" t="s">
        <v>1098</v>
      </c>
      <c r="F950" s="2249" t="s">
        <v>1099</v>
      </c>
      <c r="G950" s="2244" t="s">
        <v>1100</v>
      </c>
      <c r="H950" s="2250"/>
      <c r="I950" s="2230"/>
    </row>
    <row r="951" spans="1:256" hidden="1">
      <c r="A951" s="2253"/>
      <c r="B951" s="2213"/>
      <c r="C951" s="2232" t="s">
        <v>1101</v>
      </c>
      <c r="D951" s="2233"/>
      <c r="E951" s="2258">
        <f>G949</f>
        <v>8003.4000000000005</v>
      </c>
      <c r="F951" s="2259">
        <f>G949</f>
        <v>8003.4000000000005</v>
      </c>
      <c r="G951" s="2238">
        <f>G949</f>
        <v>8003.4000000000005</v>
      </c>
      <c r="H951" s="2250"/>
      <c r="I951" s="2230"/>
    </row>
    <row r="952" spans="1:256" hidden="1">
      <c r="A952" s="2253"/>
      <c r="B952" s="2213"/>
      <c r="C952" s="2232" t="s">
        <v>1799</v>
      </c>
      <c r="D952" s="2260" t="s">
        <v>1083</v>
      </c>
      <c r="E952" s="2276"/>
      <c r="F952" s="2259">
        <f>D952*10.32</f>
        <v>89.680799999999991</v>
      </c>
      <c r="G952" s="2238">
        <f>F952*2</f>
        <v>179.36159999999998</v>
      </c>
      <c r="I952" s="2230"/>
    </row>
    <row r="953" spans="1:256" ht="25.2" hidden="1">
      <c r="A953" s="2253"/>
      <c r="B953" s="2213"/>
      <c r="C953" s="2232" t="s">
        <v>1948</v>
      </c>
      <c r="D953" s="2260" t="s">
        <v>1083</v>
      </c>
      <c r="E953" s="2276"/>
      <c r="F953" s="2259">
        <f>D953*83.43</f>
        <v>725.00670000000002</v>
      </c>
      <c r="G953" s="2238">
        <f>D953*119.47</f>
        <v>1038.1942999999999</v>
      </c>
      <c r="I953" s="2230"/>
    </row>
    <row r="954" spans="1:256" hidden="1">
      <c r="A954" s="2253"/>
      <c r="B954" s="2213"/>
      <c r="C954" s="2232" t="s">
        <v>1029</v>
      </c>
      <c r="D954" s="2233">
        <f>'Lead- Input sheet '!Q31</f>
        <v>0</v>
      </c>
      <c r="E954" s="2276">
        <f>ROUND(D954*E953,2)</f>
        <v>0</v>
      </c>
      <c r="F954" s="2259">
        <f>ROUND(D954*F953,2)</f>
        <v>0</v>
      </c>
      <c r="G954" s="2306">
        <f>ROUND(D954*G953,2)</f>
        <v>0</v>
      </c>
      <c r="I954" s="2230"/>
    </row>
    <row r="955" spans="1:256" ht="37.799999999999997" hidden="1">
      <c r="A955" s="2253"/>
      <c r="B955" s="2213"/>
      <c r="C955" s="2232" t="s">
        <v>1949</v>
      </c>
      <c r="D955" s="2260" t="s">
        <v>129</v>
      </c>
      <c r="E955" s="2258"/>
      <c r="F955" s="2259"/>
      <c r="G955" s="2238">
        <f>ROUND(D955*SUM(G953:G954),2)</f>
        <v>519.1</v>
      </c>
      <c r="I955" s="2230"/>
    </row>
    <row r="956" spans="1:256" s="2246" customFormat="1" hidden="1">
      <c r="A956" s="2224"/>
      <c r="B956" s="2224"/>
      <c r="C956" s="2225" t="s">
        <v>1600</v>
      </c>
      <c r="D956" s="2262">
        <f>'Lead- Input sheet '!Q32</f>
        <v>0</v>
      </c>
      <c r="E956" s="2258">
        <f>ROUND(SUM(E951:E955)*D956,2)</f>
        <v>0</v>
      </c>
      <c r="F956" s="2259">
        <f>ROUND(SUM(F951:F955)*D956,2)</f>
        <v>0</v>
      </c>
      <c r="G956" s="2238">
        <f>ROUND(SUM(G951:G955)*D956,2)</f>
        <v>0</v>
      </c>
      <c r="H956" s="2245"/>
      <c r="I956" s="2230"/>
    </row>
    <row r="957" spans="1:256" s="2246" customFormat="1" hidden="1">
      <c r="A957" s="2224"/>
      <c r="B957" s="2224"/>
      <c r="C957" s="2225" t="s">
        <v>861</v>
      </c>
      <c r="D957" s="2262"/>
      <c r="E957" s="2258">
        <f>SUM(E951:E956)</f>
        <v>8003.4000000000005</v>
      </c>
      <c r="F957" s="2259">
        <f>SUM(F951:F956)</f>
        <v>8818.0875000000015</v>
      </c>
      <c r="G957" s="2238">
        <f>SUM(G951:G956)</f>
        <v>9740.0559000000012</v>
      </c>
      <c r="H957" s="2256"/>
      <c r="I957" s="2252"/>
    </row>
    <row r="958" spans="1:256" hidden="1">
      <c r="A958" s="2253"/>
      <c r="B958" s="2213"/>
      <c r="C958" s="2232" t="s">
        <v>901</v>
      </c>
      <c r="D958" s="2233">
        <v>512</v>
      </c>
      <c r="E958" s="2233">
        <f>'Lead- Input sheet '!$O$15*$D$958/1000</f>
        <v>0</v>
      </c>
      <c r="F958" s="2233">
        <f>'Lead- Input sheet '!$O$15*$D$958/1000</f>
        <v>0</v>
      </c>
      <c r="G958" s="2233">
        <f>'Lead- Input sheet '!$O$15*$D$958/1000</f>
        <v>0</v>
      </c>
      <c r="I958" s="2230"/>
    </row>
    <row r="959" spans="1:256" hidden="1">
      <c r="A959" s="2253"/>
      <c r="B959" s="2213"/>
      <c r="C959" s="2232" t="s">
        <v>900</v>
      </c>
      <c r="D959" s="2233">
        <v>0.2</v>
      </c>
      <c r="E959" s="2233">
        <f>'Lead- Input sheet '!$O$11*$D$959</f>
        <v>0</v>
      </c>
      <c r="F959" s="2233">
        <f>'Lead- Input sheet '!$O$11*$D$959</f>
        <v>0</v>
      </c>
      <c r="G959" s="2233">
        <f>'Lead- Input sheet '!$O$11*$D$959</f>
        <v>0</v>
      </c>
      <c r="I959" s="2230"/>
    </row>
    <row r="960" spans="1:256" hidden="1">
      <c r="A960" s="2253"/>
      <c r="B960" s="2213"/>
      <c r="C960" s="2225" t="s">
        <v>1231</v>
      </c>
      <c r="D960" s="2244" t="s">
        <v>1486</v>
      </c>
      <c r="E960" s="2244">
        <f>SUM(E957:E959)</f>
        <v>8003.4000000000005</v>
      </c>
      <c r="F960" s="2247">
        <f>SUM(F957:F959)</f>
        <v>8818.0875000000015</v>
      </c>
      <c r="G960" s="2244">
        <f>SUM(G957:G959)</f>
        <v>9740.0559000000012</v>
      </c>
      <c r="I960" s="2230"/>
    </row>
    <row r="961" spans="1:9" hidden="1">
      <c r="A961" s="2253"/>
      <c r="B961" s="2213"/>
      <c r="C961" s="2225" t="s">
        <v>2985</v>
      </c>
      <c r="D961" s="2244" t="s">
        <v>1486</v>
      </c>
      <c r="E961" s="2244">
        <f>+E960/10</f>
        <v>800.34</v>
      </c>
      <c r="F961" s="2244">
        <f>+F960/10</f>
        <v>881.80875000000015</v>
      </c>
      <c r="G961" s="2244">
        <f>+G960/10</f>
        <v>974.0055900000001</v>
      </c>
      <c r="I961" s="2230"/>
    </row>
    <row r="962" spans="1:9" ht="50.4" hidden="1">
      <c r="A962" s="2213" t="s">
        <v>369</v>
      </c>
      <c r="B962" s="2213">
        <f>+B938+1</f>
        <v>41</v>
      </c>
      <c r="C962" s="2232" t="s">
        <v>1950</v>
      </c>
      <c r="D962" s="2233"/>
      <c r="E962" s="2233"/>
      <c r="F962" s="2237"/>
      <c r="G962" s="2238"/>
      <c r="I962" s="2230"/>
    </row>
    <row r="963" spans="1:9" hidden="1">
      <c r="A963" s="2253">
        <v>0</v>
      </c>
      <c r="B963" s="2213"/>
      <c r="C963" s="2232" t="s">
        <v>1394</v>
      </c>
      <c r="D963" s="2233"/>
      <c r="E963" s="2233"/>
      <c r="F963" s="2237"/>
      <c r="G963" s="2238"/>
      <c r="I963" s="2230"/>
    </row>
    <row r="964" spans="1:9" hidden="1">
      <c r="A964" s="2253"/>
      <c r="B964" s="2213"/>
      <c r="C964" s="2232" t="s">
        <v>1395</v>
      </c>
      <c r="D964" s="2233"/>
      <c r="E964" s="2233"/>
      <c r="F964" s="2237"/>
      <c r="G964" s="2238"/>
      <c r="I964" s="2230"/>
    </row>
    <row r="965" spans="1:9" ht="25.2" hidden="1">
      <c r="A965" s="2253" t="s">
        <v>1641</v>
      </c>
      <c r="B965" s="2213"/>
      <c r="C965" s="2225" t="s">
        <v>374</v>
      </c>
      <c r="D965" s="2233" t="s">
        <v>347</v>
      </c>
      <c r="E965" s="2233">
        <v>1</v>
      </c>
      <c r="F965" s="2237">
        <v>221</v>
      </c>
      <c r="G965" s="2238">
        <f>ROUND(E965*F965,2)</f>
        <v>221</v>
      </c>
      <c r="I965" s="2230"/>
    </row>
    <row r="966" spans="1:9" hidden="1">
      <c r="A966" s="2253">
        <v>205</v>
      </c>
      <c r="B966" s="2213"/>
      <c r="C966" s="2232" t="s">
        <v>653</v>
      </c>
      <c r="D966" s="2233"/>
      <c r="E966" s="2233"/>
      <c r="F966" s="2237"/>
      <c r="G966" s="2238"/>
      <c r="I966" s="2230"/>
    </row>
    <row r="967" spans="1:9" hidden="1">
      <c r="A967" s="2253"/>
      <c r="B967" s="2213"/>
      <c r="C967" s="2232" t="s">
        <v>92</v>
      </c>
      <c r="D967" s="2233" t="s">
        <v>1047</v>
      </c>
      <c r="E967" s="2233">
        <v>0.7</v>
      </c>
      <c r="F967" s="2237">
        <f>'Lead- Input sheet '!R32</f>
        <v>780</v>
      </c>
      <c r="G967" s="2238">
        <f>ROUND(E967*F967,2)</f>
        <v>546</v>
      </c>
      <c r="I967" s="2230"/>
    </row>
    <row r="968" spans="1:9" s="2231" customFormat="1" hidden="1">
      <c r="A968" s="2227"/>
      <c r="B968" s="2224"/>
      <c r="C968" s="2232" t="s">
        <v>2617</v>
      </c>
      <c r="D968" s="2233"/>
      <c r="E968" s="2233">
        <f>'Lead- Input sheet '!Q31</f>
        <v>0</v>
      </c>
      <c r="F968" s="2237">
        <f>G967</f>
        <v>546</v>
      </c>
      <c r="G968" s="2238">
        <f>ROUND(F968*E968,2)</f>
        <v>0</v>
      </c>
      <c r="H968" s="2236"/>
      <c r="I968" s="2230"/>
    </row>
    <row r="969" spans="1:9" hidden="1">
      <c r="A969" s="2253"/>
      <c r="B969" s="2213"/>
      <c r="C969" s="2232" t="s">
        <v>99</v>
      </c>
      <c r="D969" s="2233"/>
      <c r="E969" s="2323">
        <v>5.0000000000000001E-3</v>
      </c>
      <c r="F969" s="2237">
        <f>SUM(G965:G967)</f>
        <v>767</v>
      </c>
      <c r="G969" s="2238">
        <f>ROUND(E969*F969,2)</f>
        <v>3.84</v>
      </c>
      <c r="I969" s="2230"/>
    </row>
    <row r="970" spans="1:9" s="2254" customFormat="1" hidden="1">
      <c r="A970" s="2213"/>
      <c r="B970" s="2213"/>
      <c r="C970" s="2225" t="s">
        <v>100</v>
      </c>
      <c r="D970" s="2242"/>
      <c r="E970" s="2242"/>
      <c r="F970" s="2249" t="s">
        <v>414</v>
      </c>
      <c r="G970" s="2244">
        <f>SUM(G965:G969)</f>
        <v>770.84</v>
      </c>
      <c r="H970" s="2209"/>
      <c r="I970" s="2230"/>
    </row>
    <row r="971" spans="1:9" ht="50.4" hidden="1">
      <c r="A971" s="2336" t="s">
        <v>370</v>
      </c>
      <c r="B971" s="2213">
        <f>+B962+1</f>
        <v>42</v>
      </c>
      <c r="C971" s="2281" t="s">
        <v>460</v>
      </c>
      <c r="D971" s="2228"/>
      <c r="E971" s="2237"/>
      <c r="F971" s="2237"/>
      <c r="G971" s="2337"/>
      <c r="H971" s="2217"/>
      <c r="I971" s="2230"/>
    </row>
    <row r="972" spans="1:9" hidden="1">
      <c r="A972" s="2280"/>
      <c r="B972" s="2213"/>
      <c r="C972" s="2232" t="s">
        <v>1394</v>
      </c>
      <c r="D972" s="2228"/>
      <c r="E972" s="2237"/>
      <c r="F972" s="2237"/>
      <c r="G972" s="2337"/>
      <c r="H972" s="2217"/>
      <c r="I972" s="2230"/>
    </row>
    <row r="973" spans="1:9" hidden="1">
      <c r="A973" s="2280"/>
      <c r="B973" s="2213"/>
      <c r="C973" s="2225" t="s">
        <v>1089</v>
      </c>
      <c r="D973" s="2228"/>
      <c r="E973" s="2237"/>
      <c r="F973" s="2237"/>
      <c r="G973" s="2247">
        <f>G970</f>
        <v>770.84</v>
      </c>
      <c r="H973" s="2217"/>
      <c r="I973" s="2230"/>
    </row>
    <row r="974" spans="1:9" hidden="1">
      <c r="A974" s="2280"/>
      <c r="B974" s="2213"/>
      <c r="C974" s="2281" t="s">
        <v>1395</v>
      </c>
      <c r="D974" s="2228"/>
      <c r="E974" s="2237"/>
      <c r="F974" s="2237"/>
      <c r="G974" s="2337"/>
      <c r="H974" s="2217"/>
      <c r="I974" s="2230"/>
    </row>
    <row r="975" spans="1:9" ht="25.2" hidden="1">
      <c r="A975" s="2253" t="s">
        <v>1611</v>
      </c>
      <c r="B975" s="2213"/>
      <c r="C975" s="2283" t="s">
        <v>633</v>
      </c>
      <c r="D975" s="2228" t="s">
        <v>347</v>
      </c>
      <c r="E975" s="2332">
        <v>2</v>
      </c>
      <c r="F975" s="2237">
        <v>60</v>
      </c>
      <c r="G975" s="2238">
        <f>ROUND(E975*F975,2)</f>
        <v>120</v>
      </c>
      <c r="H975" s="2217"/>
      <c r="I975" s="2230"/>
    </row>
    <row r="976" spans="1:9" hidden="1">
      <c r="A976" s="2280">
        <v>229</v>
      </c>
      <c r="B976" s="2213"/>
      <c r="C976" s="2281" t="s">
        <v>653</v>
      </c>
      <c r="D976" s="2228"/>
      <c r="E976" s="2332"/>
      <c r="F976" s="2237"/>
      <c r="G976" s="2238"/>
      <c r="H976" s="2217"/>
      <c r="I976" s="2230"/>
    </row>
    <row r="977" spans="1:9" hidden="1">
      <c r="A977" s="2280"/>
      <c r="B977" s="2213"/>
      <c r="C977" s="2283" t="s">
        <v>92</v>
      </c>
      <c r="D977" s="2253" t="s">
        <v>1047</v>
      </c>
      <c r="E977" s="2332">
        <v>0.3</v>
      </c>
      <c r="F977" s="2237">
        <f>'Lead- Input sheet '!R32</f>
        <v>780</v>
      </c>
      <c r="G977" s="2238">
        <f>ROUND(E977*F977,2)</f>
        <v>234</v>
      </c>
      <c r="H977" s="2217"/>
      <c r="I977" s="2230"/>
    </row>
    <row r="978" spans="1:9" hidden="1">
      <c r="A978" s="2280"/>
      <c r="B978" s="2213"/>
      <c r="C978" s="2283" t="s">
        <v>341</v>
      </c>
      <c r="D978" s="2253" t="s">
        <v>1047</v>
      </c>
      <c r="E978" s="2332">
        <v>1.5</v>
      </c>
      <c r="F978" s="2237">
        <f>'Lead- Input sheet '!R29</f>
        <v>605</v>
      </c>
      <c r="G978" s="2238">
        <f>ROUND(E978*F978,2)</f>
        <v>907.5</v>
      </c>
      <c r="H978" s="2335"/>
      <c r="I978" s="2230"/>
    </row>
    <row r="979" spans="1:9" s="2231" customFormat="1" hidden="1">
      <c r="A979" s="2227"/>
      <c r="B979" s="2224"/>
      <c r="C979" s="2232" t="s">
        <v>2617</v>
      </c>
      <c r="D979" s="2233"/>
      <c r="E979" s="2233">
        <f>'Lead- Input sheet '!Q31</f>
        <v>0</v>
      </c>
      <c r="F979" s="2237">
        <f>SUM(G977:G978)</f>
        <v>1141.5</v>
      </c>
      <c r="G979" s="2238">
        <f>ROUND(F979*E979,2)</f>
        <v>0</v>
      </c>
      <c r="H979" s="2236"/>
      <c r="I979" s="2230"/>
    </row>
    <row r="980" spans="1:9" hidden="1">
      <c r="A980" s="2280"/>
      <c r="B980" s="2213"/>
      <c r="C980" s="2283" t="s">
        <v>461</v>
      </c>
      <c r="D980" s="2253"/>
      <c r="E980" s="2338">
        <v>0.01</v>
      </c>
      <c r="F980" s="2237"/>
      <c r="G980" s="2238"/>
      <c r="H980" s="2217"/>
      <c r="I980" s="2230"/>
    </row>
    <row r="981" spans="1:9" s="2254" customFormat="1" hidden="1">
      <c r="A981" s="2213"/>
      <c r="B981" s="2213"/>
      <c r="C981" s="2225" t="s">
        <v>1087</v>
      </c>
      <c r="D981" s="2242"/>
      <c r="E981" s="2242"/>
      <c r="F981" s="2249"/>
      <c r="G981" s="2244">
        <f>SUM(G973:G980)</f>
        <v>2032.3400000000001</v>
      </c>
      <c r="H981" s="2209"/>
      <c r="I981" s="2230"/>
    </row>
    <row r="982" spans="1:9" s="2246" customFormat="1" hidden="1">
      <c r="A982" s="2224"/>
      <c r="B982" s="2224"/>
      <c r="C982" s="2225" t="s">
        <v>1600</v>
      </c>
      <c r="D982" s="2242"/>
      <c r="E982" s="2242">
        <f>G981</f>
        <v>2032.3400000000001</v>
      </c>
      <c r="F982" s="2249">
        <f>'Lead- Input sheet '!Q32</f>
        <v>0</v>
      </c>
      <c r="G982" s="2244">
        <f>ROUND(F982*E982,2)</f>
        <v>0</v>
      </c>
      <c r="H982" s="2245"/>
      <c r="I982" s="2230"/>
    </row>
    <row r="983" spans="1:9" s="2246" customFormat="1" hidden="1">
      <c r="A983" s="2224"/>
      <c r="B983" s="2224"/>
      <c r="C983" s="2225" t="s">
        <v>29</v>
      </c>
      <c r="D983" s="2242"/>
      <c r="E983" s="2242"/>
      <c r="F983" s="2247" t="s">
        <v>1486</v>
      </c>
      <c r="G983" s="2244">
        <f>SUM(G981:G982)</f>
        <v>2032.3400000000001</v>
      </c>
      <c r="H983" s="2335"/>
      <c r="I983" s="2230"/>
    </row>
    <row r="984" spans="1:9" s="2246" customFormat="1" ht="302.39999999999998" hidden="1">
      <c r="A984" s="2253" t="s">
        <v>2975</v>
      </c>
      <c r="B984" s="2213">
        <f>+B971+1</f>
        <v>43</v>
      </c>
      <c r="C984" s="2232" t="s">
        <v>3605</v>
      </c>
      <c r="D984" s="2242"/>
      <c r="E984" s="2242"/>
      <c r="F984" s="2247"/>
      <c r="G984" s="2244"/>
      <c r="H984" s="2335"/>
      <c r="I984" s="2230"/>
    </row>
    <row r="985" spans="1:9" s="2246" customFormat="1" hidden="1">
      <c r="A985" s="2224"/>
      <c r="B985" s="2224"/>
      <c r="C985" s="2339" t="s">
        <v>2976</v>
      </c>
      <c r="D985" s="2242"/>
      <c r="E985" s="2242"/>
      <c r="F985" s="2247"/>
      <c r="G985" s="2244"/>
      <c r="H985" s="2335"/>
      <c r="I985" s="2230"/>
    </row>
    <row r="986" spans="1:9" s="2246" customFormat="1" hidden="1">
      <c r="A986" s="2224"/>
      <c r="B986" s="2224"/>
      <c r="C986" s="2339" t="s">
        <v>90</v>
      </c>
      <c r="D986" s="2242"/>
      <c r="E986" s="2242"/>
      <c r="F986" s="2247"/>
      <c r="G986" s="2244"/>
      <c r="H986" s="2335"/>
      <c r="I986" s="2230"/>
    </row>
    <row r="987" spans="1:9" s="2246" customFormat="1" ht="37.799999999999997" hidden="1">
      <c r="A987" s="2224"/>
      <c r="B987" s="2224"/>
      <c r="C987" s="2303" t="s">
        <v>2977</v>
      </c>
      <c r="D987" s="2253" t="s">
        <v>476</v>
      </c>
      <c r="E987" s="2340">
        <v>1</v>
      </c>
      <c r="F987" s="2247">
        <f>+G970</f>
        <v>770.84</v>
      </c>
      <c r="G987" s="2238">
        <f>ROUND(E987*F987,2)</f>
        <v>770.84</v>
      </c>
      <c r="H987" s="2335"/>
      <c r="I987" s="2230"/>
    </row>
    <row r="988" spans="1:9" s="2246" customFormat="1" hidden="1">
      <c r="A988" s="2224"/>
      <c r="B988" s="2224"/>
      <c r="C988" s="2225" t="s">
        <v>22</v>
      </c>
      <c r="D988" s="2253"/>
      <c r="E988" s="2340"/>
      <c r="F988" s="2247"/>
      <c r="G988" s="2238"/>
      <c r="H988" s="2335"/>
      <c r="I988" s="2230"/>
    </row>
    <row r="989" spans="1:9" s="2246" customFormat="1" ht="25.2" hidden="1">
      <c r="A989" s="2224" t="s">
        <v>1991</v>
      </c>
      <c r="B989" s="2224"/>
      <c r="C989" s="2225" t="s">
        <v>23</v>
      </c>
      <c r="D989" s="2242" t="s">
        <v>1417</v>
      </c>
      <c r="E989" s="2242">
        <v>0.8</v>
      </c>
      <c r="F989" s="2247">
        <v>225</v>
      </c>
      <c r="G989" s="2238">
        <f>ROUND(E989*F989,2)</f>
        <v>180</v>
      </c>
      <c r="H989" s="2335"/>
      <c r="I989" s="2230"/>
    </row>
    <row r="990" spans="1:9" s="2246" customFormat="1" hidden="1">
      <c r="A990" s="2224">
        <v>230</v>
      </c>
      <c r="B990" s="2224"/>
      <c r="C990" s="2225" t="s">
        <v>24</v>
      </c>
      <c r="D990" s="2242"/>
      <c r="E990" s="2242"/>
      <c r="F990" s="2247"/>
      <c r="G990" s="2238"/>
      <c r="H990" s="2335"/>
      <c r="I990" s="2230"/>
    </row>
    <row r="991" spans="1:9" s="2246" customFormat="1" hidden="1">
      <c r="A991" s="2224"/>
      <c r="B991" s="2224"/>
      <c r="C991" s="2225" t="s">
        <v>25</v>
      </c>
      <c r="D991" s="2242" t="s">
        <v>27</v>
      </c>
      <c r="E991" s="2242">
        <v>0.36</v>
      </c>
      <c r="F991" s="2247">
        <f>'Lead- Input sheet '!R32</f>
        <v>780</v>
      </c>
      <c r="G991" s="2238">
        <f>ROUND(E991*F991,2)</f>
        <v>280.8</v>
      </c>
      <c r="H991" s="2335"/>
      <c r="I991" s="2230"/>
    </row>
    <row r="992" spans="1:9" s="2246" customFormat="1" hidden="1">
      <c r="A992" s="2224"/>
      <c r="B992" s="2224"/>
      <c r="C992" s="2225" t="s">
        <v>26</v>
      </c>
      <c r="D992" s="2242" t="s">
        <v>27</v>
      </c>
      <c r="E992" s="2242">
        <v>0.84</v>
      </c>
      <c r="F992" s="2247">
        <f>'Lead- Input sheet '!R36</f>
        <v>650</v>
      </c>
      <c r="G992" s="2238">
        <f>ROUND(E992*F992,2)</f>
        <v>546</v>
      </c>
      <c r="H992" s="2335"/>
      <c r="I992" s="2230"/>
    </row>
    <row r="993" spans="1:9" s="2231" customFormat="1" hidden="1">
      <c r="A993" s="2227"/>
      <c r="B993" s="2224"/>
      <c r="C993" s="2232" t="s">
        <v>2617</v>
      </c>
      <c r="D993" s="2233"/>
      <c r="E993" s="2233">
        <f>'Lead- Input sheet '!Q31</f>
        <v>0</v>
      </c>
      <c r="F993" s="2237">
        <f>SUM(G991:G992)</f>
        <v>826.8</v>
      </c>
      <c r="G993" s="2238">
        <f>ROUND(F993*E993,2)</f>
        <v>0</v>
      </c>
      <c r="H993" s="2236"/>
      <c r="I993" s="2230"/>
    </row>
    <row r="994" spans="1:9" s="2231" customFormat="1" hidden="1">
      <c r="A994" s="2227"/>
      <c r="B994" s="2224"/>
      <c r="C994" s="2232"/>
      <c r="D994" s="2233"/>
      <c r="E994" s="2233"/>
      <c r="F994" s="2237"/>
      <c r="G994" s="2238">
        <f>SUM(G987:G993)</f>
        <v>1777.64</v>
      </c>
      <c r="H994" s="2236"/>
      <c r="I994" s="2230"/>
    </row>
    <row r="995" spans="1:9" s="2246" customFormat="1" hidden="1">
      <c r="A995" s="2224"/>
      <c r="B995" s="2224"/>
      <c r="C995" s="2225" t="s">
        <v>1600</v>
      </c>
      <c r="D995" s="2242"/>
      <c r="E995" s="2242">
        <f>G994</f>
        <v>1777.64</v>
      </c>
      <c r="F995" s="2249">
        <f>'Lead- Input sheet '!Q32</f>
        <v>0</v>
      </c>
      <c r="G995" s="2244">
        <f>ROUND(F995*E995,2)</f>
        <v>0</v>
      </c>
      <c r="H995" s="2245"/>
      <c r="I995" s="2230"/>
    </row>
    <row r="996" spans="1:9" s="2246" customFormat="1" hidden="1">
      <c r="A996" s="2224"/>
      <c r="B996" s="2224"/>
      <c r="C996" s="2225" t="s">
        <v>175</v>
      </c>
      <c r="D996" s="2242"/>
      <c r="E996" s="2242"/>
      <c r="F996" s="2247" t="s">
        <v>1486</v>
      </c>
      <c r="G996" s="2244">
        <f>SUM(G994:G995)/10</f>
        <v>177.76400000000001</v>
      </c>
      <c r="H996" s="2335"/>
      <c r="I996" s="2230"/>
    </row>
    <row r="997" spans="1:9" s="2246" customFormat="1" ht="88.2" hidden="1">
      <c r="A997" s="2224"/>
      <c r="B997" s="2224">
        <f>+B984+1</f>
        <v>44</v>
      </c>
      <c r="C997" s="2232" t="s">
        <v>3606</v>
      </c>
      <c r="D997" s="2242"/>
      <c r="E997" s="2242"/>
      <c r="F997" s="2247"/>
      <c r="G997" s="2244"/>
      <c r="H997" s="2335"/>
      <c r="I997" s="2230"/>
    </row>
    <row r="998" spans="1:9" s="2246" customFormat="1" hidden="1">
      <c r="A998" s="2224"/>
      <c r="B998" s="2224"/>
      <c r="C998" s="2339" t="s">
        <v>2976</v>
      </c>
      <c r="D998" s="2242"/>
      <c r="E998" s="2242"/>
      <c r="F998" s="2247"/>
      <c r="G998" s="2244"/>
      <c r="H998" s="2335"/>
      <c r="I998" s="2230"/>
    </row>
    <row r="999" spans="1:9" s="2246" customFormat="1" hidden="1">
      <c r="A999" s="2224"/>
      <c r="B999" s="2224"/>
      <c r="C999" s="2339" t="s">
        <v>90</v>
      </c>
      <c r="D999" s="2242"/>
      <c r="E999" s="2242"/>
      <c r="F999" s="2247"/>
      <c r="G999" s="2244"/>
      <c r="H999" s="2335"/>
      <c r="I999" s="2230"/>
    </row>
    <row r="1000" spans="1:9" s="2246" customFormat="1" ht="37.799999999999997" hidden="1">
      <c r="A1000" s="2224"/>
      <c r="B1000" s="2224"/>
      <c r="C1000" s="2303" t="s">
        <v>2977</v>
      </c>
      <c r="D1000" s="2253" t="s">
        <v>476</v>
      </c>
      <c r="E1000" s="2340">
        <v>1</v>
      </c>
      <c r="F1000" s="2247">
        <f>+G970</f>
        <v>770.84</v>
      </c>
      <c r="G1000" s="2238">
        <f>ROUND(E1000*F1000,2)</f>
        <v>770.84</v>
      </c>
      <c r="H1000" s="2335"/>
      <c r="I1000" s="2230"/>
    </row>
    <row r="1001" spans="1:9" s="2246" customFormat="1" hidden="1">
      <c r="A1001" s="2224"/>
      <c r="B1001" s="2224"/>
      <c r="C1001" s="2225" t="s">
        <v>22</v>
      </c>
      <c r="D1001" s="2242"/>
      <c r="E1001" s="2242"/>
      <c r="F1001" s="2247"/>
      <c r="G1001" s="2244"/>
      <c r="H1001" s="2335"/>
      <c r="I1001" s="2230"/>
    </row>
    <row r="1002" spans="1:9" s="2246" customFormat="1" ht="25.2" hidden="1">
      <c r="A1002" s="2224" t="s">
        <v>1951</v>
      </c>
      <c r="B1002" s="2224"/>
      <c r="C1002" s="2225" t="s">
        <v>23</v>
      </c>
      <c r="D1002" s="2242" t="s">
        <v>1417</v>
      </c>
      <c r="E1002" s="2242">
        <v>0.8</v>
      </c>
      <c r="F1002" s="2247">
        <v>236</v>
      </c>
      <c r="G1002" s="2244">
        <f>ROUND(F1002*E1002,2)</f>
        <v>188.8</v>
      </c>
      <c r="H1002" s="2335"/>
      <c r="I1002" s="2230"/>
    </row>
    <row r="1003" spans="1:9" s="2246" customFormat="1" hidden="1">
      <c r="A1003" s="2224">
        <v>232</v>
      </c>
      <c r="B1003" s="2224"/>
      <c r="C1003" s="2225" t="s">
        <v>24</v>
      </c>
      <c r="D1003" s="2242"/>
      <c r="E1003" s="2242"/>
      <c r="F1003" s="2247"/>
      <c r="G1003" s="2244"/>
      <c r="H1003" s="2335"/>
      <c r="I1003" s="2230"/>
    </row>
    <row r="1004" spans="1:9" s="2246" customFormat="1" hidden="1">
      <c r="A1004" s="2224"/>
      <c r="B1004" s="2224"/>
      <c r="C1004" s="2225" t="s">
        <v>25</v>
      </c>
      <c r="D1004" s="2242" t="s">
        <v>27</v>
      </c>
      <c r="E1004" s="2242">
        <v>0.21</v>
      </c>
      <c r="F1004" s="2247">
        <f>'Lead- Input sheet '!R32</f>
        <v>780</v>
      </c>
      <c r="G1004" s="2244">
        <f>ROUND(F1004*E1004,2)</f>
        <v>163.80000000000001</v>
      </c>
      <c r="H1004" s="2335"/>
      <c r="I1004" s="2230"/>
    </row>
    <row r="1005" spans="1:9" s="2246" customFormat="1" hidden="1">
      <c r="A1005" s="2224"/>
      <c r="B1005" s="2224"/>
      <c r="C1005" s="2225" t="s">
        <v>26</v>
      </c>
      <c r="D1005" s="2242" t="s">
        <v>27</v>
      </c>
      <c r="E1005" s="2242">
        <v>0.49</v>
      </c>
      <c r="F1005" s="2247">
        <f>'Lead- Input sheet '!R36</f>
        <v>650</v>
      </c>
      <c r="G1005" s="2244">
        <f>ROUND(F1005*E1005,2)</f>
        <v>318.5</v>
      </c>
      <c r="H1005" s="2335"/>
      <c r="I1005" s="2230"/>
    </row>
    <row r="1006" spans="1:9" s="2246" customFormat="1" hidden="1">
      <c r="A1006" s="2224"/>
      <c r="B1006" s="2224"/>
      <c r="C1006" s="2225" t="s">
        <v>28</v>
      </c>
      <c r="D1006" s="2242" t="s">
        <v>27</v>
      </c>
      <c r="E1006" s="2242">
        <v>1.5</v>
      </c>
      <c r="F1006" s="2247">
        <f>'Lead- Input sheet '!R28</f>
        <v>605</v>
      </c>
      <c r="G1006" s="2244">
        <f>ROUND(F1006*E1006,2)</f>
        <v>907.5</v>
      </c>
      <c r="H1006" s="2335"/>
      <c r="I1006" s="2230"/>
    </row>
    <row r="1007" spans="1:9" s="2231" customFormat="1" hidden="1">
      <c r="A1007" s="2227"/>
      <c r="B1007" s="2224"/>
      <c r="C1007" s="2232" t="s">
        <v>2617</v>
      </c>
      <c r="D1007" s="2233"/>
      <c r="E1007" s="2233">
        <f>'Lead- Input sheet '!Q31</f>
        <v>0</v>
      </c>
      <c r="F1007" s="2237">
        <f>SUM(G1004:G1006)</f>
        <v>1389.8</v>
      </c>
      <c r="G1007" s="2238">
        <f>ROUND(F1007*E1007,2)</f>
        <v>0</v>
      </c>
      <c r="H1007" s="2236"/>
      <c r="I1007" s="2230"/>
    </row>
    <row r="1008" spans="1:9" s="2231" customFormat="1" hidden="1">
      <c r="A1008" s="2227"/>
      <c r="B1008" s="2224"/>
      <c r="C1008" s="2232"/>
      <c r="D1008" s="2233"/>
      <c r="E1008" s="2233"/>
      <c r="F1008" s="2237"/>
      <c r="G1008" s="2238">
        <f>SUM(G1000:G1007)</f>
        <v>2349.44</v>
      </c>
      <c r="H1008" s="2236"/>
      <c r="I1008" s="2230"/>
    </row>
    <row r="1009" spans="1:9" s="2246" customFormat="1" hidden="1">
      <c r="A1009" s="2224"/>
      <c r="B1009" s="2224"/>
      <c r="C1009" s="2225" t="s">
        <v>1600</v>
      </c>
      <c r="D1009" s="2242"/>
      <c r="E1009" s="2242">
        <f>G1008</f>
        <v>2349.44</v>
      </c>
      <c r="F1009" s="2243">
        <f>'Lead- Input sheet '!Q32</f>
        <v>0</v>
      </c>
      <c r="G1009" s="2244">
        <f>ROUND(F1009*E1009,2)</f>
        <v>0</v>
      </c>
      <c r="H1009" s="2245"/>
      <c r="I1009" s="2230"/>
    </row>
    <row r="1010" spans="1:9" s="2246" customFormat="1" hidden="1">
      <c r="A1010" s="2224"/>
      <c r="B1010" s="2224"/>
      <c r="C1010" s="2225" t="s">
        <v>175</v>
      </c>
      <c r="D1010" s="2242"/>
      <c r="E1010" s="2242"/>
      <c r="F1010" s="2247" t="s">
        <v>1486</v>
      </c>
      <c r="G1010" s="2244">
        <f>SUM(G1008:G1009)/10</f>
        <v>234.94400000000002</v>
      </c>
      <c r="H1010" s="2335"/>
      <c r="I1010" s="2230"/>
    </row>
    <row r="1011" spans="1:9" s="2231" customFormat="1" ht="100.8" hidden="1">
      <c r="A1011" s="2213" t="s">
        <v>1574</v>
      </c>
      <c r="B1011" s="2224">
        <f>+B997+1</f>
        <v>45</v>
      </c>
      <c r="C1011" s="2225" t="s">
        <v>3607</v>
      </c>
      <c r="D1011" s="2233"/>
      <c r="E1011" s="2233"/>
      <c r="F1011" s="2237"/>
      <c r="G1011" s="2238"/>
      <c r="H1011" s="2236"/>
      <c r="I1011" s="2230"/>
    </row>
    <row r="1012" spans="1:9" s="2231" customFormat="1" hidden="1">
      <c r="A1012" s="2227" t="s">
        <v>1480</v>
      </c>
      <c r="B1012" s="2224"/>
      <c r="C1012" s="2232" t="s">
        <v>1025</v>
      </c>
      <c r="D1012" s="2233"/>
      <c r="E1012" s="2233"/>
      <c r="F1012" s="2237"/>
      <c r="G1012" s="2238"/>
      <c r="H1012" s="2236"/>
      <c r="I1012" s="2230"/>
    </row>
    <row r="1013" spans="1:9" s="2231" customFormat="1" hidden="1">
      <c r="A1013" s="2227"/>
      <c r="B1013" s="2224"/>
      <c r="C1013" s="2232" t="s">
        <v>777</v>
      </c>
      <c r="D1013" s="2233"/>
      <c r="E1013" s="2233"/>
      <c r="F1013" s="2237"/>
      <c r="G1013" s="2238"/>
      <c r="H1013" s="2236"/>
      <c r="I1013" s="2230"/>
    </row>
    <row r="1014" spans="1:9" s="2231" customFormat="1" hidden="1">
      <c r="A1014" s="2227"/>
      <c r="B1014" s="2224"/>
      <c r="C1014" s="2232" t="s">
        <v>1171</v>
      </c>
      <c r="D1014" s="2233"/>
      <c r="E1014" s="2233"/>
      <c r="F1014" s="2237"/>
      <c r="G1014" s="2244"/>
      <c r="H1014" s="2217"/>
      <c r="I1014" s="2230"/>
    </row>
    <row r="1015" spans="1:9" s="2231" customFormat="1" hidden="1">
      <c r="A1015" s="2227"/>
      <c r="B1015" s="2224"/>
      <c r="C1015" s="2232" t="s">
        <v>1172</v>
      </c>
      <c r="D1015" s="2233" t="s">
        <v>776</v>
      </c>
      <c r="E1015" s="2233">
        <v>3.12</v>
      </c>
      <c r="F1015" s="2237">
        <f>'Lead- Input sheet '!R29</f>
        <v>605</v>
      </c>
      <c r="G1015" s="2238">
        <f>ROUND(F1015*E1015,2)</f>
        <v>1887.6</v>
      </c>
      <c r="H1015" s="2250"/>
      <c r="I1015" s="2230"/>
    </row>
    <row r="1016" spans="1:9" s="2231" customFormat="1" hidden="1">
      <c r="A1016" s="2227"/>
      <c r="B1016" s="2224"/>
      <c r="C1016" s="2232" t="s">
        <v>1569</v>
      </c>
      <c r="D1016" s="2233" t="s">
        <v>1570</v>
      </c>
      <c r="E1016" s="2233">
        <v>0.72</v>
      </c>
      <c r="F1016" s="2237">
        <f>IF('Lead- Input sheet '!$Q$31=40%,'Lead- Input sheet '!$P$35,'Lead- Input sheet '!$Q$35)</f>
        <v>73</v>
      </c>
      <c r="G1016" s="2238">
        <f>ROUND(F1016*E1016,2)</f>
        <v>52.56</v>
      </c>
      <c r="H1016" s="2250"/>
      <c r="I1016" s="2230"/>
    </row>
    <row r="1017" spans="1:9" s="2231" customFormat="1" hidden="1">
      <c r="A1017" s="2227"/>
      <c r="B1017" s="2224"/>
      <c r="C1017" s="2232" t="s">
        <v>2617</v>
      </c>
      <c r="D1017" s="2233"/>
      <c r="E1017" s="2233">
        <f>'Lead- Input sheet '!Q31</f>
        <v>0</v>
      </c>
      <c r="F1017" s="2237">
        <f>SUM(G1014:G1015)</f>
        <v>1887.6</v>
      </c>
      <c r="G1017" s="2238">
        <f>ROUND(F1017*E1017,2)</f>
        <v>0</v>
      </c>
      <c r="H1017" s="2236"/>
      <c r="I1017" s="2230"/>
    </row>
    <row r="1018" spans="1:9" s="2231" customFormat="1" hidden="1">
      <c r="A1018" s="2227"/>
      <c r="B1018" s="2224"/>
      <c r="C1018" s="2232"/>
      <c r="D1018" s="2233"/>
      <c r="E1018" s="2233"/>
      <c r="F1018" s="2237"/>
      <c r="G1018" s="2238">
        <f>SUM(G1015:G1017)</f>
        <v>1940.1599999999999</v>
      </c>
      <c r="H1018" s="2251"/>
      <c r="I1018" s="2230"/>
    </row>
    <row r="1019" spans="1:9" s="2246" customFormat="1" hidden="1">
      <c r="A1019" s="2224"/>
      <c r="B1019" s="2224"/>
      <c r="C1019" s="2225" t="s">
        <v>1600</v>
      </c>
      <c r="D1019" s="2242"/>
      <c r="E1019" s="2242">
        <f>G1018</f>
        <v>1940.1599999999999</v>
      </c>
      <c r="F1019" s="2243">
        <f>'Lead- Input sheet '!Q32</f>
        <v>0</v>
      </c>
      <c r="G1019" s="2244">
        <f>ROUND(F1019*E1019,2)</f>
        <v>0</v>
      </c>
      <c r="H1019" s="2245"/>
      <c r="I1019" s="2230"/>
    </row>
    <row r="1020" spans="1:9" s="2246" customFormat="1" hidden="1">
      <c r="A1020" s="2224"/>
      <c r="B1020" s="2224"/>
      <c r="C1020" s="2225" t="s">
        <v>745</v>
      </c>
      <c r="D1020" s="2242"/>
      <c r="E1020" s="2242"/>
      <c r="F1020" s="2249"/>
      <c r="G1020" s="2244">
        <f>SUM(G1018:G1019)</f>
        <v>1940.1599999999999</v>
      </c>
      <c r="H1020" s="2256"/>
      <c r="I1020" s="2230"/>
    </row>
    <row r="1021" spans="1:9" s="2246" customFormat="1" hidden="1">
      <c r="A1021" s="2224"/>
      <c r="B1021" s="2224" t="s">
        <v>1480</v>
      </c>
      <c r="C1021" s="2225" t="s">
        <v>744</v>
      </c>
      <c r="D1021" s="2242"/>
      <c r="E1021" s="2242"/>
      <c r="F1021" s="2247" t="s">
        <v>1486</v>
      </c>
      <c r="G1021" s="2244">
        <f>ROUND(G1020/6,2)</f>
        <v>323.36</v>
      </c>
      <c r="H1021" s="2256"/>
      <c r="I1021" s="2230"/>
    </row>
    <row r="1022" spans="1:9" ht="138.6" hidden="1">
      <c r="A1022" s="2280" t="s">
        <v>1642</v>
      </c>
      <c r="B1022" s="2213">
        <v>47</v>
      </c>
      <c r="C1022" s="2232" t="s">
        <v>800</v>
      </c>
      <c r="D1022" s="2253"/>
      <c r="E1022" s="2237"/>
      <c r="F1022" s="2237"/>
      <c r="G1022" s="2237">
        <v>3876</v>
      </c>
      <c r="I1022" s="2230"/>
    </row>
    <row r="1023" spans="1:9" s="2246" customFormat="1" hidden="1">
      <c r="A1023" s="2224">
        <v>124</v>
      </c>
      <c r="B1023" s="2224"/>
      <c r="C1023" s="2225" t="s">
        <v>1600</v>
      </c>
      <c r="D1023" s="2242"/>
      <c r="E1023" s="2242">
        <f>G1022</f>
        <v>3876</v>
      </c>
      <c r="F1023" s="2243">
        <f>'Lead- Input sheet '!Q32</f>
        <v>0</v>
      </c>
      <c r="G1023" s="2244">
        <f>ROUND(F1023*E1023,2)</f>
        <v>0</v>
      </c>
      <c r="H1023" s="2245"/>
      <c r="I1023" s="2230"/>
    </row>
    <row r="1024" spans="1:9" s="2246" customFormat="1" hidden="1">
      <c r="A1024" s="2224"/>
      <c r="B1024" s="2224"/>
      <c r="C1024" s="2225" t="s">
        <v>175</v>
      </c>
      <c r="D1024" s="2242"/>
      <c r="E1024" s="2242"/>
      <c r="F1024" s="2247" t="s">
        <v>1486</v>
      </c>
      <c r="G1024" s="2244">
        <f>SUM(G1022:G1023)</f>
        <v>3876</v>
      </c>
      <c r="H1024" s="2335"/>
      <c r="I1024" s="2230"/>
    </row>
    <row r="1025" spans="1:9" ht="88.2" hidden="1">
      <c r="A1025" s="2213" t="s">
        <v>174</v>
      </c>
      <c r="B1025" s="2213">
        <v>48</v>
      </c>
      <c r="C1025" s="2232" t="s">
        <v>227</v>
      </c>
      <c r="D1025" s="2253"/>
      <c r="E1025" s="2237"/>
      <c r="F1025" s="2237"/>
      <c r="G1025" s="2337"/>
      <c r="I1025" s="2230"/>
    </row>
    <row r="1026" spans="1:9" hidden="1">
      <c r="A1026" s="2280"/>
      <c r="B1026" s="2213"/>
      <c r="C1026" s="2281" t="s">
        <v>169</v>
      </c>
      <c r="D1026" s="2215"/>
      <c r="E1026" s="2228"/>
      <c r="F1026" s="2237"/>
      <c r="G1026" s="2337"/>
      <c r="I1026" s="2230"/>
    </row>
    <row r="1027" spans="1:9" hidden="1">
      <c r="A1027" s="2280"/>
      <c r="B1027" s="2213"/>
      <c r="C1027" s="2281" t="s">
        <v>1041</v>
      </c>
      <c r="D1027" s="2215"/>
      <c r="E1027" s="2228"/>
      <c r="F1027" s="2237"/>
      <c r="G1027" s="2337"/>
      <c r="I1027" s="2230"/>
    </row>
    <row r="1028" spans="1:9" hidden="1">
      <c r="A1028" s="2280"/>
      <c r="B1028" s="2213"/>
      <c r="C1028" s="2283" t="s">
        <v>523</v>
      </c>
      <c r="D1028" s="2228" t="s">
        <v>1217</v>
      </c>
      <c r="E1028" s="2228">
        <v>320</v>
      </c>
      <c r="F1028" s="2237">
        <f>'Lead- Input sheet '!R8</f>
        <v>6656</v>
      </c>
      <c r="G1028" s="2337">
        <f>ROUND(F1028*E1028/1000,0)</f>
        <v>2130</v>
      </c>
      <c r="I1028" s="2230"/>
    </row>
    <row r="1029" spans="1:9" hidden="1">
      <c r="A1029" s="2280"/>
      <c r="B1029" s="2213"/>
      <c r="C1029" s="2283" t="s">
        <v>226</v>
      </c>
      <c r="D1029" s="2228" t="s">
        <v>1473</v>
      </c>
      <c r="E1029" s="2228">
        <v>0.9</v>
      </c>
      <c r="F1029" s="2237">
        <f>'Lead- Input sheet '!R18</f>
        <v>1493.2033622320996</v>
      </c>
      <c r="G1029" s="2337">
        <f>ROUND(F1029*E1029,0)</f>
        <v>1344</v>
      </c>
      <c r="I1029" s="2230"/>
    </row>
    <row r="1030" spans="1:9" hidden="1">
      <c r="A1030" s="2280"/>
      <c r="B1030" s="2213"/>
      <c r="C1030" s="2283" t="s">
        <v>1571</v>
      </c>
      <c r="D1030" s="2228" t="s">
        <v>1473</v>
      </c>
      <c r="E1030" s="2228">
        <v>0.45</v>
      </c>
      <c r="F1030" s="2237">
        <f>'Lead- Input sheet '!R11</f>
        <v>1239.6380759582803</v>
      </c>
      <c r="G1030" s="2337">
        <f>ROUND(F1030*E1030,0)</f>
        <v>558</v>
      </c>
      <c r="I1030" s="2230"/>
    </row>
    <row r="1031" spans="1:9" hidden="1">
      <c r="A1031" s="2280"/>
      <c r="B1031" s="2213"/>
      <c r="C1031" s="2283" t="s">
        <v>170</v>
      </c>
      <c r="D1031" s="2228" t="s">
        <v>171</v>
      </c>
      <c r="E1031" s="2215"/>
      <c r="F1031" s="2237"/>
      <c r="G1031" s="2337"/>
      <c r="I1031" s="2230"/>
    </row>
    <row r="1032" spans="1:9" hidden="1">
      <c r="A1032" s="2280"/>
      <c r="B1032" s="2213"/>
      <c r="C1032" s="2281" t="s">
        <v>1044</v>
      </c>
      <c r="D1032" s="2228"/>
      <c r="E1032" s="2228"/>
      <c r="F1032" s="2237"/>
      <c r="G1032" s="2337"/>
      <c r="I1032" s="2230"/>
    </row>
    <row r="1033" spans="1:9" hidden="1">
      <c r="A1033" s="2280"/>
      <c r="B1033" s="2213"/>
      <c r="C1033" s="2283" t="s">
        <v>344</v>
      </c>
      <c r="D1033" s="2228" t="s">
        <v>345</v>
      </c>
      <c r="E1033" s="2228">
        <v>1</v>
      </c>
      <c r="F1033" s="2237">
        <f>F404</f>
        <v>721.5</v>
      </c>
      <c r="G1033" s="2337">
        <f>ROUND(F1033*E1033,0)</f>
        <v>722</v>
      </c>
      <c r="I1033" s="2230"/>
    </row>
    <row r="1034" spans="1:9" hidden="1">
      <c r="A1034" s="2280"/>
      <c r="B1034" s="2213"/>
      <c r="C1034" s="2281" t="s">
        <v>1045</v>
      </c>
      <c r="D1034" s="2228"/>
      <c r="E1034" s="2228"/>
      <c r="F1034" s="2237"/>
      <c r="G1034" s="2337"/>
      <c r="I1034" s="2230"/>
    </row>
    <row r="1035" spans="1:9" ht="14.1" hidden="1">
      <c r="A1035" s="2280"/>
      <c r="B1035" s="2213"/>
      <c r="C1035" s="2283" t="s">
        <v>3589</v>
      </c>
      <c r="D1035" s="2228" t="s">
        <v>1047</v>
      </c>
      <c r="E1035" s="2253">
        <v>0.1</v>
      </c>
      <c r="F1035" s="2237">
        <f>'Lead- Input sheet '!R31</f>
        <v>680</v>
      </c>
      <c r="G1035" s="2337">
        <f>ROUND(F1035*E1035,0)</f>
        <v>68</v>
      </c>
      <c r="I1035" s="2230"/>
    </row>
    <row r="1036" spans="1:9" hidden="1">
      <c r="A1036" s="2280"/>
      <c r="B1036" s="2213"/>
      <c r="C1036" s="2283" t="s">
        <v>341</v>
      </c>
      <c r="D1036" s="2228" t="s">
        <v>1047</v>
      </c>
      <c r="E1036" s="2253">
        <v>1.98</v>
      </c>
      <c r="F1036" s="2237">
        <f>'Lead- Input sheet '!R28</f>
        <v>605</v>
      </c>
      <c r="G1036" s="2337">
        <f>ROUND(F1036*E1036,0)</f>
        <v>1198</v>
      </c>
      <c r="I1036" s="2230"/>
    </row>
    <row r="1037" spans="1:9" s="2231" customFormat="1" hidden="1">
      <c r="A1037" s="2227"/>
      <c r="B1037" s="2224"/>
      <c r="C1037" s="2232" t="s">
        <v>2617</v>
      </c>
      <c r="D1037" s="2233"/>
      <c r="E1037" s="2233">
        <f>'Lead- Input sheet '!Q31</f>
        <v>0</v>
      </c>
      <c r="F1037" s="2237">
        <f>SUM(G1035:G1036)</f>
        <v>1266</v>
      </c>
      <c r="G1037" s="2238">
        <f>ROUND(F1037*E1037,2)</f>
        <v>0</v>
      </c>
      <c r="H1037" s="2236"/>
      <c r="I1037" s="2230"/>
    </row>
    <row r="1038" spans="1:9" hidden="1">
      <c r="A1038" s="2280"/>
      <c r="B1038" s="2213"/>
      <c r="C1038" s="2281" t="s">
        <v>172</v>
      </c>
      <c r="D1038" s="2228"/>
      <c r="E1038" s="2228"/>
      <c r="F1038" s="2237"/>
      <c r="G1038" s="2337">
        <f>SUM(G1028:G1037)</f>
        <v>6020</v>
      </c>
      <c r="I1038" s="2230"/>
    </row>
    <row r="1039" spans="1:9" hidden="1">
      <c r="A1039" s="2280"/>
      <c r="B1039" s="2213"/>
      <c r="C1039" s="2281" t="s">
        <v>173</v>
      </c>
      <c r="D1039" s="2228"/>
      <c r="E1039" s="2228"/>
      <c r="F1039" s="2237"/>
      <c r="G1039" s="2337">
        <f>G1038/20</f>
        <v>301</v>
      </c>
      <c r="I1039" s="2230"/>
    </row>
    <row r="1040" spans="1:9" s="2246" customFormat="1" hidden="1">
      <c r="A1040" s="2224"/>
      <c r="B1040" s="2224"/>
      <c r="C1040" s="2225" t="s">
        <v>1600</v>
      </c>
      <c r="D1040" s="2242"/>
      <c r="E1040" s="2242">
        <f>G1039</f>
        <v>301</v>
      </c>
      <c r="F1040" s="2243">
        <f>'Lead- Input sheet '!Q32</f>
        <v>0</v>
      </c>
      <c r="G1040" s="2244">
        <f>ROUND(F1040*E1040,2)</f>
        <v>0</v>
      </c>
      <c r="H1040" s="2245"/>
      <c r="I1040" s="2230"/>
    </row>
    <row r="1041" spans="1:9" s="2246" customFormat="1" hidden="1">
      <c r="A1041" s="2224"/>
      <c r="B1041" s="2224"/>
      <c r="C1041" s="2225"/>
      <c r="D1041" s="2242"/>
      <c r="E1041" s="2242"/>
      <c r="F1041" s="2247" t="s">
        <v>1486</v>
      </c>
      <c r="G1041" s="2244">
        <f>SUM(G1039:G1040)</f>
        <v>301</v>
      </c>
      <c r="H1041" s="2335"/>
      <c r="I1041" s="2230"/>
    </row>
    <row r="1042" spans="1:9" hidden="1">
      <c r="A1042" s="2253"/>
      <c r="B1042" s="2213"/>
      <c r="C1042" s="2232" t="s">
        <v>899</v>
      </c>
      <c r="D1042" s="2233" t="s">
        <v>908</v>
      </c>
      <c r="E1042" s="2233">
        <v>0.9</v>
      </c>
      <c r="F1042" s="2237">
        <f>'Lead- Input sheet '!O17</f>
        <v>0</v>
      </c>
      <c r="G1042" s="2238">
        <f>ROUND(E1042*F1042/20,2)</f>
        <v>0</v>
      </c>
      <c r="I1042" s="2230"/>
    </row>
    <row r="1043" spans="1:9" hidden="1">
      <c r="A1043" s="2253"/>
      <c r="B1043" s="2213"/>
      <c r="C1043" s="2232" t="s">
        <v>900</v>
      </c>
      <c r="D1043" s="2233" t="s">
        <v>908</v>
      </c>
      <c r="E1043" s="2233">
        <v>0.45</v>
      </c>
      <c r="F1043" s="2237">
        <f>'Lead- Input sheet '!O11</f>
        <v>0</v>
      </c>
      <c r="G1043" s="2238">
        <f>ROUND(E1043*F1043/20,2)</f>
        <v>0</v>
      </c>
      <c r="I1043" s="2230"/>
    </row>
    <row r="1044" spans="1:9" s="2246" customFormat="1" hidden="1">
      <c r="A1044" s="2224"/>
      <c r="B1044" s="2224"/>
      <c r="C1044" s="2225" t="s">
        <v>175</v>
      </c>
      <c r="D1044" s="2242"/>
      <c r="E1044" s="2242"/>
      <c r="F1044" s="2247" t="s">
        <v>1486</v>
      </c>
      <c r="G1044" s="2244">
        <f>SUM(G1041:G1043)</f>
        <v>301</v>
      </c>
      <c r="H1044" s="2256"/>
      <c r="I1044" s="2230"/>
    </row>
    <row r="1045" spans="1:9" s="2246" customFormat="1" hidden="1">
      <c r="A1045" s="2224"/>
      <c r="B1045" s="2224"/>
      <c r="C1045" s="2225"/>
      <c r="D1045" s="2242"/>
      <c r="E1045" s="2242"/>
      <c r="F1045" s="2247"/>
      <c r="G1045" s="2244"/>
      <c r="H1045" s="2335"/>
      <c r="I1045" s="2230"/>
    </row>
    <row r="1046" spans="1:9" ht="63" hidden="1">
      <c r="A1046" s="2253" t="s">
        <v>1885</v>
      </c>
      <c r="B1046" s="2224">
        <f>+B1011+1</f>
        <v>46</v>
      </c>
      <c r="C1046" s="2232" t="s">
        <v>909</v>
      </c>
      <c r="D1046" s="2253"/>
      <c r="E1046" s="2237"/>
      <c r="F1046" s="2237"/>
      <c r="G1046" s="2337"/>
      <c r="I1046" s="2230"/>
    </row>
    <row r="1047" spans="1:9" hidden="1">
      <c r="A1047" s="2314"/>
      <c r="B1047" s="2213"/>
      <c r="C1047" s="2281" t="s">
        <v>177</v>
      </c>
      <c r="D1047" s="2215"/>
      <c r="E1047" s="2228"/>
      <c r="F1047" s="2237"/>
      <c r="G1047" s="2337"/>
      <c r="I1047" s="2230"/>
    </row>
    <row r="1048" spans="1:9" hidden="1">
      <c r="A1048" s="2280"/>
      <c r="B1048" s="2213"/>
      <c r="C1048" s="2283" t="s">
        <v>178</v>
      </c>
      <c r="D1048" s="2228" t="s">
        <v>1217</v>
      </c>
      <c r="E1048" s="2228">
        <v>1</v>
      </c>
      <c r="F1048" s="2237">
        <f>'Lead- Input sheet '!R10/1000</f>
        <v>69.62</v>
      </c>
      <c r="G1048" s="2337">
        <f>F1048*E1048</f>
        <v>69.62</v>
      </c>
      <c r="I1048" s="2230"/>
    </row>
    <row r="1049" spans="1:9" hidden="1">
      <c r="A1049" s="2280" t="s">
        <v>1643</v>
      </c>
      <c r="B1049" s="2213"/>
      <c r="C1049" s="2283" t="s">
        <v>2588</v>
      </c>
      <c r="D1049" s="2228" t="s">
        <v>1217</v>
      </c>
      <c r="E1049" s="2228">
        <v>1</v>
      </c>
      <c r="F1049" s="2237">
        <v>40</v>
      </c>
      <c r="G1049" s="2337">
        <f>F1049*E1049</f>
        <v>40</v>
      </c>
      <c r="I1049" s="2230"/>
    </row>
    <row r="1050" spans="1:9" hidden="1">
      <c r="A1050" s="2280" t="s">
        <v>1645</v>
      </c>
      <c r="B1050" s="2213"/>
      <c r="C1050" s="2283" t="s">
        <v>2589</v>
      </c>
      <c r="D1050" s="2228" t="s">
        <v>1217</v>
      </c>
      <c r="E1050" s="2228">
        <v>1</v>
      </c>
      <c r="F1050" s="2237">
        <v>7</v>
      </c>
      <c r="G1050" s="2337">
        <f>F1050*E1050</f>
        <v>7</v>
      </c>
      <c r="I1050" s="2230"/>
    </row>
    <row r="1051" spans="1:9" s="2231" customFormat="1" hidden="1">
      <c r="A1051" s="2227"/>
      <c r="B1051" s="2224"/>
      <c r="C1051" s="2232" t="s">
        <v>2617</v>
      </c>
      <c r="D1051" s="2233"/>
      <c r="E1051" s="2233">
        <f>'Lead- Input sheet '!Q31</f>
        <v>0</v>
      </c>
      <c r="F1051" s="2237">
        <f>SUM(G1049:G1050)</f>
        <v>47</v>
      </c>
      <c r="G1051" s="2238">
        <f>ROUND(F1051*E1051,2)</f>
        <v>0</v>
      </c>
      <c r="H1051" s="2236"/>
      <c r="I1051" s="2230"/>
    </row>
    <row r="1052" spans="1:9" hidden="1">
      <c r="A1052" s="2280"/>
      <c r="B1052" s="2213"/>
      <c r="C1052" s="2283"/>
      <c r="D1052" s="2228"/>
      <c r="E1052" s="2228"/>
      <c r="F1052" s="2237"/>
      <c r="G1052" s="2337">
        <f>SUM(G1048:G1051)</f>
        <v>116.62</v>
      </c>
      <c r="I1052" s="2230"/>
    </row>
    <row r="1053" spans="1:9" s="2246" customFormat="1" hidden="1">
      <c r="A1053" s="2224"/>
      <c r="B1053" s="2224"/>
      <c r="C1053" s="2225" t="s">
        <v>1600</v>
      </c>
      <c r="D1053" s="2242"/>
      <c r="E1053" s="2242">
        <f>G1052</f>
        <v>116.62</v>
      </c>
      <c r="F1053" s="2249">
        <f>'Lead- Input sheet '!Q32</f>
        <v>0</v>
      </c>
      <c r="G1053" s="2244">
        <f>ROUND(F1053*E1053,2)</f>
        <v>0</v>
      </c>
      <c r="H1053" s="2245"/>
      <c r="I1053" s="2230"/>
    </row>
    <row r="1054" spans="1:9" s="2246" customFormat="1" hidden="1">
      <c r="A1054" s="2224"/>
      <c r="B1054" s="2224"/>
      <c r="C1054" s="2225" t="s">
        <v>179</v>
      </c>
      <c r="D1054" s="2242"/>
      <c r="E1054" s="2242"/>
      <c r="F1054" s="2247" t="s">
        <v>1486</v>
      </c>
      <c r="G1054" s="2244">
        <f>SUM(G1052:G1053)</f>
        <v>116.62</v>
      </c>
      <c r="H1054" s="2335"/>
      <c r="I1054" s="2230"/>
    </row>
    <row r="1055" spans="1:9" hidden="1">
      <c r="A1055" s="2280"/>
      <c r="B1055" s="2213"/>
      <c r="C1055" s="2253"/>
      <c r="D1055" s="2253"/>
      <c r="E1055" s="2237"/>
      <c r="F1055" s="2237"/>
      <c r="G1055" s="2337"/>
    </row>
    <row r="1056" spans="1:9" ht="113.4" hidden="1">
      <c r="A1056" s="2213" t="s">
        <v>1233</v>
      </c>
      <c r="B1056" s="2213">
        <v>47</v>
      </c>
      <c r="C1056" s="2232" t="s">
        <v>3601</v>
      </c>
      <c r="D1056" s="2242"/>
      <c r="E1056" s="2242"/>
      <c r="F1056" s="2249"/>
      <c r="G1056" s="2244"/>
    </row>
    <row r="1057" spans="1:9" hidden="1">
      <c r="A1057" s="2253"/>
      <c r="B1057" s="2213"/>
      <c r="C1057" s="2232" t="s">
        <v>90</v>
      </c>
      <c r="D1057" s="2233"/>
      <c r="E1057" s="2233"/>
      <c r="F1057" s="2237"/>
      <c r="G1057" s="2238"/>
    </row>
    <row r="1058" spans="1:9" ht="25.2" hidden="1">
      <c r="A1058" s="2253" t="s">
        <v>1612</v>
      </c>
      <c r="B1058" s="2213"/>
      <c r="C1058" s="2232" t="s">
        <v>3602</v>
      </c>
      <c r="D1058" s="2233" t="s">
        <v>91</v>
      </c>
      <c r="E1058" s="2233">
        <v>0.5</v>
      </c>
      <c r="F1058" s="2237">
        <v>173</v>
      </c>
      <c r="G1058" s="2238">
        <f t="shared" ref="G1058:G1063" si="4">ROUND(E1058*F1058,2)</f>
        <v>86.5</v>
      </c>
    </row>
    <row r="1059" spans="1:9" hidden="1">
      <c r="A1059" s="2253">
        <v>204</v>
      </c>
      <c r="B1059" s="2213"/>
      <c r="C1059" s="2232" t="s">
        <v>92</v>
      </c>
      <c r="D1059" s="2233" t="s">
        <v>1035</v>
      </c>
      <c r="E1059" s="2233">
        <v>0.08</v>
      </c>
      <c r="F1059" s="2237">
        <f>'Lead- Input sheet '!R33</f>
        <v>775</v>
      </c>
      <c r="G1059" s="2238">
        <f t="shared" si="4"/>
        <v>62</v>
      </c>
    </row>
    <row r="1060" spans="1:9" hidden="1">
      <c r="A1060" s="2253"/>
      <c r="B1060" s="2213"/>
      <c r="C1060" s="2232" t="s">
        <v>93</v>
      </c>
      <c r="D1060" s="2233" t="s">
        <v>1035</v>
      </c>
      <c r="E1060" s="2233">
        <v>0.19</v>
      </c>
      <c r="F1060" s="2237">
        <f>'Lead- Input sheet '!R36</f>
        <v>650</v>
      </c>
      <c r="G1060" s="2238">
        <f t="shared" si="4"/>
        <v>123.5</v>
      </c>
    </row>
    <row r="1061" spans="1:9" ht="25.2" hidden="1">
      <c r="A1061" s="2253" t="s">
        <v>1613</v>
      </c>
      <c r="B1061" s="2213"/>
      <c r="C1061" s="2232" t="s">
        <v>94</v>
      </c>
      <c r="D1061" s="2233" t="s">
        <v>91</v>
      </c>
      <c r="E1061" s="2233">
        <v>1.7</v>
      </c>
      <c r="F1061" s="2237">
        <v>63</v>
      </c>
      <c r="G1061" s="2238">
        <f t="shared" si="4"/>
        <v>107.1</v>
      </c>
    </row>
    <row r="1062" spans="1:9" hidden="1">
      <c r="A1062" s="2253">
        <v>228</v>
      </c>
      <c r="B1062" s="2213"/>
      <c r="C1062" s="2232" t="s">
        <v>95</v>
      </c>
      <c r="D1062" s="2233" t="s">
        <v>1035</v>
      </c>
      <c r="E1062" s="2233">
        <v>0.36</v>
      </c>
      <c r="F1062" s="2237">
        <f>'Lead- Input sheet '!R33</f>
        <v>775</v>
      </c>
      <c r="G1062" s="2238">
        <f t="shared" si="4"/>
        <v>279</v>
      </c>
    </row>
    <row r="1063" spans="1:9" hidden="1">
      <c r="A1063" s="2253"/>
      <c r="B1063" s="2213"/>
      <c r="C1063" s="2232" t="s">
        <v>96</v>
      </c>
      <c r="D1063" s="2233" t="s">
        <v>1035</v>
      </c>
      <c r="E1063" s="2233">
        <v>0.84</v>
      </c>
      <c r="F1063" s="2237">
        <f>'Lead- Input sheet '!R36</f>
        <v>650</v>
      </c>
      <c r="G1063" s="2238">
        <f t="shared" si="4"/>
        <v>546</v>
      </c>
    </row>
    <row r="1064" spans="1:9" hidden="1">
      <c r="A1064" s="2227"/>
      <c r="B1064" s="2224"/>
      <c r="C1064" s="2232" t="s">
        <v>2617</v>
      </c>
      <c r="D1064" s="2233"/>
      <c r="E1064" s="2233">
        <f>'Lead- Input sheet '!Q31</f>
        <v>0</v>
      </c>
      <c r="F1064" s="2237">
        <f>SUM(G1062:G1063)+SUM(G1059:G1060)</f>
        <v>1010.5</v>
      </c>
      <c r="G1064" s="2238">
        <f>ROUND(F1064*E1064,2)</f>
        <v>0</v>
      </c>
    </row>
    <row r="1065" spans="1:9" hidden="1">
      <c r="A1065" s="2253"/>
      <c r="B1065" s="2213"/>
      <c r="C1065" s="2232" t="s">
        <v>97</v>
      </c>
      <c r="D1065" s="2233"/>
      <c r="E1065" s="2233"/>
      <c r="F1065" s="2237"/>
      <c r="G1065" s="2238">
        <f>SUM(G1058:G1064)</f>
        <v>1204.0999999999999</v>
      </c>
    </row>
    <row r="1066" spans="1:9" hidden="1">
      <c r="A1066" s="2224"/>
      <c r="B1066" s="2224"/>
      <c r="C1066" s="2225" t="s">
        <v>1600</v>
      </c>
      <c r="D1066" s="2242"/>
      <c r="E1066" s="2242">
        <f>'Lead- Input sheet '!Q32</f>
        <v>0</v>
      </c>
      <c r="F1066" s="2249">
        <f>G1065</f>
        <v>1204.0999999999999</v>
      </c>
      <c r="G1066" s="2244">
        <f>ROUND(E1066*F1066,2)</f>
        <v>0</v>
      </c>
    </row>
    <row r="1067" spans="1:9" hidden="1">
      <c r="A1067" s="2224"/>
      <c r="B1067" s="2224"/>
      <c r="C1067" s="2225" t="s">
        <v>1231</v>
      </c>
      <c r="D1067" s="2242"/>
      <c r="E1067" s="2242"/>
      <c r="F1067" s="2247" t="s">
        <v>1486</v>
      </c>
      <c r="G1067" s="2244">
        <f>SUM(G1065:G1066)</f>
        <v>1204.0999999999999</v>
      </c>
    </row>
    <row r="1068" spans="1:9" ht="75.599999999999994" hidden="1">
      <c r="A1068" s="2280" t="s">
        <v>2591</v>
      </c>
      <c r="B1068" s="2213">
        <v>48</v>
      </c>
      <c r="C1068" s="2232" t="s">
        <v>1952</v>
      </c>
      <c r="D1068" s="2253"/>
      <c r="E1068" s="2237"/>
      <c r="F1068" s="2237"/>
      <c r="G1068" s="2337"/>
      <c r="I1068" s="2230"/>
    </row>
    <row r="1069" spans="1:9" hidden="1">
      <c r="A1069" s="2314"/>
      <c r="B1069" s="2213"/>
      <c r="C1069" s="2281" t="s">
        <v>2590</v>
      </c>
      <c r="D1069" s="2215"/>
      <c r="E1069" s="2228"/>
      <c r="F1069" s="2237"/>
      <c r="G1069" s="2337">
        <v>641</v>
      </c>
      <c r="I1069" s="2230"/>
    </row>
    <row r="1070" spans="1:9" s="2246" customFormat="1" hidden="1">
      <c r="A1070" s="2224"/>
      <c r="B1070" s="2224"/>
      <c r="C1070" s="2225" t="s">
        <v>1600</v>
      </c>
      <c r="D1070" s="2242"/>
      <c r="E1070" s="2242">
        <f>'Lead- Input sheet '!Q32</f>
        <v>0</v>
      </c>
      <c r="F1070" s="2249">
        <f>G1069</f>
        <v>641</v>
      </c>
      <c r="G1070" s="2244">
        <f>ROUND(F1070*E1070,2)</f>
        <v>0</v>
      </c>
      <c r="H1070" s="2245"/>
      <c r="I1070" s="2230"/>
    </row>
    <row r="1071" spans="1:9" s="2246" customFormat="1" hidden="1">
      <c r="A1071" s="2224"/>
      <c r="B1071" s="2224"/>
      <c r="C1071" s="2225" t="s">
        <v>175</v>
      </c>
      <c r="D1071" s="2242"/>
      <c r="E1071" s="2242"/>
      <c r="F1071" s="2247" t="s">
        <v>1486</v>
      </c>
      <c r="G1071" s="2244">
        <f>SUM(G1069:G1070)</f>
        <v>641</v>
      </c>
      <c r="H1071" s="2335"/>
      <c r="I1071" s="2230"/>
    </row>
    <row r="1072" spans="1:9" ht="239.4" hidden="1">
      <c r="A1072" s="2280"/>
      <c r="B1072" s="2213">
        <v>52</v>
      </c>
      <c r="C1072" s="2232" t="s">
        <v>1702</v>
      </c>
      <c r="D1072" s="2253"/>
      <c r="E1072" s="2237"/>
      <c r="F1072" s="2237"/>
      <c r="G1072" s="2337"/>
    </row>
    <row r="1073" spans="1:7" hidden="1">
      <c r="A1073" s="2280"/>
      <c r="B1073" s="2213"/>
      <c r="C1073" s="2253" t="s">
        <v>1703</v>
      </c>
      <c r="D1073" s="2253"/>
      <c r="E1073" s="2237"/>
      <c r="F1073" s="2237"/>
      <c r="G1073" s="2337"/>
    </row>
    <row r="1074" spans="1:7" hidden="1">
      <c r="A1074" s="2280"/>
      <c r="B1074" s="2213"/>
      <c r="C1074" s="2339" t="s">
        <v>1704</v>
      </c>
      <c r="D1074" s="2253"/>
      <c r="E1074" s="2237"/>
      <c r="F1074" s="2237"/>
      <c r="G1074" s="2337"/>
    </row>
    <row r="1075" spans="1:7" ht="25.2" hidden="1">
      <c r="A1075" s="2280" t="s">
        <v>1886</v>
      </c>
      <c r="B1075" s="2213"/>
      <c r="C1075" s="2303" t="s">
        <v>1716</v>
      </c>
      <c r="D1075" s="2253" t="s">
        <v>987</v>
      </c>
      <c r="E1075" s="2341">
        <v>1.03</v>
      </c>
      <c r="F1075" s="2237">
        <v>286</v>
      </c>
      <c r="G1075" s="2337">
        <f t="shared" ref="G1075:G1083" si="5">ROUND(E1075*F1075,2)</f>
        <v>294.58</v>
      </c>
    </row>
    <row r="1076" spans="1:7" hidden="1">
      <c r="A1076" s="2280">
        <v>369</v>
      </c>
      <c r="B1076" s="2213"/>
      <c r="C1076" s="2339" t="s">
        <v>1714</v>
      </c>
      <c r="D1076" s="2253"/>
      <c r="E1076" s="2341"/>
      <c r="F1076" s="2237"/>
      <c r="G1076" s="2337">
        <f t="shared" si="5"/>
        <v>0</v>
      </c>
    </row>
    <row r="1077" spans="1:7" hidden="1">
      <c r="A1077" s="2280"/>
      <c r="B1077" s="2213"/>
      <c r="C1077" s="2303" t="s">
        <v>1705</v>
      </c>
      <c r="D1077" s="2253" t="s">
        <v>1047</v>
      </c>
      <c r="E1077" s="2341">
        <v>0.12</v>
      </c>
      <c r="F1077" s="2237">
        <f>'Lead- Input sheet '!R34</f>
        <v>805</v>
      </c>
      <c r="G1077" s="2337">
        <f t="shared" si="5"/>
        <v>96.6</v>
      </c>
    </row>
    <row r="1078" spans="1:7" hidden="1">
      <c r="A1078" s="2280"/>
      <c r="B1078" s="2213"/>
      <c r="C1078" s="2303" t="s">
        <v>1706</v>
      </c>
      <c r="D1078" s="2253" t="s">
        <v>1047</v>
      </c>
      <c r="E1078" s="2341">
        <v>0.12</v>
      </c>
      <c r="F1078" s="2237">
        <f>'Lead- Input sheet '!R36</f>
        <v>650</v>
      </c>
      <c r="G1078" s="2337">
        <f t="shared" si="5"/>
        <v>78</v>
      </c>
    </row>
    <row r="1079" spans="1:7" hidden="1">
      <c r="A1079" s="2280"/>
      <c r="B1079" s="2213"/>
      <c r="C1079" s="2303" t="s">
        <v>95</v>
      </c>
      <c r="D1079" s="2253" t="s">
        <v>1047</v>
      </c>
      <c r="E1079" s="2341">
        <v>2.4E-2</v>
      </c>
      <c r="F1079" s="2237">
        <f>'Lead- Input sheet '!R32</f>
        <v>780</v>
      </c>
      <c r="G1079" s="2337">
        <f t="shared" si="5"/>
        <v>18.72</v>
      </c>
    </row>
    <row r="1080" spans="1:7" hidden="1">
      <c r="A1080" s="2280"/>
      <c r="B1080" s="2213"/>
      <c r="C1080" s="2303" t="s">
        <v>1707</v>
      </c>
      <c r="D1080" s="2253" t="s">
        <v>1047</v>
      </c>
      <c r="E1080" s="2341">
        <v>2.4E-2</v>
      </c>
      <c r="F1080" s="2237">
        <f>'Lead- Input sheet '!R36</f>
        <v>650</v>
      </c>
      <c r="G1080" s="2337">
        <f t="shared" si="5"/>
        <v>15.6</v>
      </c>
    </row>
    <row r="1081" spans="1:7" hidden="1">
      <c r="A1081" s="2280" t="s">
        <v>2592</v>
      </c>
      <c r="B1081" s="2213"/>
      <c r="C1081" s="2303" t="s">
        <v>2610</v>
      </c>
      <c r="D1081" s="2253" t="s">
        <v>1047</v>
      </c>
      <c r="E1081" s="2341">
        <v>1.2E-2</v>
      </c>
      <c r="F1081" s="2237">
        <f>146*8</f>
        <v>1168</v>
      </c>
      <c r="G1081" s="2337">
        <f t="shared" si="5"/>
        <v>14.02</v>
      </c>
    </row>
    <row r="1082" spans="1:7" hidden="1">
      <c r="A1082" s="2280" t="s">
        <v>2593</v>
      </c>
      <c r="B1082" s="2213"/>
      <c r="C1082" s="2303" t="s">
        <v>2611</v>
      </c>
      <c r="D1082" s="2253" t="s">
        <v>1047</v>
      </c>
      <c r="E1082" s="2341">
        <v>2.4E-2</v>
      </c>
      <c r="F1082" s="2237">
        <f>8*137</f>
        <v>1096</v>
      </c>
      <c r="G1082" s="2337">
        <f t="shared" si="5"/>
        <v>26.3</v>
      </c>
    </row>
    <row r="1083" spans="1:7" hidden="1">
      <c r="A1083" s="2280"/>
      <c r="B1083" s="2213"/>
      <c r="C1083" s="2303" t="s">
        <v>1710</v>
      </c>
      <c r="D1083" s="2253" t="s">
        <v>1047</v>
      </c>
      <c r="E1083" s="2341">
        <v>7.1999999999999995E-2</v>
      </c>
      <c r="F1083" s="2237">
        <f>'Lead- Input sheet '!R28</f>
        <v>605</v>
      </c>
      <c r="G1083" s="2337">
        <f t="shared" si="5"/>
        <v>43.56</v>
      </c>
    </row>
    <row r="1084" spans="1:7" hidden="1">
      <c r="A1084" s="2227"/>
      <c r="B1084" s="2224"/>
      <c r="C1084" s="2232" t="s">
        <v>2617</v>
      </c>
      <c r="D1084" s="2233"/>
      <c r="E1084" s="2233">
        <v>0.2</v>
      </c>
      <c r="F1084" s="2237">
        <f>ROUND(SUM(G1075:G1083),2)</f>
        <v>587.38</v>
      </c>
      <c r="G1084" s="2238">
        <f>ROUND(F1084*E1084,2)</f>
        <v>117.48</v>
      </c>
    </row>
    <row r="1085" spans="1:7" hidden="1">
      <c r="A1085" s="2280"/>
      <c r="B1085" s="2213"/>
      <c r="C1085" s="2339" t="s">
        <v>1715</v>
      </c>
      <c r="D1085" s="2253"/>
      <c r="E1085" s="2341"/>
      <c r="F1085" s="2237"/>
      <c r="G1085" s="2337"/>
    </row>
    <row r="1086" spans="1:7" hidden="1">
      <c r="A1086" s="2280" t="s">
        <v>2592</v>
      </c>
      <c r="B1086" s="2213"/>
      <c r="C1086" s="2303" t="s">
        <v>1711</v>
      </c>
      <c r="D1086" s="2253" t="s">
        <v>1216</v>
      </c>
      <c r="E1086" s="2341">
        <v>0.32</v>
      </c>
      <c r="F1086" s="2237">
        <v>146</v>
      </c>
      <c r="G1086" s="2337">
        <f>ROUND(E1086*F1086,2)</f>
        <v>46.72</v>
      </c>
    </row>
    <row r="1087" spans="1:7" hidden="1">
      <c r="A1087" s="2280" t="s">
        <v>2593</v>
      </c>
      <c r="B1087" s="2213"/>
      <c r="C1087" s="2303" t="s">
        <v>1712</v>
      </c>
      <c r="D1087" s="2253" t="s">
        <v>1216</v>
      </c>
      <c r="E1087" s="2341">
        <v>0.64</v>
      </c>
      <c r="F1087" s="2237">
        <v>137</v>
      </c>
      <c r="G1087" s="2337">
        <f>ROUND(E1087*F1087,2)</f>
        <v>87.68</v>
      </c>
    </row>
    <row r="1088" spans="1:7" hidden="1">
      <c r="A1088" s="2280"/>
      <c r="B1088" s="2213"/>
      <c r="C1088" s="2303" t="s">
        <v>1713</v>
      </c>
      <c r="D1088" s="2253"/>
      <c r="E1088" s="2342">
        <v>0.01</v>
      </c>
      <c r="F1088" s="2237">
        <f>SUM(G1075:G1087)</f>
        <v>839.26</v>
      </c>
      <c r="G1088" s="2337">
        <f>ROUND(E1088*F1088,2)</f>
        <v>8.39</v>
      </c>
    </row>
    <row r="1089" spans="1:7" hidden="1">
      <c r="A1089" s="2280"/>
      <c r="B1089" s="2213"/>
      <c r="C1089" s="2253" t="s">
        <v>97</v>
      </c>
      <c r="D1089" s="2253"/>
      <c r="E1089" s="2341"/>
      <c r="F1089" s="2237"/>
      <c r="G1089" s="2337"/>
    </row>
    <row r="1090" spans="1:7" hidden="1">
      <c r="A1090" s="2224"/>
      <c r="B1090" s="2224"/>
      <c r="C1090" s="2225" t="s">
        <v>1600</v>
      </c>
      <c r="D1090" s="2242"/>
      <c r="E1090" s="2242">
        <f>'Lead- Input sheet '!Q32</f>
        <v>0</v>
      </c>
      <c r="F1090" s="2249">
        <f>SUM(G1075:G1088)</f>
        <v>847.65</v>
      </c>
      <c r="G1090" s="2337">
        <f>ROUND(E1090*F1090,2)</f>
        <v>0</v>
      </c>
    </row>
    <row r="1091" spans="1:7" hidden="1">
      <c r="A1091" s="2280"/>
      <c r="B1091" s="2213"/>
      <c r="C1091" s="2253" t="s">
        <v>1717</v>
      </c>
      <c r="D1091" s="2253"/>
      <c r="E1091" s="2341"/>
      <c r="F1091" s="2237"/>
      <c r="G1091" s="2337">
        <f>SUM(G1075:G1090)</f>
        <v>847.65</v>
      </c>
    </row>
    <row r="1092" spans="1:7" hidden="1">
      <c r="A1092" s="2280"/>
      <c r="B1092" s="2213"/>
      <c r="C1092" s="2253"/>
      <c r="D1092" s="2253"/>
      <c r="E1092" s="2341"/>
      <c r="F1092" s="2237"/>
      <c r="G1092" s="2337"/>
    </row>
    <row r="1093" spans="1:7" ht="214.2" hidden="1">
      <c r="A1093" s="2280"/>
      <c r="B1093" s="2213">
        <v>53</v>
      </c>
      <c r="C1093" s="2232" t="s">
        <v>1718</v>
      </c>
      <c r="D1093" s="2253"/>
      <c r="E1093" s="2341"/>
      <c r="F1093" s="2237"/>
      <c r="G1093" s="2337"/>
    </row>
    <row r="1094" spans="1:7" hidden="1">
      <c r="A1094" s="2280"/>
      <c r="B1094" s="2213"/>
      <c r="C1094" s="2253" t="s">
        <v>1703</v>
      </c>
      <c r="D1094" s="2253"/>
      <c r="E1094" s="2237"/>
      <c r="F1094" s="2237"/>
      <c r="G1094" s="2337"/>
    </row>
    <row r="1095" spans="1:7" hidden="1">
      <c r="A1095" s="2280"/>
      <c r="B1095" s="2213"/>
      <c r="C1095" s="2339" t="s">
        <v>1704</v>
      </c>
      <c r="D1095" s="2253"/>
      <c r="E1095" s="2237"/>
      <c r="F1095" s="2237"/>
      <c r="G1095" s="2337"/>
    </row>
    <row r="1096" spans="1:7" ht="25.2" hidden="1">
      <c r="A1096" s="2280"/>
      <c r="B1096" s="2213" t="s">
        <v>1886</v>
      </c>
      <c r="C1096" s="2303" t="s">
        <v>1819</v>
      </c>
      <c r="D1096" s="2253" t="s">
        <v>987</v>
      </c>
      <c r="E1096" s="2341">
        <v>1</v>
      </c>
      <c r="F1096" s="2237">
        <v>286</v>
      </c>
      <c r="G1096" s="2337">
        <f>ROUND(E1096*F1096,2)</f>
        <v>286</v>
      </c>
    </row>
    <row r="1097" spans="1:7" ht="25.2" hidden="1">
      <c r="A1097" s="2280"/>
      <c r="B1097" s="2213" t="s">
        <v>1887</v>
      </c>
      <c r="C1097" s="2303" t="s">
        <v>1719</v>
      </c>
      <c r="D1097" s="2253" t="s">
        <v>452</v>
      </c>
      <c r="E1097" s="2341">
        <v>0.4</v>
      </c>
      <c r="F1097" s="2237">
        <v>43</v>
      </c>
      <c r="G1097" s="2337">
        <f t="shared" ref="G1097:G1103" si="6">ROUND(E1097*F1097,2)</f>
        <v>17.2</v>
      </c>
    </row>
    <row r="1098" spans="1:7" ht="25.2" hidden="1">
      <c r="A1098" s="2280"/>
      <c r="B1098" s="2213" t="s">
        <v>1888</v>
      </c>
      <c r="C1098" s="2303" t="s">
        <v>1720</v>
      </c>
      <c r="D1098" s="2253" t="s">
        <v>452</v>
      </c>
      <c r="E1098" s="2341">
        <v>3.2</v>
      </c>
      <c r="F1098" s="2237">
        <v>57</v>
      </c>
      <c r="G1098" s="2337">
        <f t="shared" si="6"/>
        <v>182.4</v>
      </c>
    </row>
    <row r="1099" spans="1:7" ht="25.2" hidden="1">
      <c r="A1099" s="2280"/>
      <c r="B1099" s="2213" t="s">
        <v>1953</v>
      </c>
      <c r="C1099" s="2303" t="s">
        <v>1721</v>
      </c>
      <c r="D1099" s="2253" t="s">
        <v>452</v>
      </c>
      <c r="E1099" s="2341">
        <v>1.28</v>
      </c>
      <c r="F1099" s="2237">
        <v>13</v>
      </c>
      <c r="G1099" s="2337">
        <f t="shared" si="6"/>
        <v>16.64</v>
      </c>
    </row>
    <row r="1100" spans="1:7" ht="25.2" hidden="1">
      <c r="A1100" s="2280"/>
      <c r="B1100" s="2213" t="s">
        <v>1954</v>
      </c>
      <c r="C1100" s="2303" t="s">
        <v>951</v>
      </c>
      <c r="D1100" s="2253" t="s">
        <v>1725</v>
      </c>
      <c r="E1100" s="2341">
        <v>1.28</v>
      </c>
      <c r="F1100" s="2237">
        <v>5</v>
      </c>
      <c r="G1100" s="2337">
        <f t="shared" si="6"/>
        <v>6.4</v>
      </c>
    </row>
    <row r="1101" spans="1:7" ht="25.2" hidden="1">
      <c r="A1101" s="2280"/>
      <c r="B1101" s="2213" t="s">
        <v>1955</v>
      </c>
      <c r="C1101" s="2303" t="s">
        <v>1722</v>
      </c>
      <c r="D1101" s="2253" t="s">
        <v>1725</v>
      </c>
      <c r="E1101" s="2341">
        <v>1.28</v>
      </c>
      <c r="F1101" s="2237">
        <v>5</v>
      </c>
      <c r="G1101" s="2337">
        <f t="shared" si="6"/>
        <v>6.4</v>
      </c>
    </row>
    <row r="1102" spans="1:7" ht="25.2" hidden="1">
      <c r="A1102" s="2280"/>
      <c r="B1102" s="2213" t="s">
        <v>1956</v>
      </c>
      <c r="C1102" s="2303" t="s">
        <v>1723</v>
      </c>
      <c r="D1102" s="2253" t="s">
        <v>1725</v>
      </c>
      <c r="E1102" s="2341">
        <v>5.36</v>
      </c>
      <c r="F1102" s="2237">
        <v>5</v>
      </c>
      <c r="G1102" s="2337">
        <f t="shared" si="6"/>
        <v>26.8</v>
      </c>
    </row>
    <row r="1103" spans="1:7" ht="25.2" hidden="1">
      <c r="A1103" s="2280"/>
      <c r="B1103" s="2213" t="s">
        <v>1957</v>
      </c>
      <c r="C1103" s="2303" t="s">
        <v>1724</v>
      </c>
      <c r="D1103" s="2253" t="s">
        <v>1726</v>
      </c>
      <c r="E1103" s="2341">
        <v>0.15</v>
      </c>
      <c r="F1103" s="2237">
        <v>145</v>
      </c>
      <c r="G1103" s="2337">
        <f t="shared" si="6"/>
        <v>21.75</v>
      </c>
    </row>
    <row r="1104" spans="1:7" hidden="1">
      <c r="A1104" s="2280"/>
      <c r="B1104" s="2213"/>
      <c r="C1104" s="2339" t="s">
        <v>1714</v>
      </c>
      <c r="D1104" s="2253"/>
      <c r="E1104" s="2341"/>
      <c r="F1104" s="2237"/>
      <c r="G1104" s="2337">
        <f t="shared" ref="G1104:G1111" si="7">ROUND(E1104*F1104,2)</f>
        <v>0</v>
      </c>
    </row>
    <row r="1105" spans="1:7" hidden="1">
      <c r="A1105" s="2280"/>
      <c r="B1105" s="2213"/>
      <c r="C1105" s="2303" t="s">
        <v>1705</v>
      </c>
      <c r="D1105" s="2253" t="s">
        <v>1047</v>
      </c>
      <c r="E1105" s="2341">
        <v>0.12</v>
      </c>
      <c r="F1105" s="2237">
        <f>'Lead- Input sheet '!R34</f>
        <v>805</v>
      </c>
      <c r="G1105" s="2337">
        <f t="shared" si="7"/>
        <v>96.6</v>
      </c>
    </row>
    <row r="1106" spans="1:7" hidden="1">
      <c r="A1106" s="2280"/>
      <c r="B1106" s="2213"/>
      <c r="C1106" s="2303" t="s">
        <v>1706</v>
      </c>
      <c r="D1106" s="2253" t="s">
        <v>1047</v>
      </c>
      <c r="E1106" s="2341">
        <v>0.12</v>
      </c>
      <c r="F1106" s="2237">
        <f>'Lead- Input sheet '!R30</f>
        <v>650</v>
      </c>
      <c r="G1106" s="2337">
        <f t="shared" si="7"/>
        <v>78</v>
      </c>
    </row>
    <row r="1107" spans="1:7" hidden="1">
      <c r="A1107" s="2280"/>
      <c r="B1107" s="2213"/>
      <c r="C1107" s="2303" t="s">
        <v>95</v>
      </c>
      <c r="D1107" s="2253" t="s">
        <v>1047</v>
      </c>
      <c r="E1107" s="2341">
        <v>2.4E-2</v>
      </c>
      <c r="F1107" s="2237">
        <f>'Lead- Input sheet '!R30</f>
        <v>650</v>
      </c>
      <c r="G1107" s="2337">
        <f t="shared" si="7"/>
        <v>15.6</v>
      </c>
    </row>
    <row r="1108" spans="1:7" hidden="1">
      <c r="A1108" s="2280"/>
      <c r="B1108" s="2213"/>
      <c r="C1108" s="2303" t="s">
        <v>1707</v>
      </c>
      <c r="D1108" s="2253" t="s">
        <v>1047</v>
      </c>
      <c r="E1108" s="2341">
        <v>2.4E-2</v>
      </c>
      <c r="F1108" s="2237">
        <f>'Lead- Input sheet '!R36</f>
        <v>650</v>
      </c>
      <c r="G1108" s="2337">
        <f t="shared" si="7"/>
        <v>15.6</v>
      </c>
    </row>
    <row r="1109" spans="1:7" hidden="1">
      <c r="A1109" s="2280"/>
      <c r="B1109" s="2213"/>
      <c r="C1109" s="2303" t="s">
        <v>1708</v>
      </c>
      <c r="D1109" s="2253" t="s">
        <v>1047</v>
      </c>
      <c r="E1109" s="2341">
        <v>1.2E-2</v>
      </c>
      <c r="F1109" s="2237">
        <v>146</v>
      </c>
      <c r="G1109" s="2337">
        <f t="shared" si="7"/>
        <v>1.75</v>
      </c>
    </row>
    <row r="1110" spans="1:7" hidden="1">
      <c r="A1110" s="2280"/>
      <c r="B1110" s="2213"/>
      <c r="C1110" s="2303" t="s">
        <v>1709</v>
      </c>
      <c r="D1110" s="2253" t="s">
        <v>1047</v>
      </c>
      <c r="E1110" s="2341">
        <v>1.2E-2</v>
      </c>
      <c r="F1110" s="2237">
        <v>137</v>
      </c>
      <c r="G1110" s="2337">
        <f t="shared" si="7"/>
        <v>1.64</v>
      </c>
    </row>
    <row r="1111" spans="1:7" hidden="1">
      <c r="A1111" s="2280"/>
      <c r="B1111" s="2213"/>
      <c r="C1111" s="2303" t="s">
        <v>1710</v>
      </c>
      <c r="D1111" s="2253" t="s">
        <v>1047</v>
      </c>
      <c r="E1111" s="2341">
        <v>7.1999999999999995E-2</v>
      </c>
      <c r="F1111" s="2237">
        <f>'Lead- Input sheet '!R28</f>
        <v>605</v>
      </c>
      <c r="G1111" s="2337">
        <f t="shared" si="7"/>
        <v>43.56</v>
      </c>
    </row>
    <row r="1112" spans="1:7" hidden="1">
      <c r="A1112" s="2227"/>
      <c r="B1112" s="2224"/>
      <c r="C1112" s="2232" t="s">
        <v>2617</v>
      </c>
      <c r="D1112" s="2233"/>
      <c r="E1112" s="2233">
        <v>0.2</v>
      </c>
      <c r="F1112" s="2237">
        <f>ROUND(SUM(G1105:G1111),2)</f>
        <v>252.75</v>
      </c>
      <c r="G1112" s="2238">
        <f>ROUND(F1112*E1112,2)</f>
        <v>50.55</v>
      </c>
    </row>
    <row r="1113" spans="1:7" hidden="1">
      <c r="A1113" s="2280"/>
      <c r="B1113" s="2213"/>
      <c r="C1113" s="2339" t="s">
        <v>1715</v>
      </c>
      <c r="D1113" s="2253"/>
      <c r="E1113" s="2341"/>
      <c r="F1113" s="2237"/>
      <c r="G1113" s="2337"/>
    </row>
    <row r="1114" spans="1:7" hidden="1">
      <c r="A1114" s="2280"/>
      <c r="B1114" s="2213"/>
      <c r="C1114" s="2303" t="s">
        <v>1711</v>
      </c>
      <c r="D1114" s="2253" t="s">
        <v>1216</v>
      </c>
      <c r="E1114" s="2341">
        <v>0.32</v>
      </c>
      <c r="F1114" s="2237">
        <f>F1086</f>
        <v>146</v>
      </c>
      <c r="G1114" s="2337">
        <f>ROUND(E1114*F1114,2)</f>
        <v>46.72</v>
      </c>
    </row>
    <row r="1115" spans="1:7" hidden="1">
      <c r="A1115" s="2280"/>
      <c r="B1115" s="2213"/>
      <c r="C1115" s="2303" t="s">
        <v>1712</v>
      </c>
      <c r="D1115" s="2253" t="s">
        <v>1216</v>
      </c>
      <c r="E1115" s="2341">
        <v>0.32</v>
      </c>
      <c r="F1115" s="2237">
        <f>F1087</f>
        <v>137</v>
      </c>
      <c r="G1115" s="2337">
        <f>ROUND(E1115*F1115,2)</f>
        <v>43.84</v>
      </c>
    </row>
    <row r="1116" spans="1:7" hidden="1">
      <c r="A1116" s="2280"/>
      <c r="B1116" s="2213"/>
      <c r="C1116" s="2303" t="s">
        <v>1713</v>
      </c>
      <c r="D1116" s="2253"/>
      <c r="E1116" s="2342">
        <v>0.01</v>
      </c>
      <c r="F1116" s="2237">
        <f>SUM(G1096:G1115)</f>
        <v>957.44999999999993</v>
      </c>
      <c r="G1116" s="2337">
        <f>ROUND(E1116*F1116,2)</f>
        <v>9.57</v>
      </c>
    </row>
    <row r="1117" spans="1:7" hidden="1">
      <c r="A1117" s="2280"/>
      <c r="B1117" s="2213"/>
      <c r="C1117" s="2253" t="s">
        <v>97</v>
      </c>
      <c r="D1117" s="2253"/>
      <c r="E1117" s="2341"/>
      <c r="F1117" s="2237"/>
      <c r="G1117" s="2337"/>
    </row>
    <row r="1118" spans="1:7" hidden="1">
      <c r="A1118" s="2224"/>
      <c r="B1118" s="2224"/>
      <c r="C1118" s="2225" t="s">
        <v>1600</v>
      </c>
      <c r="D1118" s="2242"/>
      <c r="E1118" s="2242">
        <f>'Lead- Input sheet '!$Q$32</f>
        <v>0</v>
      </c>
      <c r="F1118" s="2249">
        <f>SUM(G1096:G1116)</f>
        <v>967.02</v>
      </c>
      <c r="G1118" s="2337">
        <v>0</v>
      </c>
    </row>
    <row r="1119" spans="1:7" hidden="1">
      <c r="A1119" s="2280"/>
      <c r="B1119" s="2213"/>
      <c r="C1119" s="2253" t="s">
        <v>1717</v>
      </c>
      <c r="D1119" s="2253"/>
      <c r="E1119" s="2341"/>
      <c r="F1119" s="2237"/>
      <c r="G1119" s="2247">
        <f>SUM(G1096:G1118)</f>
        <v>967.02</v>
      </c>
    </row>
    <row r="1120" spans="1:7" ht="138.6" hidden="1">
      <c r="A1120" s="2280"/>
      <c r="B1120" s="2213">
        <v>54</v>
      </c>
      <c r="C1120" s="2232" t="s">
        <v>1727</v>
      </c>
      <c r="D1120" s="2253"/>
      <c r="E1120" s="2237"/>
      <c r="F1120" s="2237"/>
      <c r="G1120" s="2337"/>
    </row>
    <row r="1121" spans="1:7" hidden="1">
      <c r="A1121" s="2280"/>
      <c r="B1121" s="2213"/>
      <c r="C1121" s="2253" t="s">
        <v>1728</v>
      </c>
      <c r="D1121" s="2253"/>
      <c r="E1121" s="2237"/>
      <c r="F1121" s="2237"/>
      <c r="G1121" s="2337"/>
    </row>
    <row r="1122" spans="1:7" hidden="1">
      <c r="A1122" s="2280"/>
      <c r="B1122" s="2213"/>
      <c r="C1122" s="2339"/>
      <c r="D1122" s="2253"/>
      <c r="E1122" s="2237"/>
      <c r="F1122" s="2237"/>
      <c r="G1122" s="2337"/>
    </row>
    <row r="1123" spans="1:7" ht="25.2" hidden="1">
      <c r="A1123" s="2280"/>
      <c r="B1123" s="2213" t="s">
        <v>1889</v>
      </c>
      <c r="C1123" s="2303" t="s">
        <v>1729</v>
      </c>
      <c r="D1123" s="2253" t="s">
        <v>1730</v>
      </c>
      <c r="E1123" s="2341">
        <v>23</v>
      </c>
      <c r="F1123" s="2237">
        <v>41</v>
      </c>
      <c r="G1123" s="2337">
        <f>ROUND(E1123*F1123,2)</f>
        <v>943</v>
      </c>
    </row>
    <row r="1124" spans="1:7" hidden="1">
      <c r="A1124" s="2280"/>
      <c r="B1124" s="2213"/>
      <c r="C1124" s="2339" t="s">
        <v>1714</v>
      </c>
      <c r="D1124" s="2253"/>
      <c r="E1124" s="2341"/>
      <c r="F1124" s="2237"/>
      <c r="G1124" s="2337">
        <f>ROUND(E1124*F1124,2)</f>
        <v>0</v>
      </c>
    </row>
    <row r="1125" spans="1:7" hidden="1">
      <c r="A1125" s="2280"/>
      <c r="B1125" s="2213"/>
      <c r="C1125" s="2303" t="s">
        <v>95</v>
      </c>
      <c r="D1125" s="2253" t="s">
        <v>1047</v>
      </c>
      <c r="E1125" s="2341">
        <v>0.27300000000000002</v>
      </c>
      <c r="F1125" s="2237">
        <f>'Lead- Input sheet '!R32</f>
        <v>780</v>
      </c>
      <c r="G1125" s="2337">
        <f>ROUND(E1125*F1125,2)</f>
        <v>212.94</v>
      </c>
    </row>
    <row r="1126" spans="1:7" hidden="1">
      <c r="A1126" s="2280"/>
      <c r="B1126" s="2213"/>
      <c r="C1126" s="2303" t="s">
        <v>1707</v>
      </c>
      <c r="D1126" s="2253" t="s">
        <v>1047</v>
      </c>
      <c r="E1126" s="2341">
        <v>0.63700000000000001</v>
      </c>
      <c r="F1126" s="2237">
        <f>'Lead- Input sheet '!R36</f>
        <v>650</v>
      </c>
      <c r="G1126" s="2337">
        <f>ROUND(E1126*F1126,2)</f>
        <v>414.05</v>
      </c>
    </row>
    <row r="1127" spans="1:7" hidden="1">
      <c r="A1127" s="2280"/>
      <c r="B1127" s="2213"/>
      <c r="C1127" s="2303" t="s">
        <v>1710</v>
      </c>
      <c r="D1127" s="2253" t="s">
        <v>1047</v>
      </c>
      <c r="E1127" s="2341">
        <v>0.91</v>
      </c>
      <c r="F1127" s="2237">
        <f>'Lead- Input sheet '!R28</f>
        <v>605</v>
      </c>
      <c r="G1127" s="2337">
        <f>ROUND(E1127*F1127,2)</f>
        <v>550.54999999999995</v>
      </c>
    </row>
    <row r="1128" spans="1:7" hidden="1">
      <c r="A1128" s="2280"/>
      <c r="B1128" s="2213"/>
      <c r="C1128" s="2232" t="s">
        <v>2617</v>
      </c>
      <c r="D1128" s="2233"/>
      <c r="E1128" s="2233">
        <f>'Lead- Input sheet '!Q61</f>
        <v>0</v>
      </c>
      <c r="F1128" s="2237">
        <f>ROUND(SUM(G1125:G1127),2)</f>
        <v>1177.54</v>
      </c>
      <c r="G1128" s="2238">
        <f>ROUND(F1128*E1128,2)</f>
        <v>0</v>
      </c>
    </row>
    <row r="1129" spans="1:7" hidden="1">
      <c r="A1129" s="2280"/>
      <c r="B1129" s="2213"/>
      <c r="C1129" s="2253" t="s">
        <v>97</v>
      </c>
      <c r="D1129" s="2253"/>
      <c r="E1129" s="2341"/>
      <c r="F1129" s="2237"/>
      <c r="G1129" s="2337">
        <f>SUM(G1123:G1128)</f>
        <v>2120.54</v>
      </c>
    </row>
    <row r="1130" spans="1:7" hidden="1">
      <c r="A1130" s="2280"/>
      <c r="B1130" s="2213"/>
      <c r="C1130" s="2225" t="s">
        <v>1600</v>
      </c>
      <c r="D1130" s="2242"/>
      <c r="E1130" s="2242">
        <f>'Lead- Input sheet '!$Q$32</f>
        <v>0</v>
      </c>
      <c r="F1130" s="2249">
        <f>SUM(G1123:G1128)</f>
        <v>2120.54</v>
      </c>
      <c r="G1130" s="2337">
        <f>ROUND(E1130*F1130,2)</f>
        <v>0</v>
      </c>
    </row>
    <row r="1131" spans="1:7" hidden="1">
      <c r="A1131" s="2280"/>
      <c r="B1131" s="2213"/>
      <c r="C1131" s="2253" t="s">
        <v>1731</v>
      </c>
      <c r="D1131" s="2253"/>
      <c r="E1131" s="2237"/>
      <c r="F1131" s="2237"/>
      <c r="G1131" s="2247">
        <f>SUM(G1129:G1130)</f>
        <v>2120.54</v>
      </c>
    </row>
    <row r="1132" spans="1:7" ht="151.19999999999999" hidden="1">
      <c r="A1132" s="2280"/>
      <c r="B1132" s="2213">
        <v>55</v>
      </c>
      <c r="C1132" s="2281" t="s">
        <v>1958</v>
      </c>
      <c r="D1132" s="2228"/>
      <c r="E1132" s="2228"/>
      <c r="F1132" s="2237"/>
      <c r="G1132" s="2337"/>
    </row>
    <row r="1133" spans="1:7" hidden="1">
      <c r="A1133" s="2280"/>
      <c r="B1133" s="2213"/>
      <c r="C1133" s="2281" t="s">
        <v>1227</v>
      </c>
      <c r="D1133" s="2228"/>
      <c r="E1133" s="2228"/>
      <c r="F1133" s="2237"/>
      <c r="G1133" s="2337"/>
    </row>
    <row r="1134" spans="1:7" hidden="1">
      <c r="A1134" s="2280"/>
      <c r="B1134" s="2213"/>
      <c r="C1134" s="2281" t="s">
        <v>1041</v>
      </c>
      <c r="D1134" s="2228"/>
      <c r="E1134" s="2228"/>
      <c r="F1134" s="2237"/>
      <c r="G1134" s="2337"/>
    </row>
    <row r="1135" spans="1:7" ht="25.2" hidden="1">
      <c r="A1135" s="2280"/>
      <c r="B1135" s="2213" t="s">
        <v>2016</v>
      </c>
      <c r="C1135" s="2283" t="s">
        <v>1733</v>
      </c>
      <c r="D1135" s="2228" t="s">
        <v>987</v>
      </c>
      <c r="E1135" s="2228">
        <v>10.1</v>
      </c>
      <c r="F1135" s="2237">
        <f>'Lead- Input sheet '!R26</f>
        <v>3209.0725256348192</v>
      </c>
      <c r="G1135" s="2238">
        <f>ROUND(E1135*F1135/1,2)</f>
        <v>32411.63</v>
      </c>
    </row>
    <row r="1136" spans="1:7" hidden="1">
      <c r="A1136" s="2280"/>
      <c r="B1136" s="2213"/>
      <c r="C1136" s="2283" t="s">
        <v>991</v>
      </c>
      <c r="D1136" s="2228" t="s">
        <v>1042</v>
      </c>
      <c r="E1136" s="2228">
        <v>36</v>
      </c>
      <c r="F1136" s="2237">
        <f>'Lead- Input sheet '!R8</f>
        <v>6656</v>
      </c>
      <c r="G1136" s="2238">
        <f>ROUND(E1136*F1136/1000,2)</f>
        <v>239.62</v>
      </c>
    </row>
    <row r="1137" spans="1:7" hidden="1">
      <c r="A1137" s="2280"/>
      <c r="B1137" s="2213"/>
      <c r="C1137" s="2283" t="s">
        <v>701</v>
      </c>
      <c r="D1137" s="2228" t="s">
        <v>1734</v>
      </c>
      <c r="E1137" s="2228">
        <v>33</v>
      </c>
      <c r="F1137" s="2237">
        <f>'Lead- Input sheet '!R8</f>
        <v>6656</v>
      </c>
      <c r="G1137" s="2238">
        <f>ROUND(E1137*F1137/1000,2)</f>
        <v>219.65</v>
      </c>
    </row>
    <row r="1138" spans="1:7" hidden="1">
      <c r="A1138" s="2280"/>
      <c r="B1138" s="2213"/>
      <c r="C1138" s="2283" t="s">
        <v>992</v>
      </c>
      <c r="D1138" s="2228" t="s">
        <v>1042</v>
      </c>
      <c r="E1138" s="2228">
        <v>6</v>
      </c>
      <c r="F1138" s="2237">
        <f>F779</f>
        <v>36</v>
      </c>
      <c r="G1138" s="2238">
        <f>ROUND(E1138*F1138/1,2)</f>
        <v>216</v>
      </c>
    </row>
    <row r="1139" spans="1:7" hidden="1">
      <c r="A1139" s="2280"/>
      <c r="B1139" s="2213"/>
      <c r="C1139" s="2283" t="s">
        <v>702</v>
      </c>
      <c r="D1139" s="2228" t="s">
        <v>1042</v>
      </c>
      <c r="E1139" s="2228"/>
      <c r="F1139" s="2237">
        <f>'Lead- Input sheet '!R8</f>
        <v>6656</v>
      </c>
      <c r="G1139" s="2238">
        <f>ROUND(E1139*F1139,2)</f>
        <v>0</v>
      </c>
    </row>
    <row r="1140" spans="1:7" hidden="1">
      <c r="A1140" s="2280"/>
      <c r="B1140" s="2213"/>
      <c r="C1140" s="2283" t="s">
        <v>990</v>
      </c>
      <c r="D1140" s="2228" t="s">
        <v>1473</v>
      </c>
      <c r="E1140" s="2228">
        <v>0.2</v>
      </c>
      <c r="F1140" s="2237">
        <f>'Lead- Input sheet '!R11</f>
        <v>1239.6380759582803</v>
      </c>
      <c r="G1140" s="2238">
        <f>ROUND(E1140*F1140/1,2)</f>
        <v>247.93</v>
      </c>
    </row>
    <row r="1141" spans="1:7" hidden="1">
      <c r="A1141" s="2280"/>
      <c r="B1141" s="2213"/>
      <c r="C1141" s="2281" t="s">
        <v>653</v>
      </c>
      <c r="D1141" s="2228"/>
      <c r="E1141" s="2228"/>
      <c r="F1141" s="2237"/>
      <c r="G1141" s="2238"/>
    </row>
    <row r="1142" spans="1:7" ht="14.1" hidden="1">
      <c r="A1142" s="2280"/>
      <c r="B1142" s="2213"/>
      <c r="C1142" s="2283" t="s">
        <v>3589</v>
      </c>
      <c r="D1142" s="2228" t="s">
        <v>1047</v>
      </c>
      <c r="E1142" s="2228">
        <v>3</v>
      </c>
      <c r="F1142" s="2237">
        <f>'Lead- Input sheet '!R31</f>
        <v>680</v>
      </c>
      <c r="G1142" s="2238">
        <f>ROUND(E1142*F1142,2)</f>
        <v>2040</v>
      </c>
    </row>
    <row r="1143" spans="1:7" ht="14.1" hidden="1">
      <c r="A1143" s="2280"/>
      <c r="B1143" s="2213"/>
      <c r="C1143" s="2283" t="s">
        <v>3593</v>
      </c>
      <c r="D1143" s="2228" t="s">
        <v>1047</v>
      </c>
      <c r="E1143" s="2228">
        <v>1</v>
      </c>
      <c r="F1143" s="2237">
        <f>'Lead- Input sheet '!R30</f>
        <v>650</v>
      </c>
      <c r="G1143" s="2238">
        <f>ROUND(F1143*E1143,2)</f>
        <v>650</v>
      </c>
    </row>
    <row r="1144" spans="1:7" hidden="1">
      <c r="A1144" s="2280"/>
      <c r="B1144" s="2213"/>
      <c r="C1144" s="2283" t="s">
        <v>706</v>
      </c>
      <c r="D1144" s="2228" t="s">
        <v>1047</v>
      </c>
      <c r="E1144" s="2228">
        <v>8</v>
      </c>
      <c r="F1144" s="2237">
        <f>'Lead- Input sheet '!R29</f>
        <v>605</v>
      </c>
      <c r="G1144" s="2238">
        <f>ROUND(E1144*F1144,2)</f>
        <v>4840</v>
      </c>
    </row>
    <row r="1145" spans="1:7" hidden="1">
      <c r="A1145" s="2280"/>
      <c r="B1145" s="2213"/>
      <c r="C1145" s="2283" t="s">
        <v>1221</v>
      </c>
      <c r="D1145" s="2228"/>
      <c r="E1145" s="2343">
        <v>0.01</v>
      </c>
      <c r="F1145" s="2237"/>
      <c r="G1145" s="2238">
        <f>SUM(G1135:G1144)*1%</f>
        <v>408.64830000000001</v>
      </c>
    </row>
    <row r="1146" spans="1:7" hidden="1">
      <c r="A1146" s="2280"/>
      <c r="B1146" s="2213"/>
      <c r="C1146" s="2232" t="s">
        <v>2617</v>
      </c>
      <c r="D1146" s="2233"/>
      <c r="E1146" s="2233">
        <f>'Lead- Input sheet '!Q31</f>
        <v>0</v>
      </c>
      <c r="F1146" s="2237">
        <f>ROUND(SUM(G1142:G1144),2)</f>
        <v>7530</v>
      </c>
      <c r="G1146" s="2238">
        <f>ROUND(F1146*E1146,2)</f>
        <v>0</v>
      </c>
    </row>
    <row r="1147" spans="1:7" hidden="1">
      <c r="A1147" s="2280"/>
      <c r="B1147" s="2213"/>
      <c r="C1147" s="2281" t="s">
        <v>1048</v>
      </c>
      <c r="D1147" s="2228"/>
      <c r="E1147" s="2228"/>
      <c r="F1147" s="2247" t="s">
        <v>1486</v>
      </c>
      <c r="G1147" s="2244">
        <f>SUM(G1135:G1146)</f>
        <v>41273.478300000002</v>
      </c>
    </row>
    <row r="1148" spans="1:7" hidden="1">
      <c r="A1148" s="2280"/>
      <c r="B1148" s="2213"/>
      <c r="C1148" s="2281" t="s">
        <v>1992</v>
      </c>
      <c r="D1148" s="2228"/>
      <c r="E1148" s="2228"/>
      <c r="F1148" s="2247" t="s">
        <v>1486</v>
      </c>
      <c r="G1148" s="2244">
        <f>G1147/10</f>
        <v>4127.3478300000006</v>
      </c>
    </row>
    <row r="1149" spans="1:7" ht="152.69999999999999" hidden="1">
      <c r="A1149" s="2213" t="s">
        <v>1753</v>
      </c>
      <c r="B1149" s="2213">
        <v>56</v>
      </c>
      <c r="C1149" s="2283" t="s">
        <v>3608</v>
      </c>
      <c r="D1149" s="2228"/>
      <c r="E1149" s="2228"/>
      <c r="F1149" s="2237"/>
      <c r="G1149" s="2337"/>
    </row>
    <row r="1150" spans="1:7" hidden="1">
      <c r="A1150" s="2280"/>
      <c r="B1150" s="2213"/>
      <c r="C1150" s="2281" t="s">
        <v>1736</v>
      </c>
      <c r="D1150" s="2228"/>
      <c r="E1150" s="2228"/>
      <c r="F1150" s="2237"/>
      <c r="G1150" s="2337"/>
    </row>
    <row r="1151" spans="1:7" hidden="1">
      <c r="A1151" s="2280"/>
      <c r="B1151" s="2213"/>
      <c r="C1151" s="2281" t="s">
        <v>1041</v>
      </c>
      <c r="D1151" s="2228"/>
      <c r="E1151" s="2228"/>
      <c r="F1151" s="2237"/>
      <c r="G1151" s="2337"/>
    </row>
    <row r="1152" spans="1:7" ht="37.799999999999997" hidden="1">
      <c r="A1152" s="2280"/>
      <c r="B1152" s="2213" t="s">
        <v>1959</v>
      </c>
      <c r="C1152" s="2283" t="s">
        <v>2612</v>
      </c>
      <c r="D1152" s="2228" t="s">
        <v>987</v>
      </c>
      <c r="E1152" s="2228">
        <v>10</v>
      </c>
      <c r="F1152" s="2280">
        <f>1*1*0.8/1000*7850*68</f>
        <v>427.04</v>
      </c>
      <c r="G1152" s="2238">
        <f>ROUND(E1152*F1152,2)</f>
        <v>4270.3999999999996</v>
      </c>
    </row>
    <row r="1153" spans="1:11" ht="25.2" hidden="1">
      <c r="A1153" s="2280"/>
      <c r="B1153" s="2213" t="s">
        <v>1993</v>
      </c>
      <c r="C1153" s="2283" t="s">
        <v>1737</v>
      </c>
      <c r="D1153" s="2228" t="s">
        <v>882</v>
      </c>
      <c r="E1153" s="2228">
        <f>884/18.45</f>
        <v>47.913279132791331</v>
      </c>
      <c r="F1153" s="2237">
        <v>8</v>
      </c>
      <c r="G1153" s="2238">
        <f>ROUND(E1153*F1153,2)</f>
        <v>383.31</v>
      </c>
    </row>
    <row r="1154" spans="1:11" ht="25.2" hidden="1">
      <c r="A1154" s="2280"/>
      <c r="B1154" s="2213" t="s">
        <v>1994</v>
      </c>
      <c r="C1154" s="2283" t="s">
        <v>1738</v>
      </c>
      <c r="D1154" s="2228" t="s">
        <v>882</v>
      </c>
      <c r="E1154" s="2228"/>
      <c r="F1154" s="2237">
        <v>8</v>
      </c>
      <c r="G1154" s="2337"/>
    </row>
    <row r="1155" spans="1:11" ht="25.2" hidden="1">
      <c r="A1155" s="2280"/>
      <c r="B1155" s="2213" t="s">
        <v>1995</v>
      </c>
      <c r="C1155" s="2283" t="s">
        <v>1739</v>
      </c>
      <c r="D1155" s="2228" t="s">
        <v>882</v>
      </c>
      <c r="E1155" s="2228">
        <f>810/18.45</f>
        <v>43.902439024390247</v>
      </c>
      <c r="F1155" s="2237">
        <v>12</v>
      </c>
      <c r="G1155" s="2238">
        <f>ROUND(E1155*F1155,2)</f>
        <v>526.83000000000004</v>
      </c>
    </row>
    <row r="1156" spans="1:11" ht="25.2" hidden="1">
      <c r="A1156" s="2280"/>
      <c r="B1156" s="2213" t="s">
        <v>1996</v>
      </c>
      <c r="C1156" s="2283" t="s">
        <v>1740</v>
      </c>
      <c r="D1156" s="2228" t="s">
        <v>882</v>
      </c>
      <c r="E1156" s="2228">
        <f>1694/18.45</f>
        <v>91.815718157181578</v>
      </c>
      <c r="F1156" s="2237">
        <v>4</v>
      </c>
      <c r="G1156" s="2238">
        <f>ROUND(E1156*F1156,2)</f>
        <v>367.26</v>
      </c>
    </row>
    <row r="1157" spans="1:11" ht="25.2" hidden="1">
      <c r="A1157" s="2280"/>
      <c r="B1157" s="2213" t="s">
        <v>1997</v>
      </c>
      <c r="C1157" s="2283" t="s">
        <v>1741</v>
      </c>
      <c r="D1157" s="2228" t="s">
        <v>882</v>
      </c>
      <c r="E1157" s="2228">
        <f>1694/18.45</f>
        <v>91.815718157181578</v>
      </c>
      <c r="F1157" s="2237">
        <v>4</v>
      </c>
      <c r="G1157" s="2238">
        <f>ROUND(E1157*F1157,2)</f>
        <v>367.26</v>
      </c>
    </row>
    <row r="1158" spans="1:11" ht="25.2" hidden="1">
      <c r="A1158" s="2280"/>
      <c r="B1158" s="2213" t="s">
        <v>1998</v>
      </c>
      <c r="C1158" s="2283" t="s">
        <v>1742</v>
      </c>
      <c r="D1158" s="2228" t="s">
        <v>1743</v>
      </c>
      <c r="E1158" s="2228">
        <f>2.53/18.45</f>
        <v>0.13712737127371274</v>
      </c>
      <c r="F1158" s="2237">
        <v>236</v>
      </c>
      <c r="G1158" s="2238">
        <f>ROUND(E1158*F1158,2)</f>
        <v>32.36</v>
      </c>
    </row>
    <row r="1159" spans="1:11" ht="25.2" hidden="1">
      <c r="A1159" s="2280"/>
      <c r="B1159" s="2213" t="s">
        <v>1615</v>
      </c>
      <c r="C1159" s="2283" t="s">
        <v>1744</v>
      </c>
      <c r="D1159" s="2228" t="s">
        <v>1743</v>
      </c>
      <c r="E1159" s="2228">
        <f>3.75/18.45</f>
        <v>0.2032520325203252</v>
      </c>
      <c r="F1159" s="2237">
        <v>289</v>
      </c>
      <c r="G1159" s="2238">
        <f>ROUND(E1159*F1159,2)</f>
        <v>58.74</v>
      </c>
    </row>
    <row r="1160" spans="1:11" hidden="1">
      <c r="A1160" s="2280"/>
      <c r="B1160" s="2213"/>
      <c r="C1160" s="2281" t="s">
        <v>653</v>
      </c>
      <c r="D1160" s="2228"/>
      <c r="E1160" s="2228"/>
      <c r="F1160" s="2237"/>
      <c r="G1160" s="2337"/>
    </row>
    <row r="1161" spans="1:11" hidden="1">
      <c r="A1161" s="2280"/>
      <c r="B1161" s="2213"/>
      <c r="C1161" s="2281" t="s">
        <v>1745</v>
      </c>
      <c r="D1161" s="2228"/>
      <c r="E1161" s="2228"/>
      <c r="F1161" s="2237"/>
      <c r="G1161" s="2337"/>
    </row>
    <row r="1162" spans="1:11" hidden="1">
      <c r="A1162" s="2280"/>
      <c r="B1162" s="2213"/>
      <c r="C1162" s="2283" t="s">
        <v>1746</v>
      </c>
      <c r="D1162" s="2228" t="s">
        <v>1047</v>
      </c>
      <c r="E1162" s="2228">
        <f>15.5/18.45</f>
        <v>0.84010840108401086</v>
      </c>
      <c r="F1162" s="2237">
        <f>'Lead- Input sheet '!R36</f>
        <v>650</v>
      </c>
      <c r="G1162" s="2238">
        <f>ROUND(E1162*F1162,2)</f>
        <v>546.07000000000005</v>
      </c>
    </row>
    <row r="1163" spans="1:11" hidden="1">
      <c r="A1163" s="2280"/>
      <c r="B1163" s="2213"/>
      <c r="C1163" s="2283" t="s">
        <v>1747</v>
      </c>
      <c r="D1163" s="2228" t="s">
        <v>1047</v>
      </c>
      <c r="E1163" s="2228">
        <f>16.8/18.45</f>
        <v>0.91056910569105698</v>
      </c>
      <c r="F1163" s="2237">
        <f>'Lead- Input sheet '!R28</f>
        <v>605</v>
      </c>
      <c r="G1163" s="2238">
        <f>ROUND(E1163*F1163,2)</f>
        <v>550.89</v>
      </c>
    </row>
    <row r="1164" spans="1:11" hidden="1">
      <c r="A1164" s="2280"/>
      <c r="B1164" s="2213"/>
      <c r="C1164" s="2281" t="s">
        <v>1748</v>
      </c>
      <c r="D1164" s="2228"/>
      <c r="E1164" s="2228"/>
      <c r="F1164" s="2237"/>
      <c r="G1164" s="2337"/>
    </row>
    <row r="1165" spans="1:11" hidden="1">
      <c r="A1165" s="2280"/>
      <c r="B1165" s="2213"/>
      <c r="C1165" s="2283" t="s">
        <v>989</v>
      </c>
      <c r="D1165" s="2228" t="s">
        <v>1047</v>
      </c>
      <c r="E1165" s="2228">
        <f>1.13/18.45</f>
        <v>6.1246612466124659E-2</v>
      </c>
      <c r="F1165" s="2237">
        <f>'Lead- Input sheet '!R36</f>
        <v>650</v>
      </c>
      <c r="G1165" s="2238">
        <f>ROUND(E1165*F1165,2)</f>
        <v>39.81</v>
      </c>
    </row>
    <row r="1166" spans="1:11" hidden="1">
      <c r="A1166" s="2280"/>
      <c r="B1166" s="2213"/>
      <c r="C1166" s="2283" t="s">
        <v>1749</v>
      </c>
      <c r="D1166" s="2228" t="s">
        <v>1047</v>
      </c>
      <c r="E1166" s="2228">
        <f>1.13/18.45</f>
        <v>6.1246612466124659E-2</v>
      </c>
      <c r="F1166" s="2344">
        <f>'Lead- Input sheet '!R28</f>
        <v>605</v>
      </c>
      <c r="G1166" s="2238">
        <f>ROUND(E1166*F1166,2)</f>
        <v>37.049999999999997</v>
      </c>
      <c r="H1166" s="2218"/>
      <c r="J1166" s="2218"/>
      <c r="K1166" s="2218"/>
    </row>
    <row r="1167" spans="1:11" hidden="1">
      <c r="A1167" s="2280"/>
      <c r="B1167" s="2213"/>
      <c r="C1167" s="2281" t="s">
        <v>1750</v>
      </c>
      <c r="D1167" s="2228"/>
      <c r="E1167" s="2228"/>
      <c r="F1167" s="2344"/>
      <c r="G1167" s="2253"/>
      <c r="H1167" s="2218"/>
      <c r="J1167" s="2218"/>
      <c r="K1167" s="2218"/>
    </row>
    <row r="1168" spans="1:11" hidden="1">
      <c r="A1168" s="2280"/>
      <c r="B1168" s="2213"/>
      <c r="C1168" s="2283" t="s">
        <v>989</v>
      </c>
      <c r="D1168" s="2228" t="s">
        <v>1047</v>
      </c>
      <c r="E1168" s="2228">
        <f>2.53/18.45</f>
        <v>0.13712737127371274</v>
      </c>
      <c r="F1168" s="2237">
        <f>'Lead- Input sheet '!R36</f>
        <v>650</v>
      </c>
      <c r="G1168" s="2238">
        <f>ROUND(E1168*F1168,2)</f>
        <v>89.13</v>
      </c>
    </row>
    <row r="1169" spans="1:9" hidden="1">
      <c r="A1169" s="2280"/>
      <c r="B1169" s="2213"/>
      <c r="C1169" s="2283" t="s">
        <v>1751</v>
      </c>
      <c r="D1169" s="2228" t="s">
        <v>1047</v>
      </c>
      <c r="E1169" s="2228">
        <f>2.53/18.45</f>
        <v>0.13712737127371274</v>
      </c>
      <c r="F1169" s="2237">
        <f>'Lead- Input sheet '!R28</f>
        <v>605</v>
      </c>
      <c r="G1169" s="2238">
        <f>ROUND(E1169*F1169,2)</f>
        <v>82.96</v>
      </c>
    </row>
    <row r="1170" spans="1:9" hidden="1">
      <c r="A1170" s="2280"/>
      <c r="B1170" s="2213"/>
      <c r="C1170" s="2232" t="s">
        <v>2617</v>
      </c>
      <c r="D1170" s="2233"/>
      <c r="E1170" s="2233">
        <f>'Lead- Input sheet '!Q31</f>
        <v>0</v>
      </c>
      <c r="F1170" s="2237">
        <f>SUM(G1162:G1169)</f>
        <v>1345.9099999999999</v>
      </c>
      <c r="G1170" s="2238">
        <f>ROUND(F1170*E1170,2)</f>
        <v>0</v>
      </c>
    </row>
    <row r="1171" spans="1:9" hidden="1">
      <c r="A1171" s="2280"/>
      <c r="B1171" s="2213"/>
      <c r="C1171" s="2225" t="s">
        <v>1600</v>
      </c>
      <c r="D1171" s="2242"/>
      <c r="E1171" s="2242">
        <f>'Lead- Input sheet '!$Q$32</f>
        <v>0</v>
      </c>
      <c r="F1171" s="2249">
        <f>SUM(G1152:G1170)</f>
        <v>7352.0700000000006</v>
      </c>
      <c r="G1171" s="2337">
        <f>ROUND(E1171*F1171,2)</f>
        <v>0</v>
      </c>
    </row>
    <row r="1172" spans="1:9" hidden="1">
      <c r="A1172" s="2280"/>
      <c r="B1172" s="2213"/>
      <c r="C1172" s="2281" t="s">
        <v>1048</v>
      </c>
      <c r="D1172" s="2228"/>
      <c r="E1172" s="2228"/>
      <c r="F1172" s="2237"/>
      <c r="G1172" s="2337">
        <f>SUM(G1152:G1171)</f>
        <v>7352.0700000000006</v>
      </c>
    </row>
    <row r="1173" spans="1:9" hidden="1">
      <c r="A1173" s="2280"/>
      <c r="B1173" s="2213"/>
      <c r="C1173" s="2281" t="s">
        <v>1752</v>
      </c>
      <c r="D1173" s="2228"/>
      <c r="E1173" s="2228"/>
      <c r="F1173" s="2237"/>
      <c r="G1173" s="2337">
        <f>ROUND(G1172/10,2)</f>
        <v>735.21</v>
      </c>
    </row>
    <row r="1174" spans="1:9" ht="140.1" hidden="1">
      <c r="A1174" s="2278" t="s">
        <v>1757</v>
      </c>
      <c r="B1174" s="2224"/>
      <c r="C1174" s="2281" t="s">
        <v>3609</v>
      </c>
      <c r="D1174" s="2228"/>
      <c r="E1174" s="2228"/>
      <c r="F1174" s="2237"/>
      <c r="G1174" s="2337"/>
    </row>
    <row r="1175" spans="1:9" hidden="1">
      <c r="A1175" s="2280"/>
      <c r="B1175" s="2213"/>
      <c r="C1175" s="2281" t="s">
        <v>1227</v>
      </c>
      <c r="D1175" s="2228"/>
      <c r="E1175" s="2228"/>
      <c r="F1175" s="2237"/>
      <c r="G1175" s="2337"/>
    </row>
    <row r="1176" spans="1:9" hidden="1">
      <c r="A1176" s="2280"/>
      <c r="B1176" s="2213"/>
      <c r="C1176" s="2281" t="s">
        <v>1041</v>
      </c>
      <c r="D1176" s="2228"/>
      <c r="E1176" s="2228"/>
      <c r="F1176" s="2237"/>
      <c r="G1176" s="2337"/>
    </row>
    <row r="1177" spans="1:9" ht="37.799999999999997" hidden="1">
      <c r="A1177" s="2280"/>
      <c r="B1177" s="2213" t="s">
        <v>3142</v>
      </c>
      <c r="C1177" s="2283" t="s">
        <v>3610</v>
      </c>
      <c r="D1177" s="2228" t="s">
        <v>987</v>
      </c>
      <c r="E1177" s="2228">
        <v>10.5</v>
      </c>
      <c r="F1177" s="2237">
        <v>578</v>
      </c>
      <c r="G1177" s="2337">
        <f>F1177*E1177</f>
        <v>6069</v>
      </c>
      <c r="H1177" s="2251" t="s">
        <v>1877</v>
      </c>
      <c r="I1177" s="2251">
        <v>481</v>
      </c>
    </row>
    <row r="1178" spans="1:9" hidden="1">
      <c r="A1178" s="2280"/>
      <c r="B1178" s="2213"/>
      <c r="C1178" s="2283" t="s">
        <v>1754</v>
      </c>
      <c r="D1178" s="2228" t="s">
        <v>1042</v>
      </c>
      <c r="E1178" s="2228">
        <v>21.6</v>
      </c>
      <c r="F1178" s="2237">
        <f>'Lead- Input sheet '!R8</f>
        <v>6656</v>
      </c>
      <c r="G1178" s="2337">
        <f>ROUND(F1178*E1178/1000,2)</f>
        <v>143.77000000000001</v>
      </c>
    </row>
    <row r="1179" spans="1:9" hidden="1">
      <c r="A1179" s="2280"/>
      <c r="B1179" s="2213"/>
      <c r="C1179" s="2283" t="s">
        <v>701</v>
      </c>
      <c r="D1179" s="2228" t="s">
        <v>1042</v>
      </c>
      <c r="E1179" s="2228">
        <v>33</v>
      </c>
      <c r="F1179" s="2237">
        <f>'Lead- Input sheet '!R8</f>
        <v>6656</v>
      </c>
      <c r="G1179" s="2337">
        <f>ROUND(F1179*E1179/1000,2)</f>
        <v>219.65</v>
      </c>
    </row>
    <row r="1180" spans="1:9" hidden="1">
      <c r="A1180" s="2280"/>
      <c r="B1180" s="2213"/>
      <c r="C1180" s="2283" t="s">
        <v>1755</v>
      </c>
      <c r="D1180" s="2228" t="s">
        <v>1042</v>
      </c>
      <c r="E1180" s="2345">
        <v>6</v>
      </c>
      <c r="F1180" s="2237">
        <f>'Lead- Input sheet '!R8</f>
        <v>6656</v>
      </c>
      <c r="G1180" s="2337">
        <f>ROUND(F1180*E1180/1000,2)</f>
        <v>39.94</v>
      </c>
    </row>
    <row r="1181" spans="1:9" hidden="1">
      <c r="A1181" s="2280"/>
      <c r="B1181" s="2213"/>
      <c r="C1181" s="2283" t="s">
        <v>990</v>
      </c>
      <c r="D1181" s="2228" t="s">
        <v>1473</v>
      </c>
      <c r="E1181" s="2228">
        <v>0.12</v>
      </c>
      <c r="F1181" s="2237">
        <f>'Lead- Input sheet '!R11</f>
        <v>1239.6380759582803</v>
      </c>
      <c r="G1181" s="2337">
        <f>ROUND(F1181*E1181,2)</f>
        <v>148.76</v>
      </c>
    </row>
    <row r="1182" spans="1:9" hidden="1">
      <c r="A1182" s="2280"/>
      <c r="B1182" s="2213"/>
      <c r="C1182" s="2283" t="s">
        <v>1756</v>
      </c>
      <c r="D1182" s="2228" t="s">
        <v>1473</v>
      </c>
      <c r="E1182" s="2345">
        <v>0.02</v>
      </c>
      <c r="F1182" s="2237">
        <f>'Lead- Input sheet '!R11</f>
        <v>1239.6380759582803</v>
      </c>
      <c r="G1182" s="2337">
        <f>ROUND(F1182*E1182,2)</f>
        <v>24.79</v>
      </c>
    </row>
    <row r="1183" spans="1:9" hidden="1">
      <c r="A1183" s="2280"/>
      <c r="B1183" s="2213"/>
      <c r="C1183" s="2283" t="s">
        <v>1735</v>
      </c>
      <c r="D1183" s="2228" t="s">
        <v>1473</v>
      </c>
      <c r="E1183" s="2345">
        <v>0.14000000000000001</v>
      </c>
      <c r="F1183" s="2237"/>
      <c r="G1183" s="2337">
        <f>ROUND(F1183*E1183,2)</f>
        <v>0</v>
      </c>
    </row>
    <row r="1184" spans="1:9" hidden="1">
      <c r="A1184" s="2280"/>
      <c r="B1184" s="2213"/>
      <c r="C1184" s="2281" t="s">
        <v>653</v>
      </c>
      <c r="D1184" s="2228"/>
      <c r="E1184" s="2228"/>
      <c r="F1184" s="2237"/>
      <c r="G1184" s="2337"/>
    </row>
    <row r="1185" spans="1:9" ht="14.1" hidden="1">
      <c r="A1185" s="2280"/>
      <c r="B1185" s="2213"/>
      <c r="C1185" s="2283" t="s">
        <v>3589</v>
      </c>
      <c r="D1185" s="2228" t="s">
        <v>1047</v>
      </c>
      <c r="E1185" s="2228">
        <v>0.96</v>
      </c>
      <c r="F1185" s="2237">
        <f>'Lead- Input sheet '!R31</f>
        <v>680</v>
      </c>
      <c r="G1185" s="2337">
        <f>ROUND(F1185*E1185,2)</f>
        <v>652.79999999999995</v>
      </c>
    </row>
    <row r="1186" spans="1:9" ht="14.1" hidden="1">
      <c r="A1186" s="2280"/>
      <c r="B1186" s="2213"/>
      <c r="C1186" s="2283" t="s">
        <v>3593</v>
      </c>
      <c r="D1186" s="2228" t="s">
        <v>1047</v>
      </c>
      <c r="E1186" s="2228">
        <v>2.2400000000000002</v>
      </c>
      <c r="F1186" s="2237">
        <f>'Lead- Input sheet '!R30</f>
        <v>650</v>
      </c>
      <c r="G1186" s="2337">
        <f>ROUND(F1186*E1186,2)</f>
        <v>1456</v>
      </c>
    </row>
    <row r="1187" spans="1:9" hidden="1">
      <c r="A1187" s="2280"/>
      <c r="B1187" s="2213"/>
      <c r="C1187" s="2283" t="s">
        <v>706</v>
      </c>
      <c r="D1187" s="2228" t="s">
        <v>1047</v>
      </c>
      <c r="E1187" s="2228">
        <v>3.3</v>
      </c>
      <c r="F1187" s="2237">
        <f>'Lead- Input sheet '!R28</f>
        <v>605</v>
      </c>
      <c r="G1187" s="2337">
        <f>ROUND(F1187*E1187,2)</f>
        <v>1996.5</v>
      </c>
    </row>
    <row r="1188" spans="1:9" hidden="1">
      <c r="A1188" s="2280"/>
      <c r="B1188" s="2213"/>
      <c r="C1188" s="2283" t="s">
        <v>1221</v>
      </c>
      <c r="D1188" s="2228"/>
      <c r="E1188" s="2343">
        <v>0.01</v>
      </c>
      <c r="F1188" s="2237">
        <f>SUM(G1185:G1187)</f>
        <v>4105.3</v>
      </c>
      <c r="G1188" s="2337">
        <f>ROUND(F1188*E1188,2)</f>
        <v>41.05</v>
      </c>
    </row>
    <row r="1189" spans="1:9" hidden="1">
      <c r="A1189" s="2280"/>
      <c r="B1189" s="2213"/>
      <c r="C1189" s="2232" t="s">
        <v>2617</v>
      </c>
      <c r="D1189" s="2233"/>
      <c r="E1189" s="2233">
        <f>'Lead- Input sheet '!Q31</f>
        <v>0</v>
      </c>
      <c r="F1189" s="2237">
        <f>ROUND(SUM(G1185:G1187),2)</f>
        <v>4105.3</v>
      </c>
      <c r="G1189" s="2238">
        <f>ROUND(F1189*E1189,2)</f>
        <v>0</v>
      </c>
    </row>
    <row r="1190" spans="1:9" hidden="1">
      <c r="A1190" s="2280"/>
      <c r="B1190" s="2213"/>
      <c r="C1190" s="2281" t="s">
        <v>3199</v>
      </c>
      <c r="D1190" s="2228"/>
      <c r="E1190" s="2228"/>
      <c r="F1190" s="2237"/>
      <c r="G1190" s="2247">
        <f>SUM(G1177:G1189)/10</f>
        <v>1079.2259999999999</v>
      </c>
    </row>
    <row r="1191" spans="1:9" hidden="1">
      <c r="A1191" s="2280"/>
      <c r="B1191" s="2213">
        <v>57</v>
      </c>
      <c r="C1191" s="2281" t="s">
        <v>1759</v>
      </c>
      <c r="D1191" s="2344"/>
      <c r="E1191" s="2345"/>
      <c r="F1191" s="2344"/>
      <c r="G1191" s="2337"/>
      <c r="I1191" s="2251">
        <f>0.14*40/10</f>
        <v>0.56000000000000005</v>
      </c>
    </row>
    <row r="1192" spans="1:9" ht="75.599999999999994" hidden="1">
      <c r="A1192" s="2280"/>
      <c r="B1192" s="2213"/>
      <c r="C1192" s="2283" t="s">
        <v>3611</v>
      </c>
      <c r="D1192" s="2228"/>
      <c r="E1192" s="2345"/>
      <c r="F1192" s="2344"/>
      <c r="G1192" s="2337"/>
    </row>
    <row r="1193" spans="1:9" hidden="1">
      <c r="A1193" s="2280"/>
      <c r="B1193" s="2213"/>
      <c r="C1193" s="2281" t="s">
        <v>1760</v>
      </c>
      <c r="D1193" s="2346"/>
      <c r="E1193" s="2345"/>
      <c r="F1193" s="2344"/>
      <c r="G1193" s="2337"/>
    </row>
    <row r="1194" spans="1:9" hidden="1">
      <c r="A1194" s="2280"/>
      <c r="B1194" s="2213"/>
      <c r="C1194" s="2283" t="s">
        <v>1761</v>
      </c>
      <c r="D1194" s="2344"/>
      <c r="E1194" s="2345"/>
      <c r="F1194" s="2344"/>
      <c r="G1194" s="2337"/>
    </row>
    <row r="1195" spans="1:9" hidden="1">
      <c r="A1195" s="2280"/>
      <c r="B1195" s="2213"/>
      <c r="C1195" s="2283" t="s">
        <v>1762</v>
      </c>
      <c r="D1195" s="2344"/>
      <c r="E1195" s="2277"/>
      <c r="F1195" s="2277"/>
      <c r="G1195" s="2337"/>
    </row>
    <row r="1196" spans="1:9" hidden="1">
      <c r="A1196" s="2280"/>
      <c r="B1196" s="2213"/>
      <c r="C1196" s="2281" t="s">
        <v>1821</v>
      </c>
      <c r="D1196" s="2228"/>
      <c r="E1196" s="2345"/>
      <c r="F1196" s="2344"/>
      <c r="G1196" s="2337"/>
    </row>
    <row r="1197" spans="1:9" hidden="1">
      <c r="A1197" s="2280"/>
      <c r="B1197" s="2213"/>
      <c r="C1197" s="2283" t="s">
        <v>1763</v>
      </c>
      <c r="D1197" s="2344" t="s">
        <v>1047</v>
      </c>
      <c r="E1197" s="2345" t="s">
        <v>524</v>
      </c>
      <c r="F1197" s="2344"/>
      <c r="G1197" s="2337"/>
    </row>
    <row r="1198" spans="1:9" hidden="1">
      <c r="A1198" s="2280"/>
      <c r="B1198" s="2213"/>
      <c r="C1198" s="2283" t="s">
        <v>1764</v>
      </c>
      <c r="D1198" s="2344" t="s">
        <v>1047</v>
      </c>
      <c r="E1198" s="2345">
        <v>17.64</v>
      </c>
      <c r="F1198" s="2228">
        <f>'Lead- Input sheet '!R28</f>
        <v>605</v>
      </c>
      <c r="G1198" s="2337">
        <f>ROUND(F1198*E1198,2)</f>
        <v>10672.2</v>
      </c>
    </row>
    <row r="1199" spans="1:9" hidden="1">
      <c r="A1199" s="2280"/>
      <c r="B1199" s="2213"/>
      <c r="C1199" s="2283" t="s">
        <v>1765</v>
      </c>
      <c r="D1199" s="2344" t="s">
        <v>1047</v>
      </c>
      <c r="E1199" s="2344">
        <v>24</v>
      </c>
      <c r="F1199" s="2228">
        <f>'Lead- Input sheet '!R30</f>
        <v>650</v>
      </c>
      <c r="G1199" s="2337">
        <f t="shared" ref="G1199:G1206" si="8">ROUND(F1199*E1199,2)</f>
        <v>15600</v>
      </c>
    </row>
    <row r="1200" spans="1:9" hidden="1">
      <c r="A1200" s="2280"/>
      <c r="B1200" s="2213"/>
      <c r="C1200" s="2283" t="s">
        <v>1773</v>
      </c>
      <c r="D1200" s="2344"/>
      <c r="E1200" s="2344">
        <f>'Lead- Input sheet '!Q31</f>
        <v>0</v>
      </c>
      <c r="F1200" s="2228">
        <f>SUM(G1198:G1199)</f>
        <v>26272.2</v>
      </c>
      <c r="G1200" s="2337">
        <f t="shared" si="8"/>
        <v>0</v>
      </c>
    </row>
    <row r="1201" spans="1:7" hidden="1">
      <c r="A1201" s="2280"/>
      <c r="B1201" s="2213"/>
      <c r="C1201" s="2283" t="s">
        <v>1766</v>
      </c>
      <c r="D1201" s="2344" t="s">
        <v>1047</v>
      </c>
      <c r="E1201" s="2344">
        <v>1</v>
      </c>
      <c r="F1201" s="2228">
        <v>575</v>
      </c>
      <c r="G1201" s="2337">
        <f t="shared" si="8"/>
        <v>575</v>
      </c>
    </row>
    <row r="1202" spans="1:7" hidden="1">
      <c r="A1202" s="2280"/>
      <c r="B1202" s="2213"/>
      <c r="C1202" s="2283"/>
      <c r="D1202" s="2344"/>
      <c r="E1202" s="2344">
        <f>'Lead- Input sheet '!Q31</f>
        <v>0</v>
      </c>
      <c r="F1202" s="2228">
        <f>SUM(G1198:G1201)</f>
        <v>26847.200000000001</v>
      </c>
      <c r="G1202" s="2337">
        <f t="shared" si="8"/>
        <v>0</v>
      </c>
    </row>
    <row r="1203" spans="1:7" hidden="1">
      <c r="A1203" s="2280"/>
      <c r="B1203" s="2213"/>
      <c r="C1203" s="2281" t="s">
        <v>1767</v>
      </c>
      <c r="D1203" s="2344"/>
      <c r="E1203" s="2344"/>
      <c r="F1203" s="2344"/>
      <c r="G1203" s="2337"/>
    </row>
    <row r="1204" spans="1:7" hidden="1">
      <c r="A1204" s="2280"/>
      <c r="B1204" s="2213"/>
      <c r="C1204" s="2283" t="s">
        <v>1768</v>
      </c>
      <c r="D1204" s="2344" t="s">
        <v>345</v>
      </c>
      <c r="E1204" s="2344">
        <v>2.9</v>
      </c>
      <c r="F1204" s="2228">
        <v>1280.4000000000001</v>
      </c>
      <c r="G1204" s="2337">
        <f t="shared" si="8"/>
        <v>3713.16</v>
      </c>
    </row>
    <row r="1205" spans="1:7" ht="25.2" hidden="1">
      <c r="A1205" s="2280"/>
      <c r="B1205" s="2213"/>
      <c r="C1205" s="2283" t="s">
        <v>1769</v>
      </c>
      <c r="D1205" s="2344" t="s">
        <v>1473</v>
      </c>
      <c r="E1205" s="2344">
        <v>8</v>
      </c>
      <c r="F1205" s="2344">
        <v>210</v>
      </c>
      <c r="G1205" s="2337">
        <f>ROUND(F1205*E1205,2)</f>
        <v>1680</v>
      </c>
    </row>
    <row r="1206" spans="1:7" hidden="1">
      <c r="A1206" s="2280"/>
      <c r="B1206" s="2213"/>
      <c r="C1206" s="2347" t="s">
        <v>1770</v>
      </c>
      <c r="D1206" s="2228"/>
      <c r="E1206" s="2348">
        <f>'Lead- Input sheet '!$Q$32</f>
        <v>0</v>
      </c>
      <c r="F1206" s="2337">
        <f>SUM(G1198:G1205)</f>
        <v>32240.36</v>
      </c>
      <c r="G1206" s="2337">
        <f t="shared" si="8"/>
        <v>0</v>
      </c>
    </row>
    <row r="1207" spans="1:7" hidden="1">
      <c r="A1207" s="2280"/>
      <c r="B1207" s="2213"/>
      <c r="C1207" s="2283" t="s">
        <v>1771</v>
      </c>
      <c r="D1207" s="2344"/>
      <c r="E1207" s="2345"/>
      <c r="F1207" s="2344"/>
      <c r="G1207" s="2337">
        <f>SUM(G1198:G1206)</f>
        <v>32240.36</v>
      </c>
    </row>
    <row r="1208" spans="1:7" hidden="1">
      <c r="A1208" s="2280"/>
      <c r="B1208" s="2213"/>
      <c r="C1208" s="2281" t="s">
        <v>1772</v>
      </c>
      <c r="D1208" s="2344"/>
      <c r="E1208" s="2345"/>
      <c r="F1208" s="2344"/>
      <c r="G1208" s="2337">
        <f>ROUND(G1207/16,2)</f>
        <v>2015.02</v>
      </c>
    </row>
    <row r="1209" spans="1:7" ht="25.2" hidden="1">
      <c r="A1209" s="2213"/>
      <c r="B1209" s="2213" t="s">
        <v>76</v>
      </c>
      <c r="C1209" s="2281" t="s">
        <v>1931</v>
      </c>
      <c r="D1209" s="2242"/>
      <c r="E1209" s="2242"/>
      <c r="F1209" s="2249"/>
      <c r="G1209" s="2244"/>
    </row>
    <row r="1210" spans="1:7" hidden="1">
      <c r="A1210" s="2253"/>
      <c r="B1210" s="2213"/>
      <c r="C1210" s="2232" t="s">
        <v>1395</v>
      </c>
      <c r="D1210" s="2233"/>
      <c r="E1210" s="2233"/>
      <c r="F1210" s="2237"/>
      <c r="G1210" s="2238"/>
    </row>
    <row r="1211" spans="1:7" ht="25.2" hidden="1">
      <c r="A1211" s="2253"/>
      <c r="B1211" s="2213" t="s">
        <v>1790</v>
      </c>
      <c r="C1211" s="2281" t="s">
        <v>1791</v>
      </c>
      <c r="D1211" s="2228"/>
      <c r="E1211" s="2228"/>
      <c r="F1211" s="2237"/>
      <c r="G1211" s="2238"/>
    </row>
    <row r="1212" spans="1:7" hidden="1">
      <c r="A1212" s="2253"/>
      <c r="B1212" s="2213"/>
      <c r="C1212" s="2232" t="s">
        <v>1394</v>
      </c>
      <c r="D1212" s="2228"/>
      <c r="E1212" s="2228"/>
      <c r="F1212" s="2237"/>
      <c r="G1212" s="2238"/>
    </row>
    <row r="1213" spans="1:7" hidden="1">
      <c r="A1213" s="2253"/>
      <c r="B1213" s="2213"/>
      <c r="C1213" s="2281" t="s">
        <v>1395</v>
      </c>
      <c r="D1213" s="2228"/>
      <c r="E1213" s="2228"/>
      <c r="F1213" s="2237"/>
      <c r="G1213" s="2238"/>
    </row>
    <row r="1214" spans="1:7" ht="25.2" hidden="1">
      <c r="A1214" s="2253"/>
      <c r="B1214" s="2213" t="s">
        <v>1999</v>
      </c>
      <c r="C1214" s="2283" t="s">
        <v>1792</v>
      </c>
      <c r="D1214" s="2228" t="s">
        <v>1417</v>
      </c>
      <c r="E1214" s="2228">
        <v>0.7</v>
      </c>
      <c r="F1214" s="2237">
        <v>149</v>
      </c>
      <c r="G1214" s="2337">
        <f>F1214*E1214</f>
        <v>104.3</v>
      </c>
    </row>
    <row r="1215" spans="1:7" hidden="1">
      <c r="A1215" s="2253"/>
      <c r="B1215" s="2213"/>
      <c r="C1215" s="2281" t="s">
        <v>653</v>
      </c>
      <c r="D1215" s="2228"/>
      <c r="E1215" s="2228"/>
      <c r="F1215" s="2237"/>
      <c r="G1215" s="2337"/>
    </row>
    <row r="1216" spans="1:7" hidden="1">
      <c r="A1216" s="2253"/>
      <c r="B1216" s="2213"/>
      <c r="C1216" s="2283" t="s">
        <v>989</v>
      </c>
      <c r="D1216" s="2253" t="s">
        <v>1047</v>
      </c>
      <c r="E1216" s="2228">
        <v>0.7</v>
      </c>
      <c r="F1216" s="2237">
        <f>'Lead- Input sheet '!R36</f>
        <v>650</v>
      </c>
      <c r="G1216" s="2337">
        <f>F1216*E1216</f>
        <v>454.99999999999994</v>
      </c>
    </row>
    <row r="1217" spans="1:9" hidden="1">
      <c r="A1217" s="2253"/>
      <c r="B1217" s="2213"/>
      <c r="C1217" s="2283" t="s">
        <v>1166</v>
      </c>
      <c r="D1217" s="2253"/>
      <c r="E1217" s="2345"/>
      <c r="F1217" s="2237"/>
      <c r="G1217" s="2238"/>
    </row>
    <row r="1218" spans="1:9" s="2231" customFormat="1" hidden="1">
      <c r="A1218" s="2227"/>
      <c r="B1218" s="2224"/>
      <c r="C1218" s="2232" t="s">
        <v>2617</v>
      </c>
      <c r="D1218" s="2233"/>
      <c r="E1218" s="2233">
        <f>'Lead- Input sheet '!Q31</f>
        <v>0</v>
      </c>
      <c r="F1218" s="2237">
        <f>SUM(G1216:G1217)</f>
        <v>454.99999999999994</v>
      </c>
      <c r="G1218" s="2238">
        <f>ROUND(F1218*E1218,2)</f>
        <v>0</v>
      </c>
      <c r="H1218" s="2236"/>
      <c r="I1218" s="2230"/>
    </row>
    <row r="1219" spans="1:9" ht="25.2" hidden="1">
      <c r="A1219" s="2253" t="s">
        <v>1615</v>
      </c>
      <c r="B1219" s="2253">
        <v>39</v>
      </c>
      <c r="C1219" s="2283" t="s">
        <v>1795</v>
      </c>
      <c r="D1219" s="2228" t="s">
        <v>1417</v>
      </c>
      <c r="E1219" s="2345">
        <v>0.8</v>
      </c>
      <c r="F1219" s="2237">
        <v>289</v>
      </c>
      <c r="G1219" s="2238">
        <f>ROUND(E1219*F1219,2)</f>
        <v>231.2</v>
      </c>
    </row>
    <row r="1220" spans="1:9" hidden="1">
      <c r="A1220" s="2253"/>
      <c r="B1220" s="2213"/>
      <c r="C1220" s="2232" t="s">
        <v>653</v>
      </c>
      <c r="D1220" s="2233"/>
      <c r="E1220" s="2233"/>
      <c r="F1220" s="2237"/>
      <c r="G1220" s="2238">
        <f>E1220*F1220</f>
        <v>0</v>
      </c>
    </row>
    <row r="1221" spans="1:9" hidden="1">
      <c r="A1221" s="2253"/>
      <c r="B1221" s="2213"/>
      <c r="C1221" s="2232" t="s">
        <v>989</v>
      </c>
      <c r="D1221" s="2233" t="s">
        <v>1047</v>
      </c>
      <c r="E1221" s="2233">
        <v>1.1000000000000001</v>
      </c>
      <c r="F1221" s="2237">
        <f>'Lead- Input sheet '!R36</f>
        <v>650</v>
      </c>
      <c r="G1221" s="2238">
        <f>E1221*F1221</f>
        <v>715.00000000000011</v>
      </c>
    </row>
    <row r="1222" spans="1:9" hidden="1">
      <c r="A1222" s="2227"/>
      <c r="B1222" s="2224"/>
      <c r="C1222" s="2232" t="s">
        <v>2617</v>
      </c>
      <c r="D1222" s="2233"/>
      <c r="E1222" s="2233">
        <f>'Lead- Input sheet '!Q31</f>
        <v>0</v>
      </c>
      <c r="F1222" s="2237">
        <f>G1221</f>
        <v>715.00000000000011</v>
      </c>
      <c r="G1222" s="2238">
        <f>ROUND(F1222*E1222,2)</f>
        <v>0</v>
      </c>
    </row>
    <row r="1223" spans="1:9" hidden="1">
      <c r="A1223" s="2253"/>
      <c r="B1223" s="2213"/>
      <c r="C1223" s="2232" t="s">
        <v>1166</v>
      </c>
      <c r="D1223" s="2233"/>
      <c r="E1223" s="2233">
        <v>1</v>
      </c>
      <c r="F1223" s="2237">
        <v>10</v>
      </c>
      <c r="G1223" s="2238">
        <f>E1223*F1223</f>
        <v>10</v>
      </c>
    </row>
    <row r="1224" spans="1:9" hidden="1">
      <c r="A1224" s="2253"/>
      <c r="B1224" s="2213"/>
      <c r="C1224" s="2232" t="s">
        <v>1398</v>
      </c>
      <c r="D1224" s="2233"/>
      <c r="E1224" s="2233"/>
      <c r="F1224" s="2237"/>
      <c r="G1224" s="2238">
        <f>SUM(G1214:G1223)</f>
        <v>1515.5</v>
      </c>
    </row>
    <row r="1225" spans="1:9" hidden="1">
      <c r="A1225" s="2224"/>
      <c r="B1225" s="2224"/>
      <c r="C1225" s="2225" t="s">
        <v>1600</v>
      </c>
      <c r="D1225" s="2242"/>
      <c r="E1225" s="2242">
        <f>G1224</f>
        <v>1515.5</v>
      </c>
      <c r="F1225" s="2243">
        <f>'Lead- Input sheet '!Q32</f>
        <v>0</v>
      </c>
      <c r="G1225" s="2244">
        <f>ROUND(E1225*F1225,2)</f>
        <v>0</v>
      </c>
    </row>
    <row r="1226" spans="1:9" hidden="1">
      <c r="A1226" s="2224"/>
      <c r="B1226" s="2224"/>
      <c r="C1226" s="2225" t="s">
        <v>1231</v>
      </c>
      <c r="D1226" s="2242"/>
      <c r="E1226" s="2242"/>
      <c r="F1226" s="2247" t="s">
        <v>1486</v>
      </c>
      <c r="G1226" s="2244">
        <f>SUM(G1224:G1225)</f>
        <v>1515.5</v>
      </c>
    </row>
    <row r="1227" spans="1:9" hidden="1">
      <c r="A1227" s="2280"/>
      <c r="B1227" s="2213"/>
      <c r="C1227" s="2232"/>
      <c r="D1227" s="2253"/>
      <c r="E1227" s="2228"/>
      <c r="F1227" s="2228"/>
      <c r="G1227" s="2349"/>
    </row>
    <row r="1228" spans="1:9" ht="113.4" hidden="1">
      <c r="A1228" s="2280"/>
      <c r="B1228" s="2213">
        <v>12</v>
      </c>
      <c r="C1228" s="2232" t="s">
        <v>3612</v>
      </c>
      <c r="D1228" s="2242"/>
      <c r="E1228" s="2242"/>
      <c r="F1228" s="2247"/>
      <c r="G1228" s="2244"/>
    </row>
    <row r="1229" spans="1:9" hidden="1">
      <c r="A1229" s="2280"/>
      <c r="B1229" s="2213"/>
      <c r="C1229" s="2225" t="s">
        <v>22</v>
      </c>
      <c r="D1229" s="2242"/>
      <c r="E1229" s="2242"/>
      <c r="F1229" s="2247"/>
      <c r="G1229" s="2244"/>
    </row>
    <row r="1230" spans="1:9" ht="25.2" hidden="1">
      <c r="A1230" s="2253" t="s">
        <v>1612</v>
      </c>
      <c r="B1230" s="2213"/>
      <c r="C1230" s="2232" t="s">
        <v>1614</v>
      </c>
      <c r="D1230" s="2233" t="s">
        <v>347</v>
      </c>
      <c r="E1230" s="2233">
        <v>1</v>
      </c>
      <c r="F1230" s="2237">
        <v>173</v>
      </c>
      <c r="G1230" s="2238">
        <f>ROUND(E1230*F1230,2)</f>
        <v>173</v>
      </c>
      <c r="I1230" s="2230"/>
    </row>
    <row r="1231" spans="1:9" hidden="1">
      <c r="A1231" s="2253"/>
      <c r="B1231" s="2213"/>
      <c r="C1231" s="2232" t="s">
        <v>1413</v>
      </c>
      <c r="D1231" s="2233" t="s">
        <v>1047</v>
      </c>
      <c r="E1231" s="2233">
        <v>0.21</v>
      </c>
      <c r="F1231" s="2237">
        <f>'Lead- Input sheet '!R32</f>
        <v>780</v>
      </c>
      <c r="G1231" s="2238">
        <f>ROUND(E1231*F1231,2)</f>
        <v>163.80000000000001</v>
      </c>
      <c r="I1231" s="2230"/>
    </row>
    <row r="1232" spans="1:9" hidden="1">
      <c r="A1232" s="2253"/>
      <c r="B1232" s="2213"/>
      <c r="C1232" s="2232" t="s">
        <v>1414</v>
      </c>
      <c r="D1232" s="2233" t="s">
        <v>1047</v>
      </c>
      <c r="E1232" s="2233">
        <v>0.49</v>
      </c>
      <c r="F1232" s="2237">
        <f>'Lead- Input sheet '!R36</f>
        <v>650</v>
      </c>
      <c r="G1232" s="2238">
        <f>ROUND(E1232*F1232,2)</f>
        <v>318.5</v>
      </c>
      <c r="I1232" s="2230"/>
    </row>
    <row r="1233" spans="1:8" ht="50.4" hidden="1">
      <c r="A1233" s="2280"/>
      <c r="B1233" s="2213" t="s">
        <v>2007</v>
      </c>
      <c r="C1233" s="2225" t="s">
        <v>2006</v>
      </c>
      <c r="D1233" s="2242" t="s">
        <v>1417</v>
      </c>
      <c r="E1233" s="2242">
        <v>0.8</v>
      </c>
      <c r="F1233" s="2247">
        <v>430</v>
      </c>
      <c r="G1233" s="2238">
        <f>ROUND(E1233*F1233,2)</f>
        <v>344</v>
      </c>
    </row>
    <row r="1234" spans="1:8" hidden="1">
      <c r="A1234" s="2280"/>
      <c r="B1234" s="2213"/>
      <c r="C1234" s="2225" t="s">
        <v>24</v>
      </c>
      <c r="D1234" s="2242"/>
      <c r="E1234" s="2242"/>
      <c r="F1234" s="2247"/>
      <c r="G1234" s="2238"/>
    </row>
    <row r="1235" spans="1:8" hidden="1">
      <c r="A1235" s="2280"/>
      <c r="B1235" s="2213"/>
      <c r="C1235" s="2225" t="s">
        <v>25</v>
      </c>
      <c r="D1235" s="2242" t="s">
        <v>27</v>
      </c>
      <c r="E1235" s="2242">
        <v>0.36</v>
      </c>
      <c r="F1235" s="2247">
        <f>'Lead- Input sheet '!R32</f>
        <v>780</v>
      </c>
      <c r="G1235" s="2238">
        <f>ROUND(E1235*F1235,2)</f>
        <v>280.8</v>
      </c>
    </row>
    <row r="1236" spans="1:8" hidden="1">
      <c r="A1236" s="2280"/>
      <c r="B1236" s="2213"/>
      <c r="C1236" s="2225" t="s">
        <v>26</v>
      </c>
      <c r="D1236" s="2242" t="s">
        <v>27</v>
      </c>
      <c r="E1236" s="2242">
        <v>0.84</v>
      </c>
      <c r="F1236" s="2247">
        <f>'Lead- Input sheet '!R36</f>
        <v>650</v>
      </c>
      <c r="G1236" s="2238">
        <f>ROUND(E1236*F1236,2)</f>
        <v>546</v>
      </c>
    </row>
    <row r="1237" spans="1:8" hidden="1">
      <c r="A1237" s="2280"/>
      <c r="B1237" s="2213"/>
      <c r="C1237" s="2232" t="s">
        <v>2617</v>
      </c>
      <c r="D1237" s="2233"/>
      <c r="E1237" s="2233">
        <f>'Lead- Input sheet '!Q270</f>
        <v>0</v>
      </c>
      <c r="F1237" s="2237">
        <f>SUM(G1235:G1236)</f>
        <v>826.8</v>
      </c>
      <c r="G1237" s="2238">
        <f>ROUND(F1237*E1237,2)</f>
        <v>0</v>
      </c>
    </row>
    <row r="1238" spans="1:8" hidden="1">
      <c r="A1238" s="2280"/>
      <c r="B1238" s="2213"/>
      <c r="C1238" s="2232"/>
      <c r="D1238" s="2233"/>
      <c r="E1238" s="2233"/>
      <c r="F1238" s="2237"/>
      <c r="G1238" s="2238">
        <f>SUM(G1230:G1237)</f>
        <v>1826.1</v>
      </c>
    </row>
    <row r="1239" spans="1:8" hidden="1">
      <c r="A1239" s="2280"/>
      <c r="B1239" s="2213"/>
      <c r="C1239" s="2225" t="s">
        <v>1600</v>
      </c>
      <c r="D1239" s="2242"/>
      <c r="E1239" s="2242">
        <f>G1238</f>
        <v>1826.1</v>
      </c>
      <c r="F1239" s="2249">
        <f>'Lead- Input sheet '!Q271</f>
        <v>0</v>
      </c>
      <c r="G1239" s="2244">
        <f>ROUND(F1239*E1239,2)</f>
        <v>0</v>
      </c>
    </row>
    <row r="1240" spans="1:8" hidden="1">
      <c r="A1240" s="2280"/>
      <c r="B1240" s="2213"/>
      <c r="C1240" s="2225" t="s">
        <v>29</v>
      </c>
      <c r="D1240" s="2242"/>
      <c r="E1240" s="2242"/>
      <c r="F1240" s="2247" t="s">
        <v>1486</v>
      </c>
      <c r="G1240" s="2244">
        <f>SUM(G1238:G1239)</f>
        <v>1826.1</v>
      </c>
    </row>
    <row r="1241" spans="1:8" hidden="1">
      <c r="A1241" s="2280"/>
      <c r="B1241" s="2213"/>
      <c r="C1241" s="2232"/>
      <c r="D1241" s="2253"/>
      <c r="E1241" s="2228"/>
      <c r="F1241" s="2228"/>
      <c r="G1241" s="2349"/>
    </row>
    <row r="1242" spans="1:8" ht="25.2" hidden="1">
      <c r="A1242" s="2278" t="s">
        <v>2008</v>
      </c>
      <c r="B1242" s="2213" t="s">
        <v>2009</v>
      </c>
      <c r="C1242" s="2281" t="s">
        <v>2013</v>
      </c>
      <c r="D1242" s="2228"/>
      <c r="E1242" s="2345"/>
      <c r="F1242" s="2228"/>
      <c r="G1242" s="2215"/>
      <c r="H1242" s="2218"/>
    </row>
    <row r="1243" spans="1:8" hidden="1">
      <c r="A1243" s="2280"/>
      <c r="B1243" s="2213"/>
      <c r="C1243" s="2281" t="s">
        <v>1227</v>
      </c>
      <c r="D1243" s="2228"/>
      <c r="E1243" s="2345"/>
      <c r="F1243" s="2228"/>
      <c r="G1243" s="2215"/>
      <c r="H1243" s="2218"/>
    </row>
    <row r="1244" spans="1:8" hidden="1">
      <c r="A1244" s="2280"/>
      <c r="B1244" s="2213"/>
      <c r="C1244" s="2281" t="s">
        <v>1041</v>
      </c>
      <c r="D1244" s="2228"/>
      <c r="E1244" s="2345"/>
      <c r="F1244" s="2228"/>
      <c r="G1244" s="2215"/>
      <c r="H1244" s="2218"/>
    </row>
    <row r="1245" spans="1:8" hidden="1">
      <c r="A1245" s="2280"/>
      <c r="B1245" s="2213"/>
      <c r="C1245" s="2283" t="s">
        <v>2010</v>
      </c>
      <c r="D1245" s="2228" t="s">
        <v>2011</v>
      </c>
      <c r="E1245" s="2345">
        <v>1560</v>
      </c>
      <c r="F1245" s="2228">
        <v>25</v>
      </c>
      <c r="G1245" s="2238">
        <f>ROUND(E1245*F1245,2)</f>
        <v>39000</v>
      </c>
      <c r="H1245" s="2218"/>
    </row>
    <row r="1246" spans="1:8" hidden="1">
      <c r="A1246" s="2280"/>
      <c r="B1246" s="2213"/>
      <c r="C1246" s="2283" t="s">
        <v>2014</v>
      </c>
      <c r="D1246" s="2228" t="s">
        <v>1473</v>
      </c>
      <c r="E1246" s="2345">
        <v>0.12</v>
      </c>
      <c r="F1246" s="2215">
        <f>G107</f>
        <v>3818.78</v>
      </c>
      <c r="G1246" s="2238">
        <f>ROUND(E1246*F1246,2)</f>
        <v>458.25</v>
      </c>
      <c r="H1246" s="2218"/>
    </row>
    <row r="1247" spans="1:8" hidden="1">
      <c r="A1247" s="2280"/>
      <c r="B1247" s="2213"/>
      <c r="C1247" s="2281" t="s">
        <v>653</v>
      </c>
      <c r="D1247" s="2228"/>
      <c r="E1247" s="2345"/>
      <c r="F1247" s="2228"/>
      <c r="G1247" s="2215"/>
      <c r="H1247" s="2218"/>
    </row>
    <row r="1248" spans="1:8" hidden="1">
      <c r="A1248" s="2280"/>
      <c r="B1248" s="2213"/>
      <c r="C1248" s="2283" t="s">
        <v>2012</v>
      </c>
      <c r="D1248" s="2228" t="s">
        <v>1047</v>
      </c>
      <c r="E1248" s="2345">
        <v>1.4</v>
      </c>
      <c r="F1248" s="2228">
        <v>500</v>
      </c>
      <c r="G1248" s="2238">
        <f>ROUND(E1248*F1248,2)</f>
        <v>700</v>
      </c>
      <c r="H1248" s="2218"/>
    </row>
    <row r="1249" spans="1:8" hidden="1">
      <c r="A1249" s="2280"/>
      <c r="B1249" s="2213"/>
      <c r="C1249" s="2283" t="s">
        <v>988</v>
      </c>
      <c r="D1249" s="2228" t="s">
        <v>1047</v>
      </c>
      <c r="E1249" s="2345">
        <v>1.1000000000000001</v>
      </c>
      <c r="F1249" s="2228">
        <v>470</v>
      </c>
      <c r="G1249" s="2238">
        <f>ROUND(E1249*F1249,2)</f>
        <v>517</v>
      </c>
      <c r="H1249" s="2218"/>
    </row>
    <row r="1250" spans="1:8" hidden="1">
      <c r="A1250" s="2280"/>
      <c r="B1250" s="2213"/>
      <c r="C1250" s="2283" t="s">
        <v>1033</v>
      </c>
      <c r="D1250" s="2228" t="s">
        <v>1047</v>
      </c>
      <c r="E1250" s="2345">
        <v>3.2</v>
      </c>
      <c r="F1250" s="2228">
        <v>470</v>
      </c>
      <c r="G1250" s="2238">
        <f>ROUND(E1250*F1250,2)</f>
        <v>1504</v>
      </c>
      <c r="H1250" s="2218"/>
    </row>
    <row r="1251" spans="1:8" hidden="1">
      <c r="A1251" s="2280"/>
      <c r="B1251" s="2213"/>
      <c r="C1251" s="2281" t="s">
        <v>2015</v>
      </c>
      <c r="D1251" s="2228"/>
      <c r="E1251" s="2345"/>
      <c r="F1251" s="2228"/>
      <c r="G1251" s="2215">
        <f>SUM(G1245:G1250)</f>
        <v>42179.25</v>
      </c>
      <c r="H1251" s="2218"/>
    </row>
    <row r="1252" spans="1:8" hidden="1">
      <c r="A1252" s="2280"/>
      <c r="B1252" s="2213"/>
      <c r="C1252" s="2232"/>
      <c r="D1252" s="2253"/>
      <c r="E1252" s="2228"/>
      <c r="F1252" s="2228"/>
      <c r="G1252" s="2349"/>
    </row>
    <row r="1253" spans="1:8" ht="37.799999999999997" hidden="1">
      <c r="A1253" s="2278" t="s">
        <v>2052</v>
      </c>
      <c r="B1253" s="2232">
        <v>84</v>
      </c>
      <c r="C1253" s="2232" t="s">
        <v>2055</v>
      </c>
      <c r="D1253" s="2232"/>
      <c r="E1253" s="2232"/>
      <c r="F1253" s="2232"/>
      <c r="G1253" s="2232"/>
    </row>
    <row r="1254" spans="1:8" hidden="1">
      <c r="A1254" s="2280"/>
      <c r="B1254" s="2232"/>
      <c r="C1254" s="2232" t="s">
        <v>1227</v>
      </c>
      <c r="D1254" s="2232"/>
      <c r="E1254" s="2232"/>
      <c r="F1254" s="2232"/>
      <c r="G1254" s="2232"/>
    </row>
    <row r="1255" spans="1:8" hidden="1">
      <c r="A1255" s="2280"/>
      <c r="B1255" s="2232"/>
      <c r="C1255" s="2232" t="s">
        <v>1041</v>
      </c>
      <c r="D1255" s="2232"/>
      <c r="E1255" s="2232"/>
      <c r="F1255" s="2232"/>
      <c r="G1255" s="2232"/>
    </row>
    <row r="1256" spans="1:8" hidden="1">
      <c r="A1256" s="2280"/>
      <c r="B1256" s="2232"/>
      <c r="C1256" s="2232" t="s">
        <v>2054</v>
      </c>
      <c r="D1256" s="2232" t="s">
        <v>1473</v>
      </c>
      <c r="E1256" s="2232">
        <v>1</v>
      </c>
      <c r="F1256" s="2232">
        <f>G154</f>
        <v>4371.4635670906127</v>
      </c>
      <c r="G1256" s="2350">
        <f>ROUND(E1256*F1256,2)</f>
        <v>4371.46</v>
      </c>
    </row>
    <row r="1257" spans="1:8" hidden="1">
      <c r="A1257" s="2280"/>
      <c r="B1257" s="2232"/>
      <c r="C1257" s="2232" t="s">
        <v>2053</v>
      </c>
      <c r="D1257" s="2232" t="s">
        <v>1473</v>
      </c>
      <c r="E1257" s="2232">
        <v>0.25</v>
      </c>
      <c r="F1257" s="2232">
        <f>'Lead- Input sheet '!R20</f>
        <v>1173.2033622320996</v>
      </c>
      <c r="G1257" s="2350">
        <f t="shared" ref="G1257:G1264" si="9">ROUND(E1257*F1257,2)</f>
        <v>293.3</v>
      </c>
    </row>
    <row r="1258" spans="1:8" hidden="1">
      <c r="A1258" s="2280"/>
      <c r="B1258" s="2232"/>
      <c r="C1258" s="2232" t="s">
        <v>523</v>
      </c>
      <c r="D1258" s="2232" t="s">
        <v>347</v>
      </c>
      <c r="E1258" s="2232">
        <v>120</v>
      </c>
      <c r="F1258" s="2232">
        <f>'Lead- Input sheet '!R8</f>
        <v>6656</v>
      </c>
      <c r="G1258" s="2350">
        <f>ROUND(E1258*F1258/1000,2)</f>
        <v>798.72</v>
      </c>
    </row>
    <row r="1259" spans="1:8" hidden="1">
      <c r="A1259" s="2280"/>
      <c r="B1259" s="2232"/>
      <c r="C1259" s="2232" t="s">
        <v>653</v>
      </c>
      <c r="D1259" s="2232"/>
      <c r="E1259" s="2232"/>
      <c r="F1259" s="2232"/>
      <c r="G1259" s="2350"/>
    </row>
    <row r="1260" spans="1:8" ht="14.1" hidden="1">
      <c r="A1260" s="2280"/>
      <c r="B1260" s="2232"/>
      <c r="C1260" s="2232" t="s">
        <v>3589</v>
      </c>
      <c r="D1260" s="2232" t="s">
        <v>1047</v>
      </c>
      <c r="E1260" s="2232">
        <v>0.15</v>
      </c>
      <c r="F1260" s="2232">
        <f>'Lead- Input sheet '!R31</f>
        <v>680</v>
      </c>
      <c r="G1260" s="2340">
        <f t="shared" si="9"/>
        <v>102</v>
      </c>
    </row>
    <row r="1261" spans="1:8" ht="14.1" hidden="1">
      <c r="A1261" s="2280"/>
      <c r="B1261" s="2232"/>
      <c r="C1261" s="2232" t="s">
        <v>3593</v>
      </c>
      <c r="D1261" s="2232" t="s">
        <v>1047</v>
      </c>
      <c r="E1261" s="2232">
        <v>0.35</v>
      </c>
      <c r="F1261" s="2232">
        <f>'Lead- Input sheet '!R30</f>
        <v>650</v>
      </c>
      <c r="G1261" s="2340">
        <f t="shared" si="9"/>
        <v>227.5</v>
      </c>
    </row>
    <row r="1262" spans="1:8" hidden="1">
      <c r="A1262" s="2280"/>
      <c r="B1262" s="2232"/>
      <c r="C1262" s="2232" t="s">
        <v>706</v>
      </c>
      <c r="D1262" s="2232" t="s">
        <v>1047</v>
      </c>
      <c r="E1262" s="2232">
        <v>5.4</v>
      </c>
      <c r="F1262" s="2232">
        <f>'Lead- Input sheet '!R29</f>
        <v>605</v>
      </c>
      <c r="G1262" s="2340">
        <f t="shared" si="9"/>
        <v>3267</v>
      </c>
    </row>
    <row r="1263" spans="1:8" hidden="1">
      <c r="A1263" s="2280"/>
      <c r="B1263" s="2232"/>
      <c r="C1263" s="2232" t="s">
        <v>1221</v>
      </c>
      <c r="D1263" s="2232"/>
      <c r="E1263" s="2232">
        <v>0.01</v>
      </c>
      <c r="F1263" s="2232">
        <f>SUM(G1256:G1262)</f>
        <v>9059.98</v>
      </c>
      <c r="G1263" s="2340">
        <f t="shared" si="9"/>
        <v>90.6</v>
      </c>
    </row>
    <row r="1264" spans="1:8" hidden="1">
      <c r="A1264" s="2227"/>
      <c r="B1264" s="2224"/>
      <c r="C1264" s="2232" t="s">
        <v>2617</v>
      </c>
      <c r="D1264" s="2233"/>
      <c r="E1264" s="2233">
        <f>'Lead- Input sheet '!Q31</f>
        <v>0</v>
      </c>
      <c r="F1264" s="2237">
        <f>SUM(G1260:G1263)</f>
        <v>3687.1</v>
      </c>
      <c r="G1264" s="2340">
        <f t="shared" si="9"/>
        <v>0</v>
      </c>
    </row>
    <row r="1265" spans="1:7" hidden="1">
      <c r="A1265" s="2280"/>
      <c r="B1265" s="2232"/>
      <c r="C1265" s="2232" t="s">
        <v>2058</v>
      </c>
      <c r="D1265" s="2232"/>
      <c r="E1265" s="2232"/>
      <c r="F1265" s="2232"/>
      <c r="G1265" s="2244">
        <f>SUM(G1256:G1264)</f>
        <v>9150.58</v>
      </c>
    </row>
    <row r="1266" spans="1:7" s="2231" customFormat="1" ht="98.4" customHeight="1">
      <c r="A1266" s="2351" t="s">
        <v>3514</v>
      </c>
      <c r="B1266" s="2352">
        <v>3</v>
      </c>
      <c r="C1266" s="2353" t="s">
        <v>3613</v>
      </c>
      <c r="D1266" s="2354" t="s">
        <v>1925</v>
      </c>
      <c r="E1266" s="2355"/>
      <c r="F1266" s="2356"/>
      <c r="G1266" s="2357"/>
    </row>
    <row r="1267" spans="1:7" s="2231" customFormat="1">
      <c r="A1267" s="2358" t="s">
        <v>1480</v>
      </c>
      <c r="B1267" s="2352"/>
      <c r="C1267" s="2359" t="s">
        <v>1591</v>
      </c>
      <c r="D1267" s="2354"/>
      <c r="E1267" s="2355"/>
      <c r="F1267" s="2356"/>
      <c r="G1267" s="2238"/>
    </row>
    <row r="1268" spans="1:7" s="2231" customFormat="1">
      <c r="A1268" s="2358"/>
      <c r="B1268" s="2352"/>
      <c r="C1268" s="2359" t="s">
        <v>1170</v>
      </c>
      <c r="D1268" s="2354"/>
      <c r="E1268" s="2355"/>
      <c r="F1268" s="2356"/>
      <c r="G1268" s="2357"/>
    </row>
    <row r="1269" spans="1:7" s="2231" customFormat="1">
      <c r="A1269" s="2358"/>
      <c r="B1269" s="2352"/>
      <c r="C1269" s="2359" t="s">
        <v>1171</v>
      </c>
      <c r="D1269" s="2354"/>
      <c r="E1269" s="2355"/>
      <c r="F1269" s="2356"/>
      <c r="G1269" s="2357"/>
    </row>
    <row r="1270" spans="1:7" s="2231" customFormat="1">
      <c r="A1270" s="2358"/>
      <c r="B1270" s="2352"/>
      <c r="C1270" s="2359" t="s">
        <v>1172</v>
      </c>
      <c r="D1270" s="2354" t="s">
        <v>776</v>
      </c>
      <c r="E1270" s="2355">
        <v>2.5</v>
      </c>
      <c r="F1270" s="2360">
        <f>F1262</f>
        <v>605</v>
      </c>
      <c r="G1270" s="2357">
        <f>ROUND(F1270*E1270,2)</f>
        <v>1512.5</v>
      </c>
    </row>
    <row r="1271" spans="1:7" s="2231" customFormat="1">
      <c r="A1271" s="2358"/>
      <c r="B1271" s="2352"/>
      <c r="C1271" s="2359" t="s">
        <v>896</v>
      </c>
      <c r="D1271" s="2354"/>
      <c r="E1271" s="2355">
        <f>E1264</f>
        <v>0</v>
      </c>
      <c r="F1271" s="2356">
        <f>SUM(G1269:G1270)</f>
        <v>1512.5</v>
      </c>
      <c r="G1271" s="2357">
        <f>ROUND(F1271*E1271,2)</f>
        <v>0</v>
      </c>
    </row>
    <row r="1272" spans="1:7" s="2231" customFormat="1">
      <c r="A1272" s="2358"/>
      <c r="B1272" s="2352"/>
      <c r="C1272" s="2359" t="s">
        <v>3515</v>
      </c>
      <c r="D1272" s="2354" t="s">
        <v>525</v>
      </c>
      <c r="E1272" s="2355">
        <v>10</v>
      </c>
      <c r="F1272" s="2356">
        <f>'Lead- Input sheet '!R25</f>
        <v>187.35580689169564</v>
      </c>
      <c r="G1272" s="2357">
        <f>ROUND(F1272*E1272,2)</f>
        <v>1873.56</v>
      </c>
    </row>
    <row r="1273" spans="1:7" s="2246" customFormat="1">
      <c r="A1273" s="2361"/>
      <c r="B1273" s="2352"/>
      <c r="C1273" s="2353"/>
      <c r="D1273" s="2362"/>
      <c r="E1273" s="2269"/>
      <c r="F1273" s="2270"/>
      <c r="G1273" s="2271">
        <f>SUM(G1270:G1272)</f>
        <v>3386.06</v>
      </c>
    </row>
    <row r="1274" spans="1:7" s="2246" customFormat="1">
      <c r="A1274" s="2361"/>
      <c r="B1274" s="2352"/>
      <c r="C1274" s="2353" t="s">
        <v>861</v>
      </c>
      <c r="D1274" s="2362"/>
      <c r="E1274" s="2269"/>
      <c r="F1274" s="2270"/>
      <c r="G1274" s="2271">
        <f>G1273/10</f>
        <v>338.60599999999999</v>
      </c>
    </row>
    <row r="1275" spans="1:7" s="2246" customFormat="1">
      <c r="A1275" s="2361"/>
      <c r="B1275" s="2352"/>
      <c r="C1275" s="2353" t="s">
        <v>1600</v>
      </c>
      <c r="D1275" s="2362"/>
      <c r="E1275" s="2269">
        <f>G1274</f>
        <v>338.60599999999999</v>
      </c>
      <c r="F1275" s="2363">
        <f>[221]Lead!$Q$31</f>
        <v>0</v>
      </c>
      <c r="G1275" s="2271">
        <f>ROUND(F1275*E1275,2)</f>
        <v>0</v>
      </c>
    </row>
    <row r="1276" spans="1:7" s="2231" customFormat="1">
      <c r="A1276" s="2358"/>
      <c r="B1276" s="2352"/>
      <c r="C1276" s="2359" t="s">
        <v>898</v>
      </c>
      <c r="D1276" s="2354" t="s">
        <v>525</v>
      </c>
      <c r="E1276" s="2355">
        <v>1</v>
      </c>
      <c r="F1276" s="2356">
        <f>[221]Lead!O1250</f>
        <v>0</v>
      </c>
      <c r="G1276" s="2357">
        <f>ROUND(F1276*E1276,2)</f>
        <v>0</v>
      </c>
    </row>
    <row r="1277" spans="1:7" s="2231" customFormat="1">
      <c r="A1277" s="2358"/>
      <c r="B1277" s="2352"/>
      <c r="C1277" s="2359"/>
      <c r="D1277" s="2354"/>
      <c r="E1277" s="2355"/>
      <c r="F1277" s="2356"/>
      <c r="G1277" s="2357">
        <f>SUM(G1274:G1276)</f>
        <v>338.60599999999999</v>
      </c>
    </row>
    <row r="1278" spans="1:7" s="2246" customFormat="1">
      <c r="A1278" s="2361"/>
      <c r="B1278" s="2352"/>
      <c r="C1278" s="2353" t="s">
        <v>744</v>
      </c>
      <c r="D1278" s="2362"/>
      <c r="E1278" s="2269"/>
      <c r="F1278" s="2364" t="s">
        <v>1486</v>
      </c>
      <c r="G1278" s="2271">
        <f>ROUND(G1277/1,2)</f>
        <v>338.61</v>
      </c>
    </row>
    <row r="1279" spans="1:7">
      <c r="A1279" s="2280"/>
      <c r="B1279" s="2232"/>
      <c r="C1279" s="2232"/>
      <c r="D1279" s="2232"/>
      <c r="E1279" s="2232"/>
      <c r="F1279" s="2232"/>
      <c r="G1279" s="2232"/>
    </row>
    <row r="1280" spans="1:7">
      <c r="A1280" s="2280"/>
      <c r="B1280" s="2232"/>
      <c r="C1280" s="2232"/>
      <c r="D1280" s="2232"/>
      <c r="E1280" s="2232"/>
      <c r="F1280" s="2232"/>
      <c r="G1280" s="2232"/>
    </row>
    <row r="1281" spans="1:7" ht="88.2" hidden="1">
      <c r="A1281" s="2278" t="s">
        <v>2065</v>
      </c>
      <c r="B1281" s="2213">
        <v>205</v>
      </c>
      <c r="C1281" s="2232" t="s">
        <v>2066</v>
      </c>
      <c r="D1281" s="2253"/>
      <c r="E1281" s="2228"/>
      <c r="F1281" s="2232"/>
      <c r="G1281" s="2232"/>
    </row>
    <row r="1282" spans="1:7" hidden="1">
      <c r="A1282" s="2280"/>
      <c r="B1282" s="2213"/>
      <c r="C1282" s="2232" t="s">
        <v>2067</v>
      </c>
      <c r="D1282" s="2253"/>
      <c r="E1282" s="2228"/>
      <c r="F1282" s="2232"/>
      <c r="G1282" s="2232"/>
    </row>
    <row r="1283" spans="1:7" hidden="1">
      <c r="A1283" s="2280"/>
      <c r="B1283" s="2213"/>
      <c r="C1283" s="2225" t="s">
        <v>2068</v>
      </c>
      <c r="D1283" s="2253"/>
      <c r="E1283" s="2228"/>
      <c r="F1283" s="2232"/>
      <c r="G1283" s="2232"/>
    </row>
    <row r="1284" spans="1:7" ht="25.2" hidden="1">
      <c r="A1284" s="2280" t="s">
        <v>2594</v>
      </c>
      <c r="B1284" s="2213"/>
      <c r="C1284" s="2232" t="s">
        <v>2069</v>
      </c>
      <c r="D1284" s="2253" t="s">
        <v>347</v>
      </c>
      <c r="E1284" s="2365">
        <v>9.3800000000000008</v>
      </c>
      <c r="F1284" s="2366">
        <v>106</v>
      </c>
      <c r="G1284" s="2366">
        <f>ROUND(F1284*E1284,2)</f>
        <v>994.28</v>
      </c>
    </row>
    <row r="1285" spans="1:7" hidden="1">
      <c r="A1285" s="2280"/>
      <c r="B1285" s="2213"/>
      <c r="C1285" s="2232" t="s">
        <v>2070</v>
      </c>
      <c r="D1285" s="2253"/>
      <c r="E1285" s="2365"/>
      <c r="F1285" s="2366"/>
      <c r="G1285" s="2366"/>
    </row>
    <row r="1286" spans="1:7" hidden="1">
      <c r="A1286" s="2280"/>
      <c r="B1286" s="2213"/>
      <c r="C1286" s="2232" t="s">
        <v>2071</v>
      </c>
      <c r="D1286" s="2253" t="s">
        <v>975</v>
      </c>
      <c r="E1286" s="2365"/>
      <c r="F1286" s="2366"/>
      <c r="G1286" s="2366">
        <v>25</v>
      </c>
    </row>
    <row r="1287" spans="1:7" hidden="1">
      <c r="A1287" s="2280"/>
      <c r="B1287" s="2213"/>
      <c r="C1287" s="2367" t="s">
        <v>3614</v>
      </c>
      <c r="D1287" s="2253"/>
      <c r="E1287" s="2365"/>
      <c r="F1287" s="2366"/>
      <c r="G1287" s="2366"/>
    </row>
    <row r="1288" spans="1:7" hidden="1">
      <c r="A1288" s="2280"/>
      <c r="B1288" s="2213"/>
      <c r="C1288" s="2225" t="s">
        <v>2072</v>
      </c>
      <c r="D1288" s="2253"/>
      <c r="E1288" s="2365"/>
      <c r="F1288" s="2366"/>
      <c r="G1288" s="2366"/>
    </row>
    <row r="1289" spans="1:7" hidden="1">
      <c r="A1289" s="2280"/>
      <c r="B1289" s="2213"/>
      <c r="C1289" s="2232" t="s">
        <v>2073</v>
      </c>
      <c r="D1289" s="2253" t="s">
        <v>1047</v>
      </c>
      <c r="E1289" s="2365">
        <v>0.15</v>
      </c>
      <c r="F1289" s="2368">
        <v>495</v>
      </c>
      <c r="G1289" s="2366">
        <f>ROUND(F1289*E1289,2)</f>
        <v>74.25</v>
      </c>
    </row>
    <row r="1290" spans="1:7" hidden="1">
      <c r="A1290" s="2280"/>
      <c r="B1290" s="2213"/>
      <c r="C1290" s="2232" t="s">
        <v>2074</v>
      </c>
      <c r="D1290" s="2253" t="s">
        <v>1047</v>
      </c>
      <c r="E1290" s="2365">
        <v>0.15</v>
      </c>
      <c r="F1290" s="2368">
        <v>470</v>
      </c>
      <c r="G1290" s="2366">
        <f>ROUND(F1290*E1290,2)</f>
        <v>70.5</v>
      </c>
    </row>
    <row r="1291" spans="1:7" hidden="1">
      <c r="A1291" s="2280"/>
      <c r="B1291" s="2213"/>
      <c r="C1291" s="2232" t="s">
        <v>2075</v>
      </c>
      <c r="D1291" s="2253" t="s">
        <v>1047</v>
      </c>
      <c r="E1291" s="2365">
        <v>0.3</v>
      </c>
      <c r="F1291" s="2368">
        <v>575</v>
      </c>
      <c r="G1291" s="2366">
        <f>ROUND(F1291*E1291,2)</f>
        <v>172.5</v>
      </c>
    </row>
    <row r="1292" spans="1:7" hidden="1">
      <c r="A1292" s="2280"/>
      <c r="B1292" s="2213"/>
      <c r="C1292" s="2232" t="s">
        <v>2076</v>
      </c>
      <c r="D1292" s="2253"/>
      <c r="E1292" s="2365"/>
      <c r="F1292" s="2366"/>
      <c r="G1292" s="2366"/>
    </row>
    <row r="1293" spans="1:7" hidden="1">
      <c r="A1293" s="2280"/>
      <c r="B1293" s="2213"/>
      <c r="C1293" s="2232" t="s">
        <v>2077</v>
      </c>
      <c r="D1293" s="2253"/>
      <c r="E1293" s="2365">
        <v>0.01</v>
      </c>
      <c r="F1293" s="2366">
        <f>SUM(G1284:G1291)</f>
        <v>1336.53</v>
      </c>
      <c r="G1293" s="2366">
        <f>ROUND(F1293*E1293,2)</f>
        <v>13.37</v>
      </c>
    </row>
    <row r="1294" spans="1:7" hidden="1">
      <c r="A1294" s="2280"/>
      <c r="B1294" s="2213"/>
      <c r="C1294" s="2225" t="s">
        <v>2078</v>
      </c>
      <c r="D1294" s="2253"/>
      <c r="E1294" s="2365"/>
      <c r="F1294" s="2275"/>
      <c r="G1294" s="2366">
        <f>SUM(G1284:G1293)</f>
        <v>1349.8999999999999</v>
      </c>
    </row>
    <row r="1295" spans="1:7" hidden="1">
      <c r="A1295" s="2280"/>
      <c r="B1295" s="2213"/>
      <c r="C1295" s="2225" t="s">
        <v>2079</v>
      </c>
      <c r="D1295" s="2253"/>
      <c r="E1295" s="2365"/>
      <c r="F1295" s="2275"/>
      <c r="G1295" s="2366">
        <f>ROUND(G1294/100,2)</f>
        <v>13.5</v>
      </c>
    </row>
    <row r="1296" spans="1:7" ht="50.4" hidden="1">
      <c r="A1296" s="2278"/>
      <c r="B1296" s="2213">
        <v>205</v>
      </c>
      <c r="C1296" s="2232" t="s">
        <v>3615</v>
      </c>
      <c r="D1296" s="2253"/>
      <c r="E1296" s="2228"/>
      <c r="F1296" s="2232"/>
      <c r="G1296" s="2232"/>
    </row>
    <row r="1297" spans="1:9" hidden="1">
      <c r="A1297" s="2280"/>
      <c r="B1297" s="2213"/>
      <c r="C1297" s="2232"/>
      <c r="D1297" s="2253"/>
      <c r="E1297" s="2228"/>
      <c r="F1297" s="2232"/>
      <c r="G1297" s="2232"/>
    </row>
    <row r="1298" spans="1:9" hidden="1">
      <c r="A1298" s="2280"/>
      <c r="B1298" s="2213"/>
      <c r="C1298" s="2225"/>
      <c r="D1298" s="2253"/>
      <c r="E1298" s="2228"/>
      <c r="F1298" s="2232"/>
      <c r="G1298" s="2232"/>
    </row>
    <row r="1299" spans="1:9" hidden="1">
      <c r="A1299" s="2314"/>
      <c r="B1299" s="2214"/>
      <c r="C1299" s="2275" t="s">
        <v>2083</v>
      </c>
      <c r="D1299" s="2275" t="s">
        <v>1725</v>
      </c>
      <c r="E1299" s="2369">
        <v>4.0500000000000001E-2</v>
      </c>
      <c r="F1299" s="2340">
        <f>G536</f>
        <v>5340.5599999999995</v>
      </c>
      <c r="G1299" s="2350">
        <f>ROUND(F1299*E1299,2)</f>
        <v>216.29</v>
      </c>
      <c r="H1299" s="2211"/>
      <c r="I1299" s="2211"/>
    </row>
    <row r="1300" spans="1:9" hidden="1">
      <c r="A1300" s="2314"/>
      <c r="B1300" s="2214"/>
      <c r="C1300" s="2275" t="s">
        <v>2081</v>
      </c>
      <c r="D1300" s="2275" t="s">
        <v>525</v>
      </c>
      <c r="E1300" s="2369">
        <f>0.4*0.4*0.4</f>
        <v>6.4000000000000015E-2</v>
      </c>
      <c r="F1300" s="2340">
        <f>G15:G15</f>
        <v>385.38499999999999</v>
      </c>
      <c r="G1300" s="2350">
        <f>ROUND(F1300*E1300,2)</f>
        <v>24.66</v>
      </c>
      <c r="H1300" s="2211"/>
      <c r="I1300" s="2211"/>
    </row>
    <row r="1301" spans="1:9" hidden="1">
      <c r="A1301" s="2314"/>
      <c r="B1301" s="2214"/>
      <c r="C1301" s="2275" t="s">
        <v>2082</v>
      </c>
      <c r="D1301" s="2275" t="s">
        <v>525</v>
      </c>
      <c r="E1301" s="2369">
        <f>(0.4*0.4*0.4-0.15*0.15*0.3)</f>
        <v>5.7250000000000016E-2</v>
      </c>
      <c r="F1301" s="2340">
        <f>G539</f>
        <v>5340.5599999999995</v>
      </c>
      <c r="G1301" s="2350">
        <f>ROUND(F1301*E1301,2)</f>
        <v>305.75</v>
      </c>
      <c r="H1301" s="2211"/>
      <c r="I1301" s="2211"/>
    </row>
    <row r="1302" spans="1:9" hidden="1">
      <c r="A1302" s="2314"/>
      <c r="B1302" s="2214"/>
      <c r="C1302" s="2275" t="s">
        <v>2085</v>
      </c>
      <c r="D1302" s="2275" t="s">
        <v>1730</v>
      </c>
      <c r="E1302" s="2369">
        <v>2.67</v>
      </c>
      <c r="F1302" s="2340">
        <f>G584/1000</f>
        <v>77.799000000000007</v>
      </c>
      <c r="G1302" s="2350">
        <f>ROUND(F1302*E1302,2)</f>
        <v>207.72</v>
      </c>
      <c r="H1302" s="2211"/>
      <c r="I1302" s="2211"/>
    </row>
    <row r="1303" spans="1:9" hidden="1">
      <c r="A1303" s="2314"/>
      <c r="B1303" s="2214"/>
      <c r="C1303" s="2275" t="s">
        <v>2084</v>
      </c>
      <c r="D1303" s="2275" t="s">
        <v>1725</v>
      </c>
      <c r="E1303" s="2369">
        <v>1</v>
      </c>
      <c r="F1303" s="2340">
        <v>11.59</v>
      </c>
      <c r="G1303" s="2350">
        <f>ROUND(F1303*E1303,2)</f>
        <v>11.59</v>
      </c>
      <c r="H1303" s="2211"/>
      <c r="I1303" s="2211"/>
    </row>
    <row r="1304" spans="1:9" hidden="1">
      <c r="A1304" s="2314"/>
      <c r="B1304" s="2214"/>
      <c r="C1304" s="2214" t="s">
        <v>2080</v>
      </c>
      <c r="D1304" s="2275" t="s">
        <v>1725</v>
      </c>
      <c r="E1304" s="2369"/>
      <c r="F1304" s="2340"/>
      <c r="G1304" s="2350">
        <f>SUM(G1299:G1303)</f>
        <v>766.0100000000001</v>
      </c>
      <c r="H1304" s="2211"/>
      <c r="I1304" s="2211"/>
    </row>
    <row r="1305" spans="1:9" hidden="1">
      <c r="A1305" s="2280"/>
      <c r="B1305" s="2213"/>
      <c r="C1305" s="2225"/>
      <c r="D1305" s="2253"/>
      <c r="E1305" s="2345"/>
      <c r="F1305" s="2232"/>
      <c r="G1305" s="2232"/>
    </row>
    <row r="1306" spans="1:9" hidden="1">
      <c r="A1306" s="2280"/>
      <c r="B1306" s="2232"/>
      <c r="C1306" s="2232"/>
      <c r="D1306" s="2232"/>
      <c r="E1306" s="2232"/>
      <c r="F1306" s="2232"/>
      <c r="G1306" s="2232"/>
    </row>
    <row r="1307" spans="1:9" ht="88.2" hidden="1">
      <c r="A1307" s="2280"/>
      <c r="B1307" s="2232"/>
      <c r="C1307" s="2281" t="s">
        <v>2364</v>
      </c>
      <c r="D1307" s="2228"/>
      <c r="E1307" s="2262"/>
      <c r="F1307" s="2340"/>
      <c r="G1307" s="2216"/>
    </row>
    <row r="1308" spans="1:9" hidden="1">
      <c r="A1308" s="2280"/>
      <c r="B1308" s="2232"/>
      <c r="C1308" s="2281" t="s">
        <v>1227</v>
      </c>
      <c r="D1308" s="2228"/>
      <c r="E1308" s="2262"/>
      <c r="F1308" s="2340"/>
      <c r="G1308" s="2216"/>
    </row>
    <row r="1309" spans="1:9" hidden="1">
      <c r="A1309" s="2280"/>
      <c r="B1309" s="2232"/>
      <c r="C1309" s="2281" t="s">
        <v>1041</v>
      </c>
      <c r="D1309" s="2228"/>
      <c r="E1309" s="2262"/>
      <c r="F1309" s="2340"/>
      <c r="G1309" s="2349"/>
    </row>
    <row r="1310" spans="1:9" hidden="1">
      <c r="A1310" s="2280"/>
      <c r="B1310" s="2232"/>
      <c r="C1310" s="2283" t="s">
        <v>2363</v>
      </c>
      <c r="D1310" s="2228" t="s">
        <v>1473</v>
      </c>
      <c r="E1310" s="2262">
        <v>0.21</v>
      </c>
      <c r="F1310" s="2340">
        <f>G107</f>
        <v>3818.78</v>
      </c>
      <c r="G1310" s="2349">
        <f>ROUND(F1310*E1310,2)</f>
        <v>801.94</v>
      </c>
    </row>
    <row r="1311" spans="1:9" hidden="1">
      <c r="A1311" s="2280"/>
      <c r="B1311" s="2232"/>
      <c r="C1311" s="2281" t="s">
        <v>340</v>
      </c>
      <c r="D1311" s="2228"/>
      <c r="E1311" s="2262"/>
      <c r="F1311" s="2340"/>
      <c r="G1311" s="2349"/>
    </row>
    <row r="1312" spans="1:9" ht="14.1" hidden="1">
      <c r="A1312" s="2280"/>
      <c r="B1312" s="2232"/>
      <c r="C1312" s="2283" t="s">
        <v>3593</v>
      </c>
      <c r="D1312" s="2228" t="s">
        <v>1047</v>
      </c>
      <c r="E1312" s="2262">
        <v>0.94</v>
      </c>
      <c r="F1312" s="2340">
        <f>'Lead- Input sheet '!R30</f>
        <v>650</v>
      </c>
      <c r="G1312" s="2349">
        <f>ROUND(F1312*E1312,2)</f>
        <v>611</v>
      </c>
    </row>
    <row r="1313" spans="1:10" hidden="1">
      <c r="A1313" s="2280"/>
      <c r="B1313" s="2232"/>
      <c r="C1313" s="2283" t="s">
        <v>341</v>
      </c>
      <c r="D1313" s="2228" t="s">
        <v>1047</v>
      </c>
      <c r="E1313" s="2262">
        <v>1.6</v>
      </c>
      <c r="F1313" s="2340">
        <f>'Lead- Input sheet '!R29</f>
        <v>605</v>
      </c>
      <c r="G1313" s="2349">
        <f>ROUND(F1313*E1313,2)</f>
        <v>968</v>
      </c>
    </row>
    <row r="1314" spans="1:10" hidden="1">
      <c r="A1314" s="2280"/>
      <c r="B1314" s="2232"/>
      <c r="C1314" s="2232" t="s">
        <v>2617</v>
      </c>
      <c r="D1314" s="2233"/>
      <c r="E1314" s="2233">
        <f>'Lead- Input sheet '!Q31</f>
        <v>0</v>
      </c>
      <c r="F1314" s="2238">
        <f>SUM(G1312:G1313)</f>
        <v>1579</v>
      </c>
      <c r="G1314" s="2238">
        <f>ROUND(F1314*E1314,2)</f>
        <v>0</v>
      </c>
    </row>
    <row r="1315" spans="1:10" hidden="1">
      <c r="A1315" s="2280"/>
      <c r="B1315" s="2232"/>
      <c r="C1315" s="2225" t="s">
        <v>29</v>
      </c>
      <c r="D1315" s="2228"/>
      <c r="E1315" s="2262"/>
      <c r="F1315" s="2340" t="s">
        <v>1486</v>
      </c>
      <c r="G1315" s="2216">
        <f>SUM(G1310:G1314)</f>
        <v>2380.94</v>
      </c>
    </row>
    <row r="1316" spans="1:10" ht="88.2" hidden="1">
      <c r="A1316" s="2278" t="s">
        <v>2404</v>
      </c>
      <c r="B1316" s="2213">
        <v>12</v>
      </c>
      <c r="C1316" s="2281" t="s">
        <v>3616</v>
      </c>
      <c r="D1316" s="2228"/>
      <c r="E1316" s="2262"/>
      <c r="F1316" s="2340"/>
      <c r="G1316" s="2349" t="s">
        <v>2405</v>
      </c>
    </row>
    <row r="1317" spans="1:10" hidden="1">
      <c r="A1317" s="2280"/>
      <c r="B1317" s="2213"/>
      <c r="C1317" s="2281" t="s">
        <v>1081</v>
      </c>
      <c r="D1317" s="2228"/>
      <c r="E1317" s="2262"/>
      <c r="F1317" s="2340"/>
      <c r="G1317" s="2349"/>
    </row>
    <row r="1318" spans="1:10" hidden="1">
      <c r="A1318" s="2280"/>
      <c r="B1318" s="2213"/>
      <c r="C1318" s="2283" t="s">
        <v>498</v>
      </c>
      <c r="D1318" s="2228"/>
      <c r="E1318" s="2262"/>
      <c r="F1318" s="2340"/>
      <c r="G1318" s="2349"/>
    </row>
    <row r="1319" spans="1:10" hidden="1">
      <c r="A1319" s="2280"/>
      <c r="B1319" s="2213"/>
      <c r="C1319" s="2281" t="s">
        <v>1041</v>
      </c>
      <c r="D1319" s="2228"/>
      <c r="E1319" s="2262"/>
      <c r="F1319" s="2340"/>
      <c r="G1319" s="2349"/>
    </row>
    <row r="1320" spans="1:10" ht="37.799999999999997" hidden="1">
      <c r="A1320" s="2213" t="s">
        <v>2406</v>
      </c>
      <c r="B1320" s="2314"/>
      <c r="C1320" s="2283" t="s">
        <v>2407</v>
      </c>
      <c r="D1320" s="2228" t="s">
        <v>472</v>
      </c>
      <c r="E1320" s="2262">
        <v>164</v>
      </c>
      <c r="F1320" s="2340">
        <f>'Lead- Input sheet '!R16</f>
        <v>31016.23905294195</v>
      </c>
      <c r="G1320" s="2349">
        <f>ROUND(F1320*E1320/1000,2)</f>
        <v>5086.66</v>
      </c>
      <c r="I1320" s="2370">
        <f>ROUND(0.95/(0.29*0.15*0.14),2)</f>
        <v>155.99</v>
      </c>
      <c r="J1320" s="2211">
        <f>70*0.29*0.15*0.14</f>
        <v>0.42629999999999996</v>
      </c>
    </row>
    <row r="1321" spans="1:10" hidden="1">
      <c r="A1321" s="2280"/>
      <c r="B1321" s="2213"/>
      <c r="C1321" s="2283" t="s">
        <v>2408</v>
      </c>
      <c r="D1321" s="2228" t="s">
        <v>1473</v>
      </c>
      <c r="E1321" s="2262">
        <v>0.1</v>
      </c>
      <c r="F1321" s="2340">
        <f>G127</f>
        <v>3020.06</v>
      </c>
      <c r="G1321" s="2349">
        <f>ROUND(F1321*E1321,2)</f>
        <v>302.01</v>
      </c>
    </row>
    <row r="1322" spans="1:10" hidden="1">
      <c r="A1322" s="2280"/>
      <c r="B1322" s="2213"/>
      <c r="C1322" s="2281" t="s">
        <v>653</v>
      </c>
      <c r="D1322" s="2228"/>
      <c r="E1322" s="2262"/>
      <c r="F1322" s="2340"/>
      <c r="G1322" s="2349"/>
    </row>
    <row r="1323" spans="1:10" hidden="1">
      <c r="A1323" s="2280"/>
      <c r="B1323" s="2213"/>
      <c r="C1323" s="2283" t="s">
        <v>2409</v>
      </c>
      <c r="D1323" s="2228" t="s">
        <v>1047</v>
      </c>
      <c r="E1323" s="2262">
        <v>0.42</v>
      </c>
      <c r="F1323" s="2340">
        <v>545</v>
      </c>
      <c r="G1323" s="2349">
        <f>ROUND(F1323*E1323,2)</f>
        <v>228.9</v>
      </c>
    </row>
    <row r="1324" spans="1:10" hidden="1">
      <c r="A1324" s="2280"/>
      <c r="B1324" s="2213"/>
      <c r="C1324" s="2283" t="s">
        <v>654</v>
      </c>
      <c r="D1324" s="2228" t="s">
        <v>1047</v>
      </c>
      <c r="E1324" s="2262">
        <v>0.92</v>
      </c>
      <c r="F1324" s="2340">
        <v>515</v>
      </c>
      <c r="G1324" s="2349">
        <f>ROUND(F1324*E1324,2)</f>
        <v>473.8</v>
      </c>
    </row>
    <row r="1325" spans="1:10" hidden="1">
      <c r="A1325" s="2280"/>
      <c r="B1325" s="2213"/>
      <c r="C1325" s="2283" t="s">
        <v>502</v>
      </c>
      <c r="D1325" s="2228" t="s">
        <v>1047</v>
      </c>
      <c r="E1325" s="2262">
        <v>0.7</v>
      </c>
      <c r="F1325" s="2340">
        <f>'Lead- Input sheet '!R29</f>
        <v>605</v>
      </c>
      <c r="G1325" s="2349">
        <f>ROUND(F1325*E1325,2)</f>
        <v>423.5</v>
      </c>
      <c r="I1325" s="2251">
        <f>3025.97+271.56+228.9+473.8+343+1029+53.72+414.94+795.24</f>
        <v>6636.1299999999992</v>
      </c>
    </row>
    <row r="1326" spans="1:10" hidden="1">
      <c r="A1326" s="2280"/>
      <c r="B1326" s="2213"/>
      <c r="C1326" s="2283" t="s">
        <v>2410</v>
      </c>
      <c r="D1326" s="2228" t="s">
        <v>1047</v>
      </c>
      <c r="E1326" s="2262">
        <v>2.1</v>
      </c>
      <c r="F1326" s="2340">
        <f>'Lead- Input sheet '!R28</f>
        <v>605</v>
      </c>
      <c r="G1326" s="2349">
        <f>ROUND(F1326*E1326,2)</f>
        <v>1270.5</v>
      </c>
    </row>
    <row r="1327" spans="1:10" hidden="1">
      <c r="A1327" s="2227"/>
      <c r="B1327" s="2224"/>
      <c r="C1327" s="2232" t="s">
        <v>2617</v>
      </c>
      <c r="D1327" s="2233"/>
      <c r="E1327" s="2233">
        <f>SUM(G1320:G1326)</f>
        <v>7785.37</v>
      </c>
      <c r="F1327" s="2238">
        <f>'Lead- Input sheet '!Q32</f>
        <v>0</v>
      </c>
      <c r="G1327" s="2238">
        <f>ROUND(F1327*E1327,2)</f>
        <v>0</v>
      </c>
    </row>
    <row r="1328" spans="1:10" hidden="1">
      <c r="A1328" s="2280"/>
      <c r="B1328" s="2213"/>
      <c r="C1328" s="2225" t="s">
        <v>1062</v>
      </c>
      <c r="D1328" s="2228"/>
      <c r="E1328" s="2262"/>
      <c r="F1328" s="2340" t="s">
        <v>1486</v>
      </c>
      <c r="G1328" s="2216">
        <f>SUM(G1320:G1327)</f>
        <v>7785.37</v>
      </c>
      <c r="J1328" s="2251"/>
    </row>
    <row r="1329" spans="1:9" hidden="1">
      <c r="A1329" s="2278" t="s">
        <v>2416</v>
      </c>
      <c r="B1329" s="2213">
        <v>14</v>
      </c>
      <c r="C1329" s="2281" t="s">
        <v>2417</v>
      </c>
      <c r="D1329" s="2228"/>
      <c r="E1329" s="2262"/>
      <c r="F1329" s="2340"/>
      <c r="G1329" s="2349"/>
      <c r="H1329" s="2211"/>
      <c r="I1329" s="2211"/>
    </row>
    <row r="1330" spans="1:9" hidden="1">
      <c r="A1330" s="2280"/>
      <c r="B1330" s="2213"/>
      <c r="C1330" s="2281" t="s">
        <v>1227</v>
      </c>
      <c r="D1330" s="2228"/>
      <c r="E1330" s="2262"/>
      <c r="F1330" s="2340"/>
      <c r="G1330" s="2349"/>
      <c r="H1330" s="2211"/>
      <c r="I1330" s="2211"/>
    </row>
    <row r="1331" spans="1:9" hidden="1">
      <c r="A1331" s="2280"/>
      <c r="B1331" s="2213"/>
      <c r="C1331" s="2281" t="s">
        <v>1041</v>
      </c>
      <c r="D1331" s="2228"/>
      <c r="E1331" s="2262"/>
      <c r="F1331" s="2340"/>
      <c r="G1331" s="2349"/>
      <c r="H1331" s="2211"/>
      <c r="I1331" s="2211"/>
    </row>
    <row r="1332" spans="1:9" hidden="1">
      <c r="A1332" s="2280"/>
      <c r="B1332" s="2213"/>
      <c r="C1332" s="2283" t="s">
        <v>2363</v>
      </c>
      <c r="D1332" s="2228" t="s">
        <v>1473</v>
      </c>
      <c r="E1332" s="2262">
        <v>0.15</v>
      </c>
      <c r="F1332" s="2340">
        <f>G107</f>
        <v>3818.78</v>
      </c>
      <c r="G1332" s="2349">
        <f>ROUND(F1332*E1332,2)</f>
        <v>572.82000000000005</v>
      </c>
      <c r="H1332" s="2211"/>
      <c r="I1332" s="2211"/>
    </row>
    <row r="1333" spans="1:9" hidden="1">
      <c r="A1333" s="2280"/>
      <c r="B1333" s="2213"/>
      <c r="C1333" s="2281" t="s">
        <v>340</v>
      </c>
      <c r="D1333" s="2228"/>
      <c r="E1333" s="2262"/>
      <c r="F1333" s="2340"/>
      <c r="G1333" s="2349"/>
      <c r="H1333" s="2211"/>
      <c r="I1333" s="2211"/>
    </row>
    <row r="1334" spans="1:9" ht="14.1" hidden="1">
      <c r="A1334" s="2280"/>
      <c r="B1334" s="2213"/>
      <c r="C1334" s="2283" t="s">
        <v>3589</v>
      </c>
      <c r="D1334" s="2228" t="s">
        <v>1047</v>
      </c>
      <c r="E1334" s="2262">
        <v>0.6</v>
      </c>
      <c r="F1334" s="2340">
        <f>'Lead- Input sheet '!R32</f>
        <v>780</v>
      </c>
      <c r="G1334" s="2349">
        <f>ROUND(F1334*E1334,2)</f>
        <v>468</v>
      </c>
      <c r="H1334" s="2211"/>
      <c r="I1334" s="2211"/>
    </row>
    <row r="1335" spans="1:9" hidden="1">
      <c r="A1335" s="2280"/>
      <c r="B1335" s="2213"/>
      <c r="C1335" s="2283" t="s">
        <v>341</v>
      </c>
      <c r="D1335" s="2228" t="s">
        <v>1047</v>
      </c>
      <c r="E1335" s="2262">
        <v>0.96</v>
      </c>
      <c r="F1335" s="2340">
        <f>'Lead- Input sheet '!R29</f>
        <v>605</v>
      </c>
      <c r="G1335" s="2349">
        <f>ROUND(F1335*E1335,2)</f>
        <v>580.79999999999995</v>
      </c>
      <c r="H1335" s="2211"/>
      <c r="I1335" s="2211"/>
    </row>
    <row r="1336" spans="1:9" s="2231" customFormat="1" hidden="1">
      <c r="A1336" s="2227"/>
      <c r="B1336" s="2224"/>
      <c r="C1336" s="2232" t="s">
        <v>2617</v>
      </c>
      <c r="D1336" s="2233"/>
      <c r="E1336" s="2233">
        <f>'Lead- Input sheet '!Q32</f>
        <v>0</v>
      </c>
      <c r="F1336" s="2238">
        <f>SUM(G1334:G1335)</f>
        <v>1048.8</v>
      </c>
      <c r="G1336" s="2238">
        <f>ROUND(F1336*E1336,2)</f>
        <v>0</v>
      </c>
    </row>
    <row r="1337" spans="1:9" hidden="1">
      <c r="A1337" s="2280"/>
      <c r="B1337" s="2213"/>
      <c r="C1337" s="2225" t="s">
        <v>29</v>
      </c>
      <c r="D1337" s="2228"/>
      <c r="E1337" s="2262"/>
      <c r="F1337" s="2340" t="s">
        <v>1486</v>
      </c>
      <c r="G1337" s="2216">
        <f>SUM(G1331:G1336)</f>
        <v>1621.6200000000001</v>
      </c>
      <c r="H1337" s="2211"/>
      <c r="I1337" s="2211"/>
    </row>
    <row r="1338" spans="1:9" hidden="1">
      <c r="A1338" s="2278" t="s">
        <v>2418</v>
      </c>
      <c r="B1338" s="2213">
        <v>15</v>
      </c>
      <c r="C1338" s="2281" t="s">
        <v>2419</v>
      </c>
      <c r="D1338" s="2228"/>
      <c r="E1338" s="2262"/>
      <c r="F1338" s="2340"/>
      <c r="G1338" s="2216"/>
      <c r="H1338" s="2211"/>
      <c r="I1338" s="2211"/>
    </row>
    <row r="1339" spans="1:9" hidden="1">
      <c r="A1339" s="2280"/>
      <c r="B1339" s="2213"/>
      <c r="C1339" s="2281" t="s">
        <v>1227</v>
      </c>
      <c r="D1339" s="2228"/>
      <c r="E1339" s="2262"/>
      <c r="F1339" s="2340"/>
      <c r="G1339" s="2216"/>
      <c r="H1339" s="2211"/>
      <c r="I1339" s="2211"/>
    </row>
    <row r="1340" spans="1:9" hidden="1">
      <c r="A1340" s="2280"/>
      <c r="B1340" s="2213"/>
      <c r="C1340" s="2281" t="s">
        <v>1041</v>
      </c>
      <c r="D1340" s="2228"/>
      <c r="E1340" s="2262"/>
      <c r="F1340" s="2340"/>
      <c r="G1340" s="2349"/>
      <c r="H1340" s="2211"/>
      <c r="I1340" s="2211"/>
    </row>
    <row r="1341" spans="1:9" hidden="1">
      <c r="A1341" s="2280"/>
      <c r="B1341" s="2213"/>
      <c r="C1341" s="2283" t="s">
        <v>2363</v>
      </c>
      <c r="D1341" s="2228" t="s">
        <v>1473</v>
      </c>
      <c r="E1341" s="2262">
        <v>0.21</v>
      </c>
      <c r="F1341" s="2340">
        <f>G107</f>
        <v>3818.78</v>
      </c>
      <c r="G1341" s="2349">
        <f>ROUND(F1341*E1341,2)</f>
        <v>801.94</v>
      </c>
      <c r="H1341" s="2211"/>
      <c r="I1341" s="2211"/>
    </row>
    <row r="1342" spans="1:9" hidden="1">
      <c r="A1342" s="2280"/>
      <c r="B1342" s="2213"/>
      <c r="C1342" s="2281" t="s">
        <v>340</v>
      </c>
      <c r="D1342" s="2228"/>
      <c r="E1342" s="2262"/>
      <c r="F1342" s="2340"/>
      <c r="G1342" s="2349"/>
      <c r="H1342" s="2211"/>
      <c r="I1342" s="2211"/>
    </row>
    <row r="1343" spans="1:9" ht="14.1" hidden="1">
      <c r="A1343" s="2280"/>
      <c r="B1343" s="2213"/>
      <c r="C1343" s="2283" t="s">
        <v>3593</v>
      </c>
      <c r="D1343" s="2228" t="s">
        <v>1047</v>
      </c>
      <c r="E1343" s="2262">
        <v>0.94</v>
      </c>
      <c r="F1343" s="2340">
        <f>'Lead- Input sheet '!R30</f>
        <v>650</v>
      </c>
      <c r="G1343" s="2349">
        <f>ROUND(F1343*E1343,2)</f>
        <v>611</v>
      </c>
      <c r="H1343" s="2211"/>
      <c r="I1343" s="2211"/>
    </row>
    <row r="1344" spans="1:9" hidden="1">
      <c r="A1344" s="2280"/>
      <c r="B1344" s="2213"/>
      <c r="C1344" s="2283" t="s">
        <v>341</v>
      </c>
      <c r="D1344" s="2228" t="s">
        <v>1047</v>
      </c>
      <c r="E1344" s="2262">
        <v>1.6</v>
      </c>
      <c r="F1344" s="2340">
        <f>'Lead- Input sheet '!R29</f>
        <v>605</v>
      </c>
      <c r="G1344" s="2349">
        <f>ROUND(F1344*E1344,2)</f>
        <v>968</v>
      </c>
      <c r="H1344" s="2211"/>
      <c r="I1344" s="2211"/>
    </row>
    <row r="1345" spans="1:9" s="2231" customFormat="1" hidden="1">
      <c r="A1345" s="2227"/>
      <c r="B1345" s="2224"/>
      <c r="C1345" s="2232" t="s">
        <v>2617</v>
      </c>
      <c r="D1345" s="2233"/>
      <c r="E1345" s="2233">
        <f>'Lead- Input sheet '!Q32</f>
        <v>0</v>
      </c>
      <c r="F1345" s="2238">
        <f>SUM(G1343:G1344)</f>
        <v>1579</v>
      </c>
      <c r="G1345" s="2238">
        <f>ROUND(F1345*E1345,2)</f>
        <v>0</v>
      </c>
    </row>
    <row r="1346" spans="1:9" hidden="1">
      <c r="A1346" s="2280"/>
      <c r="B1346" s="2213"/>
      <c r="C1346" s="2225" t="s">
        <v>29</v>
      </c>
      <c r="D1346" s="2228"/>
      <c r="E1346" s="2262"/>
      <c r="F1346" s="2340" t="s">
        <v>1486</v>
      </c>
      <c r="G1346" s="2216">
        <f>SUM(G1341:G1345)</f>
        <v>2380.94</v>
      </c>
      <c r="H1346" s="2211"/>
      <c r="I1346" s="2211"/>
    </row>
    <row r="1347" spans="1:9" ht="37.799999999999997" hidden="1">
      <c r="A1347" s="2371">
        <v>3</v>
      </c>
      <c r="B1347" s="2371" t="s">
        <v>2156</v>
      </c>
      <c r="C1347" s="2655" t="s">
        <v>3617</v>
      </c>
      <c r="D1347" s="2655"/>
      <c r="E1347" s="2655"/>
      <c r="F1347" s="2655"/>
      <c r="G1347" s="2372"/>
      <c r="H1347" s="2211"/>
      <c r="I1347" s="2211"/>
    </row>
    <row r="1348" spans="1:9" hidden="1">
      <c r="A1348" s="2371"/>
      <c r="B1348" s="2371"/>
      <c r="C1348" s="2373" t="s">
        <v>1227</v>
      </c>
      <c r="D1348" s="2374"/>
      <c r="E1348" s="2375"/>
      <c r="F1348" s="2372"/>
      <c r="G1348" s="2372"/>
      <c r="H1348" s="2211"/>
      <c r="I1348" s="2211"/>
    </row>
    <row r="1349" spans="1:9" hidden="1">
      <c r="A1349" s="2371"/>
      <c r="B1349" s="2371"/>
      <c r="C1349" s="2373" t="s">
        <v>1041</v>
      </c>
      <c r="D1349" s="2374"/>
      <c r="E1349" s="2375"/>
      <c r="F1349" s="2372"/>
      <c r="G1349" s="2372"/>
      <c r="H1349" s="2211"/>
      <c r="I1349" s="2211"/>
    </row>
    <row r="1350" spans="1:9" ht="25.2" hidden="1">
      <c r="A1350" s="2371"/>
      <c r="B1350" s="2371" t="s">
        <v>3153</v>
      </c>
      <c r="C1350" s="2373" t="s">
        <v>2158</v>
      </c>
      <c r="D1350" s="2374" t="s">
        <v>987</v>
      </c>
      <c r="E1350" s="2375">
        <v>10</v>
      </c>
      <c r="F1350" s="2372">
        <v>438</v>
      </c>
      <c r="G1350" s="2372">
        <f t="shared" ref="G1350:G1356" si="10">F1350*E1350</f>
        <v>4380</v>
      </c>
      <c r="H1350" s="2211"/>
      <c r="I1350" s="2211"/>
    </row>
    <row r="1351" spans="1:9" ht="25.2" hidden="1">
      <c r="A1351" s="2371"/>
      <c r="B1351" s="2376" t="s">
        <v>1993</v>
      </c>
      <c r="C1351" s="2373" t="s">
        <v>1737</v>
      </c>
      <c r="D1351" s="2374" t="s">
        <v>882</v>
      </c>
      <c r="E1351" s="2375">
        <v>47.91</v>
      </c>
      <c r="F1351" s="2372">
        <v>9</v>
      </c>
      <c r="G1351" s="2372">
        <f t="shared" si="10"/>
        <v>431.18999999999994</v>
      </c>
      <c r="H1351" s="2211"/>
      <c r="I1351" s="2211"/>
    </row>
    <row r="1352" spans="1:9" ht="25.2" hidden="1">
      <c r="A1352" s="2371"/>
      <c r="B1352" s="2376" t="s">
        <v>1995</v>
      </c>
      <c r="C1352" s="2373" t="s">
        <v>1739</v>
      </c>
      <c r="D1352" s="2374" t="s">
        <v>882</v>
      </c>
      <c r="E1352" s="2375">
        <v>43.9</v>
      </c>
      <c r="F1352" s="2372">
        <v>13</v>
      </c>
      <c r="G1352" s="2372">
        <f t="shared" si="10"/>
        <v>570.69999999999993</v>
      </c>
      <c r="H1352" s="2211"/>
      <c r="I1352" s="2211"/>
    </row>
    <row r="1353" spans="1:9" ht="25.2" hidden="1">
      <c r="A1353" s="2371"/>
      <c r="B1353" s="2376" t="s">
        <v>1996</v>
      </c>
      <c r="C1353" s="2373" t="s">
        <v>2159</v>
      </c>
      <c r="D1353" s="2374" t="s">
        <v>882</v>
      </c>
      <c r="E1353" s="2375">
        <v>91.82</v>
      </c>
      <c r="F1353" s="2372">
        <v>5</v>
      </c>
      <c r="G1353" s="2372">
        <f t="shared" si="10"/>
        <v>459.09999999999997</v>
      </c>
      <c r="H1353" s="2211"/>
      <c r="I1353" s="2211"/>
    </row>
    <row r="1354" spans="1:9" ht="25.2" hidden="1">
      <c r="A1354" s="2371"/>
      <c r="B1354" s="2376" t="s">
        <v>1997</v>
      </c>
      <c r="C1354" s="2373" t="s">
        <v>1741</v>
      </c>
      <c r="D1354" s="2374" t="s">
        <v>882</v>
      </c>
      <c r="E1354" s="2375">
        <v>91.82</v>
      </c>
      <c r="F1354" s="2372">
        <v>5</v>
      </c>
      <c r="G1354" s="2372">
        <f t="shared" si="10"/>
        <v>459.09999999999997</v>
      </c>
      <c r="H1354" s="2211"/>
      <c r="I1354" s="2211"/>
    </row>
    <row r="1355" spans="1:9" ht="25.2" hidden="1">
      <c r="A1355" s="2371"/>
      <c r="B1355" s="2377" t="s">
        <v>2160</v>
      </c>
      <c r="C1355" s="2373" t="s">
        <v>1742</v>
      </c>
      <c r="D1355" s="2374" t="s">
        <v>1743</v>
      </c>
      <c r="E1355" s="2375">
        <v>0.14000000000000001</v>
      </c>
      <c r="F1355" s="2372">
        <v>236</v>
      </c>
      <c r="G1355" s="2372">
        <f t="shared" si="10"/>
        <v>33.040000000000006</v>
      </c>
      <c r="H1355" s="2211"/>
      <c r="I1355" s="2211"/>
    </row>
    <row r="1356" spans="1:9" ht="25.2" hidden="1">
      <c r="A1356" s="2371"/>
      <c r="B1356" s="2377" t="s">
        <v>1615</v>
      </c>
      <c r="C1356" s="2373" t="s">
        <v>1744</v>
      </c>
      <c r="D1356" s="2374" t="s">
        <v>1743</v>
      </c>
      <c r="E1356" s="2375">
        <v>0.2</v>
      </c>
      <c r="F1356" s="2372">
        <v>289</v>
      </c>
      <c r="G1356" s="2372">
        <f t="shared" si="10"/>
        <v>57.800000000000004</v>
      </c>
      <c r="H1356" s="2211"/>
      <c r="I1356" s="2211"/>
    </row>
    <row r="1357" spans="1:9" hidden="1">
      <c r="A1357" s="2371"/>
      <c r="B1357" s="2371"/>
      <c r="C1357" s="2373" t="s">
        <v>653</v>
      </c>
      <c r="D1357" s="2374"/>
      <c r="E1357" s="2375"/>
      <c r="F1357" s="2372"/>
      <c r="G1357" s="2372"/>
      <c r="H1357" s="2211"/>
      <c r="I1357" s="2211"/>
    </row>
    <row r="1358" spans="1:9" hidden="1">
      <c r="A1358" s="2371"/>
      <c r="B1358" s="2371"/>
      <c r="C1358" s="2373" t="s">
        <v>1745</v>
      </c>
      <c r="D1358" s="2374"/>
      <c r="E1358" s="2375"/>
      <c r="F1358" s="2372"/>
      <c r="G1358" s="2372"/>
      <c r="H1358" s="2211"/>
      <c r="I1358" s="2211"/>
    </row>
    <row r="1359" spans="1:9" ht="25.2" hidden="1">
      <c r="A1359" s="2371"/>
      <c r="B1359" s="2371" t="s">
        <v>2161</v>
      </c>
      <c r="C1359" s="2373" t="s">
        <v>1746</v>
      </c>
      <c r="D1359" s="2374" t="s">
        <v>1047</v>
      </c>
      <c r="E1359" s="2375">
        <v>0.84</v>
      </c>
      <c r="F1359" s="2372">
        <v>615</v>
      </c>
      <c r="G1359" s="2372">
        <f>F1359*E1359</f>
        <v>516.6</v>
      </c>
      <c r="H1359" s="2211"/>
      <c r="I1359" s="2211"/>
    </row>
    <row r="1360" spans="1:9" ht="25.2" hidden="1">
      <c r="A1360" s="2371"/>
      <c r="B1360" s="2371" t="s">
        <v>2162</v>
      </c>
      <c r="C1360" s="2373" t="s">
        <v>1747</v>
      </c>
      <c r="D1360" s="2374" t="s">
        <v>1047</v>
      </c>
      <c r="E1360" s="2375">
        <v>0.91</v>
      </c>
      <c r="F1360" s="2372">
        <v>575</v>
      </c>
      <c r="G1360" s="2372">
        <f>F1360*E1360</f>
        <v>523.25</v>
      </c>
      <c r="H1360" s="2211"/>
      <c r="I1360" s="2211"/>
    </row>
    <row r="1361" spans="1:9" hidden="1">
      <c r="A1361" s="2371"/>
      <c r="B1361" s="2371"/>
      <c r="C1361" s="2373" t="s">
        <v>1748</v>
      </c>
      <c r="D1361" s="2374"/>
      <c r="E1361" s="2375"/>
      <c r="F1361" s="2372"/>
      <c r="G1361" s="2372"/>
      <c r="H1361" s="2211"/>
      <c r="I1361" s="2211"/>
    </row>
    <row r="1362" spans="1:9" ht="25.2" hidden="1">
      <c r="A1362" s="2371"/>
      <c r="B1362" s="2371" t="s">
        <v>2163</v>
      </c>
      <c r="C1362" s="2373" t="s">
        <v>989</v>
      </c>
      <c r="D1362" s="2374" t="s">
        <v>1047</v>
      </c>
      <c r="E1362" s="2375">
        <v>0.06</v>
      </c>
      <c r="F1362" s="2372">
        <v>740</v>
      </c>
      <c r="G1362" s="2372">
        <f>F1362*E1362</f>
        <v>44.4</v>
      </c>
      <c r="H1362" s="2211"/>
      <c r="I1362" s="2211"/>
    </row>
    <row r="1363" spans="1:9" hidden="1">
      <c r="A1363" s="2371"/>
      <c r="B1363" s="2371"/>
      <c r="C1363" s="2373" t="s">
        <v>1749</v>
      </c>
      <c r="D1363" s="2374" t="s">
        <v>1047</v>
      </c>
      <c r="E1363" s="2375">
        <v>0.06</v>
      </c>
      <c r="F1363" s="2372">
        <v>575</v>
      </c>
      <c r="G1363" s="2372">
        <f>F1363*E1363</f>
        <v>34.5</v>
      </c>
      <c r="H1363" s="2211"/>
      <c r="I1363" s="2211"/>
    </row>
    <row r="1364" spans="1:9" hidden="1">
      <c r="A1364" s="2371"/>
      <c r="B1364" s="2371"/>
      <c r="C1364" s="2373" t="s">
        <v>1750</v>
      </c>
      <c r="D1364" s="2374"/>
      <c r="E1364" s="2375"/>
      <c r="F1364" s="2372"/>
      <c r="G1364" s="2372"/>
      <c r="H1364" s="2211"/>
      <c r="I1364" s="2211"/>
    </row>
    <row r="1365" spans="1:9" ht="25.2" hidden="1">
      <c r="A1365" s="2371"/>
      <c r="B1365" s="2371" t="s">
        <v>2163</v>
      </c>
      <c r="C1365" s="2373" t="s">
        <v>989</v>
      </c>
      <c r="D1365" s="2374" t="s">
        <v>1047</v>
      </c>
      <c r="E1365" s="2375">
        <v>0.14000000000000001</v>
      </c>
      <c r="F1365" s="2372">
        <f>F1362</f>
        <v>740</v>
      </c>
      <c r="G1365" s="2372">
        <f>F1365*E1365</f>
        <v>103.60000000000001</v>
      </c>
      <c r="H1365" s="2211"/>
      <c r="I1365" s="2211"/>
    </row>
    <row r="1366" spans="1:9" hidden="1">
      <c r="A1366" s="2371"/>
      <c r="B1366" s="2371"/>
      <c r="C1366" s="2373" t="s">
        <v>1751</v>
      </c>
      <c r="D1366" s="2374" t="s">
        <v>1047</v>
      </c>
      <c r="E1366" s="2375">
        <v>0.14000000000000001</v>
      </c>
      <c r="F1366" s="2372">
        <f>F1360</f>
        <v>575</v>
      </c>
      <c r="G1366" s="2372">
        <f>F1366*E1366</f>
        <v>80.500000000000014</v>
      </c>
      <c r="H1366" s="2211"/>
      <c r="I1366" s="2211"/>
    </row>
    <row r="1367" spans="1:9" hidden="1">
      <c r="A1367" s="2371"/>
      <c r="B1367" s="2371"/>
      <c r="C1367" s="2373" t="s">
        <v>2150</v>
      </c>
      <c r="D1367" s="2374" t="s">
        <v>975</v>
      </c>
      <c r="E1367" s="2375">
        <v>0</v>
      </c>
      <c r="F1367" s="2372">
        <f>SUM(G1359:G1366)</f>
        <v>1302.8499999999999</v>
      </c>
      <c r="G1367" s="2372">
        <f>F1367*E1367</f>
        <v>0</v>
      </c>
      <c r="H1367" s="2211"/>
      <c r="I1367" s="2211"/>
    </row>
    <row r="1368" spans="1:9" hidden="1">
      <c r="A1368" s="2371"/>
      <c r="B1368" s="2371"/>
      <c r="C1368" s="2373" t="s">
        <v>2151</v>
      </c>
      <c r="D1368" s="2374" t="s">
        <v>975</v>
      </c>
      <c r="E1368" s="2375">
        <v>0</v>
      </c>
      <c r="F1368" s="2372">
        <f>SUM(G1350:G1367)</f>
        <v>7693.7800000000007</v>
      </c>
      <c r="G1368" s="2372">
        <f>F1368*E1368</f>
        <v>0</v>
      </c>
      <c r="H1368" s="2211"/>
      <c r="I1368" s="2211"/>
    </row>
    <row r="1369" spans="1:9" hidden="1">
      <c r="A1369" s="2371"/>
      <c r="B1369" s="2371"/>
      <c r="C1369" s="2373"/>
      <c r="D1369" s="2378" t="s">
        <v>2164</v>
      </c>
      <c r="E1369" s="2379">
        <v>10</v>
      </c>
      <c r="F1369" s="2380" t="s">
        <v>2165</v>
      </c>
      <c r="G1369" s="2380">
        <f>SUM(G1350:G1368)</f>
        <v>7693.7800000000007</v>
      </c>
      <c r="H1369" s="2211"/>
      <c r="I1369" s="2211"/>
    </row>
    <row r="1370" spans="1:9" hidden="1">
      <c r="A1370" s="2371"/>
      <c r="B1370" s="2371"/>
      <c r="C1370" s="2381" t="s">
        <v>2152</v>
      </c>
      <c r="D1370" s="2374"/>
      <c r="E1370" s="2379" t="s">
        <v>2166</v>
      </c>
      <c r="F1370" s="2380" t="s">
        <v>2167</v>
      </c>
      <c r="G1370" s="2380">
        <f>ROUNDUP(G1369/E1369,2)</f>
        <v>769.38</v>
      </c>
      <c r="H1370" s="2211"/>
      <c r="I1370" s="2211"/>
    </row>
    <row r="1371" spans="1:9" hidden="1">
      <c r="A1371" s="2280"/>
      <c r="B1371" s="2213"/>
      <c r="C1371" s="2225"/>
      <c r="D1371" s="2213"/>
      <c r="E1371" s="2213"/>
      <c r="F1371" s="2340"/>
      <c r="G1371" s="2216"/>
      <c r="H1371" s="2211"/>
      <c r="I1371" s="2211"/>
    </row>
    <row r="1372" spans="1:9" ht="113.4" hidden="1">
      <c r="A1372" s="2280"/>
      <c r="B1372" s="2213"/>
      <c r="C1372" s="2232" t="s">
        <v>2842</v>
      </c>
      <c r="D1372" s="2253"/>
      <c r="E1372" s="2340"/>
      <c r="F1372" s="2340"/>
      <c r="G1372" s="2340"/>
      <c r="H1372" s="2211"/>
      <c r="I1372" s="2211"/>
    </row>
    <row r="1373" spans="1:9" hidden="1">
      <c r="A1373" s="2280"/>
      <c r="B1373" s="2213"/>
      <c r="C1373" s="2339" t="s">
        <v>2843</v>
      </c>
      <c r="D1373" s="2253"/>
      <c r="E1373" s="2340"/>
      <c r="F1373" s="2340"/>
      <c r="G1373" s="2340"/>
      <c r="H1373" s="2211"/>
      <c r="I1373" s="2211"/>
    </row>
    <row r="1374" spans="1:9" hidden="1">
      <c r="A1374" s="2280"/>
      <c r="B1374" s="2213"/>
      <c r="C1374" s="2339" t="s">
        <v>551</v>
      </c>
      <c r="D1374" s="2253"/>
      <c r="E1374" s="2340"/>
      <c r="F1374" s="2340"/>
      <c r="G1374" s="2340"/>
      <c r="H1374" s="2211"/>
      <c r="I1374" s="2211"/>
    </row>
    <row r="1375" spans="1:9" hidden="1">
      <c r="A1375" s="2280"/>
      <c r="B1375" s="2213"/>
      <c r="C1375" s="2303" t="s">
        <v>523</v>
      </c>
      <c r="D1375" s="2253" t="s">
        <v>338</v>
      </c>
      <c r="E1375" s="2340">
        <v>330</v>
      </c>
      <c r="F1375" s="2340">
        <f>'Lead- Input sheet '!R8</f>
        <v>6656</v>
      </c>
      <c r="G1375" s="2340">
        <f>ROUND(E1375*F1375/1000,2)</f>
        <v>2196.48</v>
      </c>
      <c r="H1375" s="2211"/>
      <c r="I1375" s="2211"/>
    </row>
    <row r="1376" spans="1:9" hidden="1">
      <c r="A1376" s="2280"/>
      <c r="B1376" s="2213"/>
      <c r="C1376" s="2303" t="s">
        <v>2844</v>
      </c>
      <c r="D1376" s="2253" t="s">
        <v>525</v>
      </c>
      <c r="E1376" s="2340">
        <v>0.9</v>
      </c>
      <c r="F1376" s="2340">
        <f>'Lead- Input sheet '!R18</f>
        <v>1493.2033622320996</v>
      </c>
      <c r="G1376" s="2340">
        <f>ROUND(E1376*F1376,2)</f>
        <v>1343.88</v>
      </c>
      <c r="H1376" s="2211"/>
      <c r="I1376" s="2211"/>
    </row>
    <row r="1377" spans="1:10" hidden="1">
      <c r="A1377" s="2280"/>
      <c r="B1377" s="2213"/>
      <c r="C1377" s="2303" t="s">
        <v>2845</v>
      </c>
      <c r="D1377" s="2253" t="s">
        <v>525</v>
      </c>
      <c r="E1377" s="2340">
        <v>0.45</v>
      </c>
      <c r="F1377" s="2340">
        <f>'Lead- Input sheet '!R13</f>
        <v>1010.6380759582802</v>
      </c>
      <c r="G1377" s="2340">
        <f>ROUND(E1377*F1377,2)</f>
        <v>454.79</v>
      </c>
      <c r="H1377" s="2211"/>
      <c r="I1377" s="2211"/>
    </row>
    <row r="1378" spans="1:10" hidden="1">
      <c r="A1378" s="2280"/>
      <c r="B1378" s="2213"/>
      <c r="C1378" s="2303" t="s">
        <v>2846</v>
      </c>
      <c r="D1378" s="2382"/>
      <c r="E1378" s="2262"/>
      <c r="F1378" s="2253"/>
      <c r="G1378" s="2253"/>
      <c r="H1378" s="2211"/>
      <c r="I1378" s="2211"/>
    </row>
    <row r="1379" spans="1:10" hidden="1">
      <c r="A1379" s="2280"/>
      <c r="B1379" s="2213"/>
      <c r="C1379" s="2303" t="s">
        <v>2847</v>
      </c>
      <c r="D1379" s="2382"/>
      <c r="E1379" s="2340"/>
      <c r="F1379" s="2340"/>
      <c r="G1379" s="2340"/>
      <c r="H1379" s="2211"/>
      <c r="I1379" s="2211"/>
    </row>
    <row r="1380" spans="1:10" hidden="1">
      <c r="A1380" s="2280"/>
      <c r="B1380" s="2213"/>
      <c r="C1380" s="2303" t="s">
        <v>2848</v>
      </c>
      <c r="D1380" s="2253" t="s">
        <v>871</v>
      </c>
      <c r="E1380" s="2340">
        <v>1.2</v>
      </c>
      <c r="F1380" s="2340">
        <v>80</v>
      </c>
      <c r="G1380" s="2340">
        <f>ROUND(E1380*F1380,2)</f>
        <v>96</v>
      </c>
      <c r="H1380" s="2211"/>
      <c r="I1380" s="2211"/>
    </row>
    <row r="1381" spans="1:10" hidden="1">
      <c r="A1381" s="2280"/>
      <c r="B1381" s="2213"/>
      <c r="C1381" s="2339" t="s">
        <v>2849</v>
      </c>
      <c r="D1381" s="2253"/>
      <c r="E1381" s="2383"/>
      <c r="F1381" s="2340"/>
      <c r="G1381" s="2340"/>
      <c r="H1381" s="2211"/>
      <c r="I1381" s="2211"/>
    </row>
    <row r="1382" spans="1:10" hidden="1">
      <c r="A1382" s="2280"/>
      <c r="B1382" s="2213"/>
      <c r="C1382" s="2303" t="str">
        <f>C167</f>
        <v>Concrete Mixer 10 / 7 cft (0.2 / 0.8 cum) capacity</v>
      </c>
      <c r="D1382" s="2253" t="s">
        <v>2850</v>
      </c>
      <c r="E1382" s="2340">
        <v>1</v>
      </c>
      <c r="F1382" s="2340">
        <f>F167</f>
        <v>721.5</v>
      </c>
      <c r="G1382" s="2340">
        <f>ROUND(E1382*F1382,2)</f>
        <v>721.5</v>
      </c>
      <c r="H1382" s="2211"/>
      <c r="I1382" s="2211"/>
    </row>
    <row r="1383" spans="1:10" hidden="1">
      <c r="A1383" s="2280"/>
      <c r="B1383" s="2213"/>
      <c r="C1383" s="2303" t="s">
        <v>2851</v>
      </c>
      <c r="D1383" s="2253" t="s">
        <v>525</v>
      </c>
      <c r="E1383" s="2340">
        <v>1</v>
      </c>
      <c r="F1383" s="2340">
        <v>392</v>
      </c>
      <c r="G1383" s="2340">
        <f>ROUND(E1383*F1383,2)</f>
        <v>392</v>
      </c>
      <c r="H1383" s="2211"/>
      <c r="I1383" s="2211"/>
    </row>
    <row r="1384" spans="1:10" hidden="1">
      <c r="A1384" s="2280"/>
      <c r="B1384" s="2213"/>
      <c r="C1384" s="2339" t="s">
        <v>2852</v>
      </c>
      <c r="D1384" s="2253"/>
      <c r="E1384" s="2340"/>
      <c r="F1384" s="2340"/>
      <c r="G1384" s="2340"/>
      <c r="H1384" s="2211"/>
      <c r="I1384" s="2211"/>
    </row>
    <row r="1385" spans="1:10" hidden="1">
      <c r="A1385" s="2280"/>
      <c r="B1385" s="2213"/>
      <c r="C1385" s="2303" t="s">
        <v>2853</v>
      </c>
      <c r="D1385" s="2253" t="s">
        <v>27</v>
      </c>
      <c r="E1385" s="2340">
        <v>0.1</v>
      </c>
      <c r="F1385" s="2340">
        <f>F528</f>
        <v>680</v>
      </c>
      <c r="G1385" s="2340">
        <f>ROUND(E1385*F1385,2)</f>
        <v>68</v>
      </c>
      <c r="H1385" s="2211"/>
      <c r="I1385" s="2211"/>
    </row>
    <row r="1386" spans="1:10" hidden="1">
      <c r="A1386" s="2280"/>
      <c r="B1386" s="2213"/>
      <c r="C1386" s="2303" t="s">
        <v>348</v>
      </c>
      <c r="D1386" s="2253" t="s">
        <v>27</v>
      </c>
      <c r="E1386" s="2340">
        <v>1.39</v>
      </c>
      <c r="F1386" s="2340">
        <f>F529</f>
        <v>605</v>
      </c>
      <c r="G1386" s="2340">
        <f>ROUND(E1386*F1386,2)</f>
        <v>840.95</v>
      </c>
      <c r="H1386" s="2211"/>
      <c r="I1386" s="2211"/>
    </row>
    <row r="1387" spans="1:10" hidden="1">
      <c r="A1387" s="2280"/>
      <c r="B1387" s="2213"/>
      <c r="C1387" s="2384" t="s">
        <v>3170</v>
      </c>
      <c r="D1387" s="2253"/>
      <c r="E1387" s="2385">
        <v>0</v>
      </c>
      <c r="F1387" s="2340">
        <f>G1386+G1385</f>
        <v>908.95</v>
      </c>
      <c r="G1387" s="2340">
        <f>ROUND(E1387*F1387,2)</f>
        <v>0</v>
      </c>
      <c r="H1387" s="2211"/>
      <c r="I1387" s="2211"/>
    </row>
    <row r="1388" spans="1:10" hidden="1">
      <c r="A1388" s="2280"/>
      <c r="B1388" s="2213"/>
      <c r="C1388" s="2384" t="s">
        <v>3171</v>
      </c>
      <c r="D1388" s="2253"/>
      <c r="E1388" s="2386">
        <v>0</v>
      </c>
      <c r="F1388" s="2340">
        <f>SUM(G1373:G1387)</f>
        <v>6113.5999999999995</v>
      </c>
      <c r="G1388" s="2340">
        <f>ROUND(E1388*F1388,2)</f>
        <v>0</v>
      </c>
      <c r="H1388" s="2211"/>
      <c r="I1388" s="2211"/>
    </row>
    <row r="1389" spans="1:10" hidden="1">
      <c r="A1389" s="2280"/>
      <c r="B1389" s="2213"/>
      <c r="C1389" s="2339" t="s">
        <v>861</v>
      </c>
      <c r="D1389" s="2253"/>
      <c r="E1389" s="2340"/>
      <c r="F1389" s="2387"/>
      <c r="G1389" s="2388">
        <f>SUM(G1373:G1388)</f>
        <v>6113.5999999999995</v>
      </c>
      <c r="H1389" s="2211"/>
      <c r="I1389" s="2211"/>
    </row>
    <row r="1390" spans="1:10" ht="214.2" hidden="1">
      <c r="A1390" s="2224"/>
      <c r="B1390" s="2224"/>
      <c r="C1390" s="2232" t="s">
        <v>3143</v>
      </c>
      <c r="D1390" s="2275"/>
      <c r="E1390" s="2275"/>
      <c r="F1390" s="2275"/>
      <c r="G1390" s="2275"/>
      <c r="H1390" s="2389"/>
      <c r="I1390" s="2389"/>
      <c r="J1390" s="2390"/>
    </row>
    <row r="1391" spans="1:10" hidden="1">
      <c r="A1391" s="2303"/>
      <c r="B1391" s="2224"/>
      <c r="C1391" s="2303" t="s">
        <v>3144</v>
      </c>
      <c r="D1391" s="2242" t="s">
        <v>3145</v>
      </c>
      <c r="E1391" s="2242">
        <v>1</v>
      </c>
      <c r="F1391" s="2247">
        <v>6528</v>
      </c>
      <c r="G1391" s="2244">
        <f>F1391</f>
        <v>6528</v>
      </c>
    </row>
    <row r="1392" spans="1:10" hidden="1">
      <c r="A1392" s="2224"/>
      <c r="B1392" s="2224"/>
      <c r="C1392" s="2225" t="s">
        <v>1600</v>
      </c>
      <c r="D1392" s="2242"/>
      <c r="E1392" s="2242">
        <f>G1391</f>
        <v>6528</v>
      </c>
      <c r="F1392" s="2243">
        <v>0</v>
      </c>
      <c r="G1392" s="2244">
        <f>ROUND(E1392*F1392,2)</f>
        <v>0</v>
      </c>
    </row>
    <row r="1393" spans="1:7" hidden="1">
      <c r="A1393" s="2224"/>
      <c r="B1393" s="2224"/>
      <c r="C1393" s="2225"/>
      <c r="D1393" s="2242"/>
      <c r="E1393" s="2242"/>
      <c r="F1393" s="2243"/>
      <c r="G1393" s="2244">
        <f>SUM(G1391:G1392)</f>
        <v>6528</v>
      </c>
    </row>
    <row r="1394" spans="1:7" ht="88.2" hidden="1">
      <c r="A1394" s="2280" t="s">
        <v>3065</v>
      </c>
      <c r="B1394" s="2232"/>
      <c r="C1394" s="2232" t="s">
        <v>3146</v>
      </c>
      <c r="D1394" s="2232"/>
      <c r="E1394" s="2232"/>
      <c r="F1394" s="2232"/>
      <c r="G1394" s="2232"/>
    </row>
    <row r="1395" spans="1:7" hidden="1">
      <c r="A1395" s="2280"/>
      <c r="B1395" s="2232"/>
      <c r="C1395" s="2232" t="s">
        <v>3147</v>
      </c>
      <c r="D1395" s="2232" t="s">
        <v>3145</v>
      </c>
      <c r="E1395" s="2232"/>
      <c r="F1395" s="2391"/>
      <c r="G1395" s="2391">
        <v>2138</v>
      </c>
    </row>
    <row r="1396" spans="1:7" hidden="1">
      <c r="A1396" s="2224"/>
      <c r="B1396" s="2224"/>
      <c r="C1396" s="2225" t="s">
        <v>1600</v>
      </c>
      <c r="D1396" s="2242"/>
      <c r="E1396" s="2242">
        <v>2204</v>
      </c>
      <c r="F1396" s="2243">
        <f>F1392</f>
        <v>0</v>
      </c>
      <c r="G1396" s="2244">
        <f>ROUND(E1396*F1396,2)</f>
        <v>0</v>
      </c>
    </row>
    <row r="1397" spans="1:7" hidden="1">
      <c r="A1397" s="2224"/>
      <c r="B1397" s="2224"/>
      <c r="C1397" s="2225"/>
      <c r="D1397" s="2242"/>
      <c r="E1397" s="2242"/>
      <c r="F1397" s="2247"/>
      <c r="G1397" s="2244">
        <f>SUM(G1395:G1396)</f>
        <v>2138</v>
      </c>
    </row>
    <row r="1398" spans="1:7">
      <c r="A1398" s="2280"/>
      <c r="B1398" s="2213"/>
      <c r="C1398" s="2232"/>
      <c r="D1398" s="2253"/>
      <c r="E1398" s="2228"/>
      <c r="F1398" s="2228"/>
      <c r="G1398" s="2349"/>
    </row>
    <row r="1399" spans="1:7">
      <c r="A1399" s="2280"/>
      <c r="B1399" s="2213"/>
      <c r="C1399" s="2232"/>
      <c r="D1399" s="2253"/>
      <c r="E1399" s="2228"/>
      <c r="F1399" s="2228"/>
      <c r="G1399" s="2349"/>
    </row>
    <row r="1400" spans="1:7">
      <c r="A1400" s="2280"/>
      <c r="B1400" s="2213"/>
      <c r="C1400" s="2232"/>
      <c r="D1400" s="2653"/>
      <c r="E1400" s="2653"/>
      <c r="F1400" s="2653"/>
      <c r="G1400" s="2349"/>
    </row>
    <row r="1401" spans="1:7">
      <c r="A1401" s="2280"/>
      <c r="B1401" s="2213"/>
      <c r="C1401" s="2232"/>
      <c r="D1401" s="2650"/>
      <c r="E1401" s="2650"/>
      <c r="F1401" s="2650"/>
      <c r="G1401" s="2349"/>
    </row>
    <row r="1402" spans="1:7" ht="15">
      <c r="B1402" s="2392" t="s">
        <v>3194</v>
      </c>
      <c r="D1402" s="2641" t="s">
        <v>3195</v>
      </c>
      <c r="E1402" s="2642"/>
      <c r="F1402" s="2643"/>
    </row>
    <row r="1403" spans="1:7" ht="15">
      <c r="B1403" s="2394" t="str">
        <f>CONCATENATE("PR MPP ",'input sheet'!$C$7)</f>
        <v>PR MPP Kalwakurthy</v>
      </c>
      <c r="D1403" s="2644" t="str">
        <f>CONCATENATE("PR SD ",'input sheet'!$C$8)</f>
        <v>PR SD Kalwakurthy</v>
      </c>
      <c r="E1403" s="2645"/>
      <c r="F1403" s="2646"/>
    </row>
  </sheetData>
  <mergeCells count="11">
    <mergeCell ref="D1402:F1402"/>
    <mergeCell ref="D1403:F1403"/>
    <mergeCell ref="H2:J2"/>
    <mergeCell ref="A1:G1"/>
    <mergeCell ref="A2:G2"/>
    <mergeCell ref="D1401:F1401"/>
    <mergeCell ref="B574:B576"/>
    <mergeCell ref="C573:F573"/>
    <mergeCell ref="D1400:F1400"/>
    <mergeCell ref="C541:G541"/>
    <mergeCell ref="C1347:F1347"/>
  </mergeCells>
  <printOptions horizontalCentered="1"/>
  <pageMargins left="0.43307086614173229" right="0.11811023622047245" top="0.27559055118110237" bottom="0.39370078740157483" header="0.15748031496062992" footer="0.15748031496062992"/>
  <pageSetup paperSize="9" scale="98" orientation="portrait" r:id="rId1"/>
  <headerFooter alignWithMargins="0">
    <oddFooter>Page &amp;P of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C4BD97"/>
  </sheetPr>
  <dimension ref="A1:IV507"/>
  <sheetViews>
    <sheetView view="pageBreakPreview" topLeftCell="C1" zoomScale="85" zoomScaleSheetLayoutView="85" workbookViewId="0">
      <pane ySplit="4" topLeftCell="A98" activePane="bottomLeft" state="frozen"/>
      <selection activeCell="C1" sqref="C1"/>
      <selection pane="bottomLeft" activeCell="D16" sqref="D16"/>
    </sheetView>
  </sheetViews>
  <sheetFormatPr defaultColWidth="13.88671875" defaultRowHeight="12.9"/>
  <cols>
    <col min="1" max="1" width="6.44140625" style="1534" customWidth="1"/>
    <col min="2" max="2" width="12.44140625" style="1535" customWidth="1"/>
    <col min="3" max="3" width="80" style="1471" bestFit="1" customWidth="1"/>
    <col min="4" max="4" width="14.109375" style="1467" customWidth="1"/>
    <col min="5" max="5" width="11" style="1464" customWidth="1"/>
    <col min="6" max="6" width="8.109375" style="1463" customWidth="1"/>
    <col min="7" max="7" width="9" style="1463" customWidth="1"/>
    <col min="8" max="8" width="8.6640625" style="1463" customWidth="1"/>
    <col min="9" max="9" width="9.33203125" style="1536" customWidth="1"/>
    <col min="10" max="10" width="10.5546875" style="1536" customWidth="1"/>
    <col min="11" max="11" width="44.6640625" style="1470" customWidth="1"/>
    <col min="12" max="12" width="5.5546875" style="1470" customWidth="1"/>
    <col min="13" max="13" width="6.5546875" style="1470" customWidth="1"/>
    <col min="14" max="14" width="7.88671875" style="1470" customWidth="1"/>
    <col min="15" max="15" width="10.33203125" style="1470" customWidth="1"/>
    <col min="16" max="16" width="9.44140625" style="1470" customWidth="1"/>
    <col min="17" max="17" width="8.109375" style="1470" customWidth="1"/>
    <col min="18" max="256" width="13.88671875" style="1470"/>
    <col min="257" max="16384" width="13.88671875" style="1461"/>
  </cols>
  <sheetData>
    <row r="1" spans="1:15" s="1505" customFormat="1" ht="15.6">
      <c r="A1" s="2660" t="s">
        <v>3161</v>
      </c>
      <c r="B1" s="2661"/>
      <c r="C1" s="2661"/>
      <c r="D1" s="2661"/>
      <c r="E1" s="2661"/>
      <c r="F1" s="2661"/>
      <c r="G1" s="2661"/>
      <c r="H1" s="2661"/>
      <c r="I1" s="2661"/>
      <c r="J1" s="2662"/>
      <c r="K1" s="1511"/>
    </row>
    <row r="2" spans="1:15" ht="15.6">
      <c r="A2" s="2663" t="str">
        <f>'Lead- Input sheet '!A2</f>
        <v xml:space="preserve"> Construction of  Anganwadi Building at Jeedipally Thanda (V) of Kalwakurthy (M) of Nagarkurnool District </v>
      </c>
      <c r="B2" s="2661"/>
      <c r="C2" s="2661"/>
      <c r="D2" s="2661"/>
      <c r="E2" s="2661"/>
      <c r="F2" s="2661"/>
      <c r="G2" s="2661"/>
      <c r="H2" s="2661"/>
      <c r="I2" s="2661"/>
      <c r="J2" s="2662"/>
      <c r="K2" s="1512">
        <f>2*10572.1</f>
        <v>21144.2</v>
      </c>
    </row>
    <row r="3" spans="1:15" s="1471" customFormat="1" ht="28.8">
      <c r="A3" s="1637" t="s">
        <v>926</v>
      </c>
      <c r="B3" s="1638" t="s">
        <v>148</v>
      </c>
      <c r="C3" s="1639" t="s">
        <v>517</v>
      </c>
      <c r="D3" s="1640" t="s">
        <v>1035</v>
      </c>
      <c r="E3" s="1641" t="s">
        <v>1417</v>
      </c>
      <c r="F3" s="1642" t="s">
        <v>784</v>
      </c>
      <c r="G3" s="1643" t="s">
        <v>785</v>
      </c>
      <c r="H3" s="1643" t="s">
        <v>786</v>
      </c>
      <c r="I3" s="1644" t="s">
        <v>1479</v>
      </c>
      <c r="J3" s="1641" t="s">
        <v>150</v>
      </c>
      <c r="K3" s="1473">
        <f>3*8219.68</f>
        <v>24659.040000000001</v>
      </c>
      <c r="O3" s="1471">
        <f>3*239</f>
        <v>717</v>
      </c>
    </row>
    <row r="4" spans="1:15" s="1518" customFormat="1" ht="14.4">
      <c r="A4" s="1645">
        <v>1</v>
      </c>
      <c r="B4" s="1646">
        <v>2</v>
      </c>
      <c r="C4" s="1646">
        <f>B4+1</f>
        <v>3</v>
      </c>
      <c r="D4" s="1647">
        <f t="shared" ref="D4:J4" si="0">C4+1</f>
        <v>4</v>
      </c>
      <c r="E4" s="1647">
        <f t="shared" si="0"/>
        <v>5</v>
      </c>
      <c r="F4" s="1647">
        <f t="shared" si="0"/>
        <v>6</v>
      </c>
      <c r="G4" s="1647">
        <f t="shared" si="0"/>
        <v>7</v>
      </c>
      <c r="H4" s="1647">
        <f t="shared" si="0"/>
        <v>8</v>
      </c>
      <c r="I4" s="1647">
        <f t="shared" si="0"/>
        <v>9</v>
      </c>
      <c r="J4" s="1647">
        <f t="shared" si="0"/>
        <v>10</v>
      </c>
      <c r="K4" s="1517"/>
      <c r="O4" s="1518">
        <f>4*37</f>
        <v>148</v>
      </c>
    </row>
    <row r="5" spans="1:15" ht="43.2">
      <c r="A5" s="1639" t="s">
        <v>927</v>
      </c>
      <c r="B5" s="1639" t="s">
        <v>794</v>
      </c>
      <c r="C5" s="1648" t="s">
        <v>795</v>
      </c>
      <c r="D5" s="1649"/>
      <c r="E5" s="1644"/>
      <c r="F5" s="1643"/>
      <c r="G5" s="1650" t="s">
        <v>1284</v>
      </c>
      <c r="H5" s="1651"/>
      <c r="I5" s="1652">
        <f>'Lead- Input sheet '!Q31</f>
        <v>0</v>
      </c>
      <c r="J5" s="1652"/>
      <c r="K5" s="1512"/>
      <c r="O5" s="1470">
        <f>1828+1269+1219+1016+1828+2020.76+120+120+150+717+270+148+282.35+1067.85+125</f>
        <v>12180.960000000001</v>
      </c>
    </row>
    <row r="6" spans="1:15" ht="14.4">
      <c r="A6" s="1653"/>
      <c r="B6" s="1639"/>
      <c r="C6" s="1654" t="s">
        <v>1394</v>
      </c>
      <c r="D6" s="1649"/>
      <c r="E6" s="1644"/>
      <c r="F6" s="1643"/>
      <c r="G6" s="1650" t="s">
        <v>1285</v>
      </c>
      <c r="H6" s="1651"/>
      <c r="I6" s="1655">
        <f>'Lead- Input sheet '!Q32</f>
        <v>0</v>
      </c>
      <c r="J6" s="1652"/>
      <c r="K6" s="1512"/>
    </row>
    <row r="7" spans="1:15" ht="14.4">
      <c r="A7" s="1653"/>
      <c r="B7" s="1639"/>
      <c r="C7" s="1648" t="s">
        <v>1395</v>
      </c>
      <c r="D7" s="1649"/>
      <c r="E7" s="1644"/>
      <c r="F7" s="1643"/>
      <c r="G7" s="1643"/>
      <c r="H7" s="1651"/>
      <c r="I7" s="1652"/>
      <c r="J7" s="1652"/>
      <c r="K7" s="1512"/>
    </row>
    <row r="8" spans="1:15" ht="14.4">
      <c r="A8" s="1653"/>
      <c r="B8" s="1639"/>
      <c r="C8" s="1656" t="s">
        <v>1646</v>
      </c>
      <c r="D8" s="1649" t="s">
        <v>1417</v>
      </c>
      <c r="E8" s="1644">
        <v>0.7</v>
      </c>
      <c r="F8" s="1644">
        <v>167</v>
      </c>
      <c r="G8" s="1644">
        <f>E8*F8</f>
        <v>116.89999999999999</v>
      </c>
      <c r="H8" s="1651"/>
      <c r="I8" s="1652"/>
      <c r="J8" s="1652"/>
      <c r="K8" s="1512"/>
    </row>
    <row r="9" spans="1:15" ht="14.4">
      <c r="A9" s="1653"/>
      <c r="B9" s="1639"/>
      <c r="C9" s="1648" t="s">
        <v>653</v>
      </c>
      <c r="D9" s="1649"/>
      <c r="E9" s="1644"/>
      <c r="F9" s="1644"/>
      <c r="G9" s="1644"/>
      <c r="H9" s="1651"/>
      <c r="I9" s="1652"/>
      <c r="J9" s="1652"/>
      <c r="K9" s="1512"/>
    </row>
    <row r="10" spans="1:15" ht="14.4">
      <c r="A10" s="1653"/>
      <c r="B10" s="1639"/>
      <c r="C10" s="1656" t="s">
        <v>989</v>
      </c>
      <c r="D10" s="1649" t="s">
        <v>1047</v>
      </c>
      <c r="E10" s="1644">
        <v>0.7</v>
      </c>
      <c r="F10" s="1644">
        <f>'Lead- Input sheet '!R36</f>
        <v>650</v>
      </c>
      <c r="G10" s="1644">
        <f>E10*F10</f>
        <v>454.99999999999994</v>
      </c>
      <c r="H10" s="1651"/>
      <c r="I10" s="1652"/>
      <c r="J10" s="1652"/>
      <c r="K10" s="1512"/>
    </row>
    <row r="11" spans="1:15" ht="14.4">
      <c r="A11" s="1653"/>
      <c r="B11" s="1639"/>
      <c r="C11" s="1656" t="s">
        <v>1286</v>
      </c>
      <c r="D11" s="1649"/>
      <c r="E11" s="1644">
        <f>G10</f>
        <v>454.99999999999994</v>
      </c>
      <c r="F11" s="1644">
        <f>I5</f>
        <v>0</v>
      </c>
      <c r="G11" s="1644">
        <f>E11*F11</f>
        <v>0</v>
      </c>
      <c r="H11" s="1651"/>
      <c r="I11" s="1652"/>
      <c r="J11" s="1652"/>
      <c r="K11" s="1512"/>
    </row>
    <row r="12" spans="1:15" ht="14.4">
      <c r="A12" s="1653"/>
      <c r="B12" s="1639"/>
      <c r="C12" s="1656" t="s">
        <v>1166</v>
      </c>
      <c r="D12" s="1649"/>
      <c r="E12" s="1644">
        <v>0.01</v>
      </c>
      <c r="F12" s="1644">
        <f>SUM(G8:G11)</f>
        <v>571.9</v>
      </c>
      <c r="G12" s="1644">
        <f>E12*F12</f>
        <v>5.7190000000000003</v>
      </c>
      <c r="H12" s="1651"/>
      <c r="I12" s="1652"/>
      <c r="J12" s="1652"/>
      <c r="K12" s="1512"/>
    </row>
    <row r="13" spans="1:15" ht="14.4">
      <c r="A13" s="1653"/>
      <c r="B13" s="1639"/>
      <c r="C13" s="1648" t="s">
        <v>1398</v>
      </c>
      <c r="D13" s="1649"/>
      <c r="E13" s="1644"/>
      <c r="F13" s="1644"/>
      <c r="G13" s="1641">
        <f>SUM(G8:G12)</f>
        <v>577.61900000000003</v>
      </c>
      <c r="H13" s="1651"/>
      <c r="I13" s="1652"/>
      <c r="J13" s="1652"/>
      <c r="K13" s="1512"/>
    </row>
    <row r="14" spans="1:15" s="1520" customFormat="1" ht="14.4">
      <c r="A14" s="1657"/>
      <c r="B14" s="1657"/>
      <c r="C14" s="1639" t="s">
        <v>1600</v>
      </c>
      <c r="D14" s="1658"/>
      <c r="E14" s="1641">
        <f>G13</f>
        <v>577.61900000000003</v>
      </c>
      <c r="F14" s="1641"/>
      <c r="G14" s="1641">
        <f>ROUND(E14*F14,2)</f>
        <v>0</v>
      </c>
      <c r="H14" s="1642"/>
      <c r="I14" s="1641"/>
      <c r="J14" s="1641"/>
      <c r="K14" s="1519"/>
    </row>
    <row r="15" spans="1:15" s="1520" customFormat="1" ht="14.4">
      <c r="A15" s="1657"/>
      <c r="B15" s="1657"/>
      <c r="C15" s="1639" t="s">
        <v>1231</v>
      </c>
      <c r="D15" s="1658"/>
      <c r="E15" s="1641"/>
      <c r="F15" s="1642" t="s">
        <v>1486</v>
      </c>
      <c r="G15" s="1642">
        <f>SUM(G13:G14)</f>
        <v>577.61900000000003</v>
      </c>
      <c r="H15" s="1642"/>
      <c r="I15" s="1641"/>
      <c r="J15" s="1641"/>
      <c r="K15" s="1519"/>
    </row>
    <row r="16" spans="1:15" ht="43.2">
      <c r="A16" s="1637" t="s">
        <v>925</v>
      </c>
      <c r="B16" s="1638">
        <v>1</v>
      </c>
      <c r="C16" s="1654" t="s">
        <v>462</v>
      </c>
      <c r="D16" s="1640"/>
      <c r="E16" s="1644"/>
      <c r="F16" s="1643"/>
      <c r="G16" s="1642"/>
      <c r="H16" s="1642"/>
      <c r="I16" s="1644"/>
      <c r="J16" s="1652"/>
      <c r="K16" s="1512"/>
    </row>
    <row r="17" spans="1:12" ht="14.4">
      <c r="A17" s="1659"/>
      <c r="B17" s="1638"/>
      <c r="C17" s="1654" t="s">
        <v>498</v>
      </c>
      <c r="D17" s="1660"/>
      <c r="E17" s="1649"/>
      <c r="F17" s="1661"/>
      <c r="G17" s="1662"/>
      <c r="H17" s="1662"/>
      <c r="I17" s="1649"/>
      <c r="J17" s="1649"/>
      <c r="K17" s="1513"/>
    </row>
    <row r="18" spans="1:12" ht="14.4">
      <c r="A18" s="1659"/>
      <c r="B18" s="1638"/>
      <c r="C18" s="1654" t="s">
        <v>499</v>
      </c>
      <c r="D18" s="1660"/>
      <c r="E18" s="1649"/>
      <c r="F18" s="1661"/>
      <c r="G18" s="1662"/>
      <c r="H18" s="1662"/>
      <c r="I18" s="1649"/>
      <c r="J18" s="1649"/>
      <c r="K18" s="1513"/>
    </row>
    <row r="19" spans="1:12" ht="14.4">
      <c r="A19" s="1659"/>
      <c r="B19" s="1638"/>
      <c r="C19" s="1654" t="s">
        <v>1653</v>
      </c>
      <c r="D19" s="1660" t="s">
        <v>1473</v>
      </c>
      <c r="E19" s="1649">
        <v>1</v>
      </c>
      <c r="F19" s="1662"/>
      <c r="G19" s="1642" t="s">
        <v>935</v>
      </c>
      <c r="H19" s="1662"/>
      <c r="I19" s="1658"/>
      <c r="J19" s="1649"/>
      <c r="K19" s="1513"/>
    </row>
    <row r="20" spans="1:12" ht="14.4">
      <c r="A20" s="1659"/>
      <c r="B20" s="1638"/>
      <c r="C20" s="1654" t="s">
        <v>500</v>
      </c>
      <c r="D20" s="1660"/>
      <c r="E20" s="1649"/>
      <c r="F20" s="1661"/>
      <c r="G20" s="1662"/>
      <c r="H20" s="1662"/>
      <c r="I20" s="1649"/>
      <c r="J20" s="1649"/>
      <c r="K20" s="1513"/>
    </row>
    <row r="21" spans="1:12" ht="14.4">
      <c r="A21" s="1659"/>
      <c r="B21" s="1638"/>
      <c r="C21" s="1654" t="s">
        <v>501</v>
      </c>
      <c r="D21" s="1660" t="s">
        <v>1047</v>
      </c>
      <c r="E21" s="1649">
        <v>17.7</v>
      </c>
      <c r="F21" s="1649">
        <f>'Lead- Input sheet '!R34</f>
        <v>805</v>
      </c>
      <c r="G21" s="1649">
        <f>E21*F21</f>
        <v>14248.5</v>
      </c>
      <c r="H21" s="1661"/>
      <c r="I21" s="1649"/>
      <c r="J21" s="1649"/>
      <c r="K21" s="1513"/>
    </row>
    <row r="22" spans="1:12" ht="14.4">
      <c r="A22" s="1659"/>
      <c r="B22" s="1638"/>
      <c r="C22" s="1654" t="s">
        <v>502</v>
      </c>
      <c r="D22" s="1660" t="s">
        <v>1047</v>
      </c>
      <c r="E22" s="1649">
        <v>8.8000000000000007</v>
      </c>
      <c r="F22" s="1649">
        <f>'Lead- Input sheet '!R28</f>
        <v>605</v>
      </c>
      <c r="G22" s="1649">
        <f>E22*F22</f>
        <v>5324</v>
      </c>
      <c r="H22" s="1661"/>
      <c r="I22" s="1649"/>
      <c r="J22" s="1649"/>
      <c r="K22" s="1513"/>
    </row>
    <row r="23" spans="1:12" ht="14.4">
      <c r="A23" s="1653"/>
      <c r="B23" s="1639"/>
      <c r="C23" s="1656" t="s">
        <v>1286</v>
      </c>
      <c r="D23" s="1649"/>
      <c r="E23" s="1644">
        <f>SUM(G21:G22)</f>
        <v>19572.5</v>
      </c>
      <c r="F23" s="1644">
        <f>I5</f>
        <v>0</v>
      </c>
      <c r="G23" s="1649">
        <f>E23*F23</f>
        <v>0</v>
      </c>
      <c r="H23" s="1651"/>
      <c r="I23" s="1652"/>
      <c r="J23" s="1652"/>
      <c r="K23" s="1512"/>
    </row>
    <row r="24" spans="1:12" ht="14.4">
      <c r="A24" s="1659"/>
      <c r="B24" s="1638"/>
      <c r="C24" s="1654" t="s">
        <v>503</v>
      </c>
      <c r="D24" s="1660"/>
      <c r="E24" s="1649" t="s">
        <v>975</v>
      </c>
      <c r="F24" s="1661"/>
      <c r="G24" s="1662"/>
      <c r="H24" s="1662"/>
      <c r="I24" s="1649"/>
      <c r="J24" s="1649"/>
      <c r="K24" s="1513"/>
    </row>
    <row r="25" spans="1:12" ht="14.4">
      <c r="A25" s="1659"/>
      <c r="B25" s="1638"/>
      <c r="C25" s="1654" t="s">
        <v>74</v>
      </c>
      <c r="D25" s="1660"/>
      <c r="E25" s="1649"/>
      <c r="F25" s="1661" t="s">
        <v>1486</v>
      </c>
      <c r="G25" s="1658">
        <f>SUM(G21:G24)</f>
        <v>19572.5</v>
      </c>
      <c r="H25" s="1662"/>
      <c r="I25" s="1649"/>
      <c r="J25" s="1649"/>
      <c r="K25" s="1513"/>
    </row>
    <row r="26" spans="1:12" ht="129.6">
      <c r="A26" s="1639" t="s">
        <v>925</v>
      </c>
      <c r="B26" s="1659">
        <v>2</v>
      </c>
      <c r="C26" s="1654" t="s">
        <v>2639</v>
      </c>
      <c r="D26" s="1660"/>
      <c r="E26" s="1649"/>
      <c r="F26" s="1661"/>
      <c r="G26" s="1661"/>
      <c r="H26" s="1661"/>
      <c r="I26" s="1649"/>
      <c r="J26" s="1649"/>
      <c r="K26" s="1513"/>
    </row>
    <row r="27" spans="1:12" s="1472" customFormat="1" ht="14.4">
      <c r="A27" s="1638"/>
      <c r="B27" s="1663"/>
      <c r="C27" s="1639" t="s">
        <v>2628</v>
      </c>
      <c r="D27" s="1664"/>
      <c r="E27" s="1658"/>
      <c r="F27" s="1662">
        <v>1.05</v>
      </c>
      <c r="G27" s="1662">
        <v>2.1</v>
      </c>
      <c r="H27" s="1662"/>
      <c r="I27" s="1658"/>
      <c r="J27" s="1658"/>
      <c r="K27" s="1514"/>
    </row>
    <row r="28" spans="1:12" ht="14.4">
      <c r="A28" s="1639"/>
      <c r="B28" s="1665"/>
      <c r="C28" s="1654" t="s">
        <v>779</v>
      </c>
      <c r="D28" s="1660"/>
      <c r="E28" s="1649"/>
      <c r="F28" s="1661"/>
      <c r="G28" s="1661"/>
      <c r="H28" s="1661"/>
      <c r="I28" s="1649"/>
      <c r="J28" s="1649"/>
      <c r="K28" s="1513"/>
    </row>
    <row r="29" spans="1:12" ht="14.4">
      <c r="A29" s="1639"/>
      <c r="B29" s="1665"/>
      <c r="C29" s="1654" t="s">
        <v>1647</v>
      </c>
      <c r="D29" s="1660">
        <v>2</v>
      </c>
      <c r="E29" s="1649">
        <f>+G27</f>
        <v>2.1</v>
      </c>
      <c r="F29" s="1661">
        <v>7.4999999999999997E-2</v>
      </c>
      <c r="G29" s="1661">
        <v>0.1</v>
      </c>
      <c r="H29" s="1661">
        <f>ROUND(D29*E29*F29*G29,3)</f>
        <v>3.2000000000000001E-2</v>
      </c>
      <c r="I29" s="1649">
        <v>50775</v>
      </c>
      <c r="J29" s="1649">
        <f t="shared" ref="J29:J34" si="1">ROUND(H29*I29,2)</f>
        <v>1624.8</v>
      </c>
      <c r="K29" s="1513"/>
      <c r="L29" s="1462"/>
    </row>
    <row r="30" spans="1:12" ht="14.4">
      <c r="A30" s="1639"/>
      <c r="B30" s="1665"/>
      <c r="C30" s="1654" t="s">
        <v>781</v>
      </c>
      <c r="D30" s="1660">
        <v>1</v>
      </c>
      <c r="E30" s="1649">
        <f>+F27+0.15</f>
        <v>1.2</v>
      </c>
      <c r="F30" s="1661">
        <v>7.4999999999999997E-2</v>
      </c>
      <c r="G30" s="1661">
        <v>0.1</v>
      </c>
      <c r="H30" s="1661">
        <f>ROUND(D30*E30*F30*G30,3)</f>
        <v>8.9999999999999993E-3</v>
      </c>
      <c r="I30" s="1649">
        <v>50775</v>
      </c>
      <c r="J30" s="1649">
        <f t="shared" si="1"/>
        <v>456.98</v>
      </c>
      <c r="K30" s="1513"/>
      <c r="L30" s="1462"/>
    </row>
    <row r="31" spans="1:12" ht="14.4">
      <c r="A31" s="1639"/>
      <c r="B31" s="1665"/>
      <c r="C31" s="1654" t="s">
        <v>1648</v>
      </c>
      <c r="D31" s="1660">
        <v>4</v>
      </c>
      <c r="E31" s="1649">
        <f>G27-0.075*2+0.015</f>
        <v>1.9650000000000001</v>
      </c>
      <c r="F31" s="1661">
        <v>0.1</v>
      </c>
      <c r="G31" s="1661">
        <f>0.03175</f>
        <v>3.175E-2</v>
      </c>
      <c r="H31" s="1661">
        <f>ROUND(D31*E31*F31*G31,3)</f>
        <v>2.5000000000000001E-2</v>
      </c>
      <c r="I31" s="1649">
        <v>67700</v>
      </c>
      <c r="J31" s="1649">
        <f t="shared" si="1"/>
        <v>1692.5</v>
      </c>
      <c r="K31" s="1513"/>
      <c r="L31" s="1462"/>
    </row>
    <row r="32" spans="1:12" ht="14.4">
      <c r="A32" s="1639"/>
      <c r="B32" s="1665"/>
      <c r="C32" s="1654" t="s">
        <v>783</v>
      </c>
      <c r="D32" s="1660">
        <v>5</v>
      </c>
      <c r="E32" s="1649">
        <f>(F27-2*0.075+2*0.015)</f>
        <v>0.93</v>
      </c>
      <c r="F32" s="1661">
        <v>0.1</v>
      </c>
      <c r="G32" s="1661">
        <f>0.03175</f>
        <v>3.175E-2</v>
      </c>
      <c r="H32" s="1661">
        <f>ROUND(D32*E32*F32*G32,3)</f>
        <v>1.4999999999999999E-2</v>
      </c>
      <c r="I32" s="1649">
        <v>67700</v>
      </c>
      <c r="J32" s="1649">
        <f t="shared" si="1"/>
        <v>1015.5</v>
      </c>
      <c r="K32" s="1513"/>
      <c r="L32" s="1462"/>
    </row>
    <row r="33" spans="1:16" ht="14.4">
      <c r="A33" s="1639"/>
      <c r="B33" s="1665"/>
      <c r="C33" s="1654" t="s">
        <v>1481</v>
      </c>
      <c r="D33" s="1660">
        <v>4</v>
      </c>
      <c r="E33" s="1649">
        <f>F27-2*0.075+2*0.015-2*0.125+2*0.025</f>
        <v>0.73000000000000009</v>
      </c>
      <c r="F33" s="1661">
        <f>(2.1-2*0.075+1*0.015-5*0.125)/4+2*0.025</f>
        <v>0.38500000000000001</v>
      </c>
      <c r="G33" s="1661">
        <f>0.025</f>
        <v>2.5000000000000001E-2</v>
      </c>
      <c r="H33" s="1661">
        <f>ROUND(D33*E33*F33*G33,3)</f>
        <v>2.8000000000000001E-2</v>
      </c>
      <c r="I33" s="1649">
        <v>67700</v>
      </c>
      <c r="J33" s="1649">
        <f t="shared" si="1"/>
        <v>1895.6</v>
      </c>
      <c r="K33" s="1513"/>
      <c r="L33" s="1462"/>
    </row>
    <row r="34" spans="1:16" ht="14.4">
      <c r="A34" s="1639"/>
      <c r="B34" s="1665"/>
      <c r="C34" s="1654" t="s">
        <v>1482</v>
      </c>
      <c r="D34" s="1660"/>
      <c r="E34" s="1649"/>
      <c r="F34" s="1661"/>
      <c r="G34" s="1661"/>
      <c r="H34" s="1661">
        <f>SUM(H29:H33)</f>
        <v>0.109</v>
      </c>
      <c r="I34" s="1649">
        <f>G25</f>
        <v>19572.5</v>
      </c>
      <c r="J34" s="1649">
        <f t="shared" si="1"/>
        <v>2133.4</v>
      </c>
      <c r="K34" s="1521">
        <v>3.5999999999999997E-2</v>
      </c>
      <c r="L34" s="1522">
        <v>50775</v>
      </c>
      <c r="M34" s="1470">
        <f>+K34*L34</f>
        <v>1827.8999999999999</v>
      </c>
    </row>
    <row r="35" spans="1:16" ht="43.2">
      <c r="A35" s="1639" t="s">
        <v>787</v>
      </c>
      <c r="B35" s="1638"/>
      <c r="C35" s="1654" t="s">
        <v>788</v>
      </c>
      <c r="D35" s="1660"/>
      <c r="E35" s="1649"/>
      <c r="F35" s="1661"/>
      <c r="G35" s="1662"/>
      <c r="H35" s="1662"/>
      <c r="I35" s="1649"/>
      <c r="J35" s="1649"/>
      <c r="K35" s="1513">
        <v>2.5000000000000001E-2</v>
      </c>
      <c r="L35" s="1470">
        <v>50775</v>
      </c>
      <c r="M35" s="1470">
        <f>+K35*L35</f>
        <v>1269.375</v>
      </c>
    </row>
    <row r="36" spans="1:16" ht="14.4">
      <c r="A36" s="1639"/>
      <c r="B36" s="1638"/>
      <c r="C36" s="1654" t="s">
        <v>911</v>
      </c>
      <c r="D36" s="1660" t="s">
        <v>1035</v>
      </c>
      <c r="E36" s="1649" t="s">
        <v>1617</v>
      </c>
      <c r="F36" s="1661"/>
      <c r="G36" s="1661"/>
      <c r="H36" s="1666">
        <v>2</v>
      </c>
      <c r="I36" s="1649">
        <v>77</v>
      </c>
      <c r="J36" s="1649">
        <f t="shared" ref="J36:J43" si="2">ROUND(H36*I36,2)</f>
        <v>154</v>
      </c>
      <c r="K36" s="1513">
        <v>1.7999999999999999E-2</v>
      </c>
      <c r="L36" s="1470">
        <v>67700</v>
      </c>
      <c r="M36" s="1470">
        <f>+K36*L36</f>
        <v>1218.5999999999999</v>
      </c>
    </row>
    <row r="37" spans="1:16" ht="14.4">
      <c r="A37" s="1639"/>
      <c r="B37" s="1638"/>
      <c r="C37" s="1654" t="s">
        <v>912</v>
      </c>
      <c r="D37" s="1660" t="s">
        <v>1035</v>
      </c>
      <c r="E37" s="1649" t="s">
        <v>1618</v>
      </c>
      <c r="F37" s="1661"/>
      <c r="G37" s="1661"/>
      <c r="H37" s="1666">
        <v>1</v>
      </c>
      <c r="I37" s="1649">
        <v>40</v>
      </c>
      <c r="J37" s="1649">
        <f t="shared" si="2"/>
        <v>40</v>
      </c>
      <c r="K37" s="1513">
        <v>1.4999999999999999E-2</v>
      </c>
      <c r="L37" s="1470">
        <v>67700</v>
      </c>
      <c r="M37" s="1470">
        <f>+K37*L37</f>
        <v>1015.5</v>
      </c>
    </row>
    <row r="38" spans="1:16" ht="14.4">
      <c r="A38" s="1639"/>
      <c r="B38" s="1638"/>
      <c r="C38" s="1654" t="s">
        <v>913</v>
      </c>
      <c r="D38" s="1660" t="s">
        <v>1035</v>
      </c>
      <c r="E38" s="1649" t="s">
        <v>1619</v>
      </c>
      <c r="F38" s="1661"/>
      <c r="G38" s="1661"/>
      <c r="H38" s="1666">
        <v>6</v>
      </c>
      <c r="I38" s="1649">
        <v>36</v>
      </c>
      <c r="J38" s="1649">
        <f t="shared" si="2"/>
        <v>216</v>
      </c>
      <c r="K38" s="1513">
        <v>2.7E-2</v>
      </c>
      <c r="L38" s="1470">
        <v>67700</v>
      </c>
      <c r="M38" s="1470">
        <f>+K38*L38</f>
        <v>1827.9</v>
      </c>
    </row>
    <row r="39" spans="1:16" ht="14.4">
      <c r="A39" s="1639"/>
      <c r="B39" s="1638"/>
      <c r="C39" s="1654" t="s">
        <v>914</v>
      </c>
      <c r="D39" s="1660" t="s">
        <v>1035</v>
      </c>
      <c r="E39" s="1649" t="s">
        <v>1918</v>
      </c>
      <c r="F39" s="1661"/>
      <c r="G39" s="1661"/>
      <c r="H39" s="1666">
        <v>1</v>
      </c>
      <c r="I39" s="1649">
        <v>185</v>
      </c>
      <c r="J39" s="1649">
        <f t="shared" si="2"/>
        <v>185</v>
      </c>
      <c r="K39" s="1513">
        <f>0.032*50775</f>
        <v>1624.8</v>
      </c>
    </row>
    <row r="40" spans="1:16" ht="14.4">
      <c r="A40" s="1639"/>
      <c r="B40" s="1638"/>
      <c r="C40" s="1654" t="s">
        <v>296</v>
      </c>
      <c r="D40" s="1660" t="s">
        <v>1035</v>
      </c>
      <c r="E40" s="1649" t="s">
        <v>1919</v>
      </c>
      <c r="F40" s="1661"/>
      <c r="G40" s="1661"/>
      <c r="H40" s="1666">
        <v>2</v>
      </c>
      <c r="I40" s="1649">
        <v>52</v>
      </c>
      <c r="J40" s="1649">
        <f t="shared" si="2"/>
        <v>104</v>
      </c>
      <c r="K40" s="1513">
        <f>0.009*50775</f>
        <v>456.97499999999997</v>
      </c>
    </row>
    <row r="41" spans="1:16" ht="14.4">
      <c r="A41" s="1639"/>
      <c r="B41" s="1638"/>
      <c r="C41" s="1654" t="s">
        <v>420</v>
      </c>
      <c r="D41" s="1660"/>
      <c r="E41" s="1649" t="s">
        <v>1649</v>
      </c>
      <c r="F41" s="1661"/>
      <c r="G41" s="1661"/>
      <c r="H41" s="1666">
        <v>3</v>
      </c>
      <c r="I41" s="1649">
        <v>36</v>
      </c>
      <c r="J41" s="1649">
        <f t="shared" si="2"/>
        <v>108</v>
      </c>
      <c r="K41" s="1513">
        <f>0.025*67700</f>
        <v>1692.5</v>
      </c>
    </row>
    <row r="42" spans="1:16" ht="14.4">
      <c r="A42" s="1639"/>
      <c r="B42" s="1638"/>
      <c r="C42" s="1654" t="s">
        <v>799</v>
      </c>
      <c r="D42" s="1660" t="s">
        <v>882</v>
      </c>
      <c r="E42" s="1649" t="s">
        <v>1826</v>
      </c>
      <c r="F42" s="1661"/>
      <c r="G42" s="1661"/>
      <c r="H42" s="1666">
        <v>80</v>
      </c>
      <c r="I42" s="1649">
        <v>5</v>
      </c>
      <c r="J42" s="1649">
        <f t="shared" si="2"/>
        <v>400</v>
      </c>
      <c r="K42" s="1513">
        <f>0.018*67700</f>
        <v>1218.5999999999999</v>
      </c>
    </row>
    <row r="43" spans="1:16" ht="14.4">
      <c r="A43" s="1639"/>
      <c r="B43" s="1638"/>
      <c r="C43" s="1654" t="s">
        <v>1623</v>
      </c>
      <c r="D43" s="1660" t="s">
        <v>882</v>
      </c>
      <c r="E43" s="1649" t="s">
        <v>1920</v>
      </c>
      <c r="F43" s="1661"/>
      <c r="G43" s="1661"/>
      <c r="H43" s="1666">
        <v>10</v>
      </c>
      <c r="I43" s="1649">
        <v>21</v>
      </c>
      <c r="J43" s="1649">
        <f t="shared" si="2"/>
        <v>210</v>
      </c>
      <c r="K43" s="1513">
        <f>0.025*67700</f>
        <v>1692.5</v>
      </c>
    </row>
    <row r="44" spans="1:16" ht="14.4">
      <c r="A44" s="1639"/>
      <c r="B44" s="1665"/>
      <c r="C44" s="1654" t="s">
        <v>1484</v>
      </c>
      <c r="D44" s="1660">
        <v>2.25</v>
      </c>
      <c r="E44" s="1649">
        <f>+F27</f>
        <v>1.05</v>
      </c>
      <c r="F44" s="1661"/>
      <c r="G44" s="1661">
        <f>+G27</f>
        <v>2.1</v>
      </c>
      <c r="H44" s="1661">
        <f>ROUND(G44*E44*D44,2)</f>
        <v>4.96</v>
      </c>
      <c r="I44" s="1649">
        <f>G15</f>
        <v>577.61900000000003</v>
      </c>
      <c r="J44" s="1649">
        <f>H44*I44/10</f>
        <v>286.49902400000002</v>
      </c>
      <c r="K44" s="1513"/>
      <c r="P44" s="1470">
        <f>0.03+0.009</f>
        <v>3.9E-2</v>
      </c>
    </row>
    <row r="45" spans="1:16" ht="14.4">
      <c r="A45" s="1639"/>
      <c r="B45" s="1659"/>
      <c r="C45" s="1654" t="s">
        <v>1598</v>
      </c>
      <c r="D45" s="1660"/>
      <c r="E45" s="1652" t="s">
        <v>1651</v>
      </c>
      <c r="F45" s="1661"/>
      <c r="G45" s="1661"/>
      <c r="H45" s="1666">
        <v>6</v>
      </c>
      <c r="I45" s="1649">
        <v>37</v>
      </c>
      <c r="J45" s="1649">
        <f>ROUND(H45*I45,2)</f>
        <v>222</v>
      </c>
      <c r="K45" s="1513"/>
      <c r="P45" s="1470">
        <f>+P44*16700.5</f>
        <v>651.31949999999995</v>
      </c>
    </row>
    <row r="46" spans="1:16" ht="14.4">
      <c r="A46" s="1639"/>
      <c r="B46" s="1665"/>
      <c r="C46" s="1654" t="s">
        <v>230</v>
      </c>
      <c r="D46" s="1660"/>
      <c r="E46" s="1649"/>
      <c r="F46" s="1661"/>
      <c r="G46" s="1661"/>
      <c r="H46" s="1666">
        <v>1</v>
      </c>
      <c r="I46" s="1649">
        <v>75</v>
      </c>
      <c r="J46" s="1649">
        <f>H46*I46</f>
        <v>75</v>
      </c>
      <c r="K46" s="1513"/>
      <c r="P46" s="1470">
        <v>1523.25</v>
      </c>
    </row>
    <row r="47" spans="1:16" ht="14.4">
      <c r="A47" s="1639"/>
      <c r="B47" s="1665"/>
      <c r="C47" s="1654"/>
      <c r="D47" s="1660"/>
      <c r="E47" s="1649"/>
      <c r="F47" s="1661"/>
      <c r="G47" s="1661"/>
      <c r="H47" s="1661"/>
      <c r="I47" s="1649"/>
      <c r="J47" s="1658">
        <f>ROUND(SUM(J29:J46),1)</f>
        <v>10819.3</v>
      </c>
      <c r="K47" s="1513"/>
      <c r="P47" s="1470">
        <v>456.98</v>
      </c>
    </row>
    <row r="48" spans="1:16" s="1520" customFormat="1" ht="14.4">
      <c r="A48" s="1639"/>
      <c r="B48" s="1667"/>
      <c r="C48" s="1654" t="s">
        <v>1600</v>
      </c>
      <c r="D48" s="1664"/>
      <c r="E48" s="1658"/>
      <c r="F48" s="1662"/>
      <c r="G48" s="1662"/>
      <c r="H48" s="1662">
        <f>J47</f>
        <v>10819.3</v>
      </c>
      <c r="I48" s="1658">
        <f>I6</f>
        <v>0</v>
      </c>
      <c r="J48" s="1649">
        <f>ROUND(H48*I48,2)</f>
        <v>0</v>
      </c>
      <c r="K48" s="1523">
        <f>3.54*506.92</f>
        <v>1794.4968000000001</v>
      </c>
      <c r="P48" s="1520">
        <v>76.040000000000006</v>
      </c>
    </row>
    <row r="49" spans="1:16" s="1520" customFormat="1" ht="28.8">
      <c r="A49" s="1639" t="s">
        <v>1288</v>
      </c>
      <c r="B49" s="1667"/>
      <c r="C49" s="1639" t="s">
        <v>256</v>
      </c>
      <c r="D49" s="1664"/>
      <c r="E49" s="1658"/>
      <c r="F49" s="1662"/>
      <c r="G49" s="1662"/>
      <c r="H49" s="1662"/>
      <c r="I49" s="1658" t="s">
        <v>416</v>
      </c>
      <c r="J49" s="1658">
        <f>SUM(J47:J48)</f>
        <v>10819.3</v>
      </c>
      <c r="K49" s="1524">
        <f>0.038*16700.5</f>
        <v>634.61900000000003</v>
      </c>
      <c r="P49" s="1520">
        <v>222</v>
      </c>
    </row>
    <row r="50" spans="1:16" s="1472" customFormat="1" ht="14.4">
      <c r="A50" s="1639"/>
      <c r="B50" s="1663"/>
      <c r="C50" s="1639" t="s">
        <v>2629</v>
      </c>
      <c r="D50" s="1664"/>
      <c r="E50" s="1658"/>
      <c r="F50" s="1662"/>
      <c r="G50" s="1662"/>
      <c r="H50" s="1662"/>
      <c r="I50" s="1658"/>
      <c r="J50" s="1658"/>
      <c r="K50" s="1514">
        <f>0.75*2.1</f>
        <v>1.5750000000000002</v>
      </c>
      <c r="P50" s="1472">
        <v>50</v>
      </c>
    </row>
    <row r="51" spans="1:16" ht="14.4">
      <c r="A51" s="1639"/>
      <c r="B51" s="1665"/>
      <c r="C51" s="1654" t="s">
        <v>779</v>
      </c>
      <c r="D51" s="1660"/>
      <c r="E51" s="1649"/>
      <c r="F51" s="1661"/>
      <c r="G51" s="1661"/>
      <c r="H51" s="1661"/>
      <c r="I51" s="1649"/>
      <c r="J51" s="1649"/>
      <c r="K51" s="1513">
        <f>+K50*2.25/3</f>
        <v>1.1812500000000001</v>
      </c>
      <c r="P51" s="1470">
        <f>SUM(P45:P50)</f>
        <v>2979.5895</v>
      </c>
    </row>
    <row r="52" spans="1:16" ht="14.4">
      <c r="A52" s="1639"/>
      <c r="B52" s="1665"/>
      <c r="C52" s="1654" t="s">
        <v>780</v>
      </c>
      <c r="D52" s="1660">
        <v>2</v>
      </c>
      <c r="E52" s="1649">
        <v>2.1</v>
      </c>
      <c r="F52" s="1661">
        <v>7.4999999999999997E-2</v>
      </c>
      <c r="G52" s="1661">
        <v>0.125</v>
      </c>
      <c r="H52" s="1661">
        <f>ROUND(D52*E52*F52*G52,3)</f>
        <v>3.9E-2</v>
      </c>
      <c r="I52" s="1649">
        <f>I29</f>
        <v>50775</v>
      </c>
      <c r="J52" s="1649">
        <f>ROUND(H52*I52,2)</f>
        <v>1980.23</v>
      </c>
      <c r="K52" s="1513">
        <f>+K51*506.92</f>
        <v>598.79925000000014</v>
      </c>
      <c r="O52" s="1470">
        <f>1624.8+456.975+1692.5+1218.6+1692.5+2184.43+154+40+216+185+104+108+400+210+222+290.01+75</f>
        <v>10873.815000000001</v>
      </c>
      <c r="P52" s="1470">
        <f>8878.1-P51</f>
        <v>5898.5105000000003</v>
      </c>
    </row>
    <row r="53" spans="1:16" ht="14.4">
      <c r="A53" s="1639"/>
      <c r="B53" s="1665"/>
      <c r="C53" s="1654" t="s">
        <v>781</v>
      </c>
      <c r="D53" s="1660">
        <v>1</v>
      </c>
      <c r="E53" s="1649">
        <f>+F27</f>
        <v>1.05</v>
      </c>
      <c r="F53" s="1661">
        <v>7.4999999999999997E-2</v>
      </c>
      <c r="G53" s="1661">
        <v>0.125</v>
      </c>
      <c r="H53" s="1661">
        <f>ROUND(D53*E53*F53*G53,3)</f>
        <v>0.01</v>
      </c>
      <c r="I53" s="1649">
        <f>I29</f>
        <v>50775</v>
      </c>
      <c r="J53" s="1649">
        <f>ROUND(H53*I53,2)</f>
        <v>507.75</v>
      </c>
      <c r="K53" s="1513">
        <f>1523.25+304.65+634.62+59.88+222+50</f>
        <v>2794.4</v>
      </c>
      <c r="O53" s="1470">
        <f>+O52*13.615%</f>
        <v>1480.4699122500001</v>
      </c>
    </row>
    <row r="54" spans="1:16" ht="14.4">
      <c r="A54" s="1639"/>
      <c r="B54" s="1665"/>
      <c r="C54" s="1654" t="s">
        <v>1482</v>
      </c>
      <c r="D54" s="1660"/>
      <c r="E54" s="1649"/>
      <c r="F54" s="1661"/>
      <c r="G54" s="1661"/>
      <c r="H54" s="1661">
        <f>SUM(H52:H53)</f>
        <v>4.9000000000000002E-2</v>
      </c>
      <c r="I54" s="1649">
        <f>G25</f>
        <v>19572.5</v>
      </c>
      <c r="J54" s="1649">
        <f>ROUND(H54*I54,2)</f>
        <v>959.05</v>
      </c>
      <c r="K54" s="1513">
        <f>8227.6-K53</f>
        <v>5433.2000000000007</v>
      </c>
      <c r="O54" s="1470">
        <f>1.65*584.69</f>
        <v>964.73850000000004</v>
      </c>
    </row>
    <row r="55" spans="1:16" ht="14.4">
      <c r="A55" s="1639"/>
      <c r="B55" s="1665"/>
      <c r="C55" s="1654" t="s">
        <v>1484</v>
      </c>
      <c r="D55" s="1660" t="s">
        <v>1289</v>
      </c>
      <c r="E55" s="1649">
        <f>+F27</f>
        <v>1.05</v>
      </c>
      <c r="F55" s="1661"/>
      <c r="G55" s="1661">
        <f>+G27</f>
        <v>2.1</v>
      </c>
      <c r="H55" s="1661">
        <f>ROUND(G55*E55*2.25/3,2)</f>
        <v>1.65</v>
      </c>
      <c r="I55" s="1649">
        <f>G15</f>
        <v>577.61900000000003</v>
      </c>
      <c r="J55" s="1649">
        <f>H55*I55/10</f>
        <v>95.307134999999988</v>
      </c>
      <c r="K55" s="1513"/>
      <c r="O55" s="1470">
        <f>1624.8+456.975+1692.5+96.47+222+50</f>
        <v>4142.7449999999999</v>
      </c>
    </row>
    <row r="56" spans="1:16" ht="14.4">
      <c r="A56" s="1639"/>
      <c r="B56" s="1659"/>
      <c r="C56" s="1654" t="s">
        <v>1598</v>
      </c>
      <c r="D56" s="1660"/>
      <c r="E56" s="1652" t="s">
        <v>1651</v>
      </c>
      <c r="F56" s="1661"/>
      <c r="G56" s="1661"/>
      <c r="H56" s="1666">
        <v>6</v>
      </c>
      <c r="I56" s="1649">
        <f>I45</f>
        <v>37</v>
      </c>
      <c r="J56" s="1649">
        <f>ROUND(H56*I56,2)</f>
        <v>222</v>
      </c>
      <c r="K56" s="1513"/>
      <c r="O56" s="1470">
        <f>+O55*13.615%</f>
        <v>564.03473174999999</v>
      </c>
    </row>
    <row r="57" spans="1:16" ht="14.4">
      <c r="A57" s="1639"/>
      <c r="B57" s="1665"/>
      <c r="C57" s="1654" t="s">
        <v>230</v>
      </c>
      <c r="D57" s="1660"/>
      <c r="E57" s="1649"/>
      <c r="F57" s="1661"/>
      <c r="G57" s="1661"/>
      <c r="H57" s="1666">
        <v>1</v>
      </c>
      <c r="I57" s="1649">
        <v>50</v>
      </c>
      <c r="J57" s="1649">
        <f>H57*I57</f>
        <v>50</v>
      </c>
      <c r="K57" s="1513"/>
      <c r="O57" s="1470">
        <f>+O52+O53-O55-O56</f>
        <v>7647.5051805000021</v>
      </c>
    </row>
    <row r="58" spans="1:16" ht="14.4">
      <c r="A58" s="1639"/>
      <c r="B58" s="1665"/>
      <c r="C58" s="1654"/>
      <c r="D58" s="1660"/>
      <c r="E58" s="1649"/>
      <c r="F58" s="1661"/>
      <c r="G58" s="1661"/>
      <c r="H58" s="1661"/>
      <c r="I58" s="1649"/>
      <c r="J58" s="1658">
        <f>SUM(J52:J57)</f>
        <v>3814.3371349999998</v>
      </c>
      <c r="K58" s="1513"/>
    </row>
    <row r="59" spans="1:16" s="1520" customFormat="1" ht="14.4">
      <c r="A59" s="1639"/>
      <c r="B59" s="1667"/>
      <c r="C59" s="1654" t="s">
        <v>1600</v>
      </c>
      <c r="D59" s="1664"/>
      <c r="E59" s="1658"/>
      <c r="F59" s="1662"/>
      <c r="G59" s="1662"/>
      <c r="H59" s="1662">
        <f>J58</f>
        <v>3814.3371349999998</v>
      </c>
      <c r="I59" s="1658">
        <f>I6</f>
        <v>0</v>
      </c>
      <c r="J59" s="1649">
        <f>ROUND(H59*I59,2)</f>
        <v>0</v>
      </c>
      <c r="K59" s="1523"/>
    </row>
    <row r="60" spans="1:16" s="1520" customFormat="1" ht="28.8">
      <c r="A60" s="1639" t="s">
        <v>1288</v>
      </c>
      <c r="B60" s="1667"/>
      <c r="C60" s="1639" t="s">
        <v>2630</v>
      </c>
      <c r="D60" s="1664"/>
      <c r="E60" s="1658"/>
      <c r="F60" s="1662"/>
      <c r="G60" s="1662"/>
      <c r="H60" s="1662"/>
      <c r="I60" s="1658" t="s">
        <v>1486</v>
      </c>
      <c r="J60" s="1658">
        <f>SUM(J58:J59)</f>
        <v>3814.3371349999998</v>
      </c>
      <c r="K60" s="1523"/>
    </row>
    <row r="61" spans="1:16" s="1520" customFormat="1" ht="14.4">
      <c r="A61" s="1639"/>
      <c r="B61" s="1667"/>
      <c r="C61" s="1639" t="s">
        <v>2631</v>
      </c>
      <c r="D61" s="1664"/>
      <c r="E61" s="1658"/>
      <c r="F61" s="1662"/>
      <c r="G61" s="1662"/>
      <c r="H61" s="1662"/>
      <c r="I61" s="1658" t="s">
        <v>1486</v>
      </c>
      <c r="J61" s="1658">
        <f>J49-J60</f>
        <v>7004.9628649999995</v>
      </c>
      <c r="K61" s="1523"/>
    </row>
    <row r="62" spans="1:16" ht="129.6">
      <c r="A62" s="1639"/>
      <c r="B62" s="1659">
        <v>3</v>
      </c>
      <c r="C62" s="1654" t="s">
        <v>2981</v>
      </c>
      <c r="D62" s="1660"/>
      <c r="E62" s="1649"/>
      <c r="F62" s="1661"/>
      <c r="G62" s="1661"/>
      <c r="H62" s="1661"/>
      <c r="I62" s="1649"/>
      <c r="J62" s="1649"/>
      <c r="K62" s="1513"/>
    </row>
    <row r="63" spans="1:16" ht="14.4">
      <c r="A63" s="1639"/>
      <c r="B63" s="1665"/>
      <c r="C63" s="1639" t="s">
        <v>1290</v>
      </c>
      <c r="D63" s="1664"/>
      <c r="E63" s="1658">
        <v>0.9</v>
      </c>
      <c r="F63" s="1661">
        <v>2.1</v>
      </c>
      <c r="G63" s="1661"/>
      <c r="H63" s="1661"/>
      <c r="I63" s="1649"/>
      <c r="J63" s="1649"/>
      <c r="K63" s="1513"/>
    </row>
    <row r="64" spans="1:16" ht="14.4">
      <c r="A64" s="1639"/>
      <c r="B64" s="1665"/>
      <c r="C64" s="1654" t="s">
        <v>779</v>
      </c>
      <c r="D64" s="1660"/>
      <c r="E64" s="1649"/>
      <c r="F64" s="1661"/>
      <c r="G64" s="1661"/>
      <c r="H64" s="1661"/>
      <c r="I64" s="1649"/>
      <c r="J64" s="1649"/>
      <c r="K64" s="1513"/>
    </row>
    <row r="65" spans="1:18" ht="14.4">
      <c r="A65" s="1639"/>
      <c r="B65" s="1665"/>
      <c r="C65" s="1654" t="s">
        <v>780</v>
      </c>
      <c r="D65" s="1660">
        <v>2</v>
      </c>
      <c r="E65" s="1649">
        <v>2.1</v>
      </c>
      <c r="F65" s="1661">
        <v>7.4999999999999997E-2</v>
      </c>
      <c r="G65" s="1661">
        <v>0.1</v>
      </c>
      <c r="H65" s="1661">
        <f>ROUND(D65*E65*F65*G65,3)</f>
        <v>3.2000000000000001E-2</v>
      </c>
      <c r="I65" s="1649">
        <v>52615</v>
      </c>
      <c r="J65" s="1649">
        <f t="shared" ref="J65:J70" si="3">ROUND(H65*I65,2)</f>
        <v>1683.68</v>
      </c>
      <c r="K65" s="1513"/>
      <c r="L65" s="1470">
        <v>2.1</v>
      </c>
      <c r="M65" s="1470">
        <v>0.1</v>
      </c>
      <c r="N65" s="1470">
        <v>7.4999999999999997E-2</v>
      </c>
      <c r="O65" s="1470">
        <v>3.2000000000000001E-2</v>
      </c>
      <c r="P65" s="1470">
        <v>50775</v>
      </c>
      <c r="Q65" s="1470">
        <v>1624.8</v>
      </c>
      <c r="R65" s="1469">
        <f t="shared" ref="R65:R70" si="4">Q65-J65</f>
        <v>-58.880000000000109</v>
      </c>
    </row>
    <row r="66" spans="1:18" ht="14.4">
      <c r="A66" s="1639"/>
      <c r="B66" s="1665"/>
      <c r="C66" s="1654" t="s">
        <v>781</v>
      </c>
      <c r="D66" s="1660">
        <v>1</v>
      </c>
      <c r="E66" s="1649">
        <v>1.05</v>
      </c>
      <c r="F66" s="1661">
        <v>7.4999999999999997E-2</v>
      </c>
      <c r="G66" s="1661">
        <v>0.1</v>
      </c>
      <c r="H66" s="1661">
        <f>ROUND(D66*E66*F66*G66,3)</f>
        <v>8.0000000000000002E-3</v>
      </c>
      <c r="I66" s="1649">
        <f>I65</f>
        <v>52615</v>
      </c>
      <c r="J66" s="1649">
        <f t="shared" si="3"/>
        <v>420.92</v>
      </c>
      <c r="K66" s="1513"/>
      <c r="L66" s="1470">
        <v>1.35</v>
      </c>
      <c r="M66" s="1470">
        <v>0.1</v>
      </c>
      <c r="N66" s="1470">
        <v>7.4999999999999997E-2</v>
      </c>
      <c r="O66" s="1470">
        <v>0.01</v>
      </c>
      <c r="P66" s="1470">
        <v>50775</v>
      </c>
      <c r="Q66" s="1470">
        <v>507.75</v>
      </c>
      <c r="R66" s="1469">
        <f t="shared" si="4"/>
        <v>86.829999999999984</v>
      </c>
    </row>
    <row r="67" spans="1:18" ht="14.4">
      <c r="A67" s="1639"/>
      <c r="B67" s="1665"/>
      <c r="C67" s="1654" t="s">
        <v>782</v>
      </c>
      <c r="D67" s="1660">
        <v>4</v>
      </c>
      <c r="E67" s="1649">
        <f>(2.1-2*0.075)+1*0.015</f>
        <v>1.9650000000000001</v>
      </c>
      <c r="F67" s="1661">
        <v>0.1</v>
      </c>
      <c r="G67" s="1661">
        <f>1.25*25.4/1000</f>
        <v>3.175E-2</v>
      </c>
      <c r="H67" s="1661">
        <f>ROUND(D67*E67*F67*G67,3)</f>
        <v>2.5000000000000001E-2</v>
      </c>
      <c r="I67" s="1649">
        <v>70153</v>
      </c>
      <c r="J67" s="1649">
        <f t="shared" si="3"/>
        <v>1753.83</v>
      </c>
      <c r="K67" s="1513"/>
      <c r="L67" s="1470">
        <v>1.9649999999999999</v>
      </c>
      <c r="M67" s="1470">
        <v>0.1</v>
      </c>
      <c r="N67" s="1470">
        <v>3.175E-2</v>
      </c>
      <c r="O67" s="1470">
        <v>2.5000000000000001E-2</v>
      </c>
      <c r="P67" s="1470">
        <v>67700</v>
      </c>
      <c r="Q67" s="1470">
        <v>1692.5</v>
      </c>
      <c r="R67" s="1469">
        <f t="shared" si="4"/>
        <v>-61.329999999999927</v>
      </c>
    </row>
    <row r="68" spans="1:18" ht="14.4">
      <c r="A68" s="1639"/>
      <c r="B68" s="1665"/>
      <c r="C68" s="1654" t="s">
        <v>783</v>
      </c>
      <c r="D68" s="1660" t="s">
        <v>791</v>
      </c>
      <c r="E68" s="1649">
        <f>(0.9-2*0.075+2*0.015)/2</f>
        <v>0.39</v>
      </c>
      <c r="F68" s="1661">
        <v>0.1</v>
      </c>
      <c r="G68" s="1661">
        <f>1.25*25.4/1000</f>
        <v>3.175E-2</v>
      </c>
      <c r="H68" s="1661">
        <f>ROUND(12*E68*F68*G68,3)</f>
        <v>1.4999999999999999E-2</v>
      </c>
      <c r="I68" s="1649">
        <f>I67</f>
        <v>70153</v>
      </c>
      <c r="J68" s="1649">
        <f t="shared" si="3"/>
        <v>1052.3</v>
      </c>
      <c r="K68" s="1513"/>
      <c r="L68" s="1470">
        <v>0.54</v>
      </c>
      <c r="M68" s="1470">
        <v>0.1</v>
      </c>
      <c r="N68" s="1470">
        <v>3.175E-2</v>
      </c>
      <c r="O68" s="1470">
        <v>2.1000000000000001E-2</v>
      </c>
      <c r="P68" s="1470">
        <v>67700</v>
      </c>
      <c r="Q68" s="1470">
        <v>1421.7</v>
      </c>
      <c r="R68" s="1469">
        <f t="shared" si="4"/>
        <v>369.40000000000009</v>
      </c>
    </row>
    <row r="69" spans="1:18" ht="14.4">
      <c r="A69" s="1639"/>
      <c r="B69" s="1665"/>
      <c r="C69" s="1654" t="s">
        <v>1481</v>
      </c>
      <c r="D69" s="1660" t="s">
        <v>792</v>
      </c>
      <c r="E69" s="1649">
        <f>(0.9-2*0.075+2*0.015)/2-2*0.1+2*0.025</f>
        <v>0.24</v>
      </c>
      <c r="F69" s="1661">
        <f>(2.1-2*0.075+1*0.015-6*0.1)/5+2*0.025</f>
        <v>0.32300000000000001</v>
      </c>
      <c r="G69" s="1661">
        <v>2.5000000000000001E-2</v>
      </c>
      <c r="H69" s="1661">
        <f>ROUND(10*E69*F69*G69,3)</f>
        <v>1.9E-2</v>
      </c>
      <c r="I69" s="1649">
        <f>I68</f>
        <v>70153</v>
      </c>
      <c r="J69" s="1649">
        <f t="shared" si="3"/>
        <v>1332.91</v>
      </c>
      <c r="K69" s="1513"/>
      <c r="L69" s="1470">
        <v>0.39</v>
      </c>
      <c r="M69" s="1470">
        <v>0.32300000000000001</v>
      </c>
      <c r="N69" s="1470">
        <v>2.5000000000000001E-2</v>
      </c>
      <c r="O69" s="1470">
        <v>3.1E-2</v>
      </c>
      <c r="P69" s="1470">
        <v>59715</v>
      </c>
      <c r="Q69" s="1470">
        <v>1851.17</v>
      </c>
      <c r="R69" s="1469">
        <f t="shared" si="4"/>
        <v>518.26</v>
      </c>
    </row>
    <row r="70" spans="1:18" ht="43.2">
      <c r="A70" s="1639"/>
      <c r="B70" s="1665"/>
      <c r="C70" s="1654" t="s">
        <v>2983</v>
      </c>
      <c r="D70" s="1660">
        <v>1</v>
      </c>
      <c r="E70" s="1649">
        <f>+E63</f>
        <v>0.9</v>
      </c>
      <c r="F70" s="1661">
        <f>+F63</f>
        <v>2.1</v>
      </c>
      <c r="G70" s="1661"/>
      <c r="H70" s="1661">
        <f>+D70*E70*F70</f>
        <v>1.8900000000000001</v>
      </c>
      <c r="I70" s="1649">
        <v>2239</v>
      </c>
      <c r="J70" s="1649">
        <f t="shared" si="3"/>
        <v>4231.71</v>
      </c>
      <c r="K70" s="1513">
        <f>+J70/3</f>
        <v>1410.57</v>
      </c>
      <c r="O70" s="1470">
        <v>0.11900000000000001</v>
      </c>
      <c r="P70" s="1470">
        <v>16700.5</v>
      </c>
      <c r="Q70" s="1470">
        <v>1987.36</v>
      </c>
      <c r="R70" s="1469">
        <f t="shared" si="4"/>
        <v>-2244.3500000000004</v>
      </c>
    </row>
    <row r="71" spans="1:18" ht="43.2">
      <c r="A71" s="1639" t="s">
        <v>787</v>
      </c>
      <c r="B71" s="1638"/>
      <c r="C71" s="1654" t="s">
        <v>788</v>
      </c>
      <c r="D71" s="1660"/>
      <c r="E71" s="1649"/>
      <c r="F71" s="1661"/>
      <c r="G71" s="1662"/>
      <c r="H71" s="1662"/>
      <c r="I71" s="1649"/>
      <c r="J71" s="1649"/>
      <c r="K71" s="1513"/>
    </row>
    <row r="72" spans="1:18" s="1470" customFormat="1" ht="14.4">
      <c r="A72" s="1639"/>
      <c r="B72" s="1638"/>
      <c r="C72" s="1654" t="s">
        <v>911</v>
      </c>
      <c r="D72" s="1660" t="s">
        <v>1035</v>
      </c>
      <c r="E72" s="1649" t="s">
        <v>1617</v>
      </c>
      <c r="F72" s="1661"/>
      <c r="G72" s="1661"/>
      <c r="H72" s="1666">
        <v>2</v>
      </c>
      <c r="I72" s="1649">
        <v>80</v>
      </c>
      <c r="J72" s="1649">
        <f t="shared" ref="J72:J80" si="5">ROUND(H72*I72,2)</f>
        <v>160</v>
      </c>
      <c r="K72" s="1513"/>
      <c r="L72" s="1470" t="s">
        <v>1617</v>
      </c>
      <c r="O72" s="1470">
        <v>2</v>
      </c>
      <c r="P72" s="1470">
        <v>77</v>
      </c>
      <c r="Q72" s="1470">
        <v>154</v>
      </c>
    </row>
    <row r="73" spans="1:18" s="1470" customFormat="1" ht="14.4">
      <c r="A73" s="1639"/>
      <c r="B73" s="1638"/>
      <c r="C73" s="1654" t="s">
        <v>912</v>
      </c>
      <c r="D73" s="1660" t="s">
        <v>1035</v>
      </c>
      <c r="E73" s="1649" t="s">
        <v>1618</v>
      </c>
      <c r="F73" s="1661"/>
      <c r="G73" s="1661"/>
      <c r="H73" s="1666">
        <v>1</v>
      </c>
      <c r="I73" s="1649">
        <v>42</v>
      </c>
      <c r="J73" s="1649">
        <f t="shared" si="5"/>
        <v>42</v>
      </c>
      <c r="K73" s="1513"/>
      <c r="L73" s="1470" t="s">
        <v>1618</v>
      </c>
      <c r="O73" s="1470">
        <v>1</v>
      </c>
      <c r="P73" s="1470">
        <v>40</v>
      </c>
      <c r="Q73" s="1470">
        <v>40</v>
      </c>
    </row>
    <row r="74" spans="1:18" s="1470" customFormat="1" ht="14.4">
      <c r="A74" s="1639"/>
      <c r="B74" s="1638"/>
      <c r="C74" s="1654" t="s">
        <v>913</v>
      </c>
      <c r="D74" s="1660" t="s">
        <v>1035</v>
      </c>
      <c r="E74" s="1649" t="s">
        <v>1619</v>
      </c>
      <c r="F74" s="1661"/>
      <c r="G74" s="1661"/>
      <c r="H74" s="1666">
        <v>6</v>
      </c>
      <c r="I74" s="1649">
        <v>38</v>
      </c>
      <c r="J74" s="1649">
        <f t="shared" si="5"/>
        <v>228</v>
      </c>
      <c r="K74" s="1513"/>
      <c r="L74" s="1470" t="s">
        <v>1619</v>
      </c>
      <c r="O74" s="1470">
        <v>6</v>
      </c>
      <c r="P74" s="1470">
        <v>36</v>
      </c>
      <c r="Q74" s="1470">
        <v>216</v>
      </c>
    </row>
    <row r="75" spans="1:18" s="1470" customFormat="1" ht="14.4">
      <c r="A75" s="1639"/>
      <c r="B75" s="1638"/>
      <c r="C75" s="1654" t="s">
        <v>914</v>
      </c>
      <c r="D75" s="1660" t="s">
        <v>1035</v>
      </c>
      <c r="E75" s="1649" t="s">
        <v>1918</v>
      </c>
      <c r="F75" s="1661"/>
      <c r="G75" s="1661"/>
      <c r="H75" s="1666">
        <v>1</v>
      </c>
      <c r="I75" s="1649">
        <v>192</v>
      </c>
      <c r="J75" s="1649">
        <f t="shared" si="5"/>
        <v>192</v>
      </c>
      <c r="K75" s="1513"/>
      <c r="L75" s="1470" t="s">
        <v>1918</v>
      </c>
      <c r="O75" s="1470">
        <v>1</v>
      </c>
      <c r="P75" s="1470">
        <v>185</v>
      </c>
      <c r="Q75" s="1470">
        <v>185</v>
      </c>
    </row>
    <row r="76" spans="1:18" s="1470" customFormat="1" ht="14.4">
      <c r="A76" s="1639"/>
      <c r="B76" s="1638"/>
      <c r="C76" s="1654" t="s">
        <v>296</v>
      </c>
      <c r="D76" s="1660" t="s">
        <v>1035</v>
      </c>
      <c r="E76" s="1649" t="s">
        <v>1919</v>
      </c>
      <c r="F76" s="1661"/>
      <c r="G76" s="1661"/>
      <c r="H76" s="1666">
        <v>2</v>
      </c>
      <c r="I76" s="1649">
        <v>54</v>
      </c>
      <c r="J76" s="1649">
        <f t="shared" si="5"/>
        <v>108</v>
      </c>
      <c r="K76" s="1513"/>
      <c r="L76" s="1470" t="s">
        <v>1919</v>
      </c>
      <c r="O76" s="1470">
        <v>2</v>
      </c>
      <c r="P76" s="1470">
        <v>52</v>
      </c>
      <c r="Q76" s="1470">
        <v>104</v>
      </c>
    </row>
    <row r="77" spans="1:18" ht="14.4">
      <c r="A77" s="1639"/>
      <c r="B77" s="1638"/>
      <c r="C77" s="1654" t="s">
        <v>420</v>
      </c>
      <c r="D77" s="1660"/>
      <c r="E77" s="1649" t="s">
        <v>1649</v>
      </c>
      <c r="F77" s="1661"/>
      <c r="G77" s="1661"/>
      <c r="H77" s="1666">
        <v>3</v>
      </c>
      <c r="I77" s="1649">
        <v>38</v>
      </c>
      <c r="J77" s="1649">
        <f t="shared" si="5"/>
        <v>114</v>
      </c>
      <c r="K77" s="1513"/>
      <c r="L77" s="1470" t="s">
        <v>1649</v>
      </c>
      <c r="O77" s="1470">
        <v>3</v>
      </c>
      <c r="P77" s="1470">
        <v>36</v>
      </c>
      <c r="Q77" s="1470">
        <v>108</v>
      </c>
    </row>
    <row r="78" spans="1:18" s="1470" customFormat="1" ht="14.4">
      <c r="A78" s="1639"/>
      <c r="B78" s="1638"/>
      <c r="C78" s="1654" t="s">
        <v>799</v>
      </c>
      <c r="D78" s="1660" t="s">
        <v>882</v>
      </c>
      <c r="E78" s="1649" t="s">
        <v>1826</v>
      </c>
      <c r="F78" s="1661"/>
      <c r="G78" s="1661"/>
      <c r="H78" s="1666">
        <v>80</v>
      </c>
      <c r="I78" s="1649">
        <v>6</v>
      </c>
      <c r="J78" s="1649">
        <f t="shared" si="5"/>
        <v>480</v>
      </c>
      <c r="K78" s="1513"/>
      <c r="L78" s="1470" t="s">
        <v>1826</v>
      </c>
      <c r="O78" s="1470">
        <v>80</v>
      </c>
      <c r="P78" s="1470">
        <v>5</v>
      </c>
      <c r="Q78" s="1470">
        <v>400</v>
      </c>
    </row>
    <row r="79" spans="1:18" s="1470" customFormat="1" ht="14.4">
      <c r="A79" s="1639"/>
      <c r="B79" s="1638"/>
      <c r="C79" s="1654" t="s">
        <v>1623</v>
      </c>
      <c r="D79" s="1660" t="s">
        <v>882</v>
      </c>
      <c r="E79" s="1649" t="s">
        <v>1920</v>
      </c>
      <c r="F79" s="1661"/>
      <c r="G79" s="1661"/>
      <c r="H79" s="1666">
        <v>10</v>
      </c>
      <c r="I79" s="1649">
        <v>15</v>
      </c>
      <c r="J79" s="1649">
        <f t="shared" si="5"/>
        <v>150</v>
      </c>
      <c r="K79" s="1513"/>
      <c r="L79" s="1470" t="s">
        <v>1920</v>
      </c>
      <c r="O79" s="1470">
        <v>10</v>
      </c>
      <c r="P79" s="1470">
        <v>21</v>
      </c>
      <c r="Q79" s="1470">
        <v>210</v>
      </c>
    </row>
    <row r="80" spans="1:18" s="1470" customFormat="1" ht="14.4">
      <c r="A80" s="1639"/>
      <c r="B80" s="1659"/>
      <c r="C80" s="1654" t="s">
        <v>1598</v>
      </c>
      <c r="D80" s="1660"/>
      <c r="E80" s="1652" t="s">
        <v>1651</v>
      </c>
      <c r="F80" s="1661"/>
      <c r="G80" s="1661"/>
      <c r="H80" s="1666">
        <v>6</v>
      </c>
      <c r="I80" s="1649">
        <v>39</v>
      </c>
      <c r="J80" s="1649">
        <f t="shared" si="5"/>
        <v>234</v>
      </c>
      <c r="K80" s="1513"/>
      <c r="L80" s="1470" t="s">
        <v>1651</v>
      </c>
      <c r="O80" s="1470">
        <v>6</v>
      </c>
      <c r="P80" s="1470">
        <v>37</v>
      </c>
      <c r="Q80" s="1470">
        <v>222</v>
      </c>
    </row>
    <row r="81" spans="1:17" s="1470" customFormat="1" ht="14.4">
      <c r="A81" s="1639"/>
      <c r="B81" s="1665"/>
      <c r="C81" s="1654" t="s">
        <v>1484</v>
      </c>
      <c r="D81" s="1660">
        <v>2.25</v>
      </c>
      <c r="E81" s="1649">
        <f>+E70</f>
        <v>0.9</v>
      </c>
      <c r="F81" s="1661">
        <f>+F70</f>
        <v>2.1</v>
      </c>
      <c r="G81" s="1661"/>
      <c r="H81" s="1661">
        <f>+D81*E81*F81</f>
        <v>4.2525000000000004</v>
      </c>
      <c r="I81" s="1649">
        <v>641.24900000000002</v>
      </c>
      <c r="J81" s="1649">
        <f>H81*I81/10</f>
        <v>272.69113725</v>
      </c>
      <c r="K81" s="1513"/>
      <c r="L81" s="1470">
        <v>1.2</v>
      </c>
      <c r="N81" s="1470">
        <v>2.1</v>
      </c>
      <c r="O81" s="1470">
        <v>5.67</v>
      </c>
      <c r="P81" s="1470">
        <v>506.91899999999998</v>
      </c>
      <c r="Q81" s="1470">
        <v>287.42307299999999</v>
      </c>
    </row>
    <row r="82" spans="1:17" s="1470" customFormat="1" ht="14.4">
      <c r="A82" s="1639"/>
      <c r="B82" s="1665"/>
      <c r="C82" s="1654" t="s">
        <v>230</v>
      </c>
      <c r="D82" s="1660"/>
      <c r="E82" s="1649"/>
      <c r="F82" s="1661"/>
      <c r="G82" s="1661"/>
      <c r="H82" s="1666">
        <v>1</v>
      </c>
      <c r="I82" s="1649">
        <v>100</v>
      </c>
      <c r="J82" s="1649">
        <f>H82*I82</f>
        <v>100</v>
      </c>
      <c r="K82" s="1513"/>
      <c r="O82" s="1470">
        <v>1</v>
      </c>
      <c r="P82" s="1470">
        <v>75</v>
      </c>
      <c r="Q82" s="1470">
        <v>75</v>
      </c>
    </row>
    <row r="83" spans="1:17" ht="14.4">
      <c r="A83" s="1639"/>
      <c r="B83" s="1665"/>
      <c r="C83" s="1654"/>
      <c r="D83" s="1660"/>
      <c r="E83" s="1649"/>
      <c r="F83" s="1661"/>
      <c r="G83" s="1661"/>
      <c r="H83" s="1661"/>
      <c r="I83" s="1649"/>
      <c r="J83" s="1649">
        <f>SUM(J65:J82)</f>
        <v>12556.041137249998</v>
      </c>
      <c r="K83" s="1513"/>
      <c r="Q83" s="1470">
        <v>11086.703073000001</v>
      </c>
    </row>
    <row r="84" spans="1:17" s="1520" customFormat="1" ht="14.4">
      <c r="A84" s="1639"/>
      <c r="B84" s="1667"/>
      <c r="C84" s="1654" t="s">
        <v>1600</v>
      </c>
      <c r="D84" s="1664"/>
      <c r="E84" s="1658"/>
      <c r="F84" s="1662"/>
      <c r="G84" s="1662"/>
      <c r="H84" s="1662">
        <f>J83</f>
        <v>12556.041137249998</v>
      </c>
      <c r="I84" s="1658">
        <f>I6</f>
        <v>0</v>
      </c>
      <c r="J84" s="1649">
        <f>ROUND(H84*I84,2)</f>
        <v>0</v>
      </c>
      <c r="K84" s="1523"/>
      <c r="O84" s="1520">
        <v>11086.703073000001</v>
      </c>
      <c r="P84" s="1520">
        <v>0</v>
      </c>
      <c r="Q84" s="1520">
        <v>0</v>
      </c>
    </row>
    <row r="85" spans="1:17" s="1520" customFormat="1" ht="14.4">
      <c r="A85" s="1639"/>
      <c r="B85" s="1667" t="s">
        <v>3138</v>
      </c>
      <c r="C85" s="1639" t="s">
        <v>256</v>
      </c>
      <c r="D85" s="1664"/>
      <c r="E85" s="1658"/>
      <c r="F85" s="1662"/>
      <c r="G85" s="1662"/>
      <c r="H85" s="1662"/>
      <c r="I85" s="1658" t="s">
        <v>416</v>
      </c>
      <c r="J85" s="1658">
        <f>SUM(J83:J84)</f>
        <v>12556.041137249998</v>
      </c>
      <c r="K85" s="1523"/>
      <c r="P85" s="1520" t="s">
        <v>416</v>
      </c>
      <c r="Q85" s="1520">
        <v>11086.703073000001</v>
      </c>
    </row>
    <row r="86" spans="1:17" ht="14.4">
      <c r="A86" s="1639"/>
      <c r="B86" s="1665"/>
      <c r="C86" s="1639" t="s">
        <v>1291</v>
      </c>
      <c r="D86" s="1664"/>
      <c r="E86" s="1658"/>
      <c r="F86" s="1661"/>
      <c r="G86" s="1661"/>
      <c r="H86" s="1661"/>
      <c r="I86" s="1649"/>
      <c r="J86" s="1649"/>
      <c r="K86" s="1513"/>
    </row>
    <row r="87" spans="1:17" ht="14.4">
      <c r="A87" s="1639"/>
      <c r="B87" s="1665"/>
      <c r="C87" s="1654" t="s">
        <v>779</v>
      </c>
      <c r="D87" s="1660"/>
      <c r="E87" s="1649"/>
      <c r="F87" s="1661"/>
      <c r="G87" s="1661"/>
      <c r="H87" s="1661"/>
      <c r="I87" s="1649"/>
      <c r="J87" s="1649"/>
      <c r="K87" s="1513"/>
    </row>
    <row r="88" spans="1:17" ht="14.4">
      <c r="A88" s="1639"/>
      <c r="B88" s="1665"/>
      <c r="C88" s="1654" t="s">
        <v>780</v>
      </c>
      <c r="D88" s="1660">
        <f>+D65</f>
        <v>2</v>
      </c>
      <c r="E88" s="1660">
        <f t="shared" ref="E88:G89" si="6">+E65</f>
        <v>2.1</v>
      </c>
      <c r="F88" s="1660">
        <f t="shared" si="6"/>
        <v>7.4999999999999997E-2</v>
      </c>
      <c r="G88" s="1660">
        <f t="shared" si="6"/>
        <v>0.1</v>
      </c>
      <c r="H88" s="1661">
        <f>ROUND(D88*E88*F88*G88,3)</f>
        <v>3.2000000000000001E-2</v>
      </c>
      <c r="I88" s="1649">
        <f>I65</f>
        <v>52615</v>
      </c>
      <c r="J88" s="1649">
        <f>ROUND(H88*I88,2)</f>
        <v>1683.68</v>
      </c>
      <c r="K88" s="1513"/>
    </row>
    <row r="89" spans="1:17" ht="14.4">
      <c r="A89" s="1639"/>
      <c r="B89" s="1665"/>
      <c r="C89" s="1654" t="s">
        <v>781</v>
      </c>
      <c r="D89" s="1660">
        <f>+D66</f>
        <v>1</v>
      </c>
      <c r="E89" s="1660">
        <f t="shared" si="6"/>
        <v>1.05</v>
      </c>
      <c r="F89" s="1660">
        <f t="shared" si="6"/>
        <v>7.4999999999999997E-2</v>
      </c>
      <c r="G89" s="1660">
        <f t="shared" si="6"/>
        <v>0.1</v>
      </c>
      <c r="H89" s="1661">
        <f>ROUND(D89*E89*F89*G89,3)</f>
        <v>8.0000000000000002E-3</v>
      </c>
      <c r="I89" s="1649">
        <f>I88</f>
        <v>52615</v>
      </c>
      <c r="J89" s="1649">
        <f>ROUND(H89*I89,2)</f>
        <v>420.92</v>
      </c>
      <c r="K89" s="1513"/>
    </row>
    <row r="90" spans="1:17" ht="43.2">
      <c r="A90" s="1639"/>
      <c r="B90" s="1665"/>
      <c r="C90" s="1654" t="s">
        <v>2983</v>
      </c>
      <c r="D90" s="1640">
        <f>1/3</f>
        <v>0.33333333333333331</v>
      </c>
      <c r="E90" s="1649">
        <f>+E63</f>
        <v>0.9</v>
      </c>
      <c r="F90" s="1661">
        <f>+F63</f>
        <v>2.1</v>
      </c>
      <c r="G90" s="1661"/>
      <c r="H90" s="1661">
        <f>+D90*E90*F90</f>
        <v>0.63</v>
      </c>
      <c r="I90" s="1649">
        <f>+I70</f>
        <v>2239</v>
      </c>
      <c r="J90" s="1649">
        <f>+H90*I90</f>
        <v>1410.57</v>
      </c>
      <c r="K90" s="1513"/>
    </row>
    <row r="91" spans="1:17" ht="43.2">
      <c r="A91" s="1639" t="s">
        <v>787</v>
      </c>
      <c r="B91" s="1638"/>
      <c r="C91" s="1654" t="s">
        <v>788</v>
      </c>
      <c r="D91" s="1660"/>
      <c r="E91" s="1649"/>
      <c r="F91" s="1661"/>
      <c r="G91" s="1662"/>
      <c r="H91" s="1662"/>
      <c r="I91" s="1649"/>
      <c r="J91" s="1649"/>
      <c r="K91" s="1513"/>
    </row>
    <row r="92" spans="1:17" ht="14.4">
      <c r="A92" s="1639"/>
      <c r="B92" s="1659"/>
      <c r="C92" s="1654" t="s">
        <v>1598</v>
      </c>
      <c r="D92" s="1660"/>
      <c r="E92" s="1652" t="s">
        <v>1651</v>
      </c>
      <c r="F92" s="1661"/>
      <c r="G92" s="1661"/>
      <c r="H92" s="1666">
        <v>6</v>
      </c>
      <c r="I92" s="1649">
        <v>39</v>
      </c>
      <c r="J92" s="1649">
        <f>ROUND(H92*I92,2)</f>
        <v>234</v>
      </c>
      <c r="K92" s="1513"/>
    </row>
    <row r="93" spans="1:17" ht="14.4">
      <c r="A93" s="1639"/>
      <c r="B93" s="1665"/>
      <c r="C93" s="1654" t="s">
        <v>230</v>
      </c>
      <c r="D93" s="1660"/>
      <c r="E93" s="1649"/>
      <c r="F93" s="1661"/>
      <c r="G93" s="1661"/>
      <c r="H93" s="1666">
        <v>1</v>
      </c>
      <c r="I93" s="1649">
        <v>50</v>
      </c>
      <c r="J93" s="1649">
        <f>H93*I93</f>
        <v>50</v>
      </c>
      <c r="K93" s="1513"/>
    </row>
    <row r="94" spans="1:17" ht="14.4">
      <c r="A94" s="1639"/>
      <c r="B94" s="1665"/>
      <c r="C94" s="1654"/>
      <c r="D94" s="1660"/>
      <c r="E94" s="1649"/>
      <c r="F94" s="1661"/>
      <c r="G94" s="1661"/>
      <c r="H94" s="1661"/>
      <c r="I94" s="1649"/>
      <c r="J94" s="1649">
        <f>SUM(J88:J93)</f>
        <v>3799.17</v>
      </c>
      <c r="K94" s="1513"/>
    </row>
    <row r="95" spans="1:17" s="1520" customFormat="1" ht="14.4">
      <c r="A95" s="1639"/>
      <c r="B95" s="1667"/>
      <c r="C95" s="1654" t="s">
        <v>1600</v>
      </c>
      <c r="D95" s="1664"/>
      <c r="E95" s="1658"/>
      <c r="F95" s="1662"/>
      <c r="G95" s="1662"/>
      <c r="H95" s="1662">
        <f>J94</f>
        <v>3799.17</v>
      </c>
      <c r="I95" s="1658">
        <f>I6</f>
        <v>0</v>
      </c>
      <c r="J95" s="1649">
        <f>ROUND(H95*I95,2)</f>
        <v>0</v>
      </c>
      <c r="K95" s="1523"/>
    </row>
    <row r="96" spans="1:17" s="1520" customFormat="1" ht="28.8">
      <c r="A96" s="1639" t="s">
        <v>542</v>
      </c>
      <c r="B96" s="1667"/>
      <c r="C96" s="1639" t="s">
        <v>1292</v>
      </c>
      <c r="D96" s="1664"/>
      <c r="E96" s="1658"/>
      <c r="F96" s="1662"/>
      <c r="G96" s="1662"/>
      <c r="H96" s="1662"/>
      <c r="I96" s="1658" t="s">
        <v>416</v>
      </c>
      <c r="J96" s="1658">
        <f>SUM(J94:J95)</f>
        <v>3799.17</v>
      </c>
      <c r="K96" s="1523"/>
    </row>
    <row r="97" spans="1:11" s="1520" customFormat="1" ht="14.4">
      <c r="A97" s="1639"/>
      <c r="B97" s="1667"/>
      <c r="C97" s="1639" t="s">
        <v>1293</v>
      </c>
      <c r="D97" s="1664"/>
      <c r="E97" s="1658"/>
      <c r="F97" s="1662"/>
      <c r="G97" s="1662"/>
      <c r="H97" s="1662"/>
      <c r="I97" s="1658" t="s">
        <v>416</v>
      </c>
      <c r="J97" s="1658">
        <f>J85-J96</f>
        <v>8756.8711372499984</v>
      </c>
      <c r="K97" s="1523"/>
    </row>
    <row r="98" spans="1:11" ht="129.6">
      <c r="A98" s="1639"/>
      <c r="B98" s="1659">
        <v>4</v>
      </c>
      <c r="C98" s="1639" t="s">
        <v>1827</v>
      </c>
      <c r="D98" s="1660"/>
      <c r="E98" s="1649"/>
      <c r="F98" s="1661"/>
      <c r="G98" s="1661"/>
      <c r="H98" s="1661"/>
      <c r="I98" s="1649"/>
      <c r="J98" s="1649"/>
      <c r="K98" s="1513"/>
    </row>
    <row r="99" spans="1:11" ht="14.4">
      <c r="A99" s="1639"/>
      <c r="B99" s="1665"/>
      <c r="C99" s="1639" t="s">
        <v>793</v>
      </c>
      <c r="D99" s="1664"/>
      <c r="E99" s="1658">
        <v>1.05</v>
      </c>
      <c r="F99" s="1661">
        <v>2.1</v>
      </c>
      <c r="G99" s="1661"/>
      <c r="H99" s="1661"/>
      <c r="I99" s="1649"/>
      <c r="J99" s="1649"/>
      <c r="K99" s="1513"/>
    </row>
    <row r="100" spans="1:11" ht="14.4">
      <c r="A100" s="1639"/>
      <c r="B100" s="1665"/>
      <c r="C100" s="1654" t="s">
        <v>779</v>
      </c>
      <c r="D100" s="1660"/>
      <c r="E100" s="1649"/>
      <c r="F100" s="1661"/>
      <c r="G100" s="1661"/>
      <c r="H100" s="1661"/>
      <c r="I100" s="1649"/>
      <c r="J100" s="1649"/>
      <c r="K100" s="1513"/>
    </row>
    <row r="101" spans="1:11" ht="14.4">
      <c r="A101" s="1639"/>
      <c r="B101" s="1665"/>
      <c r="C101" s="1654" t="s">
        <v>780</v>
      </c>
      <c r="D101" s="1660">
        <v>2</v>
      </c>
      <c r="E101" s="1649">
        <v>2.1</v>
      </c>
      <c r="F101" s="1661">
        <v>0.1</v>
      </c>
      <c r="G101" s="1661">
        <v>7.4999999999999997E-2</v>
      </c>
      <c r="H101" s="1661">
        <f>ROUND(D101*E101*F101*G101,3)</f>
        <v>3.2000000000000001E-2</v>
      </c>
      <c r="I101" s="1649">
        <f>I89</f>
        <v>52615</v>
      </c>
      <c r="J101" s="1649">
        <f t="shared" ref="J101:J106" si="7">ROUND(H101*I101,2)</f>
        <v>1683.68</v>
      </c>
      <c r="K101" s="1513"/>
    </row>
    <row r="102" spans="1:11" ht="14.4">
      <c r="A102" s="1639"/>
      <c r="B102" s="1665"/>
      <c r="C102" s="1654" t="s">
        <v>781</v>
      </c>
      <c r="D102" s="1660">
        <v>1</v>
      </c>
      <c r="E102" s="1649">
        <v>1.2</v>
      </c>
      <c r="F102" s="1661">
        <v>0.1</v>
      </c>
      <c r="G102" s="1661">
        <v>7.4999999999999997E-2</v>
      </c>
      <c r="H102" s="1661">
        <f>ROUND(D102*E102*F102*G102,3)</f>
        <v>8.9999999999999993E-3</v>
      </c>
      <c r="I102" s="1649">
        <f>I101</f>
        <v>52615</v>
      </c>
      <c r="J102" s="1649">
        <f t="shared" si="7"/>
        <v>473.54</v>
      </c>
      <c r="K102" s="1513"/>
    </row>
    <row r="103" spans="1:11" ht="14.4">
      <c r="A103" s="1639"/>
      <c r="B103" s="1665"/>
      <c r="C103" s="1654" t="s">
        <v>782</v>
      </c>
      <c r="D103" s="1660">
        <v>4</v>
      </c>
      <c r="E103" s="1649">
        <f>(2.1-1*0.075-0.075)+1*0.015</f>
        <v>1.9649999999999999</v>
      </c>
      <c r="F103" s="1661">
        <v>0.1</v>
      </c>
      <c r="G103" s="1661">
        <f>1.25*25.4/1000</f>
        <v>3.175E-2</v>
      </c>
      <c r="H103" s="1661">
        <f>ROUND(D103*E103*F103*G103,3)</f>
        <v>2.5000000000000001E-2</v>
      </c>
      <c r="I103" s="1649">
        <f>I69</f>
        <v>70153</v>
      </c>
      <c r="J103" s="1649">
        <f t="shared" si="7"/>
        <v>1753.83</v>
      </c>
      <c r="K103" s="1513"/>
    </row>
    <row r="104" spans="1:11" ht="14.4">
      <c r="A104" s="1639"/>
      <c r="B104" s="1665"/>
      <c r="C104" s="1654" t="s">
        <v>783</v>
      </c>
      <c r="D104" s="1660" t="s">
        <v>791</v>
      </c>
      <c r="E104" s="1649">
        <f>(1.05-2*0.075+2*0.015)/2</f>
        <v>0.46500000000000002</v>
      </c>
      <c r="F104" s="1661">
        <v>0.1</v>
      </c>
      <c r="G104" s="1661">
        <f>1.25*25.4/1000</f>
        <v>3.175E-2</v>
      </c>
      <c r="H104" s="1661">
        <f>ROUND(12*E104*F104*G104,3)</f>
        <v>1.7999999999999999E-2</v>
      </c>
      <c r="I104" s="1649">
        <f>I103</f>
        <v>70153</v>
      </c>
      <c r="J104" s="1649">
        <f t="shared" si="7"/>
        <v>1262.75</v>
      </c>
      <c r="K104" s="1513"/>
    </row>
    <row r="105" spans="1:11" ht="14.4">
      <c r="A105" s="1639"/>
      <c r="B105" s="1665"/>
      <c r="C105" s="1654" t="s">
        <v>1481</v>
      </c>
      <c r="D105" s="1660" t="s">
        <v>792</v>
      </c>
      <c r="E105" s="1649">
        <f>(1.05-2*0.075+2*0.015)/2-2*0.1+2*0.025</f>
        <v>0.315</v>
      </c>
      <c r="F105" s="1661">
        <f>(2.1-2*0.075+1*0.015-6*0.1)/5+2*0.025</f>
        <v>0.32300000000000001</v>
      </c>
      <c r="G105" s="1661">
        <v>2.5000000000000001E-2</v>
      </c>
      <c r="H105" s="1661">
        <f>ROUND(10*E105*F105*G105,3)</f>
        <v>2.5000000000000001E-2</v>
      </c>
      <c r="I105" s="1649">
        <f>I104</f>
        <v>70153</v>
      </c>
      <c r="J105" s="1649">
        <f t="shared" si="7"/>
        <v>1753.83</v>
      </c>
      <c r="K105" s="1513"/>
    </row>
    <row r="106" spans="1:11" ht="43.2">
      <c r="A106" s="1639"/>
      <c r="B106" s="1665"/>
      <c r="C106" s="1654" t="s">
        <v>2983</v>
      </c>
      <c r="D106" s="1660">
        <v>1</v>
      </c>
      <c r="E106" s="1649">
        <f>+E99</f>
        <v>1.05</v>
      </c>
      <c r="F106" s="1661">
        <f>+F99</f>
        <v>2.1</v>
      </c>
      <c r="G106" s="1661"/>
      <c r="H106" s="1661">
        <f>+D106*E106*F106</f>
        <v>2.2050000000000001</v>
      </c>
      <c r="I106" s="1649">
        <v>2019</v>
      </c>
      <c r="J106" s="1649">
        <f t="shared" si="7"/>
        <v>4451.8999999999996</v>
      </c>
      <c r="K106" s="1513"/>
    </row>
    <row r="107" spans="1:11" ht="43.2">
      <c r="A107" s="1639" t="s">
        <v>787</v>
      </c>
      <c r="B107" s="1638"/>
      <c r="C107" s="1654" t="s">
        <v>788</v>
      </c>
      <c r="D107" s="1660"/>
      <c r="E107" s="1649"/>
      <c r="F107" s="1661"/>
      <c r="G107" s="1662"/>
      <c r="H107" s="1662"/>
      <c r="I107" s="1649"/>
      <c r="J107" s="1649"/>
      <c r="K107" s="1513"/>
    </row>
    <row r="108" spans="1:11" ht="14.4">
      <c r="A108" s="1639"/>
      <c r="B108" s="1638"/>
      <c r="C108" s="1654" t="s">
        <v>911</v>
      </c>
      <c r="D108" s="1660" t="s">
        <v>1035</v>
      </c>
      <c r="E108" s="1649" t="s">
        <v>1617</v>
      </c>
      <c r="F108" s="1661"/>
      <c r="G108" s="1661"/>
      <c r="H108" s="1666">
        <v>2</v>
      </c>
      <c r="I108" s="1649">
        <v>77</v>
      </c>
      <c r="J108" s="1649">
        <f t="shared" ref="J108:J116" si="8">ROUND(H108*I108,2)</f>
        <v>154</v>
      </c>
      <c r="K108" s="1513"/>
    </row>
    <row r="109" spans="1:11" ht="14.4">
      <c r="A109" s="1639"/>
      <c r="B109" s="1638"/>
      <c r="C109" s="1654" t="s">
        <v>912</v>
      </c>
      <c r="D109" s="1660" t="s">
        <v>1035</v>
      </c>
      <c r="E109" s="1649" t="s">
        <v>1618</v>
      </c>
      <c r="F109" s="1661"/>
      <c r="G109" s="1661"/>
      <c r="H109" s="1666">
        <v>1</v>
      </c>
      <c r="I109" s="1649">
        <v>40</v>
      </c>
      <c r="J109" s="1649">
        <f t="shared" si="8"/>
        <v>40</v>
      </c>
      <c r="K109" s="1513"/>
    </row>
    <row r="110" spans="1:11" ht="14.4">
      <c r="A110" s="1639"/>
      <c r="B110" s="1638"/>
      <c r="C110" s="1654" t="s">
        <v>913</v>
      </c>
      <c r="D110" s="1660" t="s">
        <v>1035</v>
      </c>
      <c r="E110" s="1649" t="s">
        <v>1619</v>
      </c>
      <c r="F110" s="1661"/>
      <c r="G110" s="1661"/>
      <c r="H110" s="1666">
        <v>6</v>
      </c>
      <c r="I110" s="1649">
        <v>36</v>
      </c>
      <c r="J110" s="1649">
        <f t="shared" si="8"/>
        <v>216</v>
      </c>
      <c r="K110" s="1513"/>
    </row>
    <row r="111" spans="1:11" ht="14.4">
      <c r="A111" s="1639"/>
      <c r="B111" s="1638"/>
      <c r="C111" s="1654" t="s">
        <v>914</v>
      </c>
      <c r="D111" s="1660" t="s">
        <v>1035</v>
      </c>
      <c r="E111" s="1649" t="s">
        <v>1918</v>
      </c>
      <c r="F111" s="1661"/>
      <c r="G111" s="1661"/>
      <c r="H111" s="1666">
        <v>1</v>
      </c>
      <c r="I111" s="1649">
        <v>185</v>
      </c>
      <c r="J111" s="1649">
        <f t="shared" si="8"/>
        <v>185</v>
      </c>
      <c r="K111" s="1513"/>
    </row>
    <row r="112" spans="1:11" ht="14.4">
      <c r="A112" s="1639"/>
      <c r="B112" s="1638"/>
      <c r="C112" s="1654" t="s">
        <v>296</v>
      </c>
      <c r="D112" s="1660" t="s">
        <v>1035</v>
      </c>
      <c r="E112" s="1649" t="s">
        <v>1919</v>
      </c>
      <c r="F112" s="1661"/>
      <c r="G112" s="1661"/>
      <c r="H112" s="1666">
        <v>2</v>
      </c>
      <c r="I112" s="1649">
        <v>52</v>
      </c>
      <c r="J112" s="1649">
        <f t="shared" si="8"/>
        <v>104</v>
      </c>
      <c r="K112" s="1513"/>
    </row>
    <row r="113" spans="1:11" ht="14.4">
      <c r="A113" s="1639"/>
      <c r="B113" s="1638"/>
      <c r="C113" s="1654" t="s">
        <v>420</v>
      </c>
      <c r="D113" s="1660"/>
      <c r="E113" s="1649" t="s">
        <v>1649</v>
      </c>
      <c r="F113" s="1661"/>
      <c r="G113" s="1661"/>
      <c r="H113" s="1666">
        <v>3</v>
      </c>
      <c r="I113" s="1649">
        <v>36</v>
      </c>
      <c r="J113" s="1649">
        <f t="shared" si="8"/>
        <v>108</v>
      </c>
      <c r="K113" s="1513"/>
    </row>
    <row r="114" spans="1:11" ht="14.4">
      <c r="A114" s="1639"/>
      <c r="B114" s="1638"/>
      <c r="C114" s="1654" t="s">
        <v>799</v>
      </c>
      <c r="D114" s="1660" t="s">
        <v>882</v>
      </c>
      <c r="E114" s="1649" t="s">
        <v>1826</v>
      </c>
      <c r="F114" s="1661"/>
      <c r="G114" s="1661"/>
      <c r="H114" s="1666">
        <v>80</v>
      </c>
      <c r="I114" s="1649">
        <v>5</v>
      </c>
      <c r="J114" s="1649">
        <f t="shared" si="8"/>
        <v>400</v>
      </c>
      <c r="K114" s="1513"/>
    </row>
    <row r="115" spans="1:11" ht="14.4">
      <c r="A115" s="1639"/>
      <c r="B115" s="1638"/>
      <c r="C115" s="1654" t="s">
        <v>1623</v>
      </c>
      <c r="D115" s="1660" t="s">
        <v>882</v>
      </c>
      <c r="E115" s="1649" t="s">
        <v>1920</v>
      </c>
      <c r="F115" s="1661"/>
      <c r="G115" s="1661"/>
      <c r="H115" s="1666">
        <v>10</v>
      </c>
      <c r="I115" s="1649">
        <v>21</v>
      </c>
      <c r="J115" s="1649">
        <f t="shared" si="8"/>
        <v>210</v>
      </c>
      <c r="K115" s="1513"/>
    </row>
    <row r="116" spans="1:11" ht="14.4">
      <c r="A116" s="1639"/>
      <c r="B116" s="1659"/>
      <c r="C116" s="1654" t="s">
        <v>1598</v>
      </c>
      <c r="D116" s="1660"/>
      <c r="E116" s="1652" t="s">
        <v>1651</v>
      </c>
      <c r="F116" s="1661"/>
      <c r="G116" s="1661"/>
      <c r="H116" s="1666">
        <v>6</v>
      </c>
      <c r="I116" s="1649">
        <v>37</v>
      </c>
      <c r="J116" s="1649">
        <f t="shared" si="8"/>
        <v>222</v>
      </c>
      <c r="K116" s="1513"/>
    </row>
    <row r="117" spans="1:11" ht="14.4">
      <c r="A117" s="1639"/>
      <c r="B117" s="1665"/>
      <c r="C117" s="1654" t="s">
        <v>1484</v>
      </c>
      <c r="D117" s="1660">
        <v>2.25</v>
      </c>
      <c r="E117" s="1649">
        <f>+E99</f>
        <v>1.05</v>
      </c>
      <c r="F117" s="1661"/>
      <c r="G117" s="1649">
        <f>+F99</f>
        <v>2.1</v>
      </c>
      <c r="H117" s="1661">
        <f>ROUND(G117*E117*D117,2)</f>
        <v>4.96</v>
      </c>
      <c r="I117" s="1649">
        <f>G15</f>
        <v>577.61900000000003</v>
      </c>
      <c r="J117" s="1649">
        <f>H117*I117/10</f>
        <v>286.49902400000002</v>
      </c>
      <c r="K117" s="1513"/>
    </row>
    <row r="118" spans="1:11" ht="14.4">
      <c r="A118" s="1639"/>
      <c r="B118" s="1665"/>
      <c r="C118" s="1654" t="s">
        <v>230</v>
      </c>
      <c r="D118" s="1660"/>
      <c r="E118" s="1649"/>
      <c r="F118" s="1661"/>
      <c r="G118" s="1661"/>
      <c r="H118" s="1666">
        <v>1</v>
      </c>
      <c r="I118" s="1649">
        <v>75</v>
      </c>
      <c r="J118" s="1649">
        <f>H118*I118</f>
        <v>75</v>
      </c>
      <c r="K118" s="1513"/>
    </row>
    <row r="119" spans="1:11" ht="14.4">
      <c r="A119" s="1639"/>
      <c r="B119" s="1665"/>
      <c r="C119" s="1654"/>
      <c r="D119" s="1660"/>
      <c r="E119" s="1649"/>
      <c r="F119" s="1661"/>
      <c r="G119" s="1661"/>
      <c r="H119" s="1661"/>
      <c r="I119" s="1649"/>
      <c r="J119" s="1649">
        <f>SUM(J101:J118)</f>
        <v>13380.029023999999</v>
      </c>
      <c r="K119" s="1513"/>
    </row>
    <row r="120" spans="1:11" s="1520" customFormat="1" ht="14.4">
      <c r="A120" s="1639"/>
      <c r="B120" s="1667"/>
      <c r="C120" s="1654" t="s">
        <v>1600</v>
      </c>
      <c r="D120" s="1664"/>
      <c r="E120" s="1658"/>
      <c r="F120" s="1662"/>
      <c r="G120" s="1662"/>
      <c r="H120" s="1662">
        <f>J119</f>
        <v>13380.029023999999</v>
      </c>
      <c r="I120" s="1658">
        <f>I6</f>
        <v>0</v>
      </c>
      <c r="J120" s="1658">
        <f>ROUND(H120*I120,2)</f>
        <v>0</v>
      </c>
      <c r="K120" s="1523"/>
    </row>
    <row r="121" spans="1:11" s="1520" customFormat="1" ht="14.4">
      <c r="A121" s="1639"/>
      <c r="B121" s="1667"/>
      <c r="C121" s="1639" t="s">
        <v>256</v>
      </c>
      <c r="D121" s="1664"/>
      <c r="E121" s="1658"/>
      <c r="F121" s="1662"/>
      <c r="G121" s="1662"/>
      <c r="H121" s="1662"/>
      <c r="I121" s="1658" t="s">
        <v>416</v>
      </c>
      <c r="J121" s="1658">
        <f>SUM(J119:J120)</f>
        <v>13380.029023999999</v>
      </c>
      <c r="K121" s="1523"/>
    </row>
    <row r="122" spans="1:11" ht="14.4">
      <c r="A122" s="1639"/>
      <c r="B122" s="1665"/>
      <c r="C122" s="1639" t="s">
        <v>1294</v>
      </c>
      <c r="D122" s="1664"/>
      <c r="E122" s="1658"/>
      <c r="F122" s="1661"/>
      <c r="G122" s="1661"/>
      <c r="H122" s="1661"/>
      <c r="I122" s="1649"/>
      <c r="J122" s="1649"/>
      <c r="K122" s="1513"/>
    </row>
    <row r="123" spans="1:11" ht="14.4">
      <c r="A123" s="1639"/>
      <c r="B123" s="1665"/>
      <c r="C123" s="1654" t="s">
        <v>779</v>
      </c>
      <c r="D123" s="1660"/>
      <c r="E123" s="1649"/>
      <c r="F123" s="1661"/>
      <c r="G123" s="1661"/>
      <c r="H123" s="1661"/>
      <c r="I123" s="1649"/>
      <c r="J123" s="1649"/>
      <c r="K123" s="1513"/>
    </row>
    <row r="124" spans="1:11" ht="14.4">
      <c r="A124" s="1639"/>
      <c r="B124" s="1665"/>
      <c r="C124" s="1654" t="s">
        <v>780</v>
      </c>
      <c r="D124" s="1660">
        <v>2</v>
      </c>
      <c r="E124" s="1649">
        <v>2.1</v>
      </c>
      <c r="F124" s="1661">
        <v>0.1</v>
      </c>
      <c r="G124" s="1661">
        <v>7.4999999999999997E-2</v>
      </c>
      <c r="H124" s="1661">
        <f>ROUND(D124*E124*F124*G124,3)</f>
        <v>3.2000000000000001E-2</v>
      </c>
      <c r="I124" s="1649">
        <f>I102</f>
        <v>52615</v>
      </c>
      <c r="J124" s="1649">
        <f>ROUND(H124*I124,2)</f>
        <v>1683.68</v>
      </c>
      <c r="K124" s="1513"/>
    </row>
    <row r="125" spans="1:11" ht="14.4">
      <c r="A125" s="1639"/>
      <c r="B125" s="1665"/>
      <c r="C125" s="1654" t="s">
        <v>781</v>
      </c>
      <c r="D125" s="1660">
        <v>1</v>
      </c>
      <c r="E125" s="1649">
        <v>1.2</v>
      </c>
      <c r="F125" s="1661">
        <v>0.1</v>
      </c>
      <c r="G125" s="1661">
        <v>7.4999999999999997E-2</v>
      </c>
      <c r="H125" s="1661">
        <f>ROUND(D125*E125*F125*G125,3)</f>
        <v>8.9999999999999993E-3</v>
      </c>
      <c r="I125" s="1649">
        <f>I124</f>
        <v>52615</v>
      </c>
      <c r="J125" s="1649">
        <f>ROUND(H125*I125,2)</f>
        <v>473.54</v>
      </c>
      <c r="K125" s="1513"/>
    </row>
    <row r="126" spans="1:11" ht="43.2">
      <c r="A126" s="1639"/>
      <c r="B126" s="1665"/>
      <c r="C126" s="1654" t="s">
        <v>2983</v>
      </c>
      <c r="D126" s="1660">
        <f>2/3</f>
        <v>0.66666666666666663</v>
      </c>
      <c r="E126" s="1649">
        <f>+E99</f>
        <v>1.05</v>
      </c>
      <c r="F126" s="1661">
        <f>F99</f>
        <v>2.1</v>
      </c>
      <c r="G126" s="1661"/>
      <c r="H126" s="1661">
        <f>+D126*E126*F126</f>
        <v>1.47</v>
      </c>
      <c r="I126" s="1649">
        <v>2019</v>
      </c>
      <c r="J126" s="1649">
        <f>ROUND(H126*I126,2)</f>
        <v>2967.93</v>
      </c>
      <c r="K126" s="1513">
        <f>2*1.05*2.1/3</f>
        <v>1.47</v>
      </c>
    </row>
    <row r="127" spans="1:11" ht="14.4">
      <c r="A127" s="1639"/>
      <c r="B127" s="1665"/>
      <c r="C127" s="1654" t="s">
        <v>1484</v>
      </c>
      <c r="D127" s="1660" t="s">
        <v>539</v>
      </c>
      <c r="E127" s="1649">
        <v>1.05</v>
      </c>
      <c r="F127" s="1661"/>
      <c r="G127" s="1661">
        <v>2.1</v>
      </c>
      <c r="H127" s="1661">
        <f>ROUND(G127*E127*2.25/3,2)</f>
        <v>1.65</v>
      </c>
      <c r="I127" s="1649">
        <f>G15</f>
        <v>577.61900000000003</v>
      </c>
      <c r="J127" s="1649">
        <f>ROUND(H127*I127/10,2)</f>
        <v>95.31</v>
      </c>
      <c r="K127" s="1513"/>
    </row>
    <row r="128" spans="1:11" ht="14.4">
      <c r="A128" s="1639"/>
      <c r="B128" s="1659"/>
      <c r="C128" s="1654" t="s">
        <v>1598</v>
      </c>
      <c r="D128" s="1660"/>
      <c r="E128" s="1652" t="s">
        <v>1651</v>
      </c>
      <c r="F128" s="1661"/>
      <c r="G128" s="1661"/>
      <c r="H128" s="1666">
        <v>6</v>
      </c>
      <c r="I128" s="1649">
        <v>37</v>
      </c>
      <c r="J128" s="1649">
        <f>ROUND(H128*I128,2)</f>
        <v>222</v>
      </c>
      <c r="K128" s="1513"/>
    </row>
    <row r="129" spans="1:11" ht="14.4">
      <c r="A129" s="1639"/>
      <c r="B129" s="1665"/>
      <c r="C129" s="1654" t="s">
        <v>230</v>
      </c>
      <c r="D129" s="1660"/>
      <c r="E129" s="1649"/>
      <c r="F129" s="1661"/>
      <c r="G129" s="1661"/>
      <c r="H129" s="1666">
        <v>1</v>
      </c>
      <c r="I129" s="1649">
        <v>50</v>
      </c>
      <c r="J129" s="1649">
        <f>ROUND(H129*I129,2)</f>
        <v>50</v>
      </c>
      <c r="K129" s="1513"/>
    </row>
    <row r="130" spans="1:11" ht="14.4">
      <c r="A130" s="1639"/>
      <c r="B130" s="1665"/>
      <c r="C130" s="1654"/>
      <c r="D130" s="1660"/>
      <c r="E130" s="1649"/>
      <c r="F130" s="1661"/>
      <c r="G130" s="1661"/>
      <c r="H130" s="1661"/>
      <c r="I130" s="1649"/>
      <c r="J130" s="1649">
        <f>SUM(J124:J129)</f>
        <v>5492.46</v>
      </c>
      <c r="K130" s="1513"/>
    </row>
    <row r="131" spans="1:11" s="1520" customFormat="1" ht="14.4">
      <c r="A131" s="1639"/>
      <c r="B131" s="1667"/>
      <c r="C131" s="1654" t="s">
        <v>1600</v>
      </c>
      <c r="D131" s="1664"/>
      <c r="E131" s="1658"/>
      <c r="F131" s="1662"/>
      <c r="G131" s="1662"/>
      <c r="H131" s="1662">
        <f>J130</f>
        <v>5492.46</v>
      </c>
      <c r="I131" s="1658">
        <f>I6</f>
        <v>0</v>
      </c>
      <c r="J131" s="1649">
        <f>ROUND(H131*I131,2)</f>
        <v>0</v>
      </c>
      <c r="K131" s="1523"/>
    </row>
    <row r="132" spans="1:11" s="1520" customFormat="1" ht="28.8">
      <c r="A132" s="1639" t="s">
        <v>542</v>
      </c>
      <c r="B132" s="1667"/>
      <c r="C132" s="1639" t="s">
        <v>1295</v>
      </c>
      <c r="D132" s="1664"/>
      <c r="E132" s="1658"/>
      <c r="F132" s="1662"/>
      <c r="G132" s="1662"/>
      <c r="H132" s="1662"/>
      <c r="I132" s="1658" t="s">
        <v>1486</v>
      </c>
      <c r="J132" s="1658">
        <f>SUM(J130:J131)</f>
        <v>5492.46</v>
      </c>
      <c r="K132" s="1523"/>
    </row>
    <row r="133" spans="1:11" s="1520" customFormat="1" ht="14.4">
      <c r="A133" s="1639"/>
      <c r="B133" s="1667"/>
      <c r="C133" s="1639" t="s">
        <v>1296</v>
      </c>
      <c r="D133" s="1664"/>
      <c r="E133" s="1658"/>
      <c r="F133" s="1662"/>
      <c r="G133" s="1662"/>
      <c r="H133" s="1662"/>
      <c r="I133" s="1658" t="s">
        <v>1486</v>
      </c>
      <c r="J133" s="1658">
        <f>J121-J132</f>
        <v>7887.5690239999994</v>
      </c>
      <c r="K133" s="1523"/>
    </row>
    <row r="134" spans="1:11" ht="129.6">
      <c r="A134" s="1639"/>
      <c r="B134" s="1659">
        <v>5</v>
      </c>
      <c r="C134" s="1654" t="s">
        <v>1828</v>
      </c>
      <c r="D134" s="1660"/>
      <c r="E134" s="1649"/>
      <c r="F134" s="1661"/>
      <c r="G134" s="1661"/>
      <c r="H134" s="1661"/>
      <c r="I134" s="1649"/>
      <c r="J134" s="1649"/>
      <c r="K134" s="1513"/>
    </row>
    <row r="135" spans="1:11" ht="14.4">
      <c r="A135" s="1639"/>
      <c r="B135" s="1665"/>
      <c r="C135" s="1639" t="s">
        <v>1297</v>
      </c>
      <c r="D135" s="1664"/>
      <c r="E135" s="1658">
        <v>1.2</v>
      </c>
      <c r="F135" s="1661">
        <v>2.1</v>
      </c>
      <c r="G135" s="1661"/>
      <c r="H135" s="1661"/>
      <c r="I135" s="1649"/>
      <c r="J135" s="1649"/>
      <c r="K135" s="1513"/>
    </row>
    <row r="136" spans="1:11" ht="14.4">
      <c r="A136" s="1639"/>
      <c r="B136" s="1665"/>
      <c r="C136" s="1654" t="s">
        <v>779</v>
      </c>
      <c r="D136" s="1660"/>
      <c r="E136" s="1649"/>
      <c r="F136" s="1661"/>
      <c r="G136" s="1661"/>
      <c r="H136" s="1661"/>
      <c r="I136" s="1649"/>
      <c r="J136" s="1649"/>
      <c r="K136" s="1513"/>
    </row>
    <row r="137" spans="1:11" ht="14.4">
      <c r="A137" s="1639"/>
      <c r="B137" s="1665"/>
      <c r="C137" s="1654" t="s">
        <v>780</v>
      </c>
      <c r="D137" s="1660">
        <v>2</v>
      </c>
      <c r="E137" s="1649">
        <v>2.1</v>
      </c>
      <c r="F137" s="1661">
        <v>0.1</v>
      </c>
      <c r="G137" s="1661">
        <v>7.4999999999999997E-2</v>
      </c>
      <c r="H137" s="1661">
        <f>ROUND(D137*E137*F137*G137,3)</f>
        <v>3.2000000000000001E-2</v>
      </c>
      <c r="I137" s="1649">
        <v>52615</v>
      </c>
      <c r="J137" s="1649">
        <f t="shared" ref="J137:J142" si="9">ROUND(H137*I137,2)</f>
        <v>1683.68</v>
      </c>
      <c r="K137" s="1513"/>
    </row>
    <row r="138" spans="1:11" ht="14.4">
      <c r="A138" s="1639"/>
      <c r="B138" s="1665"/>
      <c r="C138" s="1654" t="s">
        <v>781</v>
      </c>
      <c r="D138" s="1660">
        <v>1</v>
      </c>
      <c r="E138" s="1649">
        <v>1.35</v>
      </c>
      <c r="F138" s="1661">
        <v>0.1</v>
      </c>
      <c r="G138" s="1661">
        <v>7.4999999999999997E-2</v>
      </c>
      <c r="H138" s="1661">
        <f>ROUND(D138*E138*F138*G138,3)</f>
        <v>0.01</v>
      </c>
      <c r="I138" s="1649">
        <f>I137</f>
        <v>52615</v>
      </c>
      <c r="J138" s="1649">
        <f t="shared" si="9"/>
        <v>526.15</v>
      </c>
      <c r="K138" s="1513"/>
    </row>
    <row r="139" spans="1:11" ht="14.4">
      <c r="A139" s="1639"/>
      <c r="B139" s="1665"/>
      <c r="C139" s="1654" t="s">
        <v>782</v>
      </c>
      <c r="D139" s="1660">
        <v>4</v>
      </c>
      <c r="E139" s="1649">
        <f>(2.1-1*0.075-0.075)+1*0.015</f>
        <v>1.9649999999999999</v>
      </c>
      <c r="F139" s="1661">
        <v>0.1</v>
      </c>
      <c r="G139" s="1661">
        <f>1.25*25.4/1000</f>
        <v>3.175E-2</v>
      </c>
      <c r="H139" s="1661">
        <f>ROUND(D139*E139*F139*G139,3)</f>
        <v>2.5000000000000001E-2</v>
      </c>
      <c r="I139" s="1649">
        <v>70153</v>
      </c>
      <c r="J139" s="1649">
        <f t="shared" si="9"/>
        <v>1753.83</v>
      </c>
      <c r="K139" s="1513"/>
    </row>
    <row r="140" spans="1:11" ht="14.4">
      <c r="A140" s="1639"/>
      <c r="B140" s="1665"/>
      <c r="C140" s="1654" t="s">
        <v>783</v>
      </c>
      <c r="D140" s="1660" t="s">
        <v>791</v>
      </c>
      <c r="E140" s="1649">
        <f>(1.2-2*0.075+2*0.015)/2</f>
        <v>0.54</v>
      </c>
      <c r="F140" s="1661">
        <v>0.1</v>
      </c>
      <c r="G140" s="1661">
        <f>1.25*25.4/1000</f>
        <v>3.175E-2</v>
      </c>
      <c r="H140" s="1661">
        <f>ROUND(12*E140*F140*G140,3)</f>
        <v>2.1000000000000001E-2</v>
      </c>
      <c r="I140" s="1649">
        <f>I139</f>
        <v>70153</v>
      </c>
      <c r="J140" s="1649">
        <f t="shared" si="9"/>
        <v>1473.21</v>
      </c>
      <c r="K140" s="1513"/>
    </row>
    <row r="141" spans="1:11" ht="14.4">
      <c r="A141" s="1639"/>
      <c r="B141" s="1665"/>
      <c r="C141" s="1654" t="s">
        <v>1481</v>
      </c>
      <c r="D141" s="1660" t="s">
        <v>792</v>
      </c>
      <c r="E141" s="1649">
        <f>(1.2-2*0.075+2*0.015)/2-2*0.1+2*0.025</f>
        <v>0.39</v>
      </c>
      <c r="F141" s="1661">
        <f>(2.1-2*0.075+1*0.015-6*0.1)/5+2*0.025</f>
        <v>0.32300000000000001</v>
      </c>
      <c r="G141" s="1661">
        <v>2.5000000000000001E-2</v>
      </c>
      <c r="H141" s="1661">
        <f>ROUND(10*E141*F141*G141,3)</f>
        <v>3.1E-2</v>
      </c>
      <c r="I141" s="1649">
        <f>I140</f>
        <v>70153</v>
      </c>
      <c r="J141" s="1649">
        <f t="shared" si="9"/>
        <v>2174.7399999999998</v>
      </c>
      <c r="K141" s="1513"/>
    </row>
    <row r="142" spans="1:11" ht="43.2">
      <c r="A142" s="1639"/>
      <c r="B142" s="1665"/>
      <c r="C142" s="1654" t="s">
        <v>2983</v>
      </c>
      <c r="D142" s="1660">
        <v>1</v>
      </c>
      <c r="E142" s="1649">
        <f>+E135</f>
        <v>1.2</v>
      </c>
      <c r="F142" s="1661">
        <f>+F135</f>
        <v>2.1</v>
      </c>
      <c r="G142" s="1661"/>
      <c r="H142" s="1661">
        <f>+D142*E142*F142</f>
        <v>2.52</v>
      </c>
      <c r="I142" s="1649">
        <v>2239</v>
      </c>
      <c r="J142" s="1649">
        <f t="shared" si="9"/>
        <v>5642.28</v>
      </c>
      <c r="K142" s="1513"/>
    </row>
    <row r="143" spans="1:11" ht="43.2">
      <c r="A143" s="1639" t="s">
        <v>787</v>
      </c>
      <c r="B143" s="1638"/>
      <c r="C143" s="1654" t="s">
        <v>788</v>
      </c>
      <c r="D143" s="1660"/>
      <c r="E143" s="1649"/>
      <c r="F143" s="1661"/>
      <c r="G143" s="1662"/>
      <c r="H143" s="1662"/>
      <c r="I143" s="1649"/>
      <c r="J143" s="1649"/>
      <c r="K143" s="1513"/>
    </row>
    <row r="144" spans="1:11" ht="14.4">
      <c r="A144" s="1639"/>
      <c r="B144" s="1638"/>
      <c r="C144" s="1654" t="s">
        <v>911</v>
      </c>
      <c r="D144" s="1660" t="s">
        <v>1035</v>
      </c>
      <c r="E144" s="1649" t="s">
        <v>1617</v>
      </c>
      <c r="F144" s="1661"/>
      <c r="G144" s="1661"/>
      <c r="H144" s="1666">
        <v>2</v>
      </c>
      <c r="I144" s="1649">
        <v>80</v>
      </c>
      <c r="J144" s="1649">
        <f t="shared" ref="J144:J152" si="10">ROUND(H144*I144,2)</f>
        <v>160</v>
      </c>
      <c r="K144" s="1513"/>
    </row>
    <row r="145" spans="1:11" ht="14.4">
      <c r="A145" s="1639"/>
      <c r="B145" s="1638"/>
      <c r="C145" s="1654" t="s">
        <v>912</v>
      </c>
      <c r="D145" s="1660" t="s">
        <v>1035</v>
      </c>
      <c r="E145" s="1649" t="s">
        <v>1618</v>
      </c>
      <c r="F145" s="1661"/>
      <c r="G145" s="1661"/>
      <c r="H145" s="1666">
        <v>1</v>
      </c>
      <c r="I145" s="1649">
        <v>42</v>
      </c>
      <c r="J145" s="1649">
        <f t="shared" si="10"/>
        <v>42</v>
      </c>
      <c r="K145" s="1513"/>
    </row>
    <row r="146" spans="1:11" ht="14.4">
      <c r="A146" s="1639"/>
      <c r="B146" s="1638"/>
      <c r="C146" s="1654" t="s">
        <v>913</v>
      </c>
      <c r="D146" s="1660" t="s">
        <v>1035</v>
      </c>
      <c r="E146" s="1649" t="s">
        <v>1619</v>
      </c>
      <c r="F146" s="1661"/>
      <c r="G146" s="1661"/>
      <c r="H146" s="1666">
        <v>6</v>
      </c>
      <c r="I146" s="1649">
        <v>38</v>
      </c>
      <c r="J146" s="1649">
        <f t="shared" si="10"/>
        <v>228</v>
      </c>
      <c r="K146" s="1513"/>
    </row>
    <row r="147" spans="1:11" ht="14.4">
      <c r="A147" s="1639"/>
      <c r="B147" s="1638"/>
      <c r="C147" s="1654" t="s">
        <v>914</v>
      </c>
      <c r="D147" s="1660" t="s">
        <v>1035</v>
      </c>
      <c r="E147" s="1649" t="s">
        <v>1918</v>
      </c>
      <c r="F147" s="1661"/>
      <c r="G147" s="1661"/>
      <c r="H147" s="1666">
        <v>1</v>
      </c>
      <c r="I147" s="1649">
        <v>192</v>
      </c>
      <c r="J147" s="1649">
        <f t="shared" si="10"/>
        <v>192</v>
      </c>
      <c r="K147" s="1513"/>
    </row>
    <row r="148" spans="1:11" ht="14.4">
      <c r="A148" s="1639"/>
      <c r="B148" s="1638"/>
      <c r="C148" s="1654" t="s">
        <v>296</v>
      </c>
      <c r="D148" s="1660" t="s">
        <v>1035</v>
      </c>
      <c r="E148" s="1649" t="s">
        <v>1919</v>
      </c>
      <c r="F148" s="1661"/>
      <c r="G148" s="1661"/>
      <c r="H148" s="1666">
        <v>2</v>
      </c>
      <c r="I148" s="1649">
        <v>54</v>
      </c>
      <c r="J148" s="1649">
        <f t="shared" si="10"/>
        <v>108</v>
      </c>
      <c r="K148" s="1513"/>
    </row>
    <row r="149" spans="1:11" ht="14.4">
      <c r="A149" s="1639"/>
      <c r="B149" s="1638"/>
      <c r="C149" s="1654" t="s">
        <v>420</v>
      </c>
      <c r="D149" s="1660"/>
      <c r="E149" s="1649" t="s">
        <v>1649</v>
      </c>
      <c r="F149" s="1661"/>
      <c r="G149" s="1661"/>
      <c r="H149" s="1666">
        <v>3</v>
      </c>
      <c r="I149" s="1649">
        <v>38</v>
      </c>
      <c r="J149" s="1649">
        <f t="shared" si="10"/>
        <v>114</v>
      </c>
      <c r="K149" s="1513"/>
    </row>
    <row r="150" spans="1:11" ht="14.4">
      <c r="A150" s="1639"/>
      <c r="B150" s="1638"/>
      <c r="C150" s="1654" t="s">
        <v>799</v>
      </c>
      <c r="D150" s="1660" t="s">
        <v>882</v>
      </c>
      <c r="E150" s="1649" t="s">
        <v>1826</v>
      </c>
      <c r="F150" s="1661"/>
      <c r="G150" s="1661"/>
      <c r="H150" s="1666">
        <v>80</v>
      </c>
      <c r="I150" s="1649">
        <v>6</v>
      </c>
      <c r="J150" s="1649">
        <f t="shared" si="10"/>
        <v>480</v>
      </c>
      <c r="K150" s="1513"/>
    </row>
    <row r="151" spans="1:11" ht="14.4">
      <c r="A151" s="1639"/>
      <c r="B151" s="1638"/>
      <c r="C151" s="1654" t="s">
        <v>231</v>
      </c>
      <c r="D151" s="1660" t="s">
        <v>882</v>
      </c>
      <c r="E151" s="1649" t="s">
        <v>1920</v>
      </c>
      <c r="F151" s="1661"/>
      <c r="G151" s="1661"/>
      <c r="H151" s="1666">
        <v>10</v>
      </c>
      <c r="I151" s="1649">
        <v>15</v>
      </c>
      <c r="J151" s="1649">
        <f t="shared" si="10"/>
        <v>150</v>
      </c>
      <c r="K151" s="1513"/>
    </row>
    <row r="152" spans="1:11" ht="14.4">
      <c r="A152" s="1639"/>
      <c r="B152" s="1659"/>
      <c r="C152" s="1654" t="s">
        <v>1598</v>
      </c>
      <c r="D152" s="1660"/>
      <c r="E152" s="1652" t="s">
        <v>1651</v>
      </c>
      <c r="F152" s="1661"/>
      <c r="G152" s="1661"/>
      <c r="H152" s="1666">
        <v>6</v>
      </c>
      <c r="I152" s="1649">
        <v>39</v>
      </c>
      <c r="J152" s="1649">
        <f t="shared" si="10"/>
        <v>234</v>
      </c>
      <c r="K152" s="1513"/>
    </row>
    <row r="153" spans="1:11" ht="14.4">
      <c r="A153" s="1639"/>
      <c r="B153" s="1665"/>
      <c r="C153" s="1654" t="s">
        <v>1484</v>
      </c>
      <c r="D153" s="1660">
        <v>2.25</v>
      </c>
      <c r="E153" s="1649">
        <v>1.2</v>
      </c>
      <c r="F153" s="1661"/>
      <c r="G153" s="1649">
        <v>2.1</v>
      </c>
      <c r="H153" s="1661">
        <f>ROUND(G153*E153*D153,2)</f>
        <v>5.67</v>
      </c>
      <c r="I153" s="1649">
        <f>+G15</f>
        <v>577.61900000000003</v>
      </c>
      <c r="J153" s="1649">
        <f>H153*I153/10</f>
        <v>327.509973</v>
      </c>
      <c r="K153" s="1513"/>
    </row>
    <row r="154" spans="1:11" ht="14.4">
      <c r="A154" s="1639"/>
      <c r="B154" s="1665"/>
      <c r="C154" s="1654" t="s">
        <v>230</v>
      </c>
      <c r="D154" s="1660"/>
      <c r="E154" s="1649"/>
      <c r="F154" s="1661"/>
      <c r="G154" s="1661"/>
      <c r="H154" s="1666">
        <v>1</v>
      </c>
      <c r="I154" s="1649">
        <v>100</v>
      </c>
      <c r="J154" s="1649">
        <f>ROUND(H154*I154,2)</f>
        <v>100</v>
      </c>
      <c r="K154" s="1513"/>
    </row>
    <row r="155" spans="1:11" ht="14.4">
      <c r="A155" s="1639"/>
      <c r="B155" s="1665"/>
      <c r="C155" s="1654"/>
      <c r="D155" s="1660"/>
      <c r="E155" s="1649"/>
      <c r="F155" s="1661"/>
      <c r="G155" s="1661"/>
      <c r="H155" s="1661"/>
      <c r="I155" s="1649"/>
      <c r="J155" s="1649">
        <f>SUM(J137:J154)</f>
        <v>15389.399973</v>
      </c>
      <c r="K155" s="1513"/>
    </row>
    <row r="156" spans="1:11" s="1520" customFormat="1" ht="14.4">
      <c r="A156" s="1639"/>
      <c r="B156" s="1667"/>
      <c r="C156" s="1654" t="s">
        <v>1600</v>
      </c>
      <c r="D156" s="1664"/>
      <c r="E156" s="1658"/>
      <c r="F156" s="1662"/>
      <c r="G156" s="1662"/>
      <c r="H156" s="1662">
        <f>J155</f>
        <v>15389.399973</v>
      </c>
      <c r="I156" s="1658">
        <f>I6</f>
        <v>0</v>
      </c>
      <c r="J156" s="1658">
        <f>ROUND(H156*I156,2)</f>
        <v>0</v>
      </c>
      <c r="K156" s="1523"/>
    </row>
    <row r="157" spans="1:11" s="1520" customFormat="1" ht="14.4">
      <c r="A157" s="1639"/>
      <c r="B157" s="1667"/>
      <c r="C157" s="1639" t="s">
        <v>256</v>
      </c>
      <c r="D157" s="1664"/>
      <c r="E157" s="1658"/>
      <c r="F157" s="1662"/>
      <c r="G157" s="1662"/>
      <c r="H157" s="1662"/>
      <c r="I157" s="1658" t="s">
        <v>416</v>
      </c>
      <c r="J157" s="1658">
        <f>SUM(J155:J156)</f>
        <v>15389.399973</v>
      </c>
      <c r="K157" s="1523"/>
    </row>
    <row r="158" spans="1:11" ht="14.4">
      <c r="A158" s="1639"/>
      <c r="B158" s="1665"/>
      <c r="C158" s="1639" t="s">
        <v>1298</v>
      </c>
      <c r="D158" s="1664"/>
      <c r="E158" s="1658"/>
      <c r="F158" s="1661"/>
      <c r="G158" s="1661"/>
      <c r="H158" s="1661"/>
      <c r="I158" s="1649"/>
      <c r="J158" s="1649"/>
      <c r="K158" s="1513"/>
    </row>
    <row r="159" spans="1:11" ht="14.4">
      <c r="A159" s="1639"/>
      <c r="B159" s="1665"/>
      <c r="C159" s="1654" t="s">
        <v>779</v>
      </c>
      <c r="D159" s="1660"/>
      <c r="E159" s="1649"/>
      <c r="F159" s="1661"/>
      <c r="G159" s="1661"/>
      <c r="H159" s="1661"/>
      <c r="I159" s="1649"/>
      <c r="J159" s="1649"/>
      <c r="K159" s="1513"/>
    </row>
    <row r="160" spans="1:11" ht="14.4">
      <c r="A160" s="1639"/>
      <c r="B160" s="1665"/>
      <c r="C160" s="1654" t="s">
        <v>780</v>
      </c>
      <c r="D160" s="1660">
        <v>2</v>
      </c>
      <c r="E160" s="1649">
        <v>2.1</v>
      </c>
      <c r="F160" s="1661">
        <v>0.1</v>
      </c>
      <c r="G160" s="1661">
        <v>7.4999999999999997E-2</v>
      </c>
      <c r="H160" s="1661">
        <f>ROUND(D160*E160*F160*G160,3)</f>
        <v>3.2000000000000001E-2</v>
      </c>
      <c r="I160" s="1649">
        <f>I137</f>
        <v>52615</v>
      </c>
      <c r="J160" s="1661">
        <f>ROUND(H160*I160,2)</f>
        <v>1683.68</v>
      </c>
      <c r="K160" s="1513"/>
    </row>
    <row r="161" spans="1:11" ht="14.4">
      <c r="A161" s="1639"/>
      <c r="B161" s="1665"/>
      <c r="C161" s="1654" t="s">
        <v>781</v>
      </c>
      <c r="D161" s="1660">
        <v>1</v>
      </c>
      <c r="E161" s="1649">
        <v>1.35</v>
      </c>
      <c r="F161" s="1661">
        <v>0.1</v>
      </c>
      <c r="G161" s="1661">
        <v>7.4999999999999997E-2</v>
      </c>
      <c r="H161" s="1661">
        <f>ROUND(D161*E161*F161*G161,3)</f>
        <v>0.01</v>
      </c>
      <c r="I161" s="1649">
        <f>I160</f>
        <v>52615</v>
      </c>
      <c r="J161" s="1661">
        <f>ROUND(H161*I161,2)</f>
        <v>526.15</v>
      </c>
      <c r="K161" s="1513"/>
    </row>
    <row r="162" spans="1:11" ht="43.2">
      <c r="A162" s="1639"/>
      <c r="B162" s="1665"/>
      <c r="C162" s="1654" t="s">
        <v>2983</v>
      </c>
      <c r="D162" s="1649">
        <f>1/3</f>
        <v>0.33333333333333331</v>
      </c>
      <c r="E162" s="1649">
        <f>+E135</f>
        <v>1.2</v>
      </c>
      <c r="F162" s="1661">
        <f>F135</f>
        <v>2.1</v>
      </c>
      <c r="G162" s="1661"/>
      <c r="H162" s="1661">
        <f>+D162*E162*F162</f>
        <v>0.84</v>
      </c>
      <c r="I162" s="1649">
        <f>+I142</f>
        <v>2239</v>
      </c>
      <c r="J162" s="1649">
        <f>ROUND(H162*I162,2)</f>
        <v>1880.76</v>
      </c>
      <c r="K162" s="1513"/>
    </row>
    <row r="163" spans="1:11" ht="14.4">
      <c r="A163" s="1639"/>
      <c r="B163" s="1659"/>
      <c r="C163" s="1654" t="s">
        <v>1598</v>
      </c>
      <c r="D163" s="1660"/>
      <c r="E163" s="1652" t="s">
        <v>1651</v>
      </c>
      <c r="F163" s="1661"/>
      <c r="G163" s="1661"/>
      <c r="H163" s="1666">
        <v>6</v>
      </c>
      <c r="I163" s="1649">
        <v>39</v>
      </c>
      <c r="J163" s="1649">
        <f>ROUND(H163*I163,2)</f>
        <v>234</v>
      </c>
      <c r="K163" s="1513"/>
    </row>
    <row r="164" spans="1:11" ht="14.4">
      <c r="A164" s="1639"/>
      <c r="B164" s="1665"/>
      <c r="C164" s="1654" t="s">
        <v>230</v>
      </c>
      <c r="D164" s="1660"/>
      <c r="E164" s="1649"/>
      <c r="F164" s="1661"/>
      <c r="G164" s="1661"/>
      <c r="H164" s="1666">
        <v>1</v>
      </c>
      <c r="I164" s="1649">
        <v>60</v>
      </c>
      <c r="J164" s="1649">
        <f>H164*I164</f>
        <v>60</v>
      </c>
      <c r="K164" s="1513"/>
    </row>
    <row r="165" spans="1:11" ht="14.4">
      <c r="A165" s="1639"/>
      <c r="B165" s="1665"/>
      <c r="C165" s="1654"/>
      <c r="D165" s="1660"/>
      <c r="E165" s="1649"/>
      <c r="F165" s="1661"/>
      <c r="G165" s="1661"/>
      <c r="H165" s="1661"/>
      <c r="I165" s="1649"/>
      <c r="J165" s="1649">
        <f>SUM(J160:J164)</f>
        <v>4384.59</v>
      </c>
      <c r="K165" s="1513"/>
    </row>
    <row r="166" spans="1:11" s="1520" customFormat="1" ht="14.4">
      <c r="A166" s="1639"/>
      <c r="B166" s="1667"/>
      <c r="C166" s="1654" t="s">
        <v>1600</v>
      </c>
      <c r="D166" s="1664"/>
      <c r="E166" s="1658"/>
      <c r="F166" s="1662"/>
      <c r="G166" s="1662"/>
      <c r="H166" s="1662">
        <f>J165</f>
        <v>4384.59</v>
      </c>
      <c r="I166" s="1658">
        <f>+I6</f>
        <v>0</v>
      </c>
      <c r="J166" s="1658">
        <f>ROUND(H166*I166,2)</f>
        <v>0</v>
      </c>
      <c r="K166" s="1523"/>
    </row>
    <row r="167" spans="1:11" s="1520" customFormat="1" ht="28.8">
      <c r="A167" s="1639" t="s">
        <v>542</v>
      </c>
      <c r="B167" s="1667"/>
      <c r="C167" s="1639" t="s">
        <v>1299</v>
      </c>
      <c r="D167" s="1664"/>
      <c r="E167" s="1658"/>
      <c r="F167" s="1662"/>
      <c r="G167" s="1662"/>
      <c r="H167" s="1662"/>
      <c r="I167" s="1658" t="s">
        <v>1486</v>
      </c>
      <c r="J167" s="1658">
        <f>SUM(J165:J166)</f>
        <v>4384.59</v>
      </c>
      <c r="K167" s="1523"/>
    </row>
    <row r="168" spans="1:11" s="1520" customFormat="1" ht="14.4">
      <c r="A168" s="1639"/>
      <c r="B168" s="1667"/>
      <c r="C168" s="1639" t="s">
        <v>1300</v>
      </c>
      <c r="D168" s="1664"/>
      <c r="E168" s="1658"/>
      <c r="F168" s="1662"/>
      <c r="G168" s="1662"/>
      <c r="H168" s="1662"/>
      <c r="I168" s="1658" t="s">
        <v>1486</v>
      </c>
      <c r="J168" s="1658">
        <f>J157-J167</f>
        <v>11004.809972999999</v>
      </c>
      <c r="K168" s="1523"/>
    </row>
    <row r="169" spans="1:11" ht="129.6" hidden="1">
      <c r="A169" s="1639"/>
      <c r="B169" s="1659">
        <v>6</v>
      </c>
      <c r="C169" s="1654" t="s">
        <v>2269</v>
      </c>
      <c r="D169" s="1660"/>
      <c r="E169" s="1649"/>
      <c r="F169" s="1661"/>
      <c r="G169" s="1661"/>
      <c r="H169" s="1661"/>
      <c r="I169" s="1649"/>
      <c r="J169" s="1649"/>
      <c r="K169" s="1513"/>
    </row>
    <row r="170" spans="1:11" ht="14.4" hidden="1">
      <c r="A170" s="1639"/>
      <c r="B170" s="1665"/>
      <c r="C170" s="1639" t="s">
        <v>2228</v>
      </c>
      <c r="D170" s="1664"/>
      <c r="E170" s="1658"/>
      <c r="F170" s="1661"/>
      <c r="G170" s="1661"/>
      <c r="H170" s="1661"/>
      <c r="I170" s="1649"/>
      <c r="J170" s="1649"/>
      <c r="K170" s="1513"/>
    </row>
    <row r="171" spans="1:11" ht="14.4" hidden="1">
      <c r="A171" s="1639"/>
      <c r="B171" s="1665"/>
      <c r="C171" s="1654" t="s">
        <v>779</v>
      </c>
      <c r="D171" s="1660"/>
      <c r="E171" s="1649"/>
      <c r="F171" s="1661"/>
      <c r="G171" s="1661"/>
      <c r="H171" s="1661"/>
      <c r="I171" s="1649"/>
      <c r="J171" s="1649"/>
      <c r="K171" s="1513"/>
    </row>
    <row r="172" spans="1:11" ht="14.4" hidden="1">
      <c r="A172" s="1639"/>
      <c r="B172" s="1665"/>
      <c r="C172" s="1654" t="s">
        <v>780</v>
      </c>
      <c r="D172" s="1660">
        <v>2</v>
      </c>
      <c r="E172" s="1649">
        <v>2.1</v>
      </c>
      <c r="F172" s="1661">
        <v>0.1</v>
      </c>
      <c r="G172" s="1661">
        <v>7.4999999999999997E-2</v>
      </c>
      <c r="H172" s="1661">
        <f>ROUND(D172*E172*F172*G172,3)</f>
        <v>3.2000000000000001E-2</v>
      </c>
      <c r="I172" s="1649">
        <f>I137</f>
        <v>52615</v>
      </c>
      <c r="J172" s="1649">
        <f t="shared" ref="J172:J178" si="11">ROUND(H172*I172,2)</f>
        <v>1683.68</v>
      </c>
      <c r="K172" s="1513"/>
    </row>
    <row r="173" spans="1:11" ht="14.4" hidden="1">
      <c r="A173" s="1639"/>
      <c r="B173" s="1665"/>
      <c r="C173" s="1654" t="s">
        <v>781</v>
      </c>
      <c r="D173" s="1660">
        <v>1</v>
      </c>
      <c r="E173" s="1649">
        <v>1.65</v>
      </c>
      <c r="F173" s="1661">
        <v>0.1</v>
      </c>
      <c r="G173" s="1661">
        <v>7.4999999999999997E-2</v>
      </c>
      <c r="H173" s="1661">
        <f>ROUND(D173*E173*F173*G173,3)</f>
        <v>1.2E-2</v>
      </c>
      <c r="I173" s="1649">
        <f>I172</f>
        <v>52615</v>
      </c>
      <c r="J173" s="1649">
        <f t="shared" si="11"/>
        <v>631.38</v>
      </c>
      <c r="K173" s="1513"/>
    </row>
    <row r="174" spans="1:11" ht="14.4" hidden="1">
      <c r="A174" s="1639"/>
      <c r="B174" s="1665"/>
      <c r="C174" s="1654" t="s">
        <v>782</v>
      </c>
      <c r="D174" s="1660">
        <v>4</v>
      </c>
      <c r="E174" s="1649">
        <f>(2.1-1*0.075-0.075)+1*0.015</f>
        <v>1.9649999999999999</v>
      </c>
      <c r="F174" s="1661">
        <v>0.1</v>
      </c>
      <c r="G174" s="1661">
        <f>1.25*25.4/1000</f>
        <v>3.175E-2</v>
      </c>
      <c r="H174" s="1661">
        <f>ROUND(D174*E174*F174*G174,3)</f>
        <v>2.5000000000000001E-2</v>
      </c>
      <c r="I174" s="1649">
        <f>I139</f>
        <v>70153</v>
      </c>
      <c r="J174" s="1649">
        <f t="shared" si="11"/>
        <v>1753.83</v>
      </c>
      <c r="K174" s="1513"/>
    </row>
    <row r="175" spans="1:11" ht="14.4" hidden="1">
      <c r="A175" s="1639"/>
      <c r="B175" s="1665"/>
      <c r="C175" s="1654" t="s">
        <v>783</v>
      </c>
      <c r="D175" s="1660" t="s">
        <v>791</v>
      </c>
      <c r="E175" s="1649">
        <v>0.69</v>
      </c>
      <c r="F175" s="1661">
        <v>0.1</v>
      </c>
      <c r="G175" s="1661">
        <f>1.25*25.4/1000</f>
        <v>3.175E-2</v>
      </c>
      <c r="H175" s="1661">
        <f>ROUND(12*E175*F175*G175,3)</f>
        <v>2.5999999999999999E-2</v>
      </c>
      <c r="I175" s="1649">
        <f>I174</f>
        <v>70153</v>
      </c>
      <c r="J175" s="1649">
        <f t="shared" si="11"/>
        <v>1823.98</v>
      </c>
      <c r="K175" s="1513"/>
    </row>
    <row r="176" spans="1:11" ht="14.4" hidden="1">
      <c r="A176" s="1639"/>
      <c r="B176" s="1665"/>
      <c r="C176" s="1654" t="s">
        <v>1481</v>
      </c>
      <c r="D176" s="1660" t="s">
        <v>792</v>
      </c>
      <c r="E176" s="1649">
        <v>0.54</v>
      </c>
      <c r="F176" s="1661">
        <v>0.32300000000000001</v>
      </c>
      <c r="G176" s="1661">
        <v>2.5000000000000001E-2</v>
      </c>
      <c r="H176" s="1661">
        <f>ROUND(10*E176*F176*G176,3)</f>
        <v>4.3999999999999997E-2</v>
      </c>
      <c r="I176" s="1649">
        <f>I175</f>
        <v>70153</v>
      </c>
      <c r="J176" s="1649">
        <f t="shared" si="11"/>
        <v>3086.73</v>
      </c>
      <c r="K176" s="1513"/>
    </row>
    <row r="177" spans="1:11" ht="28.8" hidden="1">
      <c r="A177" s="1639" t="s">
        <v>2595</v>
      </c>
      <c r="B177" s="1665"/>
      <c r="C177" s="1654" t="s">
        <v>2263</v>
      </c>
      <c r="D177" s="1660">
        <v>1</v>
      </c>
      <c r="E177" s="1649">
        <f>(1.5-2*0.075+2*0.015)</f>
        <v>1.3800000000000001</v>
      </c>
      <c r="F177" s="1649">
        <f>0.3-0.075+0.03</f>
        <v>0.255</v>
      </c>
      <c r="G177" s="1661">
        <v>1</v>
      </c>
      <c r="H177" s="1661">
        <v>0</v>
      </c>
      <c r="I177" s="1649">
        <v>568</v>
      </c>
      <c r="J177" s="1649">
        <f>ROUND(H177*I177,2)</f>
        <v>0</v>
      </c>
      <c r="K177" s="1513"/>
    </row>
    <row r="178" spans="1:11" ht="14.4" hidden="1">
      <c r="A178" s="1639"/>
      <c r="B178" s="1665"/>
      <c r="C178" s="1654" t="s">
        <v>1482</v>
      </c>
      <c r="D178" s="1660"/>
      <c r="E178" s="1649"/>
      <c r="F178" s="1661"/>
      <c r="G178" s="1661"/>
      <c r="H178" s="1661">
        <f>SUM(H172:H176)</f>
        <v>0.13900000000000001</v>
      </c>
      <c r="I178" s="1649">
        <f>G25</f>
        <v>19572.5</v>
      </c>
      <c r="J178" s="1649">
        <f t="shared" si="11"/>
        <v>2720.58</v>
      </c>
      <c r="K178" s="1513"/>
    </row>
    <row r="179" spans="1:11" ht="43.2" hidden="1">
      <c r="A179" s="1639" t="s">
        <v>787</v>
      </c>
      <c r="B179" s="1638"/>
      <c r="C179" s="1654" t="s">
        <v>788</v>
      </c>
      <c r="D179" s="1660"/>
      <c r="E179" s="1649"/>
      <c r="F179" s="1661"/>
      <c r="G179" s="1662"/>
      <c r="H179" s="1662"/>
      <c r="I179" s="1649"/>
      <c r="J179" s="1649"/>
      <c r="K179" s="1513"/>
    </row>
    <row r="180" spans="1:11" ht="14.4" hidden="1">
      <c r="A180" s="1639"/>
      <c r="B180" s="1638"/>
      <c r="C180" s="1654"/>
      <c r="D180" s="1660"/>
      <c r="E180" s="1649"/>
      <c r="F180" s="1661"/>
      <c r="G180" s="1662"/>
      <c r="H180" s="1662"/>
      <c r="I180" s="1649"/>
      <c r="J180" s="1649"/>
      <c r="K180" s="1513"/>
    </row>
    <row r="181" spans="1:11" ht="14.4" hidden="1">
      <c r="A181" s="1639"/>
      <c r="B181" s="1638"/>
      <c r="C181" s="1654" t="s">
        <v>911</v>
      </c>
      <c r="D181" s="1660" t="s">
        <v>1035</v>
      </c>
      <c r="E181" s="1649" t="s">
        <v>1617</v>
      </c>
      <c r="F181" s="1661"/>
      <c r="G181" s="1661"/>
      <c r="H181" s="1666">
        <v>2</v>
      </c>
      <c r="I181" s="1649">
        <v>77</v>
      </c>
      <c r="J181" s="1649">
        <f t="shared" ref="J181:J189" si="12">ROUND(H181*I181,2)</f>
        <v>154</v>
      </c>
      <c r="K181" s="1513"/>
    </row>
    <row r="182" spans="1:11" ht="14.4" hidden="1">
      <c r="A182" s="1639"/>
      <c r="B182" s="1638"/>
      <c r="C182" s="1654" t="s">
        <v>912</v>
      </c>
      <c r="D182" s="1660" t="s">
        <v>1035</v>
      </c>
      <c r="E182" s="1649" t="s">
        <v>1618</v>
      </c>
      <c r="F182" s="1661"/>
      <c r="G182" s="1661"/>
      <c r="H182" s="1666">
        <v>1</v>
      </c>
      <c r="I182" s="1649">
        <v>40</v>
      </c>
      <c r="J182" s="1649">
        <f t="shared" si="12"/>
        <v>40</v>
      </c>
      <c r="K182" s="1513"/>
    </row>
    <row r="183" spans="1:11" ht="14.4" hidden="1">
      <c r="A183" s="1639"/>
      <c r="B183" s="1638"/>
      <c r="C183" s="1654" t="s">
        <v>913</v>
      </c>
      <c r="D183" s="1660" t="s">
        <v>1035</v>
      </c>
      <c r="E183" s="1649" t="s">
        <v>1619</v>
      </c>
      <c r="F183" s="1661"/>
      <c r="G183" s="1661"/>
      <c r="H183" s="1666">
        <v>6</v>
      </c>
      <c r="I183" s="1649">
        <v>36</v>
      </c>
      <c r="J183" s="1649">
        <f t="shared" si="12"/>
        <v>216</v>
      </c>
      <c r="K183" s="1513"/>
    </row>
    <row r="184" spans="1:11" ht="14.4" hidden="1">
      <c r="A184" s="1639"/>
      <c r="B184" s="1638"/>
      <c r="C184" s="1654" t="s">
        <v>914</v>
      </c>
      <c r="D184" s="1660" t="s">
        <v>1035</v>
      </c>
      <c r="E184" s="1649" t="s">
        <v>1918</v>
      </c>
      <c r="F184" s="1661"/>
      <c r="G184" s="1661"/>
      <c r="H184" s="1666">
        <v>1</v>
      </c>
      <c r="I184" s="1649">
        <v>185</v>
      </c>
      <c r="J184" s="1649">
        <f t="shared" si="12"/>
        <v>185</v>
      </c>
      <c r="K184" s="1513"/>
    </row>
    <row r="185" spans="1:11" ht="14.4" hidden="1">
      <c r="A185" s="1639"/>
      <c r="B185" s="1638"/>
      <c r="C185" s="1654" t="s">
        <v>296</v>
      </c>
      <c r="D185" s="1660" t="s">
        <v>1035</v>
      </c>
      <c r="E185" s="1649" t="s">
        <v>1919</v>
      </c>
      <c r="F185" s="1661"/>
      <c r="G185" s="1661"/>
      <c r="H185" s="1666">
        <v>2</v>
      </c>
      <c r="I185" s="1649">
        <v>52</v>
      </c>
      <c r="J185" s="1649">
        <f t="shared" si="12"/>
        <v>104</v>
      </c>
      <c r="K185" s="1513"/>
    </row>
    <row r="186" spans="1:11" ht="14.4" hidden="1">
      <c r="A186" s="1639"/>
      <c r="B186" s="1638"/>
      <c r="C186" s="1654" t="s">
        <v>420</v>
      </c>
      <c r="D186" s="1660"/>
      <c r="E186" s="1649" t="s">
        <v>1649</v>
      </c>
      <c r="F186" s="1661"/>
      <c r="G186" s="1661"/>
      <c r="H186" s="1666">
        <v>3</v>
      </c>
      <c r="I186" s="1649">
        <v>36</v>
      </c>
      <c r="J186" s="1649">
        <f t="shared" si="12"/>
        <v>108</v>
      </c>
      <c r="K186" s="1513"/>
    </row>
    <row r="187" spans="1:11" ht="14.4" hidden="1">
      <c r="A187" s="1639"/>
      <c r="B187" s="1638"/>
      <c r="C187" s="1654" t="s">
        <v>799</v>
      </c>
      <c r="D187" s="1660" t="s">
        <v>882</v>
      </c>
      <c r="E187" s="1649" t="s">
        <v>1826</v>
      </c>
      <c r="F187" s="1661"/>
      <c r="G187" s="1661"/>
      <c r="H187" s="1666">
        <v>80</v>
      </c>
      <c r="I187" s="1649">
        <v>5</v>
      </c>
      <c r="J187" s="1649">
        <f t="shared" si="12"/>
        <v>400</v>
      </c>
      <c r="K187" s="1513"/>
    </row>
    <row r="188" spans="1:11" ht="14.4" hidden="1">
      <c r="A188" s="1639"/>
      <c r="B188" s="1638"/>
      <c r="C188" s="1654" t="s">
        <v>231</v>
      </c>
      <c r="D188" s="1660" t="s">
        <v>882</v>
      </c>
      <c r="E188" s="1649" t="s">
        <v>1920</v>
      </c>
      <c r="F188" s="1661"/>
      <c r="G188" s="1661"/>
      <c r="H188" s="1666">
        <v>10</v>
      </c>
      <c r="I188" s="1649">
        <v>21</v>
      </c>
      <c r="J188" s="1649">
        <f t="shared" si="12"/>
        <v>210</v>
      </c>
      <c r="K188" s="1513"/>
    </row>
    <row r="189" spans="1:11" ht="14.4" hidden="1">
      <c r="A189" s="1639"/>
      <c r="B189" s="1659"/>
      <c r="C189" s="1654" t="s">
        <v>1598</v>
      </c>
      <c r="D189" s="1660"/>
      <c r="E189" s="1652" t="s">
        <v>1651</v>
      </c>
      <c r="F189" s="1661"/>
      <c r="G189" s="1661"/>
      <c r="H189" s="1666">
        <v>6</v>
      </c>
      <c r="I189" s="1649">
        <v>37</v>
      </c>
      <c r="J189" s="1649">
        <f t="shared" si="12"/>
        <v>222</v>
      </c>
      <c r="K189" s="1513"/>
    </row>
    <row r="190" spans="1:11" ht="14.4" hidden="1">
      <c r="A190" s="1639"/>
      <c r="B190" s="1665"/>
      <c r="C190" s="1654" t="s">
        <v>1484</v>
      </c>
      <c r="D190" s="1660">
        <v>2.25</v>
      </c>
      <c r="E190" s="1649">
        <v>1.5</v>
      </c>
      <c r="F190" s="1661"/>
      <c r="G190" s="1649">
        <v>2.4</v>
      </c>
      <c r="H190" s="1661">
        <f>ROUND(G190*E190*2.25,2)</f>
        <v>8.1</v>
      </c>
      <c r="I190" s="1649">
        <f>G15</f>
        <v>577.61900000000003</v>
      </c>
      <c r="J190" s="1649">
        <f>H190*I190/10</f>
        <v>467.87138999999996</v>
      </c>
      <c r="K190" s="1513"/>
    </row>
    <row r="191" spans="1:11" ht="14.4" hidden="1">
      <c r="A191" s="1639"/>
      <c r="B191" s="1665"/>
      <c r="C191" s="1654" t="s">
        <v>230</v>
      </c>
      <c r="D191" s="1660"/>
      <c r="E191" s="1649"/>
      <c r="F191" s="1661"/>
      <c r="G191" s="1661"/>
      <c r="H191" s="1666">
        <v>1</v>
      </c>
      <c r="I191" s="1649">
        <v>100</v>
      </c>
      <c r="J191" s="1649">
        <f>H191*I191</f>
        <v>100</v>
      </c>
      <c r="K191" s="1513"/>
    </row>
    <row r="192" spans="1:11" ht="14.4" hidden="1">
      <c r="A192" s="1639"/>
      <c r="B192" s="1665"/>
      <c r="C192" s="1654"/>
      <c r="D192" s="1660"/>
      <c r="E192" s="1649"/>
      <c r="F192" s="1661"/>
      <c r="G192" s="1661"/>
      <c r="H192" s="1661"/>
      <c r="I192" s="1649"/>
      <c r="J192" s="1649">
        <f>SUM(J172:J191)</f>
        <v>13907.051390000001</v>
      </c>
      <c r="K192" s="1513"/>
    </row>
    <row r="193" spans="1:11" s="1520" customFormat="1" ht="14.4" hidden="1">
      <c r="A193" s="1639"/>
      <c r="B193" s="1667"/>
      <c r="C193" s="1654" t="s">
        <v>1600</v>
      </c>
      <c r="D193" s="1664"/>
      <c r="E193" s="1658"/>
      <c r="F193" s="1662"/>
      <c r="G193" s="1662"/>
      <c r="H193" s="1662">
        <f>J192</f>
        <v>13907.051390000001</v>
      </c>
      <c r="I193" s="1658">
        <f>I6</f>
        <v>0</v>
      </c>
      <c r="J193" s="1658">
        <f>ROUND(H193*I193,2)</f>
        <v>0</v>
      </c>
      <c r="K193" s="1523"/>
    </row>
    <row r="194" spans="1:11" s="1520" customFormat="1" ht="28.8" hidden="1">
      <c r="A194" s="1639" t="s">
        <v>1302</v>
      </c>
      <c r="B194" s="1667"/>
      <c r="C194" s="1654" t="s">
        <v>256</v>
      </c>
      <c r="D194" s="1664"/>
      <c r="E194" s="1658"/>
      <c r="F194" s="1662"/>
      <c r="G194" s="1662"/>
      <c r="H194" s="1662"/>
      <c r="I194" s="1658" t="s">
        <v>416</v>
      </c>
      <c r="J194" s="1658">
        <f>SUM(J192:J193)</f>
        <v>13907.051390000001</v>
      </c>
      <c r="K194" s="1523"/>
    </row>
    <row r="195" spans="1:11" ht="14.4" hidden="1">
      <c r="A195" s="1639"/>
      <c r="B195" s="1665"/>
      <c r="C195" s="1639" t="s">
        <v>2266</v>
      </c>
      <c r="D195" s="1664"/>
      <c r="E195" s="1658"/>
      <c r="F195" s="1661"/>
      <c r="G195" s="1661"/>
      <c r="H195" s="1661"/>
      <c r="I195" s="1649"/>
      <c r="J195" s="1649"/>
      <c r="K195" s="1513"/>
    </row>
    <row r="196" spans="1:11" ht="14.4" hidden="1">
      <c r="A196" s="1639"/>
      <c r="B196" s="1665"/>
      <c r="C196" s="1654" t="s">
        <v>779</v>
      </c>
      <c r="D196" s="1660"/>
      <c r="E196" s="1649"/>
      <c r="F196" s="1661"/>
      <c r="G196" s="1661"/>
      <c r="H196" s="1661"/>
      <c r="I196" s="1649"/>
      <c r="J196" s="1649"/>
      <c r="K196" s="1513"/>
    </row>
    <row r="197" spans="1:11" ht="14.4" hidden="1">
      <c r="A197" s="1639"/>
      <c r="B197" s="1665"/>
      <c r="C197" s="1654" t="s">
        <v>780</v>
      </c>
      <c r="D197" s="1660">
        <v>2</v>
      </c>
      <c r="E197" s="1649">
        <v>2.1</v>
      </c>
      <c r="F197" s="1661">
        <v>0.15</v>
      </c>
      <c r="G197" s="1661">
        <v>0.1</v>
      </c>
      <c r="H197" s="1661">
        <f>ROUND(D197*E197*F197*G197,3)</f>
        <v>6.3E-2</v>
      </c>
      <c r="I197" s="1649">
        <f>I172</f>
        <v>52615</v>
      </c>
      <c r="J197" s="1649">
        <f>ROUND(H197*I197,2)</f>
        <v>3314.75</v>
      </c>
      <c r="K197" s="1513"/>
    </row>
    <row r="198" spans="1:11" ht="14.4" hidden="1">
      <c r="A198" s="1639"/>
      <c r="B198" s="1665"/>
      <c r="C198" s="1654" t="s">
        <v>781</v>
      </c>
      <c r="D198" s="1660">
        <v>2</v>
      </c>
      <c r="E198" s="1649">
        <v>1.65</v>
      </c>
      <c r="F198" s="1661">
        <v>0.15</v>
      </c>
      <c r="G198" s="1661">
        <v>0.1</v>
      </c>
      <c r="H198" s="1661">
        <f>ROUND(D198*E198*F198*G198,3)</f>
        <v>0.05</v>
      </c>
      <c r="I198" s="1649">
        <f>I197</f>
        <v>52615</v>
      </c>
      <c r="J198" s="1649">
        <f>ROUND(H198*I198,2)</f>
        <v>2630.75</v>
      </c>
      <c r="K198" s="1513"/>
    </row>
    <row r="199" spans="1:11" ht="14.4" hidden="1">
      <c r="A199" s="1639"/>
      <c r="B199" s="1665"/>
      <c r="C199" s="1654" t="s">
        <v>1482</v>
      </c>
      <c r="D199" s="1660"/>
      <c r="E199" s="1649"/>
      <c r="F199" s="1661"/>
      <c r="G199" s="1661"/>
      <c r="H199" s="1661">
        <f>SUM(H197:H198)</f>
        <v>0.113</v>
      </c>
      <c r="I199" s="1649">
        <f>G25</f>
        <v>19572.5</v>
      </c>
      <c r="J199" s="1649">
        <f>ROUND(H199*I199,2)</f>
        <v>2211.69</v>
      </c>
      <c r="K199" s="1513"/>
    </row>
    <row r="200" spans="1:11" ht="14.4" hidden="1">
      <c r="A200" s="1639"/>
      <c r="B200" s="1659"/>
      <c r="C200" s="1654" t="s">
        <v>1598</v>
      </c>
      <c r="D200" s="1660"/>
      <c r="E200" s="1652" t="s">
        <v>1651</v>
      </c>
      <c r="F200" s="1661"/>
      <c r="G200" s="1661"/>
      <c r="H200" s="1666">
        <v>6</v>
      </c>
      <c r="I200" s="1649">
        <v>37</v>
      </c>
      <c r="J200" s="1649">
        <f>ROUND(H200*I200,2)</f>
        <v>222</v>
      </c>
      <c r="K200" s="1513"/>
    </row>
    <row r="201" spans="1:11" ht="14.4" hidden="1">
      <c r="A201" s="1639"/>
      <c r="B201" s="1665"/>
      <c r="C201" s="1654" t="s">
        <v>1484</v>
      </c>
      <c r="D201" s="1660" t="s">
        <v>539</v>
      </c>
      <c r="E201" s="1649">
        <v>1.5</v>
      </c>
      <c r="F201" s="1661"/>
      <c r="G201" s="1649">
        <v>2.4</v>
      </c>
      <c r="H201" s="1661">
        <f>ROUND(G201*E201*2.25/3,2)</f>
        <v>2.7</v>
      </c>
      <c r="I201" s="1649">
        <f>G15</f>
        <v>577.61900000000003</v>
      </c>
      <c r="J201" s="1649">
        <f>H201*I201/10</f>
        <v>155.95713000000003</v>
      </c>
      <c r="K201" s="1513"/>
    </row>
    <row r="202" spans="1:11" ht="14.4" hidden="1">
      <c r="A202" s="1639"/>
      <c r="B202" s="1665"/>
      <c r="C202" s="1654" t="s">
        <v>230</v>
      </c>
      <c r="D202" s="1660"/>
      <c r="E202" s="1649"/>
      <c r="F202" s="1661"/>
      <c r="G202" s="1661"/>
      <c r="H202" s="1666">
        <v>1</v>
      </c>
      <c r="I202" s="1649">
        <v>60</v>
      </c>
      <c r="J202" s="1649">
        <f>H202*I202</f>
        <v>60</v>
      </c>
      <c r="K202" s="1513"/>
    </row>
    <row r="203" spans="1:11" ht="14.4" hidden="1">
      <c r="A203" s="1639"/>
      <c r="B203" s="1665"/>
      <c r="C203" s="1654"/>
      <c r="D203" s="1660"/>
      <c r="E203" s="1649"/>
      <c r="F203" s="1661"/>
      <c r="G203" s="1661"/>
      <c r="H203" s="1661"/>
      <c r="I203" s="1649"/>
      <c r="J203" s="1649">
        <f>SUM(J197:J202)</f>
        <v>8595.1471300000012</v>
      </c>
      <c r="K203" s="1513"/>
    </row>
    <row r="204" spans="1:11" s="1520" customFormat="1" ht="14.4" hidden="1">
      <c r="A204" s="1639"/>
      <c r="B204" s="1667"/>
      <c r="C204" s="1654" t="s">
        <v>1600</v>
      </c>
      <c r="D204" s="1664"/>
      <c r="E204" s="1658"/>
      <c r="F204" s="1662"/>
      <c r="G204" s="1662"/>
      <c r="H204" s="1662">
        <f>J203</f>
        <v>8595.1471300000012</v>
      </c>
      <c r="I204" s="1658">
        <f>I6</f>
        <v>0</v>
      </c>
      <c r="J204" s="1658">
        <f>ROUND(H204*I204,2)</f>
        <v>0</v>
      </c>
      <c r="K204" s="1523"/>
    </row>
    <row r="205" spans="1:11" s="1520" customFormat="1" ht="28.8" hidden="1">
      <c r="A205" s="1639" t="s">
        <v>1302</v>
      </c>
      <c r="B205" s="1667"/>
      <c r="C205" s="1639" t="s">
        <v>2267</v>
      </c>
      <c r="D205" s="1664"/>
      <c r="E205" s="1658"/>
      <c r="F205" s="1662"/>
      <c r="G205" s="1662"/>
      <c r="H205" s="1662"/>
      <c r="I205" s="1658" t="s">
        <v>1486</v>
      </c>
      <c r="J205" s="1658">
        <f>SUM(J203:J204)</f>
        <v>8595.1471300000012</v>
      </c>
      <c r="K205" s="1523"/>
    </row>
    <row r="206" spans="1:11" s="1520" customFormat="1" ht="14.4" hidden="1">
      <c r="A206" s="1639"/>
      <c r="B206" s="1667"/>
      <c r="C206" s="1639" t="s">
        <v>2268</v>
      </c>
      <c r="D206" s="1664"/>
      <c r="E206" s="1658"/>
      <c r="F206" s="1662"/>
      <c r="G206" s="1662"/>
      <c r="H206" s="1662"/>
      <c r="I206" s="1658" t="s">
        <v>1486</v>
      </c>
      <c r="J206" s="1658">
        <f>J194-J205</f>
        <v>5311.9042599999993</v>
      </c>
      <c r="K206" s="1523"/>
    </row>
    <row r="207" spans="1:11" ht="129.6" hidden="1">
      <c r="A207" s="1639"/>
      <c r="B207" s="1659">
        <v>6</v>
      </c>
      <c r="C207" s="1654" t="s">
        <v>2264</v>
      </c>
      <c r="D207" s="1660"/>
      <c r="E207" s="1649"/>
      <c r="F207" s="1661"/>
      <c r="G207" s="1661"/>
      <c r="H207" s="1661"/>
      <c r="I207" s="1649"/>
      <c r="J207" s="1649"/>
      <c r="K207" s="1513"/>
    </row>
    <row r="208" spans="1:11" ht="14.4" hidden="1">
      <c r="A208" s="1639"/>
      <c r="B208" s="1665"/>
      <c r="C208" s="1639" t="s">
        <v>2270</v>
      </c>
      <c r="D208" s="1664"/>
      <c r="E208" s="1658"/>
      <c r="F208" s="1661"/>
      <c r="G208" s="1661"/>
      <c r="H208" s="1661"/>
      <c r="I208" s="1649"/>
      <c r="J208" s="1649"/>
      <c r="K208" s="1513"/>
    </row>
    <row r="209" spans="1:11" ht="14.4" hidden="1">
      <c r="A209" s="1639"/>
      <c r="B209" s="1665"/>
      <c r="C209" s="1654" t="s">
        <v>779</v>
      </c>
      <c r="D209" s="1660"/>
      <c r="E209" s="1649"/>
      <c r="F209" s="1661"/>
      <c r="G209" s="1661"/>
      <c r="H209" s="1661"/>
      <c r="I209" s="1649"/>
      <c r="J209" s="1649"/>
      <c r="K209" s="1513"/>
    </row>
    <row r="210" spans="1:11" ht="14.4" hidden="1">
      <c r="A210" s="1639"/>
      <c r="B210" s="1665"/>
      <c r="C210" s="1654" t="s">
        <v>780</v>
      </c>
      <c r="D210" s="1660">
        <v>2</v>
      </c>
      <c r="E210" s="1649">
        <v>2.4</v>
      </c>
      <c r="F210" s="1661">
        <v>0.125</v>
      </c>
      <c r="G210" s="1661">
        <v>0.17499999999999999</v>
      </c>
      <c r="H210" s="1661">
        <f>ROUND(D210*E210*F210*G210,3)</f>
        <v>0.105</v>
      </c>
      <c r="I210" s="1649">
        <f>I172</f>
        <v>52615</v>
      </c>
      <c r="J210" s="1649">
        <f t="shared" ref="J210:J216" si="13">ROUND(H210*I210,2)</f>
        <v>5524.58</v>
      </c>
      <c r="K210" s="1513"/>
    </row>
    <row r="211" spans="1:11" ht="14.4" hidden="1">
      <c r="A211" s="1639"/>
      <c r="B211" s="1665"/>
      <c r="C211" s="1654" t="s">
        <v>781</v>
      </c>
      <c r="D211" s="1660">
        <v>2</v>
      </c>
      <c r="E211" s="1649">
        <v>1.95</v>
      </c>
      <c r="F211" s="1661">
        <v>0.125</v>
      </c>
      <c r="G211" s="1661">
        <v>0.17499999999999999</v>
      </c>
      <c r="H211" s="1661">
        <f>ROUND(D211*E211*F211*G211,3)</f>
        <v>8.5000000000000006E-2</v>
      </c>
      <c r="I211" s="1649">
        <f>I210</f>
        <v>52615</v>
      </c>
      <c r="J211" s="1649">
        <f t="shared" si="13"/>
        <v>4472.28</v>
      </c>
      <c r="K211" s="1513"/>
    </row>
    <row r="212" spans="1:11" ht="14.4" hidden="1">
      <c r="A212" s="1639"/>
      <c r="B212" s="1665"/>
      <c r="C212" s="1654" t="s">
        <v>782</v>
      </c>
      <c r="D212" s="1660">
        <v>4</v>
      </c>
      <c r="E212" s="1649">
        <f>(2.1-1*0.25-0.075)+1*0.015</f>
        <v>1.79</v>
      </c>
      <c r="F212" s="1661">
        <v>0.1</v>
      </c>
      <c r="G212" s="1661">
        <f>1.25*25.4/1000</f>
        <v>3.175E-2</v>
      </c>
      <c r="H212" s="1661">
        <f>ROUND(D212*E212*F212*G212,3)</f>
        <v>2.3E-2</v>
      </c>
      <c r="I212" s="1649">
        <f>I174</f>
        <v>70153</v>
      </c>
      <c r="J212" s="1649">
        <f t="shared" si="13"/>
        <v>1613.52</v>
      </c>
      <c r="K212" s="1513"/>
    </row>
    <row r="213" spans="1:11" ht="14.4" hidden="1">
      <c r="A213" s="1639"/>
      <c r="B213" s="1665"/>
      <c r="C213" s="1654" t="s">
        <v>783</v>
      </c>
      <c r="D213" s="1660" t="s">
        <v>791</v>
      </c>
      <c r="E213" s="1649">
        <f>(1.8-2*0.125+2*0.015)/2</f>
        <v>0.79</v>
      </c>
      <c r="F213" s="1661">
        <v>0.1</v>
      </c>
      <c r="G213" s="1661">
        <f>1.25*25.4/1000</f>
        <v>3.175E-2</v>
      </c>
      <c r="H213" s="1661">
        <f>ROUND(12*E213*F213*G213,3)</f>
        <v>0.03</v>
      </c>
      <c r="I213" s="1649">
        <f>I212</f>
        <v>70153</v>
      </c>
      <c r="J213" s="1649">
        <f t="shared" si="13"/>
        <v>2104.59</v>
      </c>
      <c r="K213" s="1513"/>
    </row>
    <row r="214" spans="1:11" ht="14.4" hidden="1">
      <c r="A214" s="1639"/>
      <c r="B214" s="1665"/>
      <c r="C214" s="1654" t="s">
        <v>1481</v>
      </c>
      <c r="D214" s="1660" t="s">
        <v>792</v>
      </c>
      <c r="E214" s="1649">
        <f>(1.5-2*0.125+2*0.015)/2-2*0.1+2*0.025</f>
        <v>0.49</v>
      </c>
      <c r="F214" s="1661">
        <f>(2.1-2*0.1+1*0.015-6*0.1)/5+2*0.025</f>
        <v>0.313</v>
      </c>
      <c r="G214" s="1661">
        <v>2.5000000000000001E-2</v>
      </c>
      <c r="H214" s="1661">
        <f>ROUND(10*E214*F214*G214,3)</f>
        <v>3.7999999999999999E-2</v>
      </c>
      <c r="I214" s="1649">
        <f>I213</f>
        <v>70153</v>
      </c>
      <c r="J214" s="1649">
        <f t="shared" si="13"/>
        <v>2665.81</v>
      </c>
      <c r="K214" s="1513"/>
    </row>
    <row r="215" spans="1:11" ht="14.4" hidden="1">
      <c r="A215" s="1639"/>
      <c r="B215" s="1665"/>
      <c r="C215" s="1654" t="s">
        <v>2263</v>
      </c>
      <c r="D215" s="1660">
        <v>1</v>
      </c>
      <c r="E215" s="1649">
        <f>(1.8-2*0.125+2*0.015)</f>
        <v>1.58</v>
      </c>
      <c r="F215" s="1649">
        <f>0.3-0.075+0.03</f>
        <v>0.255</v>
      </c>
      <c r="G215" s="1661">
        <v>1</v>
      </c>
      <c r="H215" s="1661">
        <f>ROUND(D215*E215*F215*G215,3)</f>
        <v>0.40300000000000002</v>
      </c>
      <c r="I215" s="1649">
        <v>568</v>
      </c>
      <c r="J215" s="1649">
        <f t="shared" si="13"/>
        <v>228.9</v>
      </c>
      <c r="K215" s="1513"/>
    </row>
    <row r="216" spans="1:11" ht="14.4" hidden="1">
      <c r="A216" s="1639"/>
      <c r="B216" s="1665"/>
      <c r="C216" s="1654" t="s">
        <v>1482</v>
      </c>
      <c r="D216" s="1660"/>
      <c r="E216" s="1649"/>
      <c r="F216" s="1661"/>
      <c r="G216" s="1661"/>
      <c r="H216" s="1661">
        <f>SUM(H210:H214)</f>
        <v>0.28099999999999997</v>
      </c>
      <c r="I216" s="1649">
        <f>I178</f>
        <v>19572.5</v>
      </c>
      <c r="J216" s="1649">
        <f t="shared" si="13"/>
        <v>5499.87</v>
      </c>
      <c r="K216" s="1513"/>
    </row>
    <row r="217" spans="1:11" ht="43.2" hidden="1">
      <c r="A217" s="1639" t="s">
        <v>787</v>
      </c>
      <c r="B217" s="1638"/>
      <c r="C217" s="1654" t="s">
        <v>788</v>
      </c>
      <c r="D217" s="1660"/>
      <c r="E217" s="1649"/>
      <c r="F217" s="1661"/>
      <c r="G217" s="1662"/>
      <c r="H217" s="1662"/>
      <c r="I217" s="1649"/>
      <c r="J217" s="1649"/>
      <c r="K217" s="1513"/>
    </row>
    <row r="218" spans="1:11" ht="14.4" hidden="1">
      <c r="A218" s="1639"/>
      <c r="B218" s="1638"/>
      <c r="C218" s="1654"/>
      <c r="D218" s="1660"/>
      <c r="E218" s="1649"/>
      <c r="F218" s="1661"/>
      <c r="G218" s="1662"/>
      <c r="H218" s="1662"/>
      <c r="I218" s="1649"/>
      <c r="J218" s="1649"/>
      <c r="K218" s="1513"/>
    </row>
    <row r="219" spans="1:11" ht="14.4" hidden="1">
      <c r="A219" s="1639"/>
      <c r="B219" s="1638"/>
      <c r="C219" s="1654" t="s">
        <v>911</v>
      </c>
      <c r="D219" s="1660" t="s">
        <v>1035</v>
      </c>
      <c r="E219" s="1649" t="s">
        <v>1617</v>
      </c>
      <c r="F219" s="1661"/>
      <c r="G219" s="1661"/>
      <c r="H219" s="1666">
        <v>2</v>
      </c>
      <c r="I219" s="1649">
        <v>77</v>
      </c>
      <c r="J219" s="1649">
        <f t="shared" ref="J219:J227" si="14">ROUND(H219*I219,2)</f>
        <v>154</v>
      </c>
      <c r="K219" s="1513"/>
    </row>
    <row r="220" spans="1:11" ht="14.4" hidden="1">
      <c r="A220" s="1639"/>
      <c r="B220" s="1638"/>
      <c r="C220" s="1654" t="s">
        <v>912</v>
      </c>
      <c r="D220" s="1660" t="s">
        <v>1035</v>
      </c>
      <c r="E220" s="1649" t="s">
        <v>1618</v>
      </c>
      <c r="F220" s="1661"/>
      <c r="G220" s="1661"/>
      <c r="H220" s="1666">
        <v>1</v>
      </c>
      <c r="I220" s="1649">
        <v>40</v>
      </c>
      <c r="J220" s="1649">
        <f t="shared" si="14"/>
        <v>40</v>
      </c>
      <c r="K220" s="1513"/>
    </row>
    <row r="221" spans="1:11" ht="14.4" hidden="1">
      <c r="A221" s="1639"/>
      <c r="B221" s="1638"/>
      <c r="C221" s="1654" t="s">
        <v>913</v>
      </c>
      <c r="D221" s="1660" t="s">
        <v>1035</v>
      </c>
      <c r="E221" s="1649" t="s">
        <v>1619</v>
      </c>
      <c r="F221" s="1661"/>
      <c r="G221" s="1661"/>
      <c r="H221" s="1666">
        <v>6</v>
      </c>
      <c r="I221" s="1649">
        <v>36</v>
      </c>
      <c r="J221" s="1649">
        <f t="shared" si="14"/>
        <v>216</v>
      </c>
      <c r="K221" s="1513"/>
    </row>
    <row r="222" spans="1:11" ht="14.4" hidden="1">
      <c r="A222" s="1639"/>
      <c r="B222" s="1638"/>
      <c r="C222" s="1654" t="s">
        <v>914</v>
      </c>
      <c r="D222" s="1660" t="s">
        <v>1035</v>
      </c>
      <c r="E222" s="1649" t="s">
        <v>1918</v>
      </c>
      <c r="F222" s="1661"/>
      <c r="G222" s="1661"/>
      <c r="H222" s="1666">
        <v>1</v>
      </c>
      <c r="I222" s="1649">
        <v>185</v>
      </c>
      <c r="J222" s="1649">
        <f t="shared" si="14"/>
        <v>185</v>
      </c>
      <c r="K222" s="1513"/>
    </row>
    <row r="223" spans="1:11" ht="14.4" hidden="1">
      <c r="A223" s="1639"/>
      <c r="B223" s="1638"/>
      <c r="C223" s="1654" t="s">
        <v>296</v>
      </c>
      <c r="D223" s="1660" t="s">
        <v>1035</v>
      </c>
      <c r="E223" s="1649" t="s">
        <v>1919</v>
      </c>
      <c r="F223" s="1661"/>
      <c r="G223" s="1661"/>
      <c r="H223" s="1666">
        <v>2</v>
      </c>
      <c r="I223" s="1649">
        <v>52</v>
      </c>
      <c r="J223" s="1649">
        <f t="shared" si="14"/>
        <v>104</v>
      </c>
      <c r="K223" s="1513"/>
    </row>
    <row r="224" spans="1:11" ht="14.4" hidden="1">
      <c r="A224" s="1639"/>
      <c r="B224" s="1638"/>
      <c r="C224" s="1654" t="s">
        <v>420</v>
      </c>
      <c r="D224" s="1660"/>
      <c r="E224" s="1649" t="s">
        <v>1649</v>
      </c>
      <c r="F224" s="1661"/>
      <c r="G224" s="1661"/>
      <c r="H224" s="1666">
        <v>3</v>
      </c>
      <c r="I224" s="1649">
        <v>36</v>
      </c>
      <c r="J224" s="1649">
        <f t="shared" si="14"/>
        <v>108</v>
      </c>
      <c r="K224" s="1513"/>
    </row>
    <row r="225" spans="1:11" ht="14.4" hidden="1">
      <c r="A225" s="1639"/>
      <c r="B225" s="1638"/>
      <c r="C225" s="1654" t="s">
        <v>799</v>
      </c>
      <c r="D225" s="1660" t="s">
        <v>882</v>
      </c>
      <c r="E225" s="1649" t="s">
        <v>1826</v>
      </c>
      <c r="F225" s="1661"/>
      <c r="G225" s="1661"/>
      <c r="H225" s="1666">
        <v>80</v>
      </c>
      <c r="I225" s="1649">
        <v>5</v>
      </c>
      <c r="J225" s="1649">
        <f t="shared" si="14"/>
        <v>400</v>
      </c>
      <c r="K225" s="1513"/>
    </row>
    <row r="226" spans="1:11" ht="14.4" hidden="1">
      <c r="A226" s="1639"/>
      <c r="B226" s="1638"/>
      <c r="C226" s="1654" t="s">
        <v>231</v>
      </c>
      <c r="D226" s="1660" t="s">
        <v>882</v>
      </c>
      <c r="E226" s="1649" t="s">
        <v>1920</v>
      </c>
      <c r="F226" s="1661"/>
      <c r="G226" s="1661"/>
      <c r="H226" s="1666">
        <v>10</v>
      </c>
      <c r="I226" s="1649">
        <v>21</v>
      </c>
      <c r="J226" s="1649">
        <f t="shared" si="14"/>
        <v>210</v>
      </c>
      <c r="K226" s="1513"/>
    </row>
    <row r="227" spans="1:11" ht="14.4" hidden="1">
      <c r="A227" s="1639"/>
      <c r="B227" s="1659"/>
      <c r="C227" s="1654" t="s">
        <v>1598</v>
      </c>
      <c r="D227" s="1660"/>
      <c r="E227" s="1652" t="s">
        <v>1651</v>
      </c>
      <c r="F227" s="1661"/>
      <c r="G227" s="1661"/>
      <c r="H227" s="1666">
        <v>6</v>
      </c>
      <c r="I227" s="1649">
        <v>37</v>
      </c>
      <c r="J227" s="1649">
        <f t="shared" si="14"/>
        <v>222</v>
      </c>
      <c r="K227" s="1513"/>
    </row>
    <row r="228" spans="1:11" ht="14.4" hidden="1">
      <c r="A228" s="1639"/>
      <c r="B228" s="1665"/>
      <c r="C228" s="1654" t="s">
        <v>1484</v>
      </c>
      <c r="D228" s="1660">
        <v>2.25</v>
      </c>
      <c r="E228" s="1649">
        <v>1.5</v>
      </c>
      <c r="F228" s="1661"/>
      <c r="G228" s="1649">
        <v>2.4</v>
      </c>
      <c r="H228" s="1661">
        <f>ROUND(G228*E228*2.25,2)</f>
        <v>8.1</v>
      </c>
      <c r="I228" s="1649">
        <f>I190</f>
        <v>577.61900000000003</v>
      </c>
      <c r="J228" s="1649">
        <f>H228*I228/10</f>
        <v>467.87138999999996</v>
      </c>
      <c r="K228" s="1513"/>
    </row>
    <row r="229" spans="1:11" ht="14.4" hidden="1">
      <c r="A229" s="1639"/>
      <c r="B229" s="1665"/>
      <c r="C229" s="1654" t="s">
        <v>230</v>
      </c>
      <c r="D229" s="1660"/>
      <c r="E229" s="1649"/>
      <c r="F229" s="1661"/>
      <c r="G229" s="1661"/>
      <c r="H229" s="1666">
        <v>1</v>
      </c>
      <c r="I229" s="1649">
        <v>100</v>
      </c>
      <c r="J229" s="1649">
        <f>H229*I229</f>
        <v>100</v>
      </c>
      <c r="K229" s="1513"/>
    </row>
    <row r="230" spans="1:11" ht="14.4" hidden="1">
      <c r="A230" s="1639"/>
      <c r="B230" s="1665"/>
      <c r="C230" s="1654"/>
      <c r="D230" s="1660"/>
      <c r="E230" s="1649"/>
      <c r="F230" s="1661"/>
      <c r="G230" s="1661"/>
      <c r="H230" s="1661"/>
      <c r="I230" s="1649"/>
      <c r="J230" s="1649">
        <f>SUM(J210:J229)</f>
        <v>24316.42139</v>
      </c>
      <c r="K230" s="1513"/>
    </row>
    <row r="231" spans="1:11" s="1520" customFormat="1" ht="14.4" hidden="1">
      <c r="A231" s="1639"/>
      <c r="B231" s="1667"/>
      <c r="C231" s="1654" t="s">
        <v>1600</v>
      </c>
      <c r="D231" s="1664"/>
      <c r="E231" s="1658"/>
      <c r="F231" s="1662"/>
      <c r="G231" s="1662"/>
      <c r="H231" s="1662">
        <f>J230</f>
        <v>24316.42139</v>
      </c>
      <c r="I231" s="1658">
        <f>'Lead- Input sheet '!Q32</f>
        <v>0</v>
      </c>
      <c r="J231" s="1658">
        <f>ROUND(H231*I231,2)</f>
        <v>0</v>
      </c>
      <c r="K231" s="1523"/>
    </row>
    <row r="232" spans="1:11" s="1520" customFormat="1" ht="28.8" hidden="1">
      <c r="A232" s="1639" t="s">
        <v>1302</v>
      </c>
      <c r="B232" s="1667"/>
      <c r="C232" s="1654" t="s">
        <v>256</v>
      </c>
      <c r="D232" s="1664"/>
      <c r="E232" s="1658"/>
      <c r="F232" s="1662"/>
      <c r="G232" s="1662"/>
      <c r="H232" s="1662"/>
      <c r="I232" s="1658" t="s">
        <v>416</v>
      </c>
      <c r="J232" s="1658">
        <f>SUM(J230:J231)</f>
        <v>24316.42139</v>
      </c>
      <c r="K232" s="1523"/>
    </row>
    <row r="233" spans="1:11" ht="14.4" hidden="1">
      <c r="A233" s="1639"/>
      <c r="B233" s="1665"/>
      <c r="C233" s="1639" t="s">
        <v>2271</v>
      </c>
      <c r="D233" s="1664"/>
      <c r="E233" s="1658"/>
      <c r="F233" s="1661"/>
      <c r="G233" s="1661"/>
      <c r="H233" s="1661"/>
      <c r="I233" s="1649"/>
      <c r="J233" s="1649"/>
      <c r="K233" s="1513"/>
    </row>
    <row r="234" spans="1:11" ht="14.4" hidden="1">
      <c r="A234" s="1639"/>
      <c r="B234" s="1665"/>
      <c r="C234" s="1654" t="s">
        <v>779</v>
      </c>
      <c r="D234" s="1660"/>
      <c r="E234" s="1649"/>
      <c r="F234" s="1661"/>
      <c r="G234" s="1661"/>
      <c r="H234" s="1661"/>
      <c r="I234" s="1649"/>
      <c r="J234" s="1649"/>
      <c r="K234" s="1513"/>
    </row>
    <row r="235" spans="1:11" ht="14.4" hidden="1">
      <c r="A235" s="1639"/>
      <c r="B235" s="1665"/>
      <c r="C235" s="1654" t="s">
        <v>780</v>
      </c>
      <c r="D235" s="1660">
        <v>2</v>
      </c>
      <c r="E235" s="1649">
        <v>2.4</v>
      </c>
      <c r="F235" s="1661">
        <v>0.125</v>
      </c>
      <c r="G235" s="1661">
        <v>0.17499999999999999</v>
      </c>
      <c r="H235" s="1661">
        <f>ROUND(D235*E235*F235*G235,3)</f>
        <v>0.105</v>
      </c>
      <c r="I235" s="1649">
        <f>I210</f>
        <v>52615</v>
      </c>
      <c r="J235" s="1649">
        <f>ROUND(H235*I235,2)</f>
        <v>5524.58</v>
      </c>
      <c r="K235" s="1513"/>
    </row>
    <row r="236" spans="1:11" ht="14.4" hidden="1">
      <c r="A236" s="1639"/>
      <c r="B236" s="1665"/>
      <c r="C236" s="1654" t="s">
        <v>781</v>
      </c>
      <c r="D236" s="1660">
        <v>2</v>
      </c>
      <c r="E236" s="1649">
        <v>1.95</v>
      </c>
      <c r="F236" s="1661">
        <v>0.125</v>
      </c>
      <c r="G236" s="1661">
        <v>0.17499999999999999</v>
      </c>
      <c r="H236" s="1661">
        <f>ROUND(D236*E236*F236*G236,3)</f>
        <v>8.5000000000000006E-2</v>
      </c>
      <c r="I236" s="1649">
        <f>I211</f>
        <v>52615</v>
      </c>
      <c r="J236" s="1649">
        <f>ROUND(H236*I236,2)</f>
        <v>4472.28</v>
      </c>
      <c r="K236" s="1513"/>
    </row>
    <row r="237" spans="1:11" ht="14.4" hidden="1">
      <c r="A237" s="1639"/>
      <c r="B237" s="1665"/>
      <c r="C237" s="1654" t="s">
        <v>1482</v>
      </c>
      <c r="D237" s="1660"/>
      <c r="E237" s="1649"/>
      <c r="F237" s="1661"/>
      <c r="G237" s="1661"/>
      <c r="H237" s="1661">
        <f>SUM(H235:H236)</f>
        <v>0.19</v>
      </c>
      <c r="I237" s="1649">
        <f>I216</f>
        <v>19572.5</v>
      </c>
      <c r="J237" s="1649">
        <f>ROUND(H237*I237,2)</f>
        <v>3718.78</v>
      </c>
      <c r="K237" s="1513"/>
    </row>
    <row r="238" spans="1:11" ht="14.4" hidden="1">
      <c r="A238" s="1639"/>
      <c r="B238" s="1659"/>
      <c r="C238" s="1654" t="s">
        <v>1598</v>
      </c>
      <c r="D238" s="1660"/>
      <c r="E238" s="1652" t="s">
        <v>1651</v>
      </c>
      <c r="F238" s="1661"/>
      <c r="G238" s="1661"/>
      <c r="H238" s="1666">
        <v>6</v>
      </c>
      <c r="I238" s="1649">
        <v>37</v>
      </c>
      <c r="J238" s="1649">
        <f>ROUND(H238*I238,2)</f>
        <v>222</v>
      </c>
      <c r="K238" s="1513"/>
    </row>
    <row r="239" spans="1:11" ht="14.4" hidden="1">
      <c r="A239" s="1639"/>
      <c r="B239" s="1665"/>
      <c r="C239" s="1654" t="s">
        <v>1484</v>
      </c>
      <c r="D239" s="1660" t="s">
        <v>539</v>
      </c>
      <c r="E239" s="1649">
        <v>1.5</v>
      </c>
      <c r="F239" s="1661"/>
      <c r="G239" s="1649">
        <v>2.4</v>
      </c>
      <c r="H239" s="1661">
        <f>ROUND(G239*E239*2.25/3,2)</f>
        <v>2.7</v>
      </c>
      <c r="I239" s="1649">
        <f>I228</f>
        <v>577.61900000000003</v>
      </c>
      <c r="J239" s="1649">
        <f>H239*I239/10</f>
        <v>155.95713000000003</v>
      </c>
      <c r="K239" s="1513"/>
    </row>
    <row r="240" spans="1:11" ht="14.4" hidden="1">
      <c r="A240" s="1639"/>
      <c r="B240" s="1665"/>
      <c r="C240" s="1654" t="s">
        <v>230</v>
      </c>
      <c r="D240" s="1660"/>
      <c r="E240" s="1649"/>
      <c r="F240" s="1661"/>
      <c r="G240" s="1661"/>
      <c r="H240" s="1666">
        <v>1</v>
      </c>
      <c r="I240" s="1649">
        <v>60</v>
      </c>
      <c r="J240" s="1649">
        <f>H240*I240</f>
        <v>60</v>
      </c>
      <c r="K240" s="1513"/>
    </row>
    <row r="241" spans="1:18" ht="14.4" hidden="1">
      <c r="A241" s="1639"/>
      <c r="B241" s="1665"/>
      <c r="C241" s="1654"/>
      <c r="D241" s="1660"/>
      <c r="E241" s="1649"/>
      <c r="F241" s="1661"/>
      <c r="G241" s="1661"/>
      <c r="H241" s="1661"/>
      <c r="I241" s="1649"/>
      <c r="J241" s="1649">
        <f>SUM(J235:J240)</f>
        <v>14153.597130000002</v>
      </c>
      <c r="K241" s="1513"/>
    </row>
    <row r="242" spans="1:18" s="1520" customFormat="1" ht="14.4" hidden="1">
      <c r="A242" s="1639"/>
      <c r="B242" s="1667"/>
      <c r="C242" s="1654" t="s">
        <v>1600</v>
      </c>
      <c r="D242" s="1664"/>
      <c r="E242" s="1658"/>
      <c r="F242" s="1662"/>
      <c r="G242" s="1662"/>
      <c r="H242" s="1662">
        <f>J241</f>
        <v>14153.597130000002</v>
      </c>
      <c r="I242" s="1658">
        <f>'Lead- Input sheet '!Q32</f>
        <v>0</v>
      </c>
      <c r="J242" s="1658">
        <f>ROUND(H242*I242,2)</f>
        <v>0</v>
      </c>
      <c r="K242" s="1523"/>
    </row>
    <row r="243" spans="1:18" s="1520" customFormat="1" ht="28.8" hidden="1">
      <c r="A243" s="1639" t="s">
        <v>1302</v>
      </c>
      <c r="B243" s="1667"/>
      <c r="C243" s="1639" t="s">
        <v>2272</v>
      </c>
      <c r="D243" s="1664"/>
      <c r="E243" s="1658"/>
      <c r="F243" s="1662"/>
      <c r="G243" s="1662"/>
      <c r="H243" s="1662"/>
      <c r="I243" s="1658" t="s">
        <v>1486</v>
      </c>
      <c r="J243" s="1658">
        <f>SUM(J241:J242)</f>
        <v>14153.597130000002</v>
      </c>
      <c r="K243" s="1523"/>
    </row>
    <row r="244" spans="1:18" s="1520" customFormat="1" ht="14.4" hidden="1">
      <c r="A244" s="1639"/>
      <c r="B244" s="1667"/>
      <c r="C244" s="1639" t="s">
        <v>2273</v>
      </c>
      <c r="D244" s="1664"/>
      <c r="E244" s="1658"/>
      <c r="F244" s="1662"/>
      <c r="G244" s="1662"/>
      <c r="H244" s="1662"/>
      <c r="I244" s="1658" t="s">
        <v>1486</v>
      </c>
      <c r="J244" s="1658">
        <f>J232-J243</f>
        <v>10162.824259999998</v>
      </c>
      <c r="K244" s="1523"/>
    </row>
    <row r="245" spans="1:18" ht="72" hidden="1">
      <c r="A245" s="1639"/>
      <c r="B245" s="1659">
        <v>7</v>
      </c>
      <c r="C245" s="1639" t="s">
        <v>1829</v>
      </c>
      <c r="D245" s="1660"/>
      <c r="E245" s="1649"/>
      <c r="F245" s="1661" t="s">
        <v>2652</v>
      </c>
      <c r="G245" s="1661" t="s">
        <v>1793</v>
      </c>
      <c r="H245" s="1662"/>
      <c r="I245" s="1658"/>
      <c r="J245" s="1658"/>
      <c r="K245" s="1513"/>
    </row>
    <row r="246" spans="1:18" ht="14.4" hidden="1">
      <c r="A246" s="1639"/>
      <c r="B246" s="1665"/>
      <c r="C246" s="1639" t="s">
        <v>2632</v>
      </c>
      <c r="D246" s="1660"/>
      <c r="E246" s="1649"/>
      <c r="F246" s="1661">
        <v>1.2</v>
      </c>
      <c r="G246" s="1661">
        <v>1.2</v>
      </c>
      <c r="H246" s="1661"/>
      <c r="I246" s="1649"/>
      <c r="J246" s="1649"/>
      <c r="K246" s="1525" t="s">
        <v>1775</v>
      </c>
      <c r="L246" s="1466"/>
      <c r="M246" s="1462"/>
      <c r="N246" s="1522"/>
      <c r="O246" s="1522"/>
      <c r="P246" s="1522"/>
      <c r="Q246" s="1462"/>
      <c r="R246" s="1462"/>
    </row>
    <row r="247" spans="1:18" ht="14.4" hidden="1">
      <c r="A247" s="1639"/>
      <c r="B247" s="1665"/>
      <c r="C247" s="1654" t="s">
        <v>848</v>
      </c>
      <c r="D247" s="1660"/>
      <c r="E247" s="1649"/>
      <c r="F247" s="1661"/>
      <c r="G247" s="1661"/>
      <c r="H247" s="1661"/>
      <c r="I247" s="1649"/>
      <c r="J247" s="1649"/>
      <c r="K247" s="1473" t="s">
        <v>848</v>
      </c>
      <c r="L247" s="1466"/>
      <c r="M247" s="1462"/>
      <c r="N247" s="1522"/>
      <c r="O247" s="1522"/>
      <c r="P247" s="1522"/>
      <c r="Q247" s="1462"/>
      <c r="R247" s="1462"/>
    </row>
    <row r="248" spans="1:18" ht="14.4" hidden="1">
      <c r="A248" s="1639"/>
      <c r="B248" s="1665"/>
      <c r="C248" s="1654" t="s">
        <v>780</v>
      </c>
      <c r="D248" s="1660">
        <v>4</v>
      </c>
      <c r="E248" s="1649">
        <f>G246</f>
        <v>1.2</v>
      </c>
      <c r="F248" s="1661">
        <v>0.1</v>
      </c>
      <c r="G248" s="1661">
        <v>7.4999999999999997E-2</v>
      </c>
      <c r="H248" s="1661">
        <f>ROUND(D248*E248*F248*G248,3)</f>
        <v>3.5999999999999997E-2</v>
      </c>
      <c r="I248" s="1649">
        <f>I210</f>
        <v>52615</v>
      </c>
      <c r="J248" s="1649">
        <f t="shared" ref="J248:J253" si="15">ROUND(H248*I248,2)</f>
        <v>1894.14</v>
      </c>
      <c r="K248" s="1473" t="s">
        <v>780</v>
      </c>
      <c r="L248" s="1466">
        <v>3</v>
      </c>
      <c r="M248" s="1462">
        <v>1.2</v>
      </c>
      <c r="N248" s="1522">
        <v>0.1</v>
      </c>
      <c r="O248" s="1522">
        <v>7.4999999999999997E-2</v>
      </c>
      <c r="P248" s="1522">
        <f>ROUND(L248*M248*N248*O248,3)</f>
        <v>2.7E-2</v>
      </c>
      <c r="Q248" s="1462">
        <v>47025</v>
      </c>
      <c r="R248" s="1462">
        <f t="shared" ref="R248:R253" si="16">ROUND(P248*Q248,2)</f>
        <v>1269.68</v>
      </c>
    </row>
    <row r="249" spans="1:18" ht="14.4" hidden="1">
      <c r="A249" s="1639"/>
      <c r="B249" s="1665"/>
      <c r="C249" s="1654" t="s">
        <v>781</v>
      </c>
      <c r="D249" s="1660">
        <v>2</v>
      </c>
      <c r="E249" s="1649">
        <f>+F246+0.15</f>
        <v>1.3499999999999999</v>
      </c>
      <c r="F249" s="1661">
        <v>0.1</v>
      </c>
      <c r="G249" s="1661">
        <v>7.4999999999999997E-2</v>
      </c>
      <c r="H249" s="1661">
        <f>ROUND(D249*E249*F249*G249,3)</f>
        <v>0.02</v>
      </c>
      <c r="I249" s="1649">
        <f>I248</f>
        <v>52615</v>
      </c>
      <c r="J249" s="1649">
        <f t="shared" si="15"/>
        <v>1052.3</v>
      </c>
      <c r="K249" s="1473" t="s">
        <v>781</v>
      </c>
      <c r="L249" s="1466">
        <v>2</v>
      </c>
      <c r="M249" s="1462">
        <v>1.05</v>
      </c>
      <c r="N249" s="1522">
        <v>0.1</v>
      </c>
      <c r="O249" s="1522">
        <v>7.4999999999999997E-2</v>
      </c>
      <c r="P249" s="1522">
        <f>ROUND(L249*M249*N249*O249,3)</f>
        <v>1.6E-2</v>
      </c>
      <c r="Q249" s="1462">
        <v>47025</v>
      </c>
      <c r="R249" s="1462">
        <f t="shared" si="16"/>
        <v>752.4</v>
      </c>
    </row>
    <row r="250" spans="1:18" ht="14.4" hidden="1">
      <c r="A250" s="1639"/>
      <c r="B250" s="1665"/>
      <c r="C250" s="1654" t="s">
        <v>782</v>
      </c>
      <c r="D250" s="1660" t="s">
        <v>243</v>
      </c>
      <c r="E250" s="1652">
        <f>(G246-2*0.075+2*0.015)</f>
        <v>1.08</v>
      </c>
      <c r="F250" s="1661">
        <v>7.4999999999999997E-2</v>
      </c>
      <c r="G250" s="1661">
        <f>1.25*25.4/1000</f>
        <v>3.175E-2</v>
      </c>
      <c r="H250" s="1661">
        <f>ROUND(6*E250*F250*G250,3)</f>
        <v>1.4999999999999999E-2</v>
      </c>
      <c r="I250" s="1649">
        <f>I212</f>
        <v>70153</v>
      </c>
      <c r="J250" s="1649">
        <f t="shared" si="15"/>
        <v>1052.3</v>
      </c>
      <c r="K250" s="1473" t="s">
        <v>782</v>
      </c>
      <c r="L250" s="1466" t="s">
        <v>234</v>
      </c>
      <c r="M250" s="1469">
        <f>(1.2-2*0.075+2*0.015)</f>
        <v>1.08</v>
      </c>
      <c r="N250" s="1522">
        <v>7.4999999999999997E-2</v>
      </c>
      <c r="O250" s="1522">
        <f>1.25*25.4/1000</f>
        <v>3.175E-2</v>
      </c>
      <c r="P250" s="1522">
        <f>ROUND(4*M250*N250*O250,3)</f>
        <v>0.01</v>
      </c>
      <c r="Q250" s="1462">
        <v>62701</v>
      </c>
      <c r="R250" s="1462">
        <f t="shared" si="16"/>
        <v>627.01</v>
      </c>
    </row>
    <row r="251" spans="1:18" ht="14.4" hidden="1">
      <c r="A251" s="1639"/>
      <c r="B251" s="1665"/>
      <c r="C251" s="1654" t="s">
        <v>783</v>
      </c>
      <c r="D251" s="1660" t="s">
        <v>244</v>
      </c>
      <c r="E251" s="1649">
        <f>(F246-3*0.075+4*0.015)/2</f>
        <v>0.51749999999999996</v>
      </c>
      <c r="F251" s="1661">
        <v>7.4999999999999997E-2</v>
      </c>
      <c r="G251" s="1661">
        <f>1.25*25.4/1000</f>
        <v>3.175E-2</v>
      </c>
      <c r="H251" s="1661">
        <f>ROUND(9*E251*F251*G251,3)</f>
        <v>1.0999999999999999E-2</v>
      </c>
      <c r="I251" s="1649">
        <f>I213</f>
        <v>70153</v>
      </c>
      <c r="J251" s="1649">
        <f t="shared" si="15"/>
        <v>771.68</v>
      </c>
      <c r="K251" s="1473" t="s">
        <v>783</v>
      </c>
      <c r="L251" s="1466" t="s">
        <v>235</v>
      </c>
      <c r="M251" s="1462">
        <f>(0.9-3*0.075+4*0.015)/2</f>
        <v>0.36750000000000005</v>
      </c>
      <c r="N251" s="1522">
        <v>7.4999999999999997E-2</v>
      </c>
      <c r="O251" s="1522">
        <f>1.25*25.4/1000</f>
        <v>3.175E-2</v>
      </c>
      <c r="P251" s="1522">
        <f>ROUND(6*M251*N251*O251,3)</f>
        <v>5.0000000000000001E-3</v>
      </c>
      <c r="Q251" s="1462">
        <v>62701</v>
      </c>
      <c r="R251" s="1462">
        <f t="shared" si="16"/>
        <v>313.51</v>
      </c>
    </row>
    <row r="252" spans="1:18" ht="14.4" hidden="1">
      <c r="A252" s="1639"/>
      <c r="B252" s="1665"/>
      <c r="C252" s="1654" t="s">
        <v>1481</v>
      </c>
      <c r="D252" s="1660" t="s">
        <v>245</v>
      </c>
      <c r="E252" s="1649">
        <f>(F246-4*0.075+4*0.015)/2-4*0.075+2*0.025</f>
        <v>0.22999999999999998</v>
      </c>
      <c r="F252" s="1661">
        <f>(G246-2*0.075+2*0.015-3*0.075)/2+2*0.025</f>
        <v>0.47750000000000004</v>
      </c>
      <c r="G252" s="1661">
        <v>2.5000000000000001E-2</v>
      </c>
      <c r="H252" s="1661">
        <f>ROUND(6*E252*F252*G252,3)</f>
        <v>1.6E-2</v>
      </c>
      <c r="I252" s="1649">
        <f>+I251</f>
        <v>70153</v>
      </c>
      <c r="J252" s="1649">
        <f t="shared" si="15"/>
        <v>1122.45</v>
      </c>
      <c r="K252" s="1473" t="s">
        <v>1481</v>
      </c>
      <c r="L252" s="1466" t="s">
        <v>236</v>
      </c>
      <c r="M252" s="1462">
        <f>(0.9-3*0.075+4*0.015)/2-2*0.075+2*0.025</f>
        <v>0.26750000000000007</v>
      </c>
      <c r="N252" s="1522">
        <f>(1.2-2*0.075+2*0.015-3*0.075)/2+2*0.025</f>
        <v>0.47750000000000004</v>
      </c>
      <c r="O252" s="1522">
        <v>2.5000000000000001E-2</v>
      </c>
      <c r="P252" s="1522">
        <f>ROUND(4*M252*N252*O252,3)</f>
        <v>1.2999999999999999E-2</v>
      </c>
      <c r="Q252" s="1462">
        <v>62701</v>
      </c>
      <c r="R252" s="1462">
        <f t="shared" si="16"/>
        <v>815.11</v>
      </c>
    </row>
    <row r="253" spans="1:18" ht="14.4" hidden="1">
      <c r="A253" s="1639"/>
      <c r="B253" s="1665"/>
      <c r="C253" s="1654" t="s">
        <v>1482</v>
      </c>
      <c r="D253" s="1660"/>
      <c r="E253" s="1649"/>
      <c r="F253" s="1661"/>
      <c r="G253" s="1661"/>
      <c r="H253" s="1661">
        <f>SUM(H248:H252)</f>
        <v>9.799999999999999E-2</v>
      </c>
      <c r="I253" s="1649">
        <f>G25</f>
        <v>19572.5</v>
      </c>
      <c r="J253" s="1649">
        <f t="shared" si="15"/>
        <v>1918.11</v>
      </c>
      <c r="K253" s="1473" t="s">
        <v>1482</v>
      </c>
      <c r="L253" s="1466"/>
      <c r="M253" s="1462"/>
      <c r="N253" s="1522"/>
      <c r="O253" s="1522"/>
      <c r="P253" s="1522">
        <f>SUM(P248:P252)</f>
        <v>7.0999999999999994E-2</v>
      </c>
      <c r="Q253" s="1462">
        <f>I253</f>
        <v>19572.5</v>
      </c>
      <c r="R253" s="1462">
        <f t="shared" si="16"/>
        <v>1389.65</v>
      </c>
    </row>
    <row r="254" spans="1:18" ht="43.2" hidden="1">
      <c r="A254" s="1639" t="s">
        <v>787</v>
      </c>
      <c r="B254" s="1638"/>
      <c r="C254" s="1654" t="s">
        <v>788</v>
      </c>
      <c r="D254" s="1660"/>
      <c r="E254" s="1649"/>
      <c r="F254" s="1661"/>
      <c r="G254" s="1662"/>
      <c r="H254" s="1662"/>
      <c r="I254" s="1649"/>
      <c r="J254" s="1649"/>
      <c r="K254" s="1473" t="s">
        <v>788</v>
      </c>
      <c r="L254" s="1466"/>
      <c r="M254" s="1462"/>
      <c r="N254" s="1522"/>
      <c r="O254" s="1526"/>
      <c r="P254" s="1526"/>
      <c r="Q254" s="1462"/>
      <c r="R254" s="1462"/>
    </row>
    <row r="255" spans="1:18" ht="14.4" hidden="1">
      <c r="A255" s="1639"/>
      <c r="B255" s="1654"/>
      <c r="C255" s="1659" t="s">
        <v>915</v>
      </c>
      <c r="D255" s="1649" t="s">
        <v>1035</v>
      </c>
      <c r="E255" s="1661" t="s">
        <v>1618</v>
      </c>
      <c r="F255" s="1661"/>
      <c r="G255" s="1661"/>
      <c r="H255" s="1666">
        <v>2</v>
      </c>
      <c r="I255" s="1649">
        <v>40</v>
      </c>
      <c r="J255" s="1649">
        <f t="shared" ref="J255:J260" si="17">ROUND(H255*I255,2)</f>
        <v>80</v>
      </c>
      <c r="K255" s="1513" t="s">
        <v>915</v>
      </c>
      <c r="L255" s="1462" t="s">
        <v>1035</v>
      </c>
      <c r="M255" s="1522" t="s">
        <v>1624</v>
      </c>
      <c r="N255" s="1522"/>
      <c r="O255" s="1522"/>
      <c r="P255" s="1527">
        <v>2</v>
      </c>
      <c r="Q255" s="1462">
        <v>37</v>
      </c>
      <c r="R255" s="1462">
        <f t="shared" ref="R255:R260" si="18">ROUND(P255*Q255,2)</f>
        <v>74</v>
      </c>
    </row>
    <row r="256" spans="1:18" ht="14.4" hidden="1">
      <c r="A256" s="1639"/>
      <c r="B256" s="1654"/>
      <c r="C256" s="1659" t="s">
        <v>916</v>
      </c>
      <c r="D256" s="1649" t="s">
        <v>1035</v>
      </c>
      <c r="E256" s="1661" t="s">
        <v>1618</v>
      </c>
      <c r="F256" s="1661"/>
      <c r="G256" s="1661"/>
      <c r="H256" s="1666">
        <v>2</v>
      </c>
      <c r="I256" s="1649">
        <v>40</v>
      </c>
      <c r="J256" s="1649">
        <f t="shared" si="17"/>
        <v>80</v>
      </c>
      <c r="K256" s="1513" t="s">
        <v>916</v>
      </c>
      <c r="L256" s="1462" t="s">
        <v>1035</v>
      </c>
      <c r="M256" s="1522" t="s">
        <v>1624</v>
      </c>
      <c r="N256" s="1522"/>
      <c r="O256" s="1522"/>
      <c r="P256" s="1527">
        <v>2</v>
      </c>
      <c r="Q256" s="1462">
        <v>37</v>
      </c>
      <c r="R256" s="1462">
        <f t="shared" si="18"/>
        <v>74</v>
      </c>
    </row>
    <row r="257" spans="1:18" ht="14.4" hidden="1">
      <c r="A257" s="1639"/>
      <c r="B257" s="1654"/>
      <c r="C257" s="1659" t="s">
        <v>917</v>
      </c>
      <c r="D257" s="1649" t="s">
        <v>1035</v>
      </c>
      <c r="E257" s="1661" t="s">
        <v>1984</v>
      </c>
      <c r="F257" s="1661"/>
      <c r="G257" s="1661"/>
      <c r="H257" s="1666">
        <v>4</v>
      </c>
      <c r="I257" s="1649">
        <v>25</v>
      </c>
      <c r="J257" s="1649">
        <f t="shared" si="17"/>
        <v>100</v>
      </c>
      <c r="K257" s="1513" t="s">
        <v>917</v>
      </c>
      <c r="L257" s="1462" t="s">
        <v>1035</v>
      </c>
      <c r="M257" s="1522" t="s">
        <v>1625</v>
      </c>
      <c r="N257" s="1522"/>
      <c r="O257" s="1522"/>
      <c r="P257" s="1527">
        <v>4</v>
      </c>
      <c r="Q257" s="1462">
        <v>23</v>
      </c>
      <c r="R257" s="1462">
        <f t="shared" si="18"/>
        <v>92</v>
      </c>
    </row>
    <row r="258" spans="1:18" ht="14.4" hidden="1">
      <c r="A258" s="1639"/>
      <c r="B258" s="1654"/>
      <c r="C258" s="1659" t="s">
        <v>918</v>
      </c>
      <c r="D258" s="1649" t="s">
        <v>1035</v>
      </c>
      <c r="E258" s="1661" t="s">
        <v>1985</v>
      </c>
      <c r="F258" s="1661"/>
      <c r="G258" s="1661"/>
      <c r="H258" s="1666">
        <v>2</v>
      </c>
      <c r="I258" s="1649">
        <v>239</v>
      </c>
      <c r="J258" s="1649">
        <f t="shared" si="17"/>
        <v>478</v>
      </c>
      <c r="K258" s="1513" t="s">
        <v>918</v>
      </c>
      <c r="L258" s="1462" t="s">
        <v>1035</v>
      </c>
      <c r="M258" s="1522" t="s">
        <v>1626</v>
      </c>
      <c r="N258" s="1522"/>
      <c r="O258" s="1522"/>
      <c r="P258" s="1527">
        <v>2</v>
      </c>
      <c r="Q258" s="1462">
        <v>224</v>
      </c>
      <c r="R258" s="1462">
        <f t="shared" si="18"/>
        <v>448</v>
      </c>
    </row>
    <row r="259" spans="1:18" ht="14.4" hidden="1">
      <c r="A259" s="1639"/>
      <c r="B259" s="1654"/>
      <c r="C259" s="1659" t="s">
        <v>799</v>
      </c>
      <c r="D259" s="1649" t="s">
        <v>882</v>
      </c>
      <c r="E259" s="1661" t="s">
        <v>1652</v>
      </c>
      <c r="F259" s="1661"/>
      <c r="G259" s="1661"/>
      <c r="H259" s="1666">
        <v>60</v>
      </c>
      <c r="I259" s="1649">
        <v>3</v>
      </c>
      <c r="J259" s="1649">
        <f t="shared" si="17"/>
        <v>180</v>
      </c>
      <c r="K259" s="1513" t="s">
        <v>799</v>
      </c>
      <c r="L259" s="1462" t="s">
        <v>882</v>
      </c>
      <c r="M259" s="1522" t="s">
        <v>1652</v>
      </c>
      <c r="N259" s="1522"/>
      <c r="O259" s="1522"/>
      <c r="P259" s="1527">
        <v>60</v>
      </c>
      <c r="Q259" s="1462">
        <v>4</v>
      </c>
      <c r="R259" s="1462">
        <f t="shared" si="18"/>
        <v>240</v>
      </c>
    </row>
    <row r="260" spans="1:18" ht="14.4" hidden="1">
      <c r="A260" s="1639"/>
      <c r="B260" s="1654"/>
      <c r="C260" s="1659" t="s">
        <v>1598</v>
      </c>
      <c r="D260" s="1649"/>
      <c r="E260" s="1652" t="s">
        <v>1651</v>
      </c>
      <c r="F260" s="1661"/>
      <c r="G260" s="1661"/>
      <c r="H260" s="1666">
        <v>4</v>
      </c>
      <c r="I260" s="1649">
        <v>37</v>
      </c>
      <c r="J260" s="1649">
        <f t="shared" si="17"/>
        <v>148</v>
      </c>
      <c r="K260" s="1513" t="s">
        <v>1598</v>
      </c>
      <c r="L260" s="1462"/>
      <c r="M260" s="1528" t="s">
        <v>1651</v>
      </c>
      <c r="N260" s="1522"/>
      <c r="O260" s="1522"/>
      <c r="P260" s="1527">
        <v>4</v>
      </c>
      <c r="Q260" s="1462">
        <v>34</v>
      </c>
      <c r="R260" s="1462">
        <f t="shared" si="18"/>
        <v>136</v>
      </c>
    </row>
    <row r="261" spans="1:18" ht="14.4" hidden="1">
      <c r="A261" s="1639"/>
      <c r="B261" s="1654"/>
      <c r="C261" s="1659" t="s">
        <v>1484</v>
      </c>
      <c r="D261" s="1649">
        <v>2.75</v>
      </c>
      <c r="E261" s="1661">
        <f>F246</f>
        <v>1.2</v>
      </c>
      <c r="F261" s="1661"/>
      <c r="G261" s="1649">
        <f>G246</f>
        <v>1.2</v>
      </c>
      <c r="H261" s="1661">
        <f>ROUND(G261*E261*D261,2)</f>
        <v>3.96</v>
      </c>
      <c r="I261" s="1649">
        <f>G15</f>
        <v>577.61900000000003</v>
      </c>
      <c r="J261" s="1649">
        <f>ROUND(H261*I261/10,2)</f>
        <v>228.74</v>
      </c>
      <c r="K261" s="1513" t="s">
        <v>1484</v>
      </c>
      <c r="L261" s="1462">
        <v>2.75</v>
      </c>
      <c r="M261" s="1522">
        <v>0.9</v>
      </c>
      <c r="N261" s="1522"/>
      <c r="O261" s="1462">
        <v>1.35</v>
      </c>
      <c r="P261" s="1522">
        <f>ROUND(O261*M261*L261,2)</f>
        <v>3.34</v>
      </c>
      <c r="Q261" s="1462">
        <f>I261</f>
        <v>577.61900000000003</v>
      </c>
      <c r="R261" s="1462">
        <f>ROUND(P261*Q261/10,2)</f>
        <v>192.92</v>
      </c>
    </row>
    <row r="262" spans="1:18" s="1470" customFormat="1" ht="14.4" hidden="1">
      <c r="A262" s="1639"/>
      <c r="B262" s="1654"/>
      <c r="C262" s="1659" t="s">
        <v>1306</v>
      </c>
      <c r="D262" s="1649" t="s">
        <v>246</v>
      </c>
      <c r="E262" s="1661">
        <f>F246</f>
        <v>1.2</v>
      </c>
      <c r="F262" s="1661">
        <f>E262*10</f>
        <v>12</v>
      </c>
      <c r="G262" s="1649">
        <v>0.89</v>
      </c>
      <c r="H262" s="1661">
        <f>G262*F262</f>
        <v>10.68</v>
      </c>
      <c r="I262" s="1649">
        <f>'Lead- Input sheet '!R10/1000</f>
        <v>69.62</v>
      </c>
      <c r="J262" s="1649">
        <f>H262*I262</f>
        <v>743.54160000000002</v>
      </c>
      <c r="K262" s="1513" t="s">
        <v>1306</v>
      </c>
      <c r="L262" s="1462" t="s">
        <v>246</v>
      </c>
      <c r="M262" s="1522">
        <v>0.9</v>
      </c>
      <c r="N262" s="1522">
        <f>M262*10</f>
        <v>9</v>
      </c>
      <c r="O262" s="1462">
        <v>1.1299999999999999</v>
      </c>
      <c r="P262" s="1522">
        <f>O262*N262</f>
        <v>10.169999999999998</v>
      </c>
      <c r="Q262" s="1462">
        <f>I262</f>
        <v>69.62</v>
      </c>
      <c r="R262" s="1462">
        <f>P262*Q262</f>
        <v>708.03539999999987</v>
      </c>
    </row>
    <row r="263" spans="1:18" ht="14.4" hidden="1">
      <c r="A263" s="1639"/>
      <c r="B263" s="1654"/>
      <c r="C263" s="1659" t="s">
        <v>230</v>
      </c>
      <c r="D263" s="1649"/>
      <c r="E263" s="1661"/>
      <c r="F263" s="1661"/>
      <c r="G263" s="1661"/>
      <c r="H263" s="1666">
        <v>1</v>
      </c>
      <c r="I263" s="1649">
        <v>100</v>
      </c>
      <c r="J263" s="1649">
        <f>H263*I263</f>
        <v>100</v>
      </c>
      <c r="K263" s="1513" t="s">
        <v>230</v>
      </c>
      <c r="L263" s="1462"/>
      <c r="M263" s="1522"/>
      <c r="N263" s="1522"/>
      <c r="O263" s="1522"/>
      <c r="P263" s="1527">
        <v>1</v>
      </c>
      <c r="Q263" s="1462">
        <v>100</v>
      </c>
      <c r="R263" s="1462">
        <f>P263*Q263</f>
        <v>100</v>
      </c>
    </row>
    <row r="264" spans="1:18" ht="14.4" hidden="1">
      <c r="A264" s="1639"/>
      <c r="B264" s="1665"/>
      <c r="C264" s="1654"/>
      <c r="D264" s="1660"/>
      <c r="E264" s="1649"/>
      <c r="F264" s="1661"/>
      <c r="G264" s="1661"/>
      <c r="H264" s="1661"/>
      <c r="I264" s="1649"/>
      <c r="J264" s="1649">
        <f>SUM(J248:J263)</f>
        <v>9949.2615999999998</v>
      </c>
      <c r="K264" s="1473"/>
      <c r="L264" s="1466"/>
      <c r="M264" s="1462"/>
      <c r="N264" s="1522"/>
      <c r="O264" s="1522"/>
      <c r="P264" s="1522"/>
      <c r="Q264" s="1462"/>
      <c r="R264" s="1462">
        <f>SUM(R248:R263)</f>
        <v>7232.3154000000004</v>
      </c>
    </row>
    <row r="265" spans="1:18" s="1520" customFormat="1" ht="14.4" hidden="1">
      <c r="A265" s="1639"/>
      <c r="B265" s="1667"/>
      <c r="C265" s="1654" t="s">
        <v>1600</v>
      </c>
      <c r="D265" s="1664"/>
      <c r="E265" s="1658"/>
      <c r="F265" s="1662"/>
      <c r="G265" s="1662"/>
      <c r="H265" s="1662">
        <f>J264</f>
        <v>9949.2615999999998</v>
      </c>
      <c r="I265" s="1658">
        <f>I6</f>
        <v>0</v>
      </c>
      <c r="J265" s="1658">
        <f>ROUND(H265*I265,2)</f>
        <v>0</v>
      </c>
      <c r="K265" s="1473" t="s">
        <v>1600</v>
      </c>
      <c r="L265" s="1465"/>
      <c r="M265" s="1468"/>
      <c r="N265" s="1526"/>
      <c r="O265" s="1526"/>
      <c r="P265" s="1526">
        <f>R264</f>
        <v>7232.3154000000004</v>
      </c>
      <c r="Q265" s="1468">
        <f>Q6</f>
        <v>0</v>
      </c>
      <c r="R265" s="1468">
        <f>ROUND(P265*Q265,2)</f>
        <v>0</v>
      </c>
    </row>
    <row r="266" spans="1:18" s="1520" customFormat="1" ht="14.4" hidden="1">
      <c r="A266" s="1639"/>
      <c r="B266" s="1667"/>
      <c r="C266" s="1639" t="s">
        <v>256</v>
      </c>
      <c r="D266" s="1664"/>
      <c r="E266" s="1658"/>
      <c r="F266" s="1662"/>
      <c r="G266" s="1662"/>
      <c r="H266" s="1662"/>
      <c r="I266" s="1658" t="s">
        <v>416</v>
      </c>
      <c r="J266" s="1658">
        <f>SUM(J264:J265)</f>
        <v>9949.2615999999998</v>
      </c>
      <c r="K266" s="1525" t="s">
        <v>256</v>
      </c>
      <c r="L266" s="1465"/>
      <c r="M266" s="1468"/>
      <c r="N266" s="1526"/>
      <c r="O266" s="1526"/>
      <c r="P266" s="1526"/>
      <c r="Q266" s="1468" t="s">
        <v>416</v>
      </c>
      <c r="R266" s="1468">
        <f>SUM(R264:R265)</f>
        <v>7232.3154000000004</v>
      </c>
    </row>
    <row r="267" spans="1:18" ht="14.4" hidden="1">
      <c r="A267" s="1639"/>
      <c r="B267" s="1665"/>
      <c r="C267" s="1639" t="s">
        <v>2633</v>
      </c>
      <c r="D267" s="1660"/>
      <c r="E267" s="1649"/>
      <c r="F267" s="1661"/>
      <c r="G267" s="1661"/>
      <c r="H267" s="1661"/>
      <c r="I267" s="1649"/>
      <c r="J267" s="1649"/>
      <c r="K267" s="1525" t="s">
        <v>1307</v>
      </c>
      <c r="L267" s="1466"/>
      <c r="M267" s="1462"/>
      <c r="N267" s="1522"/>
      <c r="O267" s="1522"/>
      <c r="P267" s="1522"/>
      <c r="Q267" s="1462"/>
      <c r="R267" s="1462"/>
    </row>
    <row r="268" spans="1:18" ht="14.4" hidden="1">
      <c r="A268" s="1639"/>
      <c r="B268" s="1665"/>
      <c r="C268" s="1654" t="s">
        <v>848</v>
      </c>
      <c r="D268" s="1660"/>
      <c r="E268" s="1649"/>
      <c r="F268" s="1661"/>
      <c r="G268" s="1661"/>
      <c r="H268" s="1661"/>
      <c r="I268" s="1649"/>
      <c r="J268" s="1649"/>
      <c r="K268" s="1473" t="s">
        <v>848</v>
      </c>
      <c r="L268" s="1466"/>
      <c r="M268" s="1462"/>
      <c r="N268" s="1522"/>
      <c r="O268" s="1522"/>
      <c r="P268" s="1522"/>
      <c r="Q268" s="1462"/>
      <c r="R268" s="1462"/>
    </row>
    <row r="269" spans="1:18" ht="14.4" hidden="1">
      <c r="A269" s="1639"/>
      <c r="B269" s="1665"/>
      <c r="C269" s="1654" t="s">
        <v>780</v>
      </c>
      <c r="D269" s="1660">
        <f t="shared" ref="D269:G270" si="19">+D248</f>
        <v>4</v>
      </c>
      <c r="E269" s="1660">
        <f t="shared" si="19"/>
        <v>1.2</v>
      </c>
      <c r="F269" s="1660">
        <f t="shared" si="19"/>
        <v>0.1</v>
      </c>
      <c r="G269" s="1660">
        <f t="shared" si="19"/>
        <v>7.4999999999999997E-2</v>
      </c>
      <c r="H269" s="1661">
        <f>ROUND(D269*E269*F269*G269,3)</f>
        <v>3.5999999999999997E-2</v>
      </c>
      <c r="I269" s="1649">
        <f>I248</f>
        <v>52615</v>
      </c>
      <c r="J269" s="1649">
        <f>ROUND(H269*I269,2)</f>
        <v>1894.14</v>
      </c>
      <c r="K269" s="1473" t="s">
        <v>780</v>
      </c>
      <c r="L269" s="1466">
        <v>3</v>
      </c>
      <c r="M269" s="1462">
        <v>1.2</v>
      </c>
      <c r="N269" s="1522">
        <v>0.1</v>
      </c>
      <c r="O269" s="1522">
        <v>7.4999999999999997E-2</v>
      </c>
      <c r="P269" s="1522">
        <f>ROUND(L269*M269*N269*O269,3)</f>
        <v>2.7E-2</v>
      </c>
      <c r="Q269" s="1462">
        <v>47025</v>
      </c>
      <c r="R269" s="1462">
        <f>ROUND(P269*Q269,2)</f>
        <v>1269.68</v>
      </c>
    </row>
    <row r="270" spans="1:18" ht="14.4" hidden="1">
      <c r="A270" s="1639"/>
      <c r="B270" s="1665"/>
      <c r="C270" s="1654" t="s">
        <v>781</v>
      </c>
      <c r="D270" s="1660">
        <f t="shared" si="19"/>
        <v>2</v>
      </c>
      <c r="E270" s="1660">
        <f t="shared" si="19"/>
        <v>1.3499999999999999</v>
      </c>
      <c r="F270" s="1660">
        <f t="shared" si="19"/>
        <v>0.1</v>
      </c>
      <c r="G270" s="1660">
        <f t="shared" si="19"/>
        <v>7.4999999999999997E-2</v>
      </c>
      <c r="H270" s="1661">
        <f>ROUND(D270*E270*F270*G270,3)</f>
        <v>0.02</v>
      </c>
      <c r="I270" s="1649">
        <f>I249</f>
        <v>52615</v>
      </c>
      <c r="J270" s="1649">
        <f>ROUND(H270*I270,2)</f>
        <v>1052.3</v>
      </c>
      <c r="K270" s="1473" t="s">
        <v>781</v>
      </c>
      <c r="L270" s="1466">
        <v>2</v>
      </c>
      <c r="M270" s="1462">
        <v>1.05</v>
      </c>
      <c r="N270" s="1522">
        <v>0.1</v>
      </c>
      <c r="O270" s="1522">
        <v>7.4999999999999997E-2</v>
      </c>
      <c r="P270" s="1522">
        <f>ROUND(L270*M270*N270*O270,3)</f>
        <v>1.6E-2</v>
      </c>
      <c r="Q270" s="1462">
        <v>47025</v>
      </c>
      <c r="R270" s="1462">
        <f>ROUND(P270*Q270,2)</f>
        <v>752.4</v>
      </c>
    </row>
    <row r="271" spans="1:18" ht="14.4" hidden="1">
      <c r="A271" s="1639"/>
      <c r="B271" s="1665"/>
      <c r="C271" s="1654" t="s">
        <v>1482</v>
      </c>
      <c r="D271" s="1660"/>
      <c r="E271" s="1649"/>
      <c r="F271" s="1661"/>
      <c r="G271" s="1661"/>
      <c r="H271" s="1661">
        <f>SUM(H269:H270)</f>
        <v>5.5999999999999994E-2</v>
      </c>
      <c r="I271" s="1649">
        <f>G25</f>
        <v>19572.5</v>
      </c>
      <c r="J271" s="1649">
        <f>ROUND(H271*I271,2)</f>
        <v>1096.06</v>
      </c>
      <c r="K271" s="1473" t="s">
        <v>1482</v>
      </c>
      <c r="L271" s="1466"/>
      <c r="M271" s="1462"/>
      <c r="N271" s="1522"/>
      <c r="O271" s="1522"/>
      <c r="P271" s="1522">
        <f>SUM(P269:P270)</f>
        <v>4.2999999999999997E-2</v>
      </c>
      <c r="Q271" s="1462">
        <f>I271</f>
        <v>19572.5</v>
      </c>
      <c r="R271" s="1462">
        <f>ROUND(P271*Q271,2)</f>
        <v>841.62</v>
      </c>
    </row>
    <row r="272" spans="1:18" ht="43.2" hidden="1">
      <c r="A272" s="1639" t="s">
        <v>787</v>
      </c>
      <c r="B272" s="1638"/>
      <c r="C272" s="1654" t="s">
        <v>788</v>
      </c>
      <c r="D272" s="1660"/>
      <c r="E272" s="1649"/>
      <c r="F272" s="1661"/>
      <c r="G272" s="1662"/>
      <c r="H272" s="1662"/>
      <c r="I272" s="1649"/>
      <c r="J272" s="1649"/>
      <c r="K272" s="1473" t="s">
        <v>788</v>
      </c>
      <c r="L272" s="1466"/>
      <c r="M272" s="1462"/>
      <c r="N272" s="1522"/>
      <c r="O272" s="1526"/>
      <c r="P272" s="1526"/>
      <c r="Q272" s="1462"/>
      <c r="R272" s="1462"/>
    </row>
    <row r="273" spans="1:18" ht="14.4" hidden="1">
      <c r="A273" s="1639"/>
      <c r="B273" s="1659"/>
      <c r="C273" s="1654" t="s">
        <v>1598</v>
      </c>
      <c r="D273" s="1660"/>
      <c r="E273" s="1652" t="s">
        <v>1651</v>
      </c>
      <c r="F273" s="1661"/>
      <c r="G273" s="1661"/>
      <c r="H273" s="1666">
        <v>4</v>
      </c>
      <c r="I273" s="1649">
        <f>I260</f>
        <v>37</v>
      </c>
      <c r="J273" s="1649">
        <f>ROUND(H273*I273,2)</f>
        <v>148</v>
      </c>
      <c r="K273" s="1473" t="s">
        <v>1598</v>
      </c>
      <c r="L273" s="1466"/>
      <c r="M273" s="1528" t="s">
        <v>1651</v>
      </c>
      <c r="N273" s="1522"/>
      <c r="O273" s="1522"/>
      <c r="P273" s="1527">
        <v>4</v>
      </c>
      <c r="Q273" s="1462">
        <v>34</v>
      </c>
      <c r="R273" s="1462">
        <f>ROUND(P273*Q273,2)</f>
        <v>136</v>
      </c>
    </row>
    <row r="274" spans="1:18" ht="14.4" hidden="1">
      <c r="A274" s="1639"/>
      <c r="B274" s="1665"/>
      <c r="C274" s="1654" t="s">
        <v>1484</v>
      </c>
      <c r="D274" s="1660" t="s">
        <v>544</v>
      </c>
      <c r="E274" s="1649">
        <f>E261</f>
        <v>1.2</v>
      </c>
      <c r="F274" s="1661"/>
      <c r="G274" s="1649">
        <f>G261</f>
        <v>1.2</v>
      </c>
      <c r="H274" s="1661">
        <f>ROUND(G274*E274*2.75/3,2)</f>
        <v>1.32</v>
      </c>
      <c r="I274" s="1649">
        <f>G15</f>
        <v>577.61900000000003</v>
      </c>
      <c r="J274" s="1649">
        <f>ROUND(H274*I274/10,2)</f>
        <v>76.25</v>
      </c>
      <c r="K274" s="1473" t="s">
        <v>1484</v>
      </c>
      <c r="L274" s="1466" t="s">
        <v>544</v>
      </c>
      <c r="M274" s="1462">
        <v>0.9</v>
      </c>
      <c r="N274" s="1522"/>
      <c r="O274" s="1462">
        <v>1.35</v>
      </c>
      <c r="P274" s="1522">
        <f>ROUND(O274*M274*2.75/3,2)</f>
        <v>1.1100000000000001</v>
      </c>
      <c r="Q274" s="1462">
        <f>I274</f>
        <v>577.61900000000003</v>
      </c>
      <c r="R274" s="1462">
        <f>ROUND(P274*Q274/10,2)</f>
        <v>64.12</v>
      </c>
    </row>
    <row r="275" spans="1:18" s="1470" customFormat="1" ht="14.4" hidden="1">
      <c r="A275" s="1639"/>
      <c r="B275" s="1654"/>
      <c r="C275" s="1659" t="s">
        <v>1306</v>
      </c>
      <c r="D275" s="1649" t="s">
        <v>246</v>
      </c>
      <c r="E275" s="1661">
        <f>E274</f>
        <v>1.2</v>
      </c>
      <c r="F275" s="1649">
        <f>E275*10</f>
        <v>12</v>
      </c>
      <c r="G275" s="1649">
        <v>0.89</v>
      </c>
      <c r="H275" s="1661">
        <f>G275*F275</f>
        <v>10.68</v>
      </c>
      <c r="I275" s="1649">
        <f>'Lead- Input sheet '!R10/1000</f>
        <v>69.62</v>
      </c>
      <c r="J275" s="1649">
        <f>H275*I275</f>
        <v>743.54160000000002</v>
      </c>
      <c r="K275" s="1513" t="s">
        <v>1306</v>
      </c>
      <c r="L275" s="1462" t="s">
        <v>246</v>
      </c>
      <c r="M275" s="1522">
        <v>0.9</v>
      </c>
      <c r="N275" s="1462">
        <f>M275*10</f>
        <v>9</v>
      </c>
      <c r="O275" s="1462">
        <v>1.1299999999999999</v>
      </c>
      <c r="P275" s="1522">
        <f>O275*N275</f>
        <v>10.169999999999998</v>
      </c>
      <c r="Q275" s="1462">
        <f>I275</f>
        <v>69.62</v>
      </c>
      <c r="R275" s="1462">
        <f>P275*Q275</f>
        <v>708.03539999999987</v>
      </c>
    </row>
    <row r="276" spans="1:18" ht="14.4" hidden="1">
      <c r="A276" s="1639"/>
      <c r="B276" s="1665"/>
      <c r="C276" s="1654" t="s">
        <v>230</v>
      </c>
      <c r="D276" s="1660"/>
      <c r="E276" s="1649"/>
      <c r="F276" s="1661"/>
      <c r="G276" s="1661"/>
      <c r="H276" s="1666">
        <v>1</v>
      </c>
      <c r="I276" s="1649">
        <v>50</v>
      </c>
      <c r="J276" s="1649">
        <f>ROUND(H276*I276,2)</f>
        <v>50</v>
      </c>
      <c r="K276" s="1473" t="s">
        <v>230</v>
      </c>
      <c r="L276" s="1466"/>
      <c r="M276" s="1462"/>
      <c r="N276" s="1522"/>
      <c r="O276" s="1522"/>
      <c r="P276" s="1527">
        <v>1</v>
      </c>
      <c r="Q276" s="1462">
        <v>50</v>
      </c>
      <c r="R276" s="1462">
        <f>ROUND(P276*Q276,2)</f>
        <v>50</v>
      </c>
    </row>
    <row r="277" spans="1:18" ht="14.4" hidden="1">
      <c r="A277" s="1639"/>
      <c r="B277" s="1665"/>
      <c r="C277" s="1654"/>
      <c r="D277" s="1660"/>
      <c r="E277" s="1649"/>
      <c r="F277" s="1661"/>
      <c r="G277" s="1661"/>
      <c r="H277" s="1661"/>
      <c r="I277" s="1649"/>
      <c r="J277" s="1649">
        <f>SUM(J269:J276)</f>
        <v>5060.2916000000005</v>
      </c>
      <c r="K277" s="1473"/>
      <c r="L277" s="1466"/>
      <c r="M277" s="1462"/>
      <c r="N277" s="1522"/>
      <c r="O277" s="1522"/>
      <c r="P277" s="1522"/>
      <c r="Q277" s="1462"/>
      <c r="R277" s="1462">
        <f>SUM(R269:R276)</f>
        <v>3821.8553999999995</v>
      </c>
    </row>
    <row r="278" spans="1:18" s="1520" customFormat="1" ht="14.4" hidden="1">
      <c r="A278" s="1639"/>
      <c r="B278" s="1667"/>
      <c r="C278" s="1654" t="s">
        <v>1600</v>
      </c>
      <c r="D278" s="1664"/>
      <c r="E278" s="1658"/>
      <c r="F278" s="1662"/>
      <c r="G278" s="1662"/>
      <c r="H278" s="1662">
        <f>J277</f>
        <v>5060.2916000000005</v>
      </c>
      <c r="I278" s="1658">
        <f>I6</f>
        <v>0</v>
      </c>
      <c r="J278" s="1649">
        <f>ROUND(H278*I278,2)</f>
        <v>0</v>
      </c>
      <c r="K278" s="1473" t="s">
        <v>1600</v>
      </c>
      <c r="L278" s="1465"/>
      <c r="M278" s="1468"/>
      <c r="N278" s="1526"/>
      <c r="O278" s="1526"/>
      <c r="P278" s="1526">
        <f>R277</f>
        <v>3821.8553999999995</v>
      </c>
      <c r="Q278" s="1468">
        <f>Q6</f>
        <v>0</v>
      </c>
      <c r="R278" s="1462">
        <f>ROUND(P278*Q278,2)</f>
        <v>0</v>
      </c>
    </row>
    <row r="279" spans="1:18" s="1520" customFormat="1" ht="14.4" hidden="1">
      <c r="A279" s="1639"/>
      <c r="B279" s="1667"/>
      <c r="C279" s="1639" t="s">
        <v>1308</v>
      </c>
      <c r="D279" s="1664"/>
      <c r="E279" s="1658"/>
      <c r="F279" s="1662"/>
      <c r="G279" s="1662"/>
      <c r="H279" s="1662"/>
      <c r="I279" s="1658" t="s">
        <v>416</v>
      </c>
      <c r="J279" s="1658">
        <f>SUM(J277:J278)</f>
        <v>5060.2916000000005</v>
      </c>
      <c r="K279" s="1529" t="s">
        <v>1308</v>
      </c>
      <c r="L279" s="1465"/>
      <c r="M279" s="1468"/>
      <c r="N279" s="1526"/>
      <c r="O279" s="1526"/>
      <c r="P279" s="1526"/>
      <c r="Q279" s="1468" t="s">
        <v>416</v>
      </c>
      <c r="R279" s="1468">
        <f>SUM(R277:R278)</f>
        <v>3821.8553999999995</v>
      </c>
    </row>
    <row r="280" spans="1:18" s="1520" customFormat="1" ht="14.4" hidden="1">
      <c r="A280" s="1639"/>
      <c r="B280" s="1667"/>
      <c r="C280" s="1639" t="s">
        <v>1309</v>
      </c>
      <c r="D280" s="1664"/>
      <c r="E280" s="1658"/>
      <c r="F280" s="1662"/>
      <c r="G280" s="1662"/>
      <c r="H280" s="1662"/>
      <c r="I280" s="1658" t="s">
        <v>416</v>
      </c>
      <c r="J280" s="1658">
        <f>J266-J279</f>
        <v>4888.9699999999993</v>
      </c>
      <c r="K280" s="1529" t="s">
        <v>1309</v>
      </c>
      <c r="L280" s="1465"/>
      <c r="M280" s="1468"/>
      <c r="N280" s="1526"/>
      <c r="O280" s="1526"/>
      <c r="P280" s="1526"/>
      <c r="Q280" s="1468" t="s">
        <v>416</v>
      </c>
      <c r="R280" s="1468">
        <f>R266-R279</f>
        <v>3410.4600000000009</v>
      </c>
    </row>
    <row r="281" spans="1:18" ht="90.3" hidden="1">
      <c r="A281" s="1639"/>
      <c r="B281" s="1659">
        <v>8</v>
      </c>
      <c r="C281" s="1639" t="s">
        <v>1830</v>
      </c>
      <c r="D281" s="1660"/>
      <c r="E281" s="1649"/>
      <c r="F281" s="1661"/>
      <c r="G281" s="1661">
        <f>1827.9+1015+935.23+148+66.91+662.16+50</f>
        <v>4705.2</v>
      </c>
      <c r="H281" s="1661"/>
      <c r="I281" s="1649"/>
      <c r="J281" s="1649"/>
      <c r="K281" s="1525" t="s">
        <v>1935</v>
      </c>
      <c r="L281" s="1466"/>
      <c r="M281" s="1462"/>
      <c r="N281" s="1522">
        <f>3*239</f>
        <v>717</v>
      </c>
      <c r="O281" s="1522"/>
      <c r="P281" s="1522"/>
      <c r="Q281" s="1462"/>
      <c r="R281" s="1462"/>
    </row>
    <row r="282" spans="1:18" ht="14.4" hidden="1">
      <c r="A282" s="1639"/>
      <c r="B282" s="1665"/>
      <c r="C282" s="1639" t="s">
        <v>1310</v>
      </c>
      <c r="D282" s="1660"/>
      <c r="E282" s="1649"/>
      <c r="F282" s="1661"/>
      <c r="G282" s="1661">
        <f>+G281-9352.35</f>
        <v>-4647.1500000000005</v>
      </c>
      <c r="H282" s="1661"/>
      <c r="I282" s="1649"/>
      <c r="J282" s="1649"/>
      <c r="K282" s="1525" t="s">
        <v>1936</v>
      </c>
      <c r="L282" s="1466"/>
      <c r="M282" s="1462"/>
      <c r="N282" s="1522"/>
      <c r="O282" s="1522"/>
      <c r="P282" s="1522"/>
      <c r="Q282" s="1462"/>
      <c r="R282" s="1462"/>
    </row>
    <row r="283" spans="1:18" ht="14.4" hidden="1">
      <c r="A283" s="1639"/>
      <c r="B283" s="1665"/>
      <c r="C283" s="1654" t="s">
        <v>848</v>
      </c>
      <c r="D283" s="1660"/>
      <c r="E283" s="1649"/>
      <c r="F283" s="1661"/>
      <c r="G283" s="1661"/>
      <c r="H283" s="1661"/>
      <c r="I283" s="1649"/>
      <c r="J283" s="1649"/>
      <c r="K283" s="1473" t="s">
        <v>848</v>
      </c>
      <c r="L283" s="1466"/>
      <c r="M283" s="1462"/>
      <c r="N283" s="1522"/>
      <c r="O283" s="1522"/>
      <c r="P283" s="1522"/>
      <c r="Q283" s="1462"/>
      <c r="R283" s="1462"/>
    </row>
    <row r="284" spans="1:18" ht="14.4" hidden="1">
      <c r="A284" s="1639"/>
      <c r="B284" s="1665"/>
      <c r="C284" s="1654" t="s">
        <v>780</v>
      </c>
      <c r="D284" s="1660">
        <v>4</v>
      </c>
      <c r="E284" s="1649">
        <v>1.35</v>
      </c>
      <c r="F284" s="1661">
        <v>0.1</v>
      </c>
      <c r="G284" s="1661">
        <v>7.4999999999999997E-2</v>
      </c>
      <c r="H284" s="1661">
        <f>ROUND(D284*E284*F284*G284,3)</f>
        <v>4.1000000000000002E-2</v>
      </c>
      <c r="I284" s="1649">
        <v>44785</v>
      </c>
      <c r="J284" s="1649">
        <f t="shared" ref="J284:J289" si="20">ROUND(H284*I284,2)</f>
        <v>1836.19</v>
      </c>
      <c r="K284" s="1473" t="s">
        <v>780</v>
      </c>
      <c r="L284" s="1466">
        <v>4</v>
      </c>
      <c r="M284" s="1462">
        <v>1.2</v>
      </c>
      <c r="N284" s="1522">
        <v>0.1</v>
      </c>
      <c r="O284" s="1522">
        <v>7.4999999999999997E-2</v>
      </c>
      <c r="P284" s="1522">
        <f>ROUND(L284*M284*N284*O284,3)</f>
        <v>3.5999999999999997E-2</v>
      </c>
      <c r="Q284" s="1462">
        <v>47025</v>
      </c>
      <c r="R284" s="1462">
        <f t="shared" ref="R284:R289" si="21">ROUND(P284*Q284,2)</f>
        <v>1692.9</v>
      </c>
    </row>
    <row r="285" spans="1:18" ht="14.4" hidden="1">
      <c r="A285" s="1639"/>
      <c r="B285" s="1665"/>
      <c r="C285" s="1654" t="s">
        <v>781</v>
      </c>
      <c r="D285" s="1660">
        <v>2</v>
      </c>
      <c r="E285" s="1649">
        <v>1.35</v>
      </c>
      <c r="F285" s="1661">
        <v>0.1</v>
      </c>
      <c r="G285" s="1661">
        <v>7.4999999999999997E-2</v>
      </c>
      <c r="H285" s="1661">
        <f>ROUND(D285*E285*F285*G285,3)</f>
        <v>0.02</v>
      </c>
      <c r="I285" s="1649">
        <v>44785</v>
      </c>
      <c r="J285" s="1649">
        <f t="shared" si="20"/>
        <v>895.7</v>
      </c>
      <c r="K285" s="1473" t="s">
        <v>781</v>
      </c>
      <c r="L285" s="1466">
        <v>2</v>
      </c>
      <c r="M285" s="1462">
        <v>1.35</v>
      </c>
      <c r="N285" s="1522">
        <v>0.1</v>
      </c>
      <c r="O285" s="1522">
        <v>7.4999999999999997E-2</v>
      </c>
      <c r="P285" s="1522">
        <f>ROUND(L285*M285*N285*O285,3)</f>
        <v>0.02</v>
      </c>
      <c r="Q285" s="1462">
        <v>47025</v>
      </c>
      <c r="R285" s="1462">
        <f t="shared" si="21"/>
        <v>940.5</v>
      </c>
    </row>
    <row r="286" spans="1:18" ht="14.4" hidden="1">
      <c r="A286" s="1639"/>
      <c r="B286" s="1665"/>
      <c r="C286" s="1654" t="s">
        <v>782</v>
      </c>
      <c r="D286" s="1660" t="s">
        <v>243</v>
      </c>
      <c r="E286" s="1652">
        <f>(1.35-2*0.075+2*0.015)</f>
        <v>1.2300000000000002</v>
      </c>
      <c r="F286" s="1661">
        <v>7.4999999999999997E-2</v>
      </c>
      <c r="G286" s="1661">
        <f>1.25*25.4/1000</f>
        <v>3.175E-2</v>
      </c>
      <c r="H286" s="1661">
        <f>ROUND(6*E286*F286*G286,3)</f>
        <v>1.7999999999999999E-2</v>
      </c>
      <c r="I286" s="1649">
        <v>59715</v>
      </c>
      <c r="J286" s="1649">
        <f t="shared" si="20"/>
        <v>1074.8699999999999</v>
      </c>
      <c r="K286" s="1473" t="s">
        <v>782</v>
      </c>
      <c r="L286" s="1466" t="s">
        <v>243</v>
      </c>
      <c r="M286" s="1469">
        <f>(1.2-2*0.075+2*0.015)</f>
        <v>1.08</v>
      </c>
      <c r="N286" s="1522">
        <v>7.4999999999999997E-2</v>
      </c>
      <c r="O286" s="1522">
        <f>1.25*25.4/1000</f>
        <v>3.175E-2</v>
      </c>
      <c r="P286" s="1522">
        <f>ROUND(6*M286*N286*O286,3)</f>
        <v>1.4999999999999999E-2</v>
      </c>
      <c r="Q286" s="1462">
        <v>62701</v>
      </c>
      <c r="R286" s="1462">
        <f t="shared" si="21"/>
        <v>940.52</v>
      </c>
    </row>
    <row r="287" spans="1:18" ht="14.4" hidden="1">
      <c r="A287" s="1639"/>
      <c r="B287" s="1665"/>
      <c r="C287" s="1654" t="s">
        <v>783</v>
      </c>
      <c r="D287" s="1660" t="s">
        <v>244</v>
      </c>
      <c r="E287" s="1649">
        <f>(1.2-3*0.075+4*0.015)/2</f>
        <v>0.51749999999999996</v>
      </c>
      <c r="F287" s="1661">
        <v>7.4999999999999997E-2</v>
      </c>
      <c r="G287" s="1661">
        <f>1.25*25.4/1000</f>
        <v>3.175E-2</v>
      </c>
      <c r="H287" s="1661">
        <f>ROUND(9*E287*F287*G287,3)</f>
        <v>1.0999999999999999E-2</v>
      </c>
      <c r="I287" s="1649">
        <v>59715</v>
      </c>
      <c r="J287" s="1649">
        <f t="shared" si="20"/>
        <v>656.87</v>
      </c>
      <c r="K287" s="1473" t="s">
        <v>783</v>
      </c>
      <c r="L287" s="1466" t="s">
        <v>244</v>
      </c>
      <c r="M287" s="1462">
        <f>(1.2-3*0.075+4*0.015)/2</f>
        <v>0.51749999999999996</v>
      </c>
      <c r="N287" s="1522">
        <v>7.4999999999999997E-2</v>
      </c>
      <c r="O287" s="1522">
        <f>1.25*25.4/1000</f>
        <v>3.175E-2</v>
      </c>
      <c r="P287" s="1522">
        <f>ROUND(9*M287*N287*O287,3)</f>
        <v>1.0999999999999999E-2</v>
      </c>
      <c r="Q287" s="1462">
        <v>62701</v>
      </c>
      <c r="R287" s="1462">
        <f t="shared" si="21"/>
        <v>689.71</v>
      </c>
    </row>
    <row r="288" spans="1:18" ht="14.4" hidden="1">
      <c r="A288" s="1639"/>
      <c r="B288" s="1665"/>
      <c r="C288" s="1654" t="s">
        <v>1481</v>
      </c>
      <c r="D288" s="1660" t="s">
        <v>245</v>
      </c>
      <c r="E288" s="1649">
        <f>(1.2-4*0.075+6*0.015)/3-2*0.075+2*0.025</f>
        <v>0.22999999999999998</v>
      </c>
      <c r="F288" s="1661">
        <f>(1.35-2*0.075+2*0.015-3*0.075)/2+2*0.025</f>
        <v>0.55250000000000021</v>
      </c>
      <c r="G288" s="1661">
        <v>2.5000000000000001E-2</v>
      </c>
      <c r="H288" s="1661">
        <f>ROUND(6*E288*F288*G288,3)</f>
        <v>1.9E-2</v>
      </c>
      <c r="I288" s="1649">
        <v>59715</v>
      </c>
      <c r="J288" s="1649">
        <f t="shared" si="20"/>
        <v>1134.5899999999999</v>
      </c>
      <c r="K288" s="1473" t="s">
        <v>1481</v>
      </c>
      <c r="L288" s="1466" t="s">
        <v>245</v>
      </c>
      <c r="M288" s="1462">
        <f>(1.2-4*0.075+6*0.015)/3-2*0.075+2*0.025</f>
        <v>0.22999999999999998</v>
      </c>
      <c r="N288" s="1522">
        <f>(1.2-2*0.075+2*0.015-3*0.075)/2+2*0.025</f>
        <v>0.47750000000000004</v>
      </c>
      <c r="O288" s="1522">
        <v>2.5000000000000001E-2</v>
      </c>
      <c r="P288" s="1522">
        <f>ROUND(6*M288*N288*O288,3)</f>
        <v>1.6E-2</v>
      </c>
      <c r="Q288" s="1462">
        <v>62701</v>
      </c>
      <c r="R288" s="1462">
        <f t="shared" si="21"/>
        <v>1003.22</v>
      </c>
    </row>
    <row r="289" spans="1:18" ht="14.4" hidden="1">
      <c r="A289" s="1639"/>
      <c r="B289" s="1665"/>
      <c r="C289" s="1654" t="s">
        <v>1482</v>
      </c>
      <c r="D289" s="1660"/>
      <c r="E289" s="1649"/>
      <c r="F289" s="1661"/>
      <c r="G289" s="1661"/>
      <c r="H289" s="1661">
        <f>SUM(H284:H288)</f>
        <v>0.109</v>
      </c>
      <c r="I289" s="1649">
        <f>G25</f>
        <v>19572.5</v>
      </c>
      <c r="J289" s="1649">
        <f t="shared" si="20"/>
        <v>2133.4</v>
      </c>
      <c r="K289" s="1473" t="s">
        <v>1482</v>
      </c>
      <c r="L289" s="1466"/>
      <c r="M289" s="1462"/>
      <c r="N289" s="1522"/>
      <c r="O289" s="1522"/>
      <c r="P289" s="1522">
        <f>SUM(P284:P288)</f>
        <v>9.799999999999999E-2</v>
      </c>
      <c r="Q289" s="1462">
        <f>I289</f>
        <v>19572.5</v>
      </c>
      <c r="R289" s="1462">
        <f t="shared" si="21"/>
        <v>1918.11</v>
      </c>
    </row>
    <row r="290" spans="1:18" ht="43.2" hidden="1">
      <c r="A290" s="1639" t="s">
        <v>787</v>
      </c>
      <c r="B290" s="1638"/>
      <c r="C290" s="1654" t="s">
        <v>788</v>
      </c>
      <c r="D290" s="1660"/>
      <c r="E290" s="1649"/>
      <c r="F290" s="1661"/>
      <c r="G290" s="1662"/>
      <c r="H290" s="1662"/>
      <c r="I290" s="1649"/>
      <c r="J290" s="1649"/>
      <c r="K290" s="1473" t="s">
        <v>788</v>
      </c>
      <c r="L290" s="1466"/>
      <c r="M290" s="1462"/>
      <c r="N290" s="1522"/>
      <c r="O290" s="1526"/>
      <c r="P290" s="1526"/>
      <c r="Q290" s="1462"/>
      <c r="R290" s="1462"/>
    </row>
    <row r="291" spans="1:18" ht="14.4" hidden="1">
      <c r="A291" s="1639"/>
      <c r="B291" s="1654"/>
      <c r="C291" s="1659" t="s">
        <v>915</v>
      </c>
      <c r="D291" s="1649" t="s">
        <v>1035</v>
      </c>
      <c r="E291" s="1661" t="s">
        <v>1624</v>
      </c>
      <c r="F291" s="1661"/>
      <c r="G291" s="1661"/>
      <c r="H291" s="1666">
        <v>3</v>
      </c>
      <c r="I291" s="1649">
        <v>35</v>
      </c>
      <c r="J291" s="1649">
        <f t="shared" ref="J291:J296" si="22">ROUND(H291*I291,2)</f>
        <v>105</v>
      </c>
      <c r="K291" s="1513" t="s">
        <v>915</v>
      </c>
      <c r="L291" s="1462" t="s">
        <v>1035</v>
      </c>
      <c r="M291" s="1522" t="s">
        <v>1624</v>
      </c>
      <c r="N291" s="1522"/>
      <c r="O291" s="1522"/>
      <c r="P291" s="1527">
        <v>3</v>
      </c>
      <c r="Q291" s="1462">
        <v>37</v>
      </c>
      <c r="R291" s="1462">
        <f t="shared" ref="R291:R296" si="23">ROUND(P291*Q291,2)</f>
        <v>111</v>
      </c>
    </row>
    <row r="292" spans="1:18" ht="14.4" hidden="1">
      <c r="A292" s="1639"/>
      <c r="B292" s="1654"/>
      <c r="C292" s="1659" t="s">
        <v>916</v>
      </c>
      <c r="D292" s="1649" t="s">
        <v>1035</v>
      </c>
      <c r="E292" s="1661" t="s">
        <v>1624</v>
      </c>
      <c r="F292" s="1661"/>
      <c r="G292" s="1661"/>
      <c r="H292" s="1666">
        <v>3</v>
      </c>
      <c r="I292" s="1649">
        <v>35</v>
      </c>
      <c r="J292" s="1649">
        <f t="shared" si="22"/>
        <v>105</v>
      </c>
      <c r="K292" s="1513" t="s">
        <v>916</v>
      </c>
      <c r="L292" s="1462" t="s">
        <v>1035</v>
      </c>
      <c r="M292" s="1522" t="s">
        <v>1624</v>
      </c>
      <c r="N292" s="1522"/>
      <c r="O292" s="1522"/>
      <c r="P292" s="1527">
        <v>3</v>
      </c>
      <c r="Q292" s="1462">
        <v>37</v>
      </c>
      <c r="R292" s="1462">
        <f t="shared" si="23"/>
        <v>111</v>
      </c>
    </row>
    <row r="293" spans="1:18" ht="14.4" hidden="1">
      <c r="A293" s="1639"/>
      <c r="B293" s="1654"/>
      <c r="C293" s="1659" t="s">
        <v>917</v>
      </c>
      <c r="D293" s="1649" t="s">
        <v>1035</v>
      </c>
      <c r="E293" s="1661" t="s">
        <v>1625</v>
      </c>
      <c r="F293" s="1661"/>
      <c r="G293" s="1661"/>
      <c r="H293" s="1666">
        <v>6</v>
      </c>
      <c r="I293" s="1649">
        <v>21</v>
      </c>
      <c r="J293" s="1649">
        <f t="shared" si="22"/>
        <v>126</v>
      </c>
      <c r="K293" s="1513" t="s">
        <v>917</v>
      </c>
      <c r="L293" s="1462" t="s">
        <v>1035</v>
      </c>
      <c r="M293" s="1522" t="s">
        <v>1625</v>
      </c>
      <c r="N293" s="1522"/>
      <c r="O293" s="1522"/>
      <c r="P293" s="1527">
        <v>6</v>
      </c>
      <c r="Q293" s="1462">
        <v>23</v>
      </c>
      <c r="R293" s="1462">
        <f t="shared" si="23"/>
        <v>138</v>
      </c>
    </row>
    <row r="294" spans="1:18" ht="14.4" hidden="1">
      <c r="A294" s="1639"/>
      <c r="B294" s="1654"/>
      <c r="C294" s="1659" t="s">
        <v>918</v>
      </c>
      <c r="D294" s="1649" t="s">
        <v>1035</v>
      </c>
      <c r="E294" s="1661" t="s">
        <v>1626</v>
      </c>
      <c r="F294" s="1661"/>
      <c r="G294" s="1661"/>
      <c r="H294" s="1666">
        <v>3</v>
      </c>
      <c r="I294" s="1649">
        <v>213</v>
      </c>
      <c r="J294" s="1649">
        <f t="shared" si="22"/>
        <v>639</v>
      </c>
      <c r="K294" s="1513" t="s">
        <v>918</v>
      </c>
      <c r="L294" s="1462" t="s">
        <v>1035</v>
      </c>
      <c r="M294" s="1522" t="s">
        <v>1626</v>
      </c>
      <c r="N294" s="1522"/>
      <c r="O294" s="1522"/>
      <c r="P294" s="1527">
        <v>3</v>
      </c>
      <c r="Q294" s="1462">
        <v>224</v>
      </c>
      <c r="R294" s="1462">
        <f t="shared" si="23"/>
        <v>672</v>
      </c>
    </row>
    <row r="295" spans="1:18" ht="14.4" hidden="1">
      <c r="A295" s="1639"/>
      <c r="B295" s="1654"/>
      <c r="C295" s="1659" t="s">
        <v>799</v>
      </c>
      <c r="D295" s="1649" t="s">
        <v>882</v>
      </c>
      <c r="E295" s="1661" t="s">
        <v>1652</v>
      </c>
      <c r="F295" s="1661"/>
      <c r="G295" s="1661"/>
      <c r="H295" s="1666">
        <v>90</v>
      </c>
      <c r="I295" s="1649">
        <v>3</v>
      </c>
      <c r="J295" s="1649">
        <f t="shared" si="22"/>
        <v>270</v>
      </c>
      <c r="K295" s="1513" t="s">
        <v>799</v>
      </c>
      <c r="L295" s="1462" t="s">
        <v>882</v>
      </c>
      <c r="M295" s="1522" t="s">
        <v>1652</v>
      </c>
      <c r="N295" s="1522"/>
      <c r="O295" s="1522"/>
      <c r="P295" s="1527">
        <v>90</v>
      </c>
      <c r="Q295" s="1462">
        <v>4</v>
      </c>
      <c r="R295" s="1462">
        <f t="shared" si="23"/>
        <v>360</v>
      </c>
    </row>
    <row r="296" spans="1:18" ht="14.4" hidden="1">
      <c r="A296" s="1639"/>
      <c r="B296" s="1654"/>
      <c r="C296" s="1659" t="s">
        <v>1598</v>
      </c>
      <c r="D296" s="1649"/>
      <c r="E296" s="1652" t="s">
        <v>1651</v>
      </c>
      <c r="F296" s="1661"/>
      <c r="G296" s="1661"/>
      <c r="H296" s="1666">
        <v>4</v>
      </c>
      <c r="I296" s="1649">
        <v>32</v>
      </c>
      <c r="J296" s="1649">
        <f t="shared" si="22"/>
        <v>128</v>
      </c>
      <c r="K296" s="1513" t="s">
        <v>1598</v>
      </c>
      <c r="L296" s="1462"/>
      <c r="M296" s="1528" t="s">
        <v>1651</v>
      </c>
      <c r="N296" s="1522"/>
      <c r="O296" s="1522"/>
      <c r="P296" s="1527">
        <v>4</v>
      </c>
      <c r="Q296" s="1462">
        <v>34</v>
      </c>
      <c r="R296" s="1462">
        <f t="shared" si="23"/>
        <v>136</v>
      </c>
    </row>
    <row r="297" spans="1:18" ht="14.4" hidden="1">
      <c r="A297" s="1639"/>
      <c r="B297" s="1665"/>
      <c r="C297" s="1654" t="s">
        <v>1484</v>
      </c>
      <c r="D297" s="1660">
        <v>2.75</v>
      </c>
      <c r="E297" s="1649">
        <v>1.2</v>
      </c>
      <c r="F297" s="1661"/>
      <c r="G297" s="1649">
        <v>1.35</v>
      </c>
      <c r="H297" s="1661">
        <f>ROUND(G297*E297*D297,2)</f>
        <v>4.46</v>
      </c>
      <c r="I297" s="1649">
        <f>G15</f>
        <v>577.61900000000003</v>
      </c>
      <c r="J297" s="1649">
        <f>ROUND(H297*I297/10,2)</f>
        <v>257.62</v>
      </c>
      <c r="K297" s="1473" t="s">
        <v>1484</v>
      </c>
      <c r="L297" s="1466">
        <v>2.75</v>
      </c>
      <c r="M297" s="1462">
        <v>1.2</v>
      </c>
      <c r="N297" s="1522"/>
      <c r="O297" s="1462">
        <v>1.2</v>
      </c>
      <c r="P297" s="1522">
        <f>ROUND(O297*M297*L297,2)</f>
        <v>3.96</v>
      </c>
      <c r="Q297" s="1462">
        <f>I297</f>
        <v>577.61900000000003</v>
      </c>
      <c r="R297" s="1462">
        <f>ROUND(P297*Q297/10,2)</f>
        <v>228.74</v>
      </c>
    </row>
    <row r="298" spans="1:18" ht="14.4" hidden="1">
      <c r="A298" s="1639"/>
      <c r="B298" s="1665"/>
      <c r="C298" s="1639" t="s">
        <v>1306</v>
      </c>
      <c r="D298" s="1660" t="s">
        <v>246</v>
      </c>
      <c r="E298" s="1649">
        <v>1.2</v>
      </c>
      <c r="F298" s="1661">
        <f>E298*10</f>
        <v>12</v>
      </c>
      <c r="G298" s="1649">
        <v>1.1299999999999999</v>
      </c>
      <c r="H298" s="1661">
        <f>G298*F298</f>
        <v>13.559999999999999</v>
      </c>
      <c r="I298" s="1649">
        <f>'Lead- Input sheet '!R10/1000</f>
        <v>69.62</v>
      </c>
      <c r="J298" s="1649">
        <f>H298*I298</f>
        <v>944.04719999999998</v>
      </c>
      <c r="K298" s="1525" t="s">
        <v>1306</v>
      </c>
      <c r="L298" s="1466" t="s">
        <v>246</v>
      </c>
      <c r="M298" s="1462">
        <v>1.2</v>
      </c>
      <c r="N298" s="1522">
        <f>M298*10</f>
        <v>12</v>
      </c>
      <c r="O298" s="1462">
        <v>1.1299999999999999</v>
      </c>
      <c r="P298" s="1522">
        <f>O298*N298</f>
        <v>13.559999999999999</v>
      </c>
      <c r="Q298" s="1462">
        <f>I298</f>
        <v>69.62</v>
      </c>
      <c r="R298" s="1462">
        <f>P298*Q298</f>
        <v>944.04719999999998</v>
      </c>
    </row>
    <row r="299" spans="1:18" ht="14.4" hidden="1">
      <c r="A299" s="1639"/>
      <c r="B299" s="1665"/>
      <c r="C299" s="1654" t="s">
        <v>230</v>
      </c>
      <c r="D299" s="1660"/>
      <c r="E299" s="1649"/>
      <c r="F299" s="1661"/>
      <c r="G299" s="1661"/>
      <c r="H299" s="1666">
        <v>1</v>
      </c>
      <c r="I299" s="1649">
        <v>100</v>
      </c>
      <c r="J299" s="1649">
        <f>H299*I299</f>
        <v>100</v>
      </c>
      <c r="K299" s="1473" t="s">
        <v>230</v>
      </c>
      <c r="L299" s="1466"/>
      <c r="M299" s="1462"/>
      <c r="N299" s="1522"/>
      <c r="O299" s="1522"/>
      <c r="P299" s="1527">
        <v>1</v>
      </c>
      <c r="Q299" s="1462">
        <v>100</v>
      </c>
      <c r="R299" s="1462">
        <f>P299*Q299</f>
        <v>100</v>
      </c>
    </row>
    <row r="300" spans="1:18" ht="14.4" hidden="1">
      <c r="A300" s="1639"/>
      <c r="B300" s="1665"/>
      <c r="C300" s="1654"/>
      <c r="D300" s="1660"/>
      <c r="E300" s="1649"/>
      <c r="F300" s="1661"/>
      <c r="G300" s="1661"/>
      <c r="H300" s="1661"/>
      <c r="I300" s="1649"/>
      <c r="J300" s="1649">
        <f>SUM(J284:J299)</f>
        <v>10406.287200000002</v>
      </c>
      <c r="K300" s="1473"/>
      <c r="L300" s="1466"/>
      <c r="M300" s="1462"/>
      <c r="N300" s="1522"/>
      <c r="O300" s="1522"/>
      <c r="P300" s="1522"/>
      <c r="Q300" s="1462"/>
      <c r="R300" s="1462">
        <f>SUM(R284:R299)</f>
        <v>9985.747199999998</v>
      </c>
    </row>
    <row r="301" spans="1:18" s="1520" customFormat="1" ht="14.4" hidden="1">
      <c r="A301" s="1639"/>
      <c r="B301" s="1667"/>
      <c r="C301" s="1654" t="s">
        <v>1600</v>
      </c>
      <c r="D301" s="1664"/>
      <c r="E301" s="1658"/>
      <c r="F301" s="1662"/>
      <c r="G301" s="1662"/>
      <c r="H301" s="1662">
        <f>J300</f>
        <v>10406.287200000002</v>
      </c>
      <c r="I301" s="1658">
        <f>I6</f>
        <v>0</v>
      </c>
      <c r="J301" s="1658">
        <f>ROUND(H301*I301,2)</f>
        <v>0</v>
      </c>
      <c r="K301" s="1473" t="s">
        <v>1600</v>
      </c>
      <c r="L301" s="1465"/>
      <c r="M301" s="1468"/>
      <c r="N301" s="1526"/>
      <c r="O301" s="1526"/>
      <c r="P301" s="1526">
        <f>R300</f>
        <v>9985.747199999998</v>
      </c>
      <c r="Q301" s="1468">
        <f>I301</f>
        <v>0</v>
      </c>
      <c r="R301" s="1468">
        <f>ROUND(P301*Q301,2)</f>
        <v>0</v>
      </c>
    </row>
    <row r="302" spans="1:18" s="1520" customFormat="1" ht="14.4" hidden="1">
      <c r="A302" s="1639"/>
      <c r="B302" s="1667"/>
      <c r="C302" s="1639" t="s">
        <v>256</v>
      </c>
      <c r="D302" s="1664"/>
      <c r="E302" s="1658"/>
      <c r="F302" s="1662"/>
      <c r="G302" s="1662"/>
      <c r="H302" s="1662"/>
      <c r="I302" s="1658" t="s">
        <v>416</v>
      </c>
      <c r="J302" s="1658">
        <f>SUM(J300:J301)</f>
        <v>10406.287200000002</v>
      </c>
      <c r="K302" s="1525" t="s">
        <v>256</v>
      </c>
      <c r="L302" s="1465"/>
      <c r="M302" s="1468"/>
      <c r="N302" s="1526"/>
      <c r="O302" s="1526"/>
      <c r="P302" s="1526"/>
      <c r="Q302" s="1468" t="s">
        <v>416</v>
      </c>
      <c r="R302" s="1468">
        <f>SUM(R300:R301)</f>
        <v>9985.747199999998</v>
      </c>
    </row>
    <row r="303" spans="1:18" ht="14.4" hidden="1">
      <c r="A303" s="1639"/>
      <c r="B303" s="1665"/>
      <c r="C303" s="1639" t="s">
        <v>1311</v>
      </c>
      <c r="D303" s="1660"/>
      <c r="E303" s="1649"/>
      <c r="F303" s="1661"/>
      <c r="G303" s="1661"/>
      <c r="H303" s="1661"/>
      <c r="I303" s="1649"/>
      <c r="J303" s="1649"/>
      <c r="K303" s="1525" t="s">
        <v>1311</v>
      </c>
      <c r="L303" s="1466"/>
      <c r="M303" s="1462"/>
      <c r="N303" s="1522"/>
      <c r="O303" s="1522"/>
      <c r="P303" s="1522"/>
      <c r="Q303" s="1462"/>
      <c r="R303" s="1462"/>
    </row>
    <row r="304" spans="1:18" ht="14.4" hidden="1">
      <c r="A304" s="1639"/>
      <c r="B304" s="1665"/>
      <c r="C304" s="1654" t="s">
        <v>848</v>
      </c>
      <c r="D304" s="1660"/>
      <c r="E304" s="1649"/>
      <c r="F304" s="1661"/>
      <c r="G304" s="1661"/>
      <c r="H304" s="1661"/>
      <c r="I304" s="1649"/>
      <c r="J304" s="1649"/>
      <c r="K304" s="1473" t="s">
        <v>848</v>
      </c>
      <c r="L304" s="1466"/>
      <c r="M304" s="1462"/>
      <c r="N304" s="1522"/>
      <c r="O304" s="1522"/>
      <c r="P304" s="1522"/>
      <c r="Q304" s="1462"/>
      <c r="R304" s="1462"/>
    </row>
    <row r="305" spans="1:18" ht="14.4" hidden="1">
      <c r="A305" s="1639"/>
      <c r="B305" s="1665"/>
      <c r="C305" s="1654" t="s">
        <v>780</v>
      </c>
      <c r="D305" s="1660">
        <v>4</v>
      </c>
      <c r="E305" s="1649">
        <v>1.35</v>
      </c>
      <c r="F305" s="1661">
        <v>0.1</v>
      </c>
      <c r="G305" s="1661">
        <v>7.4999999999999997E-2</v>
      </c>
      <c r="H305" s="1661">
        <f>ROUND(D305*E305*F305*G305,3)</f>
        <v>4.1000000000000002E-2</v>
      </c>
      <c r="I305" s="1649">
        <v>44785</v>
      </c>
      <c r="J305" s="1649">
        <f>ROUND(H305*I305,2)</f>
        <v>1836.19</v>
      </c>
      <c r="K305" s="1473" t="s">
        <v>780</v>
      </c>
      <c r="L305" s="1466">
        <v>4</v>
      </c>
      <c r="M305" s="1462">
        <v>1.2</v>
      </c>
      <c r="N305" s="1522">
        <v>0.1</v>
      </c>
      <c r="O305" s="1522">
        <v>7.4999999999999997E-2</v>
      </c>
      <c r="P305" s="1522">
        <f>ROUND(L305*M305*N305*O305,3)</f>
        <v>3.5999999999999997E-2</v>
      </c>
      <c r="Q305" s="1462">
        <v>47025</v>
      </c>
      <c r="R305" s="1462">
        <f>ROUND(P305*Q305,2)</f>
        <v>1692.9</v>
      </c>
    </row>
    <row r="306" spans="1:18" ht="14.4" hidden="1">
      <c r="A306" s="1639"/>
      <c r="B306" s="1665"/>
      <c r="C306" s="1654" t="s">
        <v>781</v>
      </c>
      <c r="D306" s="1660">
        <v>2</v>
      </c>
      <c r="E306" s="1649">
        <v>1.35</v>
      </c>
      <c r="F306" s="1661">
        <v>0.1</v>
      </c>
      <c r="G306" s="1661">
        <v>7.4999999999999997E-2</v>
      </c>
      <c r="H306" s="1661">
        <f>ROUND(D306*E306*F306*G306,3)</f>
        <v>0.02</v>
      </c>
      <c r="I306" s="1649">
        <v>44785</v>
      </c>
      <c r="J306" s="1649">
        <f>ROUND(H306*I306,2)</f>
        <v>895.7</v>
      </c>
      <c r="K306" s="1473" t="s">
        <v>781</v>
      </c>
      <c r="L306" s="1466">
        <v>2</v>
      </c>
      <c r="M306" s="1462">
        <v>1.35</v>
      </c>
      <c r="N306" s="1522">
        <v>0.1</v>
      </c>
      <c r="O306" s="1522">
        <v>7.4999999999999997E-2</v>
      </c>
      <c r="P306" s="1522">
        <f>ROUND(L306*M306*N306*O306,3)</f>
        <v>0.02</v>
      </c>
      <c r="Q306" s="1462">
        <v>47025</v>
      </c>
      <c r="R306" s="1462">
        <f>ROUND(P306*Q306,2)</f>
        <v>940.5</v>
      </c>
    </row>
    <row r="307" spans="1:18" ht="14.4" hidden="1">
      <c r="A307" s="1639"/>
      <c r="B307" s="1665"/>
      <c r="C307" s="1654" t="s">
        <v>1482</v>
      </c>
      <c r="D307" s="1660"/>
      <c r="E307" s="1649"/>
      <c r="F307" s="1661"/>
      <c r="G307" s="1661"/>
      <c r="H307" s="1661">
        <f>SUM(H305:H306)</f>
        <v>6.0999999999999999E-2</v>
      </c>
      <c r="I307" s="1649">
        <f>G25</f>
        <v>19572.5</v>
      </c>
      <c r="J307" s="1649">
        <f>ROUND(H307*I307,2)</f>
        <v>1193.92</v>
      </c>
      <c r="K307" s="1473" t="s">
        <v>1482</v>
      </c>
      <c r="L307" s="1466"/>
      <c r="M307" s="1462"/>
      <c r="N307" s="1522"/>
      <c r="O307" s="1522"/>
      <c r="P307" s="1522">
        <f>SUM(P305:P306)</f>
        <v>5.5999999999999994E-2</v>
      </c>
      <c r="Q307" s="1462">
        <f>I307</f>
        <v>19572.5</v>
      </c>
      <c r="R307" s="1462">
        <f>ROUND(P307*Q307,2)</f>
        <v>1096.06</v>
      </c>
    </row>
    <row r="308" spans="1:18" ht="43.2" hidden="1">
      <c r="A308" s="1639" t="s">
        <v>787</v>
      </c>
      <c r="B308" s="1638"/>
      <c r="C308" s="1654" t="s">
        <v>788</v>
      </c>
      <c r="D308" s="1660"/>
      <c r="E308" s="1649"/>
      <c r="F308" s="1661"/>
      <c r="G308" s="1662"/>
      <c r="H308" s="1662"/>
      <c r="I308" s="1649"/>
      <c r="J308" s="1649"/>
      <c r="K308" s="1473" t="s">
        <v>788</v>
      </c>
      <c r="L308" s="1466"/>
      <c r="M308" s="1462"/>
      <c r="N308" s="1522"/>
      <c r="O308" s="1526"/>
      <c r="P308" s="1526"/>
      <c r="Q308" s="1462"/>
      <c r="R308" s="1462"/>
    </row>
    <row r="309" spans="1:18" ht="14.4" hidden="1">
      <c r="A309" s="1639"/>
      <c r="B309" s="1659"/>
      <c r="C309" s="1654" t="s">
        <v>1598</v>
      </c>
      <c r="D309" s="1660"/>
      <c r="E309" s="1652" t="s">
        <v>1651</v>
      </c>
      <c r="F309" s="1661"/>
      <c r="G309" s="1661"/>
      <c r="H309" s="1666">
        <v>4</v>
      </c>
      <c r="I309" s="1649">
        <v>32</v>
      </c>
      <c r="J309" s="1649">
        <f>ROUND(H309*I309,2)</f>
        <v>128</v>
      </c>
      <c r="K309" s="1473" t="s">
        <v>1598</v>
      </c>
      <c r="L309" s="1466"/>
      <c r="M309" s="1528" t="s">
        <v>1651</v>
      </c>
      <c r="N309" s="1522"/>
      <c r="O309" s="1522"/>
      <c r="P309" s="1527">
        <v>4</v>
      </c>
      <c r="Q309" s="1462">
        <v>34</v>
      </c>
      <c r="R309" s="1462">
        <f>ROUND(P309*Q309,2)</f>
        <v>136</v>
      </c>
    </row>
    <row r="310" spans="1:18" ht="14.4" hidden="1">
      <c r="A310" s="1639"/>
      <c r="B310" s="1665"/>
      <c r="C310" s="1654" t="s">
        <v>1484</v>
      </c>
      <c r="D310" s="1649" t="s">
        <v>544</v>
      </c>
      <c r="E310" s="1649">
        <v>1.2</v>
      </c>
      <c r="F310" s="1661"/>
      <c r="G310" s="1649">
        <v>1.35</v>
      </c>
      <c r="H310" s="1661">
        <f>ROUND(G310*E310*2.75/3,2)</f>
        <v>1.49</v>
      </c>
      <c r="I310" s="1649">
        <f>G15</f>
        <v>577.61900000000003</v>
      </c>
      <c r="J310" s="1649">
        <f>ROUND(H310*I310/10,2)</f>
        <v>86.07</v>
      </c>
      <c r="K310" s="1473" t="s">
        <v>1484</v>
      </c>
      <c r="L310" s="1462" t="s">
        <v>544</v>
      </c>
      <c r="M310" s="1462">
        <v>1.2</v>
      </c>
      <c r="N310" s="1522"/>
      <c r="O310" s="1462">
        <v>1.35</v>
      </c>
      <c r="P310" s="1522">
        <f>ROUND(O310*M310*2.75/3,2)</f>
        <v>1.49</v>
      </c>
      <c r="Q310" s="1462">
        <f>I310</f>
        <v>577.61900000000003</v>
      </c>
      <c r="R310" s="1462">
        <f>ROUND(P310*Q310/10,2)</f>
        <v>86.07</v>
      </c>
    </row>
    <row r="311" spans="1:18" ht="14.4" hidden="1">
      <c r="A311" s="1639"/>
      <c r="B311" s="1665"/>
      <c r="C311" s="1639" t="s">
        <v>1306</v>
      </c>
      <c r="D311" s="1660" t="s">
        <v>246</v>
      </c>
      <c r="E311" s="1649">
        <v>1.2</v>
      </c>
      <c r="F311" s="1661">
        <f>E311*10</f>
        <v>12</v>
      </c>
      <c r="G311" s="1649">
        <v>1.1299999999999999</v>
      </c>
      <c r="H311" s="1661">
        <f>G311*F311</f>
        <v>13.559999999999999</v>
      </c>
      <c r="I311" s="1649">
        <f>'Lead- Input sheet '!R10/1000</f>
        <v>69.62</v>
      </c>
      <c r="J311" s="1649">
        <f>H311*I311</f>
        <v>944.04719999999998</v>
      </c>
      <c r="K311" s="1525" t="s">
        <v>1306</v>
      </c>
      <c r="L311" s="1466" t="s">
        <v>246</v>
      </c>
      <c r="M311" s="1462">
        <v>1.2</v>
      </c>
      <c r="N311" s="1522">
        <f>M311*10</f>
        <v>12</v>
      </c>
      <c r="O311" s="1462">
        <v>1.1299999999999999</v>
      </c>
      <c r="P311" s="1522">
        <f>O311*N311</f>
        <v>13.559999999999999</v>
      </c>
      <c r="Q311" s="1462">
        <f>I311</f>
        <v>69.62</v>
      </c>
      <c r="R311" s="1462">
        <f>P311*Q311</f>
        <v>944.04719999999998</v>
      </c>
    </row>
    <row r="312" spans="1:18" ht="14.4" hidden="1">
      <c r="A312" s="1639"/>
      <c r="B312" s="1665"/>
      <c r="C312" s="1654" t="s">
        <v>230</v>
      </c>
      <c r="D312" s="1660"/>
      <c r="E312" s="1649"/>
      <c r="F312" s="1661"/>
      <c r="G312" s="1661"/>
      <c r="H312" s="1666">
        <v>1</v>
      </c>
      <c r="I312" s="1649">
        <v>50</v>
      </c>
      <c r="J312" s="1649">
        <f>H312*I312</f>
        <v>50</v>
      </c>
      <c r="K312" s="1473" t="s">
        <v>230</v>
      </c>
      <c r="L312" s="1466"/>
      <c r="M312" s="1462"/>
      <c r="N312" s="1522"/>
      <c r="O312" s="1522"/>
      <c r="P312" s="1527">
        <v>1</v>
      </c>
      <c r="Q312" s="1462">
        <v>50</v>
      </c>
      <c r="R312" s="1462">
        <f>P312*Q312</f>
        <v>50</v>
      </c>
    </row>
    <row r="313" spans="1:18" ht="14.4" hidden="1">
      <c r="A313" s="1639"/>
      <c r="B313" s="1665"/>
      <c r="C313" s="1654"/>
      <c r="D313" s="1660"/>
      <c r="E313" s="1649"/>
      <c r="F313" s="1661"/>
      <c r="G313" s="1661"/>
      <c r="H313" s="1661"/>
      <c r="I313" s="1649"/>
      <c r="J313" s="1649">
        <f>SUM(J305:J312)</f>
        <v>5133.9272000000001</v>
      </c>
      <c r="K313" s="1473"/>
      <c r="L313" s="1466"/>
      <c r="M313" s="1462"/>
      <c r="N313" s="1522"/>
      <c r="O313" s="1522"/>
      <c r="P313" s="1522"/>
      <c r="Q313" s="1462"/>
      <c r="R313" s="1462">
        <f>SUM(R305:R312)</f>
        <v>4945.5771999999997</v>
      </c>
    </row>
    <row r="314" spans="1:18" s="1520" customFormat="1" ht="14.4" hidden="1">
      <c r="A314" s="1639"/>
      <c r="B314" s="1667"/>
      <c r="C314" s="1654" t="s">
        <v>1600</v>
      </c>
      <c r="D314" s="1664"/>
      <c r="E314" s="1658"/>
      <c r="F314" s="1662"/>
      <c r="G314" s="1662"/>
      <c r="H314" s="1662">
        <f>J313</f>
        <v>5133.9272000000001</v>
      </c>
      <c r="I314" s="1658">
        <f>I6</f>
        <v>0</v>
      </c>
      <c r="J314" s="1658">
        <f>ROUND(H334*I334,2)</f>
        <v>1180.06</v>
      </c>
      <c r="K314" s="1473" t="s">
        <v>1600</v>
      </c>
      <c r="L314" s="1465"/>
      <c r="M314" s="1468"/>
      <c r="N314" s="1526"/>
      <c r="O314" s="1526"/>
      <c r="P314" s="1526">
        <f>R313</f>
        <v>4945.5771999999997</v>
      </c>
      <c r="Q314" s="1462">
        <f>I314</f>
        <v>0</v>
      </c>
      <c r="R314" s="1468">
        <f>ROUND(P334*Q334,2)</f>
        <v>0</v>
      </c>
    </row>
    <row r="315" spans="1:18" s="1520" customFormat="1" ht="14.4" hidden="1">
      <c r="A315" s="1639"/>
      <c r="B315" s="1667"/>
      <c r="C315" s="1639" t="s">
        <v>1312</v>
      </c>
      <c r="D315" s="1664"/>
      <c r="E315" s="1658"/>
      <c r="F315" s="1662"/>
      <c r="G315" s="1662"/>
      <c r="H315" s="1662"/>
      <c r="I315" s="1658" t="s">
        <v>416</v>
      </c>
      <c r="J315" s="1658">
        <f>SUM(J313:J314)</f>
        <v>6313.9871999999996</v>
      </c>
      <c r="K315" s="1530" t="s">
        <v>1312</v>
      </c>
      <c r="L315" s="1465"/>
      <c r="M315" s="1468"/>
      <c r="N315" s="1526"/>
      <c r="O315" s="1526"/>
      <c r="P315" s="1526"/>
      <c r="Q315" s="1468" t="s">
        <v>416</v>
      </c>
      <c r="R315" s="1468">
        <f>SUM(R313:R314)</f>
        <v>4945.5771999999997</v>
      </c>
    </row>
    <row r="316" spans="1:18" s="1520" customFormat="1" ht="14.4" hidden="1">
      <c r="A316" s="1639"/>
      <c r="B316" s="1667"/>
      <c r="C316" s="1639" t="s">
        <v>1313</v>
      </c>
      <c r="D316" s="1664"/>
      <c r="E316" s="1658"/>
      <c r="F316" s="1662"/>
      <c r="G316" s="1662"/>
      <c r="H316" s="1662"/>
      <c r="I316" s="1658" t="s">
        <v>416</v>
      </c>
      <c r="J316" s="1658">
        <f>J302-J315</f>
        <v>4092.3000000000029</v>
      </c>
      <c r="K316" s="1530" t="s">
        <v>1313</v>
      </c>
      <c r="L316" s="1465"/>
      <c r="M316" s="1468"/>
      <c r="N316" s="1526"/>
      <c r="O316" s="1526"/>
      <c r="P316" s="1526"/>
      <c r="Q316" s="1468" t="s">
        <v>416</v>
      </c>
      <c r="R316" s="1468">
        <f>R302-R315</f>
        <v>5040.1699999999983</v>
      </c>
    </row>
    <row r="317" spans="1:18" ht="72" hidden="1">
      <c r="A317" s="1639"/>
      <c r="B317" s="1659">
        <v>8</v>
      </c>
      <c r="C317" s="1639" t="s">
        <v>2607</v>
      </c>
      <c r="D317" s="1660"/>
      <c r="E317" s="1649"/>
      <c r="F317" s="1661"/>
      <c r="G317" s="1661"/>
      <c r="H317" s="1661"/>
      <c r="I317" s="1649"/>
      <c r="J317" s="1649"/>
      <c r="K317" s="1513"/>
    </row>
    <row r="318" spans="1:18" ht="14.4" hidden="1">
      <c r="A318" s="1639"/>
      <c r="B318" s="1665"/>
      <c r="C318" s="1639" t="s">
        <v>1937</v>
      </c>
      <c r="D318" s="1660"/>
      <c r="E318" s="1649"/>
      <c r="F318" s="1661"/>
      <c r="G318" s="1661"/>
      <c r="H318" s="1661"/>
      <c r="I318" s="1649"/>
      <c r="J318" s="1649"/>
      <c r="K318" s="1513"/>
    </row>
    <row r="319" spans="1:18" ht="14.4" hidden="1">
      <c r="A319" s="1639"/>
      <c r="B319" s="1665"/>
      <c r="C319" s="1654" t="s">
        <v>848</v>
      </c>
      <c r="D319" s="1660"/>
      <c r="E319" s="1649"/>
      <c r="F319" s="1661"/>
      <c r="G319" s="1661"/>
      <c r="H319" s="1661"/>
      <c r="I319" s="1649"/>
      <c r="J319" s="1649"/>
      <c r="K319" s="1513"/>
    </row>
    <row r="320" spans="1:18" ht="14.4" hidden="1">
      <c r="A320" s="1639"/>
      <c r="B320" s="1665"/>
      <c r="C320" s="1654" t="s">
        <v>780</v>
      </c>
      <c r="D320" s="1660">
        <v>4</v>
      </c>
      <c r="E320" s="1649">
        <v>1.2</v>
      </c>
      <c r="F320" s="1661">
        <v>0.1</v>
      </c>
      <c r="G320" s="1661">
        <v>7.4999999999999997E-2</v>
      </c>
      <c r="H320" s="1661">
        <f>ROUND(G320*F320*E320*D320,3)</f>
        <v>3.5999999999999997E-2</v>
      </c>
      <c r="I320" s="1649">
        <v>44785</v>
      </c>
      <c r="J320" s="1649">
        <f t="shared" ref="J320:J325" si="24">ROUND(H320*I320,2)</f>
        <v>1612.26</v>
      </c>
      <c r="K320" s="1513"/>
    </row>
    <row r="321" spans="1:11" ht="14.4" hidden="1">
      <c r="A321" s="1639"/>
      <c r="B321" s="1665"/>
      <c r="C321" s="1654" t="s">
        <v>781</v>
      </c>
      <c r="D321" s="1660">
        <v>2</v>
      </c>
      <c r="E321" s="1649">
        <v>1.65</v>
      </c>
      <c r="F321" s="1661">
        <v>0.1</v>
      </c>
      <c r="G321" s="1661">
        <v>7.4999999999999997E-2</v>
      </c>
      <c r="H321" s="1661">
        <f>ROUND(G321*F321*E321*D321,3)</f>
        <v>2.5000000000000001E-2</v>
      </c>
      <c r="I321" s="1649">
        <v>44785</v>
      </c>
      <c r="J321" s="1649">
        <f t="shared" si="24"/>
        <v>1119.6300000000001</v>
      </c>
      <c r="K321" s="1513"/>
    </row>
    <row r="322" spans="1:11" ht="14.4" hidden="1">
      <c r="A322" s="1639"/>
      <c r="B322" s="1665"/>
      <c r="C322" s="1654" t="s">
        <v>782</v>
      </c>
      <c r="D322" s="1660" t="s">
        <v>243</v>
      </c>
      <c r="E322" s="1652">
        <f>(1.35-2*0.075+2*0.015)</f>
        <v>1.2300000000000002</v>
      </c>
      <c r="F322" s="1661">
        <v>7.4999999999999997E-2</v>
      </c>
      <c r="G322" s="1661">
        <f>1.25*25.4/1000</f>
        <v>3.175E-2</v>
      </c>
      <c r="H322" s="1661">
        <f>ROUND(G322*F322*E322*6,3)</f>
        <v>1.7999999999999999E-2</v>
      </c>
      <c r="I322" s="1649">
        <v>59715</v>
      </c>
      <c r="J322" s="1649">
        <f t="shared" si="24"/>
        <v>1074.8699999999999</v>
      </c>
      <c r="K322" s="1513"/>
    </row>
    <row r="323" spans="1:11" ht="14.4" hidden="1">
      <c r="A323" s="1639"/>
      <c r="B323" s="1665"/>
      <c r="C323" s="1654" t="s">
        <v>783</v>
      </c>
      <c r="D323" s="1660" t="s">
        <v>244</v>
      </c>
      <c r="E323" s="1649">
        <f>(1.5-3*0.075+6*0.015)/2</f>
        <v>0.6825</v>
      </c>
      <c r="F323" s="1661">
        <v>7.4999999999999997E-2</v>
      </c>
      <c r="G323" s="1661">
        <f>1.25*25.4/1000</f>
        <v>3.175E-2</v>
      </c>
      <c r="H323" s="1661">
        <f>ROUND(9*E323*F323*G323,3)</f>
        <v>1.4999999999999999E-2</v>
      </c>
      <c r="I323" s="1649">
        <v>59715</v>
      </c>
      <c r="J323" s="1649">
        <f t="shared" si="24"/>
        <v>895.73</v>
      </c>
      <c r="K323" s="1513"/>
    </row>
    <row r="324" spans="1:11" ht="14.4" hidden="1">
      <c r="A324" s="1639"/>
      <c r="B324" s="1665"/>
      <c r="C324" s="1654" t="s">
        <v>1481</v>
      </c>
      <c r="D324" s="1660" t="s">
        <v>245</v>
      </c>
      <c r="E324" s="1649">
        <f>(1.5-4*0.075+6*0.015)/3-2*0.075+2*0.025</f>
        <v>0.33</v>
      </c>
      <c r="F324" s="1661">
        <f>(1.35-2*0.075+2*0.015-3*0.075)/2+2*0.025</f>
        <v>0.55250000000000021</v>
      </c>
      <c r="G324" s="1661">
        <v>2.5000000000000001E-2</v>
      </c>
      <c r="H324" s="1661">
        <f>ROUND(6*E324*F324*G324,3)</f>
        <v>2.7E-2</v>
      </c>
      <c r="I324" s="1649">
        <v>59715</v>
      </c>
      <c r="J324" s="1649">
        <f t="shared" si="24"/>
        <v>1612.31</v>
      </c>
      <c r="K324" s="1513"/>
    </row>
    <row r="325" spans="1:11" ht="14.4" hidden="1">
      <c r="A325" s="1639"/>
      <c r="B325" s="1665"/>
      <c r="C325" s="1654" t="s">
        <v>1482</v>
      </c>
      <c r="D325" s="1660"/>
      <c r="E325" s="1649"/>
      <c r="F325" s="1661"/>
      <c r="G325" s="1661"/>
      <c r="H325" s="1661">
        <f>SUM(H320:H324)</f>
        <v>0.121</v>
      </c>
      <c r="I325" s="1649">
        <f>G25</f>
        <v>19572.5</v>
      </c>
      <c r="J325" s="1649">
        <f t="shared" si="24"/>
        <v>2368.27</v>
      </c>
      <c r="K325" s="1513"/>
    </row>
    <row r="326" spans="1:11" ht="43.2" hidden="1">
      <c r="A326" s="1639" t="s">
        <v>787</v>
      </c>
      <c r="B326" s="1638"/>
      <c r="C326" s="1654" t="s">
        <v>788</v>
      </c>
      <c r="D326" s="1660"/>
      <c r="E326" s="1649"/>
      <c r="F326" s="1661"/>
      <c r="G326" s="1662"/>
      <c r="H326" s="1662"/>
      <c r="I326" s="1649"/>
      <c r="J326" s="1649"/>
      <c r="K326" s="1513"/>
    </row>
    <row r="327" spans="1:11" ht="14.4" hidden="1">
      <c r="A327" s="1639"/>
      <c r="B327" s="1654"/>
      <c r="C327" s="1659" t="s">
        <v>915</v>
      </c>
      <c r="D327" s="1649" t="s">
        <v>1035</v>
      </c>
      <c r="E327" s="1661" t="s">
        <v>1624</v>
      </c>
      <c r="F327" s="1661"/>
      <c r="G327" s="1661"/>
      <c r="H327" s="1666">
        <v>3</v>
      </c>
      <c r="I327" s="1649">
        <v>35</v>
      </c>
      <c r="J327" s="1649">
        <f t="shared" ref="J327:J332" si="25">ROUND(H327*I327,2)</f>
        <v>105</v>
      </c>
      <c r="K327" s="1513"/>
    </row>
    <row r="328" spans="1:11" ht="14.4" hidden="1">
      <c r="A328" s="1639"/>
      <c r="B328" s="1654"/>
      <c r="C328" s="1659" t="s">
        <v>916</v>
      </c>
      <c r="D328" s="1649" t="s">
        <v>1035</v>
      </c>
      <c r="E328" s="1661" t="s">
        <v>1624</v>
      </c>
      <c r="F328" s="1661"/>
      <c r="G328" s="1661"/>
      <c r="H328" s="1666">
        <v>3</v>
      </c>
      <c r="I328" s="1649">
        <v>35</v>
      </c>
      <c r="J328" s="1649">
        <f t="shared" si="25"/>
        <v>105</v>
      </c>
      <c r="K328" s="1513"/>
    </row>
    <row r="329" spans="1:11" ht="14.4" hidden="1">
      <c r="A329" s="1639"/>
      <c r="B329" s="1654"/>
      <c r="C329" s="1659" t="s">
        <v>917</v>
      </c>
      <c r="D329" s="1649" t="s">
        <v>1035</v>
      </c>
      <c r="E329" s="1661" t="s">
        <v>1625</v>
      </c>
      <c r="F329" s="1661"/>
      <c r="G329" s="1661"/>
      <c r="H329" s="1666">
        <v>6</v>
      </c>
      <c r="I329" s="1649">
        <v>21</v>
      </c>
      <c r="J329" s="1649">
        <f t="shared" si="25"/>
        <v>126</v>
      </c>
      <c r="K329" s="1513"/>
    </row>
    <row r="330" spans="1:11" ht="14.4" hidden="1">
      <c r="A330" s="1639"/>
      <c r="B330" s="1654"/>
      <c r="C330" s="1659" t="s">
        <v>918</v>
      </c>
      <c r="D330" s="1649" t="s">
        <v>1035</v>
      </c>
      <c r="E330" s="1661" t="s">
        <v>1626</v>
      </c>
      <c r="F330" s="1661"/>
      <c r="G330" s="1661"/>
      <c r="H330" s="1666">
        <v>3</v>
      </c>
      <c r="I330" s="1649">
        <v>213</v>
      </c>
      <c r="J330" s="1649">
        <f t="shared" si="25"/>
        <v>639</v>
      </c>
      <c r="K330" s="1513"/>
    </row>
    <row r="331" spans="1:11" ht="14.4" hidden="1">
      <c r="A331" s="1639"/>
      <c r="B331" s="1654"/>
      <c r="C331" s="1659" t="s">
        <v>799</v>
      </c>
      <c r="D331" s="1649" t="s">
        <v>882</v>
      </c>
      <c r="E331" s="1661" t="s">
        <v>1652</v>
      </c>
      <c r="F331" s="1661"/>
      <c r="G331" s="1661"/>
      <c r="H331" s="1666">
        <v>90</v>
      </c>
      <c r="I331" s="1649">
        <v>3</v>
      </c>
      <c r="J331" s="1649">
        <f t="shared" si="25"/>
        <v>270</v>
      </c>
      <c r="K331" s="1513"/>
    </row>
    <row r="332" spans="1:11" ht="14.4" hidden="1">
      <c r="A332" s="1639"/>
      <c r="B332" s="1659"/>
      <c r="C332" s="1654" t="s">
        <v>1598</v>
      </c>
      <c r="D332" s="1660"/>
      <c r="E332" s="1652" t="s">
        <v>1651</v>
      </c>
      <c r="F332" s="1661"/>
      <c r="G332" s="1661"/>
      <c r="H332" s="1666">
        <v>4</v>
      </c>
      <c r="I332" s="1649">
        <v>32</v>
      </c>
      <c r="J332" s="1649">
        <f t="shared" si="25"/>
        <v>128</v>
      </c>
      <c r="K332" s="1513"/>
    </row>
    <row r="333" spans="1:11" ht="14.4" hidden="1">
      <c r="A333" s="1639"/>
      <c r="B333" s="1665"/>
      <c r="C333" s="1654" t="s">
        <v>1484</v>
      </c>
      <c r="D333" s="1660">
        <v>2.75</v>
      </c>
      <c r="E333" s="1649">
        <v>1.5</v>
      </c>
      <c r="F333" s="1661"/>
      <c r="G333" s="1649">
        <v>1.35</v>
      </c>
      <c r="H333" s="1661">
        <f>ROUND(G333*E333*D333,2)</f>
        <v>5.57</v>
      </c>
      <c r="I333" s="1649">
        <f>G15</f>
        <v>577.61900000000003</v>
      </c>
      <c r="J333" s="1649">
        <f>ROUND(H333*I333/10,2)</f>
        <v>321.73</v>
      </c>
      <c r="K333" s="1513"/>
    </row>
    <row r="334" spans="1:11" ht="14.4" hidden="1">
      <c r="A334" s="1639"/>
      <c r="B334" s="1665"/>
      <c r="C334" s="1639" t="s">
        <v>1306</v>
      </c>
      <c r="D334" s="1660" t="s">
        <v>246</v>
      </c>
      <c r="E334" s="1649">
        <v>1.5</v>
      </c>
      <c r="F334" s="1661">
        <f>E334*10</f>
        <v>15</v>
      </c>
      <c r="G334" s="1649">
        <v>1.1299999999999999</v>
      </c>
      <c r="H334" s="1661">
        <f>G334*F334</f>
        <v>16.95</v>
      </c>
      <c r="I334" s="1649">
        <f>'Lead- Input sheet '!R10/1000</f>
        <v>69.62</v>
      </c>
      <c r="J334" s="1649">
        <f>H334*I334</f>
        <v>1180.059</v>
      </c>
      <c r="K334" s="1513"/>
    </row>
    <row r="335" spans="1:11" ht="14.4" hidden="1">
      <c r="A335" s="1639"/>
      <c r="B335" s="1665"/>
      <c r="C335" s="1654" t="s">
        <v>230</v>
      </c>
      <c r="D335" s="1660"/>
      <c r="E335" s="1649"/>
      <c r="F335" s="1661"/>
      <c r="G335" s="1661"/>
      <c r="H335" s="1666">
        <v>1</v>
      </c>
      <c r="I335" s="1649">
        <v>125</v>
      </c>
      <c r="J335" s="1649">
        <f>H335*I335</f>
        <v>125</v>
      </c>
      <c r="K335" s="1513"/>
    </row>
    <row r="336" spans="1:11" ht="14.4" hidden="1">
      <c r="A336" s="1639"/>
      <c r="B336" s="1665"/>
      <c r="C336" s="1654"/>
      <c r="D336" s="1660"/>
      <c r="E336" s="1649"/>
      <c r="F336" s="1661"/>
      <c r="G336" s="1661"/>
      <c r="H336" s="1661"/>
      <c r="I336" s="1649"/>
      <c r="J336" s="1649">
        <f>SUM(J320:J335)</f>
        <v>11682.858999999999</v>
      </c>
      <c r="K336" s="1513"/>
    </row>
    <row r="337" spans="1:11" s="1520" customFormat="1" ht="14.4" hidden="1">
      <c r="A337" s="1639"/>
      <c r="B337" s="1667"/>
      <c r="C337" s="1654" t="s">
        <v>1600</v>
      </c>
      <c r="D337" s="1664"/>
      <c r="E337" s="1658"/>
      <c r="F337" s="1662"/>
      <c r="G337" s="1662"/>
      <c r="H337" s="1662">
        <f>J336</f>
        <v>11682.858999999999</v>
      </c>
      <c r="I337" s="1658">
        <f>I6</f>
        <v>0</v>
      </c>
      <c r="J337" s="1658">
        <f>ROUND(H337*I337,2)</f>
        <v>0</v>
      </c>
      <c r="K337" s="1523"/>
    </row>
    <row r="338" spans="1:11" s="1520" customFormat="1" ht="14.4" hidden="1">
      <c r="A338" s="1639"/>
      <c r="B338" s="1667"/>
      <c r="C338" s="1639" t="s">
        <v>256</v>
      </c>
      <c r="D338" s="1664"/>
      <c r="E338" s="1658"/>
      <c r="F338" s="1662"/>
      <c r="G338" s="1662"/>
      <c r="H338" s="1662"/>
      <c r="I338" s="1658" t="s">
        <v>416</v>
      </c>
      <c r="J338" s="1658">
        <f>SUM(J336:J337)</f>
        <v>11682.858999999999</v>
      </c>
      <c r="K338" s="1523"/>
    </row>
    <row r="339" spans="1:11" ht="14.4" hidden="1">
      <c r="A339" s="1639"/>
      <c r="B339" s="1665"/>
      <c r="C339" s="1639" t="s">
        <v>1315</v>
      </c>
      <c r="D339" s="1660"/>
      <c r="E339" s="1649"/>
      <c r="F339" s="1661"/>
      <c r="G339" s="1661"/>
      <c r="H339" s="1661"/>
      <c r="I339" s="1649"/>
      <c r="J339" s="1649"/>
      <c r="K339" s="1513"/>
    </row>
    <row r="340" spans="1:11" ht="14.4" hidden="1">
      <c r="A340" s="1639"/>
      <c r="B340" s="1665"/>
      <c r="C340" s="1654" t="s">
        <v>848</v>
      </c>
      <c r="D340" s="1660"/>
      <c r="E340" s="1649"/>
      <c r="F340" s="1661"/>
      <c r="G340" s="1661"/>
      <c r="H340" s="1661"/>
      <c r="I340" s="1649"/>
      <c r="J340" s="1649"/>
      <c r="K340" s="1513"/>
    </row>
    <row r="341" spans="1:11" ht="14.4" hidden="1">
      <c r="A341" s="1639"/>
      <c r="B341" s="1665"/>
      <c r="C341" s="1654" t="s">
        <v>780</v>
      </c>
      <c r="D341" s="1660">
        <v>4</v>
      </c>
      <c r="E341" s="1649">
        <v>1.35</v>
      </c>
      <c r="F341" s="1661">
        <v>0.1</v>
      </c>
      <c r="G341" s="1661">
        <v>7.4999999999999997E-2</v>
      </c>
      <c r="H341" s="1661">
        <f>ROUND(D341*E341*F341*G341,3)</f>
        <v>4.1000000000000002E-2</v>
      </c>
      <c r="I341" s="1649">
        <v>44785</v>
      </c>
      <c r="J341" s="1649">
        <f>ROUND(H341*I341,2)</f>
        <v>1836.19</v>
      </c>
      <c r="K341" s="1513"/>
    </row>
    <row r="342" spans="1:11" ht="14.4" hidden="1">
      <c r="A342" s="1639"/>
      <c r="B342" s="1665"/>
      <c r="C342" s="1654" t="s">
        <v>781</v>
      </c>
      <c r="D342" s="1660">
        <v>2</v>
      </c>
      <c r="E342" s="1649">
        <v>1.65</v>
      </c>
      <c r="F342" s="1661">
        <v>0.1</v>
      </c>
      <c r="G342" s="1661">
        <v>7.4999999999999997E-2</v>
      </c>
      <c r="H342" s="1661">
        <f>ROUND(D342*E342*F342*G342,3)</f>
        <v>2.5000000000000001E-2</v>
      </c>
      <c r="I342" s="1649">
        <v>44785</v>
      </c>
      <c r="J342" s="1649">
        <f>ROUND(H342*I342,2)</f>
        <v>1119.6300000000001</v>
      </c>
      <c r="K342" s="1513"/>
    </row>
    <row r="343" spans="1:11" ht="14.4" hidden="1">
      <c r="A343" s="1639"/>
      <c r="B343" s="1665"/>
      <c r="C343" s="1654" t="s">
        <v>1482</v>
      </c>
      <c r="D343" s="1660"/>
      <c r="E343" s="1649"/>
      <c r="F343" s="1661"/>
      <c r="G343" s="1661"/>
      <c r="H343" s="1661">
        <f>SUM(H341:H342)</f>
        <v>6.6000000000000003E-2</v>
      </c>
      <c r="I343" s="1649">
        <f>G25</f>
        <v>19572.5</v>
      </c>
      <c r="J343" s="1649">
        <f>ROUND(H343*I343,2)</f>
        <v>1291.79</v>
      </c>
      <c r="K343" s="1513"/>
    </row>
    <row r="344" spans="1:11" ht="43.2" hidden="1">
      <c r="A344" s="1639" t="s">
        <v>787</v>
      </c>
      <c r="B344" s="1638"/>
      <c r="C344" s="1654" t="s">
        <v>788</v>
      </c>
      <c r="D344" s="1660"/>
      <c r="E344" s="1649"/>
      <c r="F344" s="1661"/>
      <c r="G344" s="1662"/>
      <c r="H344" s="1662"/>
      <c r="I344" s="1649"/>
      <c r="J344" s="1649"/>
      <c r="K344" s="1513"/>
    </row>
    <row r="345" spans="1:11" ht="14.4" hidden="1">
      <c r="A345" s="1639"/>
      <c r="B345" s="1659"/>
      <c r="C345" s="1654" t="s">
        <v>1598</v>
      </c>
      <c r="D345" s="1660"/>
      <c r="E345" s="1652" t="s">
        <v>1651</v>
      </c>
      <c r="F345" s="1661"/>
      <c r="G345" s="1661"/>
      <c r="H345" s="1666">
        <v>4</v>
      </c>
      <c r="I345" s="1649">
        <v>32</v>
      </c>
      <c r="J345" s="1661">
        <f>ROUND(H345*I345,2)</f>
        <v>128</v>
      </c>
      <c r="K345" s="1513"/>
    </row>
    <row r="346" spans="1:11" ht="14.4" hidden="1">
      <c r="A346" s="1639"/>
      <c r="B346" s="1665"/>
      <c r="C346" s="1654" t="s">
        <v>1484</v>
      </c>
      <c r="D346" s="1661" t="s">
        <v>544</v>
      </c>
      <c r="E346" s="1661">
        <v>1.5</v>
      </c>
      <c r="F346" s="1661"/>
      <c r="G346" s="1649">
        <v>1.35</v>
      </c>
      <c r="H346" s="1661">
        <f>ROUND(G346*E346*2.75/3,2)</f>
        <v>1.86</v>
      </c>
      <c r="I346" s="1649">
        <f>G15</f>
        <v>577.61900000000003</v>
      </c>
      <c r="J346" s="1649">
        <f>ROUND(H346*I346/10,2)</f>
        <v>107.44</v>
      </c>
      <c r="K346" s="1513"/>
    </row>
    <row r="347" spans="1:11" ht="14.4" hidden="1">
      <c r="A347" s="1639"/>
      <c r="B347" s="1665"/>
      <c r="C347" s="1639" t="s">
        <v>1306</v>
      </c>
      <c r="D347" s="1660" t="s">
        <v>246</v>
      </c>
      <c r="E347" s="1649">
        <v>1.5</v>
      </c>
      <c r="F347" s="1661">
        <f>E347*10</f>
        <v>15</v>
      </c>
      <c r="G347" s="1649">
        <v>1.1299999999999999</v>
      </c>
      <c r="H347" s="1661">
        <f>G347*F347</f>
        <v>16.95</v>
      </c>
      <c r="I347" s="1649">
        <f>'Lead- Input sheet '!R10/1000</f>
        <v>69.62</v>
      </c>
      <c r="J347" s="1649">
        <f>H347*I347</f>
        <v>1180.059</v>
      </c>
      <c r="K347" s="1513"/>
    </row>
    <row r="348" spans="1:11" ht="14.4" hidden="1">
      <c r="A348" s="1639"/>
      <c r="B348" s="1665"/>
      <c r="C348" s="1654" t="s">
        <v>230</v>
      </c>
      <c r="D348" s="1660"/>
      <c r="E348" s="1649"/>
      <c r="F348" s="1661"/>
      <c r="G348" s="1661"/>
      <c r="H348" s="1666">
        <v>1</v>
      </c>
      <c r="I348" s="1649">
        <v>75</v>
      </c>
      <c r="J348" s="1649">
        <f>H348*I348</f>
        <v>75</v>
      </c>
      <c r="K348" s="1513"/>
    </row>
    <row r="349" spans="1:11" ht="14.4" hidden="1">
      <c r="A349" s="1639"/>
      <c r="B349" s="1665"/>
      <c r="C349" s="1654"/>
      <c r="D349" s="1660"/>
      <c r="E349" s="1649"/>
      <c r="F349" s="1661"/>
      <c r="G349" s="1661"/>
      <c r="H349" s="1661"/>
      <c r="I349" s="1649"/>
      <c r="J349" s="1649">
        <f>SUM(J341:J348)</f>
        <v>5738.1090000000004</v>
      </c>
      <c r="K349" s="1513"/>
    </row>
    <row r="350" spans="1:11" s="1520" customFormat="1" ht="14.4" hidden="1">
      <c r="A350" s="1639"/>
      <c r="B350" s="1667"/>
      <c r="C350" s="1654" t="s">
        <v>1600</v>
      </c>
      <c r="D350" s="1664"/>
      <c r="E350" s="1658"/>
      <c r="F350" s="1662"/>
      <c r="G350" s="1662"/>
      <c r="H350" s="1662">
        <f>J349</f>
        <v>5738.1090000000004</v>
      </c>
      <c r="I350" s="1658">
        <f>I6</f>
        <v>0</v>
      </c>
      <c r="J350" s="1649">
        <f>ROUND(H350*I350,2)</f>
        <v>0</v>
      </c>
      <c r="K350" s="1523"/>
    </row>
    <row r="351" spans="1:11" s="1520" customFormat="1" ht="14.4" hidden="1">
      <c r="A351" s="1639"/>
      <c r="B351" s="1667"/>
      <c r="C351" s="1639" t="s">
        <v>1316</v>
      </c>
      <c r="D351" s="1664"/>
      <c r="E351" s="1658"/>
      <c r="F351" s="1662"/>
      <c r="G351" s="1662"/>
      <c r="H351" s="1662"/>
      <c r="I351" s="1658" t="s">
        <v>416</v>
      </c>
      <c r="J351" s="1658">
        <f>SUM(J349:J350)</f>
        <v>5738.1090000000004</v>
      </c>
      <c r="K351" s="1523"/>
    </row>
    <row r="352" spans="1:11" s="1520" customFormat="1" ht="14.4" hidden="1">
      <c r="A352" s="1639"/>
      <c r="B352" s="1667"/>
      <c r="C352" s="1639" t="s">
        <v>1317</v>
      </c>
      <c r="D352" s="1664"/>
      <c r="E352" s="1658"/>
      <c r="F352" s="1662"/>
      <c r="G352" s="1662"/>
      <c r="H352" s="1662"/>
      <c r="I352" s="1658" t="s">
        <v>416</v>
      </c>
      <c r="J352" s="1658">
        <f>J338-J351</f>
        <v>5944.7499999999982</v>
      </c>
      <c r="K352" s="1523"/>
    </row>
    <row r="353" spans="1:12" ht="57.6" hidden="1">
      <c r="A353" s="1639"/>
      <c r="B353" s="1659">
        <v>5</v>
      </c>
      <c r="C353" s="1654" t="s">
        <v>1832</v>
      </c>
      <c r="D353" s="1660"/>
      <c r="E353" s="1649"/>
      <c r="F353" s="1661"/>
      <c r="G353" s="1661"/>
      <c r="H353" s="1661"/>
      <c r="I353" s="1649"/>
      <c r="J353" s="1649"/>
      <c r="K353" s="1513"/>
    </row>
    <row r="354" spans="1:12" ht="14.4" hidden="1">
      <c r="A354" s="1639"/>
      <c r="B354" s="1665"/>
      <c r="C354" s="1639" t="s">
        <v>1588</v>
      </c>
      <c r="D354" s="1660"/>
      <c r="E354" s="1649"/>
      <c r="F354" s="1661"/>
      <c r="G354" s="1661"/>
      <c r="H354" s="1661"/>
      <c r="I354" s="1649"/>
      <c r="J354" s="1649"/>
      <c r="K354" s="1513"/>
    </row>
    <row r="355" spans="1:12" ht="14.4" hidden="1">
      <c r="A355" s="1639"/>
      <c r="B355" s="1665"/>
      <c r="C355" s="1654" t="s">
        <v>848</v>
      </c>
      <c r="D355" s="1660"/>
      <c r="E355" s="1649"/>
      <c r="F355" s="1661"/>
      <c r="G355" s="1661"/>
      <c r="H355" s="1661"/>
      <c r="I355" s="1649"/>
      <c r="J355" s="1649"/>
      <c r="K355" s="1513"/>
    </row>
    <row r="356" spans="1:12" ht="14.4" hidden="1">
      <c r="A356" s="1639"/>
      <c r="B356" s="1665"/>
      <c r="C356" s="1654" t="s">
        <v>780</v>
      </c>
      <c r="D356" s="1660">
        <v>4</v>
      </c>
      <c r="E356" s="1649">
        <v>1.35</v>
      </c>
      <c r="F356" s="1661">
        <v>0.1</v>
      </c>
      <c r="G356" s="1661">
        <v>7.4999999999999997E-2</v>
      </c>
      <c r="H356" s="1661">
        <f>ROUND(D356*E356*F356*G356,3)</f>
        <v>4.1000000000000002E-2</v>
      </c>
      <c r="I356" s="1649">
        <v>44785</v>
      </c>
      <c r="J356" s="1649">
        <f>ROUND(H356*I356,2)</f>
        <v>1836.19</v>
      </c>
      <c r="K356" s="1513"/>
    </row>
    <row r="357" spans="1:12" ht="14.4" hidden="1">
      <c r="A357" s="1639"/>
      <c r="B357" s="1665"/>
      <c r="C357" s="1654" t="s">
        <v>441</v>
      </c>
      <c r="D357" s="1660">
        <v>2</v>
      </c>
      <c r="E357" s="1649">
        <v>1.5</v>
      </c>
      <c r="F357" s="1661">
        <v>0.1</v>
      </c>
      <c r="G357" s="1661">
        <v>7.4999999999999997E-2</v>
      </c>
      <c r="H357" s="1661">
        <f>ROUND(D357*E357*F357*G357,3)</f>
        <v>2.3E-2</v>
      </c>
      <c r="I357" s="1649">
        <v>44785</v>
      </c>
      <c r="J357" s="1649">
        <f>ROUND(H357*I357,2)</f>
        <v>1030.06</v>
      </c>
      <c r="K357" s="1513"/>
    </row>
    <row r="358" spans="1:12" ht="14.4" hidden="1">
      <c r="A358" s="1639"/>
      <c r="B358" s="1665"/>
      <c r="C358" s="1654" t="s">
        <v>782</v>
      </c>
      <c r="D358" s="1660" t="s">
        <v>243</v>
      </c>
      <c r="E358" s="1649">
        <f>(1.35-2*0.075+2*0.015)</f>
        <v>1.2300000000000002</v>
      </c>
      <c r="F358" s="1661">
        <v>7.4999999999999997E-2</v>
      </c>
      <c r="G358" s="1661">
        <v>3.2000000000000001E-2</v>
      </c>
      <c r="H358" s="1661">
        <f>ROUND(6*E358*F358*G358,3)</f>
        <v>1.7999999999999999E-2</v>
      </c>
      <c r="I358" s="1649">
        <v>59715</v>
      </c>
      <c r="J358" s="1649">
        <f>ROUND(H358*I358,2)</f>
        <v>1074.8699999999999</v>
      </c>
      <c r="K358" s="1513"/>
    </row>
    <row r="359" spans="1:12" ht="14.4" hidden="1">
      <c r="A359" s="1639"/>
      <c r="B359" s="1665"/>
      <c r="C359" s="1654" t="s">
        <v>783</v>
      </c>
      <c r="D359" s="1660" t="s">
        <v>244</v>
      </c>
      <c r="E359" s="1649">
        <f>(1.35-4*0.075+6*0.015)/3</f>
        <v>0.38000000000000006</v>
      </c>
      <c r="F359" s="1661">
        <v>7.4999999999999997E-2</v>
      </c>
      <c r="G359" s="1661">
        <v>3.2000000000000001E-2</v>
      </c>
      <c r="H359" s="1661">
        <f>ROUND(9*E359*F359*G359,3)</f>
        <v>8.0000000000000002E-3</v>
      </c>
      <c r="I359" s="1649">
        <v>59715</v>
      </c>
      <c r="J359" s="1649">
        <f>ROUND(H359*I359,2)</f>
        <v>477.72</v>
      </c>
      <c r="K359" s="1513"/>
    </row>
    <row r="360" spans="1:12" ht="28.8" hidden="1">
      <c r="A360" s="1639" t="s">
        <v>418</v>
      </c>
      <c r="B360" s="1639"/>
      <c r="C360" s="1654" t="s">
        <v>417</v>
      </c>
      <c r="D360" s="1660" t="s">
        <v>245</v>
      </c>
      <c r="E360" s="1649">
        <f>(1.35-4*0.075+6*0.015)/3+2*0.025</f>
        <v>0.43000000000000005</v>
      </c>
      <c r="F360" s="1661">
        <f>(1.35-2*0.075+2*0.015-3*0.075)/2+2*0.025</f>
        <v>0.55250000000000021</v>
      </c>
      <c r="G360" s="1661">
        <f>ROUND(6*E360*F360,3)</f>
        <v>1.425</v>
      </c>
      <c r="H360" s="1661"/>
      <c r="I360" s="1649">
        <v>806</v>
      </c>
      <c r="J360" s="1649">
        <f>ROUND(G360*I360,2)</f>
        <v>1148.55</v>
      </c>
      <c r="K360" s="1513"/>
    </row>
    <row r="361" spans="1:12" ht="14.4" hidden="1">
      <c r="A361" s="1639"/>
      <c r="B361" s="1665"/>
      <c r="C361" s="1654" t="s">
        <v>1482</v>
      </c>
      <c r="D361" s="1660"/>
      <c r="E361" s="1649"/>
      <c r="F361" s="1661"/>
      <c r="G361" s="1661"/>
      <c r="H361" s="1661">
        <f>SUM(H356:H360)</f>
        <v>0.09</v>
      </c>
      <c r="I361" s="1649">
        <f>G25</f>
        <v>19572.5</v>
      </c>
      <c r="J361" s="1649">
        <f>ROUND(H361*I361,2)</f>
        <v>1761.53</v>
      </c>
      <c r="K361" s="1513"/>
    </row>
    <row r="362" spans="1:12" ht="43.2" hidden="1">
      <c r="A362" s="1639" t="s">
        <v>787</v>
      </c>
      <c r="B362" s="1638"/>
      <c r="C362" s="1654" t="s">
        <v>788</v>
      </c>
      <c r="D362" s="1660"/>
      <c r="E362" s="1649"/>
      <c r="F362" s="1661"/>
      <c r="G362" s="1662"/>
      <c r="H362" s="1662"/>
      <c r="I362" s="1649"/>
      <c r="J362" s="1649"/>
      <c r="K362" s="1513"/>
    </row>
    <row r="363" spans="1:12" ht="14.4" hidden="1">
      <c r="A363" s="1639"/>
      <c r="B363" s="1654"/>
      <c r="C363" s="1659" t="s">
        <v>915</v>
      </c>
      <c r="D363" s="1649" t="s">
        <v>1035</v>
      </c>
      <c r="E363" s="1661" t="s">
        <v>1624</v>
      </c>
      <c r="F363" s="1661"/>
      <c r="G363" s="1661"/>
      <c r="H363" s="1666">
        <v>3</v>
      </c>
      <c r="I363" s="1649">
        <v>35</v>
      </c>
      <c r="J363" s="1649">
        <f t="shared" ref="J363:J368" si="26">ROUND(H363*I363,2)</f>
        <v>105</v>
      </c>
      <c r="K363" s="1513"/>
    </row>
    <row r="364" spans="1:12" ht="14.4" hidden="1">
      <c r="A364" s="1639"/>
      <c r="B364" s="1654"/>
      <c r="C364" s="1659" t="s">
        <v>916</v>
      </c>
      <c r="D364" s="1649" t="s">
        <v>1035</v>
      </c>
      <c r="E364" s="1661" t="s">
        <v>1624</v>
      </c>
      <c r="F364" s="1661"/>
      <c r="G364" s="1661"/>
      <c r="H364" s="1666">
        <v>3</v>
      </c>
      <c r="I364" s="1649">
        <v>35</v>
      </c>
      <c r="J364" s="1649">
        <f t="shared" si="26"/>
        <v>105</v>
      </c>
      <c r="K364" s="1513"/>
    </row>
    <row r="365" spans="1:12" ht="14.4" hidden="1">
      <c r="A365" s="1639"/>
      <c r="B365" s="1654"/>
      <c r="C365" s="1659" t="s">
        <v>917</v>
      </c>
      <c r="D365" s="1649" t="s">
        <v>1035</v>
      </c>
      <c r="E365" s="1661" t="s">
        <v>1625</v>
      </c>
      <c r="F365" s="1661"/>
      <c r="G365" s="1661"/>
      <c r="H365" s="1666">
        <v>6</v>
      </c>
      <c r="I365" s="1649">
        <v>21</v>
      </c>
      <c r="J365" s="1649">
        <f t="shared" si="26"/>
        <v>126</v>
      </c>
      <c r="K365" s="1513"/>
    </row>
    <row r="366" spans="1:12" ht="14.4" hidden="1">
      <c r="A366" s="1639"/>
      <c r="B366" s="1654"/>
      <c r="C366" s="1659" t="s">
        <v>918</v>
      </c>
      <c r="D366" s="1649" t="s">
        <v>1035</v>
      </c>
      <c r="E366" s="1661" t="s">
        <v>1626</v>
      </c>
      <c r="F366" s="1661"/>
      <c r="G366" s="1661"/>
      <c r="H366" s="1666">
        <v>3</v>
      </c>
      <c r="I366" s="1649">
        <v>213</v>
      </c>
      <c r="J366" s="1649">
        <f t="shared" si="26"/>
        <v>639</v>
      </c>
      <c r="K366" s="1513"/>
    </row>
    <row r="367" spans="1:12" ht="14.4" hidden="1">
      <c r="A367" s="1639"/>
      <c r="B367" s="1654"/>
      <c r="C367" s="1659" t="s">
        <v>799</v>
      </c>
      <c r="D367" s="1649" t="s">
        <v>882</v>
      </c>
      <c r="E367" s="1661" t="s">
        <v>1652</v>
      </c>
      <c r="F367" s="1661"/>
      <c r="G367" s="1661"/>
      <c r="H367" s="1666">
        <v>90</v>
      </c>
      <c r="I367" s="1649">
        <v>3</v>
      </c>
      <c r="J367" s="1649">
        <f t="shared" si="26"/>
        <v>270</v>
      </c>
      <c r="K367" s="1513"/>
    </row>
    <row r="368" spans="1:12" ht="14.4" hidden="1">
      <c r="A368" s="1639"/>
      <c r="B368" s="1659"/>
      <c r="C368" s="1654" t="s">
        <v>1598</v>
      </c>
      <c r="D368" s="1660"/>
      <c r="E368" s="1652" t="s">
        <v>1651</v>
      </c>
      <c r="F368" s="1661"/>
      <c r="G368" s="1661"/>
      <c r="H368" s="1666">
        <v>4</v>
      </c>
      <c r="I368" s="1649">
        <v>32</v>
      </c>
      <c r="J368" s="1649">
        <f t="shared" si="26"/>
        <v>128</v>
      </c>
      <c r="K368" s="1513"/>
      <c r="L368" s="1469"/>
    </row>
    <row r="369" spans="1:12" ht="14.4" hidden="1">
      <c r="A369" s="1639"/>
      <c r="B369" s="1665"/>
      <c r="C369" s="1654" t="s">
        <v>1484</v>
      </c>
      <c r="D369" s="1660">
        <v>2.75</v>
      </c>
      <c r="E369" s="1649">
        <v>1.3</v>
      </c>
      <c r="F369" s="1661"/>
      <c r="G369" s="1649">
        <v>1.35</v>
      </c>
      <c r="H369" s="1661">
        <f>ROUND(G369*E369*D369,2)</f>
        <v>4.83</v>
      </c>
      <c r="I369" s="1649">
        <f>G15</f>
        <v>577.61900000000003</v>
      </c>
      <c r="J369" s="1649">
        <f>ROUND(H369*I369/10,2)</f>
        <v>278.99</v>
      </c>
      <c r="K369" s="1513"/>
      <c r="L369" s="1469"/>
    </row>
    <row r="370" spans="1:12" ht="14.4" hidden="1">
      <c r="A370" s="1639"/>
      <c r="B370" s="1665"/>
      <c r="C370" s="1639" t="s">
        <v>1306</v>
      </c>
      <c r="D370" s="1660" t="s">
        <v>246</v>
      </c>
      <c r="E370" s="1649">
        <v>1.35</v>
      </c>
      <c r="F370" s="1661">
        <f>10*1.35</f>
        <v>13.5</v>
      </c>
      <c r="G370" s="1649">
        <v>1.1299999999999999</v>
      </c>
      <c r="H370" s="1661">
        <f>G370*F370</f>
        <v>15.254999999999999</v>
      </c>
      <c r="I370" s="1649">
        <f>'Lead- Input sheet '!R10/1000</f>
        <v>69.62</v>
      </c>
      <c r="J370" s="1649">
        <f>ROUND(H370*I370,2)</f>
        <v>1062.05</v>
      </c>
      <c r="K370" s="1513"/>
      <c r="L370" s="1469"/>
    </row>
    <row r="371" spans="1:12" ht="14.4" hidden="1">
      <c r="A371" s="1639"/>
      <c r="B371" s="1665"/>
      <c r="C371" s="1654" t="s">
        <v>230</v>
      </c>
      <c r="D371" s="1660"/>
      <c r="E371" s="1649"/>
      <c r="F371" s="1661"/>
      <c r="G371" s="1661"/>
      <c r="H371" s="1666">
        <v>1</v>
      </c>
      <c r="I371" s="1649">
        <v>100</v>
      </c>
      <c r="J371" s="1649">
        <f>H371*I371</f>
        <v>100</v>
      </c>
      <c r="K371" s="1513"/>
      <c r="L371" s="1469"/>
    </row>
    <row r="372" spans="1:12" ht="14.4" hidden="1">
      <c r="A372" s="1639"/>
      <c r="B372" s="1665"/>
      <c r="C372" s="1654"/>
      <c r="D372" s="1660"/>
      <c r="E372" s="1649"/>
      <c r="F372" s="1661"/>
      <c r="G372" s="1661"/>
      <c r="H372" s="1661"/>
      <c r="I372" s="1649"/>
      <c r="J372" s="1649">
        <f>SUM(J356:J371)</f>
        <v>10142.959999999999</v>
      </c>
      <c r="K372" s="1513"/>
    </row>
    <row r="373" spans="1:12" s="1520" customFormat="1" ht="14.4" hidden="1">
      <c r="A373" s="1639"/>
      <c r="B373" s="1667"/>
      <c r="C373" s="1654" t="s">
        <v>1600</v>
      </c>
      <c r="D373" s="1664"/>
      <c r="E373" s="1658"/>
      <c r="F373" s="1662"/>
      <c r="G373" s="1662"/>
      <c r="H373" s="1662">
        <f>J372</f>
        <v>10142.959999999999</v>
      </c>
      <c r="I373" s="1658">
        <f>I6</f>
        <v>0</v>
      </c>
      <c r="J373" s="1649">
        <f>ROUND(H373*I373,2)</f>
        <v>0</v>
      </c>
      <c r="K373" s="1523"/>
    </row>
    <row r="374" spans="1:12" s="1520" customFormat="1" ht="28.8" hidden="1">
      <c r="A374" s="1639" t="s">
        <v>542</v>
      </c>
      <c r="B374" s="1667"/>
      <c r="C374" s="1639" t="s">
        <v>256</v>
      </c>
      <c r="D374" s="1664"/>
      <c r="E374" s="1658"/>
      <c r="F374" s="1662"/>
      <c r="G374" s="1662"/>
      <c r="H374" s="1662"/>
      <c r="I374" s="1658" t="s">
        <v>416</v>
      </c>
      <c r="J374" s="1658">
        <f>SUM(J372:J373)</f>
        <v>10142.959999999999</v>
      </c>
      <c r="K374" s="1523"/>
    </row>
    <row r="375" spans="1:12" ht="14.4" hidden="1">
      <c r="A375" s="1639"/>
      <c r="B375" s="1665"/>
      <c r="C375" s="1639" t="s">
        <v>543</v>
      </c>
      <c r="D375" s="1660"/>
      <c r="E375" s="1649"/>
      <c r="F375" s="1661"/>
      <c r="G375" s="1661"/>
      <c r="H375" s="1661"/>
      <c r="I375" s="1649"/>
      <c r="J375" s="1649"/>
      <c r="K375" s="1513"/>
    </row>
    <row r="376" spans="1:12" ht="14.4" hidden="1">
      <c r="A376" s="1639"/>
      <c r="B376" s="1665"/>
      <c r="C376" s="1654" t="s">
        <v>848</v>
      </c>
      <c r="D376" s="1660"/>
      <c r="E376" s="1649"/>
      <c r="F376" s="1661"/>
      <c r="G376" s="1661"/>
      <c r="H376" s="1661"/>
      <c r="I376" s="1649"/>
      <c r="J376" s="1649"/>
      <c r="K376" s="1513"/>
    </row>
    <row r="377" spans="1:12" ht="14.4" hidden="1">
      <c r="A377" s="1639"/>
      <c r="B377" s="1665"/>
      <c r="C377" s="1654" t="s">
        <v>780</v>
      </c>
      <c r="D377" s="1660">
        <v>4</v>
      </c>
      <c r="E377" s="1649">
        <v>1.35</v>
      </c>
      <c r="F377" s="1661">
        <v>0.1</v>
      </c>
      <c r="G377" s="1661">
        <v>7.4999999999999997E-2</v>
      </c>
      <c r="H377" s="1661">
        <f>ROUND(D377*E377*F377*G377,3)</f>
        <v>4.1000000000000002E-2</v>
      </c>
      <c r="I377" s="1649">
        <v>44785</v>
      </c>
      <c r="J377" s="1649">
        <f>ROUND(H377*I377,2)</f>
        <v>1836.19</v>
      </c>
      <c r="K377" s="1513"/>
    </row>
    <row r="378" spans="1:12" ht="14.4" hidden="1">
      <c r="A378" s="1639"/>
      <c r="B378" s="1665"/>
      <c r="C378" s="1654" t="s">
        <v>441</v>
      </c>
      <c r="D378" s="1660">
        <v>2</v>
      </c>
      <c r="E378" s="1649">
        <v>1.5</v>
      </c>
      <c r="F378" s="1661">
        <v>0.1</v>
      </c>
      <c r="G378" s="1661">
        <v>7.4999999999999997E-2</v>
      </c>
      <c r="H378" s="1661">
        <f>ROUND(D378*E378*F378*G378,3)</f>
        <v>2.3E-2</v>
      </c>
      <c r="I378" s="1649">
        <v>44785</v>
      </c>
      <c r="J378" s="1649">
        <f>ROUND(H378*I378,2)</f>
        <v>1030.06</v>
      </c>
      <c r="K378" s="1513"/>
    </row>
    <row r="379" spans="1:12" ht="14.4" hidden="1">
      <c r="A379" s="1639"/>
      <c r="B379" s="1665"/>
      <c r="C379" s="1654" t="s">
        <v>1482</v>
      </c>
      <c r="D379" s="1660"/>
      <c r="E379" s="1649"/>
      <c r="F379" s="1661"/>
      <c r="G379" s="1661"/>
      <c r="H379" s="1661">
        <f>SUM(H377:H378)</f>
        <v>6.4000000000000001E-2</v>
      </c>
      <c r="I379" s="1649">
        <f>G25</f>
        <v>19572.5</v>
      </c>
      <c r="J379" s="1649">
        <f>ROUND(H379*I379,2)</f>
        <v>1252.6400000000001</v>
      </c>
      <c r="K379" s="1513"/>
    </row>
    <row r="380" spans="1:12" ht="14.4" hidden="1">
      <c r="A380" s="1639"/>
      <c r="B380" s="1659"/>
      <c r="C380" s="1654" t="s">
        <v>1598</v>
      </c>
      <c r="D380" s="1660"/>
      <c r="E380" s="1652" t="s">
        <v>1651</v>
      </c>
      <c r="F380" s="1661"/>
      <c r="G380" s="1661"/>
      <c r="H380" s="1666">
        <v>4</v>
      </c>
      <c r="I380" s="1649">
        <v>32</v>
      </c>
      <c r="J380" s="1649">
        <f>ROUND(H380*I380,2)</f>
        <v>128</v>
      </c>
      <c r="K380" s="1513"/>
      <c r="L380" s="1469"/>
    </row>
    <row r="381" spans="1:12" ht="14.4" hidden="1">
      <c r="A381" s="1639"/>
      <c r="B381" s="1665"/>
      <c r="C381" s="1654" t="s">
        <v>1484</v>
      </c>
      <c r="D381" s="1660" t="s">
        <v>544</v>
      </c>
      <c r="E381" s="1649">
        <v>1.3</v>
      </c>
      <c r="F381" s="1661"/>
      <c r="G381" s="1649">
        <v>1.35</v>
      </c>
      <c r="H381" s="1661">
        <f>ROUND(G381*E381*2.75/3,2)</f>
        <v>1.61</v>
      </c>
      <c r="I381" s="1649">
        <f>G15</f>
        <v>577.61900000000003</v>
      </c>
      <c r="J381" s="1649">
        <f>ROUND(H381*I381/10,2)</f>
        <v>93</v>
      </c>
      <c r="K381" s="1513"/>
      <c r="L381" s="1469"/>
    </row>
    <row r="382" spans="1:12" ht="14.4" hidden="1">
      <c r="A382" s="1639"/>
      <c r="B382" s="1665"/>
      <c r="C382" s="1639" t="s">
        <v>1306</v>
      </c>
      <c r="D382" s="1660" t="s">
        <v>246</v>
      </c>
      <c r="E382" s="1649">
        <v>1.35</v>
      </c>
      <c r="F382" s="1661">
        <f>10*1.35</f>
        <v>13.5</v>
      </c>
      <c r="G382" s="1649">
        <v>1.1299999999999999</v>
      </c>
      <c r="H382" s="1661">
        <f>G382*F382</f>
        <v>15.254999999999999</v>
      </c>
      <c r="I382" s="1649">
        <f>'Lead- Input sheet '!R10/1000</f>
        <v>69.62</v>
      </c>
      <c r="J382" s="1649">
        <f>H382*I382</f>
        <v>1062.0531000000001</v>
      </c>
      <c r="K382" s="1513"/>
      <c r="L382" s="1469"/>
    </row>
    <row r="383" spans="1:12" ht="14.4" hidden="1">
      <c r="A383" s="1639"/>
      <c r="B383" s="1665"/>
      <c r="C383" s="1654" t="s">
        <v>230</v>
      </c>
      <c r="D383" s="1660"/>
      <c r="E383" s="1649"/>
      <c r="F383" s="1661"/>
      <c r="G383" s="1661"/>
      <c r="H383" s="1666">
        <v>1</v>
      </c>
      <c r="I383" s="1649">
        <v>50</v>
      </c>
      <c r="J383" s="1649">
        <f>H383*I383</f>
        <v>50</v>
      </c>
      <c r="K383" s="1513"/>
      <c r="L383" s="1469"/>
    </row>
    <row r="384" spans="1:12" ht="14.4" hidden="1">
      <c r="A384" s="1639"/>
      <c r="B384" s="1665"/>
      <c r="C384" s="1654"/>
      <c r="D384" s="1660"/>
      <c r="E384" s="1649"/>
      <c r="F384" s="1661"/>
      <c r="G384" s="1661"/>
      <c r="H384" s="1661"/>
      <c r="I384" s="1649"/>
      <c r="J384" s="1649">
        <f>SUM(J377:J383)</f>
        <v>5451.9431000000004</v>
      </c>
      <c r="K384" s="1513"/>
    </row>
    <row r="385" spans="1:18" s="1520" customFormat="1" ht="14.4" hidden="1">
      <c r="A385" s="1639"/>
      <c r="B385" s="1667"/>
      <c r="C385" s="1654" t="s">
        <v>1600</v>
      </c>
      <c r="D385" s="1664"/>
      <c r="E385" s="1658"/>
      <c r="F385" s="1662"/>
      <c r="G385" s="1662"/>
      <c r="H385" s="1662">
        <f>J384</f>
        <v>5451.9431000000004</v>
      </c>
      <c r="I385" s="1658">
        <f>I6</f>
        <v>0</v>
      </c>
      <c r="J385" s="1649">
        <f>ROUND(H385*I385,2)</f>
        <v>0</v>
      </c>
      <c r="K385" s="1523"/>
    </row>
    <row r="386" spans="1:18" s="1520" customFormat="1" ht="28.8" hidden="1">
      <c r="A386" s="1639" t="s">
        <v>542</v>
      </c>
      <c r="B386" s="1667"/>
      <c r="C386" s="1639" t="s">
        <v>545</v>
      </c>
      <c r="D386" s="1664"/>
      <c r="E386" s="1658"/>
      <c r="F386" s="1662"/>
      <c r="G386" s="1662"/>
      <c r="H386" s="1662"/>
      <c r="I386" s="1658" t="s">
        <v>1486</v>
      </c>
      <c r="J386" s="1658">
        <f>SUM(J384:J385)</f>
        <v>5451.9431000000004</v>
      </c>
      <c r="K386" s="1523"/>
    </row>
    <row r="387" spans="1:18" s="1520" customFormat="1" ht="14.4" hidden="1">
      <c r="A387" s="1639">
        <v>0</v>
      </c>
      <c r="B387" s="1667"/>
      <c r="C387" s="1639" t="s">
        <v>546</v>
      </c>
      <c r="D387" s="1664"/>
      <c r="E387" s="1658"/>
      <c r="F387" s="1662"/>
      <c r="G387" s="1662"/>
      <c r="H387" s="1662"/>
      <c r="I387" s="1658" t="s">
        <v>1486</v>
      </c>
      <c r="J387" s="1658">
        <f>J374-J386</f>
        <v>4691.0168999999987</v>
      </c>
      <c r="K387" s="1523"/>
    </row>
    <row r="388" spans="1:18" ht="57.6" hidden="1">
      <c r="A388" s="1639"/>
      <c r="B388" s="1659">
        <v>6</v>
      </c>
      <c r="C388" s="1654" t="s">
        <v>1833</v>
      </c>
      <c r="D388" s="1660"/>
      <c r="E388" s="1649"/>
      <c r="F388" s="1661"/>
      <c r="G388" s="1661"/>
      <c r="H388" s="1661"/>
      <c r="I388" s="1649"/>
      <c r="J388" s="1649"/>
      <c r="K388" s="1513"/>
    </row>
    <row r="389" spans="1:18" ht="14.4" hidden="1">
      <c r="A389" s="1639"/>
      <c r="B389" s="1665"/>
      <c r="C389" s="1639" t="s">
        <v>947</v>
      </c>
      <c r="D389" s="1660"/>
      <c r="E389" s="1649"/>
      <c r="F389" s="1661"/>
      <c r="G389" s="1661"/>
      <c r="H389" s="1661"/>
      <c r="I389" s="1649"/>
      <c r="J389" s="1649"/>
      <c r="K389" s="1525" t="s">
        <v>1776</v>
      </c>
      <c r="L389" s="1466"/>
      <c r="M389" s="1462"/>
      <c r="N389" s="1522"/>
      <c r="O389" s="1522"/>
      <c r="P389" s="1522"/>
      <c r="Q389" s="1462"/>
      <c r="R389" s="1462"/>
    </row>
    <row r="390" spans="1:18" ht="14.4" hidden="1">
      <c r="A390" s="1639"/>
      <c r="B390" s="1665"/>
      <c r="C390" s="1654" t="s">
        <v>848</v>
      </c>
      <c r="D390" s="1660"/>
      <c r="E390" s="1649"/>
      <c r="F390" s="1661"/>
      <c r="G390" s="1661"/>
      <c r="H390" s="1661"/>
      <c r="I390" s="1649"/>
      <c r="J390" s="1649"/>
      <c r="K390" s="1473" t="s">
        <v>848</v>
      </c>
      <c r="L390" s="1466"/>
      <c r="M390" s="1462"/>
      <c r="N390" s="1522"/>
      <c r="O390" s="1522"/>
      <c r="P390" s="1522"/>
      <c r="Q390" s="1462"/>
      <c r="R390" s="1462"/>
    </row>
    <row r="391" spans="1:18" ht="14.4" hidden="1">
      <c r="A391" s="1639"/>
      <c r="B391" s="1665"/>
      <c r="C391" s="1654" t="s">
        <v>780</v>
      </c>
      <c r="D391" s="1660">
        <v>5</v>
      </c>
      <c r="E391" s="1649">
        <v>1.3</v>
      </c>
      <c r="F391" s="1661">
        <v>0.1</v>
      </c>
      <c r="G391" s="1661">
        <v>7.4999999999999997E-2</v>
      </c>
      <c r="H391" s="1661">
        <f>ROUND(D391*E391*F391*G391,3)</f>
        <v>4.9000000000000002E-2</v>
      </c>
      <c r="I391" s="1649">
        <v>44785</v>
      </c>
      <c r="J391" s="1649">
        <f>ROUND(H391*I391,2)</f>
        <v>2194.4699999999998</v>
      </c>
      <c r="K391" s="1473" t="s">
        <v>780</v>
      </c>
      <c r="L391" s="1466">
        <v>5</v>
      </c>
      <c r="M391" s="1462">
        <v>1.2</v>
      </c>
      <c r="N391" s="1522">
        <v>0.1</v>
      </c>
      <c r="O391" s="1522">
        <v>7.4999999999999997E-2</v>
      </c>
      <c r="P391" s="1522">
        <f>ROUND(L391*M391*N391*O391,3)</f>
        <v>4.4999999999999998E-2</v>
      </c>
      <c r="Q391" s="1462">
        <v>44785</v>
      </c>
      <c r="R391" s="1462">
        <f>ROUND(P391*Q391,2)</f>
        <v>2015.33</v>
      </c>
    </row>
    <row r="392" spans="1:18" ht="14.4" hidden="1">
      <c r="A392" s="1639"/>
      <c r="B392" s="1665"/>
      <c r="C392" s="1654" t="s">
        <v>441</v>
      </c>
      <c r="D392" s="1660">
        <v>2</v>
      </c>
      <c r="E392" s="1649">
        <v>2</v>
      </c>
      <c r="F392" s="1661">
        <v>0.1</v>
      </c>
      <c r="G392" s="1661">
        <v>7.4999999999999997E-2</v>
      </c>
      <c r="H392" s="1661">
        <f>ROUND(D392*E392*F392*G392,3)</f>
        <v>0.03</v>
      </c>
      <c r="I392" s="1649">
        <v>44785</v>
      </c>
      <c r="J392" s="1649">
        <f>ROUND(H392*I392,2)</f>
        <v>1343.55</v>
      </c>
      <c r="K392" s="1473" t="s">
        <v>441</v>
      </c>
      <c r="L392" s="1466">
        <v>2</v>
      </c>
      <c r="M392" s="1462">
        <v>2</v>
      </c>
      <c r="N392" s="1522">
        <v>0.1</v>
      </c>
      <c r="O392" s="1522">
        <v>7.4999999999999997E-2</v>
      </c>
      <c r="P392" s="1522">
        <f>ROUND(L392*M392*N392*O392,3)</f>
        <v>0.03</v>
      </c>
      <c r="Q392" s="1462">
        <v>44785</v>
      </c>
      <c r="R392" s="1462">
        <f>ROUND(P392*Q392,2)</f>
        <v>1343.55</v>
      </c>
    </row>
    <row r="393" spans="1:18" ht="14.4" hidden="1">
      <c r="A393" s="1639"/>
      <c r="B393" s="1665"/>
      <c r="C393" s="1654" t="s">
        <v>782</v>
      </c>
      <c r="D393" s="1660" t="s">
        <v>854</v>
      </c>
      <c r="E393" s="1649">
        <f>(1.35-2*0.075+2*0.015)</f>
        <v>1.2300000000000002</v>
      </c>
      <c r="F393" s="1661">
        <v>7.4999999999999997E-2</v>
      </c>
      <c r="G393" s="1661">
        <v>3.2000000000000001E-2</v>
      </c>
      <c r="H393" s="1661">
        <f>ROUND(8*E393*F393*G393,3)</f>
        <v>2.4E-2</v>
      </c>
      <c r="I393" s="1649">
        <v>59715</v>
      </c>
      <c r="J393" s="1649">
        <f>ROUND(H393*I393,2)</f>
        <v>1433.16</v>
      </c>
      <c r="K393" s="1473" t="s">
        <v>782</v>
      </c>
      <c r="L393" s="1466" t="s">
        <v>854</v>
      </c>
      <c r="M393" s="1462">
        <f>(1.2-2*0.075+2*0.015)</f>
        <v>1.08</v>
      </c>
      <c r="N393" s="1522">
        <v>7.4999999999999997E-2</v>
      </c>
      <c r="O393" s="1522">
        <v>3.2000000000000001E-2</v>
      </c>
      <c r="P393" s="1522">
        <f>ROUND(8*M393*N393*O393,3)</f>
        <v>2.1000000000000001E-2</v>
      </c>
      <c r="Q393" s="1462">
        <v>59715</v>
      </c>
      <c r="R393" s="1462">
        <f>ROUND(P393*Q393,2)</f>
        <v>1254.02</v>
      </c>
    </row>
    <row r="394" spans="1:18" ht="14.4" hidden="1">
      <c r="A394" s="1639"/>
      <c r="B394" s="1665"/>
      <c r="C394" s="1654" t="s">
        <v>783</v>
      </c>
      <c r="D394" s="1660" t="s">
        <v>855</v>
      </c>
      <c r="E394" s="1649">
        <f>(1.85-5*0.075+8*0.015)/4</f>
        <v>0.39875000000000005</v>
      </c>
      <c r="F394" s="1661">
        <v>7.4999999999999997E-2</v>
      </c>
      <c r="G394" s="1661">
        <v>3.2000000000000001E-2</v>
      </c>
      <c r="H394" s="1661">
        <f>ROUND(12*E394*F394*G394,3)</f>
        <v>1.0999999999999999E-2</v>
      </c>
      <c r="I394" s="1649">
        <v>59715</v>
      </c>
      <c r="J394" s="1649">
        <f>ROUND(H394*I394,2)</f>
        <v>656.87</v>
      </c>
      <c r="K394" s="1473" t="s">
        <v>783</v>
      </c>
      <c r="L394" s="1466" t="s">
        <v>855</v>
      </c>
      <c r="M394" s="1462">
        <f>(1.85-5*0.075+8*0.015)/4</f>
        <v>0.39875000000000005</v>
      </c>
      <c r="N394" s="1522">
        <v>7.4999999999999997E-2</v>
      </c>
      <c r="O394" s="1522">
        <v>3.2000000000000001E-2</v>
      </c>
      <c r="P394" s="1522">
        <f>ROUND(12*M394*N394*O394,3)</f>
        <v>1.0999999999999999E-2</v>
      </c>
      <c r="Q394" s="1462">
        <v>59715</v>
      </c>
      <c r="R394" s="1462">
        <f>ROUND(P394*Q394,2)</f>
        <v>656.87</v>
      </c>
    </row>
    <row r="395" spans="1:18" ht="28.8" hidden="1">
      <c r="A395" s="1639" t="s">
        <v>418</v>
      </c>
      <c r="B395" s="1639"/>
      <c r="C395" s="1654" t="s">
        <v>417</v>
      </c>
      <c r="D395" s="1660" t="s">
        <v>854</v>
      </c>
      <c r="E395" s="1649">
        <f>(1.85-5*0.075+8*0.015)/4+2*0.025</f>
        <v>0.44875000000000004</v>
      </c>
      <c r="F395" s="1661">
        <f>(1.35-2*0.075+2*0.015-3*0.075)/2+2*0.025</f>
        <v>0.55250000000000021</v>
      </c>
      <c r="G395" s="1661">
        <f>ROUND(8*E395*F395,3)</f>
        <v>1.9830000000000001</v>
      </c>
      <c r="H395" s="1661"/>
      <c r="I395" s="1649">
        <v>806</v>
      </c>
      <c r="J395" s="1649">
        <f>ROUND(G395*I395,2)</f>
        <v>1598.3</v>
      </c>
      <c r="K395" s="1473" t="s">
        <v>417</v>
      </c>
      <c r="L395" s="1466" t="s">
        <v>854</v>
      </c>
      <c r="M395" s="1462">
        <f>(1.85-5*0.075+8*0.015)/4+2*0.025</f>
        <v>0.44875000000000004</v>
      </c>
      <c r="N395" s="1522">
        <f>(1.2-2*0.075+2*0.015-3*0.075)/2+2*0.025</f>
        <v>0.47750000000000004</v>
      </c>
      <c r="O395" s="1522">
        <f>ROUND(8*M395*N395,3)</f>
        <v>1.714</v>
      </c>
      <c r="P395" s="1522"/>
      <c r="Q395" s="1462">
        <v>806</v>
      </c>
      <c r="R395" s="1462">
        <f>ROUND(O395*Q395,2)</f>
        <v>1381.48</v>
      </c>
    </row>
    <row r="396" spans="1:18" ht="14.4" hidden="1">
      <c r="A396" s="1639"/>
      <c r="B396" s="1665"/>
      <c r="C396" s="1654" t="s">
        <v>1482</v>
      </c>
      <c r="D396" s="1660"/>
      <c r="E396" s="1649"/>
      <c r="F396" s="1661"/>
      <c r="G396" s="1661"/>
      <c r="H396" s="1661">
        <f>SUM(H391:H395)</f>
        <v>0.114</v>
      </c>
      <c r="I396" s="1649">
        <f>G25</f>
        <v>19572.5</v>
      </c>
      <c r="J396" s="1649">
        <f>ROUND(H396*I396,2)</f>
        <v>2231.27</v>
      </c>
      <c r="K396" s="1473" t="s">
        <v>1482</v>
      </c>
      <c r="L396" s="1466"/>
      <c r="M396" s="1462"/>
      <c r="N396" s="1522"/>
      <c r="O396" s="1522"/>
      <c r="P396" s="1522">
        <f>SUM(P391:P395)</f>
        <v>0.107</v>
      </c>
      <c r="Q396" s="1462">
        <f>I396</f>
        <v>19572.5</v>
      </c>
      <c r="R396" s="1462">
        <f>ROUND(P396*Q396,2)</f>
        <v>2094.2600000000002</v>
      </c>
    </row>
    <row r="397" spans="1:18" ht="43.2" hidden="1">
      <c r="A397" s="1639" t="s">
        <v>787</v>
      </c>
      <c r="B397" s="1638"/>
      <c r="C397" s="1654" t="s">
        <v>788</v>
      </c>
      <c r="D397" s="1660"/>
      <c r="E397" s="1649"/>
      <c r="F397" s="1661"/>
      <c r="G397" s="1662"/>
      <c r="H397" s="1662"/>
      <c r="I397" s="1649"/>
      <c r="J397" s="1649"/>
      <c r="K397" s="1473" t="s">
        <v>788</v>
      </c>
      <c r="L397" s="1466"/>
      <c r="M397" s="1462"/>
      <c r="N397" s="1522"/>
      <c r="O397" s="1526"/>
      <c r="P397" s="1526"/>
      <c r="Q397" s="1462"/>
      <c r="R397" s="1462"/>
    </row>
    <row r="398" spans="1:18" ht="14.4" hidden="1">
      <c r="A398" s="1639"/>
      <c r="B398" s="1654"/>
      <c r="C398" s="1659" t="s">
        <v>915</v>
      </c>
      <c r="D398" s="1649" t="s">
        <v>1035</v>
      </c>
      <c r="E398" s="1661" t="s">
        <v>1624</v>
      </c>
      <c r="F398" s="1661"/>
      <c r="G398" s="1661"/>
      <c r="H398" s="1666">
        <v>4</v>
      </c>
      <c r="I398" s="1649">
        <v>35</v>
      </c>
      <c r="J398" s="1649">
        <f t="shared" ref="J398:J403" si="27">ROUND(H398*I398,2)</f>
        <v>140</v>
      </c>
      <c r="K398" s="1513" t="s">
        <v>915</v>
      </c>
      <c r="L398" s="1462" t="s">
        <v>1035</v>
      </c>
      <c r="M398" s="1522" t="s">
        <v>1624</v>
      </c>
      <c r="N398" s="1522"/>
      <c r="O398" s="1522"/>
      <c r="P398" s="1527">
        <v>3</v>
      </c>
      <c r="Q398" s="1462">
        <v>38</v>
      </c>
      <c r="R398" s="1462">
        <f t="shared" ref="R398:R403" si="28">ROUND(P398*Q398,2)</f>
        <v>114</v>
      </c>
    </row>
    <row r="399" spans="1:18" ht="14.4" hidden="1">
      <c r="A399" s="1639"/>
      <c r="B399" s="1654"/>
      <c r="C399" s="1659" t="s">
        <v>916</v>
      </c>
      <c r="D399" s="1649" t="s">
        <v>1035</v>
      </c>
      <c r="E399" s="1661" t="s">
        <v>1624</v>
      </c>
      <c r="F399" s="1661"/>
      <c r="G399" s="1661"/>
      <c r="H399" s="1666">
        <v>4</v>
      </c>
      <c r="I399" s="1649">
        <v>35</v>
      </c>
      <c r="J399" s="1649">
        <f t="shared" si="27"/>
        <v>140</v>
      </c>
      <c r="K399" s="1513" t="s">
        <v>916</v>
      </c>
      <c r="L399" s="1462" t="s">
        <v>1035</v>
      </c>
      <c r="M399" s="1522" t="s">
        <v>1624</v>
      </c>
      <c r="N399" s="1522"/>
      <c r="O399" s="1522"/>
      <c r="P399" s="1527">
        <v>3</v>
      </c>
      <c r="Q399" s="1462">
        <v>38</v>
      </c>
      <c r="R399" s="1462">
        <f t="shared" si="28"/>
        <v>114</v>
      </c>
    </row>
    <row r="400" spans="1:18" ht="14.4" hidden="1">
      <c r="A400" s="1639"/>
      <c r="B400" s="1654"/>
      <c r="C400" s="1659" t="s">
        <v>917</v>
      </c>
      <c r="D400" s="1649" t="s">
        <v>1035</v>
      </c>
      <c r="E400" s="1661" t="s">
        <v>1625</v>
      </c>
      <c r="F400" s="1661"/>
      <c r="G400" s="1661"/>
      <c r="H400" s="1666">
        <v>8</v>
      </c>
      <c r="I400" s="1649">
        <v>21</v>
      </c>
      <c r="J400" s="1649">
        <f t="shared" si="27"/>
        <v>168</v>
      </c>
      <c r="K400" s="1513" t="s">
        <v>917</v>
      </c>
      <c r="L400" s="1462" t="s">
        <v>1035</v>
      </c>
      <c r="M400" s="1522" t="s">
        <v>1625</v>
      </c>
      <c r="N400" s="1522"/>
      <c r="O400" s="1522"/>
      <c r="P400" s="1527">
        <v>6</v>
      </c>
      <c r="Q400" s="1462">
        <v>26</v>
      </c>
      <c r="R400" s="1462">
        <f t="shared" si="28"/>
        <v>156</v>
      </c>
    </row>
    <row r="401" spans="1:18" ht="14.4" hidden="1">
      <c r="A401" s="1639"/>
      <c r="B401" s="1654"/>
      <c r="C401" s="1659" t="s">
        <v>918</v>
      </c>
      <c r="D401" s="1649" t="s">
        <v>1035</v>
      </c>
      <c r="E401" s="1661" t="s">
        <v>1626</v>
      </c>
      <c r="F401" s="1661"/>
      <c r="G401" s="1661"/>
      <c r="H401" s="1666">
        <v>4</v>
      </c>
      <c r="I401" s="1649">
        <v>213</v>
      </c>
      <c r="J401" s="1649">
        <f t="shared" si="27"/>
        <v>852</v>
      </c>
      <c r="K401" s="1513" t="s">
        <v>918</v>
      </c>
      <c r="L401" s="1462" t="s">
        <v>1035</v>
      </c>
      <c r="M401" s="1522" t="s">
        <v>1626</v>
      </c>
      <c r="N401" s="1522"/>
      <c r="O401" s="1522"/>
      <c r="P401" s="1527">
        <v>3</v>
      </c>
      <c r="Q401" s="1462">
        <v>107</v>
      </c>
      <c r="R401" s="1462">
        <f t="shared" si="28"/>
        <v>321</v>
      </c>
    </row>
    <row r="402" spans="1:18" ht="14.4" hidden="1">
      <c r="A402" s="1639"/>
      <c r="B402" s="1654"/>
      <c r="C402" s="1659" t="s">
        <v>799</v>
      </c>
      <c r="D402" s="1649" t="s">
        <v>882</v>
      </c>
      <c r="E402" s="1661" t="s">
        <v>1652</v>
      </c>
      <c r="F402" s="1661"/>
      <c r="G402" s="1661"/>
      <c r="H402" s="1666">
        <v>120</v>
      </c>
      <c r="I402" s="1649">
        <v>3</v>
      </c>
      <c r="J402" s="1649">
        <f t="shared" si="27"/>
        <v>360</v>
      </c>
      <c r="K402" s="1513" t="s">
        <v>799</v>
      </c>
      <c r="L402" s="1462" t="s">
        <v>882</v>
      </c>
      <c r="M402" s="1522" t="s">
        <v>1652</v>
      </c>
      <c r="N402" s="1522"/>
      <c r="O402" s="1522"/>
      <c r="P402" s="1527">
        <v>90</v>
      </c>
      <c r="Q402" s="1462">
        <v>0.89</v>
      </c>
      <c r="R402" s="1462">
        <f t="shared" si="28"/>
        <v>80.099999999999994</v>
      </c>
    </row>
    <row r="403" spans="1:18" ht="14.4" hidden="1">
      <c r="A403" s="1639"/>
      <c r="B403" s="1659"/>
      <c r="C403" s="1654" t="s">
        <v>1598</v>
      </c>
      <c r="D403" s="1660"/>
      <c r="E403" s="1652" t="s">
        <v>1651</v>
      </c>
      <c r="F403" s="1661"/>
      <c r="G403" s="1661"/>
      <c r="H403" s="1666">
        <v>4</v>
      </c>
      <c r="I403" s="1649">
        <v>32</v>
      </c>
      <c r="J403" s="1649">
        <f t="shared" si="27"/>
        <v>128</v>
      </c>
      <c r="K403" s="1473" t="s">
        <v>1598</v>
      </c>
      <c r="L403" s="1466"/>
      <c r="M403" s="1528" t="s">
        <v>1651</v>
      </c>
      <c r="N403" s="1522"/>
      <c r="O403" s="1522"/>
      <c r="P403" s="1527">
        <v>4</v>
      </c>
      <c r="Q403" s="1462">
        <v>35</v>
      </c>
      <c r="R403" s="1462">
        <f t="shared" si="28"/>
        <v>140</v>
      </c>
    </row>
    <row r="404" spans="1:18" ht="14.4" hidden="1">
      <c r="A404" s="1639"/>
      <c r="B404" s="1665"/>
      <c r="C404" s="1654" t="s">
        <v>1484</v>
      </c>
      <c r="D404" s="1660">
        <v>2.75</v>
      </c>
      <c r="E404" s="1649">
        <v>1.8</v>
      </c>
      <c r="F404" s="1661"/>
      <c r="G404" s="1649">
        <v>1.35</v>
      </c>
      <c r="H404" s="1661">
        <f>ROUND(G404*E404*D404,2)</f>
        <v>6.68</v>
      </c>
      <c r="I404" s="1649">
        <f>G15</f>
        <v>577.61900000000003</v>
      </c>
      <c r="J404" s="1649">
        <f>ROUND(H404*I404/10,2)</f>
        <v>385.85</v>
      </c>
      <c r="K404" s="1473" t="s">
        <v>1484</v>
      </c>
      <c r="L404" s="1466">
        <v>2.75</v>
      </c>
      <c r="M404" s="1462">
        <v>1.8</v>
      </c>
      <c r="N404" s="1522"/>
      <c r="O404" s="1462">
        <v>1.2</v>
      </c>
      <c r="P404" s="1522">
        <f>ROUND(O404*M404*L404,2)</f>
        <v>5.94</v>
      </c>
      <c r="Q404" s="1462">
        <f>I404</f>
        <v>577.61900000000003</v>
      </c>
      <c r="R404" s="1462">
        <f>ROUND(P404*Q404/10,2)</f>
        <v>343.11</v>
      </c>
    </row>
    <row r="405" spans="1:18" ht="14.4" hidden="1">
      <c r="A405" s="1639"/>
      <c r="B405" s="1665"/>
      <c r="C405" s="1639" t="s">
        <v>1306</v>
      </c>
      <c r="D405" s="1660" t="s">
        <v>246</v>
      </c>
      <c r="E405" s="1649">
        <v>1.8</v>
      </c>
      <c r="F405" s="1661">
        <f>10*1.8</f>
        <v>18</v>
      </c>
      <c r="G405" s="1649">
        <v>1.1299999999999999</v>
      </c>
      <c r="H405" s="1661">
        <f>G405*F405</f>
        <v>20.339999999999996</v>
      </c>
      <c r="I405" s="1649">
        <f>'Lead- Input sheet '!R10/1000</f>
        <v>69.62</v>
      </c>
      <c r="J405" s="1649">
        <f>H405*I405</f>
        <v>1416.0707999999997</v>
      </c>
      <c r="K405" s="1525" t="s">
        <v>1306</v>
      </c>
      <c r="L405" s="1466" t="s">
        <v>246</v>
      </c>
      <c r="M405" s="1462">
        <v>1.8</v>
      </c>
      <c r="N405" s="1522">
        <f>10*1.8</f>
        <v>18</v>
      </c>
      <c r="O405" s="1462">
        <v>1.1299999999999999</v>
      </c>
      <c r="P405" s="1522">
        <f>O405*N405</f>
        <v>20.339999999999996</v>
      </c>
      <c r="Q405" s="1462">
        <f>I405</f>
        <v>69.62</v>
      </c>
      <c r="R405" s="1462">
        <f>P405*Q405</f>
        <v>1416.0707999999997</v>
      </c>
    </row>
    <row r="406" spans="1:18" ht="14.4" hidden="1">
      <c r="A406" s="1639"/>
      <c r="B406" s="1665"/>
      <c r="C406" s="1654" t="s">
        <v>230</v>
      </c>
      <c r="D406" s="1660"/>
      <c r="E406" s="1649"/>
      <c r="F406" s="1661"/>
      <c r="G406" s="1661"/>
      <c r="H406" s="1666">
        <v>1</v>
      </c>
      <c r="I406" s="1649">
        <v>150</v>
      </c>
      <c r="J406" s="1649">
        <f>H406*I406</f>
        <v>150</v>
      </c>
      <c r="K406" s="1473" t="s">
        <v>230</v>
      </c>
      <c r="L406" s="1466"/>
      <c r="M406" s="1462"/>
      <c r="N406" s="1522"/>
      <c r="O406" s="1522"/>
      <c r="P406" s="1527">
        <v>1</v>
      </c>
      <c r="Q406" s="1462">
        <v>150</v>
      </c>
      <c r="R406" s="1462">
        <f>P406*Q406</f>
        <v>150</v>
      </c>
    </row>
    <row r="407" spans="1:18" ht="14.4" hidden="1">
      <c r="A407" s="1639"/>
      <c r="B407" s="1665"/>
      <c r="C407" s="1654"/>
      <c r="D407" s="1660"/>
      <c r="E407" s="1649"/>
      <c r="F407" s="1661"/>
      <c r="G407" s="1661"/>
      <c r="H407" s="1661"/>
      <c r="I407" s="1649"/>
      <c r="J407" s="1649">
        <f>SUM(J391:J406)</f>
        <v>13197.540799999999</v>
      </c>
      <c r="K407" s="1473"/>
      <c r="L407" s="1466"/>
      <c r="M407" s="1462"/>
      <c r="N407" s="1522"/>
      <c r="O407" s="1522"/>
      <c r="P407" s="1522"/>
      <c r="Q407" s="1462"/>
      <c r="R407" s="1462">
        <f>SUM(R391:R406)</f>
        <v>11579.790800000001</v>
      </c>
    </row>
    <row r="408" spans="1:18" s="1520" customFormat="1" ht="14.4" hidden="1">
      <c r="A408" s="1639"/>
      <c r="B408" s="1667"/>
      <c r="C408" s="1654" t="s">
        <v>1600</v>
      </c>
      <c r="D408" s="1664"/>
      <c r="E408" s="1658"/>
      <c r="F408" s="1662"/>
      <c r="G408" s="1662"/>
      <c r="H408" s="1662">
        <f>J407</f>
        <v>13197.540799999999</v>
      </c>
      <c r="I408" s="1658">
        <f>I6</f>
        <v>0</v>
      </c>
      <c r="J408" s="1649">
        <f>ROUND(H408*I408,2)</f>
        <v>0</v>
      </c>
      <c r="K408" s="1473" t="s">
        <v>1600</v>
      </c>
      <c r="L408" s="1465"/>
      <c r="M408" s="1468"/>
      <c r="N408" s="1526"/>
      <c r="O408" s="1526"/>
      <c r="P408" s="1526">
        <f>R407</f>
        <v>11579.790800000001</v>
      </c>
      <c r="Q408" s="1468">
        <f>R6</f>
        <v>0</v>
      </c>
      <c r="R408" s="1462">
        <f>ROUND(P408*Q408,2)</f>
        <v>0</v>
      </c>
    </row>
    <row r="409" spans="1:18" s="1520" customFormat="1" ht="28.8" hidden="1">
      <c r="A409" s="1639" t="s">
        <v>547</v>
      </c>
      <c r="B409" s="1667"/>
      <c r="C409" s="1639" t="s">
        <v>256</v>
      </c>
      <c r="D409" s="1664"/>
      <c r="E409" s="1658"/>
      <c r="F409" s="1662"/>
      <c r="G409" s="1662"/>
      <c r="H409" s="1662"/>
      <c r="I409" s="1658" t="s">
        <v>416</v>
      </c>
      <c r="J409" s="1658">
        <f>SUM(J407:J408)</f>
        <v>13197.540799999999</v>
      </c>
      <c r="K409" s="1525" t="s">
        <v>256</v>
      </c>
      <c r="L409" s="1465"/>
      <c r="M409" s="1468"/>
      <c r="N409" s="1526"/>
      <c r="O409" s="1526"/>
      <c r="P409" s="1526"/>
      <c r="Q409" s="1468" t="s">
        <v>416</v>
      </c>
      <c r="R409" s="1468">
        <f>SUM(R407:R408)</f>
        <v>11579.790800000001</v>
      </c>
    </row>
    <row r="410" spans="1:18" ht="14.4" hidden="1">
      <c r="A410" s="1639"/>
      <c r="B410" s="1665"/>
      <c r="C410" s="1639" t="s">
        <v>14</v>
      </c>
      <c r="D410" s="1660"/>
      <c r="E410" s="1649"/>
      <c r="F410" s="1661"/>
      <c r="G410" s="1661"/>
      <c r="H410" s="1661"/>
      <c r="I410" s="1649"/>
      <c r="J410" s="1649"/>
      <c r="K410" s="1530" t="s">
        <v>14</v>
      </c>
      <c r="L410" s="1466"/>
      <c r="M410" s="1462"/>
      <c r="N410" s="1522"/>
      <c r="O410" s="1522"/>
      <c r="P410" s="1522"/>
      <c r="Q410" s="1462"/>
      <c r="R410" s="1462"/>
    </row>
    <row r="411" spans="1:18" ht="14.4" hidden="1">
      <c r="A411" s="1639"/>
      <c r="B411" s="1665"/>
      <c r="C411" s="1654" t="s">
        <v>848</v>
      </c>
      <c r="D411" s="1660"/>
      <c r="E411" s="1649"/>
      <c r="F411" s="1661"/>
      <c r="G411" s="1661"/>
      <c r="H411" s="1661"/>
      <c r="I411" s="1649"/>
      <c r="J411" s="1649"/>
      <c r="K411" s="1473" t="s">
        <v>848</v>
      </c>
      <c r="L411" s="1466"/>
      <c r="M411" s="1462"/>
      <c r="N411" s="1522"/>
      <c r="O411" s="1522"/>
      <c r="P411" s="1522"/>
      <c r="Q411" s="1462"/>
      <c r="R411" s="1462"/>
    </row>
    <row r="412" spans="1:18" ht="14.4" hidden="1">
      <c r="A412" s="1639"/>
      <c r="B412" s="1665"/>
      <c r="C412" s="1654" t="s">
        <v>780</v>
      </c>
      <c r="D412" s="1660">
        <v>5</v>
      </c>
      <c r="E412" s="1649">
        <v>1.3</v>
      </c>
      <c r="F412" s="1661">
        <v>0.1</v>
      </c>
      <c r="G412" s="1661">
        <v>7.4999999999999997E-2</v>
      </c>
      <c r="H412" s="1661">
        <f>ROUND(D412*E412*F412*G412,3)</f>
        <v>4.9000000000000002E-2</v>
      </c>
      <c r="I412" s="1649">
        <v>44785</v>
      </c>
      <c r="J412" s="1649">
        <f>ROUND(H412*I412,2)</f>
        <v>2194.4699999999998</v>
      </c>
      <c r="K412" s="1473" t="s">
        <v>780</v>
      </c>
      <c r="L412" s="1466">
        <v>5</v>
      </c>
      <c r="M412" s="1462">
        <v>1.2</v>
      </c>
      <c r="N412" s="1522">
        <v>0.1</v>
      </c>
      <c r="O412" s="1522">
        <v>7.4999999999999997E-2</v>
      </c>
      <c r="P412" s="1522">
        <f>ROUND(L412*M412*N412*O412,3)</f>
        <v>4.4999999999999998E-2</v>
      </c>
      <c r="Q412" s="1462">
        <v>44785</v>
      </c>
      <c r="R412" s="1462">
        <f>ROUND(P412*Q412,2)</f>
        <v>2015.33</v>
      </c>
    </row>
    <row r="413" spans="1:18" ht="14.4" hidden="1">
      <c r="A413" s="1639"/>
      <c r="B413" s="1665"/>
      <c r="C413" s="1654" t="s">
        <v>441</v>
      </c>
      <c r="D413" s="1660">
        <v>2</v>
      </c>
      <c r="E413" s="1649">
        <v>2</v>
      </c>
      <c r="F413" s="1661">
        <v>0.1</v>
      </c>
      <c r="G413" s="1661">
        <v>7.4999999999999997E-2</v>
      </c>
      <c r="H413" s="1661">
        <f>ROUND(D413*E413*F413*G413,3)</f>
        <v>0.03</v>
      </c>
      <c r="I413" s="1649">
        <v>44785</v>
      </c>
      <c r="J413" s="1649">
        <f>ROUND(H413*I413,2)</f>
        <v>1343.55</v>
      </c>
      <c r="K413" s="1473" t="s">
        <v>441</v>
      </c>
      <c r="L413" s="1466">
        <v>2</v>
      </c>
      <c r="M413" s="1462">
        <v>2</v>
      </c>
      <c r="N413" s="1522">
        <v>0.1</v>
      </c>
      <c r="O413" s="1522">
        <v>7.4999999999999997E-2</v>
      </c>
      <c r="P413" s="1522">
        <f>ROUND(L413*M413*N413*O413,3)</f>
        <v>0.03</v>
      </c>
      <c r="Q413" s="1462">
        <v>44785</v>
      </c>
      <c r="R413" s="1462">
        <f>ROUND(P413*Q413,2)</f>
        <v>1343.55</v>
      </c>
    </row>
    <row r="414" spans="1:18" ht="14.4" hidden="1">
      <c r="A414" s="1639"/>
      <c r="B414" s="1665"/>
      <c r="C414" s="1654" t="s">
        <v>1482</v>
      </c>
      <c r="D414" s="1660"/>
      <c r="E414" s="1649"/>
      <c r="F414" s="1661"/>
      <c r="G414" s="1661"/>
      <c r="H414" s="1661">
        <f>SUM(H412:H413)</f>
        <v>7.9000000000000001E-2</v>
      </c>
      <c r="I414" s="1649">
        <f>G25</f>
        <v>19572.5</v>
      </c>
      <c r="J414" s="1649">
        <f>ROUND(H414*I414,2)</f>
        <v>1546.23</v>
      </c>
      <c r="K414" s="1473" t="s">
        <v>1482</v>
      </c>
      <c r="L414" s="1466"/>
      <c r="M414" s="1462"/>
      <c r="N414" s="1522"/>
      <c r="O414" s="1522"/>
      <c r="P414" s="1522">
        <f>SUM(P412:P413)</f>
        <v>7.4999999999999997E-2</v>
      </c>
      <c r="Q414" s="1462">
        <f>I414</f>
        <v>19572.5</v>
      </c>
      <c r="R414" s="1462">
        <f>ROUND(P414*Q414,2)</f>
        <v>1467.94</v>
      </c>
    </row>
    <row r="415" spans="1:18" ht="43.2" hidden="1">
      <c r="A415" s="1639" t="s">
        <v>787</v>
      </c>
      <c r="B415" s="1638"/>
      <c r="C415" s="1654" t="s">
        <v>788</v>
      </c>
      <c r="D415" s="1660"/>
      <c r="E415" s="1649"/>
      <c r="F415" s="1661"/>
      <c r="G415" s="1662"/>
      <c r="H415" s="1662"/>
      <c r="I415" s="1649"/>
      <c r="J415" s="1649"/>
      <c r="K415" s="1473" t="s">
        <v>788</v>
      </c>
      <c r="L415" s="1466"/>
      <c r="M415" s="1462"/>
      <c r="N415" s="1522"/>
      <c r="O415" s="1526"/>
      <c r="P415" s="1526"/>
      <c r="Q415" s="1462"/>
      <c r="R415" s="1462"/>
    </row>
    <row r="416" spans="1:18" ht="14.4" hidden="1">
      <c r="A416" s="1639"/>
      <c r="B416" s="1659"/>
      <c r="C416" s="1654" t="s">
        <v>1598</v>
      </c>
      <c r="D416" s="1660"/>
      <c r="E416" s="1652" t="s">
        <v>1651</v>
      </c>
      <c r="F416" s="1661"/>
      <c r="G416" s="1661"/>
      <c r="H416" s="1666">
        <v>4</v>
      </c>
      <c r="I416" s="1649">
        <v>32</v>
      </c>
      <c r="J416" s="1649">
        <f>ROUND(H416*I416,2)</f>
        <v>128</v>
      </c>
      <c r="K416" s="1473" t="s">
        <v>1598</v>
      </c>
      <c r="L416" s="1466"/>
      <c r="M416" s="1528" t="s">
        <v>1651</v>
      </c>
      <c r="N416" s="1522"/>
      <c r="O416" s="1522"/>
      <c r="P416" s="1527">
        <v>4</v>
      </c>
      <c r="Q416" s="1462">
        <v>35</v>
      </c>
      <c r="R416" s="1462">
        <f>ROUND(P416*Q416,2)</f>
        <v>140</v>
      </c>
    </row>
    <row r="417" spans="1:18" ht="14.4" hidden="1">
      <c r="A417" s="1639"/>
      <c r="B417" s="1665"/>
      <c r="C417" s="1654" t="s">
        <v>1484</v>
      </c>
      <c r="D417" s="1660">
        <v>2.75</v>
      </c>
      <c r="E417" s="1649">
        <v>1.8</v>
      </c>
      <c r="F417" s="1661"/>
      <c r="G417" s="1649">
        <v>1.3</v>
      </c>
      <c r="H417" s="1661">
        <f>ROUND(G417*E417*D417,2)</f>
        <v>6.44</v>
      </c>
      <c r="I417" s="1649">
        <f>G15</f>
        <v>577.61900000000003</v>
      </c>
      <c r="J417" s="1649">
        <f>ROUND(H417*I417/10,2)</f>
        <v>371.99</v>
      </c>
      <c r="K417" s="1473" t="s">
        <v>1484</v>
      </c>
      <c r="L417" s="1466">
        <v>2.75</v>
      </c>
      <c r="M417" s="1462">
        <v>1.8</v>
      </c>
      <c r="N417" s="1522"/>
      <c r="O417" s="1462">
        <v>1.3</v>
      </c>
      <c r="P417" s="1522">
        <f>ROUND(O417*M417*L417,2)</f>
        <v>6.44</v>
      </c>
      <c r="Q417" s="1462">
        <f>I417</f>
        <v>577.61900000000003</v>
      </c>
      <c r="R417" s="1462">
        <f>ROUND(P417*Q417/10,2)</f>
        <v>371.99</v>
      </c>
    </row>
    <row r="418" spans="1:18" ht="14.4" hidden="1">
      <c r="A418" s="1639"/>
      <c r="B418" s="1665"/>
      <c r="C418" s="1639" t="s">
        <v>1306</v>
      </c>
      <c r="D418" s="1660" t="s">
        <v>246</v>
      </c>
      <c r="E418" s="1649">
        <v>1.8</v>
      </c>
      <c r="F418" s="1661">
        <f>10*1.8</f>
        <v>18</v>
      </c>
      <c r="G418" s="1649">
        <v>1.1299999999999999</v>
      </c>
      <c r="H418" s="1661">
        <f>G418*F418</f>
        <v>20.339999999999996</v>
      </c>
      <c r="I418" s="1649">
        <f>'Lead- Input sheet '!R10/1000</f>
        <v>69.62</v>
      </c>
      <c r="J418" s="1649">
        <f>H418*I418</f>
        <v>1416.0707999999997</v>
      </c>
      <c r="K418" s="1525" t="s">
        <v>1306</v>
      </c>
      <c r="L418" s="1466" t="s">
        <v>246</v>
      </c>
      <c r="M418" s="1462">
        <v>1.8</v>
      </c>
      <c r="N418" s="1522">
        <f>10*1.8</f>
        <v>18</v>
      </c>
      <c r="O418" s="1462">
        <v>1.1299999999999999</v>
      </c>
      <c r="P418" s="1522">
        <f>O418*N418</f>
        <v>20.339999999999996</v>
      </c>
      <c r="Q418" s="1462">
        <f>I418</f>
        <v>69.62</v>
      </c>
      <c r="R418" s="1462">
        <f>P418*Q418</f>
        <v>1416.0707999999997</v>
      </c>
    </row>
    <row r="419" spans="1:18" ht="14.4" hidden="1">
      <c r="A419" s="1639"/>
      <c r="B419" s="1665"/>
      <c r="C419" s="1654" t="s">
        <v>230</v>
      </c>
      <c r="D419" s="1660"/>
      <c r="E419" s="1649"/>
      <c r="F419" s="1661"/>
      <c r="G419" s="1661"/>
      <c r="H419" s="1666">
        <v>1</v>
      </c>
      <c r="I419" s="1649">
        <v>75</v>
      </c>
      <c r="J419" s="1649">
        <f>H419*I419</f>
        <v>75</v>
      </c>
      <c r="K419" s="1473" t="s">
        <v>230</v>
      </c>
      <c r="L419" s="1466"/>
      <c r="M419" s="1462"/>
      <c r="N419" s="1522"/>
      <c r="O419" s="1522"/>
      <c r="P419" s="1527">
        <v>1</v>
      </c>
      <c r="Q419" s="1462">
        <v>75</v>
      </c>
      <c r="R419" s="1462">
        <f>P419*Q419</f>
        <v>75</v>
      </c>
    </row>
    <row r="420" spans="1:18" ht="14.4" hidden="1">
      <c r="A420" s="1639"/>
      <c r="B420" s="1665"/>
      <c r="C420" s="1654"/>
      <c r="D420" s="1660"/>
      <c r="E420" s="1649"/>
      <c r="F420" s="1661"/>
      <c r="G420" s="1661"/>
      <c r="H420" s="1661"/>
      <c r="I420" s="1649"/>
      <c r="J420" s="1649">
        <f>SUM(J412:J419)</f>
        <v>7075.3107999999993</v>
      </c>
      <c r="K420" s="1473"/>
      <c r="L420" s="1466"/>
      <c r="M420" s="1462"/>
      <c r="N420" s="1522"/>
      <c r="O420" s="1522"/>
      <c r="P420" s="1522"/>
      <c r="Q420" s="1462"/>
      <c r="R420" s="1462">
        <f>SUM(R412:R419)</f>
        <v>6829.880799999999</v>
      </c>
    </row>
    <row r="421" spans="1:18" s="1520" customFormat="1" ht="14.4" hidden="1">
      <c r="A421" s="1639"/>
      <c r="B421" s="1667"/>
      <c r="C421" s="1654" t="s">
        <v>1600</v>
      </c>
      <c r="D421" s="1664"/>
      <c r="E421" s="1658"/>
      <c r="F421" s="1662"/>
      <c r="G421" s="1662"/>
      <c r="H421" s="1662">
        <f>'Lead- Input sheet '!Q32</f>
        <v>0</v>
      </c>
      <c r="I421" s="1658">
        <f>J420</f>
        <v>7075.3107999999993</v>
      </c>
      <c r="J421" s="1649">
        <f>ROUND(H421*I421,2)</f>
        <v>0</v>
      </c>
      <c r="K421" s="1473" t="s">
        <v>1600</v>
      </c>
      <c r="L421" s="1465"/>
      <c r="M421" s="1468"/>
      <c r="N421" s="1526"/>
      <c r="O421" s="1526"/>
      <c r="P421" s="1526">
        <f>'Lead- Input sheet '!X32</f>
        <v>0</v>
      </c>
      <c r="Q421" s="1468">
        <f>R420</f>
        <v>6829.880799999999</v>
      </c>
      <c r="R421" s="1462">
        <f>ROUND(P421*Q421,2)</f>
        <v>0</v>
      </c>
    </row>
    <row r="422" spans="1:18" s="1520" customFormat="1" ht="14.4" hidden="1">
      <c r="A422" s="1639"/>
      <c r="B422" s="1667"/>
      <c r="C422" s="1639" t="s">
        <v>15</v>
      </c>
      <c r="D422" s="1664"/>
      <c r="E422" s="1658"/>
      <c r="F422" s="1662"/>
      <c r="G422" s="1662"/>
      <c r="H422" s="1662"/>
      <c r="I422" s="1658" t="s">
        <v>1486</v>
      </c>
      <c r="J422" s="1658">
        <f>SUM(J420:J421)</f>
        <v>7075.3107999999993</v>
      </c>
      <c r="K422" s="1530" t="s">
        <v>15</v>
      </c>
      <c r="L422" s="1465"/>
      <c r="M422" s="1468"/>
      <c r="N422" s="1526"/>
      <c r="O422" s="1526"/>
      <c r="P422" s="1526"/>
      <c r="Q422" s="1468" t="s">
        <v>1486</v>
      </c>
      <c r="R422" s="1468">
        <f>SUM(R420:R421)</f>
        <v>6829.880799999999</v>
      </c>
    </row>
    <row r="423" spans="1:18" s="1520" customFormat="1" ht="14.4" hidden="1">
      <c r="A423" s="1639"/>
      <c r="B423" s="1667"/>
      <c r="C423" s="1639" t="s">
        <v>16</v>
      </c>
      <c r="D423" s="1664"/>
      <c r="E423" s="1658"/>
      <c r="F423" s="1662"/>
      <c r="G423" s="1662"/>
      <c r="H423" s="1662"/>
      <c r="I423" s="1658" t="s">
        <v>1486</v>
      </c>
      <c r="J423" s="1658">
        <f>J409-J422</f>
        <v>6122.23</v>
      </c>
      <c r="K423" s="1530" t="s">
        <v>16</v>
      </c>
      <c r="L423" s="1465"/>
      <c r="M423" s="1468"/>
      <c r="N423" s="1526"/>
      <c r="O423" s="1526"/>
      <c r="P423" s="1526"/>
      <c r="Q423" s="1468" t="s">
        <v>1486</v>
      </c>
      <c r="R423" s="1468">
        <f>R409-R422</f>
        <v>4749.9100000000017</v>
      </c>
    </row>
    <row r="424" spans="1:18" ht="72" hidden="1">
      <c r="A424" s="1639"/>
      <c r="B424" s="1659">
        <v>8</v>
      </c>
      <c r="C424" s="1639" t="s">
        <v>1834</v>
      </c>
      <c r="D424" s="1660"/>
      <c r="E424" s="1649"/>
      <c r="F424" s="1661"/>
      <c r="G424" s="1661"/>
      <c r="H424" s="1661"/>
      <c r="I424" s="1649"/>
      <c r="J424" s="1649"/>
      <c r="K424" s="1512"/>
    </row>
    <row r="425" spans="1:18" ht="14.4" hidden="1">
      <c r="A425" s="1639"/>
      <c r="B425" s="1665"/>
      <c r="C425" s="1639" t="s">
        <v>9</v>
      </c>
      <c r="D425" s="1660"/>
      <c r="E425" s="1649"/>
      <c r="F425" s="1661"/>
      <c r="G425" s="1661"/>
      <c r="H425" s="1661"/>
      <c r="I425" s="1649"/>
      <c r="J425" s="1649"/>
      <c r="K425" s="1512"/>
    </row>
    <row r="426" spans="1:18" s="1508" customFormat="1" ht="14.4" hidden="1">
      <c r="A426" s="1639"/>
      <c r="B426" s="1665"/>
      <c r="C426" s="1654" t="s">
        <v>848</v>
      </c>
      <c r="D426" s="1660"/>
      <c r="E426" s="1649"/>
      <c r="F426" s="1661"/>
      <c r="G426" s="1661"/>
      <c r="H426" s="1661"/>
      <c r="I426" s="1649"/>
      <c r="J426" s="1649"/>
      <c r="K426" s="1515"/>
    </row>
    <row r="427" spans="1:18" s="1508" customFormat="1" ht="14.4" hidden="1">
      <c r="A427" s="1639"/>
      <c r="B427" s="1665"/>
      <c r="C427" s="1654" t="s">
        <v>780</v>
      </c>
      <c r="D427" s="1660">
        <v>4</v>
      </c>
      <c r="E427" s="1649">
        <v>1.2</v>
      </c>
      <c r="F427" s="1661">
        <v>0.1</v>
      </c>
      <c r="G427" s="1661">
        <v>7.4999999999999997E-2</v>
      </c>
      <c r="H427" s="1661">
        <f>ROUND(D427*E427*F427*G427,3)</f>
        <v>3.5999999999999997E-2</v>
      </c>
      <c r="I427" s="1649">
        <v>44785</v>
      </c>
      <c r="J427" s="1649">
        <f t="shared" ref="J427:J432" si="29">ROUND(H427*I427,2)</f>
        <v>1612.26</v>
      </c>
      <c r="K427" s="1515"/>
    </row>
    <row r="428" spans="1:18" ht="14.4" hidden="1">
      <c r="A428" s="1639"/>
      <c r="B428" s="1665"/>
      <c r="C428" s="1654" t="s">
        <v>781</v>
      </c>
      <c r="D428" s="1660">
        <v>2</v>
      </c>
      <c r="E428" s="1649">
        <v>1.35</v>
      </c>
      <c r="F428" s="1661">
        <v>0.1</v>
      </c>
      <c r="G428" s="1661">
        <v>7.4999999999999997E-2</v>
      </c>
      <c r="H428" s="1661">
        <f>ROUND(D428*E428*F428*G428,3)</f>
        <v>0.02</v>
      </c>
      <c r="I428" s="1649">
        <v>44785</v>
      </c>
      <c r="J428" s="1649">
        <f t="shared" si="29"/>
        <v>895.7</v>
      </c>
      <c r="K428" s="1512"/>
    </row>
    <row r="429" spans="1:18" ht="14.4" hidden="1">
      <c r="A429" s="1639"/>
      <c r="B429" s="1665"/>
      <c r="C429" s="1654" t="s">
        <v>782</v>
      </c>
      <c r="D429" s="1660" t="s">
        <v>243</v>
      </c>
      <c r="E429" s="1652">
        <f>(1.2-2*0.075+2*0.015)</f>
        <v>1.08</v>
      </c>
      <c r="F429" s="1661">
        <v>7.4999999999999997E-2</v>
      </c>
      <c r="G429" s="1661">
        <f>1.25*25.4/1000</f>
        <v>3.175E-2</v>
      </c>
      <c r="H429" s="1661">
        <f>ROUND(6*E429*F429*G429,3)</f>
        <v>1.4999999999999999E-2</v>
      </c>
      <c r="I429" s="1649">
        <v>59715</v>
      </c>
      <c r="J429" s="1649">
        <f t="shared" si="29"/>
        <v>895.73</v>
      </c>
      <c r="K429" s="1512"/>
    </row>
    <row r="430" spans="1:18" ht="14.4" hidden="1">
      <c r="A430" s="1639"/>
      <c r="B430" s="1665"/>
      <c r="C430" s="1654" t="s">
        <v>783</v>
      </c>
      <c r="D430" s="1660" t="s">
        <v>244</v>
      </c>
      <c r="E430" s="1649">
        <f>(1.2-3*0.075+4*0.015)/2</f>
        <v>0.51749999999999996</v>
      </c>
      <c r="F430" s="1661">
        <v>7.4999999999999997E-2</v>
      </c>
      <c r="G430" s="1661">
        <f>1.25*25.4/1000</f>
        <v>3.175E-2</v>
      </c>
      <c r="H430" s="1661">
        <f>ROUND(9*E430*F430*G430,3)</f>
        <v>1.0999999999999999E-2</v>
      </c>
      <c r="I430" s="1649">
        <v>59715</v>
      </c>
      <c r="J430" s="1649">
        <f t="shared" si="29"/>
        <v>656.87</v>
      </c>
      <c r="K430" s="1512"/>
    </row>
    <row r="431" spans="1:18" ht="14.4" hidden="1">
      <c r="A431" s="1639"/>
      <c r="B431" s="1665"/>
      <c r="C431" s="1654" t="s">
        <v>1481</v>
      </c>
      <c r="D431" s="1660" t="s">
        <v>245</v>
      </c>
      <c r="E431" s="1649">
        <f>(1.2-4*0.075+6*0.015)/3-2*0.075+2*0.025</f>
        <v>0.22999999999999998</v>
      </c>
      <c r="F431" s="1661">
        <f>(1.2-2*0.075+2*0.015-3*0.075)/2+2*0.025</f>
        <v>0.47750000000000004</v>
      </c>
      <c r="G431" s="1661">
        <v>2.5000000000000001E-2</v>
      </c>
      <c r="H431" s="1661">
        <f>ROUND(6*E431*F431*G431,3)</f>
        <v>1.6E-2</v>
      </c>
      <c r="I431" s="1649">
        <v>59715</v>
      </c>
      <c r="J431" s="1649">
        <f t="shared" si="29"/>
        <v>955.44</v>
      </c>
      <c r="K431" s="1512"/>
    </row>
    <row r="432" spans="1:18" ht="14.4" hidden="1">
      <c r="A432" s="1639"/>
      <c r="B432" s="1665"/>
      <c r="C432" s="1654" t="s">
        <v>1482</v>
      </c>
      <c r="D432" s="1660"/>
      <c r="E432" s="1649"/>
      <c r="F432" s="1661"/>
      <c r="G432" s="1661"/>
      <c r="H432" s="1661">
        <f>SUM(H427:H431)</f>
        <v>9.799999999999999E-2</v>
      </c>
      <c r="I432" s="1649">
        <f>G25</f>
        <v>19572.5</v>
      </c>
      <c r="J432" s="1649">
        <f t="shared" si="29"/>
        <v>1918.11</v>
      </c>
      <c r="K432" s="1512"/>
    </row>
    <row r="433" spans="1:11" ht="43.2" hidden="1">
      <c r="A433" s="1639" t="s">
        <v>787</v>
      </c>
      <c r="B433" s="1638"/>
      <c r="C433" s="1654" t="s">
        <v>788</v>
      </c>
      <c r="D433" s="1660"/>
      <c r="E433" s="1649"/>
      <c r="F433" s="1661"/>
      <c r="G433" s="1662"/>
      <c r="H433" s="1662"/>
      <c r="I433" s="1649"/>
      <c r="J433" s="1649"/>
      <c r="K433" s="1512"/>
    </row>
    <row r="434" spans="1:11" ht="14.4" hidden="1">
      <c r="A434" s="1639"/>
      <c r="B434" s="1654"/>
      <c r="C434" s="1659" t="s">
        <v>915</v>
      </c>
      <c r="D434" s="1649" t="s">
        <v>1035</v>
      </c>
      <c r="E434" s="1661" t="s">
        <v>1624</v>
      </c>
      <c r="F434" s="1661"/>
      <c r="G434" s="1661"/>
      <c r="H434" s="1666">
        <v>3</v>
      </c>
      <c r="I434" s="1649">
        <v>35</v>
      </c>
      <c r="J434" s="1649">
        <f t="shared" ref="J434:J439" si="30">ROUND(H434*I434,2)</f>
        <v>105</v>
      </c>
      <c r="K434" s="1512"/>
    </row>
    <row r="435" spans="1:11" ht="14.4" hidden="1">
      <c r="A435" s="1639"/>
      <c r="B435" s="1654"/>
      <c r="C435" s="1659" t="s">
        <v>916</v>
      </c>
      <c r="D435" s="1649" t="s">
        <v>1035</v>
      </c>
      <c r="E435" s="1661" t="s">
        <v>1624</v>
      </c>
      <c r="F435" s="1661"/>
      <c r="G435" s="1661"/>
      <c r="H435" s="1666">
        <v>3</v>
      </c>
      <c r="I435" s="1649">
        <v>35</v>
      </c>
      <c r="J435" s="1649">
        <f t="shared" si="30"/>
        <v>105</v>
      </c>
      <c r="K435" s="1512"/>
    </row>
    <row r="436" spans="1:11" ht="14.4" hidden="1">
      <c r="A436" s="1639"/>
      <c r="B436" s="1654"/>
      <c r="C436" s="1659" t="s">
        <v>917</v>
      </c>
      <c r="D436" s="1649" t="s">
        <v>1035</v>
      </c>
      <c r="E436" s="1661" t="s">
        <v>1625</v>
      </c>
      <c r="F436" s="1661"/>
      <c r="G436" s="1661"/>
      <c r="H436" s="1666">
        <v>6</v>
      </c>
      <c r="I436" s="1649">
        <v>21</v>
      </c>
      <c r="J436" s="1649">
        <f t="shared" si="30"/>
        <v>126</v>
      </c>
      <c r="K436" s="1512"/>
    </row>
    <row r="437" spans="1:11" ht="14.4" hidden="1">
      <c r="A437" s="1639"/>
      <c r="B437" s="1654"/>
      <c r="C437" s="1659" t="s">
        <v>918</v>
      </c>
      <c r="D437" s="1649" t="s">
        <v>1035</v>
      </c>
      <c r="E437" s="1661" t="s">
        <v>1626</v>
      </c>
      <c r="F437" s="1661"/>
      <c r="G437" s="1661"/>
      <c r="H437" s="1666">
        <v>3</v>
      </c>
      <c r="I437" s="1649">
        <v>213</v>
      </c>
      <c r="J437" s="1649">
        <f t="shared" si="30"/>
        <v>639</v>
      </c>
      <c r="K437" s="1512"/>
    </row>
    <row r="438" spans="1:11" ht="14.4" hidden="1">
      <c r="A438" s="1639"/>
      <c r="B438" s="1654"/>
      <c r="C438" s="1659" t="s">
        <v>799</v>
      </c>
      <c r="D438" s="1649" t="s">
        <v>882</v>
      </c>
      <c r="E438" s="1661" t="s">
        <v>1652</v>
      </c>
      <c r="F438" s="1661"/>
      <c r="G438" s="1661"/>
      <c r="H438" s="1666">
        <v>90</v>
      </c>
      <c r="I438" s="1649">
        <v>3</v>
      </c>
      <c r="J438" s="1649">
        <f t="shared" si="30"/>
        <v>270</v>
      </c>
      <c r="K438" s="1512"/>
    </row>
    <row r="439" spans="1:11" ht="14.4" hidden="1">
      <c r="A439" s="1639"/>
      <c r="B439" s="1654"/>
      <c r="C439" s="1659" t="s">
        <v>1598</v>
      </c>
      <c r="D439" s="1649"/>
      <c r="E439" s="1652" t="s">
        <v>1651</v>
      </c>
      <c r="F439" s="1661"/>
      <c r="G439" s="1661"/>
      <c r="H439" s="1666">
        <v>4</v>
      </c>
      <c r="I439" s="1649">
        <v>32</v>
      </c>
      <c r="J439" s="1649">
        <f t="shared" si="30"/>
        <v>128</v>
      </c>
      <c r="K439" s="1512"/>
    </row>
    <row r="440" spans="1:11" ht="14.4" hidden="1">
      <c r="A440" s="1639"/>
      <c r="B440" s="1665"/>
      <c r="C440" s="1654" t="s">
        <v>1484</v>
      </c>
      <c r="D440" s="1660">
        <v>2.75</v>
      </c>
      <c r="E440" s="1649">
        <v>1.2</v>
      </c>
      <c r="F440" s="1661"/>
      <c r="G440" s="1649">
        <v>1.2</v>
      </c>
      <c r="H440" s="1661">
        <f>ROUND(G440*E440*D440,2)</f>
        <v>3.96</v>
      </c>
      <c r="I440" s="1649">
        <f>G15</f>
        <v>577.61900000000003</v>
      </c>
      <c r="J440" s="1649">
        <f>ROUND(H440*I440/10,2)</f>
        <v>228.74</v>
      </c>
      <c r="K440" s="1512"/>
    </row>
    <row r="441" spans="1:11" ht="14.4" hidden="1">
      <c r="A441" s="1639"/>
      <c r="B441" s="1665"/>
      <c r="C441" s="1639" t="s">
        <v>1306</v>
      </c>
      <c r="D441" s="1660" t="s">
        <v>10</v>
      </c>
      <c r="E441" s="1649">
        <v>1.2</v>
      </c>
      <c r="F441" s="1649">
        <f>E441*9</f>
        <v>10.799999999999999</v>
      </c>
      <c r="G441" s="1649">
        <v>1.1299999999999999</v>
      </c>
      <c r="H441" s="1661">
        <f>G441*F441</f>
        <v>12.203999999999997</v>
      </c>
      <c r="I441" s="1649">
        <f>'Lead- Input sheet '!R10/1000</f>
        <v>69.62</v>
      </c>
      <c r="J441" s="1649">
        <f>H441*I441</f>
        <v>849.64247999999986</v>
      </c>
      <c r="K441" s="1512">
        <f>(1.2-0.075*2-0.1)/0.1</f>
        <v>9.5</v>
      </c>
    </row>
    <row r="442" spans="1:11" ht="14.4" hidden="1">
      <c r="A442" s="1639"/>
      <c r="B442" s="1665"/>
      <c r="C442" s="1654" t="s">
        <v>230</v>
      </c>
      <c r="D442" s="1660"/>
      <c r="E442" s="1649"/>
      <c r="F442" s="1661"/>
      <c r="G442" s="1661"/>
      <c r="H442" s="1666">
        <v>1</v>
      </c>
      <c r="I442" s="1649">
        <v>100</v>
      </c>
      <c r="J442" s="1649">
        <f>H442*I442</f>
        <v>100</v>
      </c>
      <c r="K442" s="1512"/>
    </row>
    <row r="443" spans="1:11" ht="14.4" hidden="1">
      <c r="A443" s="1639"/>
      <c r="B443" s="1665"/>
      <c r="C443" s="1654"/>
      <c r="D443" s="1660"/>
      <c r="E443" s="1649"/>
      <c r="F443" s="1661"/>
      <c r="G443" s="1661"/>
      <c r="H443" s="1661"/>
      <c r="I443" s="1649"/>
      <c r="J443" s="1649">
        <f>SUM(J427:J442)</f>
        <v>9485.4924800000008</v>
      </c>
      <c r="K443" s="1512"/>
    </row>
    <row r="444" spans="1:11" ht="14.4" hidden="1">
      <c r="A444" s="1639"/>
      <c r="B444" s="1667"/>
      <c r="C444" s="1654" t="s">
        <v>1600</v>
      </c>
      <c r="D444" s="1664"/>
      <c r="E444" s="1658"/>
      <c r="F444" s="1662"/>
      <c r="G444" s="1662"/>
      <c r="H444" s="1662">
        <f>'Lead- Input sheet '!Q32</f>
        <v>0</v>
      </c>
      <c r="I444" s="1658">
        <f>J443</f>
        <v>9485.4924800000008</v>
      </c>
      <c r="J444" s="1658">
        <f>ROUND(H444*I444,2)</f>
        <v>0</v>
      </c>
      <c r="K444" s="1512"/>
    </row>
    <row r="445" spans="1:11" ht="14.4" hidden="1">
      <c r="A445" s="1639"/>
      <c r="B445" s="1667"/>
      <c r="C445" s="1639" t="s">
        <v>256</v>
      </c>
      <c r="D445" s="1664"/>
      <c r="E445" s="1658"/>
      <c r="F445" s="1662"/>
      <c r="G445" s="1662"/>
      <c r="H445" s="1662"/>
      <c r="I445" s="1658" t="s">
        <v>416</v>
      </c>
      <c r="J445" s="1658">
        <f>SUM(J443:J444)</f>
        <v>9485.4924800000008</v>
      </c>
      <c r="K445" s="1512"/>
    </row>
    <row r="446" spans="1:11" ht="14.4" hidden="1">
      <c r="A446" s="1639"/>
      <c r="B446" s="1665"/>
      <c r="C446" s="1639" t="s">
        <v>11</v>
      </c>
      <c r="D446" s="1660"/>
      <c r="E446" s="1649"/>
      <c r="F446" s="1661"/>
      <c r="G446" s="1661"/>
      <c r="H446" s="1661"/>
      <c r="I446" s="1649"/>
      <c r="J446" s="1649"/>
      <c r="K446" s="1512"/>
    </row>
    <row r="447" spans="1:11" ht="14.4" hidden="1">
      <c r="A447" s="1639"/>
      <c r="B447" s="1665"/>
      <c r="C447" s="1654" t="s">
        <v>848</v>
      </c>
      <c r="D447" s="1660"/>
      <c r="E447" s="1649"/>
      <c r="F447" s="1661"/>
      <c r="G447" s="1661"/>
      <c r="H447" s="1661"/>
      <c r="I447" s="1649"/>
      <c r="J447" s="1649"/>
      <c r="K447" s="1512"/>
    </row>
    <row r="448" spans="1:11" ht="14.4" hidden="1">
      <c r="A448" s="1639"/>
      <c r="B448" s="1665"/>
      <c r="C448" s="1654" t="s">
        <v>780</v>
      </c>
      <c r="D448" s="1660">
        <v>4</v>
      </c>
      <c r="E448" s="1649">
        <v>1.2</v>
      </c>
      <c r="F448" s="1661">
        <v>0.1</v>
      </c>
      <c r="G448" s="1661">
        <v>7.4999999999999997E-2</v>
      </c>
      <c r="H448" s="1661">
        <f>ROUND(D448*E448*F448*G448,3)</f>
        <v>3.5999999999999997E-2</v>
      </c>
      <c r="I448" s="1649">
        <v>44785</v>
      </c>
      <c r="J448" s="1649">
        <f>ROUND(H448*I448,2)</f>
        <v>1612.26</v>
      </c>
      <c r="K448" s="1512"/>
    </row>
    <row r="449" spans="1:11" ht="14.4" hidden="1">
      <c r="A449" s="1639"/>
      <c r="B449" s="1665"/>
      <c r="C449" s="1654" t="s">
        <v>781</v>
      </c>
      <c r="D449" s="1660">
        <v>2</v>
      </c>
      <c r="E449" s="1649">
        <v>1.35</v>
      </c>
      <c r="F449" s="1661">
        <v>0.1</v>
      </c>
      <c r="G449" s="1661">
        <v>7.4999999999999997E-2</v>
      </c>
      <c r="H449" s="1661">
        <f>ROUND(D449*E449*F449*G449,3)</f>
        <v>0.02</v>
      </c>
      <c r="I449" s="1649">
        <v>44785</v>
      </c>
      <c r="J449" s="1649">
        <f>ROUND(H449*I449,2)</f>
        <v>895.7</v>
      </c>
      <c r="K449" s="1512"/>
    </row>
    <row r="450" spans="1:11" ht="14.4" hidden="1">
      <c r="A450" s="1639"/>
      <c r="B450" s="1665"/>
      <c r="C450" s="1654" t="s">
        <v>1482</v>
      </c>
      <c r="D450" s="1660"/>
      <c r="E450" s="1649"/>
      <c r="F450" s="1661"/>
      <c r="G450" s="1661"/>
      <c r="H450" s="1661">
        <f>SUM(H448:H449)</f>
        <v>5.5999999999999994E-2</v>
      </c>
      <c r="I450" s="1649">
        <f>G25</f>
        <v>19572.5</v>
      </c>
      <c r="J450" s="1649">
        <f>ROUND(H450*I450,2)</f>
        <v>1096.06</v>
      </c>
      <c r="K450" s="1512"/>
    </row>
    <row r="451" spans="1:11" ht="43.2" hidden="1">
      <c r="A451" s="1639" t="s">
        <v>787</v>
      </c>
      <c r="B451" s="1638"/>
      <c r="C451" s="1654" t="s">
        <v>788</v>
      </c>
      <c r="D451" s="1660"/>
      <c r="E451" s="1649"/>
      <c r="F451" s="1661"/>
      <c r="G451" s="1662"/>
      <c r="H451" s="1662"/>
      <c r="I451" s="1649"/>
      <c r="J451" s="1649"/>
      <c r="K451" s="1512"/>
    </row>
    <row r="452" spans="1:11" ht="14.4" hidden="1">
      <c r="A452" s="1639"/>
      <c r="B452" s="1659"/>
      <c r="C452" s="1654" t="s">
        <v>1598</v>
      </c>
      <c r="D452" s="1660"/>
      <c r="E452" s="1652" t="s">
        <v>1651</v>
      </c>
      <c r="F452" s="1661"/>
      <c r="G452" s="1661"/>
      <c r="H452" s="1666">
        <v>4</v>
      </c>
      <c r="I452" s="1649">
        <v>32</v>
      </c>
      <c r="J452" s="1649">
        <f>ROUND(H452*I452,2)</f>
        <v>128</v>
      </c>
      <c r="K452" s="1512"/>
    </row>
    <row r="453" spans="1:11" ht="14.4" hidden="1">
      <c r="A453" s="1639"/>
      <c r="B453" s="1665"/>
      <c r="C453" s="1654" t="s">
        <v>1484</v>
      </c>
      <c r="D453" s="1649" t="s">
        <v>544</v>
      </c>
      <c r="E453" s="1649">
        <v>1.2</v>
      </c>
      <c r="F453" s="1661"/>
      <c r="G453" s="1649">
        <v>1.2</v>
      </c>
      <c r="H453" s="1661">
        <f>ROUND(G453*E453*2.75/3,2)</f>
        <v>1.32</v>
      </c>
      <c r="I453" s="1649">
        <f>G15</f>
        <v>577.61900000000003</v>
      </c>
      <c r="J453" s="1649">
        <f>ROUND(H453*I453/10,2)</f>
        <v>76.25</v>
      </c>
      <c r="K453" s="1512"/>
    </row>
    <row r="454" spans="1:11" ht="14.4" hidden="1">
      <c r="A454" s="1639"/>
      <c r="B454" s="1665"/>
      <c r="C454" s="1639" t="s">
        <v>1306</v>
      </c>
      <c r="D454" s="1660" t="s">
        <v>10</v>
      </c>
      <c r="E454" s="1649">
        <v>1.2</v>
      </c>
      <c r="F454" s="1649">
        <f>E454*9</f>
        <v>10.799999999999999</v>
      </c>
      <c r="G454" s="1649">
        <v>1.1299999999999999</v>
      </c>
      <c r="H454" s="1661">
        <f>G454*F454</f>
        <v>12.203999999999997</v>
      </c>
      <c r="I454" s="1649">
        <f>'Lead- Input sheet '!R10/1000</f>
        <v>69.62</v>
      </c>
      <c r="J454" s="1649">
        <f>H454*I454</f>
        <v>849.64247999999986</v>
      </c>
      <c r="K454" s="1512"/>
    </row>
    <row r="455" spans="1:11" ht="14.4" hidden="1">
      <c r="A455" s="1639"/>
      <c r="B455" s="1665"/>
      <c r="C455" s="1654" t="s">
        <v>230</v>
      </c>
      <c r="D455" s="1660"/>
      <c r="E455" s="1649"/>
      <c r="F455" s="1661"/>
      <c r="G455" s="1661"/>
      <c r="H455" s="1666">
        <v>1</v>
      </c>
      <c r="I455" s="1649">
        <v>50</v>
      </c>
      <c r="J455" s="1649">
        <f>H455*I455</f>
        <v>50</v>
      </c>
      <c r="K455" s="1512"/>
    </row>
    <row r="456" spans="1:11" ht="14.4" hidden="1">
      <c r="A456" s="1639"/>
      <c r="B456" s="1665"/>
      <c r="C456" s="1654"/>
      <c r="D456" s="1660"/>
      <c r="E456" s="1649"/>
      <c r="F456" s="1661"/>
      <c r="G456" s="1661"/>
      <c r="H456" s="1661"/>
      <c r="I456" s="1649"/>
      <c r="J456" s="1649">
        <f>SUM(J448:J455)</f>
        <v>4707.91248</v>
      </c>
      <c r="K456" s="1512"/>
    </row>
    <row r="457" spans="1:11" ht="14.4" hidden="1">
      <c r="A457" s="1639"/>
      <c r="B457" s="1667"/>
      <c r="C457" s="1654" t="s">
        <v>1600</v>
      </c>
      <c r="D457" s="1664"/>
      <c r="E457" s="1658"/>
      <c r="F457" s="1662"/>
      <c r="G457" s="1662"/>
      <c r="H457" s="1662">
        <f>'Lead- Input sheet '!Q32</f>
        <v>0</v>
      </c>
      <c r="I457" s="1658">
        <f>J456</f>
        <v>4707.91248</v>
      </c>
      <c r="J457" s="1649">
        <f>H457*I457</f>
        <v>0</v>
      </c>
      <c r="K457" s="1512"/>
    </row>
    <row r="458" spans="1:11" ht="14.4" hidden="1">
      <c r="A458" s="1639"/>
      <c r="B458" s="1667"/>
      <c r="C458" s="1639" t="s">
        <v>12</v>
      </c>
      <c r="D458" s="1664"/>
      <c r="E458" s="1658"/>
      <c r="F458" s="1662"/>
      <c r="G458" s="1662"/>
      <c r="H458" s="1662"/>
      <c r="I458" s="1658" t="s">
        <v>416</v>
      </c>
      <c r="J458" s="1658">
        <f>SUM(J456:J457)</f>
        <v>4707.91248</v>
      </c>
      <c r="K458" s="1512"/>
    </row>
    <row r="459" spans="1:11" ht="14.4" hidden="1">
      <c r="A459" s="1639"/>
      <c r="B459" s="1667"/>
      <c r="C459" s="1639" t="s">
        <v>13</v>
      </c>
      <c r="D459" s="1664"/>
      <c r="E459" s="1658"/>
      <c r="F459" s="1662"/>
      <c r="G459" s="1662"/>
      <c r="H459" s="1662"/>
      <c r="I459" s="1658" t="s">
        <v>416</v>
      </c>
      <c r="J459" s="1658">
        <f>J445-J458</f>
        <v>4777.5800000000008</v>
      </c>
      <c r="K459" s="1512"/>
    </row>
    <row r="460" spans="1:11" ht="14.4" hidden="1">
      <c r="A460" s="1639"/>
      <c r="B460" s="1639"/>
      <c r="C460" s="1654"/>
      <c r="D460" s="1640"/>
      <c r="E460" s="1649"/>
      <c r="F460" s="1643"/>
      <c r="G460" s="1643"/>
      <c r="H460" s="1643"/>
      <c r="I460" s="1652"/>
      <c r="J460" s="1652"/>
      <c r="K460" s="1512"/>
    </row>
    <row r="461" spans="1:11" ht="14.4" hidden="1">
      <c r="A461" s="1659"/>
      <c r="B461" s="1639"/>
      <c r="C461" s="1654"/>
      <c r="D461" s="1640"/>
      <c r="E461" s="1644"/>
      <c r="F461" s="1643"/>
      <c r="G461" s="1643"/>
      <c r="H461" s="1643"/>
      <c r="I461" s="1652"/>
      <c r="J461" s="1652"/>
      <c r="K461" s="1512"/>
    </row>
    <row r="462" spans="1:11" ht="57.6" hidden="1">
      <c r="A462" s="1639"/>
      <c r="B462" s="1659">
        <v>8</v>
      </c>
      <c r="C462" s="1639" t="s">
        <v>1835</v>
      </c>
      <c r="D462" s="1660"/>
      <c r="E462" s="1649"/>
      <c r="F462" s="1661"/>
      <c r="G462" s="1661"/>
      <c r="H462" s="1661"/>
      <c r="I462" s="1649"/>
      <c r="J462" s="1649"/>
      <c r="K462" s="1512"/>
    </row>
    <row r="463" spans="1:11" ht="14.4" hidden="1">
      <c r="A463" s="1639"/>
      <c r="B463" s="1665"/>
      <c r="C463" s="1639" t="s">
        <v>1778</v>
      </c>
      <c r="D463" s="1660"/>
      <c r="E463" s="1649"/>
      <c r="F463" s="1661"/>
      <c r="G463" s="1661"/>
      <c r="H463" s="1661"/>
      <c r="I463" s="1649"/>
      <c r="J463" s="1649"/>
      <c r="K463" s="1512"/>
    </row>
    <row r="464" spans="1:11" ht="14.4" hidden="1">
      <c r="A464" s="1639"/>
      <c r="B464" s="1665"/>
      <c r="C464" s="1654" t="s">
        <v>848</v>
      </c>
      <c r="D464" s="1660"/>
      <c r="E464" s="1649"/>
      <c r="F464" s="1661"/>
      <c r="G464" s="1661"/>
      <c r="H464" s="1661"/>
      <c r="I464" s="1649"/>
      <c r="J464" s="1649"/>
      <c r="K464" s="1512"/>
    </row>
    <row r="465" spans="1:11" ht="14.4" hidden="1">
      <c r="A465" s="1639"/>
      <c r="B465" s="1665"/>
      <c r="C465" s="1654" t="s">
        <v>780</v>
      </c>
      <c r="D465" s="1660">
        <v>3</v>
      </c>
      <c r="E465" s="1649">
        <v>0.3</v>
      </c>
      <c r="F465" s="1661">
        <v>6.5000000000000002E-2</v>
      </c>
      <c r="G465" s="1661">
        <v>7.4999999999999997E-2</v>
      </c>
      <c r="H465" s="1661">
        <f>ROUND(D465*E465*F465*G465,3)</f>
        <v>4.0000000000000001E-3</v>
      </c>
      <c r="I465" s="1649">
        <v>44785</v>
      </c>
      <c r="J465" s="1649">
        <f>ROUND(H465*I465,2)</f>
        <v>179.14</v>
      </c>
      <c r="K465" s="1512"/>
    </row>
    <row r="466" spans="1:11" ht="14.4" hidden="1">
      <c r="A466" s="1639"/>
      <c r="B466" s="1665"/>
      <c r="C466" s="1654" t="s">
        <v>781</v>
      </c>
      <c r="D466" s="1660">
        <v>2</v>
      </c>
      <c r="E466" s="1649">
        <v>0.6</v>
      </c>
      <c r="F466" s="1661">
        <v>6.5000000000000002E-2</v>
      </c>
      <c r="G466" s="1661">
        <v>7.4999999999999997E-2</v>
      </c>
      <c r="H466" s="1661">
        <f>ROUND(D466*E466*F466*G466,3)</f>
        <v>6.0000000000000001E-3</v>
      </c>
      <c r="I466" s="1649">
        <v>44785</v>
      </c>
      <c r="J466" s="1649">
        <f>ROUND(H466*I466,2)</f>
        <v>268.70999999999998</v>
      </c>
      <c r="K466" s="1512"/>
    </row>
    <row r="467" spans="1:11" ht="14.4" hidden="1">
      <c r="A467" s="1639"/>
      <c r="B467" s="1665"/>
      <c r="C467" s="1654" t="s">
        <v>1482</v>
      </c>
      <c r="D467" s="1660"/>
      <c r="E467" s="1649"/>
      <c r="F467" s="1661"/>
      <c r="G467" s="1661"/>
      <c r="H467" s="1661">
        <f>SUM(H465:H466)</f>
        <v>0.01</v>
      </c>
      <c r="I467" s="1649">
        <f>I450</f>
        <v>19572.5</v>
      </c>
      <c r="J467" s="1649">
        <f>ROUND(H467*I467,2)</f>
        <v>195.73</v>
      </c>
      <c r="K467" s="1512"/>
    </row>
    <row r="468" spans="1:11" ht="14.4" hidden="1">
      <c r="A468" s="1639"/>
      <c r="B468" s="1665"/>
      <c r="C468" s="1654" t="s">
        <v>1484</v>
      </c>
      <c r="D468" s="1660">
        <v>2.25</v>
      </c>
      <c r="E468" s="1649">
        <v>0.6</v>
      </c>
      <c r="F468" s="1661"/>
      <c r="G468" s="1649">
        <v>0.3</v>
      </c>
      <c r="H468" s="1661">
        <f>ROUND(G468*E468*D468,2)</f>
        <v>0.41</v>
      </c>
      <c r="I468" s="1649">
        <f>I453</f>
        <v>577.61900000000003</v>
      </c>
      <c r="J468" s="1649">
        <f>ROUND(H468*I468/10,2)</f>
        <v>23.68</v>
      </c>
      <c r="K468" s="1512"/>
    </row>
    <row r="469" spans="1:11" ht="14.4" hidden="1">
      <c r="A469" s="1639"/>
      <c r="B469" s="1665"/>
      <c r="C469" s="1639" t="s">
        <v>1779</v>
      </c>
      <c r="D469" s="1660" t="s">
        <v>1780</v>
      </c>
      <c r="E469" s="1649">
        <v>0.6</v>
      </c>
      <c r="F469" s="1649">
        <f>E469*2</f>
        <v>1.2</v>
      </c>
      <c r="G469" s="1649">
        <v>0.62</v>
      </c>
      <c r="H469" s="1661">
        <f>G469*F469</f>
        <v>0.74399999999999999</v>
      </c>
      <c r="I469" s="1649">
        <f>I454</f>
        <v>69.62</v>
      </c>
      <c r="J469" s="1649">
        <f>H469*I469</f>
        <v>51.797280000000001</v>
      </c>
      <c r="K469" s="1512"/>
    </row>
    <row r="470" spans="1:11" ht="14.4" hidden="1">
      <c r="A470" s="1639"/>
      <c r="B470" s="1665"/>
      <c r="C470" s="1654"/>
      <c r="D470" s="1660"/>
      <c r="E470" s="1649"/>
      <c r="F470" s="1661"/>
      <c r="G470" s="1661"/>
      <c r="H470" s="1661"/>
      <c r="I470" s="1649"/>
      <c r="J470" s="1649">
        <f>SUM(J465:J469)</f>
        <v>719.05727999999988</v>
      </c>
      <c r="K470" s="1512"/>
    </row>
    <row r="471" spans="1:11" ht="14.4" hidden="1">
      <c r="A471" s="1639"/>
      <c r="B471" s="1667"/>
      <c r="C471" s="1654" t="s">
        <v>1600</v>
      </c>
      <c r="D471" s="1664"/>
      <c r="E471" s="1658"/>
      <c r="F471" s="1662"/>
      <c r="G471" s="1662"/>
      <c r="H471" s="1662">
        <f>'Lead- Input sheet '!Q75</f>
        <v>0</v>
      </c>
      <c r="I471" s="1658">
        <f>J470</f>
        <v>719.05727999999988</v>
      </c>
      <c r="J471" s="1658">
        <f>ROUND(H471*I471,2)</f>
        <v>0</v>
      </c>
      <c r="K471" s="1512"/>
    </row>
    <row r="472" spans="1:11" ht="14.4" hidden="1">
      <c r="A472" s="1639"/>
      <c r="B472" s="1667"/>
      <c r="C472" s="1639" t="s">
        <v>256</v>
      </c>
      <c r="D472" s="1664"/>
      <c r="E472" s="1658"/>
      <c r="F472" s="1662"/>
      <c r="G472" s="1662"/>
      <c r="H472" s="1662"/>
      <c r="I472" s="1658" t="s">
        <v>416</v>
      </c>
      <c r="J472" s="1658">
        <f>SUM(J470:J471)</f>
        <v>719.05727999999988</v>
      </c>
      <c r="K472" s="1512"/>
    </row>
    <row r="473" spans="1:11" ht="14.4" hidden="1">
      <c r="A473" s="1659"/>
      <c r="B473" s="1639"/>
      <c r="C473" s="1654"/>
      <c r="D473" s="1640"/>
      <c r="E473" s="1644"/>
      <c r="F473" s="1643"/>
      <c r="G473" s="1643"/>
      <c r="H473" s="1643"/>
      <c r="I473" s="1652"/>
      <c r="J473" s="1652"/>
      <c r="K473" s="1512"/>
    </row>
    <row r="474" spans="1:11" ht="129.6" hidden="1">
      <c r="A474" s="1659"/>
      <c r="B474" s="1639"/>
      <c r="C474" s="1654" t="s">
        <v>2264</v>
      </c>
      <c r="D474" s="1640"/>
      <c r="E474" s="1644"/>
      <c r="F474" s="1643"/>
      <c r="G474" s="1643"/>
      <c r="H474" s="1643"/>
      <c r="I474" s="1652"/>
      <c r="J474" s="1652"/>
      <c r="K474" s="1512"/>
    </row>
    <row r="475" spans="1:11" ht="14.4" hidden="1">
      <c r="A475" s="1659"/>
      <c r="B475" s="1639"/>
      <c r="C475" s="1654"/>
      <c r="D475" s="1640"/>
      <c r="E475" s="1644"/>
      <c r="F475" s="1643"/>
      <c r="G475" s="1643"/>
      <c r="H475" s="1643"/>
      <c r="I475" s="1652"/>
      <c r="J475" s="1652"/>
      <c r="K475" s="1512"/>
    </row>
    <row r="476" spans="1:11" ht="57.6" hidden="1">
      <c r="A476" s="1639"/>
      <c r="B476" s="1659">
        <v>8</v>
      </c>
      <c r="C476" s="1639" t="s">
        <v>3162</v>
      </c>
      <c r="D476" s="1660"/>
      <c r="E476" s="1649"/>
      <c r="F476" s="1661"/>
      <c r="G476" s="1661"/>
      <c r="H476" s="1661"/>
      <c r="I476" s="1649"/>
      <c r="J476" s="1649"/>
      <c r="K476" s="1512"/>
    </row>
    <row r="477" spans="1:11" ht="14.4" hidden="1">
      <c r="A477" s="1639"/>
      <c r="B477" s="1665"/>
      <c r="C477" s="1639" t="s">
        <v>2988</v>
      </c>
      <c r="D477" s="1660"/>
      <c r="E477" s="1658">
        <v>0.6</v>
      </c>
      <c r="F477" s="1662">
        <v>0.6</v>
      </c>
      <c r="G477" s="1661"/>
      <c r="H477" s="1661"/>
      <c r="I477" s="1649"/>
      <c r="J477" s="1649"/>
      <c r="K477" s="1512"/>
    </row>
    <row r="478" spans="1:11" ht="14.4" hidden="1">
      <c r="A478" s="1639"/>
      <c r="B478" s="1665"/>
      <c r="C478" s="1654" t="s">
        <v>848</v>
      </c>
      <c r="D478" s="1660"/>
      <c r="E478" s="1649"/>
      <c r="F478" s="1661"/>
      <c r="G478" s="1661"/>
      <c r="H478" s="1661"/>
      <c r="I478" s="1649"/>
      <c r="J478" s="1649"/>
      <c r="K478" s="1512"/>
    </row>
    <row r="479" spans="1:11" ht="14.4" hidden="1">
      <c r="A479" s="1639"/>
      <c r="B479" s="1665"/>
      <c r="C479" s="1654" t="s">
        <v>780</v>
      </c>
      <c r="D479" s="1660">
        <v>3</v>
      </c>
      <c r="E479" s="1649">
        <f>+F477</f>
        <v>0.6</v>
      </c>
      <c r="F479" s="1661">
        <v>6.5000000000000002E-2</v>
      </c>
      <c r="G479" s="1661">
        <v>7.4999999999999997E-2</v>
      </c>
      <c r="H479" s="1661">
        <f>ROUND(D479*E479*F479*G479,3)</f>
        <v>8.9999999999999993E-3</v>
      </c>
      <c r="I479" s="1649">
        <f>I29</f>
        <v>50775</v>
      </c>
      <c r="J479" s="1649">
        <f>ROUND(H479*I479,2)</f>
        <v>456.98</v>
      </c>
      <c r="K479" s="1512"/>
    </row>
    <row r="480" spans="1:11" ht="14.4" hidden="1">
      <c r="A480" s="1639"/>
      <c r="B480" s="1665"/>
      <c r="C480" s="1654" t="s">
        <v>781</v>
      </c>
      <c r="D480" s="1660">
        <v>2</v>
      </c>
      <c r="E480" s="1649">
        <f>+E477+2*0.075</f>
        <v>0.75</v>
      </c>
      <c r="F480" s="1661">
        <v>6.5000000000000002E-2</v>
      </c>
      <c r="G480" s="1661">
        <v>7.4999999999999997E-2</v>
      </c>
      <c r="H480" s="1661">
        <f>ROUND(D480*E480*F480*G480,3)</f>
        <v>7.0000000000000001E-3</v>
      </c>
      <c r="I480" s="1649">
        <f>I30</f>
        <v>50775</v>
      </c>
      <c r="J480" s="1649">
        <f>ROUND(H480*I480,2)</f>
        <v>355.43</v>
      </c>
      <c r="K480" s="1512"/>
    </row>
    <row r="481" spans="1:13" ht="43.2" hidden="1">
      <c r="A481" s="1639"/>
      <c r="B481" s="1665"/>
      <c r="C481" s="1654" t="s">
        <v>2983</v>
      </c>
      <c r="D481" s="1640">
        <f>1/3</f>
        <v>0.33333333333333331</v>
      </c>
      <c r="E481" s="1649">
        <f>+E477</f>
        <v>0.6</v>
      </c>
      <c r="F481" s="1661">
        <f>+F477</f>
        <v>0.6</v>
      </c>
      <c r="G481" s="1661"/>
      <c r="H481" s="1661">
        <f>+D481*E481*F481</f>
        <v>0.11999999999999998</v>
      </c>
      <c r="I481" s="1649">
        <f>I90</f>
        <v>2239</v>
      </c>
      <c r="J481" s="1649">
        <f>ROUND(H481*I481,2)</f>
        <v>268.68</v>
      </c>
      <c r="K481" s="1512"/>
    </row>
    <row r="482" spans="1:13" ht="14.4" hidden="1">
      <c r="A482" s="1639"/>
      <c r="B482" s="1665"/>
      <c r="C482" s="1639" t="s">
        <v>1779</v>
      </c>
      <c r="D482" s="1660">
        <f>+ROUND(((E477/0.08)-2),0)</f>
        <v>6</v>
      </c>
      <c r="E482" s="1649">
        <f>+E477</f>
        <v>0.6</v>
      </c>
      <c r="F482" s="1649"/>
      <c r="G482" s="1649">
        <f>10*0.0617283950617284</f>
        <v>0.61728395061728403</v>
      </c>
      <c r="H482" s="1661">
        <f>+D482*E482*G482</f>
        <v>2.2222222222222223</v>
      </c>
      <c r="I482" s="1649">
        <f>Datas!G1054</f>
        <v>116.62</v>
      </c>
      <c r="J482" s="1649">
        <f>H482*I482</f>
        <v>259.15555555555557</v>
      </c>
      <c r="K482" s="1512">
        <f>16*16/162</f>
        <v>1.5802469135802468</v>
      </c>
    </row>
    <row r="483" spans="1:13" ht="14.4" hidden="1">
      <c r="A483" s="1639"/>
      <c r="B483" s="1665"/>
      <c r="C483" s="1654"/>
      <c r="D483" s="1660"/>
      <c r="E483" s="1649"/>
      <c r="F483" s="1661"/>
      <c r="G483" s="1661"/>
      <c r="H483" s="1661"/>
      <c r="I483" s="1649"/>
      <c r="J483" s="1649">
        <f>SUM(J479:J482)</f>
        <v>1340.2455555555557</v>
      </c>
      <c r="K483" s="1512"/>
      <c r="M483" s="1470">
        <f>8/100</f>
        <v>0.08</v>
      </c>
    </row>
    <row r="484" spans="1:13" ht="14.4" hidden="1">
      <c r="A484" s="1639"/>
      <c r="B484" s="1667"/>
      <c r="C484" s="1654" t="s">
        <v>1600</v>
      </c>
      <c r="D484" s="1664"/>
      <c r="E484" s="1658"/>
      <c r="F484" s="1662"/>
      <c r="G484" s="1662"/>
      <c r="H484" s="1662">
        <f>'Lead- Input sheet '!Q129</f>
        <v>0</v>
      </c>
      <c r="I484" s="1658">
        <f>J483</f>
        <v>1340.2455555555557</v>
      </c>
      <c r="J484" s="1658">
        <f>ROUND(H484*I484,2)</f>
        <v>0</v>
      </c>
      <c r="K484" s="1512"/>
    </row>
    <row r="485" spans="1:13" ht="14.4" hidden="1">
      <c r="A485" s="1639"/>
      <c r="B485" s="1667"/>
      <c r="C485" s="1639" t="s">
        <v>256</v>
      </c>
      <c r="D485" s="1664"/>
      <c r="E485" s="1658"/>
      <c r="F485" s="1662"/>
      <c r="G485" s="1662"/>
      <c r="H485" s="1662"/>
      <c r="I485" s="1658" t="s">
        <v>416</v>
      </c>
      <c r="J485" s="1658">
        <f>SUM(J483:J484)</f>
        <v>1340.2455555555557</v>
      </c>
      <c r="K485" s="1512"/>
    </row>
    <row r="486" spans="1:13" ht="14.4" hidden="1">
      <c r="A486" s="1659"/>
      <c r="B486" s="1639"/>
      <c r="C486" s="1654"/>
      <c r="D486" s="1640"/>
      <c r="E486" s="1644"/>
      <c r="F486" s="1643"/>
      <c r="G486" s="1643"/>
      <c r="H486" s="1643"/>
      <c r="I486" s="1652"/>
      <c r="J486" s="1652"/>
      <c r="K486" s="1512"/>
    </row>
    <row r="487" spans="1:13" ht="14.4" hidden="1">
      <c r="A487" s="1659"/>
      <c r="B487" s="1639"/>
      <c r="C487" s="1654"/>
      <c r="D487" s="1640"/>
      <c r="E487" s="1644"/>
      <c r="F487" s="1643"/>
      <c r="G487" s="1643"/>
      <c r="H487" s="1643"/>
      <c r="I487" s="1652"/>
      <c r="J487" s="1652"/>
      <c r="K487" s="1512"/>
    </row>
    <row r="488" spans="1:13" ht="14.4">
      <c r="A488" s="1659"/>
      <c r="B488" s="1625">
        <v>1</v>
      </c>
      <c r="C488" s="2656" t="s">
        <v>3059</v>
      </c>
      <c r="D488" s="2656"/>
      <c r="E488" s="2656"/>
      <c r="F488" s="2656"/>
      <c r="G488" s="2656"/>
      <c r="H488" s="1626"/>
      <c r="I488" s="1652"/>
      <c r="J488" s="1652"/>
      <c r="K488" s="1512"/>
    </row>
    <row r="489" spans="1:13" ht="14.4">
      <c r="A489" s="1659"/>
      <c r="B489" s="1625"/>
      <c r="C489" s="1627" t="s">
        <v>3060</v>
      </c>
      <c r="D489" s="1626" t="s">
        <v>3061</v>
      </c>
      <c r="E489" s="1644"/>
      <c r="F489" s="1643"/>
      <c r="G489" s="1628">
        <v>777</v>
      </c>
      <c r="H489" s="1626">
        <v>1</v>
      </c>
      <c r="I489" s="1626" t="s">
        <v>495</v>
      </c>
      <c r="J489" s="1628">
        <f>G489</f>
        <v>777</v>
      </c>
      <c r="K489" s="1512">
        <f>0.6/0.1</f>
        <v>5.9999999999999991</v>
      </c>
    </row>
    <row r="490" spans="1:13" ht="14.4">
      <c r="A490" s="1659"/>
      <c r="B490" s="1625"/>
      <c r="C490" s="1627"/>
      <c r="D490" s="1626" t="s">
        <v>3062</v>
      </c>
      <c r="E490" s="1644"/>
      <c r="F490" s="1643"/>
      <c r="G490" s="1629">
        <v>0</v>
      </c>
      <c r="H490" s="1626"/>
      <c r="I490" s="1626"/>
      <c r="J490" s="1628">
        <f>ROUND(J489*G490,2)</f>
        <v>0</v>
      </c>
      <c r="K490" s="1512"/>
    </row>
    <row r="491" spans="1:13" ht="14.4">
      <c r="A491" s="1659"/>
      <c r="B491" s="1625"/>
      <c r="C491" s="1627"/>
      <c r="D491" s="1626" t="s">
        <v>3063</v>
      </c>
      <c r="E491" s="1644"/>
      <c r="F491" s="1643"/>
      <c r="G491" s="1626"/>
      <c r="H491" s="1626"/>
      <c r="I491" s="1626"/>
      <c r="J491" s="1630">
        <f>CEILING(J489+J490,0.05)</f>
        <v>777</v>
      </c>
      <c r="K491" s="1512"/>
    </row>
    <row r="492" spans="1:13" ht="14.4">
      <c r="A492" s="1659"/>
      <c r="B492" s="1625">
        <v>2</v>
      </c>
      <c r="C492" s="2656" t="s">
        <v>3064</v>
      </c>
      <c r="D492" s="2656"/>
      <c r="E492" s="2656"/>
      <c r="F492" s="2656"/>
      <c r="G492" s="2656"/>
      <c r="H492" s="1626"/>
      <c r="I492" s="1652"/>
      <c r="J492" s="1652"/>
      <c r="K492" s="1512"/>
    </row>
    <row r="493" spans="1:13" ht="14.4">
      <c r="A493" s="1659"/>
      <c r="B493" s="1631"/>
      <c r="C493" s="1632"/>
      <c r="D493" s="1633"/>
      <c r="E493" s="1634"/>
      <c r="F493" s="1633"/>
      <c r="G493" s="1633"/>
      <c r="H493" s="1634"/>
      <c r="I493" s="1652"/>
      <c r="J493" s="1652"/>
      <c r="K493" s="1512"/>
    </row>
    <row r="494" spans="1:13" ht="43.2">
      <c r="A494" s="1659"/>
      <c r="B494" s="1632" t="s">
        <v>3065</v>
      </c>
      <c r="C494" s="1668" t="s">
        <v>3066</v>
      </c>
      <c r="D494" s="1669" t="s">
        <v>3067</v>
      </c>
      <c r="E494" s="1670">
        <v>1.17</v>
      </c>
      <c r="F494" s="1671">
        <v>2138</v>
      </c>
      <c r="G494" s="1672" t="s">
        <v>1478</v>
      </c>
      <c r="H494" s="1671">
        <f t="shared" ref="H494:H499" si="31">E494*F494:F494</f>
        <v>2501.46</v>
      </c>
      <c r="I494" s="1652"/>
      <c r="J494" s="1652"/>
      <c r="K494" s="1512">
        <f>0.6*1.95</f>
        <v>1.17</v>
      </c>
      <c r="L494" s="1470">
        <f>0.75-0.6</f>
        <v>0.15000000000000002</v>
      </c>
    </row>
    <row r="495" spans="1:13" ht="43.2">
      <c r="A495" s="1659"/>
      <c r="B495" s="1673"/>
      <c r="C495" s="1668" t="s">
        <v>1160</v>
      </c>
      <c r="D495" s="1669" t="s">
        <v>3068</v>
      </c>
      <c r="E495" s="1670">
        <v>1.05</v>
      </c>
      <c r="F495" s="1671">
        <v>611</v>
      </c>
      <c r="G495" s="1672" t="s">
        <v>1478</v>
      </c>
      <c r="H495" s="1671">
        <f t="shared" si="31"/>
        <v>641.55000000000007</v>
      </c>
      <c r="I495" s="1652"/>
      <c r="J495" s="1652"/>
      <c r="K495" s="1512"/>
      <c r="L495" s="1470">
        <f>1.95-2.1</f>
        <v>-0.15000000000000013</v>
      </c>
    </row>
    <row r="496" spans="1:13" ht="28.8">
      <c r="A496" s="1659"/>
      <c r="B496" s="1673"/>
      <c r="C496" s="1668" t="s">
        <v>3069</v>
      </c>
      <c r="D496" s="1669" t="s">
        <v>3070</v>
      </c>
      <c r="E496" s="1674">
        <v>6</v>
      </c>
      <c r="F496" s="1671">
        <v>38</v>
      </c>
      <c r="G496" s="1672" t="s">
        <v>856</v>
      </c>
      <c r="H496" s="1671">
        <f t="shared" si="31"/>
        <v>228</v>
      </c>
      <c r="I496" s="1652"/>
      <c r="J496" s="1652"/>
      <c r="K496" s="1512"/>
    </row>
    <row r="497" spans="1:11" ht="28.8">
      <c r="A497" s="1659"/>
      <c r="B497" s="1673"/>
      <c r="C497" s="1668" t="s">
        <v>3071</v>
      </c>
      <c r="D497" s="1669" t="s">
        <v>3072</v>
      </c>
      <c r="E497" s="1674">
        <v>2</v>
      </c>
      <c r="F497" s="1671">
        <v>42</v>
      </c>
      <c r="G497" s="1672" t="s">
        <v>856</v>
      </c>
      <c r="H497" s="1671">
        <f t="shared" si="31"/>
        <v>84</v>
      </c>
      <c r="I497" s="1652"/>
      <c r="J497" s="1652"/>
      <c r="K497" s="1512"/>
    </row>
    <row r="498" spans="1:11" ht="28.8">
      <c r="A498" s="1659"/>
      <c r="B498" s="1673"/>
      <c r="C498" s="1668" t="s">
        <v>3073</v>
      </c>
      <c r="D498" s="1669" t="s">
        <v>3152</v>
      </c>
      <c r="E498" s="1674">
        <v>1</v>
      </c>
      <c r="F498" s="1671">
        <v>196</v>
      </c>
      <c r="G498" s="1672" t="s">
        <v>856</v>
      </c>
      <c r="H498" s="1671">
        <f t="shared" si="31"/>
        <v>196</v>
      </c>
      <c r="I498" s="1652"/>
      <c r="J498" s="1652"/>
      <c r="K498" s="1512"/>
    </row>
    <row r="499" spans="1:11" ht="28.8">
      <c r="A499" s="1659"/>
      <c r="B499" s="1673"/>
      <c r="C499" s="1668" t="s">
        <v>3074</v>
      </c>
      <c r="D499" s="1669" t="s">
        <v>3075</v>
      </c>
      <c r="E499" s="1674">
        <v>2</v>
      </c>
      <c r="F499" s="1671">
        <v>54</v>
      </c>
      <c r="G499" s="1672" t="s">
        <v>856</v>
      </c>
      <c r="H499" s="1671">
        <f t="shared" si="31"/>
        <v>108</v>
      </c>
      <c r="I499" s="1652"/>
      <c r="J499" s="1652"/>
      <c r="K499" s="1512"/>
    </row>
    <row r="500" spans="1:11" ht="14.4">
      <c r="A500" s="1659"/>
      <c r="B500" s="1631"/>
      <c r="C500" s="1632"/>
      <c r="D500" s="1633"/>
      <c r="E500" s="1634"/>
      <c r="F500" s="1633"/>
      <c r="G500" s="1633"/>
      <c r="H500" s="1634"/>
      <c r="I500" s="1652"/>
      <c r="J500" s="1652"/>
      <c r="K500" s="1512"/>
    </row>
    <row r="501" spans="1:11" ht="14.4">
      <c r="A501" s="1659"/>
      <c r="B501" s="1631"/>
      <c r="C501" s="1632"/>
      <c r="D501" s="1633"/>
      <c r="E501" s="1634"/>
      <c r="F501" s="1633"/>
      <c r="G501" s="1633"/>
      <c r="H501" s="1634"/>
      <c r="I501" s="1652"/>
      <c r="J501" s="1652"/>
      <c r="K501" s="1512"/>
    </row>
    <row r="502" spans="1:11" ht="14.4">
      <c r="A502" s="1659"/>
      <c r="B502" s="1631"/>
      <c r="C502" s="1632"/>
      <c r="D502" s="1633" t="s">
        <v>3062</v>
      </c>
      <c r="E502" s="1635">
        <v>0</v>
      </c>
      <c r="F502" s="1633"/>
      <c r="G502" s="1633"/>
      <c r="H502" s="1634"/>
      <c r="I502" s="1652"/>
      <c r="J502" s="1652"/>
      <c r="K502" s="1512"/>
    </row>
    <row r="503" spans="1:11" ht="14.4">
      <c r="A503" s="1659"/>
      <c r="B503" s="1631"/>
      <c r="C503" s="1632"/>
      <c r="D503" s="1633" t="s">
        <v>3076</v>
      </c>
      <c r="E503" s="1633"/>
      <c r="F503" s="1633"/>
      <c r="G503" s="1633"/>
      <c r="H503" s="1636">
        <f>SUM(H494:H502)</f>
        <v>3759.01</v>
      </c>
      <c r="I503" s="1652"/>
      <c r="J503" s="1652"/>
      <c r="K503" s="1512"/>
    </row>
    <row r="504" spans="1:11" ht="14.4">
      <c r="A504" s="1659"/>
      <c r="B504" s="1639"/>
      <c r="C504" s="1654"/>
      <c r="D504" s="1640"/>
      <c r="E504" s="1644"/>
      <c r="F504" s="1643"/>
      <c r="G504" s="1643"/>
      <c r="H504" s="1643"/>
      <c r="I504" s="1652"/>
      <c r="J504" s="1652"/>
      <c r="K504" s="1512"/>
    </row>
    <row r="505" spans="1:11">
      <c r="A505" s="1531"/>
      <c r="B505" s="1532"/>
      <c r="C505" s="1533"/>
      <c r="D505" s="1516"/>
      <c r="E505" s="1506"/>
      <c r="F505" s="1507"/>
      <c r="G505" s="1507"/>
      <c r="H505" s="1507"/>
      <c r="I505" s="1537"/>
      <c r="J505" s="1537"/>
    </row>
    <row r="506" spans="1:11">
      <c r="C506" s="2657"/>
      <c r="D506" s="2658"/>
      <c r="E506" s="2658"/>
      <c r="F506" s="2658"/>
      <c r="G506" s="2659"/>
      <c r="H506" s="1509"/>
    </row>
    <row r="507" spans="1:11" ht="15.6">
      <c r="C507" s="1510"/>
    </row>
  </sheetData>
  <mergeCells count="5">
    <mergeCell ref="C492:G492"/>
    <mergeCell ref="C506:G506"/>
    <mergeCell ref="A1:J1"/>
    <mergeCell ref="A2:J2"/>
    <mergeCell ref="C488:G488"/>
  </mergeCells>
  <printOptions horizontalCentered="1"/>
  <pageMargins left="0.23622047244094491" right="0.11811023622047245" top="0.39370078740157483" bottom="0.39370078740157483" header="0.23622047244094491" footer="0.15748031496062992"/>
  <pageSetup paperSize="9" scale="60" orientation="portrait" r:id="rId1"/>
  <headerFooter alignWithMargins="0">
    <oddFooter>&amp;RPage &amp;P of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rgb="FFC4BD97"/>
  </sheetPr>
  <dimension ref="A1:IV482"/>
  <sheetViews>
    <sheetView view="pageBreakPreview" zoomScale="85" zoomScaleNormal="85" zoomScaleSheetLayoutView="85" workbookViewId="0">
      <pane ySplit="4" topLeftCell="A209" activePane="bottomLeft" state="frozen"/>
      <selection pane="bottomLeft" activeCell="A2" sqref="A2:J2"/>
    </sheetView>
  </sheetViews>
  <sheetFormatPr defaultColWidth="13.88671875" defaultRowHeight="12.9"/>
  <cols>
    <col min="1" max="1" width="6.44140625" style="170" customWidth="1"/>
    <col min="2" max="2" width="5.109375" style="56" customWidth="1"/>
    <col min="3" max="3" width="48.6640625" style="54" customWidth="1"/>
    <col min="4" max="4" width="4.5546875" style="20" customWidth="1"/>
    <col min="5" max="5" width="6.88671875" style="129" customWidth="1"/>
    <col min="6" max="6" width="7.109375" style="682" customWidth="1"/>
    <col min="7" max="7" width="9" style="682" customWidth="1"/>
    <col min="8" max="8" width="7.109375" style="682" customWidth="1"/>
    <col min="9" max="9" width="7.109375" style="105" customWidth="1"/>
    <col min="10" max="10" width="10.5546875" style="105" customWidth="1"/>
    <col min="11" max="11" width="44.6640625" style="25" customWidth="1"/>
    <col min="12" max="12" width="5.5546875" style="25" customWidth="1"/>
    <col min="13" max="13" width="6.5546875" style="25" customWidth="1"/>
    <col min="14" max="14" width="7.88671875" style="25" customWidth="1"/>
    <col min="15" max="15" width="10.33203125" style="25" customWidth="1"/>
    <col min="16" max="16" width="9.44140625" style="25" customWidth="1"/>
    <col min="17" max="17" width="8.109375" style="25" customWidth="1"/>
    <col min="18" max="256" width="13.88671875" style="25"/>
  </cols>
  <sheetData>
    <row r="1" spans="1:11" s="421" customFormat="1">
      <c r="A1" s="2664" t="s">
        <v>3160</v>
      </c>
      <c r="B1" s="2665"/>
      <c r="C1" s="2665"/>
      <c r="D1" s="2665"/>
      <c r="E1" s="2665"/>
      <c r="F1" s="2665"/>
      <c r="G1" s="2665"/>
      <c r="H1" s="2665"/>
      <c r="I1" s="2665"/>
      <c r="J1" s="2665"/>
    </row>
    <row r="2" spans="1:11">
      <c r="A2" s="2666" t="str">
        <f>'Lead- Input sheet '!A2</f>
        <v xml:space="preserve"> Construction of  Anganwadi Building at Jeedipally Thanda (V) of Kalwakurthy (M) of Nagarkurnool District </v>
      </c>
      <c r="B2" s="2667"/>
      <c r="C2" s="2667"/>
      <c r="D2" s="2667"/>
      <c r="E2" s="2667"/>
      <c r="F2" s="2667"/>
      <c r="G2" s="2667"/>
      <c r="H2" s="2667"/>
      <c r="I2" s="2667"/>
      <c r="J2" s="2667"/>
    </row>
    <row r="3" spans="1:11" s="426" customFormat="1" ht="25.8">
      <c r="A3" s="704" t="s">
        <v>926</v>
      </c>
      <c r="B3" s="422" t="s">
        <v>148</v>
      </c>
      <c r="C3" s="423" t="s">
        <v>517</v>
      </c>
      <c r="D3" s="326" t="s">
        <v>1035</v>
      </c>
      <c r="E3" s="424" t="s">
        <v>1417</v>
      </c>
      <c r="F3" s="678" t="s">
        <v>784</v>
      </c>
      <c r="G3" s="679" t="s">
        <v>785</v>
      </c>
      <c r="H3" s="679" t="s">
        <v>786</v>
      </c>
      <c r="I3" s="419" t="s">
        <v>1479</v>
      </c>
      <c r="J3" s="424" t="s">
        <v>150</v>
      </c>
      <c r="K3" s="425"/>
    </row>
    <row r="4" spans="1:11" s="396" customFormat="1">
      <c r="A4" s="701">
        <v>1</v>
      </c>
      <c r="B4" s="702">
        <v>2</v>
      </c>
      <c r="C4" s="702">
        <f>B4+1</f>
        <v>3</v>
      </c>
      <c r="D4" s="702">
        <f t="shared" ref="D4:J4" si="0">C4+1</f>
        <v>4</v>
      </c>
      <c r="E4" s="702">
        <f t="shared" si="0"/>
        <v>5</v>
      </c>
      <c r="F4" s="702">
        <f t="shared" si="0"/>
        <v>6</v>
      </c>
      <c r="G4" s="702">
        <f t="shared" si="0"/>
        <v>7</v>
      </c>
      <c r="H4" s="702">
        <f t="shared" si="0"/>
        <v>8</v>
      </c>
      <c r="I4" s="916">
        <f t="shared" si="0"/>
        <v>9</v>
      </c>
      <c r="J4" s="702">
        <f t="shared" si="0"/>
        <v>10</v>
      </c>
      <c r="K4" s="703"/>
    </row>
    <row r="5" spans="1:11" ht="33.299999999999997" hidden="1">
      <c r="A5" s="1556" t="s">
        <v>927</v>
      </c>
      <c r="B5" s="1557" t="s">
        <v>794</v>
      </c>
      <c r="C5" s="1558" t="s">
        <v>795</v>
      </c>
      <c r="D5" s="1559"/>
      <c r="E5" s="1560"/>
      <c r="F5" s="1561"/>
      <c r="G5" s="1562" t="s">
        <v>1284</v>
      </c>
      <c r="H5" s="1563"/>
      <c r="I5" s="1564">
        <f>'Lead- Input sheet '!Q31</f>
        <v>0</v>
      </c>
      <c r="J5" s="1564"/>
      <c r="K5" s="637"/>
    </row>
    <row r="6" spans="1:11" hidden="1">
      <c r="A6" s="1565"/>
      <c r="B6" s="1557"/>
      <c r="C6" s="1566" t="s">
        <v>1394</v>
      </c>
      <c r="D6" s="1559"/>
      <c r="E6" s="1560"/>
      <c r="F6" s="1561"/>
      <c r="G6" s="1562" t="s">
        <v>1285</v>
      </c>
      <c r="H6" s="1563"/>
      <c r="I6" s="1567">
        <f>'Lead- Input sheet '!Q32</f>
        <v>0</v>
      </c>
      <c r="J6" s="1564"/>
      <c r="K6" s="637"/>
    </row>
    <row r="7" spans="1:11" hidden="1">
      <c r="A7" s="1565"/>
      <c r="B7" s="1557"/>
      <c r="C7" s="1558" t="s">
        <v>1395</v>
      </c>
      <c r="D7" s="1559"/>
      <c r="E7" s="1560"/>
      <c r="F7" s="1561"/>
      <c r="G7" s="1568"/>
      <c r="H7" s="1563"/>
      <c r="I7" s="1564"/>
      <c r="J7" s="1564"/>
      <c r="K7" s="637"/>
    </row>
    <row r="8" spans="1:11" hidden="1">
      <c r="A8" s="1565"/>
      <c r="B8" s="1557"/>
      <c r="C8" s="1569" t="s">
        <v>1646</v>
      </c>
      <c r="D8" s="1559" t="s">
        <v>1417</v>
      </c>
      <c r="E8" s="1560">
        <v>0.7</v>
      </c>
      <c r="F8" s="1570">
        <v>167</v>
      </c>
      <c r="G8" s="1571">
        <f>E8*F8</f>
        <v>116.89999999999999</v>
      </c>
      <c r="H8" s="1563"/>
      <c r="I8" s="1564"/>
      <c r="J8" s="1564"/>
      <c r="K8" s="637"/>
    </row>
    <row r="9" spans="1:11" hidden="1">
      <c r="A9" s="1565"/>
      <c r="B9" s="1557"/>
      <c r="C9" s="1558" t="s">
        <v>653</v>
      </c>
      <c r="D9" s="1559"/>
      <c r="E9" s="1560"/>
      <c r="F9" s="1560"/>
      <c r="G9" s="1571"/>
      <c r="H9" s="1563"/>
      <c r="I9" s="1564"/>
      <c r="J9" s="1564"/>
      <c r="K9" s="637"/>
    </row>
    <row r="10" spans="1:11" hidden="1">
      <c r="A10" s="1565"/>
      <c r="B10" s="1557"/>
      <c r="C10" s="1569" t="s">
        <v>989</v>
      </c>
      <c r="D10" s="1559" t="s">
        <v>1047</v>
      </c>
      <c r="E10" s="1560">
        <v>0.7</v>
      </c>
      <c r="F10" s="1570">
        <f>'Lead- Input sheet '!R36</f>
        <v>650</v>
      </c>
      <c r="G10" s="1571">
        <f>E10*F10</f>
        <v>454.99999999999994</v>
      </c>
      <c r="H10" s="1563"/>
      <c r="I10" s="1564"/>
      <c r="J10" s="1564"/>
      <c r="K10" s="637"/>
    </row>
    <row r="11" spans="1:11" hidden="1">
      <c r="A11" s="1565"/>
      <c r="B11" s="1557"/>
      <c r="C11" s="1569" t="s">
        <v>1286</v>
      </c>
      <c r="D11" s="1559"/>
      <c r="E11" s="1560">
        <f>G10</f>
        <v>454.99999999999994</v>
      </c>
      <c r="F11" s="1570">
        <f>I5</f>
        <v>0</v>
      </c>
      <c r="G11" s="1571">
        <f>E11*F11</f>
        <v>0</v>
      </c>
      <c r="H11" s="1563"/>
      <c r="I11" s="1564"/>
      <c r="J11" s="1564"/>
      <c r="K11" s="637"/>
    </row>
    <row r="12" spans="1:11" hidden="1">
      <c r="A12" s="1565"/>
      <c r="B12" s="1557"/>
      <c r="C12" s="1569" t="s">
        <v>1166</v>
      </c>
      <c r="D12" s="1559"/>
      <c r="E12" s="1560">
        <v>0.01</v>
      </c>
      <c r="F12" s="1570">
        <f>SUM(G8:G11)</f>
        <v>571.9</v>
      </c>
      <c r="G12" s="1571">
        <f>E12*F12</f>
        <v>5.7190000000000003</v>
      </c>
      <c r="H12" s="1563"/>
      <c r="I12" s="1564"/>
      <c r="J12" s="1564"/>
      <c r="K12" s="637"/>
    </row>
    <row r="13" spans="1:11" hidden="1">
      <c r="A13" s="1565"/>
      <c r="B13" s="1557"/>
      <c r="C13" s="1558" t="s">
        <v>1398</v>
      </c>
      <c r="D13" s="1559"/>
      <c r="E13" s="1560"/>
      <c r="F13" s="1560"/>
      <c r="G13" s="1572">
        <f>SUM(G8:G12)</f>
        <v>577.61900000000003</v>
      </c>
      <c r="H13" s="1563"/>
      <c r="I13" s="1564"/>
      <c r="J13" s="1564"/>
      <c r="K13" s="637"/>
    </row>
    <row r="14" spans="1:11" s="18" customFormat="1" hidden="1">
      <c r="A14" s="1573"/>
      <c r="B14" s="1574"/>
      <c r="C14" s="1575" t="s">
        <v>1600</v>
      </c>
      <c r="D14" s="1576"/>
      <c r="E14" s="1577">
        <f>G13</f>
        <v>577.61900000000003</v>
      </c>
      <c r="F14" s="1578"/>
      <c r="G14" s="1572">
        <f>ROUND(E14*F14,2)</f>
        <v>0</v>
      </c>
      <c r="H14" s="678"/>
      <c r="I14" s="424"/>
      <c r="J14" s="424"/>
      <c r="K14" s="1538"/>
    </row>
    <row r="15" spans="1:11" s="439" customFormat="1" hidden="1">
      <c r="A15" s="1573"/>
      <c r="B15" s="1574"/>
      <c r="C15" s="1575" t="s">
        <v>1231</v>
      </c>
      <c r="D15" s="1576"/>
      <c r="E15" s="1578"/>
      <c r="F15" s="1579" t="s">
        <v>1486</v>
      </c>
      <c r="G15" s="1579">
        <f>SUM(G13:G14)</f>
        <v>577.61900000000003</v>
      </c>
      <c r="H15" s="678"/>
      <c r="I15" s="424"/>
      <c r="J15" s="424"/>
      <c r="K15" s="1539"/>
    </row>
    <row r="16" spans="1:11" ht="38.700000000000003" hidden="1">
      <c r="A16" s="704" t="s">
        <v>925</v>
      </c>
      <c r="B16" s="1580">
        <v>1</v>
      </c>
      <c r="C16" s="1566" t="s">
        <v>462</v>
      </c>
      <c r="D16" s="1581"/>
      <c r="E16" s="1571"/>
      <c r="F16" s="1568"/>
      <c r="G16" s="1579"/>
      <c r="H16" s="1579"/>
      <c r="I16" s="1571"/>
      <c r="J16" s="1582"/>
      <c r="K16" s="637"/>
    </row>
    <row r="17" spans="1:12" hidden="1">
      <c r="A17" s="1583"/>
      <c r="B17" s="1580"/>
      <c r="C17" s="1566" t="s">
        <v>498</v>
      </c>
      <c r="D17" s="1584"/>
      <c r="E17" s="1585"/>
      <c r="F17" s="1586"/>
      <c r="G17" s="1587"/>
      <c r="H17" s="1587"/>
      <c r="I17" s="1585"/>
      <c r="J17" s="1588"/>
      <c r="K17" s="1540"/>
    </row>
    <row r="18" spans="1:12" hidden="1">
      <c r="A18" s="1583"/>
      <c r="B18" s="1580"/>
      <c r="C18" s="1566" t="s">
        <v>499</v>
      </c>
      <c r="D18" s="1584"/>
      <c r="E18" s="1585"/>
      <c r="F18" s="1586"/>
      <c r="G18" s="1587"/>
      <c r="H18" s="1587"/>
      <c r="I18" s="1585"/>
      <c r="J18" s="1588"/>
      <c r="K18" s="1540"/>
    </row>
    <row r="19" spans="1:12" ht="25.8" hidden="1">
      <c r="A19" s="1583"/>
      <c r="B19" s="1580"/>
      <c r="C19" s="1566" t="s">
        <v>1653</v>
      </c>
      <c r="D19" s="1584" t="s">
        <v>1473</v>
      </c>
      <c r="E19" s="1585">
        <v>1</v>
      </c>
      <c r="F19" s="1587"/>
      <c r="G19" s="1589" t="s">
        <v>935</v>
      </c>
      <c r="H19" s="1587"/>
      <c r="I19" s="1590"/>
      <c r="J19" s="1588"/>
      <c r="K19" s="1540"/>
    </row>
    <row r="20" spans="1:12" hidden="1">
      <c r="A20" s="1583"/>
      <c r="B20" s="1580"/>
      <c r="C20" s="1566" t="s">
        <v>500</v>
      </c>
      <c r="D20" s="1584"/>
      <c r="E20" s="1585"/>
      <c r="F20" s="1586"/>
      <c r="G20" s="1587"/>
      <c r="H20" s="1587"/>
      <c r="I20" s="1585"/>
      <c r="J20" s="1588"/>
      <c r="K20" s="1540"/>
    </row>
    <row r="21" spans="1:12" hidden="1">
      <c r="A21" s="1583"/>
      <c r="B21" s="1580"/>
      <c r="C21" s="1566" t="s">
        <v>501</v>
      </c>
      <c r="D21" s="1584" t="s">
        <v>1047</v>
      </c>
      <c r="E21" s="1585">
        <v>17.7</v>
      </c>
      <c r="F21" s="1585">
        <f>'Lead- Input sheet '!R34</f>
        <v>805</v>
      </c>
      <c r="G21" s="1585">
        <f>E21*F21</f>
        <v>14248.5</v>
      </c>
      <c r="H21" s="1586"/>
      <c r="I21" s="1585"/>
      <c r="J21" s="1588"/>
      <c r="K21" s="1540"/>
    </row>
    <row r="22" spans="1:12" hidden="1">
      <c r="A22" s="1583"/>
      <c r="B22" s="1580"/>
      <c r="C22" s="1566" t="s">
        <v>502</v>
      </c>
      <c r="D22" s="1584" t="s">
        <v>1047</v>
      </c>
      <c r="E22" s="1585">
        <v>8.8000000000000007</v>
      </c>
      <c r="F22" s="1585">
        <f>'Lead- Input sheet '!R28</f>
        <v>605</v>
      </c>
      <c r="G22" s="1585">
        <f>E22*F22</f>
        <v>5324</v>
      </c>
      <c r="H22" s="1586"/>
      <c r="I22" s="1585"/>
      <c r="J22" s="1588"/>
      <c r="K22" s="1540"/>
    </row>
    <row r="23" spans="1:12" hidden="1">
      <c r="A23" s="1565"/>
      <c r="B23" s="1557"/>
      <c r="C23" s="1569" t="s">
        <v>1286</v>
      </c>
      <c r="D23" s="1559"/>
      <c r="E23" s="1591">
        <f>SUM(G21:G22)</f>
        <v>19572.5</v>
      </c>
      <c r="F23" s="1570">
        <f>I5</f>
        <v>0</v>
      </c>
      <c r="G23" s="1585">
        <f>E23*F23</f>
        <v>0</v>
      </c>
      <c r="H23" s="1563"/>
      <c r="I23" s="1564"/>
      <c r="J23" s="1564"/>
      <c r="K23" s="637"/>
    </row>
    <row r="24" spans="1:12" hidden="1">
      <c r="A24" s="1583"/>
      <c r="B24" s="1580"/>
      <c r="C24" s="1566" t="s">
        <v>503</v>
      </c>
      <c r="D24" s="1584"/>
      <c r="E24" s="1585" t="s">
        <v>975</v>
      </c>
      <c r="F24" s="1586"/>
      <c r="G24" s="1587"/>
      <c r="H24" s="1587"/>
      <c r="I24" s="1585"/>
      <c r="J24" s="1588"/>
      <c r="K24" s="1540"/>
    </row>
    <row r="25" spans="1:12" hidden="1">
      <c r="A25" s="1583"/>
      <c r="B25" s="1580"/>
      <c r="C25" s="1566" t="s">
        <v>74</v>
      </c>
      <c r="D25" s="1584"/>
      <c r="E25" s="1585"/>
      <c r="F25" s="1586" t="s">
        <v>1486</v>
      </c>
      <c r="G25" s="1590">
        <f>SUM(G21:G24)</f>
        <v>19572.5</v>
      </c>
      <c r="H25" s="1587"/>
      <c r="I25" s="1585"/>
      <c r="J25" s="1588"/>
      <c r="K25" s="1540"/>
    </row>
    <row r="26" spans="1:12" ht="180.6" hidden="1">
      <c r="A26" s="1592" t="s">
        <v>925</v>
      </c>
      <c r="B26" s="1584">
        <v>2</v>
      </c>
      <c r="C26" s="1566" t="s">
        <v>2274</v>
      </c>
      <c r="D26" s="1584"/>
      <c r="E26" s="1585"/>
      <c r="F26" s="1586"/>
      <c r="G26" s="1586"/>
      <c r="H26" s="1586"/>
      <c r="I26" s="1585"/>
      <c r="J26" s="1585"/>
      <c r="K26" s="1540"/>
    </row>
    <row r="27" spans="1:12" s="444" customFormat="1" hidden="1">
      <c r="A27" s="1580"/>
      <c r="B27" s="1593"/>
      <c r="C27" s="1575" t="s">
        <v>442</v>
      </c>
      <c r="D27" s="1580"/>
      <c r="E27" s="1590"/>
      <c r="F27" s="1587"/>
      <c r="G27" s="1587"/>
      <c r="H27" s="1587"/>
      <c r="I27" s="1590"/>
      <c r="J27" s="1590"/>
      <c r="K27" s="1541"/>
    </row>
    <row r="28" spans="1:12" hidden="1">
      <c r="A28" s="1592"/>
      <c r="B28" s="1594"/>
      <c r="C28" s="1566" t="s">
        <v>779</v>
      </c>
      <c r="D28" s="1584"/>
      <c r="E28" s="1585"/>
      <c r="F28" s="1586"/>
      <c r="G28" s="1586"/>
      <c r="H28" s="1586"/>
      <c r="I28" s="1585"/>
      <c r="J28" s="1585"/>
      <c r="K28" s="1540"/>
    </row>
    <row r="29" spans="1:12" hidden="1">
      <c r="A29" s="1592"/>
      <c r="B29" s="1594"/>
      <c r="C29" s="1566" t="s">
        <v>1647</v>
      </c>
      <c r="D29" s="1595">
        <v>2</v>
      </c>
      <c r="E29" s="1596">
        <v>2.1</v>
      </c>
      <c r="F29" s="1597">
        <v>7.4999999999999997E-2</v>
      </c>
      <c r="G29" s="1597">
        <v>0.125</v>
      </c>
      <c r="H29" s="1597">
        <f>ROUND(D29*E29*F29*G29,3)</f>
        <v>3.9E-2</v>
      </c>
      <c r="I29" s="1596">
        <v>80689</v>
      </c>
      <c r="J29" s="1596">
        <f t="shared" ref="J29:J34" si="1">ROUND(H29*I29,2)</f>
        <v>3146.87</v>
      </c>
      <c r="K29" s="1540"/>
      <c r="L29" s="205"/>
    </row>
    <row r="30" spans="1:12" hidden="1">
      <c r="A30" s="1592"/>
      <c r="B30" s="1594"/>
      <c r="C30" s="1566" t="s">
        <v>781</v>
      </c>
      <c r="D30" s="1595">
        <v>1</v>
      </c>
      <c r="E30" s="1596">
        <v>0.9</v>
      </c>
      <c r="F30" s="1597">
        <v>7.4999999999999997E-2</v>
      </c>
      <c r="G30" s="1597">
        <v>0.125</v>
      </c>
      <c r="H30" s="1597">
        <f>ROUND(D30*E30*F30*G30,3)</f>
        <v>8.0000000000000002E-3</v>
      </c>
      <c r="I30" s="1596">
        <v>80689</v>
      </c>
      <c r="J30" s="1596">
        <f t="shared" si="1"/>
        <v>645.51</v>
      </c>
      <c r="K30" s="1540"/>
      <c r="L30" s="205"/>
    </row>
    <row r="31" spans="1:12" hidden="1">
      <c r="A31" s="1592"/>
      <c r="B31" s="1594"/>
      <c r="C31" s="1566" t="s">
        <v>1648</v>
      </c>
      <c r="D31" s="1595">
        <v>2</v>
      </c>
      <c r="E31" s="1596">
        <f>2.1-0.075*2+0.015</f>
        <v>1.9650000000000001</v>
      </c>
      <c r="F31" s="1597">
        <v>0.125</v>
      </c>
      <c r="G31" s="1597">
        <f>0.03175</f>
        <v>3.175E-2</v>
      </c>
      <c r="H31" s="1597">
        <f>ROUND(D31*E31*F31*G31,3)</f>
        <v>1.6E-2</v>
      </c>
      <c r="I31" s="1596">
        <v>145240</v>
      </c>
      <c r="J31" s="1596">
        <f t="shared" si="1"/>
        <v>2323.84</v>
      </c>
      <c r="K31" s="1540"/>
      <c r="L31" s="205"/>
    </row>
    <row r="32" spans="1:12" hidden="1">
      <c r="A32" s="1592"/>
      <c r="B32" s="1594"/>
      <c r="C32" s="1566" t="s">
        <v>783</v>
      </c>
      <c r="D32" s="1595">
        <v>5</v>
      </c>
      <c r="E32" s="1596">
        <f>(0.75-2*0.075+2*0.015)</f>
        <v>0.63</v>
      </c>
      <c r="F32" s="1597">
        <v>0.125</v>
      </c>
      <c r="G32" s="1597">
        <f>0.03175</f>
        <v>3.175E-2</v>
      </c>
      <c r="H32" s="1597">
        <f>ROUND(D32*E32*F32*G32,3)</f>
        <v>1.2999999999999999E-2</v>
      </c>
      <c r="I32" s="1596">
        <v>145240</v>
      </c>
      <c r="J32" s="1596">
        <f t="shared" si="1"/>
        <v>1888.12</v>
      </c>
      <c r="K32" s="1540"/>
      <c r="L32" s="205"/>
    </row>
    <row r="33" spans="1:12" hidden="1">
      <c r="A33" s="1592"/>
      <c r="B33" s="1594"/>
      <c r="C33" s="1566" t="s">
        <v>1481</v>
      </c>
      <c r="D33" s="1595">
        <v>4</v>
      </c>
      <c r="E33" s="1596">
        <f>0.75-2*0.075+2*0.015-2*0.125+2*0.025</f>
        <v>0.43</v>
      </c>
      <c r="F33" s="1597">
        <f>(2.1-2*0.075+1*0.015-5*0.125)/4+2*0.025</f>
        <v>0.38500000000000001</v>
      </c>
      <c r="G33" s="1597">
        <f>0.025</f>
        <v>2.5000000000000001E-2</v>
      </c>
      <c r="H33" s="1597">
        <f>ROUND(D33*E33*F33*G33,3)</f>
        <v>1.7000000000000001E-2</v>
      </c>
      <c r="I33" s="1596">
        <v>145240</v>
      </c>
      <c r="J33" s="1596">
        <f t="shared" si="1"/>
        <v>2469.08</v>
      </c>
      <c r="K33" s="1540"/>
      <c r="L33" s="205"/>
    </row>
    <row r="34" spans="1:12" hidden="1">
      <c r="A34" s="1592"/>
      <c r="B34" s="1594"/>
      <c r="C34" s="1566" t="s">
        <v>1482</v>
      </c>
      <c r="D34" s="1595"/>
      <c r="E34" s="1596"/>
      <c r="F34" s="1597"/>
      <c r="G34" s="1597"/>
      <c r="H34" s="1597">
        <f>SUM(H29:H33)</f>
        <v>9.2999999999999999E-2</v>
      </c>
      <c r="I34" s="1596">
        <f>G25</f>
        <v>19572.5</v>
      </c>
      <c r="J34" s="1596">
        <f t="shared" si="1"/>
        <v>1820.24</v>
      </c>
      <c r="K34" s="1542"/>
      <c r="L34" s="292"/>
    </row>
    <row r="35" spans="1:12" ht="33.299999999999997" hidden="1">
      <c r="A35" s="1592" t="s">
        <v>787</v>
      </c>
      <c r="B35" s="1580"/>
      <c r="C35" s="1566" t="s">
        <v>788</v>
      </c>
      <c r="D35" s="1595"/>
      <c r="E35" s="1596"/>
      <c r="F35" s="1597"/>
      <c r="G35" s="1606"/>
      <c r="H35" s="1606"/>
      <c r="I35" s="1596"/>
      <c r="J35" s="1596"/>
      <c r="K35" s="1540"/>
    </row>
    <row r="36" spans="1:12" hidden="1">
      <c r="A36" s="1592"/>
      <c r="B36" s="1580"/>
      <c r="C36" s="1598" t="s">
        <v>911</v>
      </c>
      <c r="D36" s="1595" t="s">
        <v>1035</v>
      </c>
      <c r="E36" s="1596" t="s">
        <v>1617</v>
      </c>
      <c r="F36" s="1597"/>
      <c r="G36" s="1597"/>
      <c r="H36" s="1599">
        <v>2</v>
      </c>
      <c r="I36" s="1596">
        <v>68</v>
      </c>
      <c r="J36" s="1596">
        <f t="shared" ref="J36:J43" si="2">ROUND(H36*I36,2)</f>
        <v>136</v>
      </c>
      <c r="K36" s="1540"/>
    </row>
    <row r="37" spans="1:12" hidden="1">
      <c r="A37" s="1592"/>
      <c r="B37" s="1580"/>
      <c r="C37" s="1598" t="s">
        <v>912</v>
      </c>
      <c r="D37" s="1595" t="s">
        <v>1035</v>
      </c>
      <c r="E37" s="1596" t="s">
        <v>1618</v>
      </c>
      <c r="F37" s="1597"/>
      <c r="G37" s="1597"/>
      <c r="H37" s="1599">
        <v>1</v>
      </c>
      <c r="I37" s="1596">
        <v>35</v>
      </c>
      <c r="J37" s="1596">
        <f t="shared" si="2"/>
        <v>35</v>
      </c>
      <c r="K37" s="1540"/>
    </row>
    <row r="38" spans="1:12" hidden="1">
      <c r="A38" s="1592"/>
      <c r="B38" s="1580"/>
      <c r="C38" s="1600" t="s">
        <v>913</v>
      </c>
      <c r="D38" s="1595" t="s">
        <v>1035</v>
      </c>
      <c r="E38" s="1596" t="s">
        <v>1619</v>
      </c>
      <c r="F38" s="1597"/>
      <c r="G38" s="1597"/>
      <c r="H38" s="1599">
        <v>6</v>
      </c>
      <c r="I38" s="1596">
        <v>31</v>
      </c>
      <c r="J38" s="1596">
        <f t="shared" si="2"/>
        <v>186</v>
      </c>
      <c r="K38" s="1540"/>
    </row>
    <row r="39" spans="1:12" hidden="1">
      <c r="A39" s="1592"/>
      <c r="B39" s="1580"/>
      <c r="C39" s="1598" t="s">
        <v>914</v>
      </c>
      <c r="D39" s="1595" t="s">
        <v>1035</v>
      </c>
      <c r="E39" s="1596" t="s">
        <v>1918</v>
      </c>
      <c r="F39" s="1597"/>
      <c r="G39" s="1597"/>
      <c r="H39" s="1599">
        <v>1</v>
      </c>
      <c r="I39" s="1596">
        <v>164</v>
      </c>
      <c r="J39" s="1596">
        <f t="shared" si="2"/>
        <v>164</v>
      </c>
      <c r="K39" s="1540"/>
    </row>
    <row r="40" spans="1:12" hidden="1">
      <c r="A40" s="1592"/>
      <c r="B40" s="1580"/>
      <c r="C40" s="1598" t="s">
        <v>296</v>
      </c>
      <c r="D40" s="1595" t="s">
        <v>1035</v>
      </c>
      <c r="E40" s="1596" t="s">
        <v>1919</v>
      </c>
      <c r="F40" s="1597"/>
      <c r="G40" s="1597"/>
      <c r="H40" s="1599">
        <v>2</v>
      </c>
      <c r="I40" s="1596">
        <v>45</v>
      </c>
      <c r="J40" s="1596">
        <f t="shared" si="2"/>
        <v>90</v>
      </c>
      <c r="K40" s="1540"/>
    </row>
    <row r="41" spans="1:12" hidden="1">
      <c r="A41" s="1592"/>
      <c r="B41" s="1580"/>
      <c r="C41" s="1598" t="s">
        <v>420</v>
      </c>
      <c r="D41" s="1595"/>
      <c r="E41" s="1596" t="s">
        <v>1649</v>
      </c>
      <c r="F41" s="1597"/>
      <c r="G41" s="1597"/>
      <c r="H41" s="1599">
        <v>3</v>
      </c>
      <c r="I41" s="1596">
        <v>31</v>
      </c>
      <c r="J41" s="1596">
        <f t="shared" si="2"/>
        <v>93</v>
      </c>
      <c r="K41" s="1540"/>
    </row>
    <row r="42" spans="1:12" hidden="1">
      <c r="A42" s="1592"/>
      <c r="B42" s="1580"/>
      <c r="C42" s="1598" t="s">
        <v>799</v>
      </c>
      <c r="D42" s="1595" t="s">
        <v>882</v>
      </c>
      <c r="E42" s="1596" t="s">
        <v>1826</v>
      </c>
      <c r="F42" s="1597"/>
      <c r="G42" s="1597"/>
      <c r="H42" s="1599">
        <v>80</v>
      </c>
      <c r="I42" s="1596">
        <v>3</v>
      </c>
      <c r="J42" s="1596">
        <f t="shared" si="2"/>
        <v>240</v>
      </c>
      <c r="K42" s="1540"/>
    </row>
    <row r="43" spans="1:12" hidden="1">
      <c r="A43" s="1592"/>
      <c r="B43" s="1580"/>
      <c r="C43" s="1598" t="s">
        <v>1623</v>
      </c>
      <c r="D43" s="1595" t="s">
        <v>882</v>
      </c>
      <c r="E43" s="1596" t="s">
        <v>1920</v>
      </c>
      <c r="F43" s="1597"/>
      <c r="G43" s="1597"/>
      <c r="H43" s="1599">
        <v>10</v>
      </c>
      <c r="I43" s="1596">
        <v>16</v>
      </c>
      <c r="J43" s="1596">
        <f t="shared" si="2"/>
        <v>160</v>
      </c>
      <c r="K43" s="1540"/>
    </row>
    <row r="44" spans="1:12" hidden="1">
      <c r="A44" s="1592"/>
      <c r="B44" s="1594"/>
      <c r="C44" s="1598" t="s">
        <v>1484</v>
      </c>
      <c r="D44" s="1595">
        <v>2.25</v>
      </c>
      <c r="E44" s="1596">
        <v>0.75</v>
      </c>
      <c r="F44" s="1597"/>
      <c r="G44" s="1597">
        <v>2.1</v>
      </c>
      <c r="H44" s="1597">
        <f>ROUND(G44*E44*D44,2)</f>
        <v>3.54</v>
      </c>
      <c r="I44" s="1596">
        <f>G15</f>
        <v>577.61900000000003</v>
      </c>
      <c r="J44" s="1596">
        <f>H44*I44/10</f>
        <v>204.47712600000003</v>
      </c>
      <c r="K44" s="1540"/>
    </row>
    <row r="45" spans="1:12" hidden="1">
      <c r="A45" s="1592"/>
      <c r="B45" s="1601"/>
      <c r="C45" s="1598" t="s">
        <v>1598</v>
      </c>
      <c r="D45" s="1595"/>
      <c r="E45" s="1602" t="s">
        <v>1651</v>
      </c>
      <c r="F45" s="1597"/>
      <c r="G45" s="1597"/>
      <c r="H45" s="1599">
        <v>6</v>
      </c>
      <c r="I45" s="1596">
        <v>32</v>
      </c>
      <c r="J45" s="1596">
        <f>ROUND(H45*I45,2)</f>
        <v>192</v>
      </c>
      <c r="K45" s="1540"/>
    </row>
    <row r="46" spans="1:12" hidden="1">
      <c r="A46" s="1592"/>
      <c r="B46" s="1594"/>
      <c r="C46" s="1598" t="s">
        <v>230</v>
      </c>
      <c r="D46" s="1595"/>
      <c r="E46" s="1596"/>
      <c r="F46" s="1597"/>
      <c r="G46" s="1597"/>
      <c r="H46" s="1599">
        <v>1</v>
      </c>
      <c r="I46" s="1596">
        <v>75</v>
      </c>
      <c r="J46" s="1596">
        <f>H46*I46</f>
        <v>75</v>
      </c>
      <c r="K46" s="1540"/>
    </row>
    <row r="47" spans="1:12" hidden="1">
      <c r="A47" s="1592"/>
      <c r="B47" s="1594"/>
      <c r="C47" s="1598"/>
      <c r="D47" s="1595"/>
      <c r="E47" s="1596"/>
      <c r="F47" s="1597"/>
      <c r="G47" s="1597"/>
      <c r="H47" s="1597"/>
      <c r="I47" s="1596"/>
      <c r="J47" s="1603">
        <f>ROUND(SUM(J29:J46),1)</f>
        <v>13869.1</v>
      </c>
      <c r="K47" s="1540"/>
    </row>
    <row r="48" spans="1:12" s="18" customFormat="1" hidden="1">
      <c r="A48" s="1592"/>
      <c r="B48" s="1604"/>
      <c r="C48" s="1566" t="s">
        <v>1600</v>
      </c>
      <c r="D48" s="1605"/>
      <c r="E48" s="1603"/>
      <c r="F48" s="1606"/>
      <c r="G48" s="1606"/>
      <c r="H48" s="1606">
        <f>J47</f>
        <v>13869.1</v>
      </c>
      <c r="I48" s="1603">
        <f>I6</f>
        <v>0</v>
      </c>
      <c r="J48" s="1596">
        <f>ROUND(H48*I48,2)</f>
        <v>0</v>
      </c>
      <c r="K48" s="1543"/>
    </row>
    <row r="49" spans="1:11" s="439" customFormat="1" hidden="1">
      <c r="A49" s="1592" t="s">
        <v>1288</v>
      </c>
      <c r="B49" s="1604"/>
      <c r="C49" s="1575" t="s">
        <v>256</v>
      </c>
      <c r="D49" s="1605"/>
      <c r="E49" s="1603"/>
      <c r="F49" s="1606"/>
      <c r="G49" s="1606"/>
      <c r="H49" s="1606"/>
      <c r="I49" s="1603" t="s">
        <v>416</v>
      </c>
      <c r="J49" s="1603">
        <f>SUM(J47:J48)</f>
        <v>13869.1</v>
      </c>
      <c r="K49" s="1544"/>
    </row>
    <row r="50" spans="1:11" s="444" customFormat="1" hidden="1">
      <c r="A50" s="1592"/>
      <c r="B50" s="1593"/>
      <c r="C50" s="1575" t="s">
        <v>538</v>
      </c>
      <c r="D50" s="1605"/>
      <c r="E50" s="1603"/>
      <c r="F50" s="1606"/>
      <c r="G50" s="1606"/>
      <c r="H50" s="1606"/>
      <c r="I50" s="1603"/>
      <c r="J50" s="1603"/>
      <c r="K50" s="1541"/>
    </row>
    <row r="51" spans="1:11" hidden="1">
      <c r="A51" s="1592"/>
      <c r="B51" s="1594"/>
      <c r="C51" s="1566" t="s">
        <v>779</v>
      </c>
      <c r="D51" s="1595"/>
      <c r="E51" s="1596"/>
      <c r="F51" s="1597"/>
      <c r="G51" s="1597"/>
      <c r="H51" s="1597"/>
      <c r="I51" s="1596"/>
      <c r="J51" s="1596"/>
      <c r="K51" s="1540"/>
    </row>
    <row r="52" spans="1:11" hidden="1">
      <c r="A52" s="1592"/>
      <c r="B52" s="1594"/>
      <c r="C52" s="1566" t="s">
        <v>780</v>
      </c>
      <c r="D52" s="1595">
        <v>2</v>
      </c>
      <c r="E52" s="1596">
        <v>2.1</v>
      </c>
      <c r="F52" s="1597">
        <v>7.4999999999999997E-2</v>
      </c>
      <c r="G52" s="1597">
        <v>0.125</v>
      </c>
      <c r="H52" s="1597">
        <f>ROUND(D52*E52*F52*G52,3)</f>
        <v>3.9E-2</v>
      </c>
      <c r="I52" s="1596">
        <v>80689</v>
      </c>
      <c r="J52" s="1596">
        <f>ROUND(H52*I52,2)</f>
        <v>3146.87</v>
      </c>
      <c r="K52" s="1540"/>
    </row>
    <row r="53" spans="1:11" hidden="1">
      <c r="A53" s="1592"/>
      <c r="B53" s="1594"/>
      <c r="C53" s="1566" t="s">
        <v>781</v>
      </c>
      <c r="D53" s="1595">
        <v>1</v>
      </c>
      <c r="E53" s="1596">
        <v>0.9</v>
      </c>
      <c r="F53" s="1597">
        <v>7.4999999999999997E-2</v>
      </c>
      <c r="G53" s="1597">
        <v>0.125</v>
      </c>
      <c r="H53" s="1597">
        <f>ROUND(D53*E53*F53*G53,3)</f>
        <v>8.0000000000000002E-3</v>
      </c>
      <c r="I53" s="1596">
        <v>80689</v>
      </c>
      <c r="J53" s="1596">
        <f>ROUND(H53*I53,2)</f>
        <v>645.51</v>
      </c>
      <c r="K53" s="1540"/>
    </row>
    <row r="54" spans="1:11" hidden="1">
      <c r="A54" s="1592"/>
      <c r="B54" s="1594"/>
      <c r="C54" s="1566" t="s">
        <v>1482</v>
      </c>
      <c r="D54" s="1595"/>
      <c r="E54" s="1596"/>
      <c r="F54" s="1597"/>
      <c r="G54" s="1597"/>
      <c r="H54" s="1597">
        <f>SUM(H52:H53)</f>
        <v>4.7E-2</v>
      </c>
      <c r="I54" s="1596">
        <f>G25</f>
        <v>19572.5</v>
      </c>
      <c r="J54" s="1596">
        <f>ROUND(H54*I54,2)</f>
        <v>919.91</v>
      </c>
      <c r="K54" s="1540"/>
    </row>
    <row r="55" spans="1:11" hidden="1">
      <c r="A55" s="1592"/>
      <c r="B55" s="1594"/>
      <c r="C55" s="1566" t="s">
        <v>1484</v>
      </c>
      <c r="D55" s="1595" t="s">
        <v>1289</v>
      </c>
      <c r="E55" s="1596">
        <v>0.75</v>
      </c>
      <c r="F55" s="1597"/>
      <c r="G55" s="1597">
        <v>2.1</v>
      </c>
      <c r="H55" s="1597">
        <f>ROUND(G55*E55*2.25/3,2)</f>
        <v>1.18</v>
      </c>
      <c r="I55" s="1596">
        <f>G15</f>
        <v>577.61900000000003</v>
      </c>
      <c r="J55" s="1596">
        <f>H55*I55/10</f>
        <v>68.159041999999999</v>
      </c>
      <c r="K55" s="1540"/>
    </row>
    <row r="56" spans="1:11" hidden="1">
      <c r="A56" s="1592"/>
      <c r="B56" s="1601"/>
      <c r="C56" s="1566" t="s">
        <v>1598</v>
      </c>
      <c r="D56" s="1595"/>
      <c r="E56" s="1602" t="s">
        <v>1651</v>
      </c>
      <c r="F56" s="1597"/>
      <c r="G56" s="1597"/>
      <c r="H56" s="1599">
        <v>6</v>
      </c>
      <c r="I56" s="1596">
        <v>32</v>
      </c>
      <c r="J56" s="1596">
        <f>ROUND(H56*I56,2)</f>
        <v>192</v>
      </c>
      <c r="K56" s="1540"/>
    </row>
    <row r="57" spans="1:11" hidden="1">
      <c r="A57" s="1592"/>
      <c r="B57" s="1594"/>
      <c r="C57" s="1566" t="s">
        <v>230</v>
      </c>
      <c r="D57" s="1595"/>
      <c r="E57" s="1596"/>
      <c r="F57" s="1597"/>
      <c r="G57" s="1597"/>
      <c r="H57" s="1599">
        <v>1</v>
      </c>
      <c r="I57" s="1596">
        <v>50</v>
      </c>
      <c r="J57" s="1596">
        <f>H57*I57</f>
        <v>50</v>
      </c>
      <c r="K57" s="1540"/>
    </row>
    <row r="58" spans="1:11" hidden="1">
      <c r="A58" s="1592"/>
      <c r="B58" s="1594"/>
      <c r="C58" s="1566"/>
      <c r="D58" s="1595"/>
      <c r="E58" s="1596"/>
      <c r="F58" s="1597"/>
      <c r="G58" s="1597"/>
      <c r="H58" s="1597"/>
      <c r="I58" s="1596"/>
      <c r="J58" s="1603">
        <f>SUM(J52:J57)</f>
        <v>5022.4490420000002</v>
      </c>
      <c r="K58" s="1540"/>
    </row>
    <row r="59" spans="1:11" s="18" customFormat="1" hidden="1">
      <c r="A59" s="1592"/>
      <c r="B59" s="1604"/>
      <c r="C59" s="1566" t="s">
        <v>1600</v>
      </c>
      <c r="D59" s="1605"/>
      <c r="E59" s="1603"/>
      <c r="F59" s="1606"/>
      <c r="G59" s="1606"/>
      <c r="H59" s="1606">
        <f>J58</f>
        <v>5022.4490420000002</v>
      </c>
      <c r="I59" s="1603">
        <f>I6</f>
        <v>0</v>
      </c>
      <c r="J59" s="1596">
        <f>ROUND(H59*I59,2)</f>
        <v>0</v>
      </c>
      <c r="K59" s="1543"/>
    </row>
    <row r="60" spans="1:11" s="439" customFormat="1" hidden="1">
      <c r="A60" s="1592" t="s">
        <v>1288</v>
      </c>
      <c r="B60" s="1604"/>
      <c r="C60" s="1575" t="s">
        <v>540</v>
      </c>
      <c r="D60" s="1605"/>
      <c r="E60" s="1603"/>
      <c r="F60" s="1606"/>
      <c r="G60" s="1606"/>
      <c r="H60" s="1606"/>
      <c r="I60" s="1603" t="s">
        <v>1486</v>
      </c>
      <c r="J60" s="1603">
        <f>SUM(J58:J59)</f>
        <v>5022.4490420000002</v>
      </c>
      <c r="K60" s="1544"/>
    </row>
    <row r="61" spans="1:11" s="439" customFormat="1" hidden="1">
      <c r="A61" s="1592"/>
      <c r="B61" s="1604"/>
      <c r="C61" s="1575" t="s">
        <v>541</v>
      </c>
      <c r="D61" s="1605"/>
      <c r="E61" s="1603"/>
      <c r="F61" s="1606"/>
      <c r="G61" s="1606"/>
      <c r="H61" s="1606"/>
      <c r="I61" s="1603" t="s">
        <v>1486</v>
      </c>
      <c r="J61" s="1603">
        <f>J49-J60</f>
        <v>8846.6509580000002</v>
      </c>
      <c r="K61" s="1544"/>
    </row>
    <row r="62" spans="1:11" ht="180.6" hidden="1">
      <c r="A62" s="1592"/>
      <c r="B62" s="1584">
        <v>3</v>
      </c>
      <c r="C62" s="1566" t="s">
        <v>2275</v>
      </c>
      <c r="D62" s="1595"/>
      <c r="E62" s="1596"/>
      <c r="F62" s="1597"/>
      <c r="G62" s="1597"/>
      <c r="H62" s="1597"/>
      <c r="I62" s="1596"/>
      <c r="J62" s="1596"/>
      <c r="K62" s="1540"/>
    </row>
    <row r="63" spans="1:11" hidden="1">
      <c r="A63" s="1592"/>
      <c r="B63" s="1594"/>
      <c r="C63" s="1575" t="s">
        <v>1290</v>
      </c>
      <c r="D63" s="1605"/>
      <c r="E63" s="1603"/>
      <c r="F63" s="1597"/>
      <c r="G63" s="1597"/>
      <c r="H63" s="1597"/>
      <c r="I63" s="1596"/>
      <c r="J63" s="1596"/>
      <c r="K63" s="1540"/>
    </row>
    <row r="64" spans="1:11" hidden="1">
      <c r="A64" s="1592"/>
      <c r="B64" s="1594"/>
      <c r="C64" s="1566" t="s">
        <v>779</v>
      </c>
      <c r="D64" s="1595"/>
      <c r="E64" s="1596"/>
      <c r="F64" s="1597"/>
      <c r="G64" s="1597"/>
      <c r="H64" s="1597"/>
      <c r="I64" s="1596"/>
      <c r="J64" s="1596"/>
      <c r="K64" s="1540"/>
    </row>
    <row r="65" spans="1:11" hidden="1">
      <c r="A65" s="1592"/>
      <c r="B65" s="1594"/>
      <c r="C65" s="1566" t="s">
        <v>780</v>
      </c>
      <c r="D65" s="1595">
        <v>2</v>
      </c>
      <c r="E65" s="1596">
        <v>2.1</v>
      </c>
      <c r="F65" s="1597">
        <v>7.4999999999999997E-2</v>
      </c>
      <c r="G65" s="1597">
        <v>0.125</v>
      </c>
      <c r="H65" s="1597">
        <f>ROUND(D65*E65*F65*G65,3)</f>
        <v>3.9E-2</v>
      </c>
      <c r="I65" s="1596">
        <v>80689</v>
      </c>
      <c r="J65" s="1596">
        <f t="shared" ref="J65:J70" si="3">ROUND(H65*I65,2)</f>
        <v>3146.87</v>
      </c>
      <c r="K65" s="1540"/>
    </row>
    <row r="66" spans="1:11" hidden="1">
      <c r="A66" s="1592"/>
      <c r="B66" s="1594"/>
      <c r="C66" s="1566" t="s">
        <v>781</v>
      </c>
      <c r="D66" s="1595">
        <v>1</v>
      </c>
      <c r="E66" s="1596">
        <v>1.05</v>
      </c>
      <c r="F66" s="1597">
        <v>7.4999999999999997E-2</v>
      </c>
      <c r="G66" s="1597">
        <v>0.125</v>
      </c>
      <c r="H66" s="1597">
        <f>ROUND(D66*E66*F66*G66,3)</f>
        <v>0.01</v>
      </c>
      <c r="I66" s="1596">
        <v>80689</v>
      </c>
      <c r="J66" s="1596">
        <f t="shared" si="3"/>
        <v>806.89</v>
      </c>
      <c r="K66" s="1540"/>
    </row>
    <row r="67" spans="1:11" hidden="1">
      <c r="A67" s="1592"/>
      <c r="B67" s="1594"/>
      <c r="C67" s="1566" t="s">
        <v>782</v>
      </c>
      <c r="D67" s="1595">
        <v>4</v>
      </c>
      <c r="E67" s="1596">
        <f>(2.1-2*0.075)+1*0.015</f>
        <v>1.9650000000000001</v>
      </c>
      <c r="F67" s="1597">
        <v>0.1</v>
      </c>
      <c r="G67" s="1597">
        <f>1.25*25.4/1000</f>
        <v>3.175E-2</v>
      </c>
      <c r="H67" s="1597">
        <f>ROUND(D67*E67*F67*G67,3)</f>
        <v>2.5000000000000001E-2</v>
      </c>
      <c r="I67" s="1596">
        <v>145240</v>
      </c>
      <c r="J67" s="1596">
        <f t="shared" si="3"/>
        <v>3631</v>
      </c>
      <c r="K67" s="1540"/>
    </row>
    <row r="68" spans="1:11" hidden="1">
      <c r="A68" s="1592"/>
      <c r="B68" s="1594"/>
      <c r="C68" s="1566" t="s">
        <v>783</v>
      </c>
      <c r="D68" s="1595" t="s">
        <v>791</v>
      </c>
      <c r="E68" s="1596">
        <f>(0.9-2*0.075+2*0.015)/2</f>
        <v>0.39</v>
      </c>
      <c r="F68" s="1597">
        <v>0.1</v>
      </c>
      <c r="G68" s="1597">
        <f>1.25*25.4/1000</f>
        <v>3.175E-2</v>
      </c>
      <c r="H68" s="1597">
        <f>ROUND(12*E68*F68*G68,3)</f>
        <v>1.4999999999999999E-2</v>
      </c>
      <c r="I68" s="1596">
        <v>145240</v>
      </c>
      <c r="J68" s="1596">
        <f t="shared" si="3"/>
        <v>2178.6</v>
      </c>
      <c r="K68" s="1540"/>
    </row>
    <row r="69" spans="1:11" hidden="1">
      <c r="A69" s="1592"/>
      <c r="B69" s="1594"/>
      <c r="C69" s="1566" t="s">
        <v>1481</v>
      </c>
      <c r="D69" s="1595" t="s">
        <v>792</v>
      </c>
      <c r="E69" s="1596">
        <f>(0.9-2*0.075+2*0.015)/2-2*0.1+2*0.025</f>
        <v>0.24</v>
      </c>
      <c r="F69" s="1597">
        <f>(2.1-2*0.075+1*0.015-6*0.1)/5+2*0.025</f>
        <v>0.32300000000000001</v>
      </c>
      <c r="G69" s="1597">
        <v>2.5000000000000001E-2</v>
      </c>
      <c r="H69" s="1597">
        <f>ROUND(10*E69*F69*G69,3)</f>
        <v>1.9E-2</v>
      </c>
      <c r="I69" s="1596">
        <v>145240</v>
      </c>
      <c r="J69" s="1596">
        <f t="shared" si="3"/>
        <v>2759.56</v>
      </c>
      <c r="K69" s="1540"/>
    </row>
    <row r="70" spans="1:11" hidden="1">
      <c r="A70" s="1592"/>
      <c r="B70" s="1594"/>
      <c r="C70" s="1566" t="s">
        <v>1482</v>
      </c>
      <c r="D70" s="1595"/>
      <c r="E70" s="1596"/>
      <c r="F70" s="1597"/>
      <c r="G70" s="1597"/>
      <c r="H70" s="1597">
        <f>SUM(H65:H69)</f>
        <v>0.10800000000000001</v>
      </c>
      <c r="I70" s="1596">
        <f>G25</f>
        <v>19572.5</v>
      </c>
      <c r="J70" s="1596">
        <f t="shared" si="3"/>
        <v>2113.83</v>
      </c>
      <c r="K70" s="1540"/>
    </row>
    <row r="71" spans="1:11" ht="33.299999999999997" hidden="1">
      <c r="A71" s="1592" t="s">
        <v>787</v>
      </c>
      <c r="B71" s="1580"/>
      <c r="C71" s="1566" t="s">
        <v>788</v>
      </c>
      <c r="D71" s="1595"/>
      <c r="E71" s="1596"/>
      <c r="F71" s="1597"/>
      <c r="G71" s="1606"/>
      <c r="H71" s="1606"/>
      <c r="I71" s="1596"/>
      <c r="J71" s="1596"/>
      <c r="K71" s="1540"/>
    </row>
    <row r="72" spans="1:11" s="697" customFormat="1" hidden="1">
      <c r="A72" s="1592"/>
      <c r="B72" s="1607"/>
      <c r="C72" s="329" t="s">
        <v>911</v>
      </c>
      <c r="D72" s="1595" t="s">
        <v>1035</v>
      </c>
      <c r="E72" s="1596" t="s">
        <v>1617</v>
      </c>
      <c r="F72" s="1597"/>
      <c r="G72" s="1597"/>
      <c r="H72" s="1599">
        <v>2</v>
      </c>
      <c r="I72" s="1596">
        <v>68</v>
      </c>
      <c r="J72" s="1596">
        <f t="shared" ref="J72:J80" si="4">ROUND(H72*I72,2)</f>
        <v>136</v>
      </c>
      <c r="K72" s="1545"/>
    </row>
    <row r="73" spans="1:11" s="697" customFormat="1" hidden="1">
      <c r="A73" s="1592"/>
      <c r="B73" s="1607"/>
      <c r="C73" s="329" t="s">
        <v>912</v>
      </c>
      <c r="D73" s="1595" t="s">
        <v>1035</v>
      </c>
      <c r="E73" s="1596" t="s">
        <v>1618</v>
      </c>
      <c r="F73" s="1597"/>
      <c r="G73" s="1597"/>
      <c r="H73" s="1599">
        <v>1</v>
      </c>
      <c r="I73" s="1596">
        <v>35</v>
      </c>
      <c r="J73" s="1596">
        <f t="shared" si="4"/>
        <v>35</v>
      </c>
      <c r="K73" s="1545"/>
    </row>
    <row r="74" spans="1:11" s="697" customFormat="1" hidden="1">
      <c r="A74" s="1592"/>
      <c r="B74" s="1607"/>
      <c r="C74" s="1608" t="s">
        <v>913</v>
      </c>
      <c r="D74" s="1595" t="s">
        <v>1035</v>
      </c>
      <c r="E74" s="1596" t="s">
        <v>1619</v>
      </c>
      <c r="F74" s="1597"/>
      <c r="G74" s="1597"/>
      <c r="H74" s="1599">
        <v>6</v>
      </c>
      <c r="I74" s="1596">
        <v>31</v>
      </c>
      <c r="J74" s="1596">
        <f t="shared" si="4"/>
        <v>186</v>
      </c>
      <c r="K74" s="1545"/>
    </row>
    <row r="75" spans="1:11" s="697" customFormat="1" hidden="1">
      <c r="A75" s="1592"/>
      <c r="B75" s="1607"/>
      <c r="C75" s="329" t="s">
        <v>914</v>
      </c>
      <c r="D75" s="1595" t="s">
        <v>1035</v>
      </c>
      <c r="E75" s="1596" t="s">
        <v>1918</v>
      </c>
      <c r="F75" s="1597"/>
      <c r="G75" s="1597"/>
      <c r="H75" s="1599">
        <v>1</v>
      </c>
      <c r="I75" s="1596">
        <v>164</v>
      </c>
      <c r="J75" s="1596">
        <f t="shared" si="4"/>
        <v>164</v>
      </c>
      <c r="K75" s="1545"/>
    </row>
    <row r="76" spans="1:11" s="697" customFormat="1" hidden="1">
      <c r="A76" s="1592"/>
      <c r="B76" s="1607"/>
      <c r="C76" s="329" t="s">
        <v>296</v>
      </c>
      <c r="D76" s="1595" t="s">
        <v>1035</v>
      </c>
      <c r="E76" s="1596" t="s">
        <v>1919</v>
      </c>
      <c r="F76" s="1597"/>
      <c r="G76" s="1597"/>
      <c r="H76" s="1599">
        <v>2</v>
      </c>
      <c r="I76" s="1596">
        <v>45</v>
      </c>
      <c r="J76" s="1596">
        <f t="shared" si="4"/>
        <v>90</v>
      </c>
      <c r="K76" s="1545"/>
    </row>
    <row r="77" spans="1:11" hidden="1">
      <c r="A77" s="1592"/>
      <c r="B77" s="1580"/>
      <c r="C77" s="1566" t="s">
        <v>420</v>
      </c>
      <c r="D77" s="1595"/>
      <c r="E77" s="1596" t="s">
        <v>1649</v>
      </c>
      <c r="F77" s="1597"/>
      <c r="G77" s="1597"/>
      <c r="H77" s="1599">
        <v>3</v>
      </c>
      <c r="I77" s="1596">
        <v>31</v>
      </c>
      <c r="J77" s="1596">
        <f t="shared" si="4"/>
        <v>93</v>
      </c>
      <c r="K77" s="1540"/>
    </row>
    <row r="78" spans="1:11" s="697" customFormat="1" hidden="1">
      <c r="A78" s="1592"/>
      <c r="B78" s="1607"/>
      <c r="C78" s="329" t="s">
        <v>799</v>
      </c>
      <c r="D78" s="1595" t="s">
        <v>882</v>
      </c>
      <c r="E78" s="1596" t="s">
        <v>1826</v>
      </c>
      <c r="F78" s="1597"/>
      <c r="G78" s="1597"/>
      <c r="H78" s="1599">
        <v>80</v>
      </c>
      <c r="I78" s="1596">
        <v>3</v>
      </c>
      <c r="J78" s="1596">
        <f t="shared" si="4"/>
        <v>240</v>
      </c>
      <c r="K78" s="1545"/>
    </row>
    <row r="79" spans="1:11" s="697" customFormat="1" hidden="1">
      <c r="A79" s="1592"/>
      <c r="B79" s="1607"/>
      <c r="C79" s="1598" t="s">
        <v>1623</v>
      </c>
      <c r="D79" s="1595" t="s">
        <v>882</v>
      </c>
      <c r="E79" s="1596" t="s">
        <v>1920</v>
      </c>
      <c r="F79" s="1597"/>
      <c r="G79" s="1597"/>
      <c r="H79" s="1599">
        <v>10</v>
      </c>
      <c r="I79" s="1596">
        <v>16</v>
      </c>
      <c r="J79" s="1596">
        <f t="shared" si="4"/>
        <v>160</v>
      </c>
      <c r="K79" s="1545"/>
    </row>
    <row r="80" spans="1:11" s="697" customFormat="1" hidden="1">
      <c r="A80" s="1592"/>
      <c r="B80" s="1609"/>
      <c r="C80" s="329" t="s">
        <v>1598</v>
      </c>
      <c r="D80" s="1595"/>
      <c r="E80" s="1602" t="s">
        <v>1651</v>
      </c>
      <c r="F80" s="1597"/>
      <c r="G80" s="1597"/>
      <c r="H80" s="1599">
        <v>6</v>
      </c>
      <c r="I80" s="1596">
        <v>32</v>
      </c>
      <c r="J80" s="1596">
        <f t="shared" si="4"/>
        <v>192</v>
      </c>
      <c r="K80" s="1545"/>
    </row>
    <row r="81" spans="1:11" s="697" customFormat="1" hidden="1">
      <c r="A81" s="1592"/>
      <c r="B81" s="1610"/>
      <c r="C81" s="329" t="s">
        <v>1484</v>
      </c>
      <c r="D81" s="1595">
        <v>2.25</v>
      </c>
      <c r="E81" s="1596">
        <v>0.9</v>
      </c>
      <c r="F81" s="1597"/>
      <c r="G81" s="1597">
        <v>2.1</v>
      </c>
      <c r="H81" s="1597">
        <f>ROUND(G81*E81*D81,2)</f>
        <v>4.25</v>
      </c>
      <c r="I81" s="1596">
        <f>G15</f>
        <v>577.61900000000003</v>
      </c>
      <c r="J81" s="1596">
        <f>H81*I81/10</f>
        <v>245.48807500000004</v>
      </c>
      <c r="K81" s="1545"/>
    </row>
    <row r="82" spans="1:11" s="697" customFormat="1" hidden="1">
      <c r="A82" s="1592"/>
      <c r="B82" s="1610"/>
      <c r="C82" s="329" t="s">
        <v>230</v>
      </c>
      <c r="D82" s="1595"/>
      <c r="E82" s="1596"/>
      <c r="F82" s="1597"/>
      <c r="G82" s="1597"/>
      <c r="H82" s="1599">
        <v>1</v>
      </c>
      <c r="I82" s="1596">
        <v>75</v>
      </c>
      <c r="J82" s="1596">
        <f>H82*I82</f>
        <v>75</v>
      </c>
      <c r="K82" s="1545"/>
    </row>
    <row r="83" spans="1:11" hidden="1">
      <c r="A83" s="1592"/>
      <c r="B83" s="1594"/>
      <c r="C83" s="1566"/>
      <c r="D83" s="1595"/>
      <c r="E83" s="1596"/>
      <c r="F83" s="1597"/>
      <c r="G83" s="1597"/>
      <c r="H83" s="1597"/>
      <c r="I83" s="1596"/>
      <c r="J83" s="1596">
        <f>SUM(J65:J82)</f>
        <v>16253.238074999999</v>
      </c>
      <c r="K83" s="1540"/>
    </row>
    <row r="84" spans="1:11" s="18" customFormat="1" hidden="1">
      <c r="A84" s="1592"/>
      <c r="B84" s="1604"/>
      <c r="C84" s="1566" t="s">
        <v>1600</v>
      </c>
      <c r="D84" s="1605"/>
      <c r="E84" s="1603"/>
      <c r="F84" s="1606"/>
      <c r="G84" s="1606"/>
      <c r="H84" s="1606">
        <f>J83</f>
        <v>16253.238074999999</v>
      </c>
      <c r="I84" s="1603">
        <f>I6</f>
        <v>0</v>
      </c>
      <c r="J84" s="1596">
        <f>ROUND(H84*I84,2)</f>
        <v>0</v>
      </c>
      <c r="K84" s="1543"/>
    </row>
    <row r="85" spans="1:11" s="439" customFormat="1" hidden="1">
      <c r="A85" s="1592" t="s">
        <v>542</v>
      </c>
      <c r="B85" s="1604"/>
      <c r="C85" s="1575" t="s">
        <v>256</v>
      </c>
      <c r="D85" s="1605"/>
      <c r="E85" s="1603"/>
      <c r="F85" s="1606"/>
      <c r="G85" s="1606"/>
      <c r="H85" s="1606"/>
      <c r="I85" s="1603" t="s">
        <v>416</v>
      </c>
      <c r="J85" s="1603">
        <f>SUM(J83:J84)</f>
        <v>16253.238074999999</v>
      </c>
      <c r="K85" s="1544"/>
    </row>
    <row r="86" spans="1:11" hidden="1">
      <c r="A86" s="1592"/>
      <c r="B86" s="1594"/>
      <c r="C86" s="1575" t="s">
        <v>1291</v>
      </c>
      <c r="D86" s="1605"/>
      <c r="E86" s="1603"/>
      <c r="F86" s="1597"/>
      <c r="G86" s="1597"/>
      <c r="H86" s="1597"/>
      <c r="I86" s="1596"/>
      <c r="J86" s="1596"/>
      <c r="K86" s="1540"/>
    </row>
    <row r="87" spans="1:11" hidden="1">
      <c r="A87" s="1592"/>
      <c r="B87" s="1594"/>
      <c r="C87" s="1566" t="s">
        <v>779</v>
      </c>
      <c r="D87" s="1595"/>
      <c r="E87" s="1596"/>
      <c r="F87" s="1597"/>
      <c r="G87" s="1597"/>
      <c r="H87" s="1597"/>
      <c r="I87" s="1596"/>
      <c r="J87" s="1596"/>
      <c r="K87" s="1540"/>
    </row>
    <row r="88" spans="1:11" hidden="1">
      <c r="A88" s="1592"/>
      <c r="B88" s="1594"/>
      <c r="C88" s="1566" t="s">
        <v>780</v>
      </c>
      <c r="D88" s="1595">
        <v>2</v>
      </c>
      <c r="E88" s="1596">
        <v>2.1</v>
      </c>
      <c r="F88" s="1597">
        <v>0.1</v>
      </c>
      <c r="G88" s="1597">
        <v>7.4999999999999997E-2</v>
      </c>
      <c r="H88" s="1597">
        <f>ROUND(D88*E88*F88*G88,3)</f>
        <v>3.2000000000000001E-2</v>
      </c>
      <c r="I88" s="1596">
        <v>80689</v>
      </c>
      <c r="J88" s="1596">
        <f>ROUND(H88*I88,2)</f>
        <v>2582.0500000000002</v>
      </c>
      <c r="K88" s="1540"/>
    </row>
    <row r="89" spans="1:11" hidden="1">
      <c r="A89" s="1592"/>
      <c r="B89" s="1594"/>
      <c r="C89" s="1566" t="s">
        <v>781</v>
      </c>
      <c r="D89" s="1595">
        <v>1</v>
      </c>
      <c r="E89" s="1596">
        <v>1.05</v>
      </c>
      <c r="F89" s="1597">
        <v>0.1</v>
      </c>
      <c r="G89" s="1597">
        <v>7.4999999999999997E-2</v>
      </c>
      <c r="H89" s="1597">
        <f>ROUND(D89*E89*F89*G89,3)</f>
        <v>8.0000000000000002E-3</v>
      </c>
      <c r="I89" s="1596">
        <v>80689</v>
      </c>
      <c r="J89" s="1596">
        <f>ROUND(H89*I89,2)</f>
        <v>645.51</v>
      </c>
      <c r="K89" s="1540"/>
    </row>
    <row r="90" spans="1:11" hidden="1">
      <c r="A90" s="1592"/>
      <c r="B90" s="1594"/>
      <c r="C90" s="1566" t="s">
        <v>1482</v>
      </c>
      <c r="D90" s="1595"/>
      <c r="E90" s="1596"/>
      <c r="F90" s="1597"/>
      <c r="G90" s="1597"/>
      <c r="H90" s="1597">
        <f>SUM(H88:H89)</f>
        <v>0.04</v>
      </c>
      <c r="I90" s="1596">
        <f>G25</f>
        <v>19572.5</v>
      </c>
      <c r="J90" s="1596">
        <f>ROUND(H90*I90,2)</f>
        <v>782.9</v>
      </c>
      <c r="K90" s="1540"/>
    </row>
    <row r="91" spans="1:11" ht="33.299999999999997" hidden="1">
      <c r="A91" s="1592" t="s">
        <v>787</v>
      </c>
      <c r="B91" s="1580"/>
      <c r="C91" s="1566" t="s">
        <v>788</v>
      </c>
      <c r="D91" s="1595"/>
      <c r="E91" s="1596"/>
      <c r="F91" s="1597"/>
      <c r="G91" s="1606"/>
      <c r="H91" s="1606"/>
      <c r="I91" s="1596"/>
      <c r="J91" s="1596"/>
      <c r="K91" s="1540"/>
    </row>
    <row r="92" spans="1:11" hidden="1">
      <c r="A92" s="1592"/>
      <c r="B92" s="1601"/>
      <c r="C92" s="1566" t="s">
        <v>1598</v>
      </c>
      <c r="D92" s="1595"/>
      <c r="E92" s="1602" t="s">
        <v>1651</v>
      </c>
      <c r="F92" s="1597"/>
      <c r="G92" s="1597"/>
      <c r="H92" s="1599">
        <v>6</v>
      </c>
      <c r="I92" s="1596">
        <v>32</v>
      </c>
      <c r="J92" s="1596">
        <f>ROUND(H92*I92,2)</f>
        <v>192</v>
      </c>
      <c r="K92" s="1540"/>
    </row>
    <row r="93" spans="1:11" hidden="1">
      <c r="A93" s="1592"/>
      <c r="B93" s="1594"/>
      <c r="C93" s="1566" t="s">
        <v>1484</v>
      </c>
      <c r="D93" s="1595" t="s">
        <v>539</v>
      </c>
      <c r="E93" s="1596">
        <v>0.9</v>
      </c>
      <c r="F93" s="1597"/>
      <c r="G93" s="1596">
        <v>2.1</v>
      </c>
      <c r="H93" s="1597">
        <f>ROUND(G93*E93*2.25/3,2)</f>
        <v>1.42</v>
      </c>
      <c r="I93" s="1596">
        <f>G15</f>
        <v>577.61900000000003</v>
      </c>
      <c r="J93" s="1596">
        <f>H93*I93/10</f>
        <v>82.021897999999993</v>
      </c>
      <c r="K93" s="1540"/>
    </row>
    <row r="94" spans="1:11" hidden="1">
      <c r="A94" s="1592"/>
      <c r="B94" s="1594"/>
      <c r="C94" s="1566" t="s">
        <v>230</v>
      </c>
      <c r="D94" s="1595"/>
      <c r="E94" s="1596"/>
      <c r="F94" s="1597"/>
      <c r="G94" s="1597"/>
      <c r="H94" s="1599">
        <v>1</v>
      </c>
      <c r="I94" s="1596">
        <v>50</v>
      </c>
      <c r="J94" s="1596">
        <f>H94*I94</f>
        <v>50</v>
      </c>
      <c r="K94" s="1540"/>
    </row>
    <row r="95" spans="1:11" hidden="1">
      <c r="A95" s="1592"/>
      <c r="B95" s="1594"/>
      <c r="C95" s="1566"/>
      <c r="D95" s="1595"/>
      <c r="E95" s="1596"/>
      <c r="F95" s="1597"/>
      <c r="G95" s="1597"/>
      <c r="H95" s="1597"/>
      <c r="I95" s="1596"/>
      <c r="J95" s="1596">
        <f>SUM(J88:J94)</f>
        <v>4334.4818980000009</v>
      </c>
      <c r="K95" s="1540"/>
    </row>
    <row r="96" spans="1:11" s="18" customFormat="1" hidden="1">
      <c r="A96" s="1592"/>
      <c r="B96" s="1604"/>
      <c r="C96" s="1566" t="s">
        <v>1600</v>
      </c>
      <c r="D96" s="1605"/>
      <c r="E96" s="1603"/>
      <c r="F96" s="1606"/>
      <c r="G96" s="1606"/>
      <c r="H96" s="1606">
        <f>J95</f>
        <v>4334.4818980000009</v>
      </c>
      <c r="I96" s="1603">
        <f>I6</f>
        <v>0</v>
      </c>
      <c r="J96" s="1596">
        <f>ROUND(H96*I96,2)</f>
        <v>0</v>
      </c>
      <c r="K96" s="1543"/>
    </row>
    <row r="97" spans="1:11" s="439" customFormat="1" hidden="1">
      <c r="A97" s="1592" t="s">
        <v>542</v>
      </c>
      <c r="B97" s="1604"/>
      <c r="C97" s="1611" t="s">
        <v>1292</v>
      </c>
      <c r="D97" s="1605"/>
      <c r="E97" s="1603"/>
      <c r="F97" s="1606"/>
      <c r="G97" s="1606"/>
      <c r="H97" s="1606"/>
      <c r="I97" s="1603" t="s">
        <v>416</v>
      </c>
      <c r="J97" s="1603">
        <f>SUM(J95:J96)</f>
        <v>4334.4818980000009</v>
      </c>
      <c r="K97" s="1544"/>
    </row>
    <row r="98" spans="1:11" s="439" customFormat="1" hidden="1">
      <c r="A98" s="1592"/>
      <c r="B98" s="1604"/>
      <c r="C98" s="1611" t="s">
        <v>1293</v>
      </c>
      <c r="D98" s="1605"/>
      <c r="E98" s="1603"/>
      <c r="F98" s="1606"/>
      <c r="G98" s="1606"/>
      <c r="H98" s="1606"/>
      <c r="I98" s="1603" t="s">
        <v>416</v>
      </c>
      <c r="J98" s="1603">
        <f>J85-J97</f>
        <v>11918.756176999999</v>
      </c>
      <c r="K98" s="1544"/>
    </row>
    <row r="99" spans="1:11" ht="193.5" hidden="1">
      <c r="A99" s="1592"/>
      <c r="B99" s="1584">
        <v>4</v>
      </c>
      <c r="C99" s="1575" t="s">
        <v>1827</v>
      </c>
      <c r="D99" s="1595"/>
      <c r="E99" s="1596"/>
      <c r="F99" s="1597"/>
      <c r="G99" s="1597"/>
      <c r="H99" s="1597"/>
      <c r="I99" s="1596"/>
      <c r="J99" s="1596"/>
      <c r="K99" s="1540"/>
    </row>
    <row r="100" spans="1:11" hidden="1">
      <c r="A100" s="1592"/>
      <c r="B100" s="1594"/>
      <c r="C100" s="1575" t="s">
        <v>793</v>
      </c>
      <c r="D100" s="1605"/>
      <c r="E100" s="1603"/>
      <c r="F100" s="1597"/>
      <c r="G100" s="1597"/>
      <c r="H100" s="1597"/>
      <c r="I100" s="1596"/>
      <c r="J100" s="1596"/>
      <c r="K100" s="1540"/>
    </row>
    <row r="101" spans="1:11" hidden="1">
      <c r="A101" s="1592"/>
      <c r="B101" s="1594"/>
      <c r="C101" s="1566" t="s">
        <v>779</v>
      </c>
      <c r="D101" s="1595"/>
      <c r="E101" s="1596"/>
      <c r="F101" s="1597"/>
      <c r="G101" s="1597"/>
      <c r="H101" s="1597"/>
      <c r="I101" s="1596"/>
      <c r="J101" s="1596"/>
      <c r="K101" s="1540"/>
    </row>
    <row r="102" spans="1:11" hidden="1">
      <c r="A102" s="1592"/>
      <c r="B102" s="1594"/>
      <c r="C102" s="1566" t="s">
        <v>780</v>
      </c>
      <c r="D102" s="1595">
        <v>2</v>
      </c>
      <c r="E102" s="1596">
        <v>2.1</v>
      </c>
      <c r="F102" s="1597">
        <v>0.1</v>
      </c>
      <c r="G102" s="1597">
        <v>7.4999999999999997E-2</v>
      </c>
      <c r="H102" s="1597">
        <f>ROUND(D102*E102*F102*G102,3)</f>
        <v>3.2000000000000001E-2</v>
      </c>
      <c r="I102" s="1596">
        <v>80689</v>
      </c>
      <c r="J102" s="1596">
        <f t="shared" ref="J102:J107" si="5">ROUND(H102*I102,2)</f>
        <v>2582.0500000000002</v>
      </c>
      <c r="K102" s="1540"/>
    </row>
    <row r="103" spans="1:11" hidden="1">
      <c r="A103" s="1592"/>
      <c r="B103" s="1594"/>
      <c r="C103" s="1566" t="s">
        <v>781</v>
      </c>
      <c r="D103" s="1595">
        <v>1</v>
      </c>
      <c r="E103" s="1596">
        <v>1.2</v>
      </c>
      <c r="F103" s="1597">
        <v>0.1</v>
      </c>
      <c r="G103" s="1597">
        <v>7.4999999999999997E-2</v>
      </c>
      <c r="H103" s="1597">
        <f>ROUND(D103*E103*F103*G103,3)</f>
        <v>8.9999999999999993E-3</v>
      </c>
      <c r="I103" s="1596">
        <v>80689</v>
      </c>
      <c r="J103" s="1596">
        <f t="shared" si="5"/>
        <v>726.2</v>
      </c>
      <c r="K103" s="1540"/>
    </row>
    <row r="104" spans="1:11" hidden="1">
      <c r="A104" s="1592"/>
      <c r="B104" s="1594"/>
      <c r="C104" s="1566" t="s">
        <v>782</v>
      </c>
      <c r="D104" s="1595">
        <v>4</v>
      </c>
      <c r="E104" s="1596">
        <f>(2.1-1*0.075-0.075)+1*0.015</f>
        <v>1.9649999999999999</v>
      </c>
      <c r="F104" s="1597">
        <v>0.1</v>
      </c>
      <c r="G104" s="1597">
        <f>1.25*25.4/1000</f>
        <v>3.175E-2</v>
      </c>
      <c r="H104" s="1597">
        <f>ROUND(D104*E104*F104*G104,3)</f>
        <v>2.5000000000000001E-2</v>
      </c>
      <c r="I104" s="1596">
        <v>145240</v>
      </c>
      <c r="J104" s="1596">
        <f t="shared" si="5"/>
        <v>3631</v>
      </c>
      <c r="K104" s="1540"/>
    </row>
    <row r="105" spans="1:11" hidden="1">
      <c r="A105" s="1592"/>
      <c r="B105" s="1594"/>
      <c r="C105" s="1566" t="s">
        <v>783</v>
      </c>
      <c r="D105" s="1595" t="s">
        <v>791</v>
      </c>
      <c r="E105" s="1596">
        <f>(1.05-2*0.075+2*0.015)/2</f>
        <v>0.46500000000000002</v>
      </c>
      <c r="F105" s="1597">
        <v>0.1</v>
      </c>
      <c r="G105" s="1597">
        <f>1.25*25.4/1000</f>
        <v>3.175E-2</v>
      </c>
      <c r="H105" s="1597">
        <f>ROUND(12*E105*F105*G105,3)</f>
        <v>1.7999999999999999E-2</v>
      </c>
      <c r="I105" s="1596">
        <v>145240</v>
      </c>
      <c r="J105" s="1596">
        <f t="shared" si="5"/>
        <v>2614.3200000000002</v>
      </c>
      <c r="K105" s="1540"/>
    </row>
    <row r="106" spans="1:11" hidden="1">
      <c r="A106" s="1592"/>
      <c r="B106" s="1594"/>
      <c r="C106" s="1566" t="s">
        <v>1481</v>
      </c>
      <c r="D106" s="1595" t="s">
        <v>792</v>
      </c>
      <c r="E106" s="1596">
        <f>(1.05-2*0.075+2*0.015)/2-2*0.1+2*0.025</f>
        <v>0.315</v>
      </c>
      <c r="F106" s="1597">
        <f>(2.1-2*0.075+1*0.015-6*0.1)/5+2*0.025</f>
        <v>0.32300000000000001</v>
      </c>
      <c r="G106" s="1597">
        <v>2.5000000000000001E-2</v>
      </c>
      <c r="H106" s="1597">
        <f>ROUND(10*E106*F106*G106,3)</f>
        <v>2.5000000000000001E-2</v>
      </c>
      <c r="I106" s="1596">
        <v>145240</v>
      </c>
      <c r="J106" s="1596">
        <f t="shared" si="5"/>
        <v>3631</v>
      </c>
      <c r="K106" s="1540"/>
    </row>
    <row r="107" spans="1:11" hidden="1">
      <c r="A107" s="1592"/>
      <c r="B107" s="1594"/>
      <c r="C107" s="1566" t="s">
        <v>1482</v>
      </c>
      <c r="D107" s="1595"/>
      <c r="E107" s="1596"/>
      <c r="F107" s="1597"/>
      <c r="G107" s="1597"/>
      <c r="H107" s="1597">
        <f>SUM(H102:H106)</f>
        <v>0.10900000000000001</v>
      </c>
      <c r="I107" s="1596">
        <f>G25</f>
        <v>19572.5</v>
      </c>
      <c r="J107" s="1596">
        <f t="shared" si="5"/>
        <v>2133.4</v>
      </c>
      <c r="K107" s="1540"/>
    </row>
    <row r="108" spans="1:11" ht="33.299999999999997" hidden="1">
      <c r="A108" s="1592" t="s">
        <v>787</v>
      </c>
      <c r="B108" s="1580"/>
      <c r="C108" s="1566" t="s">
        <v>788</v>
      </c>
      <c r="D108" s="1595"/>
      <c r="E108" s="1596"/>
      <c r="F108" s="1597"/>
      <c r="G108" s="1606"/>
      <c r="H108" s="1606"/>
      <c r="I108" s="1596"/>
      <c r="J108" s="1596"/>
      <c r="K108" s="1540"/>
    </row>
    <row r="109" spans="1:11" hidden="1">
      <c r="A109" s="1592"/>
      <c r="B109" s="1580"/>
      <c r="C109" s="329" t="s">
        <v>911</v>
      </c>
      <c r="D109" s="1595" t="s">
        <v>1035</v>
      </c>
      <c r="E109" s="1596" t="s">
        <v>1617</v>
      </c>
      <c r="F109" s="1597"/>
      <c r="G109" s="1597"/>
      <c r="H109" s="1599">
        <v>2</v>
      </c>
      <c r="I109" s="1596">
        <v>68</v>
      </c>
      <c r="J109" s="1596">
        <f t="shared" ref="J109:J117" si="6">ROUND(H109*I109,2)</f>
        <v>136</v>
      </c>
      <c r="K109" s="1540"/>
    </row>
    <row r="110" spans="1:11" hidden="1">
      <c r="A110" s="1592"/>
      <c r="B110" s="1580"/>
      <c r="C110" s="329" t="s">
        <v>912</v>
      </c>
      <c r="D110" s="1595" t="s">
        <v>1035</v>
      </c>
      <c r="E110" s="1596" t="s">
        <v>1618</v>
      </c>
      <c r="F110" s="1597"/>
      <c r="G110" s="1597"/>
      <c r="H110" s="1599">
        <v>1</v>
      </c>
      <c r="I110" s="1596">
        <v>35</v>
      </c>
      <c r="J110" s="1596">
        <f t="shared" si="6"/>
        <v>35</v>
      </c>
      <c r="K110" s="1540"/>
    </row>
    <row r="111" spans="1:11" hidden="1">
      <c r="A111" s="1592"/>
      <c r="B111" s="1580"/>
      <c r="C111" s="1608" t="s">
        <v>913</v>
      </c>
      <c r="D111" s="1595" t="s">
        <v>1035</v>
      </c>
      <c r="E111" s="1596" t="s">
        <v>1619</v>
      </c>
      <c r="F111" s="1597"/>
      <c r="G111" s="1597"/>
      <c r="H111" s="1599">
        <v>6</v>
      </c>
      <c r="I111" s="1596">
        <v>31</v>
      </c>
      <c r="J111" s="1596">
        <f t="shared" si="6"/>
        <v>186</v>
      </c>
      <c r="K111" s="1540"/>
    </row>
    <row r="112" spans="1:11" hidden="1">
      <c r="A112" s="1592"/>
      <c r="B112" s="1580"/>
      <c r="C112" s="329" t="s">
        <v>914</v>
      </c>
      <c r="D112" s="1595" t="s">
        <v>1035</v>
      </c>
      <c r="E112" s="1596" t="s">
        <v>1918</v>
      </c>
      <c r="F112" s="1597"/>
      <c r="G112" s="1597"/>
      <c r="H112" s="1599">
        <v>1</v>
      </c>
      <c r="I112" s="1596">
        <v>164</v>
      </c>
      <c r="J112" s="1596">
        <f t="shared" si="6"/>
        <v>164</v>
      </c>
      <c r="K112" s="1540"/>
    </row>
    <row r="113" spans="1:11" hidden="1">
      <c r="A113" s="1592"/>
      <c r="B113" s="1580"/>
      <c r="C113" s="329" t="s">
        <v>296</v>
      </c>
      <c r="D113" s="1595" t="s">
        <v>1035</v>
      </c>
      <c r="E113" s="1596" t="s">
        <v>1919</v>
      </c>
      <c r="F113" s="1597"/>
      <c r="G113" s="1597"/>
      <c r="H113" s="1599">
        <v>2</v>
      </c>
      <c r="I113" s="1596">
        <v>45</v>
      </c>
      <c r="J113" s="1596">
        <f t="shared" si="6"/>
        <v>90</v>
      </c>
      <c r="K113" s="1540"/>
    </row>
    <row r="114" spans="1:11" hidden="1">
      <c r="A114" s="1592"/>
      <c r="B114" s="1580"/>
      <c r="C114" s="1566" t="s">
        <v>420</v>
      </c>
      <c r="D114" s="1595"/>
      <c r="E114" s="1596" t="s">
        <v>1649</v>
      </c>
      <c r="F114" s="1597"/>
      <c r="G114" s="1597"/>
      <c r="H114" s="1599">
        <v>3</v>
      </c>
      <c r="I114" s="1596">
        <v>31</v>
      </c>
      <c r="J114" s="1596">
        <f t="shared" si="6"/>
        <v>93</v>
      </c>
      <c r="K114" s="1540"/>
    </row>
    <row r="115" spans="1:11" hidden="1">
      <c r="A115" s="1592"/>
      <c r="B115" s="1580"/>
      <c r="C115" s="329" t="s">
        <v>799</v>
      </c>
      <c r="D115" s="1595" t="s">
        <v>882</v>
      </c>
      <c r="E115" s="1596" t="s">
        <v>1826</v>
      </c>
      <c r="F115" s="1597"/>
      <c r="G115" s="1597"/>
      <c r="H115" s="1599">
        <v>80</v>
      </c>
      <c r="I115" s="1596">
        <v>3</v>
      </c>
      <c r="J115" s="1596">
        <f t="shared" si="6"/>
        <v>240</v>
      </c>
      <c r="K115" s="1540"/>
    </row>
    <row r="116" spans="1:11" hidden="1">
      <c r="A116" s="1592"/>
      <c r="B116" s="1580"/>
      <c r="C116" s="1598" t="s">
        <v>1623</v>
      </c>
      <c r="D116" s="1595" t="s">
        <v>882</v>
      </c>
      <c r="E116" s="1596" t="s">
        <v>1920</v>
      </c>
      <c r="F116" s="1597"/>
      <c r="G116" s="1597"/>
      <c r="H116" s="1599">
        <v>10</v>
      </c>
      <c r="I116" s="1596">
        <v>16</v>
      </c>
      <c r="J116" s="1596">
        <f t="shared" si="6"/>
        <v>160</v>
      </c>
      <c r="K116" s="1540"/>
    </row>
    <row r="117" spans="1:11" hidden="1">
      <c r="A117" s="1592"/>
      <c r="B117" s="1601"/>
      <c r="C117" s="329" t="s">
        <v>1598</v>
      </c>
      <c r="D117" s="1595"/>
      <c r="E117" s="1602" t="s">
        <v>1651</v>
      </c>
      <c r="F117" s="1597"/>
      <c r="G117" s="1597"/>
      <c r="H117" s="1599">
        <v>6</v>
      </c>
      <c r="I117" s="1596">
        <v>32</v>
      </c>
      <c r="J117" s="1596">
        <f t="shared" si="6"/>
        <v>192</v>
      </c>
      <c r="K117" s="1540"/>
    </row>
    <row r="118" spans="1:11" hidden="1">
      <c r="A118" s="1592"/>
      <c r="B118" s="1594"/>
      <c r="C118" s="1566" t="s">
        <v>1484</v>
      </c>
      <c r="D118" s="1595">
        <v>2.25</v>
      </c>
      <c r="E118" s="1596">
        <v>1.05</v>
      </c>
      <c r="F118" s="1597"/>
      <c r="G118" s="1596">
        <v>2.1</v>
      </c>
      <c r="H118" s="1597">
        <f>ROUND(G118*E118*D118,2)</f>
        <v>4.96</v>
      </c>
      <c r="I118" s="1596">
        <f>G15</f>
        <v>577.61900000000003</v>
      </c>
      <c r="J118" s="1596">
        <f>H118*I118/10</f>
        <v>286.49902400000002</v>
      </c>
      <c r="K118" s="1540"/>
    </row>
    <row r="119" spans="1:11" hidden="1">
      <c r="A119" s="1592"/>
      <c r="B119" s="1594"/>
      <c r="C119" s="1566" t="s">
        <v>230</v>
      </c>
      <c r="D119" s="1595"/>
      <c r="E119" s="1596"/>
      <c r="F119" s="1597"/>
      <c r="G119" s="1597"/>
      <c r="H119" s="1599">
        <v>1</v>
      </c>
      <c r="I119" s="1596">
        <v>75</v>
      </c>
      <c r="J119" s="1596">
        <f>H119*I119</f>
        <v>75</v>
      </c>
      <c r="K119" s="1540"/>
    </row>
    <row r="120" spans="1:11" hidden="1">
      <c r="A120" s="1592"/>
      <c r="B120" s="1594"/>
      <c r="C120" s="1566"/>
      <c r="D120" s="1595"/>
      <c r="E120" s="1596"/>
      <c r="F120" s="1597"/>
      <c r="G120" s="1597"/>
      <c r="H120" s="1597"/>
      <c r="I120" s="1596"/>
      <c r="J120" s="1596">
        <f>SUM(J102:J119)</f>
        <v>16975.469024000002</v>
      </c>
      <c r="K120" s="1540"/>
    </row>
    <row r="121" spans="1:11" s="18" customFormat="1" hidden="1">
      <c r="A121" s="1592"/>
      <c r="B121" s="1604"/>
      <c r="C121" s="1566" t="s">
        <v>1600</v>
      </c>
      <c r="D121" s="1605"/>
      <c r="E121" s="1603"/>
      <c r="F121" s="1606"/>
      <c r="G121" s="1606"/>
      <c r="H121" s="1606">
        <f>J120</f>
        <v>16975.469024000002</v>
      </c>
      <c r="I121" s="1603">
        <f>I6</f>
        <v>0</v>
      </c>
      <c r="J121" s="1603">
        <f>ROUND(H121*I121,2)</f>
        <v>0</v>
      </c>
      <c r="K121" s="1543"/>
    </row>
    <row r="122" spans="1:11" s="18" customFormat="1" hidden="1">
      <c r="A122" s="1592"/>
      <c r="B122" s="1604"/>
      <c r="C122" s="1575" t="s">
        <v>256</v>
      </c>
      <c r="D122" s="1605"/>
      <c r="E122" s="1603"/>
      <c r="F122" s="1606"/>
      <c r="G122" s="1606"/>
      <c r="H122" s="1606"/>
      <c r="I122" s="1603" t="s">
        <v>416</v>
      </c>
      <c r="J122" s="1603">
        <f>SUM(J120:J121)</f>
        <v>16975.469024000002</v>
      </c>
      <c r="K122" s="1543"/>
    </row>
    <row r="123" spans="1:11" hidden="1">
      <c r="A123" s="1592"/>
      <c r="B123" s="1594"/>
      <c r="C123" s="1575" t="s">
        <v>1294</v>
      </c>
      <c r="D123" s="1605"/>
      <c r="E123" s="1603"/>
      <c r="F123" s="1597"/>
      <c r="G123" s="1597"/>
      <c r="H123" s="1597"/>
      <c r="I123" s="1596"/>
      <c r="J123" s="1596"/>
      <c r="K123" s="1540"/>
    </row>
    <row r="124" spans="1:11" hidden="1">
      <c r="A124" s="1592"/>
      <c r="B124" s="1594"/>
      <c r="C124" s="1566" t="s">
        <v>779</v>
      </c>
      <c r="D124" s="1595"/>
      <c r="E124" s="1596"/>
      <c r="F124" s="1597"/>
      <c r="G124" s="1597"/>
      <c r="H124" s="1597"/>
      <c r="I124" s="1596"/>
      <c r="J124" s="1596"/>
      <c r="K124" s="1540"/>
    </row>
    <row r="125" spans="1:11" hidden="1">
      <c r="A125" s="1592"/>
      <c r="B125" s="1594"/>
      <c r="C125" s="1566" t="s">
        <v>780</v>
      </c>
      <c r="D125" s="1595">
        <v>2</v>
      </c>
      <c r="E125" s="1596">
        <v>2.1</v>
      </c>
      <c r="F125" s="1597">
        <v>0.1</v>
      </c>
      <c r="G125" s="1597">
        <v>7.4999999999999997E-2</v>
      </c>
      <c r="H125" s="1597">
        <f>ROUND(D125*E125*F125*G125,3)</f>
        <v>3.2000000000000001E-2</v>
      </c>
      <c r="I125" s="1596">
        <v>80689</v>
      </c>
      <c r="J125" s="1596">
        <f>ROUND(H125*I125,2)</f>
        <v>2582.0500000000002</v>
      </c>
      <c r="K125" s="1540"/>
    </row>
    <row r="126" spans="1:11" hidden="1">
      <c r="A126" s="1592"/>
      <c r="B126" s="1594"/>
      <c r="C126" s="1566" t="s">
        <v>781</v>
      </c>
      <c r="D126" s="1595">
        <v>1</v>
      </c>
      <c r="E126" s="1596">
        <v>1.2</v>
      </c>
      <c r="F126" s="1597">
        <v>0.1</v>
      </c>
      <c r="G126" s="1597">
        <v>7.4999999999999997E-2</v>
      </c>
      <c r="H126" s="1597">
        <f>ROUND(D126*E126*F126*G126,3)</f>
        <v>8.9999999999999993E-3</v>
      </c>
      <c r="I126" s="1596">
        <v>80689</v>
      </c>
      <c r="J126" s="1596">
        <f>ROUND(H126*I126,2)</f>
        <v>726.2</v>
      </c>
      <c r="K126" s="1540"/>
    </row>
    <row r="127" spans="1:11" hidden="1">
      <c r="A127" s="1592"/>
      <c r="B127" s="1594"/>
      <c r="C127" s="1566" t="s">
        <v>1482</v>
      </c>
      <c r="D127" s="1595"/>
      <c r="E127" s="1596"/>
      <c r="F127" s="1597"/>
      <c r="G127" s="1597"/>
      <c r="H127" s="1597">
        <f>SUM(H125:H126)</f>
        <v>4.1000000000000002E-2</v>
      </c>
      <c r="I127" s="1596">
        <f>G25</f>
        <v>19572.5</v>
      </c>
      <c r="J127" s="1596">
        <f>ROUND(H127*I127,2)</f>
        <v>802.47</v>
      </c>
      <c r="K127" s="1540"/>
    </row>
    <row r="128" spans="1:11" hidden="1">
      <c r="A128" s="1592"/>
      <c r="B128" s="1594"/>
      <c r="C128" s="1566" t="s">
        <v>1484</v>
      </c>
      <c r="D128" s="1595" t="s">
        <v>539</v>
      </c>
      <c r="E128" s="1596">
        <v>1.05</v>
      </c>
      <c r="F128" s="1597"/>
      <c r="G128" s="1597">
        <v>2.1</v>
      </c>
      <c r="H128" s="1597">
        <f>ROUND(G128*E128*2.25/3,2)</f>
        <v>1.65</v>
      </c>
      <c r="I128" s="1596">
        <f>G15</f>
        <v>577.61900000000003</v>
      </c>
      <c r="J128" s="1596">
        <f>ROUND(H128*I128/10,2)</f>
        <v>95.31</v>
      </c>
      <c r="K128" s="1540"/>
    </row>
    <row r="129" spans="1:11" hidden="1">
      <c r="A129" s="1592"/>
      <c r="B129" s="1601"/>
      <c r="C129" s="1566" t="s">
        <v>1598</v>
      </c>
      <c r="D129" s="1595"/>
      <c r="E129" s="1602" t="s">
        <v>1651</v>
      </c>
      <c r="F129" s="1597"/>
      <c r="G129" s="1597"/>
      <c r="H129" s="1599">
        <v>6</v>
      </c>
      <c r="I129" s="1596">
        <v>32</v>
      </c>
      <c r="J129" s="1596">
        <f>ROUND(H129*I129,2)</f>
        <v>192</v>
      </c>
      <c r="K129" s="1540"/>
    </row>
    <row r="130" spans="1:11" hidden="1">
      <c r="A130" s="1592"/>
      <c r="B130" s="1594"/>
      <c r="C130" s="1566" t="s">
        <v>230</v>
      </c>
      <c r="D130" s="1595"/>
      <c r="E130" s="1596"/>
      <c r="F130" s="1597"/>
      <c r="G130" s="1597"/>
      <c r="H130" s="1599">
        <v>1</v>
      </c>
      <c r="I130" s="1596">
        <v>50</v>
      </c>
      <c r="J130" s="1596">
        <f>ROUND(H130*I130,2)</f>
        <v>50</v>
      </c>
      <c r="K130" s="1540"/>
    </row>
    <row r="131" spans="1:11" hidden="1">
      <c r="A131" s="1592"/>
      <c r="B131" s="1594"/>
      <c r="C131" s="1566"/>
      <c r="D131" s="1595"/>
      <c r="E131" s="1596"/>
      <c r="F131" s="1597"/>
      <c r="G131" s="1597"/>
      <c r="H131" s="1597"/>
      <c r="I131" s="1596"/>
      <c r="J131" s="1596">
        <f>SUM(J125:J130)</f>
        <v>4448.0300000000007</v>
      </c>
      <c r="K131" s="1540"/>
    </row>
    <row r="132" spans="1:11" s="18" customFormat="1" hidden="1">
      <c r="A132" s="1592"/>
      <c r="B132" s="1604"/>
      <c r="C132" s="1566" t="s">
        <v>1600</v>
      </c>
      <c r="D132" s="1605"/>
      <c r="E132" s="1603"/>
      <c r="F132" s="1606"/>
      <c r="G132" s="1606"/>
      <c r="H132" s="1606">
        <f>J131</f>
        <v>4448.0300000000007</v>
      </c>
      <c r="I132" s="1603">
        <f>I6</f>
        <v>0</v>
      </c>
      <c r="J132" s="1596">
        <f>ROUND(H132*I132,2)</f>
        <v>0</v>
      </c>
      <c r="K132" s="1543"/>
    </row>
    <row r="133" spans="1:11" s="439" customFormat="1" hidden="1">
      <c r="A133" s="1592" t="s">
        <v>542</v>
      </c>
      <c r="B133" s="1604"/>
      <c r="C133" s="1575" t="s">
        <v>1295</v>
      </c>
      <c r="D133" s="1605"/>
      <c r="E133" s="1603"/>
      <c r="F133" s="1606"/>
      <c r="G133" s="1606"/>
      <c r="H133" s="1606"/>
      <c r="I133" s="1603" t="s">
        <v>1486</v>
      </c>
      <c r="J133" s="1603">
        <f>SUM(J131:J132)</f>
        <v>4448.0300000000007</v>
      </c>
      <c r="K133" s="1544"/>
    </row>
    <row r="134" spans="1:11" s="439" customFormat="1" hidden="1">
      <c r="A134" s="1592"/>
      <c r="B134" s="1604"/>
      <c r="C134" s="1575" t="s">
        <v>1296</v>
      </c>
      <c r="D134" s="1605"/>
      <c r="E134" s="1603"/>
      <c r="F134" s="1606"/>
      <c r="G134" s="1606"/>
      <c r="H134" s="1606"/>
      <c r="I134" s="1603" t="s">
        <v>1486</v>
      </c>
      <c r="J134" s="1603">
        <f>J122-J133</f>
        <v>12527.439024000001</v>
      </c>
      <c r="K134" s="1544"/>
    </row>
    <row r="135" spans="1:11" ht="193.5" hidden="1">
      <c r="A135" s="1592"/>
      <c r="B135" s="1584">
        <v>5</v>
      </c>
      <c r="C135" s="1566" t="s">
        <v>1828</v>
      </c>
      <c r="D135" s="1595"/>
      <c r="E135" s="1596"/>
      <c r="F135" s="1597"/>
      <c r="G135" s="1597"/>
      <c r="H135" s="1597"/>
      <c r="I135" s="1596"/>
      <c r="J135" s="1596"/>
      <c r="K135" s="1540"/>
    </row>
    <row r="136" spans="1:11" hidden="1">
      <c r="A136" s="1592"/>
      <c r="B136" s="1594"/>
      <c r="C136" s="1575" t="s">
        <v>1297</v>
      </c>
      <c r="D136" s="1605"/>
      <c r="E136" s="1603"/>
      <c r="F136" s="1597"/>
      <c r="G136" s="1597"/>
      <c r="H136" s="1597"/>
      <c r="I136" s="1596"/>
      <c r="J136" s="1596"/>
      <c r="K136" s="1540"/>
    </row>
    <row r="137" spans="1:11" hidden="1">
      <c r="A137" s="1592"/>
      <c r="B137" s="1594"/>
      <c r="C137" s="1566" t="s">
        <v>779</v>
      </c>
      <c r="D137" s="1595"/>
      <c r="E137" s="1596"/>
      <c r="F137" s="1597"/>
      <c r="G137" s="1597"/>
      <c r="H137" s="1597"/>
      <c r="I137" s="1596"/>
      <c r="J137" s="1596"/>
      <c r="K137" s="1540"/>
    </row>
    <row r="138" spans="1:11" hidden="1">
      <c r="A138" s="1592"/>
      <c r="B138" s="1594"/>
      <c r="C138" s="1566" t="s">
        <v>780</v>
      </c>
      <c r="D138" s="1595">
        <v>2</v>
      </c>
      <c r="E138" s="1596">
        <v>2.1</v>
      </c>
      <c r="F138" s="1597">
        <v>0.1</v>
      </c>
      <c r="G138" s="1597">
        <v>7.4999999999999997E-2</v>
      </c>
      <c r="H138" s="1597">
        <f>ROUND(D138*E138*F138*G138,3)</f>
        <v>3.2000000000000001E-2</v>
      </c>
      <c r="I138" s="1596">
        <v>80689</v>
      </c>
      <c r="J138" s="1596">
        <f t="shared" ref="J138:J143" si="7">ROUND(H138*I138,2)</f>
        <v>2582.0500000000002</v>
      </c>
      <c r="K138" s="1540"/>
    </row>
    <row r="139" spans="1:11" hidden="1">
      <c r="A139" s="1592"/>
      <c r="B139" s="1594"/>
      <c r="C139" s="1566" t="s">
        <v>781</v>
      </c>
      <c r="D139" s="1595">
        <v>1</v>
      </c>
      <c r="E139" s="1596">
        <v>1.35</v>
      </c>
      <c r="F139" s="1597">
        <v>0.1</v>
      </c>
      <c r="G139" s="1597">
        <v>7.4999999999999997E-2</v>
      </c>
      <c r="H139" s="1597">
        <f>ROUND(D139*E139*F139*G139,3)</f>
        <v>0.01</v>
      </c>
      <c r="I139" s="1596">
        <v>80689</v>
      </c>
      <c r="J139" s="1596">
        <f t="shared" si="7"/>
        <v>806.89</v>
      </c>
      <c r="K139" s="1540"/>
    </row>
    <row r="140" spans="1:11" hidden="1">
      <c r="A140" s="1592"/>
      <c r="B140" s="1594"/>
      <c r="C140" s="1566" t="s">
        <v>782</v>
      </c>
      <c r="D140" s="1595">
        <v>4</v>
      </c>
      <c r="E140" s="1596">
        <f>(2.1-1*0.075-0.075)+1*0.015</f>
        <v>1.9649999999999999</v>
      </c>
      <c r="F140" s="1597">
        <v>0.1</v>
      </c>
      <c r="G140" s="1597">
        <f>1.25*25.4/1000</f>
        <v>3.175E-2</v>
      </c>
      <c r="H140" s="1597">
        <f>ROUND(D140*E140*F140*G140,3)</f>
        <v>2.5000000000000001E-2</v>
      </c>
      <c r="I140" s="1596">
        <v>145240</v>
      </c>
      <c r="J140" s="1596">
        <f t="shared" si="7"/>
        <v>3631</v>
      </c>
      <c r="K140" s="1540"/>
    </row>
    <row r="141" spans="1:11" hidden="1">
      <c r="A141" s="1592"/>
      <c r="B141" s="1594"/>
      <c r="C141" s="1566" t="s">
        <v>783</v>
      </c>
      <c r="D141" s="1595" t="s">
        <v>791</v>
      </c>
      <c r="E141" s="1596">
        <f>(1.2-2*0.075+2*0.015)/2</f>
        <v>0.54</v>
      </c>
      <c r="F141" s="1597">
        <v>0.1</v>
      </c>
      <c r="G141" s="1597">
        <f>1.25*25.4/1000</f>
        <v>3.175E-2</v>
      </c>
      <c r="H141" s="1597">
        <f>ROUND(12*E141*F141*G141,3)</f>
        <v>2.1000000000000001E-2</v>
      </c>
      <c r="I141" s="1596">
        <v>145240</v>
      </c>
      <c r="J141" s="1596">
        <f t="shared" si="7"/>
        <v>3050.04</v>
      </c>
      <c r="K141" s="1540"/>
    </row>
    <row r="142" spans="1:11" hidden="1">
      <c r="A142" s="1592"/>
      <c r="B142" s="1594"/>
      <c r="C142" s="1566" t="s">
        <v>1481</v>
      </c>
      <c r="D142" s="1595" t="s">
        <v>792</v>
      </c>
      <c r="E142" s="1596">
        <f>(1.2-2*0.075+2*0.015)/2-2*0.1+2*0.025</f>
        <v>0.39</v>
      </c>
      <c r="F142" s="1597">
        <f>(2.1-2*0.075+1*0.015-6*0.1)/5+2*0.025</f>
        <v>0.32300000000000001</v>
      </c>
      <c r="G142" s="1597">
        <v>2.5000000000000001E-2</v>
      </c>
      <c r="H142" s="1597">
        <f>ROUND(10*E142*F142*G142,3)</f>
        <v>3.1E-2</v>
      </c>
      <c r="I142" s="1596">
        <v>145240</v>
      </c>
      <c r="J142" s="1596">
        <f t="shared" si="7"/>
        <v>4502.4399999999996</v>
      </c>
      <c r="K142" s="1540"/>
    </row>
    <row r="143" spans="1:11" hidden="1">
      <c r="A143" s="1592"/>
      <c r="B143" s="1594"/>
      <c r="C143" s="1566" t="s">
        <v>1482</v>
      </c>
      <c r="D143" s="1595"/>
      <c r="E143" s="1596"/>
      <c r="F143" s="1597"/>
      <c r="G143" s="1597"/>
      <c r="H143" s="1597">
        <f>SUM(H138:H142)</f>
        <v>0.11900000000000001</v>
      </c>
      <c r="I143" s="1596">
        <f>G25</f>
        <v>19572.5</v>
      </c>
      <c r="J143" s="1596">
        <f t="shared" si="7"/>
        <v>2329.13</v>
      </c>
      <c r="K143" s="1540"/>
    </row>
    <row r="144" spans="1:11" ht="33.299999999999997" hidden="1">
      <c r="A144" s="1592" t="s">
        <v>787</v>
      </c>
      <c r="B144" s="1580"/>
      <c r="C144" s="1566" t="s">
        <v>788</v>
      </c>
      <c r="D144" s="1595"/>
      <c r="E144" s="1596"/>
      <c r="F144" s="1597"/>
      <c r="G144" s="1606"/>
      <c r="H144" s="1606"/>
      <c r="I144" s="1596"/>
      <c r="J144" s="1596"/>
      <c r="K144" s="1540"/>
    </row>
    <row r="145" spans="1:11" hidden="1">
      <c r="A145" s="1592"/>
      <c r="B145" s="1580"/>
      <c r="C145" s="329" t="s">
        <v>911</v>
      </c>
      <c r="D145" s="1595" t="s">
        <v>1035</v>
      </c>
      <c r="E145" s="1596" t="s">
        <v>1617</v>
      </c>
      <c r="F145" s="1597"/>
      <c r="G145" s="1597"/>
      <c r="H145" s="1599">
        <v>2</v>
      </c>
      <c r="I145" s="1596">
        <v>68</v>
      </c>
      <c r="J145" s="1596">
        <f t="shared" ref="J145:J153" si="8">ROUND(H145*I145,2)</f>
        <v>136</v>
      </c>
      <c r="K145" s="1540"/>
    </row>
    <row r="146" spans="1:11" hidden="1">
      <c r="A146" s="1592"/>
      <c r="B146" s="1580"/>
      <c r="C146" s="329" t="s">
        <v>912</v>
      </c>
      <c r="D146" s="1595" t="s">
        <v>1035</v>
      </c>
      <c r="E146" s="1596" t="s">
        <v>1618</v>
      </c>
      <c r="F146" s="1597"/>
      <c r="G146" s="1597"/>
      <c r="H146" s="1599">
        <v>1</v>
      </c>
      <c r="I146" s="1596">
        <v>35</v>
      </c>
      <c r="J146" s="1596">
        <f t="shared" si="8"/>
        <v>35</v>
      </c>
      <c r="K146" s="1540"/>
    </row>
    <row r="147" spans="1:11" hidden="1">
      <c r="A147" s="1592"/>
      <c r="B147" s="1580"/>
      <c r="C147" s="1608" t="s">
        <v>913</v>
      </c>
      <c r="D147" s="1595" t="s">
        <v>1035</v>
      </c>
      <c r="E147" s="1596" t="s">
        <v>1619</v>
      </c>
      <c r="F147" s="1597"/>
      <c r="G147" s="1597"/>
      <c r="H147" s="1599">
        <v>6</v>
      </c>
      <c r="I147" s="1596">
        <v>31</v>
      </c>
      <c r="J147" s="1596">
        <f t="shared" si="8"/>
        <v>186</v>
      </c>
      <c r="K147" s="1540"/>
    </row>
    <row r="148" spans="1:11" hidden="1">
      <c r="A148" s="1592"/>
      <c r="B148" s="1580"/>
      <c r="C148" s="329" t="s">
        <v>914</v>
      </c>
      <c r="D148" s="1595" t="s">
        <v>1035</v>
      </c>
      <c r="E148" s="1596" t="s">
        <v>1918</v>
      </c>
      <c r="F148" s="1597"/>
      <c r="G148" s="1597"/>
      <c r="H148" s="1599">
        <v>1</v>
      </c>
      <c r="I148" s="1596">
        <v>164</v>
      </c>
      <c r="J148" s="1596">
        <f t="shared" si="8"/>
        <v>164</v>
      </c>
      <c r="K148" s="1540"/>
    </row>
    <row r="149" spans="1:11" hidden="1">
      <c r="A149" s="1592"/>
      <c r="B149" s="1580"/>
      <c r="C149" s="329" t="s">
        <v>296</v>
      </c>
      <c r="D149" s="1595" t="s">
        <v>1035</v>
      </c>
      <c r="E149" s="1596" t="s">
        <v>1919</v>
      </c>
      <c r="F149" s="1597"/>
      <c r="G149" s="1597"/>
      <c r="H149" s="1599">
        <v>2</v>
      </c>
      <c r="I149" s="1596">
        <v>45</v>
      </c>
      <c r="J149" s="1596">
        <f t="shared" si="8"/>
        <v>90</v>
      </c>
      <c r="K149" s="1540"/>
    </row>
    <row r="150" spans="1:11" hidden="1">
      <c r="A150" s="1592"/>
      <c r="B150" s="1580"/>
      <c r="C150" s="1566" t="s">
        <v>420</v>
      </c>
      <c r="D150" s="1595"/>
      <c r="E150" s="1596" t="s">
        <v>1649</v>
      </c>
      <c r="F150" s="1597"/>
      <c r="G150" s="1597"/>
      <c r="H150" s="1599">
        <v>3</v>
      </c>
      <c r="I150" s="1596">
        <v>31</v>
      </c>
      <c r="J150" s="1596">
        <f t="shared" si="8"/>
        <v>93</v>
      </c>
      <c r="K150" s="1540"/>
    </row>
    <row r="151" spans="1:11" hidden="1">
      <c r="A151" s="1592"/>
      <c r="B151" s="1580"/>
      <c r="C151" s="329" t="s">
        <v>799</v>
      </c>
      <c r="D151" s="1595" t="s">
        <v>882</v>
      </c>
      <c r="E151" s="1596" t="s">
        <v>1826</v>
      </c>
      <c r="F151" s="1597"/>
      <c r="G151" s="1597"/>
      <c r="H151" s="1599">
        <v>80</v>
      </c>
      <c r="I151" s="1596">
        <v>3</v>
      </c>
      <c r="J151" s="1596">
        <f t="shared" si="8"/>
        <v>240</v>
      </c>
      <c r="K151" s="1540"/>
    </row>
    <row r="152" spans="1:11" hidden="1">
      <c r="A152" s="1592"/>
      <c r="B152" s="1580"/>
      <c r="C152" s="329" t="s">
        <v>231</v>
      </c>
      <c r="D152" s="1595" t="s">
        <v>882</v>
      </c>
      <c r="E152" s="1596" t="s">
        <v>1920</v>
      </c>
      <c r="F152" s="1597"/>
      <c r="G152" s="1597"/>
      <c r="H152" s="1599">
        <v>10</v>
      </c>
      <c r="I152" s="1596">
        <v>16</v>
      </c>
      <c r="J152" s="1596">
        <f t="shared" si="8"/>
        <v>160</v>
      </c>
      <c r="K152" s="1540"/>
    </row>
    <row r="153" spans="1:11" hidden="1">
      <c r="A153" s="1592"/>
      <c r="B153" s="1601"/>
      <c r="C153" s="329" t="s">
        <v>1598</v>
      </c>
      <c r="D153" s="1595"/>
      <c r="E153" s="1602" t="s">
        <v>1651</v>
      </c>
      <c r="F153" s="1597"/>
      <c r="G153" s="1597"/>
      <c r="H153" s="1599">
        <v>6</v>
      </c>
      <c r="I153" s="1596">
        <v>32</v>
      </c>
      <c r="J153" s="1596">
        <f t="shared" si="8"/>
        <v>192</v>
      </c>
      <c r="K153" s="1540"/>
    </row>
    <row r="154" spans="1:11" hidden="1">
      <c r="A154" s="1592"/>
      <c r="B154" s="1594"/>
      <c r="C154" s="1566" t="s">
        <v>1484</v>
      </c>
      <c r="D154" s="1595">
        <v>2.25</v>
      </c>
      <c r="E154" s="1596">
        <v>1.2</v>
      </c>
      <c r="F154" s="1597"/>
      <c r="G154" s="1596">
        <v>2.1</v>
      </c>
      <c r="H154" s="1597">
        <f>ROUND(G154*E154*D154,2)</f>
        <v>5.67</v>
      </c>
      <c r="I154" s="1596">
        <f>G15</f>
        <v>577.61900000000003</v>
      </c>
      <c r="J154" s="1596">
        <f>H154*I154/10</f>
        <v>327.509973</v>
      </c>
      <c r="K154" s="1540"/>
    </row>
    <row r="155" spans="1:11" hidden="1">
      <c r="A155" s="1592"/>
      <c r="B155" s="1594"/>
      <c r="C155" s="1566" t="s">
        <v>230</v>
      </c>
      <c r="D155" s="1595"/>
      <c r="E155" s="1596"/>
      <c r="F155" s="1597"/>
      <c r="G155" s="1597"/>
      <c r="H155" s="1599">
        <v>1</v>
      </c>
      <c r="I155" s="1596">
        <v>75</v>
      </c>
      <c r="J155" s="1596">
        <f>ROUND(H155*I155,2)</f>
        <v>75</v>
      </c>
      <c r="K155" s="1540"/>
    </row>
    <row r="156" spans="1:11" hidden="1">
      <c r="A156" s="1592"/>
      <c r="B156" s="1594"/>
      <c r="C156" s="1566"/>
      <c r="D156" s="1595"/>
      <c r="E156" s="1596"/>
      <c r="F156" s="1597"/>
      <c r="G156" s="1597"/>
      <c r="H156" s="1597"/>
      <c r="I156" s="1596"/>
      <c r="J156" s="1596">
        <f>SUM(J138:J155)</f>
        <v>18600.059972999999</v>
      </c>
      <c r="K156" s="1540"/>
    </row>
    <row r="157" spans="1:11" s="18" customFormat="1" hidden="1">
      <c r="A157" s="1592"/>
      <c r="B157" s="1604"/>
      <c r="C157" s="1566" t="s">
        <v>1600</v>
      </c>
      <c r="D157" s="1605"/>
      <c r="E157" s="1603"/>
      <c r="F157" s="1606"/>
      <c r="G157" s="1606"/>
      <c r="H157" s="1606">
        <f>J156</f>
        <v>18600.059972999999</v>
      </c>
      <c r="I157" s="1603">
        <f>I6</f>
        <v>0</v>
      </c>
      <c r="J157" s="1603">
        <f>ROUND(H157*I157,2)</f>
        <v>0</v>
      </c>
      <c r="K157" s="1543"/>
    </row>
    <row r="158" spans="1:11" s="18" customFormat="1" hidden="1">
      <c r="A158" s="1592"/>
      <c r="B158" s="1604"/>
      <c r="C158" s="1575" t="s">
        <v>256</v>
      </c>
      <c r="D158" s="1605"/>
      <c r="E158" s="1603"/>
      <c r="F158" s="1606"/>
      <c r="G158" s="1606"/>
      <c r="H158" s="1606"/>
      <c r="I158" s="1603" t="s">
        <v>416</v>
      </c>
      <c r="J158" s="1603">
        <f>SUM(J156:J157)</f>
        <v>18600.059972999999</v>
      </c>
      <c r="K158" s="1543"/>
    </row>
    <row r="159" spans="1:11" hidden="1">
      <c r="A159" s="1592"/>
      <c r="B159" s="1594"/>
      <c r="C159" s="1575" t="s">
        <v>1298</v>
      </c>
      <c r="D159" s="1605"/>
      <c r="E159" s="1603"/>
      <c r="F159" s="1597"/>
      <c r="G159" s="1597"/>
      <c r="H159" s="1597"/>
      <c r="I159" s="1596"/>
      <c r="J159" s="1596"/>
      <c r="K159" s="1540"/>
    </row>
    <row r="160" spans="1:11" hidden="1">
      <c r="A160" s="1592"/>
      <c r="B160" s="1594"/>
      <c r="C160" s="1566" t="s">
        <v>779</v>
      </c>
      <c r="D160" s="1595"/>
      <c r="E160" s="1596"/>
      <c r="F160" s="1597"/>
      <c r="G160" s="1597"/>
      <c r="H160" s="1597"/>
      <c r="I160" s="1596"/>
      <c r="J160" s="1596"/>
      <c r="K160" s="1540"/>
    </row>
    <row r="161" spans="1:11" hidden="1">
      <c r="A161" s="1592"/>
      <c r="B161" s="1594"/>
      <c r="C161" s="1566" t="s">
        <v>780</v>
      </c>
      <c r="D161" s="1595">
        <v>2</v>
      </c>
      <c r="E161" s="1596">
        <v>2.1</v>
      </c>
      <c r="F161" s="1597">
        <v>0.1</v>
      </c>
      <c r="G161" s="1597">
        <v>7.4999999999999997E-2</v>
      </c>
      <c r="H161" s="1597">
        <f>ROUND(D161*E161*F161*G161,3)</f>
        <v>3.2000000000000001E-2</v>
      </c>
      <c r="I161" s="1596">
        <v>80689</v>
      </c>
      <c r="J161" s="1597">
        <f>ROUND(H161*I161,2)</f>
        <v>2582.0500000000002</v>
      </c>
      <c r="K161" s="1540"/>
    </row>
    <row r="162" spans="1:11" hidden="1">
      <c r="A162" s="1592"/>
      <c r="B162" s="1594"/>
      <c r="C162" s="1566" t="s">
        <v>781</v>
      </c>
      <c r="D162" s="1595">
        <v>1</v>
      </c>
      <c r="E162" s="1596">
        <v>1.35</v>
      </c>
      <c r="F162" s="1597">
        <v>0.1</v>
      </c>
      <c r="G162" s="1597">
        <v>7.4999999999999997E-2</v>
      </c>
      <c r="H162" s="1597">
        <f>ROUND(D162*E162*F162*G162,3)</f>
        <v>0.01</v>
      </c>
      <c r="I162" s="1596">
        <v>80689</v>
      </c>
      <c r="J162" s="1597">
        <f>ROUND(H162*I162,2)</f>
        <v>806.89</v>
      </c>
      <c r="K162" s="1540"/>
    </row>
    <row r="163" spans="1:11" hidden="1">
      <c r="A163" s="1592"/>
      <c r="B163" s="1594"/>
      <c r="C163" s="1566" t="s">
        <v>1482</v>
      </c>
      <c r="D163" s="1595"/>
      <c r="E163" s="1596"/>
      <c r="F163" s="1597"/>
      <c r="G163" s="1597"/>
      <c r="H163" s="1597">
        <f>SUM(H161:H162)</f>
        <v>4.2000000000000003E-2</v>
      </c>
      <c r="I163" s="1596">
        <f>G25</f>
        <v>19572.5</v>
      </c>
      <c r="J163" s="1597">
        <f>ROUND(H163*I163,2)</f>
        <v>822.05</v>
      </c>
      <c r="K163" s="1540"/>
    </row>
    <row r="164" spans="1:11" hidden="1">
      <c r="A164" s="1592"/>
      <c r="B164" s="1594"/>
      <c r="C164" s="1566" t="s">
        <v>1484</v>
      </c>
      <c r="D164" s="1595" t="s">
        <v>539</v>
      </c>
      <c r="E164" s="1596">
        <v>1.2</v>
      </c>
      <c r="F164" s="1597"/>
      <c r="G164" s="1597">
        <v>2.1</v>
      </c>
      <c r="H164" s="1597">
        <f>ROUND(G164*E164*2.25/3,2)</f>
        <v>1.89</v>
      </c>
      <c r="I164" s="1596">
        <f>G15</f>
        <v>577.61900000000003</v>
      </c>
      <c r="J164" s="1596">
        <f>H164*I164/10</f>
        <v>109.16999100000001</v>
      </c>
      <c r="K164" s="1540"/>
    </row>
    <row r="165" spans="1:11" hidden="1">
      <c r="A165" s="1592"/>
      <c r="B165" s="1601"/>
      <c r="C165" s="1566" t="s">
        <v>1598</v>
      </c>
      <c r="D165" s="1595"/>
      <c r="E165" s="1602" t="s">
        <v>1651</v>
      </c>
      <c r="F165" s="1597"/>
      <c r="G165" s="1597"/>
      <c r="H165" s="1599">
        <v>6</v>
      </c>
      <c r="I165" s="1596">
        <v>32</v>
      </c>
      <c r="J165" s="1596">
        <f>ROUND(H165*I165,2)</f>
        <v>192</v>
      </c>
      <c r="K165" s="1540"/>
    </row>
    <row r="166" spans="1:11" hidden="1">
      <c r="A166" s="1592"/>
      <c r="B166" s="1594"/>
      <c r="C166" s="1566" t="s">
        <v>230</v>
      </c>
      <c r="D166" s="1595"/>
      <c r="E166" s="1596"/>
      <c r="F166" s="1597"/>
      <c r="G166" s="1597"/>
      <c r="H166" s="1599">
        <v>1</v>
      </c>
      <c r="I166" s="1596">
        <v>50</v>
      </c>
      <c r="J166" s="1596">
        <f>H166*I166</f>
        <v>50</v>
      </c>
      <c r="K166" s="1540"/>
    </row>
    <row r="167" spans="1:11" hidden="1">
      <c r="A167" s="1592"/>
      <c r="B167" s="1594"/>
      <c r="C167" s="1566"/>
      <c r="D167" s="1595"/>
      <c r="E167" s="1596"/>
      <c r="F167" s="1597"/>
      <c r="G167" s="1597"/>
      <c r="H167" s="1597"/>
      <c r="I167" s="1596"/>
      <c r="J167" s="1596">
        <f>SUM(J161:J166)</f>
        <v>4562.1599909999995</v>
      </c>
      <c r="K167" s="1540"/>
    </row>
    <row r="168" spans="1:11" s="18" customFormat="1" hidden="1">
      <c r="A168" s="1592"/>
      <c r="B168" s="1604"/>
      <c r="C168" s="1566" t="s">
        <v>1600</v>
      </c>
      <c r="D168" s="1605"/>
      <c r="E168" s="1603"/>
      <c r="F168" s="1606"/>
      <c r="G168" s="1606"/>
      <c r="H168" s="1606">
        <f>J167</f>
        <v>4562.1599909999995</v>
      </c>
      <c r="I168" s="1603">
        <f>+I6</f>
        <v>0</v>
      </c>
      <c r="J168" s="1603">
        <f>ROUND(H168*I168,2)</f>
        <v>0</v>
      </c>
      <c r="K168" s="1543"/>
    </row>
    <row r="169" spans="1:11" s="439" customFormat="1" hidden="1">
      <c r="A169" s="1592" t="s">
        <v>542</v>
      </c>
      <c r="B169" s="1604"/>
      <c r="C169" s="1575" t="s">
        <v>1299</v>
      </c>
      <c r="D169" s="1605"/>
      <c r="E169" s="1603"/>
      <c r="F169" s="1606"/>
      <c r="G169" s="1606"/>
      <c r="H169" s="1606"/>
      <c r="I169" s="1603" t="s">
        <v>1486</v>
      </c>
      <c r="J169" s="1603">
        <f>SUM(J167:J168)</f>
        <v>4562.1599909999995</v>
      </c>
      <c r="K169" s="1544"/>
    </row>
    <row r="170" spans="1:11" s="439" customFormat="1" hidden="1">
      <c r="A170" s="1592"/>
      <c r="B170" s="1604"/>
      <c r="C170" s="1575" t="s">
        <v>1300</v>
      </c>
      <c r="D170" s="1605"/>
      <c r="E170" s="1603"/>
      <c r="F170" s="1606"/>
      <c r="G170" s="1606"/>
      <c r="H170" s="1606"/>
      <c r="I170" s="1603" t="s">
        <v>1486</v>
      </c>
      <c r="J170" s="1603">
        <f>J158-J169</f>
        <v>14037.899981999999</v>
      </c>
      <c r="K170" s="1544"/>
    </row>
    <row r="171" spans="1:11" ht="180.6" hidden="1">
      <c r="A171" s="1592"/>
      <c r="B171" s="1584">
        <v>6</v>
      </c>
      <c r="C171" s="1566" t="s">
        <v>2269</v>
      </c>
      <c r="D171" s="1595"/>
      <c r="E171" s="1596"/>
      <c r="F171" s="1597"/>
      <c r="G171" s="1597"/>
      <c r="H171" s="1597"/>
      <c r="I171" s="1596"/>
      <c r="J171" s="1596"/>
      <c r="K171" s="1540"/>
    </row>
    <row r="172" spans="1:11" hidden="1">
      <c r="A172" s="1592"/>
      <c r="B172" s="1594"/>
      <c r="C172" s="1575" t="s">
        <v>2228</v>
      </c>
      <c r="D172" s="1605"/>
      <c r="E172" s="1603"/>
      <c r="F172" s="1597"/>
      <c r="G172" s="1597"/>
      <c r="H172" s="1597"/>
      <c r="I172" s="1596"/>
      <c r="J172" s="1596"/>
      <c r="K172" s="1540"/>
    </row>
    <row r="173" spans="1:11" hidden="1">
      <c r="A173" s="1592"/>
      <c r="B173" s="1594"/>
      <c r="C173" s="1566" t="s">
        <v>779</v>
      </c>
      <c r="D173" s="1595"/>
      <c r="E173" s="1596"/>
      <c r="F173" s="1597"/>
      <c r="G173" s="1597"/>
      <c r="H173" s="1597"/>
      <c r="I173" s="1596"/>
      <c r="J173" s="1596"/>
      <c r="K173" s="1540"/>
    </row>
    <row r="174" spans="1:11" hidden="1">
      <c r="A174" s="1592"/>
      <c r="B174" s="1594"/>
      <c r="C174" s="1566" t="s">
        <v>780</v>
      </c>
      <c r="D174" s="1595">
        <v>2</v>
      </c>
      <c r="E174" s="1596">
        <v>2.1</v>
      </c>
      <c r="F174" s="1597">
        <v>0.15</v>
      </c>
      <c r="G174" s="1597">
        <v>0.1</v>
      </c>
      <c r="H174" s="1597">
        <f>ROUND(D174*E174*F174*G174,3)</f>
        <v>6.3E-2</v>
      </c>
      <c r="I174" s="1596">
        <v>80689</v>
      </c>
      <c r="J174" s="1596">
        <f t="shared" ref="J174:J180" si="9">ROUND(H174*I174,2)</f>
        <v>5083.41</v>
      </c>
      <c r="K174" s="1540"/>
    </row>
    <row r="175" spans="1:11" hidden="1">
      <c r="A175" s="1592"/>
      <c r="B175" s="1594"/>
      <c r="C175" s="1566" t="s">
        <v>781</v>
      </c>
      <c r="D175" s="1595">
        <v>2</v>
      </c>
      <c r="E175" s="1596">
        <v>1.65</v>
      </c>
      <c r="F175" s="1597">
        <v>0.15</v>
      </c>
      <c r="G175" s="1597">
        <v>0.1</v>
      </c>
      <c r="H175" s="1597">
        <f>ROUND(D175*E175*F175*G175,3)</f>
        <v>0.05</v>
      </c>
      <c r="I175" s="1596">
        <v>80689</v>
      </c>
      <c r="J175" s="1596">
        <f t="shared" si="9"/>
        <v>4034.45</v>
      </c>
      <c r="K175" s="1540"/>
    </row>
    <row r="176" spans="1:11" hidden="1">
      <c r="A176" s="1592"/>
      <c r="B176" s="1594"/>
      <c r="C176" s="1566" t="s">
        <v>782</v>
      </c>
      <c r="D176" s="1595">
        <v>4</v>
      </c>
      <c r="E176" s="1596">
        <f>(2.1-1*0.075-0.075)+1*0.015</f>
        <v>1.9649999999999999</v>
      </c>
      <c r="F176" s="1597">
        <v>0.1</v>
      </c>
      <c r="G176" s="1597">
        <f>1.25*25.4/1000</f>
        <v>3.175E-2</v>
      </c>
      <c r="H176" s="1597">
        <f>ROUND(D176*E176*F176*G176,3)</f>
        <v>2.5000000000000001E-2</v>
      </c>
      <c r="I176" s="1596">
        <v>145240</v>
      </c>
      <c r="J176" s="1596">
        <f t="shared" si="9"/>
        <v>3631</v>
      </c>
      <c r="K176" s="1540"/>
    </row>
    <row r="177" spans="1:11" hidden="1">
      <c r="A177" s="1592"/>
      <c r="B177" s="1594"/>
      <c r="C177" s="1566" t="s">
        <v>783</v>
      </c>
      <c r="D177" s="1595" t="s">
        <v>791</v>
      </c>
      <c r="E177" s="1596">
        <f>(1.5-2*0.1+2*0.015)/2</f>
        <v>0.66500000000000004</v>
      </c>
      <c r="F177" s="1597">
        <v>0.1</v>
      </c>
      <c r="G177" s="1597">
        <f>1.25*25.4/1000</f>
        <v>3.175E-2</v>
      </c>
      <c r="H177" s="1597">
        <f>ROUND(12*E177*F177*G177,3)</f>
        <v>2.5000000000000001E-2</v>
      </c>
      <c r="I177" s="1596">
        <v>145240</v>
      </c>
      <c r="J177" s="1596">
        <f t="shared" si="9"/>
        <v>3631</v>
      </c>
      <c r="K177" s="1540"/>
    </row>
    <row r="178" spans="1:11" hidden="1">
      <c r="A178" s="1592"/>
      <c r="B178" s="1594"/>
      <c r="C178" s="1566" t="s">
        <v>1481</v>
      </c>
      <c r="D178" s="1595" t="s">
        <v>792</v>
      </c>
      <c r="E178" s="1596">
        <f>(1.5-2*0.1+2*0.015)/2-2*0.1+2*0.025</f>
        <v>0.51500000000000001</v>
      </c>
      <c r="F178" s="1597">
        <f>(2.1-2*0.1+1*0.015-6*0.1)/5+2*0.025</f>
        <v>0.313</v>
      </c>
      <c r="G178" s="1597">
        <v>2.5000000000000001E-2</v>
      </c>
      <c r="H178" s="1597">
        <f>ROUND(10*E178*F178*G178,3)</f>
        <v>0.04</v>
      </c>
      <c r="I178" s="1596">
        <v>145240</v>
      </c>
      <c r="J178" s="1596">
        <f t="shared" si="9"/>
        <v>5809.6</v>
      </c>
      <c r="K178" s="1540"/>
    </row>
    <row r="179" spans="1:11" hidden="1">
      <c r="A179" s="1592"/>
      <c r="B179" s="1594"/>
      <c r="C179" s="1566" t="s">
        <v>2263</v>
      </c>
      <c r="D179" s="1595">
        <v>1</v>
      </c>
      <c r="E179" s="1596">
        <f>(1.5-2*0.075+2*0.015)</f>
        <v>1.3800000000000001</v>
      </c>
      <c r="F179" s="1596">
        <f>0.3-0.075+0.03</f>
        <v>0.255</v>
      </c>
      <c r="G179" s="1597">
        <v>1</v>
      </c>
      <c r="H179" s="1597">
        <f>ROUND(D179*E179*F179*G179,3)</f>
        <v>0.35199999999999998</v>
      </c>
      <c r="I179" s="1596">
        <v>507</v>
      </c>
      <c r="J179" s="1596">
        <f>ROUND(H179*I179,2)</f>
        <v>178.46</v>
      </c>
      <c r="K179" s="1540"/>
    </row>
    <row r="180" spans="1:11" hidden="1">
      <c r="A180" s="1592"/>
      <c r="B180" s="1594"/>
      <c r="C180" s="1566" t="s">
        <v>1482</v>
      </c>
      <c r="D180" s="1595"/>
      <c r="E180" s="1596"/>
      <c r="F180" s="1597"/>
      <c r="G180" s="1597"/>
      <c r="H180" s="1597">
        <f>SUM(H174:H178)</f>
        <v>0.20300000000000001</v>
      </c>
      <c r="I180" s="1596">
        <f>G25</f>
        <v>19572.5</v>
      </c>
      <c r="J180" s="1596">
        <f t="shared" si="9"/>
        <v>3973.22</v>
      </c>
      <c r="K180" s="1540"/>
    </row>
    <row r="181" spans="1:11" ht="33.299999999999997" hidden="1">
      <c r="A181" s="1592" t="s">
        <v>787</v>
      </c>
      <c r="B181" s="1580"/>
      <c r="C181" s="1566" t="s">
        <v>788</v>
      </c>
      <c r="D181" s="1595"/>
      <c r="E181" s="1596"/>
      <c r="F181" s="1597"/>
      <c r="G181" s="1606"/>
      <c r="H181" s="1606"/>
      <c r="I181" s="1596"/>
      <c r="J181" s="1596"/>
      <c r="K181" s="1540"/>
    </row>
    <row r="182" spans="1:11" hidden="1">
      <c r="A182" s="1592"/>
      <c r="B182" s="1580"/>
      <c r="C182" s="1566"/>
      <c r="D182" s="1595"/>
      <c r="E182" s="1596"/>
      <c r="F182" s="1597"/>
      <c r="G182" s="1606"/>
      <c r="H182" s="1606"/>
      <c r="I182" s="1596"/>
      <c r="J182" s="1596"/>
      <c r="K182" s="1540"/>
    </row>
    <row r="183" spans="1:11" hidden="1">
      <c r="A183" s="1592"/>
      <c r="B183" s="1580"/>
      <c r="C183" s="329" t="s">
        <v>911</v>
      </c>
      <c r="D183" s="1595" t="s">
        <v>1035</v>
      </c>
      <c r="E183" s="1596" t="s">
        <v>1617</v>
      </c>
      <c r="F183" s="1597"/>
      <c r="G183" s="1597"/>
      <c r="H183" s="1599">
        <v>2</v>
      </c>
      <c r="I183" s="1596">
        <v>68</v>
      </c>
      <c r="J183" s="1596">
        <f t="shared" ref="J183:J191" si="10">ROUND(H183*I183,2)</f>
        <v>136</v>
      </c>
      <c r="K183" s="1540"/>
    </row>
    <row r="184" spans="1:11" hidden="1">
      <c r="A184" s="1592"/>
      <c r="B184" s="1580"/>
      <c r="C184" s="329" t="s">
        <v>912</v>
      </c>
      <c r="D184" s="1595" t="s">
        <v>1035</v>
      </c>
      <c r="E184" s="1596" t="s">
        <v>1618</v>
      </c>
      <c r="F184" s="1597"/>
      <c r="G184" s="1597"/>
      <c r="H184" s="1599">
        <v>1</v>
      </c>
      <c r="I184" s="1596">
        <v>35</v>
      </c>
      <c r="J184" s="1596">
        <f t="shared" si="10"/>
        <v>35</v>
      </c>
      <c r="K184" s="1540"/>
    </row>
    <row r="185" spans="1:11" hidden="1">
      <c r="A185" s="1592"/>
      <c r="B185" s="1580"/>
      <c r="C185" s="1608" t="s">
        <v>913</v>
      </c>
      <c r="D185" s="1595" t="s">
        <v>1035</v>
      </c>
      <c r="E185" s="1596" t="s">
        <v>1619</v>
      </c>
      <c r="F185" s="1597"/>
      <c r="G185" s="1597"/>
      <c r="H185" s="1599">
        <v>6</v>
      </c>
      <c r="I185" s="1596">
        <v>31</v>
      </c>
      <c r="J185" s="1596">
        <f t="shared" si="10"/>
        <v>186</v>
      </c>
      <c r="K185" s="1540"/>
    </row>
    <row r="186" spans="1:11" hidden="1">
      <c r="A186" s="1592"/>
      <c r="B186" s="1580"/>
      <c r="C186" s="329" t="s">
        <v>914</v>
      </c>
      <c r="D186" s="1595" t="s">
        <v>1035</v>
      </c>
      <c r="E186" s="1596" t="s">
        <v>1918</v>
      </c>
      <c r="F186" s="1597"/>
      <c r="G186" s="1597"/>
      <c r="H186" s="1599">
        <v>1</v>
      </c>
      <c r="I186" s="1596">
        <v>164</v>
      </c>
      <c r="J186" s="1596">
        <f t="shared" si="10"/>
        <v>164</v>
      </c>
      <c r="K186" s="1540"/>
    </row>
    <row r="187" spans="1:11" hidden="1">
      <c r="A187" s="1592"/>
      <c r="B187" s="1580"/>
      <c r="C187" s="329" t="s">
        <v>296</v>
      </c>
      <c r="D187" s="1595" t="s">
        <v>1035</v>
      </c>
      <c r="E187" s="1596" t="s">
        <v>1919</v>
      </c>
      <c r="F187" s="1597"/>
      <c r="G187" s="1597"/>
      <c r="H187" s="1599">
        <v>2</v>
      </c>
      <c r="I187" s="1596">
        <v>45</v>
      </c>
      <c r="J187" s="1596">
        <f t="shared" si="10"/>
        <v>90</v>
      </c>
      <c r="K187" s="1540"/>
    </row>
    <row r="188" spans="1:11" hidden="1">
      <c r="A188" s="1592"/>
      <c r="B188" s="1580"/>
      <c r="C188" s="1566" t="s">
        <v>420</v>
      </c>
      <c r="D188" s="1595"/>
      <c r="E188" s="1596" t="s">
        <v>1649</v>
      </c>
      <c r="F188" s="1597"/>
      <c r="G188" s="1597"/>
      <c r="H188" s="1599">
        <v>3</v>
      </c>
      <c r="I188" s="1596">
        <v>31</v>
      </c>
      <c r="J188" s="1596">
        <f t="shared" si="10"/>
        <v>93</v>
      </c>
      <c r="K188" s="1540"/>
    </row>
    <row r="189" spans="1:11" hidden="1">
      <c r="A189" s="1592"/>
      <c r="B189" s="1580"/>
      <c r="C189" s="329" t="s">
        <v>799</v>
      </c>
      <c r="D189" s="1595" t="s">
        <v>882</v>
      </c>
      <c r="E189" s="1596" t="s">
        <v>1826</v>
      </c>
      <c r="F189" s="1597"/>
      <c r="G189" s="1597"/>
      <c r="H189" s="1599">
        <v>80</v>
      </c>
      <c r="I189" s="1596">
        <v>3</v>
      </c>
      <c r="J189" s="1596">
        <f t="shared" si="10"/>
        <v>240</v>
      </c>
      <c r="K189" s="1540"/>
    </row>
    <row r="190" spans="1:11" hidden="1">
      <c r="A190" s="1592"/>
      <c r="B190" s="1580"/>
      <c r="C190" s="329" t="s">
        <v>231</v>
      </c>
      <c r="D190" s="1595" t="s">
        <v>882</v>
      </c>
      <c r="E190" s="1596" t="s">
        <v>1920</v>
      </c>
      <c r="F190" s="1597"/>
      <c r="G190" s="1597"/>
      <c r="H190" s="1599">
        <v>10</v>
      </c>
      <c r="I190" s="1596">
        <v>16</v>
      </c>
      <c r="J190" s="1596">
        <f t="shared" si="10"/>
        <v>160</v>
      </c>
      <c r="K190" s="1540"/>
    </row>
    <row r="191" spans="1:11" hidden="1">
      <c r="A191" s="1592"/>
      <c r="B191" s="1601"/>
      <c r="C191" s="329" t="s">
        <v>1598</v>
      </c>
      <c r="D191" s="1595"/>
      <c r="E191" s="1602" t="s">
        <v>1651</v>
      </c>
      <c r="F191" s="1597"/>
      <c r="G191" s="1597"/>
      <c r="H191" s="1599">
        <v>6</v>
      </c>
      <c r="I191" s="1596">
        <v>32</v>
      </c>
      <c r="J191" s="1596">
        <f t="shared" si="10"/>
        <v>192</v>
      </c>
      <c r="K191" s="1540"/>
    </row>
    <row r="192" spans="1:11" hidden="1">
      <c r="A192" s="1592"/>
      <c r="B192" s="1594"/>
      <c r="C192" s="1566" t="s">
        <v>1484</v>
      </c>
      <c r="D192" s="1595">
        <v>2.25</v>
      </c>
      <c r="E192" s="1596">
        <v>1.5</v>
      </c>
      <c r="F192" s="1597"/>
      <c r="G192" s="1596">
        <v>2.4</v>
      </c>
      <c r="H192" s="1597">
        <f>ROUND(G192*E192*2.25,2)</f>
        <v>8.1</v>
      </c>
      <c r="I192" s="1596">
        <f>G15</f>
        <v>577.61900000000003</v>
      </c>
      <c r="J192" s="1596">
        <f>H192*I192/10</f>
        <v>467.87138999999996</v>
      </c>
      <c r="K192" s="1540"/>
    </row>
    <row r="193" spans="1:11" hidden="1">
      <c r="A193" s="1592"/>
      <c r="B193" s="1594"/>
      <c r="C193" s="1566" t="s">
        <v>230</v>
      </c>
      <c r="D193" s="1595"/>
      <c r="E193" s="1596"/>
      <c r="F193" s="1597"/>
      <c r="G193" s="1597"/>
      <c r="H193" s="1599">
        <v>1</v>
      </c>
      <c r="I193" s="1596">
        <v>100</v>
      </c>
      <c r="J193" s="1596">
        <f>H193*I193</f>
        <v>100</v>
      </c>
      <c r="K193" s="1540"/>
    </row>
    <row r="194" spans="1:11" hidden="1">
      <c r="A194" s="1592"/>
      <c r="B194" s="1594"/>
      <c r="C194" s="1566"/>
      <c r="D194" s="1595"/>
      <c r="E194" s="1596"/>
      <c r="F194" s="1597"/>
      <c r="G194" s="1597"/>
      <c r="H194" s="1597"/>
      <c r="I194" s="1596"/>
      <c r="J194" s="1596">
        <f>SUM(J174:J193)</f>
        <v>28205.01139</v>
      </c>
      <c r="K194" s="1540"/>
    </row>
    <row r="195" spans="1:11" s="18" customFormat="1" hidden="1">
      <c r="A195" s="1592"/>
      <c r="B195" s="1604"/>
      <c r="C195" s="1566" t="s">
        <v>1600</v>
      </c>
      <c r="D195" s="1605"/>
      <c r="E195" s="1603"/>
      <c r="F195" s="1606"/>
      <c r="G195" s="1606"/>
      <c r="H195" s="1606">
        <f>J194</f>
        <v>28205.01139</v>
      </c>
      <c r="I195" s="1603">
        <f>I6</f>
        <v>0</v>
      </c>
      <c r="J195" s="1603">
        <f>ROUND(H195*I195,2)</f>
        <v>0</v>
      </c>
      <c r="K195" s="1543"/>
    </row>
    <row r="196" spans="1:11" s="439" customFormat="1" hidden="1">
      <c r="A196" s="1592" t="s">
        <v>1302</v>
      </c>
      <c r="B196" s="1604"/>
      <c r="C196" s="1566" t="s">
        <v>256</v>
      </c>
      <c r="D196" s="1605"/>
      <c r="E196" s="1603"/>
      <c r="F196" s="1606"/>
      <c r="G196" s="1606"/>
      <c r="H196" s="1606"/>
      <c r="I196" s="1603" t="s">
        <v>416</v>
      </c>
      <c r="J196" s="1603">
        <f>SUM(J194:J195)</f>
        <v>28205.01139</v>
      </c>
      <c r="K196" s="1544"/>
    </row>
    <row r="197" spans="1:11" hidden="1">
      <c r="A197" s="1592"/>
      <c r="B197" s="1594"/>
      <c r="C197" s="1575" t="s">
        <v>2266</v>
      </c>
      <c r="D197" s="1605"/>
      <c r="E197" s="1603"/>
      <c r="F197" s="1597"/>
      <c r="G197" s="1597"/>
      <c r="H197" s="1597"/>
      <c r="I197" s="1596"/>
      <c r="J197" s="1596"/>
      <c r="K197" s="1540"/>
    </row>
    <row r="198" spans="1:11" hidden="1">
      <c r="A198" s="1592"/>
      <c r="B198" s="1594"/>
      <c r="C198" s="1566" t="s">
        <v>779</v>
      </c>
      <c r="D198" s="1595"/>
      <c r="E198" s="1596"/>
      <c r="F198" s="1597"/>
      <c r="G198" s="1597"/>
      <c r="H198" s="1597"/>
      <c r="I198" s="1596"/>
      <c r="J198" s="1596"/>
      <c r="K198" s="1540"/>
    </row>
    <row r="199" spans="1:11" hidden="1">
      <c r="A199" s="1592"/>
      <c r="B199" s="1594"/>
      <c r="C199" s="1566" t="s">
        <v>780</v>
      </c>
      <c r="D199" s="1595">
        <v>2</v>
      </c>
      <c r="E199" s="1596">
        <v>2.1</v>
      </c>
      <c r="F199" s="1597">
        <v>0.15</v>
      </c>
      <c r="G199" s="1597">
        <v>0.1</v>
      </c>
      <c r="H199" s="1597">
        <f>ROUND(D199*E199*F199*G199,3)</f>
        <v>6.3E-2</v>
      </c>
      <c r="I199" s="1596">
        <v>80689</v>
      </c>
      <c r="J199" s="1596">
        <f>ROUND(H199*I199,2)</f>
        <v>5083.41</v>
      </c>
      <c r="K199" s="1540"/>
    </row>
    <row r="200" spans="1:11" hidden="1">
      <c r="A200" s="1592"/>
      <c r="B200" s="1594"/>
      <c r="C200" s="1566" t="s">
        <v>781</v>
      </c>
      <c r="D200" s="1595">
        <v>2</v>
      </c>
      <c r="E200" s="1596">
        <v>1.65</v>
      </c>
      <c r="F200" s="1597">
        <v>0.15</v>
      </c>
      <c r="G200" s="1597">
        <v>0.1</v>
      </c>
      <c r="H200" s="1597">
        <f>ROUND(D200*E200*F200*G200,3)</f>
        <v>0.05</v>
      </c>
      <c r="I200" s="1596">
        <v>80689</v>
      </c>
      <c r="J200" s="1596">
        <f>ROUND(H200*I200,2)</f>
        <v>4034.45</v>
      </c>
      <c r="K200" s="1540"/>
    </row>
    <row r="201" spans="1:11" hidden="1">
      <c r="A201" s="1592"/>
      <c r="B201" s="1594"/>
      <c r="C201" s="1566" t="s">
        <v>1482</v>
      </c>
      <c r="D201" s="1595"/>
      <c r="E201" s="1596"/>
      <c r="F201" s="1597"/>
      <c r="G201" s="1597"/>
      <c r="H201" s="1597">
        <f>SUM(H199:H200)</f>
        <v>0.113</v>
      </c>
      <c r="I201" s="1596">
        <f>G25</f>
        <v>19572.5</v>
      </c>
      <c r="J201" s="1596">
        <f>ROUND(H201*I201,2)</f>
        <v>2211.69</v>
      </c>
      <c r="K201" s="1540"/>
    </row>
    <row r="202" spans="1:11" hidden="1">
      <c r="A202" s="1592"/>
      <c r="B202" s="1601"/>
      <c r="C202" s="1566" t="s">
        <v>1598</v>
      </c>
      <c r="D202" s="1595"/>
      <c r="E202" s="1602" t="s">
        <v>1651</v>
      </c>
      <c r="F202" s="1597"/>
      <c r="G202" s="1597"/>
      <c r="H202" s="1599">
        <v>6</v>
      </c>
      <c r="I202" s="1596">
        <v>32</v>
      </c>
      <c r="J202" s="1596">
        <f>ROUND(H202*I202,2)</f>
        <v>192</v>
      </c>
      <c r="K202" s="1540"/>
    </row>
    <row r="203" spans="1:11" hidden="1">
      <c r="A203" s="1592"/>
      <c r="B203" s="1594"/>
      <c r="C203" s="1566" t="s">
        <v>1484</v>
      </c>
      <c r="D203" s="1595" t="s">
        <v>539</v>
      </c>
      <c r="E203" s="1596">
        <v>1.5</v>
      </c>
      <c r="F203" s="1597"/>
      <c r="G203" s="1596">
        <v>2.4</v>
      </c>
      <c r="H203" s="1597">
        <f>ROUND(G203*E203*2.25/3,2)</f>
        <v>2.7</v>
      </c>
      <c r="I203" s="1596">
        <f>G15</f>
        <v>577.61900000000003</v>
      </c>
      <c r="J203" s="1596">
        <f>H203*I203/10</f>
        <v>155.95713000000003</v>
      </c>
      <c r="K203" s="1540"/>
    </row>
    <row r="204" spans="1:11" hidden="1">
      <c r="A204" s="1592"/>
      <c r="B204" s="1594"/>
      <c r="C204" s="1566" t="s">
        <v>230</v>
      </c>
      <c r="D204" s="1595"/>
      <c r="E204" s="1596"/>
      <c r="F204" s="1597"/>
      <c r="G204" s="1597"/>
      <c r="H204" s="1599">
        <v>1</v>
      </c>
      <c r="I204" s="1596">
        <v>60</v>
      </c>
      <c r="J204" s="1596">
        <f>H204*I204</f>
        <v>60</v>
      </c>
      <c r="K204" s="1540"/>
    </row>
    <row r="205" spans="1:11" hidden="1">
      <c r="A205" s="1592"/>
      <c r="B205" s="1594"/>
      <c r="C205" s="1566"/>
      <c r="D205" s="1595"/>
      <c r="E205" s="1596"/>
      <c r="F205" s="1597"/>
      <c r="G205" s="1597"/>
      <c r="H205" s="1597"/>
      <c r="I205" s="1596"/>
      <c r="J205" s="1596">
        <f>SUM(J199:J204)</f>
        <v>11737.507130000002</v>
      </c>
      <c r="K205" s="1540"/>
    </row>
    <row r="206" spans="1:11" s="18" customFormat="1" hidden="1">
      <c r="A206" s="1592"/>
      <c r="B206" s="1604"/>
      <c r="C206" s="1566" t="s">
        <v>1600</v>
      </c>
      <c r="D206" s="1605"/>
      <c r="E206" s="1603"/>
      <c r="F206" s="1606"/>
      <c r="G206" s="1606"/>
      <c r="H206" s="1606">
        <f>J205</f>
        <v>11737.507130000002</v>
      </c>
      <c r="I206" s="1603">
        <f>I6</f>
        <v>0</v>
      </c>
      <c r="J206" s="1603">
        <f>ROUND(H206*I206,2)</f>
        <v>0</v>
      </c>
      <c r="K206" s="1543"/>
    </row>
    <row r="207" spans="1:11" s="439" customFormat="1" hidden="1">
      <c r="A207" s="1592" t="s">
        <v>1302</v>
      </c>
      <c r="B207" s="1604"/>
      <c r="C207" s="1575" t="s">
        <v>2267</v>
      </c>
      <c r="D207" s="1605"/>
      <c r="E207" s="1603"/>
      <c r="F207" s="1606"/>
      <c r="G207" s="1606"/>
      <c r="H207" s="1606"/>
      <c r="I207" s="1603" t="s">
        <v>1486</v>
      </c>
      <c r="J207" s="1603">
        <f>SUM(J205:J206)</f>
        <v>11737.507130000002</v>
      </c>
      <c r="K207" s="1544"/>
    </row>
    <row r="208" spans="1:11" s="439" customFormat="1" hidden="1">
      <c r="A208" s="1592"/>
      <c r="B208" s="1604"/>
      <c r="C208" s="1575" t="s">
        <v>2268</v>
      </c>
      <c r="D208" s="1605"/>
      <c r="E208" s="1603"/>
      <c r="F208" s="1606"/>
      <c r="G208" s="1606"/>
      <c r="H208" s="1606"/>
      <c r="I208" s="1603" t="s">
        <v>1486</v>
      </c>
      <c r="J208" s="1603">
        <f>J196-J207</f>
        <v>16467.504259999998</v>
      </c>
      <c r="K208" s="1544"/>
    </row>
    <row r="209" spans="1:256" ht="206.4">
      <c r="A209" s="1592"/>
      <c r="B209" s="1584">
        <v>6</v>
      </c>
      <c r="C209" s="1566" t="s">
        <v>3137</v>
      </c>
      <c r="D209" s="1595"/>
      <c r="E209" s="1596"/>
      <c r="F209" s="1597"/>
      <c r="G209" s="1597"/>
      <c r="H209" s="1597"/>
      <c r="I209" s="1596"/>
      <c r="J209" s="1596"/>
      <c r="K209" s="1540"/>
    </row>
    <row r="210" spans="1:256">
      <c r="A210" s="1592"/>
      <c r="B210" s="1594"/>
      <c r="C210" s="1575" t="s">
        <v>1297</v>
      </c>
      <c r="D210" s="1605"/>
      <c r="E210" s="1603"/>
      <c r="F210" s="1597">
        <v>1.2</v>
      </c>
      <c r="G210" s="1597">
        <v>2.1</v>
      </c>
      <c r="H210" s="1597"/>
      <c r="I210" s="1596"/>
      <c r="J210" s="1596"/>
      <c r="K210" s="1540"/>
    </row>
    <row r="211" spans="1:256">
      <c r="A211" s="1592"/>
      <c r="B211" s="1594"/>
      <c r="C211" s="1575" t="s">
        <v>779</v>
      </c>
      <c r="D211" s="1595"/>
      <c r="E211" s="1596"/>
      <c r="F211" s="1597"/>
      <c r="G211" s="1597"/>
      <c r="H211" s="1597"/>
      <c r="I211" s="1596"/>
      <c r="J211" s="1596"/>
      <c r="K211" s="1540"/>
    </row>
    <row r="212" spans="1:256" ht="22.2">
      <c r="A212" s="1592" t="s">
        <v>2596</v>
      </c>
      <c r="B212" s="1594"/>
      <c r="C212" s="1566" t="s">
        <v>782</v>
      </c>
      <c r="D212" s="1595">
        <v>2</v>
      </c>
      <c r="E212" s="1596">
        <f>G210</f>
        <v>2.1</v>
      </c>
      <c r="F212" s="1597">
        <v>0.1</v>
      </c>
      <c r="G212" s="1597">
        <v>7.4999999999999997E-2</v>
      </c>
      <c r="H212" s="1597">
        <f>ROUND(D212*E212*F212*G212,3)</f>
        <v>3.2000000000000001E-2</v>
      </c>
      <c r="I212" s="1596">
        <v>94794</v>
      </c>
      <c r="J212" s="1596">
        <f t="shared" ref="J212:J218" si="11">ROUND(H212*I212,2)</f>
        <v>3033.41</v>
      </c>
      <c r="K212" s="1540"/>
    </row>
    <row r="213" spans="1:256" s="1338" customFormat="1">
      <c r="A213" s="1592"/>
      <c r="B213" s="1594"/>
      <c r="C213" s="1566" t="s">
        <v>3139</v>
      </c>
      <c r="D213" s="1595">
        <v>2</v>
      </c>
      <c r="E213" s="1596">
        <v>2.1</v>
      </c>
      <c r="F213" s="1597">
        <v>0.1</v>
      </c>
      <c r="G213" s="1597">
        <v>7.4999999999999997E-2</v>
      </c>
      <c r="H213" s="1597">
        <f>ROUND(D213*E213*F213*G213,3)</f>
        <v>3.2000000000000001E-2</v>
      </c>
      <c r="I213" s="1596">
        <v>94794</v>
      </c>
      <c r="J213" s="1596">
        <f>ROUND(H213*I213,2)</f>
        <v>3033.41</v>
      </c>
      <c r="K213" s="1546"/>
      <c r="L213" s="1337"/>
      <c r="M213" s="1337"/>
      <c r="N213" s="1337"/>
      <c r="O213" s="1337"/>
      <c r="P213" s="1337"/>
      <c r="Q213" s="1337"/>
      <c r="R213" s="1337"/>
      <c r="S213" s="1337"/>
      <c r="T213" s="1337"/>
      <c r="U213" s="1337"/>
      <c r="V213" s="1337"/>
      <c r="W213" s="1337"/>
      <c r="X213" s="1337"/>
      <c r="Y213" s="1337"/>
      <c r="Z213" s="1337"/>
      <c r="AA213" s="1337"/>
      <c r="AB213" s="1337"/>
      <c r="AC213" s="1337"/>
      <c r="AD213" s="1337"/>
      <c r="AE213" s="1337"/>
      <c r="AF213" s="1337"/>
      <c r="AG213" s="1337"/>
      <c r="AH213" s="1337"/>
      <c r="AI213" s="1337"/>
      <c r="AJ213" s="1337"/>
      <c r="AK213" s="1337"/>
      <c r="AL213" s="1337"/>
      <c r="AM213" s="1337"/>
      <c r="AN213" s="1337"/>
      <c r="AO213" s="1337"/>
      <c r="AP213" s="1337"/>
      <c r="AQ213" s="1337"/>
      <c r="AR213" s="1337"/>
      <c r="AS213" s="1337"/>
      <c r="AT213" s="1337"/>
      <c r="AU213" s="1337"/>
      <c r="AV213" s="1337"/>
      <c r="AW213" s="1337"/>
      <c r="AX213" s="1337"/>
      <c r="AY213" s="1337"/>
      <c r="AZ213" s="1337"/>
      <c r="BA213" s="1337"/>
      <c r="BB213" s="1337"/>
      <c r="BC213" s="1337"/>
      <c r="BD213" s="1337"/>
      <c r="BE213" s="1337"/>
      <c r="BF213" s="1337"/>
      <c r="BG213" s="1337"/>
      <c r="BH213" s="1337"/>
      <c r="BI213" s="1337"/>
      <c r="BJ213" s="1337"/>
      <c r="BK213" s="1337"/>
      <c r="BL213" s="1337"/>
      <c r="BM213" s="1337"/>
      <c r="BN213" s="1337"/>
      <c r="BO213" s="1337"/>
      <c r="BP213" s="1337"/>
      <c r="BQ213" s="1337"/>
      <c r="BR213" s="1337"/>
      <c r="BS213" s="1337"/>
      <c r="BT213" s="1337"/>
      <c r="BU213" s="1337"/>
      <c r="BV213" s="1337"/>
      <c r="BW213" s="1337"/>
      <c r="BX213" s="1337"/>
      <c r="BY213" s="1337"/>
      <c r="BZ213" s="1337"/>
      <c r="CA213" s="1337"/>
      <c r="CB213" s="1337"/>
      <c r="CC213" s="1337"/>
      <c r="CD213" s="1337"/>
      <c r="CE213" s="1337"/>
      <c r="CF213" s="1337"/>
      <c r="CG213" s="1337"/>
      <c r="CH213" s="1337"/>
      <c r="CI213" s="1337"/>
      <c r="CJ213" s="1337"/>
      <c r="CK213" s="1337"/>
      <c r="CL213" s="1337"/>
      <c r="CM213" s="1337"/>
      <c r="CN213" s="1337"/>
      <c r="CO213" s="1337"/>
      <c r="CP213" s="1337"/>
      <c r="CQ213" s="1337"/>
      <c r="CR213" s="1337"/>
      <c r="CS213" s="1337"/>
      <c r="CT213" s="1337"/>
      <c r="CU213" s="1337"/>
      <c r="CV213" s="1337"/>
      <c r="CW213" s="1337"/>
      <c r="CX213" s="1337"/>
      <c r="CY213" s="1337"/>
      <c r="CZ213" s="1337"/>
      <c r="DA213" s="1337"/>
      <c r="DB213" s="1337"/>
      <c r="DC213" s="1337"/>
      <c r="DD213" s="1337"/>
      <c r="DE213" s="1337"/>
      <c r="DF213" s="1337"/>
      <c r="DG213" s="1337"/>
      <c r="DH213" s="1337"/>
      <c r="DI213" s="1337"/>
      <c r="DJ213" s="1337"/>
      <c r="DK213" s="1337"/>
      <c r="DL213" s="1337"/>
      <c r="DM213" s="1337"/>
      <c r="DN213" s="1337"/>
      <c r="DO213" s="1337"/>
      <c r="DP213" s="1337"/>
      <c r="DQ213" s="1337"/>
      <c r="DR213" s="1337"/>
      <c r="DS213" s="1337"/>
      <c r="DT213" s="1337"/>
      <c r="DU213" s="1337"/>
      <c r="DV213" s="1337"/>
      <c r="DW213" s="1337"/>
      <c r="DX213" s="1337"/>
      <c r="DY213" s="1337"/>
      <c r="DZ213" s="1337"/>
      <c r="EA213" s="1337"/>
      <c r="EB213" s="1337"/>
      <c r="EC213" s="1337"/>
      <c r="ED213" s="1337"/>
      <c r="EE213" s="1337"/>
      <c r="EF213" s="1337"/>
      <c r="EG213" s="1337"/>
      <c r="EH213" s="1337"/>
      <c r="EI213" s="1337"/>
      <c r="EJ213" s="1337"/>
      <c r="EK213" s="1337"/>
      <c r="EL213" s="1337"/>
      <c r="EM213" s="1337"/>
      <c r="EN213" s="1337"/>
      <c r="EO213" s="1337"/>
      <c r="EP213" s="1337"/>
      <c r="EQ213" s="1337"/>
      <c r="ER213" s="1337"/>
      <c r="ES213" s="1337"/>
      <c r="ET213" s="1337"/>
      <c r="EU213" s="1337"/>
      <c r="EV213" s="1337"/>
      <c r="EW213" s="1337"/>
      <c r="EX213" s="1337"/>
      <c r="EY213" s="1337"/>
      <c r="EZ213" s="1337"/>
      <c r="FA213" s="1337"/>
      <c r="FB213" s="1337"/>
      <c r="FC213" s="1337"/>
      <c r="FD213" s="1337"/>
      <c r="FE213" s="1337"/>
      <c r="FF213" s="1337"/>
      <c r="FG213" s="1337"/>
      <c r="FH213" s="1337"/>
      <c r="FI213" s="1337"/>
      <c r="FJ213" s="1337"/>
      <c r="FK213" s="1337"/>
      <c r="FL213" s="1337"/>
      <c r="FM213" s="1337"/>
      <c r="FN213" s="1337"/>
      <c r="FO213" s="1337"/>
      <c r="FP213" s="1337"/>
      <c r="FQ213" s="1337"/>
      <c r="FR213" s="1337"/>
      <c r="FS213" s="1337"/>
      <c r="FT213" s="1337"/>
      <c r="FU213" s="1337"/>
      <c r="FV213" s="1337"/>
      <c r="FW213" s="1337"/>
      <c r="FX213" s="1337"/>
      <c r="FY213" s="1337"/>
      <c r="FZ213" s="1337"/>
      <c r="GA213" s="1337"/>
      <c r="GB213" s="1337"/>
      <c r="GC213" s="1337"/>
      <c r="GD213" s="1337"/>
      <c r="GE213" s="1337"/>
      <c r="GF213" s="1337"/>
      <c r="GG213" s="1337"/>
      <c r="GH213" s="1337"/>
      <c r="GI213" s="1337"/>
      <c r="GJ213" s="1337"/>
      <c r="GK213" s="1337"/>
      <c r="GL213" s="1337"/>
      <c r="GM213" s="1337"/>
      <c r="GN213" s="1337"/>
      <c r="GO213" s="1337"/>
      <c r="GP213" s="1337"/>
      <c r="GQ213" s="1337"/>
      <c r="GR213" s="1337"/>
      <c r="GS213" s="1337"/>
      <c r="GT213" s="1337"/>
      <c r="GU213" s="1337"/>
      <c r="GV213" s="1337"/>
      <c r="GW213" s="1337"/>
      <c r="GX213" s="1337"/>
      <c r="GY213" s="1337"/>
      <c r="GZ213" s="1337"/>
      <c r="HA213" s="1337"/>
      <c r="HB213" s="1337"/>
      <c r="HC213" s="1337"/>
      <c r="HD213" s="1337"/>
      <c r="HE213" s="1337"/>
      <c r="HF213" s="1337"/>
      <c r="HG213" s="1337"/>
      <c r="HH213" s="1337"/>
      <c r="HI213" s="1337"/>
      <c r="HJ213" s="1337"/>
      <c r="HK213" s="1337"/>
      <c r="HL213" s="1337"/>
      <c r="HM213" s="1337"/>
      <c r="HN213" s="1337"/>
      <c r="HO213" s="1337"/>
      <c r="HP213" s="1337"/>
      <c r="HQ213" s="1337"/>
      <c r="HR213" s="1337"/>
      <c r="HS213" s="1337"/>
      <c r="HT213" s="1337"/>
      <c r="HU213" s="1337"/>
      <c r="HV213" s="1337"/>
      <c r="HW213" s="1337"/>
      <c r="HX213" s="1337"/>
      <c r="HY213" s="1337"/>
      <c r="HZ213" s="1337"/>
      <c r="IA213" s="1337"/>
      <c r="IB213" s="1337"/>
      <c r="IC213" s="1337"/>
      <c r="ID213" s="1337"/>
      <c r="IE213" s="1337"/>
      <c r="IF213" s="1337"/>
      <c r="IG213" s="1337"/>
      <c r="IH213" s="1337"/>
      <c r="II213" s="1337"/>
      <c r="IJ213" s="1337"/>
      <c r="IK213" s="1337"/>
      <c r="IL213" s="1337"/>
      <c r="IM213" s="1337"/>
      <c r="IN213" s="1337"/>
      <c r="IO213" s="1337"/>
      <c r="IP213" s="1337"/>
      <c r="IQ213" s="1337"/>
      <c r="IR213" s="1337"/>
      <c r="IS213" s="1337"/>
      <c r="IT213" s="1337"/>
      <c r="IU213" s="1337"/>
      <c r="IV213" s="1337"/>
    </row>
    <row r="214" spans="1:256">
      <c r="A214" s="1592"/>
      <c r="B214" s="1594"/>
      <c r="C214" s="1566" t="s">
        <v>3140</v>
      </c>
      <c r="D214" s="1595">
        <v>2</v>
      </c>
      <c r="E214" s="1596">
        <f>F210+0.15+0.9</f>
        <v>2.25</v>
      </c>
      <c r="F214" s="1597">
        <v>0.1</v>
      </c>
      <c r="G214" s="1597">
        <v>7.4999999999999997E-2</v>
      </c>
      <c r="H214" s="1597">
        <f>ROUND(D214*E214*F214*G214,3)</f>
        <v>3.4000000000000002E-2</v>
      </c>
      <c r="I214" s="1596">
        <f>I212</f>
        <v>94794</v>
      </c>
      <c r="J214" s="1596">
        <f t="shared" si="11"/>
        <v>3223</v>
      </c>
      <c r="K214" s="1540"/>
    </row>
    <row r="215" spans="1:256" s="1338" customFormat="1">
      <c r="A215" s="1592"/>
      <c r="B215" s="1594"/>
      <c r="C215" s="1566" t="s">
        <v>3057</v>
      </c>
      <c r="D215" s="1595">
        <v>4</v>
      </c>
      <c r="E215" s="1596">
        <f>0.45-0.1</f>
        <v>0.35</v>
      </c>
      <c r="F215" s="1597">
        <v>0.1</v>
      </c>
      <c r="G215" s="1597">
        <v>7.4999999999999997E-2</v>
      </c>
      <c r="H215" s="1597">
        <f>ROUND(D215*E215*F215*G215,3)</f>
        <v>1.0999999999999999E-2</v>
      </c>
      <c r="I215" s="1596">
        <f>I214</f>
        <v>94794</v>
      </c>
      <c r="J215" s="1596">
        <f>ROUND(H215*I215,2)</f>
        <v>1042.73</v>
      </c>
      <c r="K215" s="1546"/>
      <c r="L215" s="1337"/>
      <c r="M215" s="1337"/>
      <c r="N215" s="1337"/>
      <c r="O215" s="1337"/>
      <c r="P215" s="1337"/>
      <c r="Q215" s="1337"/>
      <c r="R215" s="1337"/>
      <c r="S215" s="1337"/>
      <c r="T215" s="1337"/>
      <c r="U215" s="1337"/>
      <c r="V215" s="1337"/>
      <c r="W215" s="1337"/>
      <c r="X215" s="1337"/>
      <c r="Y215" s="1337"/>
      <c r="Z215" s="1337"/>
      <c r="AA215" s="1337"/>
      <c r="AB215" s="1337"/>
      <c r="AC215" s="1337"/>
      <c r="AD215" s="1337"/>
      <c r="AE215" s="1337"/>
      <c r="AF215" s="1337"/>
      <c r="AG215" s="1337"/>
      <c r="AH215" s="1337"/>
      <c r="AI215" s="1337"/>
      <c r="AJ215" s="1337"/>
      <c r="AK215" s="1337"/>
      <c r="AL215" s="1337"/>
      <c r="AM215" s="1337"/>
      <c r="AN215" s="1337"/>
      <c r="AO215" s="1337"/>
      <c r="AP215" s="1337"/>
      <c r="AQ215" s="1337"/>
      <c r="AR215" s="1337"/>
      <c r="AS215" s="1337"/>
      <c r="AT215" s="1337"/>
      <c r="AU215" s="1337"/>
      <c r="AV215" s="1337"/>
      <c r="AW215" s="1337"/>
      <c r="AX215" s="1337"/>
      <c r="AY215" s="1337"/>
      <c r="AZ215" s="1337"/>
      <c r="BA215" s="1337"/>
      <c r="BB215" s="1337"/>
      <c r="BC215" s="1337"/>
      <c r="BD215" s="1337"/>
      <c r="BE215" s="1337"/>
      <c r="BF215" s="1337"/>
      <c r="BG215" s="1337"/>
      <c r="BH215" s="1337"/>
      <c r="BI215" s="1337"/>
      <c r="BJ215" s="1337"/>
      <c r="BK215" s="1337"/>
      <c r="BL215" s="1337"/>
      <c r="BM215" s="1337"/>
      <c r="BN215" s="1337"/>
      <c r="BO215" s="1337"/>
      <c r="BP215" s="1337"/>
      <c r="BQ215" s="1337"/>
      <c r="BR215" s="1337"/>
      <c r="BS215" s="1337"/>
      <c r="BT215" s="1337"/>
      <c r="BU215" s="1337"/>
      <c r="BV215" s="1337"/>
      <c r="BW215" s="1337"/>
      <c r="BX215" s="1337"/>
      <c r="BY215" s="1337"/>
      <c r="BZ215" s="1337"/>
      <c r="CA215" s="1337"/>
      <c r="CB215" s="1337"/>
      <c r="CC215" s="1337"/>
      <c r="CD215" s="1337"/>
      <c r="CE215" s="1337"/>
      <c r="CF215" s="1337"/>
      <c r="CG215" s="1337"/>
      <c r="CH215" s="1337"/>
      <c r="CI215" s="1337"/>
      <c r="CJ215" s="1337"/>
      <c r="CK215" s="1337"/>
      <c r="CL215" s="1337"/>
      <c r="CM215" s="1337"/>
      <c r="CN215" s="1337"/>
      <c r="CO215" s="1337"/>
      <c r="CP215" s="1337"/>
      <c r="CQ215" s="1337"/>
      <c r="CR215" s="1337"/>
      <c r="CS215" s="1337"/>
      <c r="CT215" s="1337"/>
      <c r="CU215" s="1337"/>
      <c r="CV215" s="1337"/>
      <c r="CW215" s="1337"/>
      <c r="CX215" s="1337"/>
      <c r="CY215" s="1337"/>
      <c r="CZ215" s="1337"/>
      <c r="DA215" s="1337"/>
      <c r="DB215" s="1337"/>
      <c r="DC215" s="1337"/>
      <c r="DD215" s="1337"/>
      <c r="DE215" s="1337"/>
      <c r="DF215" s="1337"/>
      <c r="DG215" s="1337"/>
      <c r="DH215" s="1337"/>
      <c r="DI215" s="1337"/>
      <c r="DJ215" s="1337"/>
      <c r="DK215" s="1337"/>
      <c r="DL215" s="1337"/>
      <c r="DM215" s="1337"/>
      <c r="DN215" s="1337"/>
      <c r="DO215" s="1337"/>
      <c r="DP215" s="1337"/>
      <c r="DQ215" s="1337"/>
      <c r="DR215" s="1337"/>
      <c r="DS215" s="1337"/>
      <c r="DT215" s="1337"/>
      <c r="DU215" s="1337"/>
      <c r="DV215" s="1337"/>
      <c r="DW215" s="1337"/>
      <c r="DX215" s="1337"/>
      <c r="DY215" s="1337"/>
      <c r="DZ215" s="1337"/>
      <c r="EA215" s="1337"/>
      <c r="EB215" s="1337"/>
      <c r="EC215" s="1337"/>
      <c r="ED215" s="1337"/>
      <c r="EE215" s="1337"/>
      <c r="EF215" s="1337"/>
      <c r="EG215" s="1337"/>
      <c r="EH215" s="1337"/>
      <c r="EI215" s="1337"/>
      <c r="EJ215" s="1337"/>
      <c r="EK215" s="1337"/>
      <c r="EL215" s="1337"/>
      <c r="EM215" s="1337"/>
      <c r="EN215" s="1337"/>
      <c r="EO215" s="1337"/>
      <c r="EP215" s="1337"/>
      <c r="EQ215" s="1337"/>
      <c r="ER215" s="1337"/>
      <c r="ES215" s="1337"/>
      <c r="ET215" s="1337"/>
      <c r="EU215" s="1337"/>
      <c r="EV215" s="1337"/>
      <c r="EW215" s="1337"/>
      <c r="EX215" s="1337"/>
      <c r="EY215" s="1337"/>
      <c r="EZ215" s="1337"/>
      <c r="FA215" s="1337"/>
      <c r="FB215" s="1337"/>
      <c r="FC215" s="1337"/>
      <c r="FD215" s="1337"/>
      <c r="FE215" s="1337"/>
      <c r="FF215" s="1337"/>
      <c r="FG215" s="1337"/>
      <c r="FH215" s="1337"/>
      <c r="FI215" s="1337"/>
      <c r="FJ215" s="1337"/>
      <c r="FK215" s="1337"/>
      <c r="FL215" s="1337"/>
      <c r="FM215" s="1337"/>
      <c r="FN215" s="1337"/>
      <c r="FO215" s="1337"/>
      <c r="FP215" s="1337"/>
      <c r="FQ215" s="1337"/>
      <c r="FR215" s="1337"/>
      <c r="FS215" s="1337"/>
      <c r="FT215" s="1337"/>
      <c r="FU215" s="1337"/>
      <c r="FV215" s="1337"/>
      <c r="FW215" s="1337"/>
      <c r="FX215" s="1337"/>
      <c r="FY215" s="1337"/>
      <c r="FZ215" s="1337"/>
      <c r="GA215" s="1337"/>
      <c r="GB215" s="1337"/>
      <c r="GC215" s="1337"/>
      <c r="GD215" s="1337"/>
      <c r="GE215" s="1337"/>
      <c r="GF215" s="1337"/>
      <c r="GG215" s="1337"/>
      <c r="GH215" s="1337"/>
      <c r="GI215" s="1337"/>
      <c r="GJ215" s="1337"/>
      <c r="GK215" s="1337"/>
      <c r="GL215" s="1337"/>
      <c r="GM215" s="1337"/>
      <c r="GN215" s="1337"/>
      <c r="GO215" s="1337"/>
      <c r="GP215" s="1337"/>
      <c r="GQ215" s="1337"/>
      <c r="GR215" s="1337"/>
      <c r="GS215" s="1337"/>
      <c r="GT215" s="1337"/>
      <c r="GU215" s="1337"/>
      <c r="GV215" s="1337"/>
      <c r="GW215" s="1337"/>
      <c r="GX215" s="1337"/>
      <c r="GY215" s="1337"/>
      <c r="GZ215" s="1337"/>
      <c r="HA215" s="1337"/>
      <c r="HB215" s="1337"/>
      <c r="HC215" s="1337"/>
      <c r="HD215" s="1337"/>
      <c r="HE215" s="1337"/>
      <c r="HF215" s="1337"/>
      <c r="HG215" s="1337"/>
      <c r="HH215" s="1337"/>
      <c r="HI215" s="1337"/>
      <c r="HJ215" s="1337"/>
      <c r="HK215" s="1337"/>
      <c r="HL215" s="1337"/>
      <c r="HM215" s="1337"/>
      <c r="HN215" s="1337"/>
      <c r="HO215" s="1337"/>
      <c r="HP215" s="1337"/>
      <c r="HQ215" s="1337"/>
      <c r="HR215" s="1337"/>
      <c r="HS215" s="1337"/>
      <c r="HT215" s="1337"/>
      <c r="HU215" s="1337"/>
      <c r="HV215" s="1337"/>
      <c r="HW215" s="1337"/>
      <c r="HX215" s="1337"/>
      <c r="HY215" s="1337"/>
      <c r="HZ215" s="1337"/>
      <c r="IA215" s="1337"/>
      <c r="IB215" s="1337"/>
      <c r="IC215" s="1337"/>
      <c r="ID215" s="1337"/>
      <c r="IE215" s="1337"/>
      <c r="IF215" s="1337"/>
      <c r="IG215" s="1337"/>
      <c r="IH215" s="1337"/>
      <c r="II215" s="1337"/>
      <c r="IJ215" s="1337"/>
      <c r="IK215" s="1337"/>
      <c r="IL215" s="1337"/>
      <c r="IM215" s="1337"/>
      <c r="IN215" s="1337"/>
      <c r="IO215" s="1337"/>
      <c r="IP215" s="1337"/>
      <c r="IQ215" s="1337"/>
      <c r="IR215" s="1337"/>
      <c r="IS215" s="1337"/>
      <c r="IT215" s="1337"/>
      <c r="IU215" s="1337"/>
      <c r="IV215" s="1337"/>
    </row>
    <row r="216" spans="1:256" ht="33.299999999999997">
      <c r="A216" s="1592" t="s">
        <v>2597</v>
      </c>
      <c r="B216" s="1594"/>
      <c r="C216" s="1566" t="s">
        <v>782</v>
      </c>
      <c r="D216" s="1595">
        <v>4</v>
      </c>
      <c r="E216" s="1596">
        <f>(G210-1*0.25-0.075)+1*0.015</f>
        <v>1.79</v>
      </c>
      <c r="F216" s="1597">
        <v>0.1</v>
      </c>
      <c r="G216" s="1597">
        <f>1.25*25.4/1000</f>
        <v>3.175E-2</v>
      </c>
      <c r="H216" s="1597">
        <f>ROUND(D216*E216*F216*G216,3)</f>
        <v>2.3E-2</v>
      </c>
      <c r="I216" s="1596">
        <v>170627</v>
      </c>
      <c r="J216" s="1596">
        <f t="shared" si="11"/>
        <v>3924.42</v>
      </c>
      <c r="K216" s="1540"/>
    </row>
    <row r="217" spans="1:256">
      <c r="A217" s="1592"/>
      <c r="B217" s="1594"/>
      <c r="C217" s="1566" t="s">
        <v>783</v>
      </c>
      <c r="D217" s="1595" t="s">
        <v>791</v>
      </c>
      <c r="E217" s="1596">
        <f>(F210-2*0.125+2*0.015)/2</f>
        <v>0.49</v>
      </c>
      <c r="F217" s="1597">
        <v>0.1</v>
      </c>
      <c r="G217" s="1597">
        <f>1.25*25.4/1000</f>
        <v>3.175E-2</v>
      </c>
      <c r="H217" s="1597">
        <f>ROUND(12*E217*F217*G217,3)</f>
        <v>1.9E-2</v>
      </c>
      <c r="I217" s="1596">
        <f>I216</f>
        <v>170627</v>
      </c>
      <c r="J217" s="1596">
        <f t="shared" si="11"/>
        <v>3241.91</v>
      </c>
      <c r="K217" s="1540"/>
    </row>
    <row r="218" spans="1:256">
      <c r="A218" s="1592"/>
      <c r="B218" s="1594"/>
      <c r="C218" s="1566" t="s">
        <v>1481</v>
      </c>
      <c r="D218" s="1595" t="s">
        <v>792</v>
      </c>
      <c r="E218" s="1596">
        <f>(F210-2*0.125+2*0.015)/G210-2*0.1+2*0.025</f>
        <v>0.3166666666666666</v>
      </c>
      <c r="F218" s="1597">
        <f>(2.1-2*0.1+1*0.015-6*0.1)/5+2*0.025</f>
        <v>0.313</v>
      </c>
      <c r="G218" s="1597">
        <v>2.5000000000000001E-2</v>
      </c>
      <c r="H218" s="1597">
        <f>ROUND(10*E218*F218*G218,3)</f>
        <v>2.5000000000000001E-2</v>
      </c>
      <c r="I218" s="1596">
        <f>I216</f>
        <v>170627</v>
      </c>
      <c r="J218" s="1596">
        <f t="shared" si="11"/>
        <v>4265.68</v>
      </c>
      <c r="K218" s="1540"/>
    </row>
    <row r="219" spans="1:256">
      <c r="A219" s="1592"/>
      <c r="B219" s="1594"/>
      <c r="C219" s="1566" t="s">
        <v>1481</v>
      </c>
      <c r="D219" s="1595" t="s">
        <v>3058</v>
      </c>
      <c r="E219" s="1596">
        <f>0.45-0.075</f>
        <v>0.375</v>
      </c>
      <c r="F219" s="1597">
        <f>(1.35-2*0.1+1*0.015-6*0.1)/5+2*0.025</f>
        <v>0.16299999999999998</v>
      </c>
      <c r="G219" s="1597">
        <v>2.5000000000000001E-2</v>
      </c>
      <c r="H219" s="1597">
        <f>ROUND(10*E219*F219*G219,3)</f>
        <v>1.4999999999999999E-2</v>
      </c>
      <c r="I219" s="1596">
        <f>I217</f>
        <v>170627</v>
      </c>
      <c r="J219" s="1596">
        <f>ROUND(H219*I219,2)</f>
        <v>2559.41</v>
      </c>
      <c r="K219" s="1540"/>
    </row>
    <row r="220" spans="1:256" ht="33.299999999999997">
      <c r="A220" s="1592" t="s">
        <v>787</v>
      </c>
      <c r="B220" s="1580"/>
      <c r="C220" s="1566" t="s">
        <v>788</v>
      </c>
      <c r="D220" s="1595"/>
      <c r="E220" s="1596"/>
      <c r="F220" s="1597"/>
      <c r="G220" s="1606"/>
      <c r="H220" s="1606"/>
      <c r="I220" s="1596"/>
      <c r="J220" s="1596"/>
      <c r="K220" s="1540"/>
    </row>
    <row r="221" spans="1:256">
      <c r="A221" s="1592"/>
      <c r="B221" s="1580"/>
      <c r="C221" s="1566"/>
      <c r="D221" s="1595"/>
      <c r="E221" s="1596"/>
      <c r="F221" s="1597"/>
      <c r="G221" s="1606"/>
      <c r="H221" s="1606"/>
      <c r="I221" s="1596"/>
      <c r="J221" s="1596"/>
      <c r="K221" s="1540"/>
    </row>
    <row r="222" spans="1:256">
      <c r="A222" s="1592"/>
      <c r="B222" s="1580"/>
      <c r="C222" s="329" t="s">
        <v>911</v>
      </c>
      <c r="D222" s="1595" t="s">
        <v>1035</v>
      </c>
      <c r="E222" s="1596" t="s">
        <v>1617</v>
      </c>
      <c r="F222" s="1597"/>
      <c r="G222" s="1597"/>
      <c r="H222" s="1599">
        <v>2</v>
      </c>
      <c r="I222" s="1596">
        <v>80</v>
      </c>
      <c r="J222" s="1596">
        <f t="shared" ref="J222:J230" si="12">ROUND(H222*I222,2)</f>
        <v>160</v>
      </c>
      <c r="K222" s="1540"/>
    </row>
    <row r="223" spans="1:256">
      <c r="A223" s="1592"/>
      <c r="B223" s="1580"/>
      <c r="C223" s="329" t="s">
        <v>912</v>
      </c>
      <c r="D223" s="1595" t="s">
        <v>1035</v>
      </c>
      <c r="E223" s="1596" t="s">
        <v>1618</v>
      </c>
      <c r="F223" s="1597"/>
      <c r="G223" s="1597"/>
      <c r="H223" s="1599">
        <v>1</v>
      </c>
      <c r="I223" s="1596">
        <v>42</v>
      </c>
      <c r="J223" s="1596">
        <f t="shared" si="12"/>
        <v>42</v>
      </c>
      <c r="K223" s="1540"/>
    </row>
    <row r="224" spans="1:256">
      <c r="A224" s="1592"/>
      <c r="B224" s="1580"/>
      <c r="C224" s="1608" t="s">
        <v>913</v>
      </c>
      <c r="D224" s="1595" t="s">
        <v>1035</v>
      </c>
      <c r="E224" s="1596" t="s">
        <v>1619</v>
      </c>
      <c r="F224" s="1597"/>
      <c r="G224" s="1597"/>
      <c r="H224" s="1599">
        <v>6</v>
      </c>
      <c r="I224" s="1596">
        <v>38</v>
      </c>
      <c r="J224" s="1596">
        <f t="shared" si="12"/>
        <v>228</v>
      </c>
      <c r="K224" s="1540"/>
    </row>
    <row r="225" spans="1:256">
      <c r="A225" s="1592"/>
      <c r="B225" s="1580"/>
      <c r="C225" s="329" t="s">
        <v>914</v>
      </c>
      <c r="D225" s="1595" t="s">
        <v>1035</v>
      </c>
      <c r="E225" s="1596" t="s">
        <v>1918</v>
      </c>
      <c r="F225" s="1597"/>
      <c r="G225" s="1597"/>
      <c r="H225" s="1599">
        <v>1</v>
      </c>
      <c r="I225" s="1596">
        <v>192</v>
      </c>
      <c r="J225" s="1596">
        <f t="shared" si="12"/>
        <v>192</v>
      </c>
      <c r="K225" s="1540"/>
    </row>
    <row r="226" spans="1:256">
      <c r="A226" s="1592"/>
      <c r="B226" s="1580"/>
      <c r="C226" s="329" t="s">
        <v>296</v>
      </c>
      <c r="D226" s="1595" t="s">
        <v>1035</v>
      </c>
      <c r="E226" s="1596" t="s">
        <v>1919</v>
      </c>
      <c r="F226" s="1597"/>
      <c r="G226" s="1597"/>
      <c r="H226" s="1599">
        <v>2</v>
      </c>
      <c r="I226" s="1596">
        <v>54</v>
      </c>
      <c r="J226" s="1596">
        <f t="shared" si="12"/>
        <v>108</v>
      </c>
      <c r="K226" s="1540"/>
    </row>
    <row r="227" spans="1:256">
      <c r="A227" s="1592"/>
      <c r="B227" s="1580"/>
      <c r="C227" s="1566" t="s">
        <v>420</v>
      </c>
      <c r="D227" s="1595"/>
      <c r="E227" s="1596" t="s">
        <v>1649</v>
      </c>
      <c r="F227" s="1597"/>
      <c r="G227" s="1597"/>
      <c r="H227" s="1599">
        <v>3</v>
      </c>
      <c r="I227" s="1596">
        <v>38</v>
      </c>
      <c r="J227" s="1596">
        <f t="shared" si="12"/>
        <v>114</v>
      </c>
      <c r="K227" s="1540"/>
    </row>
    <row r="228" spans="1:256">
      <c r="A228" s="1592"/>
      <c r="B228" s="1580"/>
      <c r="C228" s="329" t="s">
        <v>799</v>
      </c>
      <c r="D228" s="1595" t="s">
        <v>882</v>
      </c>
      <c r="E228" s="1596" t="s">
        <v>1826</v>
      </c>
      <c r="F228" s="1597"/>
      <c r="G228" s="1597"/>
      <c r="H228" s="1599">
        <v>80</v>
      </c>
      <c r="I228" s="1596">
        <v>6</v>
      </c>
      <c r="J228" s="1596">
        <f t="shared" si="12"/>
        <v>480</v>
      </c>
      <c r="K228" s="1540"/>
    </row>
    <row r="229" spans="1:256">
      <c r="A229" s="1592"/>
      <c r="B229" s="1580"/>
      <c r="C229" s="329" t="s">
        <v>231</v>
      </c>
      <c r="D229" s="1595" t="s">
        <v>882</v>
      </c>
      <c r="E229" s="1596" t="s">
        <v>1920</v>
      </c>
      <c r="F229" s="1597"/>
      <c r="G229" s="1597"/>
      <c r="H229" s="1599">
        <v>10</v>
      </c>
      <c r="I229" s="1596">
        <v>22</v>
      </c>
      <c r="J229" s="1596">
        <f t="shared" si="12"/>
        <v>220</v>
      </c>
      <c r="K229" s="1540"/>
    </row>
    <row r="230" spans="1:256">
      <c r="A230" s="1592"/>
      <c r="B230" s="1601"/>
      <c r="C230" s="329" t="s">
        <v>1598</v>
      </c>
      <c r="D230" s="1595"/>
      <c r="E230" s="1602" t="s">
        <v>1651</v>
      </c>
      <c r="F230" s="1597"/>
      <c r="G230" s="1597"/>
      <c r="H230" s="1599">
        <v>6</v>
      </c>
      <c r="I230" s="1596">
        <v>39</v>
      </c>
      <c r="J230" s="1596">
        <f t="shared" si="12"/>
        <v>234</v>
      </c>
      <c r="K230" s="1540"/>
    </row>
    <row r="231" spans="1:256">
      <c r="A231" s="1592"/>
      <c r="B231" s="1594"/>
      <c r="C231" s="1566" t="s">
        <v>1484</v>
      </c>
      <c r="D231" s="1595">
        <v>2.25</v>
      </c>
      <c r="E231" s="1596">
        <v>2.1</v>
      </c>
      <c r="F231" s="1597"/>
      <c r="G231" s="1596">
        <f>+G210</f>
        <v>2.1</v>
      </c>
      <c r="H231" s="1597">
        <f>ROUND(G231*E231*D231,2)</f>
        <v>9.92</v>
      </c>
      <c r="I231" s="1596">
        <f>+' data-Doors window- Sal Wood '!G15</f>
        <v>577.61900000000003</v>
      </c>
      <c r="J231" s="1596">
        <f>H231*I231/10</f>
        <v>572.99804800000004</v>
      </c>
      <c r="K231" s="1540"/>
    </row>
    <row r="232" spans="1:256">
      <c r="A232" s="1592"/>
      <c r="B232" s="1594"/>
      <c r="C232" s="1566" t="s">
        <v>230</v>
      </c>
      <c r="D232" s="1595"/>
      <c r="E232" s="1596"/>
      <c r="F232" s="1597"/>
      <c r="G232" s="1597"/>
      <c r="H232" s="1599">
        <v>1</v>
      </c>
      <c r="I232" s="1596">
        <v>100</v>
      </c>
      <c r="J232" s="1596">
        <f>H232*I232</f>
        <v>100</v>
      </c>
      <c r="K232" s="1540"/>
    </row>
    <row r="233" spans="1:256" s="1247" customFormat="1" ht="38.700000000000003">
      <c r="A233" s="1592"/>
      <c r="B233" s="1594"/>
      <c r="C233" s="1566" t="s">
        <v>3200</v>
      </c>
      <c r="D233" s="1595">
        <v>1</v>
      </c>
      <c r="E233" s="1596">
        <f>+F210+0.45*2</f>
        <v>2.1</v>
      </c>
      <c r="F233" s="1597"/>
      <c r="G233" s="1597">
        <f>+G231</f>
        <v>2.1</v>
      </c>
      <c r="H233" s="1597">
        <f>ROUND(G233*E233*D233,2)</f>
        <v>4.41</v>
      </c>
      <c r="I233" s="1596">
        <v>2613</v>
      </c>
      <c r="J233" s="1596">
        <f>+H233*I233</f>
        <v>11523.33</v>
      </c>
      <c r="K233" s="1547"/>
      <c r="L233" s="1246"/>
      <c r="M233" s="1246"/>
      <c r="N233" s="1246"/>
      <c r="O233" s="1246"/>
      <c r="P233" s="1246"/>
      <c r="Q233" s="1246"/>
      <c r="R233" s="1246"/>
      <c r="S233" s="1246"/>
      <c r="T233" s="1246"/>
      <c r="U233" s="1246"/>
      <c r="V233" s="1246"/>
      <c r="W233" s="1246"/>
      <c r="X233" s="1246"/>
      <c r="Y233" s="1246"/>
      <c r="Z233" s="1246"/>
      <c r="AA233" s="1246"/>
      <c r="AB233" s="1246"/>
      <c r="AC233" s="1246"/>
      <c r="AD233" s="1246"/>
      <c r="AE233" s="1246"/>
      <c r="AF233" s="1246"/>
      <c r="AG233" s="1246"/>
      <c r="AH233" s="1246"/>
      <c r="AI233" s="1246"/>
      <c r="AJ233" s="1246"/>
      <c r="AK233" s="1246"/>
      <c r="AL233" s="1246"/>
      <c r="AM233" s="1246"/>
      <c r="AN233" s="1246"/>
      <c r="AO233" s="1246"/>
      <c r="AP233" s="1246"/>
      <c r="AQ233" s="1246"/>
      <c r="AR233" s="1246"/>
      <c r="AS233" s="1246"/>
      <c r="AT233" s="1246"/>
      <c r="AU233" s="1246"/>
      <c r="AV233" s="1246"/>
      <c r="AW233" s="1246"/>
      <c r="AX233" s="1246"/>
      <c r="AY233" s="1246"/>
      <c r="AZ233" s="1246"/>
      <c r="BA233" s="1246"/>
      <c r="BB233" s="1246"/>
      <c r="BC233" s="1246"/>
      <c r="BD233" s="1246"/>
      <c r="BE233" s="1246"/>
      <c r="BF233" s="1246"/>
      <c r="BG233" s="1246"/>
      <c r="BH233" s="1246"/>
      <c r="BI233" s="1246"/>
      <c r="BJ233" s="1246"/>
      <c r="BK233" s="1246"/>
      <c r="BL233" s="1246"/>
      <c r="BM233" s="1246"/>
      <c r="BN233" s="1246"/>
      <c r="BO233" s="1246"/>
      <c r="BP233" s="1246"/>
      <c r="BQ233" s="1246"/>
      <c r="BR233" s="1246"/>
      <c r="BS233" s="1246"/>
      <c r="BT233" s="1246"/>
      <c r="BU233" s="1246"/>
      <c r="BV233" s="1246"/>
      <c r="BW233" s="1246"/>
      <c r="BX233" s="1246"/>
      <c r="BY233" s="1246"/>
      <c r="BZ233" s="1246"/>
      <c r="CA233" s="1246"/>
      <c r="CB233" s="1246"/>
      <c r="CC233" s="1246"/>
      <c r="CD233" s="1246"/>
      <c r="CE233" s="1246"/>
      <c r="CF233" s="1246"/>
      <c r="CG233" s="1246"/>
      <c r="CH233" s="1246"/>
      <c r="CI233" s="1246"/>
      <c r="CJ233" s="1246"/>
      <c r="CK233" s="1246"/>
      <c r="CL233" s="1246"/>
      <c r="CM233" s="1246"/>
      <c r="CN233" s="1246"/>
      <c r="CO233" s="1246"/>
      <c r="CP233" s="1246"/>
      <c r="CQ233" s="1246"/>
      <c r="CR233" s="1246"/>
      <c r="CS233" s="1246"/>
      <c r="CT233" s="1246"/>
      <c r="CU233" s="1246"/>
      <c r="CV233" s="1246"/>
      <c r="CW233" s="1246"/>
      <c r="CX233" s="1246"/>
      <c r="CY233" s="1246"/>
      <c r="CZ233" s="1246"/>
      <c r="DA233" s="1246"/>
      <c r="DB233" s="1246"/>
      <c r="DC233" s="1246"/>
      <c r="DD233" s="1246"/>
      <c r="DE233" s="1246"/>
      <c r="DF233" s="1246"/>
      <c r="DG233" s="1246"/>
      <c r="DH233" s="1246"/>
      <c r="DI233" s="1246"/>
      <c r="DJ233" s="1246"/>
      <c r="DK233" s="1246"/>
      <c r="DL233" s="1246"/>
      <c r="DM233" s="1246"/>
      <c r="DN233" s="1246"/>
      <c r="DO233" s="1246"/>
      <c r="DP233" s="1246"/>
      <c r="DQ233" s="1246"/>
      <c r="DR233" s="1246"/>
      <c r="DS233" s="1246"/>
      <c r="DT233" s="1246"/>
      <c r="DU233" s="1246"/>
      <c r="DV233" s="1246"/>
      <c r="DW233" s="1246"/>
      <c r="DX233" s="1246"/>
      <c r="DY233" s="1246"/>
      <c r="DZ233" s="1246"/>
      <c r="EA233" s="1246"/>
      <c r="EB233" s="1246"/>
      <c r="EC233" s="1246"/>
      <c r="ED233" s="1246"/>
      <c r="EE233" s="1246"/>
      <c r="EF233" s="1246"/>
      <c r="EG233" s="1246"/>
      <c r="EH233" s="1246"/>
      <c r="EI233" s="1246"/>
      <c r="EJ233" s="1246"/>
      <c r="EK233" s="1246"/>
      <c r="EL233" s="1246"/>
      <c r="EM233" s="1246"/>
      <c r="EN233" s="1246"/>
      <c r="EO233" s="1246"/>
      <c r="EP233" s="1246"/>
      <c r="EQ233" s="1246"/>
      <c r="ER233" s="1246"/>
      <c r="ES233" s="1246"/>
      <c r="ET233" s="1246"/>
      <c r="EU233" s="1246"/>
      <c r="EV233" s="1246"/>
      <c r="EW233" s="1246"/>
      <c r="EX233" s="1246"/>
      <c r="EY233" s="1246"/>
      <c r="EZ233" s="1246"/>
      <c r="FA233" s="1246"/>
      <c r="FB233" s="1246"/>
      <c r="FC233" s="1246"/>
      <c r="FD233" s="1246"/>
      <c r="FE233" s="1246"/>
      <c r="FF233" s="1246"/>
      <c r="FG233" s="1246"/>
      <c r="FH233" s="1246"/>
      <c r="FI233" s="1246"/>
      <c r="FJ233" s="1246"/>
      <c r="FK233" s="1246"/>
      <c r="FL233" s="1246"/>
      <c r="FM233" s="1246"/>
      <c r="FN233" s="1246"/>
      <c r="FO233" s="1246"/>
      <c r="FP233" s="1246"/>
      <c r="FQ233" s="1246"/>
      <c r="FR233" s="1246"/>
      <c r="FS233" s="1246"/>
      <c r="FT233" s="1246"/>
      <c r="FU233" s="1246"/>
      <c r="FV233" s="1246"/>
      <c r="FW233" s="1246"/>
      <c r="FX233" s="1246"/>
      <c r="FY233" s="1246"/>
      <c r="FZ233" s="1246"/>
      <c r="GA233" s="1246"/>
      <c r="GB233" s="1246"/>
      <c r="GC233" s="1246"/>
      <c r="GD233" s="1246"/>
      <c r="GE233" s="1246"/>
      <c r="GF233" s="1246"/>
      <c r="GG233" s="1246"/>
      <c r="GH233" s="1246"/>
      <c r="GI233" s="1246"/>
      <c r="GJ233" s="1246"/>
      <c r="GK233" s="1246"/>
      <c r="GL233" s="1246"/>
      <c r="GM233" s="1246"/>
      <c r="GN233" s="1246"/>
      <c r="GO233" s="1246"/>
      <c r="GP233" s="1246"/>
      <c r="GQ233" s="1246"/>
      <c r="GR233" s="1246"/>
      <c r="GS233" s="1246"/>
      <c r="GT233" s="1246"/>
      <c r="GU233" s="1246"/>
      <c r="GV233" s="1246"/>
      <c r="GW233" s="1246"/>
      <c r="GX233" s="1246"/>
      <c r="GY233" s="1246"/>
      <c r="GZ233" s="1246"/>
      <c r="HA233" s="1246"/>
      <c r="HB233" s="1246"/>
      <c r="HC233" s="1246"/>
      <c r="HD233" s="1246"/>
      <c r="HE233" s="1246"/>
      <c r="HF233" s="1246"/>
      <c r="HG233" s="1246"/>
      <c r="HH233" s="1246"/>
      <c r="HI233" s="1246"/>
      <c r="HJ233" s="1246"/>
      <c r="HK233" s="1246"/>
      <c r="HL233" s="1246"/>
      <c r="HM233" s="1246"/>
      <c r="HN233" s="1246"/>
      <c r="HO233" s="1246"/>
      <c r="HP233" s="1246"/>
      <c r="HQ233" s="1246"/>
      <c r="HR233" s="1246"/>
      <c r="HS233" s="1246"/>
      <c r="HT233" s="1246"/>
      <c r="HU233" s="1246"/>
      <c r="HV233" s="1246"/>
      <c r="HW233" s="1246"/>
      <c r="HX233" s="1246"/>
      <c r="HY233" s="1246"/>
      <c r="HZ233" s="1246"/>
      <c r="IA233" s="1246"/>
      <c r="IB233" s="1246"/>
      <c r="IC233" s="1246"/>
      <c r="ID233" s="1246"/>
      <c r="IE233" s="1246"/>
      <c r="IF233" s="1246"/>
      <c r="IG233" s="1246"/>
      <c r="IH233" s="1246"/>
      <c r="II233" s="1246"/>
      <c r="IJ233" s="1246"/>
      <c r="IK233" s="1246"/>
      <c r="IL233" s="1246"/>
      <c r="IM233" s="1246"/>
      <c r="IN233" s="1246"/>
      <c r="IO233" s="1246"/>
      <c r="IP233" s="1246"/>
      <c r="IQ233" s="1246"/>
      <c r="IR233" s="1246"/>
      <c r="IS233" s="1246"/>
      <c r="IT233" s="1246"/>
      <c r="IU233" s="1246"/>
      <c r="IV233" s="1246"/>
    </row>
    <row r="234" spans="1:256">
      <c r="A234" s="1592"/>
      <c r="B234" s="1594"/>
      <c r="C234" s="1566"/>
      <c r="D234" s="1595"/>
      <c r="E234" s="1596"/>
      <c r="F234" s="1597"/>
      <c r="G234" s="1597"/>
      <c r="H234" s="1597"/>
      <c r="I234" s="1596"/>
      <c r="J234" s="1596">
        <f>SUM(J212:J233)</f>
        <v>38298.298047999997</v>
      </c>
      <c r="K234" s="1540"/>
    </row>
    <row r="235" spans="1:256" s="18" customFormat="1">
      <c r="A235" s="1592"/>
      <c r="B235" s="1604"/>
      <c r="C235" s="1566" t="s">
        <v>1600</v>
      </c>
      <c r="D235" s="1605"/>
      <c r="E235" s="1603"/>
      <c r="F235" s="1606"/>
      <c r="G235" s="1606"/>
      <c r="H235" s="1606">
        <f>J234</f>
        <v>38298.298047999997</v>
      </c>
      <c r="I235" s="1603">
        <f>'Lead- Input sheet '!Q32</f>
        <v>0</v>
      </c>
      <c r="J235" s="1603">
        <f>ROUND(H235*I235,2)</f>
        <v>0</v>
      </c>
      <c r="K235" s="1543"/>
    </row>
    <row r="236" spans="1:256" s="439" customFormat="1">
      <c r="A236" s="1592" t="s">
        <v>1302</v>
      </c>
      <c r="B236" s="1604"/>
      <c r="C236" s="1566" t="s">
        <v>256</v>
      </c>
      <c r="D236" s="1605"/>
      <c r="E236" s="1603"/>
      <c r="F236" s="1606"/>
      <c r="G236" s="1606"/>
      <c r="H236" s="1606"/>
      <c r="I236" s="1603" t="s">
        <v>416</v>
      </c>
      <c r="J236" s="1603">
        <f>SUM(J234:J235)</f>
        <v>38298.298047999997</v>
      </c>
      <c r="K236" s="1544"/>
    </row>
    <row r="237" spans="1:256">
      <c r="A237" s="1592"/>
      <c r="B237" s="1594"/>
      <c r="C237" s="1575" t="s">
        <v>2978</v>
      </c>
      <c r="D237" s="1605"/>
      <c r="E237" s="1603"/>
      <c r="F237" s="1597"/>
      <c r="G237" s="1597"/>
      <c r="H237" s="1597"/>
      <c r="I237" s="1596"/>
      <c r="J237" s="1596"/>
      <c r="K237" s="1540"/>
    </row>
    <row r="238" spans="1:256">
      <c r="A238" s="1592"/>
      <c r="B238" s="1594"/>
      <c r="C238" s="1566" t="s">
        <v>779</v>
      </c>
      <c r="D238" s="1595"/>
      <c r="E238" s="1596"/>
      <c r="F238" s="1597"/>
      <c r="G238" s="1597"/>
      <c r="H238" s="1597"/>
      <c r="I238" s="1596"/>
      <c r="J238" s="1596"/>
      <c r="K238" s="1540"/>
    </row>
    <row r="239" spans="1:256">
      <c r="A239" s="1592"/>
      <c r="B239" s="1594"/>
      <c r="C239" s="1566" t="s">
        <v>780</v>
      </c>
      <c r="D239" s="1595">
        <f>+D212</f>
        <v>2</v>
      </c>
      <c r="E239" s="1596">
        <f>+E212</f>
        <v>2.1</v>
      </c>
      <c r="F239" s="1597">
        <f>+F212</f>
        <v>0.1</v>
      </c>
      <c r="G239" s="1597">
        <f>+G212</f>
        <v>7.4999999999999997E-2</v>
      </c>
      <c r="H239" s="1597">
        <f>ROUND(D239*E239*F239*G239,3)</f>
        <v>3.2000000000000001E-2</v>
      </c>
      <c r="I239" s="1596">
        <f>I212</f>
        <v>94794</v>
      </c>
      <c r="J239" s="1596">
        <f>ROUND(H239*I239,2)</f>
        <v>3033.41</v>
      </c>
      <c r="K239" s="1540"/>
    </row>
    <row r="240" spans="1:256">
      <c r="A240" s="1592"/>
      <c r="B240" s="1594"/>
      <c r="C240" s="1566" t="s">
        <v>781</v>
      </c>
      <c r="D240" s="1595">
        <f>+D214</f>
        <v>2</v>
      </c>
      <c r="E240" s="1596">
        <f>+E214</f>
        <v>2.25</v>
      </c>
      <c r="F240" s="1597">
        <f>+F214</f>
        <v>0.1</v>
      </c>
      <c r="G240" s="1597">
        <f>+G214</f>
        <v>7.4999999999999997E-2</v>
      </c>
      <c r="H240" s="1597">
        <f>ROUND(D240*E240*F240*G240,3)</f>
        <v>3.4000000000000002E-2</v>
      </c>
      <c r="I240" s="1596">
        <f>I239</f>
        <v>94794</v>
      </c>
      <c r="J240" s="1596">
        <f>ROUND(H240*I240,2)</f>
        <v>3223</v>
      </c>
      <c r="K240" s="1540"/>
    </row>
    <row r="241" spans="1:18" ht="38.700000000000003">
      <c r="A241" s="1592"/>
      <c r="B241" s="1594"/>
      <c r="C241" s="1566" t="s">
        <v>2982</v>
      </c>
      <c r="D241" s="1612">
        <f>1/3</f>
        <v>0.33333333333333331</v>
      </c>
      <c r="E241" s="1596">
        <f>+E233</f>
        <v>2.1</v>
      </c>
      <c r="F241" s="1597"/>
      <c r="G241" s="1597">
        <f>+G233</f>
        <v>2.1</v>
      </c>
      <c r="H241" s="1597">
        <f>ROUND(G241*E241*D241,2)</f>
        <v>1.47</v>
      </c>
      <c r="I241" s="1596">
        <v>2454</v>
      </c>
      <c r="J241" s="1596">
        <f>ROUND(H241*I241,2)</f>
        <v>3607.38</v>
      </c>
      <c r="K241" s="1540"/>
    </row>
    <row r="242" spans="1:18">
      <c r="A242" s="1592"/>
      <c r="B242" s="1601"/>
      <c r="C242" s="1566" t="s">
        <v>1598</v>
      </c>
      <c r="D242" s="1595"/>
      <c r="E242" s="1602" t="s">
        <v>1651</v>
      </c>
      <c r="F242" s="1597"/>
      <c r="G242" s="1597"/>
      <c r="H242" s="1599">
        <v>6</v>
      </c>
      <c r="I242" s="1596">
        <f>+I230</f>
        <v>39</v>
      </c>
      <c r="J242" s="1596">
        <f>ROUND(H242*I242,2)</f>
        <v>234</v>
      </c>
      <c r="K242" s="1540"/>
    </row>
    <row r="243" spans="1:18">
      <c r="A243" s="1592"/>
      <c r="B243" s="1594"/>
      <c r="C243" s="1566" t="s">
        <v>230</v>
      </c>
      <c r="D243" s="1595"/>
      <c r="E243" s="1596"/>
      <c r="F243" s="1597"/>
      <c r="G243" s="1597"/>
      <c r="H243" s="1599">
        <v>1</v>
      </c>
      <c r="I243" s="1596">
        <v>60</v>
      </c>
      <c r="J243" s="1596">
        <f>H243*I243</f>
        <v>60</v>
      </c>
      <c r="K243" s="1540"/>
    </row>
    <row r="244" spans="1:18">
      <c r="A244" s="1592"/>
      <c r="B244" s="1594"/>
      <c r="C244" s="1566"/>
      <c r="D244" s="1595"/>
      <c r="E244" s="1596"/>
      <c r="F244" s="1597"/>
      <c r="G244" s="1597"/>
      <c r="H244" s="1597"/>
      <c r="I244" s="1596"/>
      <c r="J244" s="1596">
        <f>SUM(J239:J243)</f>
        <v>10157.790000000001</v>
      </c>
      <c r="K244" s="1540"/>
    </row>
    <row r="245" spans="1:18" s="18" customFormat="1">
      <c r="A245" s="1592"/>
      <c r="B245" s="1604"/>
      <c r="C245" s="1566" t="s">
        <v>1600</v>
      </c>
      <c r="D245" s="1605"/>
      <c r="E245" s="1603"/>
      <c r="F245" s="1606"/>
      <c r="G245" s="1606"/>
      <c r="H245" s="1606">
        <f>J244</f>
        <v>10157.790000000001</v>
      </c>
      <c r="I245" s="1603">
        <f>'Lead- Input sheet '!Q32</f>
        <v>0</v>
      </c>
      <c r="J245" s="1603">
        <f>ROUND(H245*I245,2)</f>
        <v>0</v>
      </c>
      <c r="K245" s="1543"/>
    </row>
    <row r="246" spans="1:18" s="439" customFormat="1">
      <c r="A246" s="1592" t="s">
        <v>1302</v>
      </c>
      <c r="B246" s="1604"/>
      <c r="C246" s="1575" t="s">
        <v>2979</v>
      </c>
      <c r="D246" s="1605"/>
      <c r="E246" s="1603"/>
      <c r="F246" s="1606"/>
      <c r="G246" s="1606"/>
      <c r="H246" s="1606"/>
      <c r="I246" s="1603" t="s">
        <v>1486</v>
      </c>
      <c r="J246" s="1603">
        <f>SUM(J244:J245)</f>
        <v>10157.790000000001</v>
      </c>
      <c r="K246" s="1544"/>
    </row>
    <row r="247" spans="1:18" s="439" customFormat="1">
      <c r="A247" s="1592"/>
      <c r="B247" s="1604"/>
      <c r="C247" s="1575" t="s">
        <v>2980</v>
      </c>
      <c r="D247" s="1605"/>
      <c r="E247" s="1603"/>
      <c r="F247" s="1606"/>
      <c r="G247" s="1606"/>
      <c r="H247" s="1606"/>
      <c r="I247" s="1603" t="s">
        <v>1486</v>
      </c>
      <c r="J247" s="1603">
        <f>J236-J246</f>
        <v>28140.508047999996</v>
      </c>
      <c r="K247" s="1544"/>
    </row>
    <row r="248" spans="1:18" ht="90.3" hidden="1">
      <c r="A248" s="1548"/>
      <c r="B248" s="1549">
        <v>7</v>
      </c>
      <c r="C248" s="1550" t="s">
        <v>1829</v>
      </c>
      <c r="D248" s="1551"/>
      <c r="E248" s="1552"/>
      <c r="F248" s="1553"/>
      <c r="G248" s="1553"/>
      <c r="H248" s="1554"/>
      <c r="I248" s="1555"/>
      <c r="J248" s="1555"/>
      <c r="K248" s="31"/>
    </row>
    <row r="249" spans="1:18" hidden="1">
      <c r="A249" s="617"/>
      <c r="B249" s="34"/>
      <c r="C249" s="55" t="s">
        <v>1096</v>
      </c>
      <c r="D249" s="951"/>
      <c r="E249" s="471"/>
      <c r="F249" s="462"/>
      <c r="G249" s="462"/>
      <c r="H249" s="462"/>
      <c r="I249" s="471"/>
      <c r="J249" s="471"/>
      <c r="K249" s="55" t="s">
        <v>1775</v>
      </c>
      <c r="L249" s="951"/>
      <c r="M249" s="471"/>
      <c r="N249" s="462"/>
      <c r="O249" s="462"/>
      <c r="P249" s="462"/>
      <c r="Q249" s="471"/>
      <c r="R249" s="471"/>
    </row>
    <row r="250" spans="1:18" hidden="1">
      <c r="A250" s="617"/>
      <c r="B250" s="34"/>
      <c r="C250" s="54" t="s">
        <v>848</v>
      </c>
      <c r="D250" s="951"/>
      <c r="E250" s="471"/>
      <c r="F250" s="462"/>
      <c r="G250" s="462"/>
      <c r="H250" s="462"/>
      <c r="I250" s="471"/>
      <c r="J250" s="471"/>
      <c r="K250" s="54" t="s">
        <v>848</v>
      </c>
      <c r="L250" s="951"/>
      <c r="M250" s="471"/>
      <c r="N250" s="462"/>
      <c r="O250" s="462"/>
      <c r="P250" s="462"/>
      <c r="Q250" s="471"/>
      <c r="R250" s="471"/>
    </row>
    <row r="251" spans="1:18" hidden="1">
      <c r="A251" s="617"/>
      <c r="B251" s="34"/>
      <c r="C251" s="54" t="s">
        <v>780</v>
      </c>
      <c r="D251" s="951">
        <v>3</v>
      </c>
      <c r="E251" s="471">
        <v>1.35</v>
      </c>
      <c r="F251" s="462">
        <v>0.1</v>
      </c>
      <c r="G251" s="462">
        <v>7.4999999999999997E-2</v>
      </c>
      <c r="H251" s="462">
        <f>ROUND(D251*E251*F251*G251,3)</f>
        <v>0.03</v>
      </c>
      <c r="I251" s="471">
        <v>80689</v>
      </c>
      <c r="J251" s="471">
        <f t="shared" ref="J251:J256" si="13">ROUND(H251*I251,2)</f>
        <v>2420.67</v>
      </c>
      <c r="K251" s="54" t="s">
        <v>780</v>
      </c>
      <c r="L251" s="951">
        <v>3</v>
      </c>
      <c r="M251" s="471">
        <v>1.2</v>
      </c>
      <c r="N251" s="462">
        <v>0.1</v>
      </c>
      <c r="O251" s="462">
        <v>7.4999999999999997E-2</v>
      </c>
      <c r="P251" s="462">
        <f>ROUND(L251*M251*N251*O251,3)</f>
        <v>2.7E-2</v>
      </c>
      <c r="Q251" s="471">
        <v>80689</v>
      </c>
      <c r="R251" s="471">
        <f t="shared" ref="R251:R256" si="14">ROUND(P251*Q251,2)</f>
        <v>2178.6</v>
      </c>
    </row>
    <row r="252" spans="1:18" hidden="1">
      <c r="A252" s="617"/>
      <c r="B252" s="34"/>
      <c r="C252" s="54" t="s">
        <v>781</v>
      </c>
      <c r="D252" s="951">
        <v>2</v>
      </c>
      <c r="E252" s="471">
        <v>1.05</v>
      </c>
      <c r="F252" s="462">
        <v>0.1</v>
      </c>
      <c r="G252" s="462">
        <v>7.4999999999999997E-2</v>
      </c>
      <c r="H252" s="462">
        <f>ROUND(D252*E252*F252*G252,3)</f>
        <v>1.6E-2</v>
      </c>
      <c r="I252" s="471">
        <v>80689</v>
      </c>
      <c r="J252" s="471">
        <f t="shared" si="13"/>
        <v>1291.02</v>
      </c>
      <c r="K252" s="54" t="s">
        <v>781</v>
      </c>
      <c r="L252" s="951">
        <v>2</v>
      </c>
      <c r="M252" s="471">
        <v>1.05</v>
      </c>
      <c r="N252" s="462">
        <v>0.1</v>
      </c>
      <c r="O252" s="462">
        <v>7.4999999999999997E-2</v>
      </c>
      <c r="P252" s="462">
        <f>ROUND(L252*M252*N252*O252,3)</f>
        <v>1.6E-2</v>
      </c>
      <c r="Q252" s="471">
        <v>80689</v>
      </c>
      <c r="R252" s="471">
        <f t="shared" si="14"/>
        <v>1291.02</v>
      </c>
    </row>
    <row r="253" spans="1:18" hidden="1">
      <c r="A253" s="617"/>
      <c r="B253" s="34"/>
      <c r="C253" s="54" t="s">
        <v>782</v>
      </c>
      <c r="D253" s="951" t="s">
        <v>234</v>
      </c>
      <c r="E253" s="472">
        <f>(1.35-2*0.075+2*0.015)</f>
        <v>1.2300000000000002</v>
      </c>
      <c r="F253" s="462">
        <v>7.4999999999999997E-2</v>
      </c>
      <c r="G253" s="462">
        <f>1.25*25.4/1000</f>
        <v>3.175E-2</v>
      </c>
      <c r="H253" s="462">
        <f>ROUND(4*E253*F253*G253,3)</f>
        <v>1.2E-2</v>
      </c>
      <c r="I253" s="471">
        <v>145240</v>
      </c>
      <c r="J253" s="471">
        <f t="shared" si="13"/>
        <v>1742.88</v>
      </c>
      <c r="K253" s="54" t="s">
        <v>782</v>
      </c>
      <c r="L253" s="951" t="s">
        <v>234</v>
      </c>
      <c r="M253" s="472">
        <f>(1.2-2*0.075+2*0.015)</f>
        <v>1.08</v>
      </c>
      <c r="N253" s="462">
        <v>7.4999999999999997E-2</v>
      </c>
      <c r="O253" s="462">
        <f>1.25*25.4/1000</f>
        <v>3.175E-2</v>
      </c>
      <c r="P253" s="462">
        <f>ROUND(4*M253*N253*O253,3)</f>
        <v>0.01</v>
      </c>
      <c r="Q253" s="471">
        <v>145240</v>
      </c>
      <c r="R253" s="471">
        <f t="shared" si="14"/>
        <v>1452.4</v>
      </c>
    </row>
    <row r="254" spans="1:18" hidden="1">
      <c r="A254" s="617"/>
      <c r="B254" s="34"/>
      <c r="C254" s="54" t="s">
        <v>783</v>
      </c>
      <c r="D254" s="951" t="s">
        <v>235</v>
      </c>
      <c r="E254" s="471">
        <f>(0.9-3*0.075+4*0.015)/2</f>
        <v>0.36750000000000005</v>
      </c>
      <c r="F254" s="462">
        <v>7.4999999999999997E-2</v>
      </c>
      <c r="G254" s="462">
        <f>1.25*25.4/1000</f>
        <v>3.175E-2</v>
      </c>
      <c r="H254" s="462">
        <f>ROUND(6*E254*F254*G254,3)</f>
        <v>5.0000000000000001E-3</v>
      </c>
      <c r="I254" s="471">
        <v>145240</v>
      </c>
      <c r="J254" s="471">
        <f t="shared" si="13"/>
        <v>726.2</v>
      </c>
      <c r="K254" s="54" t="s">
        <v>783</v>
      </c>
      <c r="L254" s="951" t="s">
        <v>235</v>
      </c>
      <c r="M254" s="471">
        <f>(0.9-3*0.075+4*0.015)/2</f>
        <v>0.36750000000000005</v>
      </c>
      <c r="N254" s="462">
        <v>7.4999999999999997E-2</v>
      </c>
      <c r="O254" s="462">
        <f>1.25*25.4/1000</f>
        <v>3.175E-2</v>
      </c>
      <c r="P254" s="462">
        <f>ROUND(6*M254*N254*O254,3)</f>
        <v>5.0000000000000001E-3</v>
      </c>
      <c r="Q254" s="471">
        <v>145240</v>
      </c>
      <c r="R254" s="471">
        <f t="shared" si="14"/>
        <v>726.2</v>
      </c>
    </row>
    <row r="255" spans="1:18" hidden="1">
      <c r="A255" s="617"/>
      <c r="B255" s="34"/>
      <c r="C255" s="54" t="s">
        <v>1481</v>
      </c>
      <c r="D255" s="951" t="s">
        <v>236</v>
      </c>
      <c r="E255" s="471">
        <f>(0.9-3*0.075+4*0.015)/2-2*0.075+2*0.025</f>
        <v>0.26750000000000007</v>
      </c>
      <c r="F255" s="462">
        <f>(1.35-2*0.075+2*0.015-3*0.075)/2+2*0.025</f>
        <v>0.55250000000000021</v>
      </c>
      <c r="G255" s="462">
        <v>2.5000000000000001E-2</v>
      </c>
      <c r="H255" s="462">
        <f>ROUND(4*E255*F255*G255,3)</f>
        <v>1.4999999999999999E-2</v>
      </c>
      <c r="I255" s="471">
        <v>145240</v>
      </c>
      <c r="J255" s="471">
        <f t="shared" si="13"/>
        <v>2178.6</v>
      </c>
      <c r="K255" s="54" t="s">
        <v>1481</v>
      </c>
      <c r="L255" s="951" t="s">
        <v>236</v>
      </c>
      <c r="M255" s="471">
        <f>(0.9-3*0.075+4*0.015)/2-2*0.075+2*0.025</f>
        <v>0.26750000000000007</v>
      </c>
      <c r="N255" s="462">
        <f>(1.2-2*0.075+2*0.015-3*0.075)/2+2*0.025</f>
        <v>0.47750000000000004</v>
      </c>
      <c r="O255" s="462">
        <v>2.5000000000000001E-2</v>
      </c>
      <c r="P255" s="462">
        <f>ROUND(4*M255*N255*O255,3)</f>
        <v>1.2999999999999999E-2</v>
      </c>
      <c r="Q255" s="471">
        <v>145240</v>
      </c>
      <c r="R255" s="471">
        <f t="shared" si="14"/>
        <v>1888.12</v>
      </c>
    </row>
    <row r="256" spans="1:18" hidden="1">
      <c r="A256" s="617"/>
      <c r="B256" s="34"/>
      <c r="C256" s="54" t="s">
        <v>1482</v>
      </c>
      <c r="D256" s="951"/>
      <c r="E256" s="471"/>
      <c r="F256" s="462"/>
      <c r="G256" s="462"/>
      <c r="H256" s="462">
        <f>SUM(H251:H255)</f>
        <v>7.8E-2</v>
      </c>
      <c r="I256" s="465">
        <f>G25</f>
        <v>19572.5</v>
      </c>
      <c r="J256" s="471">
        <f t="shared" si="13"/>
        <v>1526.66</v>
      </c>
      <c r="K256" s="54" t="s">
        <v>1482</v>
      </c>
      <c r="L256" s="951"/>
      <c r="M256" s="471"/>
      <c r="N256" s="462"/>
      <c r="O256" s="462"/>
      <c r="P256" s="462">
        <f>SUM(P251:P255)</f>
        <v>7.0999999999999994E-2</v>
      </c>
      <c r="Q256" s="465">
        <f>I256</f>
        <v>19572.5</v>
      </c>
      <c r="R256" s="471">
        <f t="shared" si="14"/>
        <v>1389.65</v>
      </c>
    </row>
    <row r="257" spans="1:18" ht="33.299999999999997" hidden="1">
      <c r="A257" s="617" t="s">
        <v>787</v>
      </c>
      <c r="B257" s="19"/>
      <c r="C257" s="54" t="s">
        <v>788</v>
      </c>
      <c r="D257" s="951"/>
      <c r="E257" s="471"/>
      <c r="F257" s="462"/>
      <c r="G257" s="952"/>
      <c r="H257" s="952"/>
      <c r="I257" s="471"/>
      <c r="J257" s="471"/>
      <c r="K257" s="54" t="s">
        <v>788</v>
      </c>
      <c r="L257" s="951"/>
      <c r="M257" s="471"/>
      <c r="N257" s="462"/>
      <c r="O257" s="952"/>
      <c r="P257" s="952"/>
      <c r="Q257" s="471"/>
      <c r="R257" s="471"/>
    </row>
    <row r="258" spans="1:18" hidden="1">
      <c r="A258" s="617"/>
      <c r="B258" s="693"/>
      <c r="C258" s="694" t="s">
        <v>915</v>
      </c>
      <c r="D258" s="471" t="s">
        <v>1035</v>
      </c>
      <c r="E258" s="462" t="s">
        <v>1618</v>
      </c>
      <c r="F258" s="462"/>
      <c r="G258" s="462"/>
      <c r="H258" s="948">
        <v>2</v>
      </c>
      <c r="I258" s="471">
        <v>35</v>
      </c>
      <c r="J258" s="471">
        <f t="shared" ref="J258:J263" si="15">ROUND(H258*I258,2)</f>
        <v>70</v>
      </c>
      <c r="K258" s="694" t="s">
        <v>915</v>
      </c>
      <c r="L258" s="471" t="s">
        <v>1035</v>
      </c>
      <c r="M258" s="462" t="s">
        <v>1624</v>
      </c>
      <c r="N258" s="462"/>
      <c r="O258" s="462"/>
      <c r="P258" s="948">
        <v>2</v>
      </c>
      <c r="Q258" s="471">
        <v>38</v>
      </c>
      <c r="R258" s="471">
        <f t="shared" ref="R258:R263" si="16">ROUND(P258*Q258,2)</f>
        <v>76</v>
      </c>
    </row>
    <row r="259" spans="1:18" hidden="1">
      <c r="A259" s="617"/>
      <c r="B259" s="693"/>
      <c r="C259" s="31" t="s">
        <v>916</v>
      </c>
      <c r="D259" s="471" t="s">
        <v>1035</v>
      </c>
      <c r="E259" s="462" t="s">
        <v>1618</v>
      </c>
      <c r="F259" s="462"/>
      <c r="G259" s="462"/>
      <c r="H259" s="948">
        <v>2</v>
      </c>
      <c r="I259" s="471">
        <v>35</v>
      </c>
      <c r="J259" s="471">
        <f t="shared" si="15"/>
        <v>70</v>
      </c>
      <c r="K259" s="31" t="s">
        <v>916</v>
      </c>
      <c r="L259" s="471" t="s">
        <v>1035</v>
      </c>
      <c r="M259" s="462" t="s">
        <v>1624</v>
      </c>
      <c r="N259" s="462"/>
      <c r="O259" s="462"/>
      <c r="P259" s="948">
        <v>2</v>
      </c>
      <c r="Q259" s="471">
        <v>38</v>
      </c>
      <c r="R259" s="471">
        <f t="shared" si="16"/>
        <v>76</v>
      </c>
    </row>
    <row r="260" spans="1:18" hidden="1">
      <c r="A260" s="617"/>
      <c r="B260" s="693"/>
      <c r="C260" s="946" t="s">
        <v>917</v>
      </c>
      <c r="D260" s="471" t="s">
        <v>1035</v>
      </c>
      <c r="E260" s="462" t="s">
        <v>1984</v>
      </c>
      <c r="F260" s="462"/>
      <c r="G260" s="462"/>
      <c r="H260" s="948">
        <v>4</v>
      </c>
      <c r="I260" s="471">
        <v>21</v>
      </c>
      <c r="J260" s="471">
        <f t="shared" si="15"/>
        <v>84</v>
      </c>
      <c r="K260" s="946" t="s">
        <v>917</v>
      </c>
      <c r="L260" s="471" t="s">
        <v>1035</v>
      </c>
      <c r="M260" s="462" t="s">
        <v>1625</v>
      </c>
      <c r="N260" s="462"/>
      <c r="O260" s="462"/>
      <c r="P260" s="948">
        <v>4</v>
      </c>
      <c r="Q260" s="471">
        <v>26</v>
      </c>
      <c r="R260" s="471">
        <f t="shared" si="16"/>
        <v>104</v>
      </c>
    </row>
    <row r="261" spans="1:18" hidden="1">
      <c r="A261" s="617"/>
      <c r="B261" s="693"/>
      <c r="C261" s="694" t="s">
        <v>918</v>
      </c>
      <c r="D261" s="471" t="s">
        <v>1035</v>
      </c>
      <c r="E261" s="462" t="s">
        <v>1985</v>
      </c>
      <c r="F261" s="462"/>
      <c r="G261" s="462"/>
      <c r="H261" s="948">
        <v>2</v>
      </c>
      <c r="I261" s="471">
        <v>213</v>
      </c>
      <c r="J261" s="471">
        <f t="shared" si="15"/>
        <v>426</v>
      </c>
      <c r="K261" s="694" t="s">
        <v>918</v>
      </c>
      <c r="L261" s="471" t="s">
        <v>1035</v>
      </c>
      <c r="M261" s="462" t="s">
        <v>1626</v>
      </c>
      <c r="N261" s="462"/>
      <c r="O261" s="462"/>
      <c r="P261" s="948">
        <v>2</v>
      </c>
      <c r="Q261" s="471">
        <v>107</v>
      </c>
      <c r="R261" s="471">
        <f t="shared" si="16"/>
        <v>214</v>
      </c>
    </row>
    <row r="262" spans="1:18" hidden="1">
      <c r="A262" s="617"/>
      <c r="B262" s="693"/>
      <c r="C262" s="694" t="s">
        <v>799</v>
      </c>
      <c r="D262" s="471" t="s">
        <v>882</v>
      </c>
      <c r="E262" s="462" t="s">
        <v>1652</v>
      </c>
      <c r="F262" s="462"/>
      <c r="G262" s="462"/>
      <c r="H262" s="948">
        <v>60</v>
      </c>
      <c r="I262" s="471">
        <v>3</v>
      </c>
      <c r="J262" s="471">
        <f t="shared" si="15"/>
        <v>180</v>
      </c>
      <c r="K262" s="694" t="s">
        <v>799</v>
      </c>
      <c r="L262" s="471" t="s">
        <v>882</v>
      </c>
      <c r="M262" s="462" t="s">
        <v>1652</v>
      </c>
      <c r="N262" s="462"/>
      <c r="O262" s="462"/>
      <c r="P262" s="948">
        <v>60</v>
      </c>
      <c r="Q262" s="471">
        <v>0.89</v>
      </c>
      <c r="R262" s="471">
        <f t="shared" si="16"/>
        <v>53.4</v>
      </c>
    </row>
    <row r="263" spans="1:18" hidden="1">
      <c r="A263" s="617"/>
      <c r="B263" s="693"/>
      <c r="C263" s="694" t="s">
        <v>1598</v>
      </c>
      <c r="D263" s="471"/>
      <c r="E263" s="953" t="s">
        <v>1651</v>
      </c>
      <c r="F263" s="462"/>
      <c r="G263" s="462"/>
      <c r="H263" s="948">
        <v>4</v>
      </c>
      <c r="I263" s="471">
        <v>32</v>
      </c>
      <c r="J263" s="471">
        <f t="shared" si="15"/>
        <v>128</v>
      </c>
      <c r="K263" s="694" t="s">
        <v>1598</v>
      </c>
      <c r="L263" s="471"/>
      <c r="M263" s="953" t="s">
        <v>1651</v>
      </c>
      <c r="N263" s="462"/>
      <c r="O263" s="462"/>
      <c r="P263" s="948">
        <v>4</v>
      </c>
      <c r="Q263" s="471">
        <v>35</v>
      </c>
      <c r="R263" s="471">
        <f t="shared" si="16"/>
        <v>140</v>
      </c>
    </row>
    <row r="264" spans="1:18" hidden="1">
      <c r="A264" s="617"/>
      <c r="B264" s="693"/>
      <c r="C264" s="694" t="s">
        <v>1484</v>
      </c>
      <c r="D264" s="471">
        <v>2.75</v>
      </c>
      <c r="E264" s="462">
        <v>0.9</v>
      </c>
      <c r="F264" s="462"/>
      <c r="G264" s="471">
        <v>1.35</v>
      </c>
      <c r="H264" s="462">
        <f>ROUND(G264*E264*D264,2)</f>
        <v>3.34</v>
      </c>
      <c r="I264" s="471">
        <f>G15</f>
        <v>577.61900000000003</v>
      </c>
      <c r="J264" s="471">
        <f>ROUND(H264*I264/10,2)</f>
        <v>192.92</v>
      </c>
      <c r="K264" s="694" t="s">
        <v>1484</v>
      </c>
      <c r="L264" s="471">
        <v>2.75</v>
      </c>
      <c r="M264" s="462">
        <v>0.9</v>
      </c>
      <c r="N264" s="462"/>
      <c r="O264" s="471">
        <v>1.35</v>
      </c>
      <c r="P264" s="462">
        <f>ROUND(O264*M264*L264,2)</f>
        <v>3.34</v>
      </c>
      <c r="Q264" s="471">
        <f>I264</f>
        <v>577.61900000000003</v>
      </c>
      <c r="R264" s="471">
        <f>ROUND(P264*Q264/10,2)</f>
        <v>192.92</v>
      </c>
    </row>
    <row r="265" spans="1:18" s="450" customFormat="1" hidden="1">
      <c r="A265" s="617"/>
      <c r="B265" s="693"/>
      <c r="C265" s="694" t="s">
        <v>1306</v>
      </c>
      <c r="D265" s="471" t="s">
        <v>246</v>
      </c>
      <c r="E265" s="462">
        <v>0.9</v>
      </c>
      <c r="F265" s="462">
        <f>E265*10</f>
        <v>9</v>
      </c>
      <c r="G265" s="471">
        <v>0.89</v>
      </c>
      <c r="H265" s="462">
        <f>G265*F265</f>
        <v>8.01</v>
      </c>
      <c r="I265" s="471">
        <f>'Lead- Input sheet '!R10/1000</f>
        <v>69.62</v>
      </c>
      <c r="J265" s="471">
        <f>H265*I265</f>
        <v>557.65620000000001</v>
      </c>
      <c r="K265" s="694" t="s">
        <v>1306</v>
      </c>
      <c r="L265" s="471" t="s">
        <v>246</v>
      </c>
      <c r="M265" s="462">
        <v>0.9</v>
      </c>
      <c r="N265" s="462">
        <f>M265*10</f>
        <v>9</v>
      </c>
      <c r="O265" s="471">
        <v>1.1299999999999999</v>
      </c>
      <c r="P265" s="462">
        <f>O265*N265</f>
        <v>10.169999999999998</v>
      </c>
      <c r="Q265" s="471">
        <f>I265</f>
        <v>69.62</v>
      </c>
      <c r="R265" s="471">
        <f>P265*Q265</f>
        <v>708.03539999999987</v>
      </c>
    </row>
    <row r="266" spans="1:18" hidden="1">
      <c r="A266" s="617"/>
      <c r="B266" s="693"/>
      <c r="C266" s="694" t="s">
        <v>230</v>
      </c>
      <c r="D266" s="471"/>
      <c r="E266" s="462"/>
      <c r="F266" s="462"/>
      <c r="G266" s="462"/>
      <c r="H266" s="948">
        <v>1</v>
      </c>
      <c r="I266" s="471">
        <v>100</v>
      </c>
      <c r="J266" s="471">
        <f>H266*I266</f>
        <v>100</v>
      </c>
      <c r="K266" s="694" t="s">
        <v>230</v>
      </c>
      <c r="L266" s="471"/>
      <c r="M266" s="462"/>
      <c r="N266" s="462"/>
      <c r="O266" s="462"/>
      <c r="P266" s="948">
        <v>1</v>
      </c>
      <c r="Q266" s="471">
        <v>100</v>
      </c>
      <c r="R266" s="471">
        <f>P266*Q266</f>
        <v>100</v>
      </c>
    </row>
    <row r="267" spans="1:18" hidden="1">
      <c r="A267" s="617"/>
      <c r="B267" s="34"/>
      <c r="D267" s="951"/>
      <c r="E267" s="471"/>
      <c r="F267" s="462"/>
      <c r="G267" s="462"/>
      <c r="H267" s="462"/>
      <c r="I267" s="471"/>
      <c r="J267" s="471">
        <f>SUM(J251:J266)</f>
        <v>11694.606199999998</v>
      </c>
      <c r="K267" s="54"/>
      <c r="L267" s="951"/>
      <c r="M267" s="471"/>
      <c r="N267" s="462"/>
      <c r="O267" s="462"/>
      <c r="P267" s="462"/>
      <c r="Q267" s="471"/>
      <c r="R267" s="471">
        <f>SUM(R251:R266)</f>
        <v>10590.3454</v>
      </c>
    </row>
    <row r="268" spans="1:18" s="18" customFormat="1" hidden="1">
      <c r="A268" s="617"/>
      <c r="B268" s="40"/>
      <c r="C268" s="54" t="s">
        <v>1600</v>
      </c>
      <c r="D268" s="954"/>
      <c r="E268" s="468"/>
      <c r="F268" s="458"/>
      <c r="G268" s="458"/>
      <c r="H268" s="458">
        <f>J267</f>
        <v>11694.606199999998</v>
      </c>
      <c r="I268" s="468">
        <f>I6</f>
        <v>0</v>
      </c>
      <c r="J268" s="468">
        <f>ROUND(H268*I268,2)</f>
        <v>0</v>
      </c>
      <c r="K268" s="54" t="s">
        <v>1600</v>
      </c>
      <c r="L268" s="954"/>
      <c r="M268" s="468"/>
      <c r="N268" s="458"/>
      <c r="O268" s="458"/>
      <c r="P268" s="458">
        <f>R267</f>
        <v>10590.3454</v>
      </c>
      <c r="Q268" s="468">
        <f>Q6</f>
        <v>0</v>
      </c>
      <c r="R268" s="468">
        <f>ROUND(P268*Q268,2)</f>
        <v>0</v>
      </c>
    </row>
    <row r="269" spans="1:18" s="18" customFormat="1" hidden="1">
      <c r="A269" s="617"/>
      <c r="B269" s="411"/>
      <c r="C269" s="283" t="s">
        <v>256</v>
      </c>
      <c r="D269" s="955"/>
      <c r="E269" s="469"/>
      <c r="F269" s="460"/>
      <c r="G269" s="460"/>
      <c r="H269" s="460"/>
      <c r="I269" s="469" t="s">
        <v>416</v>
      </c>
      <c r="J269" s="469">
        <f>SUM(J267:J268)</f>
        <v>11694.606199999998</v>
      </c>
      <c r="K269" s="283" t="s">
        <v>256</v>
      </c>
      <c r="L269" s="955"/>
      <c r="M269" s="469"/>
      <c r="N269" s="460"/>
      <c r="O269" s="460"/>
      <c r="P269" s="460"/>
      <c r="Q269" s="469" t="s">
        <v>416</v>
      </c>
      <c r="R269" s="469">
        <f>SUM(R267:R268)</f>
        <v>10590.3454</v>
      </c>
    </row>
    <row r="270" spans="1:18" hidden="1">
      <c r="A270" s="617"/>
      <c r="B270" s="34"/>
      <c r="C270" s="55" t="s">
        <v>1307</v>
      </c>
      <c r="D270" s="951"/>
      <c r="E270" s="471"/>
      <c r="F270" s="462"/>
      <c r="G270" s="462"/>
      <c r="H270" s="462"/>
      <c r="I270" s="471"/>
      <c r="J270" s="471"/>
      <c r="K270" s="55" t="s">
        <v>1307</v>
      </c>
      <c r="L270" s="951"/>
      <c r="M270" s="471"/>
      <c r="N270" s="462"/>
      <c r="O270" s="462"/>
      <c r="P270" s="462"/>
      <c r="Q270" s="471"/>
      <c r="R270" s="471"/>
    </row>
    <row r="271" spans="1:18" hidden="1">
      <c r="A271" s="617"/>
      <c r="B271" s="34"/>
      <c r="C271" s="54" t="s">
        <v>848</v>
      </c>
      <c r="D271" s="951"/>
      <c r="E271" s="471"/>
      <c r="F271" s="462"/>
      <c r="G271" s="462"/>
      <c r="H271" s="462"/>
      <c r="I271" s="471"/>
      <c r="J271" s="471"/>
      <c r="K271" s="54" t="s">
        <v>848</v>
      </c>
      <c r="L271" s="951"/>
      <c r="M271" s="471"/>
      <c r="N271" s="462"/>
      <c r="O271" s="462"/>
      <c r="P271" s="462"/>
      <c r="Q271" s="471"/>
      <c r="R271" s="471"/>
    </row>
    <row r="272" spans="1:18" hidden="1">
      <c r="A272" s="617"/>
      <c r="B272" s="34"/>
      <c r="C272" s="54" t="s">
        <v>780</v>
      </c>
      <c r="D272" s="951">
        <v>3</v>
      </c>
      <c r="E272" s="471">
        <v>1.35</v>
      </c>
      <c r="F272" s="462">
        <v>0.1</v>
      </c>
      <c r="G272" s="462">
        <v>7.4999999999999997E-2</v>
      </c>
      <c r="H272" s="462">
        <f>ROUND(D272*E272*F272*G272,3)</f>
        <v>0.03</v>
      </c>
      <c r="I272" s="471">
        <v>80689</v>
      </c>
      <c r="J272" s="471">
        <f>ROUND(H272*I272,2)</f>
        <v>2420.67</v>
      </c>
      <c r="K272" s="54" t="s">
        <v>780</v>
      </c>
      <c r="L272" s="951">
        <v>3</v>
      </c>
      <c r="M272" s="471">
        <v>1.2</v>
      </c>
      <c r="N272" s="462">
        <v>0.1</v>
      </c>
      <c r="O272" s="462">
        <v>7.4999999999999997E-2</v>
      </c>
      <c r="P272" s="462">
        <f>ROUND(L272*M272*N272*O272,3)</f>
        <v>2.7E-2</v>
      </c>
      <c r="Q272" s="471">
        <v>80689</v>
      </c>
      <c r="R272" s="471">
        <f>ROUND(P272*Q272,2)</f>
        <v>2178.6</v>
      </c>
    </row>
    <row r="273" spans="1:18" hidden="1">
      <c r="A273" s="617"/>
      <c r="B273" s="34"/>
      <c r="C273" s="54" t="s">
        <v>781</v>
      </c>
      <c r="D273" s="951">
        <v>2</v>
      </c>
      <c r="E273" s="471">
        <v>1.05</v>
      </c>
      <c r="F273" s="462">
        <v>0.1</v>
      </c>
      <c r="G273" s="462">
        <v>7.4999999999999997E-2</v>
      </c>
      <c r="H273" s="462">
        <f>ROUND(D273*E273*F273*G273,3)</f>
        <v>1.6E-2</v>
      </c>
      <c r="I273" s="471">
        <v>80689</v>
      </c>
      <c r="J273" s="471">
        <f>ROUND(H273*I273,2)</f>
        <v>1291.02</v>
      </c>
      <c r="K273" s="54" t="s">
        <v>781</v>
      </c>
      <c r="L273" s="951">
        <v>2</v>
      </c>
      <c r="M273" s="471">
        <v>1.05</v>
      </c>
      <c r="N273" s="462">
        <v>0.1</v>
      </c>
      <c r="O273" s="462">
        <v>7.4999999999999997E-2</v>
      </c>
      <c r="P273" s="462">
        <f>ROUND(L273*M273*N273*O273,3)</f>
        <v>1.6E-2</v>
      </c>
      <c r="Q273" s="471">
        <v>80689</v>
      </c>
      <c r="R273" s="471">
        <f>ROUND(P273*Q273,2)</f>
        <v>1291.02</v>
      </c>
    </row>
    <row r="274" spans="1:18" hidden="1">
      <c r="A274" s="617"/>
      <c r="B274" s="34"/>
      <c r="C274" s="54" t="s">
        <v>1482</v>
      </c>
      <c r="D274" s="951"/>
      <c r="E274" s="471"/>
      <c r="F274" s="462"/>
      <c r="G274" s="462"/>
      <c r="H274" s="462">
        <f>SUM(H272:H273)</f>
        <v>4.5999999999999999E-2</v>
      </c>
      <c r="I274" s="465">
        <f>G25</f>
        <v>19572.5</v>
      </c>
      <c r="J274" s="471">
        <f>ROUND(H274*I274,2)</f>
        <v>900.34</v>
      </c>
      <c r="K274" s="54" t="s">
        <v>1482</v>
      </c>
      <c r="L274" s="951"/>
      <c r="M274" s="471"/>
      <c r="N274" s="462"/>
      <c r="O274" s="462"/>
      <c r="P274" s="462">
        <f>SUM(P272:P273)</f>
        <v>4.2999999999999997E-2</v>
      </c>
      <c r="Q274" s="465">
        <f>I274</f>
        <v>19572.5</v>
      </c>
      <c r="R274" s="471">
        <f>ROUND(P274*Q274,2)</f>
        <v>841.62</v>
      </c>
    </row>
    <row r="275" spans="1:18" ht="33.299999999999997" hidden="1">
      <c r="A275" s="617" t="s">
        <v>787</v>
      </c>
      <c r="B275" s="19"/>
      <c r="C275" s="54" t="s">
        <v>788</v>
      </c>
      <c r="D275" s="951"/>
      <c r="E275" s="471"/>
      <c r="F275" s="462"/>
      <c r="G275" s="952"/>
      <c r="H275" s="952"/>
      <c r="I275" s="471"/>
      <c r="J275" s="471"/>
      <c r="K275" s="54" t="s">
        <v>788</v>
      </c>
      <c r="L275" s="951"/>
      <c r="M275" s="471"/>
      <c r="N275" s="462"/>
      <c r="O275" s="952"/>
      <c r="P275" s="952"/>
      <c r="Q275" s="471"/>
      <c r="R275" s="471"/>
    </row>
    <row r="276" spans="1:18" hidden="1">
      <c r="A276" s="617"/>
      <c r="B276" s="32"/>
      <c r="C276" s="54" t="s">
        <v>1598</v>
      </c>
      <c r="D276" s="951"/>
      <c r="E276" s="953" t="s">
        <v>1651</v>
      </c>
      <c r="F276" s="462"/>
      <c r="G276" s="462"/>
      <c r="H276" s="948">
        <v>4</v>
      </c>
      <c r="I276" s="471">
        <v>32</v>
      </c>
      <c r="J276" s="471">
        <f>ROUND(H276*I276,2)</f>
        <v>128</v>
      </c>
      <c r="K276" s="54" t="s">
        <v>1598</v>
      </c>
      <c r="L276" s="951"/>
      <c r="M276" s="953" t="s">
        <v>1651</v>
      </c>
      <c r="N276" s="462"/>
      <c r="O276" s="462"/>
      <c r="P276" s="948">
        <v>4</v>
      </c>
      <c r="Q276" s="471">
        <v>35</v>
      </c>
      <c r="R276" s="471">
        <f>ROUND(P276*Q276,2)</f>
        <v>140</v>
      </c>
    </row>
    <row r="277" spans="1:18" hidden="1">
      <c r="A277" s="617"/>
      <c r="B277" s="34"/>
      <c r="C277" s="54" t="s">
        <v>1484</v>
      </c>
      <c r="D277" s="951" t="s">
        <v>544</v>
      </c>
      <c r="E277" s="471">
        <v>0.9</v>
      </c>
      <c r="F277" s="462"/>
      <c r="G277" s="471">
        <v>1.35</v>
      </c>
      <c r="H277" s="462">
        <f>ROUND(G277*E277*2.75/3,2)</f>
        <v>1.1100000000000001</v>
      </c>
      <c r="I277" s="698">
        <f>G15</f>
        <v>577.61900000000003</v>
      </c>
      <c r="J277" s="471">
        <f>ROUND(H277*I277/10,2)</f>
        <v>64.12</v>
      </c>
      <c r="K277" s="54" t="s">
        <v>1484</v>
      </c>
      <c r="L277" s="951" t="s">
        <v>544</v>
      </c>
      <c r="M277" s="471">
        <v>0.9</v>
      </c>
      <c r="N277" s="462"/>
      <c r="O277" s="471">
        <v>1.35</v>
      </c>
      <c r="P277" s="462">
        <f>ROUND(O277*M277*2.75/3,2)</f>
        <v>1.1100000000000001</v>
      </c>
      <c r="Q277" s="698">
        <f>I277</f>
        <v>577.61900000000003</v>
      </c>
      <c r="R277" s="471">
        <f>ROUND(P277*Q277/10,2)</f>
        <v>64.12</v>
      </c>
    </row>
    <row r="278" spans="1:18" s="450" customFormat="1" hidden="1">
      <c r="A278" s="617"/>
      <c r="B278" s="693"/>
      <c r="C278" s="694" t="s">
        <v>1306</v>
      </c>
      <c r="D278" s="471" t="s">
        <v>246</v>
      </c>
      <c r="E278" s="462">
        <v>0.9</v>
      </c>
      <c r="F278" s="471">
        <f>E278*10</f>
        <v>9</v>
      </c>
      <c r="G278" s="471">
        <v>0.89</v>
      </c>
      <c r="H278" s="462">
        <f>G278*F278</f>
        <v>8.01</v>
      </c>
      <c r="I278" s="471">
        <f>'Lead- Input sheet '!R10/1000</f>
        <v>69.62</v>
      </c>
      <c r="J278" s="471">
        <f>H278*I278</f>
        <v>557.65620000000001</v>
      </c>
      <c r="K278" s="694" t="s">
        <v>1306</v>
      </c>
      <c r="L278" s="471" t="s">
        <v>246</v>
      </c>
      <c r="M278" s="462">
        <v>0.9</v>
      </c>
      <c r="N278" s="471">
        <f>M278*10</f>
        <v>9</v>
      </c>
      <c r="O278" s="471">
        <v>1.1299999999999999</v>
      </c>
      <c r="P278" s="462">
        <f>O278*N278</f>
        <v>10.169999999999998</v>
      </c>
      <c r="Q278" s="698">
        <f>I278</f>
        <v>69.62</v>
      </c>
      <c r="R278" s="471">
        <f>P278*Q278</f>
        <v>708.03539999999987</v>
      </c>
    </row>
    <row r="279" spans="1:18" hidden="1">
      <c r="A279" s="617"/>
      <c r="B279" s="34"/>
      <c r="C279" s="54" t="s">
        <v>230</v>
      </c>
      <c r="D279" s="951"/>
      <c r="E279" s="471"/>
      <c r="F279" s="462"/>
      <c r="G279" s="462"/>
      <c r="H279" s="948">
        <v>1</v>
      </c>
      <c r="I279" s="471">
        <v>50</v>
      </c>
      <c r="J279" s="471">
        <f>ROUND(H279*I279,2)</f>
        <v>50</v>
      </c>
      <c r="K279" s="54" t="s">
        <v>230</v>
      </c>
      <c r="L279" s="951"/>
      <c r="M279" s="471"/>
      <c r="N279" s="462"/>
      <c r="O279" s="462"/>
      <c r="P279" s="948">
        <v>1</v>
      </c>
      <c r="Q279" s="471">
        <v>50</v>
      </c>
      <c r="R279" s="471">
        <f>ROUND(P279*Q279,2)</f>
        <v>50</v>
      </c>
    </row>
    <row r="280" spans="1:18" hidden="1">
      <c r="A280" s="617"/>
      <c r="B280" s="34"/>
      <c r="D280" s="951"/>
      <c r="E280" s="471"/>
      <c r="F280" s="462"/>
      <c r="G280" s="462"/>
      <c r="H280" s="462"/>
      <c r="I280" s="471"/>
      <c r="J280" s="471">
        <f>SUM(J272:J279)</f>
        <v>5411.8062</v>
      </c>
      <c r="K280" s="54"/>
      <c r="L280" s="951"/>
      <c r="M280" s="471"/>
      <c r="N280" s="462"/>
      <c r="O280" s="462"/>
      <c r="P280" s="462"/>
      <c r="Q280" s="471"/>
      <c r="R280" s="471">
        <f>SUM(R272:R279)</f>
        <v>5273.3953999999994</v>
      </c>
    </row>
    <row r="281" spans="1:18" s="18" customFormat="1" hidden="1">
      <c r="A281" s="617"/>
      <c r="B281" s="40"/>
      <c r="C281" s="54" t="s">
        <v>1600</v>
      </c>
      <c r="D281" s="954"/>
      <c r="E281" s="468"/>
      <c r="F281" s="458"/>
      <c r="G281" s="458"/>
      <c r="H281" s="458">
        <f>J280</f>
        <v>5411.8062</v>
      </c>
      <c r="I281" s="468">
        <f>I6</f>
        <v>0</v>
      </c>
      <c r="J281" s="471">
        <f>ROUND(H281*I281,2)</f>
        <v>0</v>
      </c>
      <c r="K281" s="54" t="s">
        <v>1600</v>
      </c>
      <c r="L281" s="954"/>
      <c r="M281" s="468"/>
      <c r="N281" s="458"/>
      <c r="O281" s="458"/>
      <c r="P281" s="458">
        <f>R280</f>
        <v>5273.3953999999994</v>
      </c>
      <c r="Q281" s="468">
        <f>Q6</f>
        <v>0</v>
      </c>
      <c r="R281" s="471">
        <f>ROUND(P281*Q281,2)</f>
        <v>0</v>
      </c>
    </row>
    <row r="282" spans="1:18" s="439" customFormat="1" hidden="1">
      <c r="A282" s="617"/>
      <c r="B282" s="411"/>
      <c r="C282" s="448" t="s">
        <v>1308</v>
      </c>
      <c r="D282" s="955"/>
      <c r="E282" s="469"/>
      <c r="F282" s="460"/>
      <c r="G282" s="460"/>
      <c r="H282" s="460"/>
      <c r="I282" s="469" t="s">
        <v>416</v>
      </c>
      <c r="J282" s="469">
        <f>SUM(J280:J281)</f>
        <v>5411.8062</v>
      </c>
      <c r="K282" s="448" t="s">
        <v>1308</v>
      </c>
      <c r="L282" s="955"/>
      <c r="M282" s="469"/>
      <c r="N282" s="460"/>
      <c r="O282" s="460"/>
      <c r="P282" s="460"/>
      <c r="Q282" s="469" t="s">
        <v>416</v>
      </c>
      <c r="R282" s="469">
        <f>SUM(R280:R281)</f>
        <v>5273.3953999999994</v>
      </c>
    </row>
    <row r="283" spans="1:18" s="439" customFormat="1" hidden="1">
      <c r="A283" s="617"/>
      <c r="B283" s="411"/>
      <c r="C283" s="448" t="s">
        <v>1309</v>
      </c>
      <c r="D283" s="955"/>
      <c r="E283" s="469"/>
      <c r="F283" s="460"/>
      <c r="G283" s="460"/>
      <c r="H283" s="460"/>
      <c r="I283" s="469" t="s">
        <v>416</v>
      </c>
      <c r="J283" s="469">
        <f>J269-J282</f>
        <v>6282.7999999999984</v>
      </c>
      <c r="K283" s="448" t="s">
        <v>1309</v>
      </c>
      <c r="L283" s="955"/>
      <c r="M283" s="469"/>
      <c r="N283" s="460"/>
      <c r="O283" s="460"/>
      <c r="P283" s="460"/>
      <c r="Q283" s="469" t="s">
        <v>416</v>
      </c>
      <c r="R283" s="469">
        <f>R269-R282</f>
        <v>5316.9500000000007</v>
      </c>
    </row>
    <row r="284" spans="1:18" ht="103.2" hidden="1">
      <c r="A284" s="617"/>
      <c r="B284" s="26">
        <v>8</v>
      </c>
      <c r="C284" s="55" t="s">
        <v>1830</v>
      </c>
      <c r="D284" s="951"/>
      <c r="E284" s="471"/>
      <c r="F284" s="462"/>
      <c r="G284" s="462"/>
      <c r="H284" s="462"/>
      <c r="I284" s="471"/>
      <c r="J284" s="471"/>
      <c r="K284" s="55" t="s">
        <v>1935</v>
      </c>
      <c r="L284" s="951"/>
      <c r="M284" s="471"/>
      <c r="N284" s="462"/>
      <c r="O284" s="462"/>
      <c r="P284" s="462"/>
      <c r="Q284" s="471"/>
      <c r="R284" s="471"/>
    </row>
    <row r="285" spans="1:18" hidden="1">
      <c r="A285" s="617"/>
      <c r="B285" s="34"/>
      <c r="C285" s="55" t="s">
        <v>1310</v>
      </c>
      <c r="D285" s="951"/>
      <c r="E285" s="471"/>
      <c r="F285" s="462"/>
      <c r="G285" s="462"/>
      <c r="H285" s="462"/>
      <c r="I285" s="471"/>
      <c r="J285" s="471"/>
      <c r="K285" s="55" t="s">
        <v>1936</v>
      </c>
      <c r="L285" s="951"/>
      <c r="M285" s="471"/>
      <c r="N285" s="462"/>
      <c r="O285" s="462"/>
      <c r="P285" s="462"/>
      <c r="Q285" s="471"/>
      <c r="R285" s="471"/>
    </row>
    <row r="286" spans="1:18" hidden="1">
      <c r="A286" s="617"/>
      <c r="B286" s="34"/>
      <c r="C286" s="54" t="s">
        <v>848</v>
      </c>
      <c r="D286" s="951"/>
      <c r="E286" s="471"/>
      <c r="F286" s="462"/>
      <c r="G286" s="462"/>
      <c r="H286" s="462"/>
      <c r="I286" s="471"/>
      <c r="J286" s="471"/>
      <c r="K286" s="54" t="s">
        <v>848</v>
      </c>
      <c r="L286" s="951"/>
      <c r="M286" s="471"/>
      <c r="N286" s="462"/>
      <c r="O286" s="462"/>
      <c r="P286" s="462"/>
      <c r="Q286" s="471"/>
      <c r="R286" s="471"/>
    </row>
    <row r="287" spans="1:18" hidden="1">
      <c r="A287" s="617"/>
      <c r="B287" s="34"/>
      <c r="C287" s="54" t="s">
        <v>780</v>
      </c>
      <c r="D287" s="951">
        <v>4</v>
      </c>
      <c r="E287" s="471">
        <v>1.35</v>
      </c>
      <c r="F287" s="462">
        <v>0.1</v>
      </c>
      <c r="G287" s="462">
        <v>7.4999999999999997E-2</v>
      </c>
      <c r="H287" s="462">
        <f>ROUND(D287*E287*F287*G287,3)</f>
        <v>4.1000000000000002E-2</v>
      </c>
      <c r="I287" s="471">
        <v>80689</v>
      </c>
      <c r="J287" s="471">
        <f t="shared" ref="J287:J292" si="17">ROUND(H287*I287,2)</f>
        <v>3308.25</v>
      </c>
      <c r="K287" s="54" t="s">
        <v>780</v>
      </c>
      <c r="L287" s="951">
        <v>4</v>
      </c>
      <c r="M287" s="471">
        <v>1.2</v>
      </c>
      <c r="N287" s="462">
        <v>0.1</v>
      </c>
      <c r="O287" s="462">
        <v>7.4999999999999997E-2</v>
      </c>
      <c r="P287" s="462">
        <f>ROUND(L287*M287*N287*O287,3)</f>
        <v>3.5999999999999997E-2</v>
      </c>
      <c r="Q287" s="471">
        <v>80689</v>
      </c>
      <c r="R287" s="471">
        <f t="shared" ref="R287:R292" si="18">ROUND(P287*Q287,2)</f>
        <v>2904.8</v>
      </c>
    </row>
    <row r="288" spans="1:18" hidden="1">
      <c r="A288" s="617"/>
      <c r="B288" s="34"/>
      <c r="C288" s="54" t="s">
        <v>781</v>
      </c>
      <c r="D288" s="951">
        <v>2</v>
      </c>
      <c r="E288" s="471">
        <v>1.35</v>
      </c>
      <c r="F288" s="462">
        <v>0.1</v>
      </c>
      <c r="G288" s="462">
        <v>7.4999999999999997E-2</v>
      </c>
      <c r="H288" s="462">
        <f>ROUND(D288*E288*F288*G288,3)</f>
        <v>0.02</v>
      </c>
      <c r="I288" s="471">
        <v>80689</v>
      </c>
      <c r="J288" s="471">
        <f t="shared" si="17"/>
        <v>1613.78</v>
      </c>
      <c r="K288" s="54" t="s">
        <v>781</v>
      </c>
      <c r="L288" s="951">
        <v>2</v>
      </c>
      <c r="M288" s="471">
        <v>1.35</v>
      </c>
      <c r="N288" s="462">
        <v>0.1</v>
      </c>
      <c r="O288" s="462">
        <v>7.4999999999999997E-2</v>
      </c>
      <c r="P288" s="462">
        <f>ROUND(L288*M288*N288*O288,3)</f>
        <v>0.02</v>
      </c>
      <c r="Q288" s="471">
        <v>80689</v>
      </c>
      <c r="R288" s="471">
        <f t="shared" si="18"/>
        <v>1613.78</v>
      </c>
    </row>
    <row r="289" spans="1:18" hidden="1">
      <c r="A289" s="617"/>
      <c r="B289" s="34"/>
      <c r="C289" s="54" t="s">
        <v>782</v>
      </c>
      <c r="D289" s="951" t="s">
        <v>243</v>
      </c>
      <c r="E289" s="472">
        <f>(1.35-2*0.075+2*0.015)</f>
        <v>1.2300000000000002</v>
      </c>
      <c r="F289" s="462">
        <v>7.4999999999999997E-2</v>
      </c>
      <c r="G289" s="462">
        <f>1.25*25.4/1000</f>
        <v>3.175E-2</v>
      </c>
      <c r="H289" s="462">
        <f>ROUND(6*E289*F289*G289,3)</f>
        <v>1.7999999999999999E-2</v>
      </c>
      <c r="I289" s="471">
        <v>145240</v>
      </c>
      <c r="J289" s="471">
        <f t="shared" si="17"/>
        <v>2614.3200000000002</v>
      </c>
      <c r="K289" s="54" t="s">
        <v>782</v>
      </c>
      <c r="L289" s="951" t="s">
        <v>243</v>
      </c>
      <c r="M289" s="472">
        <f>(1.2-2*0.075+2*0.015)</f>
        <v>1.08</v>
      </c>
      <c r="N289" s="462">
        <v>7.4999999999999997E-2</v>
      </c>
      <c r="O289" s="462">
        <f>1.25*25.4/1000</f>
        <v>3.175E-2</v>
      </c>
      <c r="P289" s="462">
        <f>ROUND(6*M289*N289*O289,3)</f>
        <v>1.4999999999999999E-2</v>
      </c>
      <c r="Q289" s="471">
        <v>145240</v>
      </c>
      <c r="R289" s="471">
        <f t="shared" si="18"/>
        <v>2178.6</v>
      </c>
    </row>
    <row r="290" spans="1:18" hidden="1">
      <c r="A290" s="617"/>
      <c r="B290" s="34"/>
      <c r="C290" s="54" t="s">
        <v>783</v>
      </c>
      <c r="D290" s="951" t="s">
        <v>244</v>
      </c>
      <c r="E290" s="471">
        <f>(1.2-3*0.075+4*0.015)/2</f>
        <v>0.51749999999999996</v>
      </c>
      <c r="F290" s="462">
        <v>7.4999999999999997E-2</v>
      </c>
      <c r="G290" s="462">
        <f>1.25*25.4/1000</f>
        <v>3.175E-2</v>
      </c>
      <c r="H290" s="462">
        <f>ROUND(9*E290*F290*G290,3)</f>
        <v>1.0999999999999999E-2</v>
      </c>
      <c r="I290" s="471">
        <v>145240</v>
      </c>
      <c r="J290" s="471">
        <f t="shared" si="17"/>
        <v>1597.64</v>
      </c>
      <c r="K290" s="54" t="s">
        <v>783</v>
      </c>
      <c r="L290" s="951" t="s">
        <v>244</v>
      </c>
      <c r="M290" s="471">
        <f>(1.2-3*0.075+4*0.015)/2</f>
        <v>0.51749999999999996</v>
      </c>
      <c r="N290" s="462">
        <v>7.4999999999999997E-2</v>
      </c>
      <c r="O290" s="462">
        <f>1.25*25.4/1000</f>
        <v>3.175E-2</v>
      </c>
      <c r="P290" s="462">
        <f>ROUND(9*M290*N290*O290,3)</f>
        <v>1.0999999999999999E-2</v>
      </c>
      <c r="Q290" s="471">
        <v>145240</v>
      </c>
      <c r="R290" s="471">
        <f t="shared" si="18"/>
        <v>1597.64</v>
      </c>
    </row>
    <row r="291" spans="1:18" hidden="1">
      <c r="A291" s="617"/>
      <c r="B291" s="34"/>
      <c r="C291" s="54" t="s">
        <v>1481</v>
      </c>
      <c r="D291" s="951" t="s">
        <v>245</v>
      </c>
      <c r="E291" s="471">
        <f>(1.2-4*0.075+6*0.015)/3-2*0.075+2*0.025</f>
        <v>0.22999999999999998</v>
      </c>
      <c r="F291" s="462">
        <f>(1.35-2*0.075+2*0.015-3*0.075)/2+2*0.025</f>
        <v>0.55250000000000021</v>
      </c>
      <c r="G291" s="462">
        <v>2.5000000000000001E-2</v>
      </c>
      <c r="H291" s="462">
        <f>ROUND(6*E291*F291*G291,3)</f>
        <v>1.9E-2</v>
      </c>
      <c r="I291" s="471">
        <v>145240</v>
      </c>
      <c r="J291" s="471">
        <f t="shared" si="17"/>
        <v>2759.56</v>
      </c>
      <c r="K291" s="54" t="s">
        <v>1481</v>
      </c>
      <c r="L291" s="951" t="s">
        <v>245</v>
      </c>
      <c r="M291" s="471">
        <f>(1.2-4*0.075+6*0.015)/3-2*0.075+2*0.025</f>
        <v>0.22999999999999998</v>
      </c>
      <c r="N291" s="462">
        <f>(1.2-2*0.075+2*0.015-3*0.075)/2+2*0.025</f>
        <v>0.47750000000000004</v>
      </c>
      <c r="O291" s="462">
        <v>2.5000000000000001E-2</v>
      </c>
      <c r="P291" s="462">
        <f>ROUND(6*M291*N291*O291,3)</f>
        <v>1.6E-2</v>
      </c>
      <c r="Q291" s="471">
        <v>145240</v>
      </c>
      <c r="R291" s="471">
        <f t="shared" si="18"/>
        <v>2323.84</v>
      </c>
    </row>
    <row r="292" spans="1:18" hidden="1">
      <c r="A292" s="617"/>
      <c r="B292" s="34"/>
      <c r="C292" s="54" t="s">
        <v>1482</v>
      </c>
      <c r="D292" s="951"/>
      <c r="E292" s="471"/>
      <c r="F292" s="462"/>
      <c r="G292" s="462"/>
      <c r="H292" s="462">
        <f>SUM(H287:H291)</f>
        <v>0.109</v>
      </c>
      <c r="I292" s="465">
        <f>G25</f>
        <v>19572.5</v>
      </c>
      <c r="J292" s="471">
        <f t="shared" si="17"/>
        <v>2133.4</v>
      </c>
      <c r="K292" s="54" t="s">
        <v>1482</v>
      </c>
      <c r="L292" s="951"/>
      <c r="M292" s="471"/>
      <c r="N292" s="462"/>
      <c r="O292" s="462"/>
      <c r="P292" s="462">
        <f>SUM(P287:P291)</f>
        <v>9.799999999999999E-2</v>
      </c>
      <c r="Q292" s="465">
        <f>I292</f>
        <v>19572.5</v>
      </c>
      <c r="R292" s="471">
        <f t="shared" si="18"/>
        <v>1918.11</v>
      </c>
    </row>
    <row r="293" spans="1:18" ht="33.299999999999997" hidden="1">
      <c r="A293" s="617" t="s">
        <v>787</v>
      </c>
      <c r="B293" s="19"/>
      <c r="C293" s="54" t="s">
        <v>788</v>
      </c>
      <c r="D293" s="951"/>
      <c r="E293" s="471"/>
      <c r="F293" s="462"/>
      <c r="G293" s="952"/>
      <c r="H293" s="952"/>
      <c r="I293" s="471"/>
      <c r="J293" s="471"/>
      <c r="K293" s="54" t="s">
        <v>788</v>
      </c>
      <c r="L293" s="951"/>
      <c r="M293" s="471"/>
      <c r="N293" s="462"/>
      <c r="O293" s="952"/>
      <c r="P293" s="952"/>
      <c r="Q293" s="471"/>
      <c r="R293" s="471"/>
    </row>
    <row r="294" spans="1:18" hidden="1">
      <c r="A294" s="617"/>
      <c r="B294" s="693"/>
      <c r="C294" s="694" t="s">
        <v>915</v>
      </c>
      <c r="D294" s="471" t="s">
        <v>1035</v>
      </c>
      <c r="E294" s="462" t="s">
        <v>1624</v>
      </c>
      <c r="F294" s="462"/>
      <c r="G294" s="462"/>
      <c r="H294" s="948">
        <v>3</v>
      </c>
      <c r="I294" s="471">
        <v>35</v>
      </c>
      <c r="J294" s="471">
        <f t="shared" ref="J294:J299" si="19">ROUND(H294*I294,2)</f>
        <v>105</v>
      </c>
      <c r="K294" s="694" t="s">
        <v>915</v>
      </c>
      <c r="L294" s="471" t="s">
        <v>1035</v>
      </c>
      <c r="M294" s="462" t="s">
        <v>1624</v>
      </c>
      <c r="N294" s="462"/>
      <c r="O294" s="462"/>
      <c r="P294" s="948">
        <v>3</v>
      </c>
      <c r="Q294" s="471">
        <v>35</v>
      </c>
      <c r="R294" s="471">
        <f t="shared" ref="R294:R299" si="20">ROUND(P294*Q294,2)</f>
        <v>105</v>
      </c>
    </row>
    <row r="295" spans="1:18" hidden="1">
      <c r="A295" s="617"/>
      <c r="B295" s="693"/>
      <c r="C295" s="31" t="s">
        <v>916</v>
      </c>
      <c r="D295" s="471" t="s">
        <v>1035</v>
      </c>
      <c r="E295" s="462" t="s">
        <v>1624</v>
      </c>
      <c r="F295" s="462"/>
      <c r="G295" s="462"/>
      <c r="H295" s="948">
        <v>3</v>
      </c>
      <c r="I295" s="471">
        <v>35</v>
      </c>
      <c r="J295" s="471">
        <f t="shared" si="19"/>
        <v>105</v>
      </c>
      <c r="K295" s="31" t="s">
        <v>916</v>
      </c>
      <c r="L295" s="471" t="s">
        <v>1035</v>
      </c>
      <c r="M295" s="462" t="s">
        <v>1624</v>
      </c>
      <c r="N295" s="462"/>
      <c r="O295" s="462"/>
      <c r="P295" s="948">
        <v>3</v>
      </c>
      <c r="Q295" s="471">
        <v>35</v>
      </c>
      <c r="R295" s="471">
        <f t="shared" si="20"/>
        <v>105</v>
      </c>
    </row>
    <row r="296" spans="1:18" hidden="1">
      <c r="A296" s="617"/>
      <c r="B296" s="693"/>
      <c r="C296" s="946" t="s">
        <v>917</v>
      </c>
      <c r="D296" s="471" t="s">
        <v>1035</v>
      </c>
      <c r="E296" s="462" t="s">
        <v>1625</v>
      </c>
      <c r="F296" s="462"/>
      <c r="G296" s="462"/>
      <c r="H296" s="948">
        <v>6</v>
      </c>
      <c r="I296" s="471">
        <v>21</v>
      </c>
      <c r="J296" s="471">
        <f t="shared" si="19"/>
        <v>126</v>
      </c>
      <c r="K296" s="946" t="s">
        <v>917</v>
      </c>
      <c r="L296" s="471" t="s">
        <v>1035</v>
      </c>
      <c r="M296" s="462" t="s">
        <v>1625</v>
      </c>
      <c r="N296" s="462"/>
      <c r="O296" s="462"/>
      <c r="P296" s="948">
        <v>6</v>
      </c>
      <c r="Q296" s="471">
        <v>21</v>
      </c>
      <c r="R296" s="471">
        <f t="shared" si="20"/>
        <v>126</v>
      </c>
    </row>
    <row r="297" spans="1:18" hidden="1">
      <c r="A297" s="617"/>
      <c r="B297" s="693"/>
      <c r="C297" s="694" t="s">
        <v>918</v>
      </c>
      <c r="D297" s="471" t="s">
        <v>1035</v>
      </c>
      <c r="E297" s="462" t="s">
        <v>1626</v>
      </c>
      <c r="F297" s="462"/>
      <c r="G297" s="462"/>
      <c r="H297" s="948">
        <v>3</v>
      </c>
      <c r="I297" s="471">
        <v>213</v>
      </c>
      <c r="J297" s="471">
        <f t="shared" si="19"/>
        <v>639</v>
      </c>
      <c r="K297" s="694" t="s">
        <v>918</v>
      </c>
      <c r="L297" s="471" t="s">
        <v>1035</v>
      </c>
      <c r="M297" s="462" t="s">
        <v>1626</v>
      </c>
      <c r="N297" s="462"/>
      <c r="O297" s="462"/>
      <c r="P297" s="948">
        <v>3</v>
      </c>
      <c r="Q297" s="471">
        <v>213</v>
      </c>
      <c r="R297" s="471">
        <f t="shared" si="20"/>
        <v>639</v>
      </c>
    </row>
    <row r="298" spans="1:18" hidden="1">
      <c r="A298" s="617"/>
      <c r="B298" s="693"/>
      <c r="C298" s="694" t="s">
        <v>799</v>
      </c>
      <c r="D298" s="471" t="s">
        <v>882</v>
      </c>
      <c r="E298" s="462" t="s">
        <v>1652</v>
      </c>
      <c r="F298" s="462"/>
      <c r="G298" s="462"/>
      <c r="H298" s="948">
        <v>90</v>
      </c>
      <c r="I298" s="471">
        <v>3</v>
      </c>
      <c r="J298" s="471">
        <f t="shared" si="19"/>
        <v>270</v>
      </c>
      <c r="K298" s="694" t="s">
        <v>799</v>
      </c>
      <c r="L298" s="471" t="s">
        <v>882</v>
      </c>
      <c r="M298" s="462" t="s">
        <v>1652</v>
      </c>
      <c r="N298" s="462"/>
      <c r="O298" s="462"/>
      <c r="P298" s="948">
        <v>90</v>
      </c>
      <c r="Q298" s="471">
        <v>3</v>
      </c>
      <c r="R298" s="471">
        <f t="shared" si="20"/>
        <v>270</v>
      </c>
    </row>
    <row r="299" spans="1:18" hidden="1">
      <c r="A299" s="617"/>
      <c r="B299" s="693"/>
      <c r="C299" s="694" t="s">
        <v>1598</v>
      </c>
      <c r="D299" s="471"/>
      <c r="E299" s="953" t="s">
        <v>1651</v>
      </c>
      <c r="F299" s="462"/>
      <c r="G299" s="462"/>
      <c r="H299" s="948">
        <v>4</v>
      </c>
      <c r="I299" s="471">
        <v>32</v>
      </c>
      <c r="J299" s="471">
        <f t="shared" si="19"/>
        <v>128</v>
      </c>
      <c r="K299" s="694" t="s">
        <v>1598</v>
      </c>
      <c r="L299" s="471"/>
      <c r="M299" s="953" t="s">
        <v>1651</v>
      </c>
      <c r="N299" s="462"/>
      <c r="O299" s="462"/>
      <c r="P299" s="948">
        <v>4</v>
      </c>
      <c r="Q299" s="471">
        <v>32</v>
      </c>
      <c r="R299" s="471">
        <f t="shared" si="20"/>
        <v>128</v>
      </c>
    </row>
    <row r="300" spans="1:18" hidden="1">
      <c r="A300" s="617"/>
      <c r="B300" s="34"/>
      <c r="C300" s="54" t="s">
        <v>1484</v>
      </c>
      <c r="D300" s="951">
        <v>2.75</v>
      </c>
      <c r="E300" s="471">
        <v>1.2</v>
      </c>
      <c r="F300" s="462"/>
      <c r="G300" s="471">
        <v>1.35</v>
      </c>
      <c r="H300" s="462">
        <f>ROUND(G300*E300*D300,2)</f>
        <v>4.46</v>
      </c>
      <c r="I300" s="698">
        <f>G15</f>
        <v>577.61900000000003</v>
      </c>
      <c r="J300" s="471">
        <f>ROUND(H300*I300/10,2)</f>
        <v>257.62</v>
      </c>
      <c r="K300" s="54" t="s">
        <v>1484</v>
      </c>
      <c r="L300" s="951">
        <v>2.75</v>
      </c>
      <c r="M300" s="471">
        <v>1.2</v>
      </c>
      <c r="N300" s="462"/>
      <c r="O300" s="471">
        <v>1.2</v>
      </c>
      <c r="P300" s="462">
        <f>ROUND(O300*M300*L300,2)</f>
        <v>3.96</v>
      </c>
      <c r="Q300" s="698">
        <f>I300</f>
        <v>577.61900000000003</v>
      </c>
      <c r="R300" s="471">
        <f>ROUND(P300*Q300/10,2)</f>
        <v>228.74</v>
      </c>
    </row>
    <row r="301" spans="1:18" hidden="1">
      <c r="A301" s="617"/>
      <c r="B301" s="34"/>
      <c r="C301" s="451" t="s">
        <v>1306</v>
      </c>
      <c r="D301" s="951" t="s">
        <v>246</v>
      </c>
      <c r="E301" s="471">
        <v>1.2</v>
      </c>
      <c r="F301" s="462">
        <f>E301*10</f>
        <v>12</v>
      </c>
      <c r="G301" s="471">
        <v>1.1299999999999999</v>
      </c>
      <c r="H301" s="462">
        <f>G301*F301</f>
        <v>13.559999999999999</v>
      </c>
      <c r="I301" s="465">
        <f>'Lead- Input sheet '!R10/1000</f>
        <v>69.62</v>
      </c>
      <c r="J301" s="471">
        <f>H301*I301</f>
        <v>944.04719999999998</v>
      </c>
      <c r="K301" s="451" t="s">
        <v>1306</v>
      </c>
      <c r="L301" s="951" t="s">
        <v>246</v>
      </c>
      <c r="M301" s="471">
        <v>1.2</v>
      </c>
      <c r="N301" s="462">
        <f>M301*10</f>
        <v>12</v>
      </c>
      <c r="O301" s="471">
        <v>1.1299999999999999</v>
      </c>
      <c r="P301" s="462">
        <f>O301*N301</f>
        <v>13.559999999999999</v>
      </c>
      <c r="Q301" s="698">
        <f>I301</f>
        <v>69.62</v>
      </c>
      <c r="R301" s="471">
        <f>P301*Q301</f>
        <v>944.04719999999998</v>
      </c>
    </row>
    <row r="302" spans="1:18" hidden="1">
      <c r="A302" s="617"/>
      <c r="B302" s="34"/>
      <c r="C302" s="54" t="s">
        <v>230</v>
      </c>
      <c r="D302" s="951"/>
      <c r="E302" s="471"/>
      <c r="F302" s="462"/>
      <c r="G302" s="462"/>
      <c r="H302" s="948">
        <v>1</v>
      </c>
      <c r="I302" s="471">
        <v>100</v>
      </c>
      <c r="J302" s="471">
        <f>H302*I302</f>
        <v>100</v>
      </c>
      <c r="K302" s="54" t="s">
        <v>230</v>
      </c>
      <c r="L302" s="951"/>
      <c r="M302" s="471"/>
      <c r="N302" s="462"/>
      <c r="O302" s="462"/>
      <c r="P302" s="948">
        <v>1</v>
      </c>
      <c r="Q302" s="471">
        <v>100</v>
      </c>
      <c r="R302" s="471">
        <f>P302*Q302</f>
        <v>100</v>
      </c>
    </row>
    <row r="303" spans="1:18" hidden="1">
      <c r="A303" s="617"/>
      <c r="B303" s="34"/>
      <c r="D303" s="951"/>
      <c r="E303" s="471"/>
      <c r="F303" s="462"/>
      <c r="G303" s="462"/>
      <c r="H303" s="462"/>
      <c r="I303" s="471"/>
      <c r="J303" s="471">
        <f>SUM(J287:J302)</f>
        <v>16701.617200000001</v>
      </c>
      <c r="K303" s="54"/>
      <c r="L303" s="951"/>
      <c r="M303" s="471"/>
      <c r="N303" s="462"/>
      <c r="O303" s="462"/>
      <c r="P303" s="462"/>
      <c r="Q303" s="471"/>
      <c r="R303" s="471">
        <f>SUM(R287:R302)</f>
        <v>15182.557199999999</v>
      </c>
    </row>
    <row r="304" spans="1:18" s="18" customFormat="1" hidden="1">
      <c r="A304" s="617"/>
      <c r="B304" s="40"/>
      <c r="C304" s="54" t="s">
        <v>1600</v>
      </c>
      <c r="D304" s="954"/>
      <c r="E304" s="468"/>
      <c r="F304" s="458"/>
      <c r="G304" s="458"/>
      <c r="H304" s="458">
        <f>J303</f>
        <v>16701.617200000001</v>
      </c>
      <c r="I304" s="468">
        <f>I6</f>
        <v>0</v>
      </c>
      <c r="J304" s="468">
        <f>ROUND(H304*I304,2)</f>
        <v>0</v>
      </c>
      <c r="K304" s="54" t="s">
        <v>1600</v>
      </c>
      <c r="L304" s="954"/>
      <c r="M304" s="468"/>
      <c r="N304" s="458"/>
      <c r="O304" s="458"/>
      <c r="P304" s="458">
        <f>R303</f>
        <v>15182.557199999999</v>
      </c>
      <c r="Q304" s="468">
        <f>I304</f>
        <v>0</v>
      </c>
      <c r="R304" s="468">
        <f>ROUND(P304*Q304,2)</f>
        <v>0</v>
      </c>
    </row>
    <row r="305" spans="1:18" s="18" customFormat="1" hidden="1">
      <c r="A305" s="617"/>
      <c r="B305" s="411"/>
      <c r="C305" s="283" t="s">
        <v>256</v>
      </c>
      <c r="D305" s="955"/>
      <c r="E305" s="469"/>
      <c r="F305" s="460"/>
      <c r="G305" s="460"/>
      <c r="H305" s="460"/>
      <c r="I305" s="469" t="s">
        <v>416</v>
      </c>
      <c r="J305" s="469">
        <f>SUM(J303:J304)</f>
        <v>16701.617200000001</v>
      </c>
      <c r="K305" s="283" t="s">
        <v>256</v>
      </c>
      <c r="L305" s="955"/>
      <c r="M305" s="469"/>
      <c r="N305" s="460"/>
      <c r="O305" s="460"/>
      <c r="P305" s="460"/>
      <c r="Q305" s="469" t="s">
        <v>416</v>
      </c>
      <c r="R305" s="469">
        <f>SUM(R303:R304)</f>
        <v>15182.557199999999</v>
      </c>
    </row>
    <row r="306" spans="1:18" hidden="1">
      <c r="A306" s="617"/>
      <c r="B306" s="34"/>
      <c r="C306" s="55" t="s">
        <v>1311</v>
      </c>
      <c r="D306" s="951"/>
      <c r="E306" s="471"/>
      <c r="F306" s="462"/>
      <c r="G306" s="462"/>
      <c r="H306" s="462"/>
      <c r="I306" s="471"/>
      <c r="J306" s="471"/>
      <c r="K306" s="55" t="s">
        <v>1311</v>
      </c>
      <c r="L306" s="951"/>
      <c r="M306" s="471"/>
      <c r="N306" s="462"/>
      <c r="O306" s="462"/>
      <c r="P306" s="462"/>
      <c r="Q306" s="471"/>
      <c r="R306" s="471"/>
    </row>
    <row r="307" spans="1:18" hidden="1">
      <c r="A307" s="617"/>
      <c r="B307" s="34"/>
      <c r="C307" s="54" t="s">
        <v>848</v>
      </c>
      <c r="D307" s="951"/>
      <c r="E307" s="471"/>
      <c r="F307" s="462"/>
      <c r="G307" s="462"/>
      <c r="H307" s="462"/>
      <c r="I307" s="471"/>
      <c r="J307" s="471"/>
      <c r="K307" s="54" t="s">
        <v>848</v>
      </c>
      <c r="L307" s="951"/>
      <c r="M307" s="471"/>
      <c r="N307" s="462"/>
      <c r="O307" s="462"/>
      <c r="P307" s="462"/>
      <c r="Q307" s="471"/>
      <c r="R307" s="471"/>
    </row>
    <row r="308" spans="1:18" hidden="1">
      <c r="A308" s="617"/>
      <c r="B308" s="34"/>
      <c r="C308" s="54" t="s">
        <v>780</v>
      </c>
      <c r="D308" s="951">
        <v>4</v>
      </c>
      <c r="E308" s="471">
        <v>1.35</v>
      </c>
      <c r="F308" s="462">
        <v>0.1</v>
      </c>
      <c r="G308" s="462">
        <v>7.4999999999999997E-2</v>
      </c>
      <c r="H308" s="462">
        <f>ROUND(D308*E308*F308*G308,3)</f>
        <v>4.1000000000000002E-2</v>
      </c>
      <c r="I308" s="471">
        <v>80689</v>
      </c>
      <c r="J308" s="471">
        <f>ROUND(H308*I308,2)</f>
        <v>3308.25</v>
      </c>
      <c r="K308" s="54" t="s">
        <v>780</v>
      </c>
      <c r="L308" s="951">
        <v>4</v>
      </c>
      <c r="M308" s="471">
        <v>1.2</v>
      </c>
      <c r="N308" s="462">
        <v>0.1</v>
      </c>
      <c r="O308" s="462">
        <v>7.4999999999999997E-2</v>
      </c>
      <c r="P308" s="462">
        <f>ROUND(L308*M308*N308*O308,3)</f>
        <v>3.5999999999999997E-2</v>
      </c>
      <c r="Q308" s="471">
        <v>80689</v>
      </c>
      <c r="R308" s="471">
        <f>ROUND(P308*Q308,2)</f>
        <v>2904.8</v>
      </c>
    </row>
    <row r="309" spans="1:18" hidden="1">
      <c r="A309" s="617"/>
      <c r="B309" s="34"/>
      <c r="C309" s="54" t="s">
        <v>781</v>
      </c>
      <c r="D309" s="951">
        <v>2</v>
      </c>
      <c r="E309" s="471">
        <v>1.35</v>
      </c>
      <c r="F309" s="462">
        <v>0.1</v>
      </c>
      <c r="G309" s="462">
        <v>7.4999999999999997E-2</v>
      </c>
      <c r="H309" s="462">
        <f>ROUND(D309*E309*F309*G309,3)</f>
        <v>0.02</v>
      </c>
      <c r="I309" s="471">
        <v>80689</v>
      </c>
      <c r="J309" s="471">
        <f>ROUND(H309*I309,2)</f>
        <v>1613.78</v>
      </c>
      <c r="K309" s="54" t="s">
        <v>781</v>
      </c>
      <c r="L309" s="951">
        <v>2</v>
      </c>
      <c r="M309" s="471">
        <v>1.35</v>
      </c>
      <c r="N309" s="462">
        <v>0.1</v>
      </c>
      <c r="O309" s="462">
        <v>7.4999999999999997E-2</v>
      </c>
      <c r="P309" s="462">
        <f>ROUND(L309*M309*N309*O309,3)</f>
        <v>0.02</v>
      </c>
      <c r="Q309" s="471">
        <v>80689</v>
      </c>
      <c r="R309" s="471">
        <f>ROUND(P309*Q309,2)</f>
        <v>1613.78</v>
      </c>
    </row>
    <row r="310" spans="1:18" hidden="1">
      <c r="A310" s="617"/>
      <c r="B310" s="34"/>
      <c r="C310" s="54" t="s">
        <v>1482</v>
      </c>
      <c r="D310" s="951"/>
      <c r="E310" s="471"/>
      <c r="F310" s="462"/>
      <c r="G310" s="462"/>
      <c r="H310" s="462">
        <f>SUM(H308:H309)</f>
        <v>6.0999999999999999E-2</v>
      </c>
      <c r="I310" s="465">
        <f>G25</f>
        <v>19572.5</v>
      </c>
      <c r="J310" s="471">
        <f>ROUND(H310*I310,2)</f>
        <v>1193.92</v>
      </c>
      <c r="K310" s="54" t="s">
        <v>1482</v>
      </c>
      <c r="L310" s="951"/>
      <c r="M310" s="471"/>
      <c r="N310" s="462"/>
      <c r="O310" s="462"/>
      <c r="P310" s="462">
        <f>SUM(P308:P309)</f>
        <v>5.5999999999999994E-2</v>
      </c>
      <c r="Q310" s="465">
        <f>I310</f>
        <v>19572.5</v>
      </c>
      <c r="R310" s="471">
        <f>ROUND(P310*Q310,2)</f>
        <v>1096.06</v>
      </c>
    </row>
    <row r="311" spans="1:18" ht="33.299999999999997" hidden="1">
      <c r="A311" s="617" t="s">
        <v>787</v>
      </c>
      <c r="B311" s="19"/>
      <c r="C311" s="54" t="s">
        <v>788</v>
      </c>
      <c r="D311" s="951"/>
      <c r="E311" s="471"/>
      <c r="F311" s="462"/>
      <c r="G311" s="952"/>
      <c r="H311" s="952"/>
      <c r="I311" s="471"/>
      <c r="J311" s="471"/>
      <c r="K311" s="54" t="s">
        <v>788</v>
      </c>
      <c r="L311" s="951"/>
      <c r="M311" s="471"/>
      <c r="N311" s="462"/>
      <c r="O311" s="952"/>
      <c r="P311" s="952"/>
      <c r="Q311" s="471"/>
      <c r="R311" s="471"/>
    </row>
    <row r="312" spans="1:18" hidden="1">
      <c r="A312" s="617"/>
      <c r="B312" s="32"/>
      <c r="C312" s="54" t="s">
        <v>1598</v>
      </c>
      <c r="D312" s="951"/>
      <c r="E312" s="953" t="s">
        <v>1651</v>
      </c>
      <c r="F312" s="462"/>
      <c r="G312" s="462"/>
      <c r="H312" s="948">
        <v>4</v>
      </c>
      <c r="I312" s="471">
        <v>32</v>
      </c>
      <c r="J312" s="471">
        <f>ROUND(H312*I312,2)</f>
        <v>128</v>
      </c>
      <c r="K312" s="54" t="s">
        <v>1598</v>
      </c>
      <c r="L312" s="951"/>
      <c r="M312" s="953" t="s">
        <v>1651</v>
      </c>
      <c r="N312" s="462"/>
      <c r="O312" s="462"/>
      <c r="P312" s="948">
        <v>4</v>
      </c>
      <c r="Q312" s="471">
        <v>32</v>
      </c>
      <c r="R312" s="471">
        <f>ROUND(P312*Q312,2)</f>
        <v>128</v>
      </c>
    </row>
    <row r="313" spans="1:18" hidden="1">
      <c r="A313" s="617"/>
      <c r="B313" s="34"/>
      <c r="C313" s="54" t="s">
        <v>1484</v>
      </c>
      <c r="D313" s="471" t="s">
        <v>544</v>
      </c>
      <c r="E313" s="471">
        <v>1.2</v>
      </c>
      <c r="F313" s="462"/>
      <c r="G313" s="471">
        <v>1.35</v>
      </c>
      <c r="H313" s="462">
        <f>ROUND(G313*E313*2.75/3,2)</f>
        <v>1.49</v>
      </c>
      <c r="I313" s="698">
        <f>G15</f>
        <v>577.61900000000003</v>
      </c>
      <c r="J313" s="471">
        <f>ROUND(H313*I313/10,2)</f>
        <v>86.07</v>
      </c>
      <c r="K313" s="54" t="s">
        <v>1484</v>
      </c>
      <c r="L313" s="471" t="s">
        <v>544</v>
      </c>
      <c r="M313" s="471">
        <v>1.2</v>
      </c>
      <c r="N313" s="462"/>
      <c r="O313" s="471">
        <v>1.35</v>
      </c>
      <c r="P313" s="462">
        <f>ROUND(O313*M313*2.75/3,2)</f>
        <v>1.49</v>
      </c>
      <c r="Q313" s="698">
        <f>I313</f>
        <v>577.61900000000003</v>
      </c>
      <c r="R313" s="471">
        <f>ROUND(P313*Q313/10,2)</f>
        <v>86.07</v>
      </c>
    </row>
    <row r="314" spans="1:18" hidden="1">
      <c r="A314" s="617"/>
      <c r="B314" s="34"/>
      <c r="C314" s="451" t="s">
        <v>1306</v>
      </c>
      <c r="D314" s="951" t="s">
        <v>246</v>
      </c>
      <c r="E314" s="471">
        <v>1.2</v>
      </c>
      <c r="F314" s="462">
        <f>E314*10</f>
        <v>12</v>
      </c>
      <c r="G314" s="471">
        <v>1.1299999999999999</v>
      </c>
      <c r="H314" s="462">
        <f>G314*F314</f>
        <v>13.559999999999999</v>
      </c>
      <c r="I314" s="465">
        <f>'Lead- Input sheet '!R10/1000</f>
        <v>69.62</v>
      </c>
      <c r="J314" s="471">
        <f>H314*I314</f>
        <v>944.04719999999998</v>
      </c>
      <c r="K314" s="451" t="s">
        <v>1306</v>
      </c>
      <c r="L314" s="951" t="s">
        <v>246</v>
      </c>
      <c r="M314" s="471">
        <v>1.2</v>
      </c>
      <c r="N314" s="462">
        <f>M314*10</f>
        <v>12</v>
      </c>
      <c r="O314" s="471">
        <v>1.1299999999999999</v>
      </c>
      <c r="P314" s="462">
        <f>O314*N314</f>
        <v>13.559999999999999</v>
      </c>
      <c r="Q314" s="698">
        <f>I314</f>
        <v>69.62</v>
      </c>
      <c r="R314" s="471">
        <f>P314*Q314</f>
        <v>944.04719999999998</v>
      </c>
    </row>
    <row r="315" spans="1:18" hidden="1">
      <c r="A315" s="617"/>
      <c r="B315" s="34"/>
      <c r="C315" s="54" t="s">
        <v>230</v>
      </c>
      <c r="D315" s="951"/>
      <c r="E315" s="471"/>
      <c r="F315" s="462"/>
      <c r="G315" s="462"/>
      <c r="H315" s="948">
        <v>1</v>
      </c>
      <c r="I315" s="471">
        <v>50</v>
      </c>
      <c r="J315" s="471">
        <f>H315*I315</f>
        <v>50</v>
      </c>
      <c r="K315" s="54" t="s">
        <v>230</v>
      </c>
      <c r="L315" s="951"/>
      <c r="M315" s="471"/>
      <c r="N315" s="462"/>
      <c r="O315" s="462"/>
      <c r="P315" s="948">
        <v>1</v>
      </c>
      <c r="Q315" s="471">
        <v>50</v>
      </c>
      <c r="R315" s="471">
        <f>P315*Q315</f>
        <v>50</v>
      </c>
    </row>
    <row r="316" spans="1:18" hidden="1">
      <c r="A316" s="617"/>
      <c r="B316" s="34"/>
      <c r="D316" s="951"/>
      <c r="E316" s="471"/>
      <c r="F316" s="462"/>
      <c r="G316" s="462"/>
      <c r="H316" s="462"/>
      <c r="I316" s="471"/>
      <c r="J316" s="471">
        <f>SUM(J308:J315)</f>
        <v>7324.0671999999995</v>
      </c>
      <c r="K316" s="54"/>
      <c r="L316" s="951"/>
      <c r="M316" s="471"/>
      <c r="N316" s="462"/>
      <c r="O316" s="462"/>
      <c r="P316" s="462"/>
      <c r="Q316" s="471"/>
      <c r="R316" s="471">
        <f>SUM(R308:R315)</f>
        <v>6822.7571999999991</v>
      </c>
    </row>
    <row r="317" spans="1:18" s="18" customFormat="1" hidden="1">
      <c r="A317" s="617"/>
      <c r="B317" s="40"/>
      <c r="C317" s="54" t="s">
        <v>1600</v>
      </c>
      <c r="D317" s="954"/>
      <c r="E317" s="468"/>
      <c r="F317" s="458"/>
      <c r="G317" s="458"/>
      <c r="H317" s="458">
        <f>J316</f>
        <v>7324.0671999999995</v>
      </c>
      <c r="I317" s="468">
        <f>I6</f>
        <v>0</v>
      </c>
      <c r="J317" s="468">
        <f>ROUND(H337*I337,2)</f>
        <v>1180.06</v>
      </c>
      <c r="K317" s="54" t="s">
        <v>1600</v>
      </c>
      <c r="L317" s="954"/>
      <c r="M317" s="468"/>
      <c r="N317" s="458"/>
      <c r="O317" s="458"/>
      <c r="P317" s="458">
        <f>R316</f>
        <v>6822.7571999999991</v>
      </c>
      <c r="Q317" s="698">
        <f>I317</f>
        <v>0</v>
      </c>
      <c r="R317" s="468">
        <f>ROUND(P337*Q337,2)</f>
        <v>0</v>
      </c>
    </row>
    <row r="318" spans="1:18" s="439" customFormat="1" hidden="1">
      <c r="A318" s="617"/>
      <c r="B318" s="411"/>
      <c r="C318" s="418" t="s">
        <v>1312</v>
      </c>
      <c r="D318" s="955"/>
      <c r="E318" s="469"/>
      <c r="F318" s="460"/>
      <c r="G318" s="460"/>
      <c r="H318" s="460"/>
      <c r="I318" s="469" t="s">
        <v>416</v>
      </c>
      <c r="J318" s="469">
        <f>SUM(J316:J317)</f>
        <v>8504.127199999999</v>
      </c>
      <c r="K318" s="418" t="s">
        <v>1312</v>
      </c>
      <c r="L318" s="955"/>
      <c r="M318" s="469"/>
      <c r="N318" s="460"/>
      <c r="O318" s="460"/>
      <c r="P318" s="460"/>
      <c r="Q318" s="469" t="s">
        <v>416</v>
      </c>
      <c r="R318" s="469">
        <f>SUM(R316:R317)</f>
        <v>6822.7571999999991</v>
      </c>
    </row>
    <row r="319" spans="1:18" s="439" customFormat="1" hidden="1">
      <c r="A319" s="617"/>
      <c r="B319" s="411"/>
      <c r="C319" s="418" t="s">
        <v>1313</v>
      </c>
      <c r="D319" s="955"/>
      <c r="E319" s="469"/>
      <c r="F319" s="460"/>
      <c r="G319" s="460"/>
      <c r="H319" s="460"/>
      <c r="I319" s="469" t="s">
        <v>416</v>
      </c>
      <c r="J319" s="469">
        <f>J305-J318</f>
        <v>8197.4900000000016</v>
      </c>
      <c r="K319" s="418" t="s">
        <v>1313</v>
      </c>
      <c r="L319" s="955"/>
      <c r="M319" s="469"/>
      <c r="N319" s="460"/>
      <c r="O319" s="460"/>
      <c r="P319" s="460"/>
      <c r="Q319" s="469" t="s">
        <v>416</v>
      </c>
      <c r="R319" s="469">
        <f>R305-R318</f>
        <v>8359.7999999999993</v>
      </c>
    </row>
    <row r="320" spans="1:18" ht="90.3" hidden="1">
      <c r="A320" s="617"/>
      <c r="B320" s="26">
        <v>8</v>
      </c>
      <c r="C320" s="55" t="s">
        <v>1831</v>
      </c>
      <c r="D320" s="951"/>
      <c r="E320" s="471"/>
      <c r="F320" s="462"/>
      <c r="G320" s="462"/>
      <c r="H320" s="462"/>
      <c r="I320" s="471"/>
      <c r="J320" s="471"/>
      <c r="K320" s="31"/>
    </row>
    <row r="321" spans="1:11" hidden="1">
      <c r="A321" s="617"/>
      <c r="B321" s="34"/>
      <c r="C321" s="55" t="s">
        <v>1314</v>
      </c>
      <c r="D321" s="951"/>
      <c r="E321" s="471"/>
      <c r="F321" s="462"/>
      <c r="G321" s="462"/>
      <c r="H321" s="462"/>
      <c r="I321" s="471"/>
      <c r="J321" s="471"/>
      <c r="K321" s="31"/>
    </row>
    <row r="322" spans="1:11" hidden="1">
      <c r="A322" s="617"/>
      <c r="B322" s="34"/>
      <c r="C322" s="54" t="s">
        <v>848</v>
      </c>
      <c r="D322" s="951"/>
      <c r="E322" s="471"/>
      <c r="F322" s="462"/>
      <c r="G322" s="462"/>
      <c r="H322" s="462"/>
      <c r="I322" s="471"/>
      <c r="J322" s="471"/>
      <c r="K322" s="31"/>
    </row>
    <row r="323" spans="1:11" hidden="1">
      <c r="A323" s="617"/>
      <c r="B323" s="34"/>
      <c r="C323" s="54" t="s">
        <v>780</v>
      </c>
      <c r="D323" s="951">
        <v>4</v>
      </c>
      <c r="E323" s="471">
        <v>1.35</v>
      </c>
      <c r="F323" s="462">
        <v>0.1</v>
      </c>
      <c r="G323" s="462">
        <v>7.4999999999999997E-2</v>
      </c>
      <c r="H323" s="462">
        <f>ROUND(G323*F323*E323*D323,3)</f>
        <v>4.1000000000000002E-2</v>
      </c>
      <c r="I323" s="471">
        <v>80689</v>
      </c>
      <c r="J323" s="471">
        <f t="shared" ref="J323:J328" si="21">ROUND(H323*I323,2)</f>
        <v>3308.25</v>
      </c>
      <c r="K323" s="31"/>
    </row>
    <row r="324" spans="1:11" hidden="1">
      <c r="A324" s="617"/>
      <c r="B324" s="34"/>
      <c r="C324" s="54" t="s">
        <v>781</v>
      </c>
      <c r="D324" s="951">
        <v>2</v>
      </c>
      <c r="E324" s="471">
        <v>1.65</v>
      </c>
      <c r="F324" s="462">
        <v>0.1</v>
      </c>
      <c r="G324" s="462">
        <v>7.4999999999999997E-2</v>
      </c>
      <c r="H324" s="462">
        <f>ROUND(G324*F324*E324*D324,3)</f>
        <v>2.5000000000000001E-2</v>
      </c>
      <c r="I324" s="471">
        <v>80689</v>
      </c>
      <c r="J324" s="471">
        <f t="shared" si="21"/>
        <v>2017.23</v>
      </c>
      <c r="K324" s="31"/>
    </row>
    <row r="325" spans="1:11" hidden="1">
      <c r="A325" s="617"/>
      <c r="B325" s="34"/>
      <c r="C325" s="54" t="s">
        <v>782</v>
      </c>
      <c r="D325" s="951" t="s">
        <v>243</v>
      </c>
      <c r="E325" s="472">
        <f>(1.35-2*0.075+2*0.015)</f>
        <v>1.2300000000000002</v>
      </c>
      <c r="F325" s="462">
        <v>7.4999999999999997E-2</v>
      </c>
      <c r="G325" s="462">
        <f>1.25*25.4/1000</f>
        <v>3.175E-2</v>
      </c>
      <c r="H325" s="462">
        <f>ROUND(G325*F325*E325*6,3)</f>
        <v>1.7999999999999999E-2</v>
      </c>
      <c r="I325" s="471">
        <v>145240</v>
      </c>
      <c r="J325" s="471">
        <f t="shared" si="21"/>
        <v>2614.3200000000002</v>
      </c>
      <c r="K325" s="31"/>
    </row>
    <row r="326" spans="1:11" hidden="1">
      <c r="A326" s="617"/>
      <c r="B326" s="34"/>
      <c r="C326" s="54" t="s">
        <v>783</v>
      </c>
      <c r="D326" s="951" t="s">
        <v>244</v>
      </c>
      <c r="E326" s="471">
        <f>(1.5-3*0.075+6*0.015)/2</f>
        <v>0.6825</v>
      </c>
      <c r="F326" s="462">
        <v>7.4999999999999997E-2</v>
      </c>
      <c r="G326" s="462">
        <f>1.25*25.4/1000</f>
        <v>3.175E-2</v>
      </c>
      <c r="H326" s="462">
        <f>ROUND(9*E326*F326*G326,3)</f>
        <v>1.4999999999999999E-2</v>
      </c>
      <c r="I326" s="471">
        <v>145240</v>
      </c>
      <c r="J326" s="471">
        <f t="shared" si="21"/>
        <v>2178.6</v>
      </c>
      <c r="K326" s="31"/>
    </row>
    <row r="327" spans="1:11" hidden="1">
      <c r="A327" s="617"/>
      <c r="B327" s="34"/>
      <c r="C327" s="54" t="s">
        <v>1481</v>
      </c>
      <c r="D327" s="951" t="s">
        <v>245</v>
      </c>
      <c r="E327" s="471">
        <f>(1.5-4*0.075+6*0.015)/3-2*0.075+2*0.025</f>
        <v>0.33</v>
      </c>
      <c r="F327" s="462">
        <f>(1.35-2*0.075+2*0.015-3*0.075)/2+2*0.025</f>
        <v>0.55250000000000021</v>
      </c>
      <c r="G327" s="462">
        <v>2.5000000000000001E-2</v>
      </c>
      <c r="H327" s="462">
        <f>ROUND(6*E327*F327*G327,3)</f>
        <v>2.7E-2</v>
      </c>
      <c r="I327" s="471">
        <v>145240</v>
      </c>
      <c r="J327" s="471">
        <f t="shared" si="21"/>
        <v>3921.48</v>
      </c>
      <c r="K327" s="31"/>
    </row>
    <row r="328" spans="1:11" hidden="1">
      <c r="A328" s="617"/>
      <c r="B328" s="34"/>
      <c r="C328" s="54" t="s">
        <v>1482</v>
      </c>
      <c r="D328" s="951"/>
      <c r="E328" s="471"/>
      <c r="F328" s="462"/>
      <c r="G328" s="462"/>
      <c r="H328" s="462">
        <f>SUM(H323:H327)</f>
        <v>0.126</v>
      </c>
      <c r="I328" s="465">
        <f>G25</f>
        <v>19572.5</v>
      </c>
      <c r="J328" s="471">
        <f t="shared" si="21"/>
        <v>2466.14</v>
      </c>
      <c r="K328" s="31"/>
    </row>
    <row r="329" spans="1:11" ht="33.299999999999997" hidden="1">
      <c r="A329" s="617" t="s">
        <v>787</v>
      </c>
      <c r="B329" s="19"/>
      <c r="C329" s="54" t="s">
        <v>788</v>
      </c>
      <c r="D329" s="951"/>
      <c r="E329" s="471"/>
      <c r="F329" s="462"/>
      <c r="G329" s="952"/>
      <c r="H329" s="952"/>
      <c r="I329" s="471"/>
      <c r="J329" s="471"/>
      <c r="K329" s="31"/>
    </row>
    <row r="330" spans="1:11" hidden="1">
      <c r="A330" s="617"/>
      <c r="B330" s="693"/>
      <c r="C330" s="694" t="s">
        <v>915</v>
      </c>
      <c r="D330" s="471" t="s">
        <v>1035</v>
      </c>
      <c r="E330" s="462" t="s">
        <v>1624</v>
      </c>
      <c r="F330" s="462"/>
      <c r="G330" s="462"/>
      <c r="H330" s="948">
        <v>3</v>
      </c>
      <c r="I330" s="471">
        <v>35</v>
      </c>
      <c r="J330" s="471">
        <f t="shared" ref="J330:J335" si="22">ROUND(H330*I330,2)</f>
        <v>105</v>
      </c>
      <c r="K330" s="31"/>
    </row>
    <row r="331" spans="1:11" hidden="1">
      <c r="A331" s="617"/>
      <c r="B331" s="693"/>
      <c r="C331" s="31" t="s">
        <v>916</v>
      </c>
      <c r="D331" s="471" t="s">
        <v>1035</v>
      </c>
      <c r="E331" s="462" t="s">
        <v>1624</v>
      </c>
      <c r="F331" s="462"/>
      <c r="G331" s="462"/>
      <c r="H331" s="948">
        <v>3</v>
      </c>
      <c r="I331" s="471">
        <v>35</v>
      </c>
      <c r="J331" s="471">
        <f t="shared" si="22"/>
        <v>105</v>
      </c>
      <c r="K331" s="31"/>
    </row>
    <row r="332" spans="1:11" hidden="1">
      <c r="A332" s="617"/>
      <c r="B332" s="693"/>
      <c r="C332" s="946" t="s">
        <v>917</v>
      </c>
      <c r="D332" s="471" t="s">
        <v>1035</v>
      </c>
      <c r="E332" s="462" t="s">
        <v>1625</v>
      </c>
      <c r="F332" s="462"/>
      <c r="G332" s="462"/>
      <c r="H332" s="948">
        <v>6</v>
      </c>
      <c r="I332" s="471">
        <v>21</v>
      </c>
      <c r="J332" s="471">
        <f t="shared" si="22"/>
        <v>126</v>
      </c>
      <c r="K332" s="31"/>
    </row>
    <row r="333" spans="1:11" hidden="1">
      <c r="A333" s="617"/>
      <c r="B333" s="693"/>
      <c r="C333" s="694" t="s">
        <v>918</v>
      </c>
      <c r="D333" s="471" t="s">
        <v>1035</v>
      </c>
      <c r="E333" s="462" t="s">
        <v>1626</v>
      </c>
      <c r="F333" s="462"/>
      <c r="G333" s="462"/>
      <c r="H333" s="948">
        <v>3</v>
      </c>
      <c r="I333" s="471">
        <v>213</v>
      </c>
      <c r="J333" s="471">
        <f t="shared" si="22"/>
        <v>639</v>
      </c>
      <c r="K333" s="31"/>
    </row>
    <row r="334" spans="1:11" hidden="1">
      <c r="A334" s="617"/>
      <c r="B334" s="693"/>
      <c r="C334" s="694" t="s">
        <v>799</v>
      </c>
      <c r="D334" s="471" t="s">
        <v>882</v>
      </c>
      <c r="E334" s="462" t="s">
        <v>1652</v>
      </c>
      <c r="F334" s="462"/>
      <c r="G334" s="462"/>
      <c r="H334" s="948">
        <v>90</v>
      </c>
      <c r="I334" s="471">
        <v>3</v>
      </c>
      <c r="J334" s="471">
        <f t="shared" si="22"/>
        <v>270</v>
      </c>
      <c r="K334" s="31"/>
    </row>
    <row r="335" spans="1:11" hidden="1">
      <c r="A335" s="617"/>
      <c r="B335" s="32"/>
      <c r="C335" s="54" t="s">
        <v>1598</v>
      </c>
      <c r="D335" s="951"/>
      <c r="E335" s="953" t="s">
        <v>1651</v>
      </c>
      <c r="F335" s="462"/>
      <c r="G335" s="462"/>
      <c r="H335" s="948">
        <v>4</v>
      </c>
      <c r="I335" s="471">
        <v>32</v>
      </c>
      <c r="J335" s="471">
        <f t="shared" si="22"/>
        <v>128</v>
      </c>
      <c r="K335" s="31"/>
    </row>
    <row r="336" spans="1:11" hidden="1">
      <c r="A336" s="617"/>
      <c r="B336" s="34"/>
      <c r="C336" s="54" t="s">
        <v>1484</v>
      </c>
      <c r="D336" s="951">
        <v>2.75</v>
      </c>
      <c r="E336" s="471">
        <v>1.5</v>
      </c>
      <c r="F336" s="462"/>
      <c r="G336" s="471">
        <v>1.35</v>
      </c>
      <c r="H336" s="462">
        <f>ROUND(G336*E336*D336,2)</f>
        <v>5.57</v>
      </c>
      <c r="I336" s="698">
        <f>G15</f>
        <v>577.61900000000003</v>
      </c>
      <c r="J336" s="471">
        <f>ROUND(H336*I336/10,2)</f>
        <v>321.73</v>
      </c>
      <c r="K336" s="31"/>
    </row>
    <row r="337" spans="1:11" hidden="1">
      <c r="A337" s="617"/>
      <c r="B337" s="34"/>
      <c r="C337" s="451" t="s">
        <v>1306</v>
      </c>
      <c r="D337" s="951" t="s">
        <v>246</v>
      </c>
      <c r="E337" s="471">
        <v>1.5</v>
      </c>
      <c r="F337" s="462">
        <f>E337*10</f>
        <v>15</v>
      </c>
      <c r="G337" s="471">
        <v>1.1299999999999999</v>
      </c>
      <c r="H337" s="462">
        <f>G337*F337</f>
        <v>16.95</v>
      </c>
      <c r="I337" s="465">
        <f>'Lead- Input sheet '!R10/1000</f>
        <v>69.62</v>
      </c>
      <c r="J337" s="471">
        <f>H337*I337</f>
        <v>1180.059</v>
      </c>
      <c r="K337" s="31"/>
    </row>
    <row r="338" spans="1:11" hidden="1">
      <c r="A338" s="617"/>
      <c r="B338" s="34"/>
      <c r="C338" s="54" t="s">
        <v>230</v>
      </c>
      <c r="D338" s="951"/>
      <c r="E338" s="471"/>
      <c r="F338" s="462"/>
      <c r="G338" s="462"/>
      <c r="H338" s="948">
        <v>1</v>
      </c>
      <c r="I338" s="471">
        <v>125</v>
      </c>
      <c r="J338" s="471">
        <f>H338*I338</f>
        <v>125</v>
      </c>
      <c r="K338" s="31"/>
    </row>
    <row r="339" spans="1:11" hidden="1">
      <c r="A339" s="617"/>
      <c r="B339" s="34"/>
      <c r="D339" s="951"/>
      <c r="E339" s="471"/>
      <c r="F339" s="462"/>
      <c r="G339" s="462"/>
      <c r="H339" s="462"/>
      <c r="I339" s="471"/>
      <c r="J339" s="471">
        <f>SUM(J323:J338)</f>
        <v>19505.809000000001</v>
      </c>
      <c r="K339" s="31"/>
    </row>
    <row r="340" spans="1:11" s="18" customFormat="1" hidden="1">
      <c r="A340" s="617"/>
      <c r="B340" s="40"/>
      <c r="C340" s="54" t="s">
        <v>1600</v>
      </c>
      <c r="D340" s="954"/>
      <c r="E340" s="468"/>
      <c r="F340" s="458"/>
      <c r="G340" s="458"/>
      <c r="H340" s="458">
        <f>J339</f>
        <v>19505.809000000001</v>
      </c>
      <c r="I340" s="468">
        <f>I6</f>
        <v>0</v>
      </c>
      <c r="J340" s="468">
        <f>ROUND(H340*I340,2)</f>
        <v>0</v>
      </c>
      <c r="K340" s="17"/>
    </row>
    <row r="341" spans="1:11" s="18" customFormat="1" hidden="1">
      <c r="A341" s="617"/>
      <c r="B341" s="411"/>
      <c r="C341" s="283" t="s">
        <v>256</v>
      </c>
      <c r="D341" s="955"/>
      <c r="E341" s="469"/>
      <c r="F341" s="460"/>
      <c r="G341" s="460"/>
      <c r="H341" s="460"/>
      <c r="I341" s="469" t="s">
        <v>416</v>
      </c>
      <c r="J341" s="469">
        <f>SUM(J339:J340)</f>
        <v>19505.809000000001</v>
      </c>
      <c r="K341" s="17"/>
    </row>
    <row r="342" spans="1:11" hidden="1">
      <c r="A342" s="617"/>
      <c r="B342" s="34"/>
      <c r="C342" s="55" t="s">
        <v>1315</v>
      </c>
      <c r="D342" s="951"/>
      <c r="E342" s="471"/>
      <c r="F342" s="462"/>
      <c r="G342" s="462"/>
      <c r="H342" s="462"/>
      <c r="I342" s="471"/>
      <c r="J342" s="471"/>
      <c r="K342" s="31"/>
    </row>
    <row r="343" spans="1:11" hidden="1">
      <c r="A343" s="617"/>
      <c r="B343" s="34"/>
      <c r="C343" s="54" t="s">
        <v>848</v>
      </c>
      <c r="D343" s="951"/>
      <c r="E343" s="471"/>
      <c r="F343" s="462"/>
      <c r="G343" s="462"/>
      <c r="H343" s="462"/>
      <c r="I343" s="471"/>
      <c r="J343" s="471"/>
      <c r="K343" s="31"/>
    </row>
    <row r="344" spans="1:11" hidden="1">
      <c r="A344" s="617"/>
      <c r="B344" s="34"/>
      <c r="C344" s="54" t="s">
        <v>780</v>
      </c>
      <c r="D344" s="951">
        <v>4</v>
      </c>
      <c r="E344" s="471">
        <v>1.35</v>
      </c>
      <c r="F344" s="462">
        <v>0.1</v>
      </c>
      <c r="G344" s="462">
        <v>7.4999999999999997E-2</v>
      </c>
      <c r="H344" s="462">
        <f>ROUND(D344*E344*F344*G344,3)</f>
        <v>4.1000000000000002E-2</v>
      </c>
      <c r="I344" s="471">
        <v>80689</v>
      </c>
      <c r="J344" s="471">
        <f>ROUND(H344*I344,2)</f>
        <v>3308.25</v>
      </c>
      <c r="K344" s="31"/>
    </row>
    <row r="345" spans="1:11" hidden="1">
      <c r="A345" s="617"/>
      <c r="B345" s="34"/>
      <c r="C345" s="54" t="s">
        <v>781</v>
      </c>
      <c r="D345" s="951">
        <v>2</v>
      </c>
      <c r="E345" s="471">
        <v>1.65</v>
      </c>
      <c r="F345" s="462">
        <v>0.1</v>
      </c>
      <c r="G345" s="462">
        <v>7.4999999999999997E-2</v>
      </c>
      <c r="H345" s="462">
        <f>ROUND(D345*E345*F345*G345,3)</f>
        <v>2.5000000000000001E-2</v>
      </c>
      <c r="I345" s="471">
        <v>80689</v>
      </c>
      <c r="J345" s="471">
        <f>ROUND(H345*I345,2)</f>
        <v>2017.23</v>
      </c>
      <c r="K345" s="31"/>
    </row>
    <row r="346" spans="1:11" hidden="1">
      <c r="A346" s="617"/>
      <c r="B346" s="34"/>
      <c r="C346" s="54" t="s">
        <v>1482</v>
      </c>
      <c r="D346" s="951"/>
      <c r="E346" s="471"/>
      <c r="F346" s="462"/>
      <c r="G346" s="462"/>
      <c r="H346" s="462">
        <f>SUM(H344:H345)</f>
        <v>6.6000000000000003E-2</v>
      </c>
      <c r="I346" s="465">
        <f>G25</f>
        <v>19572.5</v>
      </c>
      <c r="J346" s="471">
        <f>ROUND(H346*I346,2)</f>
        <v>1291.79</v>
      </c>
      <c r="K346" s="31"/>
    </row>
    <row r="347" spans="1:11" ht="33.299999999999997" hidden="1">
      <c r="A347" s="617" t="s">
        <v>787</v>
      </c>
      <c r="B347" s="19"/>
      <c r="C347" s="54" t="s">
        <v>788</v>
      </c>
      <c r="D347" s="951"/>
      <c r="E347" s="471"/>
      <c r="F347" s="462"/>
      <c r="G347" s="952"/>
      <c r="H347" s="952"/>
      <c r="I347" s="471"/>
      <c r="J347" s="471"/>
      <c r="K347" s="31"/>
    </row>
    <row r="348" spans="1:11" hidden="1">
      <c r="A348" s="617"/>
      <c r="B348" s="32"/>
      <c r="C348" s="54" t="s">
        <v>1598</v>
      </c>
      <c r="D348" s="951"/>
      <c r="E348" s="953" t="s">
        <v>1651</v>
      </c>
      <c r="F348" s="462"/>
      <c r="G348" s="462"/>
      <c r="H348" s="948">
        <v>4</v>
      </c>
      <c r="I348" s="471">
        <v>32</v>
      </c>
      <c r="J348" s="462">
        <f>ROUND(H348*I348,2)</f>
        <v>128</v>
      </c>
      <c r="K348" s="31"/>
    </row>
    <row r="349" spans="1:11" hidden="1">
      <c r="A349" s="617"/>
      <c r="B349" s="34"/>
      <c r="C349" s="54" t="s">
        <v>1484</v>
      </c>
      <c r="D349" s="462" t="s">
        <v>544</v>
      </c>
      <c r="E349" s="462">
        <v>1.5</v>
      </c>
      <c r="F349" s="462"/>
      <c r="G349" s="471">
        <v>1.35</v>
      </c>
      <c r="H349" s="462">
        <f>ROUND(G349*E349*2.75/3,2)</f>
        <v>1.86</v>
      </c>
      <c r="I349" s="471">
        <f>G15</f>
        <v>577.61900000000003</v>
      </c>
      <c r="J349" s="471">
        <f>ROUND(H349*I349/10,2)</f>
        <v>107.44</v>
      </c>
      <c r="K349" s="31"/>
    </row>
    <row r="350" spans="1:11" hidden="1">
      <c r="A350" s="617"/>
      <c r="B350" s="34"/>
      <c r="C350" s="451" t="s">
        <v>1306</v>
      </c>
      <c r="D350" s="951" t="s">
        <v>246</v>
      </c>
      <c r="E350" s="471">
        <v>1.5</v>
      </c>
      <c r="F350" s="462">
        <f>E350*10</f>
        <v>15</v>
      </c>
      <c r="G350" s="471">
        <v>1.1299999999999999</v>
      </c>
      <c r="H350" s="462">
        <f>G350*F350</f>
        <v>16.95</v>
      </c>
      <c r="I350" s="465">
        <f>'Lead- Input sheet '!R10/1000</f>
        <v>69.62</v>
      </c>
      <c r="J350" s="471">
        <f>H350*I350</f>
        <v>1180.059</v>
      </c>
      <c r="K350" s="31"/>
    </row>
    <row r="351" spans="1:11" hidden="1">
      <c r="A351" s="617"/>
      <c r="B351" s="34"/>
      <c r="C351" s="54" t="s">
        <v>230</v>
      </c>
      <c r="D351" s="951"/>
      <c r="E351" s="471"/>
      <c r="F351" s="462"/>
      <c r="G351" s="462"/>
      <c r="H351" s="948">
        <v>1</v>
      </c>
      <c r="I351" s="471">
        <v>75</v>
      </c>
      <c r="J351" s="471">
        <f>H351*I351</f>
        <v>75</v>
      </c>
      <c r="K351" s="31"/>
    </row>
    <row r="352" spans="1:11" hidden="1">
      <c r="A352" s="617"/>
      <c r="B352" s="34"/>
      <c r="D352" s="951"/>
      <c r="E352" s="471"/>
      <c r="F352" s="462"/>
      <c r="G352" s="462"/>
      <c r="H352" s="462"/>
      <c r="I352" s="471"/>
      <c r="J352" s="471">
        <f>SUM(J344:J351)</f>
        <v>8107.7689999999993</v>
      </c>
      <c r="K352" s="31"/>
    </row>
    <row r="353" spans="1:11" s="18" customFormat="1" hidden="1">
      <c r="A353" s="617"/>
      <c r="B353" s="40"/>
      <c r="C353" s="54" t="s">
        <v>1600</v>
      </c>
      <c r="D353" s="954"/>
      <c r="E353" s="468"/>
      <c r="F353" s="458"/>
      <c r="G353" s="458"/>
      <c r="H353" s="458">
        <f>J352</f>
        <v>8107.7689999999993</v>
      </c>
      <c r="I353" s="468">
        <f>I6</f>
        <v>0</v>
      </c>
      <c r="J353" s="471">
        <f>ROUND(H353*I353,2)</f>
        <v>0</v>
      </c>
      <c r="K353" s="17"/>
    </row>
    <row r="354" spans="1:11" s="439" customFormat="1" hidden="1">
      <c r="A354" s="617"/>
      <c r="B354" s="411"/>
      <c r="C354" s="448" t="s">
        <v>1316</v>
      </c>
      <c r="D354" s="955"/>
      <c r="E354" s="469"/>
      <c r="F354" s="460"/>
      <c r="G354" s="460"/>
      <c r="H354" s="460"/>
      <c r="I354" s="469" t="s">
        <v>416</v>
      </c>
      <c r="J354" s="469">
        <f>SUM(J352:J353)</f>
        <v>8107.7689999999993</v>
      </c>
      <c r="K354" s="447"/>
    </row>
    <row r="355" spans="1:11" s="439" customFormat="1" hidden="1">
      <c r="A355" s="617"/>
      <c r="B355" s="411"/>
      <c r="C355" s="448" t="s">
        <v>1317</v>
      </c>
      <c r="D355" s="955"/>
      <c r="E355" s="469"/>
      <c r="F355" s="460"/>
      <c r="G355" s="460"/>
      <c r="H355" s="460"/>
      <c r="I355" s="469" t="s">
        <v>416</v>
      </c>
      <c r="J355" s="469">
        <f>J341-J354</f>
        <v>11398.04</v>
      </c>
      <c r="K355" s="447"/>
    </row>
    <row r="356" spans="1:11" ht="90.3" hidden="1">
      <c r="A356" s="617"/>
      <c r="B356" s="26">
        <v>5</v>
      </c>
      <c r="C356" s="54" t="s">
        <v>1832</v>
      </c>
      <c r="D356" s="951"/>
      <c r="E356" s="471"/>
      <c r="F356" s="462"/>
      <c r="G356" s="462"/>
      <c r="H356" s="462"/>
      <c r="I356" s="471"/>
      <c r="J356" s="471"/>
      <c r="K356" s="31"/>
    </row>
    <row r="357" spans="1:11" hidden="1">
      <c r="A357" s="617"/>
      <c r="B357" s="34"/>
      <c r="C357" s="55" t="s">
        <v>1588</v>
      </c>
      <c r="D357" s="951"/>
      <c r="E357" s="471"/>
      <c r="F357" s="462"/>
      <c r="G357" s="462"/>
      <c r="H357" s="462"/>
      <c r="I357" s="471"/>
      <c r="J357" s="471"/>
      <c r="K357" s="31"/>
    </row>
    <row r="358" spans="1:11" hidden="1">
      <c r="A358" s="617"/>
      <c r="B358" s="34"/>
      <c r="C358" s="54" t="s">
        <v>848</v>
      </c>
      <c r="D358" s="951"/>
      <c r="E358" s="471"/>
      <c r="F358" s="462"/>
      <c r="G358" s="462"/>
      <c r="H358" s="462"/>
      <c r="I358" s="471"/>
      <c r="J358" s="471"/>
      <c r="K358" s="31"/>
    </row>
    <row r="359" spans="1:11" hidden="1">
      <c r="A359" s="617"/>
      <c r="B359" s="34"/>
      <c r="C359" s="54" t="s">
        <v>780</v>
      </c>
      <c r="D359" s="951">
        <v>4</v>
      </c>
      <c r="E359" s="471">
        <v>1.35</v>
      </c>
      <c r="F359" s="462">
        <v>0.1</v>
      </c>
      <c r="G359" s="462">
        <v>7.4999999999999997E-2</v>
      </c>
      <c r="H359" s="462">
        <f>ROUND(D359*E359*F359*G359,3)</f>
        <v>4.1000000000000002E-2</v>
      </c>
      <c r="I359" s="471">
        <v>80689</v>
      </c>
      <c r="J359" s="471">
        <f>ROUND(H359*I359,2)</f>
        <v>3308.25</v>
      </c>
      <c r="K359" s="31"/>
    </row>
    <row r="360" spans="1:11" hidden="1">
      <c r="A360" s="617"/>
      <c r="B360" s="34"/>
      <c r="C360" s="54" t="s">
        <v>441</v>
      </c>
      <c r="D360" s="951">
        <v>2</v>
      </c>
      <c r="E360" s="471">
        <v>1.5</v>
      </c>
      <c r="F360" s="462">
        <v>0.1</v>
      </c>
      <c r="G360" s="462">
        <v>7.4999999999999997E-2</v>
      </c>
      <c r="H360" s="462">
        <f>ROUND(D360*E360*F360*G360,3)</f>
        <v>2.3E-2</v>
      </c>
      <c r="I360" s="471">
        <v>80689</v>
      </c>
      <c r="J360" s="471">
        <f>ROUND(H360*I360,2)</f>
        <v>1855.85</v>
      </c>
      <c r="K360" s="31"/>
    </row>
    <row r="361" spans="1:11" hidden="1">
      <c r="A361" s="617"/>
      <c r="B361" s="34"/>
      <c r="C361" s="54" t="s">
        <v>782</v>
      </c>
      <c r="D361" s="951" t="s">
        <v>243</v>
      </c>
      <c r="E361" s="471">
        <f>(1.35-2*0.075+2*0.015)</f>
        <v>1.2300000000000002</v>
      </c>
      <c r="F361" s="462">
        <v>7.4999999999999997E-2</v>
      </c>
      <c r="G361" s="462">
        <v>3.2000000000000001E-2</v>
      </c>
      <c r="H361" s="462">
        <f>ROUND(6*E361*F361*G361,3)</f>
        <v>1.7999999999999999E-2</v>
      </c>
      <c r="I361" s="471">
        <v>145240</v>
      </c>
      <c r="J361" s="471">
        <f>ROUND(H361*I361,2)</f>
        <v>2614.3200000000002</v>
      </c>
      <c r="K361" s="31"/>
    </row>
    <row r="362" spans="1:11" hidden="1">
      <c r="A362" s="617"/>
      <c r="B362" s="34"/>
      <c r="C362" s="54" t="s">
        <v>783</v>
      </c>
      <c r="D362" s="951" t="s">
        <v>244</v>
      </c>
      <c r="E362" s="471">
        <f>(1.35-4*0.075+6*0.015)/3</f>
        <v>0.38000000000000006</v>
      </c>
      <c r="F362" s="462">
        <v>7.4999999999999997E-2</v>
      </c>
      <c r="G362" s="462">
        <v>3.2000000000000001E-2</v>
      </c>
      <c r="H362" s="462">
        <f>ROUND(9*E362*F362*G362,3)</f>
        <v>8.0000000000000002E-3</v>
      </c>
      <c r="I362" s="471">
        <v>145240</v>
      </c>
      <c r="J362" s="471">
        <f>ROUND(H362*I362,2)</f>
        <v>1161.92</v>
      </c>
      <c r="K362" s="31"/>
    </row>
    <row r="363" spans="1:11" ht="22.2" hidden="1">
      <c r="A363" s="617" t="s">
        <v>418</v>
      </c>
      <c r="C363" s="54" t="s">
        <v>417</v>
      </c>
      <c r="D363" s="951" t="s">
        <v>245</v>
      </c>
      <c r="E363" s="471">
        <f>(1.35-4*0.075+6*0.015)/3+2*0.025</f>
        <v>0.43000000000000005</v>
      </c>
      <c r="F363" s="462">
        <f>(1.35-2*0.075+2*0.015-3*0.075)/2+2*0.025</f>
        <v>0.55250000000000021</v>
      </c>
      <c r="G363" s="462">
        <f>ROUND(6*E363*F363,3)</f>
        <v>1.425</v>
      </c>
      <c r="H363" s="462"/>
      <c r="I363" s="471">
        <v>806</v>
      </c>
      <c r="J363" s="471">
        <f>ROUND(G363*I363,2)</f>
        <v>1148.55</v>
      </c>
      <c r="K363" s="31"/>
    </row>
    <row r="364" spans="1:11" hidden="1">
      <c r="A364" s="617"/>
      <c r="B364" s="34"/>
      <c r="C364" s="54" t="s">
        <v>1482</v>
      </c>
      <c r="D364" s="951"/>
      <c r="E364" s="471"/>
      <c r="F364" s="462"/>
      <c r="G364" s="462"/>
      <c r="H364" s="462">
        <f>SUM(H359:H363)</f>
        <v>0.09</v>
      </c>
      <c r="I364" s="465">
        <f>G25</f>
        <v>19572.5</v>
      </c>
      <c r="J364" s="471">
        <f>ROUND(H364*I364,2)</f>
        <v>1761.53</v>
      </c>
      <c r="K364" s="31"/>
    </row>
    <row r="365" spans="1:11" ht="33.299999999999997" hidden="1">
      <c r="A365" s="617" t="s">
        <v>787</v>
      </c>
      <c r="B365" s="19"/>
      <c r="C365" s="54" t="s">
        <v>788</v>
      </c>
      <c r="D365" s="951"/>
      <c r="E365" s="471"/>
      <c r="F365" s="462"/>
      <c r="G365" s="952"/>
      <c r="H365" s="952"/>
      <c r="I365" s="471"/>
      <c r="J365" s="471"/>
      <c r="K365" s="31"/>
    </row>
    <row r="366" spans="1:11" hidden="1">
      <c r="A366" s="617"/>
      <c r="B366" s="693"/>
      <c r="C366" s="694" t="s">
        <v>915</v>
      </c>
      <c r="D366" s="471" t="s">
        <v>1035</v>
      </c>
      <c r="E366" s="462" t="s">
        <v>1624</v>
      </c>
      <c r="F366" s="462"/>
      <c r="G366" s="462"/>
      <c r="H366" s="948">
        <v>3</v>
      </c>
      <c r="I366" s="471">
        <v>35</v>
      </c>
      <c r="J366" s="471">
        <f t="shared" ref="J366:J371" si="23">ROUND(H366*I366,2)</f>
        <v>105</v>
      </c>
      <c r="K366" s="31"/>
    </row>
    <row r="367" spans="1:11" hidden="1">
      <c r="A367" s="617"/>
      <c r="B367" s="693"/>
      <c r="C367" s="31" t="s">
        <v>916</v>
      </c>
      <c r="D367" s="471" t="s">
        <v>1035</v>
      </c>
      <c r="E367" s="462" t="s">
        <v>1624</v>
      </c>
      <c r="F367" s="462"/>
      <c r="G367" s="462"/>
      <c r="H367" s="948">
        <v>3</v>
      </c>
      <c r="I367" s="471">
        <v>35</v>
      </c>
      <c r="J367" s="471">
        <f t="shared" si="23"/>
        <v>105</v>
      </c>
      <c r="K367" s="31"/>
    </row>
    <row r="368" spans="1:11" hidden="1">
      <c r="A368" s="617"/>
      <c r="B368" s="693"/>
      <c r="C368" s="946" t="s">
        <v>917</v>
      </c>
      <c r="D368" s="471" t="s">
        <v>1035</v>
      </c>
      <c r="E368" s="462" t="s">
        <v>1625</v>
      </c>
      <c r="F368" s="462"/>
      <c r="G368" s="462"/>
      <c r="H368" s="948">
        <v>6</v>
      </c>
      <c r="I368" s="471">
        <v>21</v>
      </c>
      <c r="J368" s="471">
        <f t="shared" si="23"/>
        <v>126</v>
      </c>
      <c r="K368" s="31"/>
    </row>
    <row r="369" spans="1:12" hidden="1">
      <c r="A369" s="617"/>
      <c r="B369" s="693"/>
      <c r="C369" s="694" t="s">
        <v>918</v>
      </c>
      <c r="D369" s="471" t="s">
        <v>1035</v>
      </c>
      <c r="E369" s="462" t="s">
        <v>1626</v>
      </c>
      <c r="F369" s="462"/>
      <c r="G369" s="462"/>
      <c r="H369" s="948">
        <v>3</v>
      </c>
      <c r="I369" s="471">
        <v>213</v>
      </c>
      <c r="J369" s="471">
        <f t="shared" si="23"/>
        <v>639</v>
      </c>
      <c r="K369" s="31"/>
    </row>
    <row r="370" spans="1:12" hidden="1">
      <c r="A370" s="617"/>
      <c r="B370" s="693"/>
      <c r="C370" s="694" t="s">
        <v>799</v>
      </c>
      <c r="D370" s="471" t="s">
        <v>882</v>
      </c>
      <c r="E370" s="462" t="s">
        <v>1652</v>
      </c>
      <c r="F370" s="462"/>
      <c r="G370" s="462"/>
      <c r="H370" s="948">
        <v>90</v>
      </c>
      <c r="I370" s="471">
        <v>3</v>
      </c>
      <c r="J370" s="471">
        <f t="shared" si="23"/>
        <v>270</v>
      </c>
      <c r="K370" s="31"/>
    </row>
    <row r="371" spans="1:12" hidden="1">
      <c r="A371" s="617"/>
      <c r="B371" s="32"/>
      <c r="C371" s="54" t="s">
        <v>1598</v>
      </c>
      <c r="D371" s="951"/>
      <c r="E371" s="953" t="s">
        <v>1651</v>
      </c>
      <c r="F371" s="462"/>
      <c r="G371" s="462"/>
      <c r="H371" s="948">
        <v>4</v>
      </c>
      <c r="I371" s="471">
        <v>32</v>
      </c>
      <c r="J371" s="471">
        <f t="shared" si="23"/>
        <v>128</v>
      </c>
      <c r="K371" s="31"/>
      <c r="L371" s="105"/>
    </row>
    <row r="372" spans="1:12" hidden="1">
      <c r="A372" s="617"/>
      <c r="B372" s="34"/>
      <c r="C372" s="54" t="s">
        <v>1484</v>
      </c>
      <c r="D372" s="951">
        <v>2.75</v>
      </c>
      <c r="E372" s="471">
        <v>1.3</v>
      </c>
      <c r="F372" s="462"/>
      <c r="G372" s="471">
        <v>1.35</v>
      </c>
      <c r="H372" s="462">
        <f>ROUND(G372*E372*D372,2)</f>
        <v>4.83</v>
      </c>
      <c r="I372" s="698">
        <f>G15</f>
        <v>577.61900000000003</v>
      </c>
      <c r="J372" s="471">
        <f>ROUND(H372*I372/10,2)</f>
        <v>278.99</v>
      </c>
      <c r="K372" s="31"/>
      <c r="L372" s="105"/>
    </row>
    <row r="373" spans="1:12" hidden="1">
      <c r="A373" s="617"/>
      <c r="B373" s="34"/>
      <c r="C373" s="451" t="s">
        <v>1306</v>
      </c>
      <c r="D373" s="951" t="s">
        <v>246</v>
      </c>
      <c r="E373" s="471">
        <v>1.35</v>
      </c>
      <c r="F373" s="462">
        <f>10*1.35</f>
        <v>13.5</v>
      </c>
      <c r="G373" s="471">
        <v>1.1299999999999999</v>
      </c>
      <c r="H373" s="462">
        <f>G373*F373</f>
        <v>15.254999999999999</v>
      </c>
      <c r="I373" s="465">
        <f>'Lead- Input sheet '!R10/1000</f>
        <v>69.62</v>
      </c>
      <c r="J373" s="471">
        <f>ROUND(H373*I373,2)</f>
        <v>1062.05</v>
      </c>
      <c r="K373" s="31"/>
      <c r="L373" s="105"/>
    </row>
    <row r="374" spans="1:12" hidden="1">
      <c r="A374" s="617"/>
      <c r="B374" s="34"/>
      <c r="C374" s="54" t="s">
        <v>230</v>
      </c>
      <c r="D374" s="951"/>
      <c r="E374" s="471"/>
      <c r="F374" s="462"/>
      <c r="G374" s="462"/>
      <c r="H374" s="948">
        <v>1</v>
      </c>
      <c r="I374" s="471">
        <v>100</v>
      </c>
      <c r="J374" s="471">
        <f>H374*I374</f>
        <v>100</v>
      </c>
      <c r="K374" s="31"/>
      <c r="L374" s="105"/>
    </row>
    <row r="375" spans="1:12" hidden="1">
      <c r="A375" s="617"/>
      <c r="B375" s="34"/>
      <c r="D375" s="951"/>
      <c r="E375" s="471"/>
      <c r="F375" s="462"/>
      <c r="G375" s="462"/>
      <c r="H375" s="462"/>
      <c r="I375" s="471"/>
      <c r="J375" s="471">
        <f>SUM(J359:J374)</f>
        <v>14664.46</v>
      </c>
      <c r="K375" s="31"/>
    </row>
    <row r="376" spans="1:12" s="18" customFormat="1" hidden="1">
      <c r="A376" s="617"/>
      <c r="B376" s="40"/>
      <c r="C376" s="54" t="s">
        <v>1600</v>
      </c>
      <c r="D376" s="954"/>
      <c r="E376" s="468"/>
      <c r="F376" s="458"/>
      <c r="G376" s="458"/>
      <c r="H376" s="458">
        <f>J375</f>
        <v>14664.46</v>
      </c>
      <c r="I376" s="468">
        <f>I6</f>
        <v>0</v>
      </c>
      <c r="J376" s="471">
        <f>ROUND(H376*I376,2)</f>
        <v>0</v>
      </c>
      <c r="K376" s="17"/>
    </row>
    <row r="377" spans="1:12" s="439" customFormat="1" hidden="1">
      <c r="A377" s="617" t="s">
        <v>542</v>
      </c>
      <c r="B377" s="411"/>
      <c r="C377" s="283" t="s">
        <v>256</v>
      </c>
      <c r="D377" s="955"/>
      <c r="E377" s="469"/>
      <c r="F377" s="460"/>
      <c r="G377" s="460"/>
      <c r="H377" s="460"/>
      <c r="I377" s="469" t="s">
        <v>416</v>
      </c>
      <c r="J377" s="469">
        <f>SUM(J375:J376)</f>
        <v>14664.46</v>
      </c>
      <c r="K377" s="447"/>
    </row>
    <row r="378" spans="1:12" hidden="1">
      <c r="A378" s="617"/>
      <c r="B378" s="34"/>
      <c r="C378" s="417" t="s">
        <v>543</v>
      </c>
      <c r="D378" s="951"/>
      <c r="E378" s="471"/>
      <c r="F378" s="462"/>
      <c r="G378" s="462"/>
      <c r="H378" s="462"/>
      <c r="I378" s="471"/>
      <c r="J378" s="471"/>
      <c r="K378" s="31"/>
    </row>
    <row r="379" spans="1:12" hidden="1">
      <c r="A379" s="617"/>
      <c r="B379" s="34"/>
      <c r="C379" s="54" t="s">
        <v>848</v>
      </c>
      <c r="D379" s="951"/>
      <c r="E379" s="471"/>
      <c r="F379" s="462"/>
      <c r="G379" s="462"/>
      <c r="H379" s="462"/>
      <c r="I379" s="471"/>
      <c r="J379" s="471"/>
      <c r="K379" s="31"/>
    </row>
    <row r="380" spans="1:12" hidden="1">
      <c r="A380" s="617"/>
      <c r="B380" s="34"/>
      <c r="C380" s="54" t="s">
        <v>780</v>
      </c>
      <c r="D380" s="951">
        <v>4</v>
      </c>
      <c r="E380" s="471">
        <v>1.35</v>
      </c>
      <c r="F380" s="462">
        <v>0.1</v>
      </c>
      <c r="G380" s="462">
        <v>7.4999999999999997E-2</v>
      </c>
      <c r="H380" s="462">
        <f>ROUND(D380*E380*F380*G380,3)</f>
        <v>4.1000000000000002E-2</v>
      </c>
      <c r="I380" s="471">
        <v>80689</v>
      </c>
      <c r="J380" s="471">
        <f>ROUND(H380*I380,2)</f>
        <v>3308.25</v>
      </c>
      <c r="K380" s="31"/>
    </row>
    <row r="381" spans="1:12" hidden="1">
      <c r="A381" s="617"/>
      <c r="B381" s="34"/>
      <c r="C381" s="54" t="s">
        <v>441</v>
      </c>
      <c r="D381" s="951">
        <v>2</v>
      </c>
      <c r="E381" s="471">
        <v>1.5</v>
      </c>
      <c r="F381" s="462">
        <v>0.1</v>
      </c>
      <c r="G381" s="462">
        <v>7.4999999999999997E-2</v>
      </c>
      <c r="H381" s="462">
        <f>ROUND(D381*E381*F381*G381,3)</f>
        <v>2.3E-2</v>
      </c>
      <c r="I381" s="471">
        <v>80689</v>
      </c>
      <c r="J381" s="471">
        <f>ROUND(H381*I381,2)</f>
        <v>1855.85</v>
      </c>
      <c r="K381" s="31"/>
    </row>
    <row r="382" spans="1:12" hidden="1">
      <c r="A382" s="617"/>
      <c r="B382" s="34"/>
      <c r="C382" s="54" t="s">
        <v>1482</v>
      </c>
      <c r="D382" s="951"/>
      <c r="E382" s="471"/>
      <c r="F382" s="462"/>
      <c r="G382" s="462"/>
      <c r="H382" s="462">
        <f>SUM(H380:H381)</f>
        <v>6.4000000000000001E-2</v>
      </c>
      <c r="I382" s="698">
        <f>G25</f>
        <v>19572.5</v>
      </c>
      <c r="J382" s="471">
        <f>ROUND(H382*I382,2)</f>
        <v>1252.6400000000001</v>
      </c>
      <c r="K382" s="31"/>
    </row>
    <row r="383" spans="1:12" hidden="1">
      <c r="A383" s="617"/>
      <c r="B383" s="32"/>
      <c r="C383" s="54" t="s">
        <v>1598</v>
      </c>
      <c r="D383" s="951"/>
      <c r="E383" s="953" t="s">
        <v>1651</v>
      </c>
      <c r="F383" s="462"/>
      <c r="G383" s="462"/>
      <c r="H383" s="948">
        <v>4</v>
      </c>
      <c r="I383" s="471">
        <v>32</v>
      </c>
      <c r="J383" s="471">
        <f>ROUND(H383*I383,2)</f>
        <v>128</v>
      </c>
      <c r="K383" s="31"/>
      <c r="L383" s="105"/>
    </row>
    <row r="384" spans="1:12" hidden="1">
      <c r="A384" s="617"/>
      <c r="B384" s="34"/>
      <c r="C384" s="54" t="s">
        <v>1484</v>
      </c>
      <c r="D384" s="951" t="s">
        <v>544</v>
      </c>
      <c r="E384" s="471">
        <v>1.3</v>
      </c>
      <c r="F384" s="462"/>
      <c r="G384" s="471">
        <v>1.35</v>
      </c>
      <c r="H384" s="462">
        <f>ROUND(G384*E384*2.75/3,2)</f>
        <v>1.61</v>
      </c>
      <c r="I384" s="698">
        <f>G15</f>
        <v>577.61900000000003</v>
      </c>
      <c r="J384" s="471">
        <f>ROUND(H384*I384/10,2)</f>
        <v>93</v>
      </c>
      <c r="K384" s="31"/>
      <c r="L384" s="105"/>
    </row>
    <row r="385" spans="1:18" hidden="1">
      <c r="A385" s="617"/>
      <c r="B385" s="34"/>
      <c r="C385" s="451" t="s">
        <v>1306</v>
      </c>
      <c r="D385" s="951" t="s">
        <v>246</v>
      </c>
      <c r="E385" s="471">
        <v>1.35</v>
      </c>
      <c r="F385" s="462">
        <f>10*1.35</f>
        <v>13.5</v>
      </c>
      <c r="G385" s="471">
        <v>1.1299999999999999</v>
      </c>
      <c r="H385" s="462">
        <f>G385*F385</f>
        <v>15.254999999999999</v>
      </c>
      <c r="I385" s="465">
        <f>'Lead- Input sheet '!R10/1000</f>
        <v>69.62</v>
      </c>
      <c r="J385" s="471">
        <f>H385*I385</f>
        <v>1062.0531000000001</v>
      </c>
      <c r="K385" s="31"/>
      <c r="L385" s="105"/>
    </row>
    <row r="386" spans="1:18" hidden="1">
      <c r="A386" s="617"/>
      <c r="B386" s="34"/>
      <c r="C386" s="54" t="s">
        <v>230</v>
      </c>
      <c r="D386" s="951"/>
      <c r="E386" s="471"/>
      <c r="F386" s="462"/>
      <c r="G386" s="462"/>
      <c r="H386" s="948">
        <v>1</v>
      </c>
      <c r="I386" s="471">
        <v>50</v>
      </c>
      <c r="J386" s="471">
        <f>H386*I386</f>
        <v>50</v>
      </c>
      <c r="K386" s="31"/>
      <c r="L386" s="105"/>
    </row>
    <row r="387" spans="1:18" hidden="1">
      <c r="A387" s="617"/>
      <c r="B387" s="34"/>
      <c r="D387" s="951"/>
      <c r="E387" s="471"/>
      <c r="F387" s="462"/>
      <c r="G387" s="462"/>
      <c r="H387" s="462"/>
      <c r="I387" s="471"/>
      <c r="J387" s="471">
        <f>SUM(J380:J386)</f>
        <v>7749.7931000000008</v>
      </c>
      <c r="K387" s="31"/>
    </row>
    <row r="388" spans="1:18" s="18" customFormat="1" hidden="1">
      <c r="A388" s="617"/>
      <c r="B388" s="40"/>
      <c r="C388" s="54" t="s">
        <v>1600</v>
      </c>
      <c r="D388" s="954"/>
      <c r="E388" s="468"/>
      <c r="F388" s="458"/>
      <c r="G388" s="458"/>
      <c r="H388" s="458">
        <f>J387</f>
        <v>7749.7931000000008</v>
      </c>
      <c r="I388" s="468">
        <f>I6</f>
        <v>0</v>
      </c>
      <c r="J388" s="471">
        <f>ROUND(H388*I388,2)</f>
        <v>0</v>
      </c>
      <c r="K388" s="17"/>
    </row>
    <row r="389" spans="1:18" s="439" customFormat="1" hidden="1">
      <c r="A389" s="617" t="s">
        <v>542</v>
      </c>
      <c r="B389" s="411"/>
      <c r="C389" s="418" t="s">
        <v>545</v>
      </c>
      <c r="D389" s="955"/>
      <c r="E389" s="469"/>
      <c r="F389" s="460"/>
      <c r="G389" s="460"/>
      <c r="H389" s="460"/>
      <c r="I389" s="469" t="s">
        <v>1486</v>
      </c>
      <c r="J389" s="469">
        <f>SUM(J387:J388)</f>
        <v>7749.7931000000008</v>
      </c>
      <c r="K389" s="447"/>
    </row>
    <row r="390" spans="1:18" s="439" customFormat="1" hidden="1">
      <c r="A390" s="617">
        <v>0</v>
      </c>
      <c r="B390" s="411"/>
      <c r="C390" s="418" t="s">
        <v>546</v>
      </c>
      <c r="D390" s="955"/>
      <c r="E390" s="469"/>
      <c r="F390" s="460"/>
      <c r="G390" s="460"/>
      <c r="H390" s="460"/>
      <c r="I390" s="469" t="s">
        <v>1486</v>
      </c>
      <c r="J390" s="469">
        <f>J377-J389</f>
        <v>6914.6668999999983</v>
      </c>
      <c r="K390" s="447"/>
    </row>
    <row r="391" spans="1:18" ht="90.3" hidden="1">
      <c r="A391" s="617"/>
      <c r="B391" s="966">
        <v>6</v>
      </c>
      <c r="C391" s="54" t="s">
        <v>1833</v>
      </c>
      <c r="D391" s="951"/>
      <c r="E391" s="471"/>
      <c r="F391" s="462"/>
      <c r="G391" s="462"/>
      <c r="H391" s="462"/>
      <c r="I391" s="471"/>
      <c r="J391" s="471"/>
      <c r="K391" s="31"/>
    </row>
    <row r="392" spans="1:18" hidden="1">
      <c r="A392" s="617"/>
      <c r="B392" s="34"/>
      <c r="C392" s="55" t="s">
        <v>947</v>
      </c>
      <c r="D392" s="951"/>
      <c r="E392" s="471"/>
      <c r="F392" s="462"/>
      <c r="G392" s="462"/>
      <c r="H392" s="462"/>
      <c r="I392" s="471"/>
      <c r="J392" s="471"/>
      <c r="K392" s="55" t="s">
        <v>1776</v>
      </c>
      <c r="L392" s="951"/>
      <c r="M392" s="471"/>
      <c r="N392" s="462"/>
      <c r="O392" s="462"/>
      <c r="P392" s="462"/>
      <c r="Q392" s="471"/>
      <c r="R392" s="471"/>
    </row>
    <row r="393" spans="1:18" hidden="1">
      <c r="A393" s="617"/>
      <c r="B393" s="34"/>
      <c r="C393" s="54" t="s">
        <v>848</v>
      </c>
      <c r="D393" s="951"/>
      <c r="E393" s="471"/>
      <c r="F393" s="462"/>
      <c r="G393" s="462"/>
      <c r="H393" s="462"/>
      <c r="I393" s="471"/>
      <c r="J393" s="471"/>
      <c r="K393" s="54" t="s">
        <v>848</v>
      </c>
      <c r="L393" s="951"/>
      <c r="M393" s="471"/>
      <c r="N393" s="462"/>
      <c r="O393" s="462"/>
      <c r="P393" s="462"/>
      <c r="Q393" s="471"/>
      <c r="R393" s="471"/>
    </row>
    <row r="394" spans="1:18" hidden="1">
      <c r="A394" s="617"/>
      <c r="B394" s="34"/>
      <c r="C394" s="54" t="s">
        <v>780</v>
      </c>
      <c r="D394" s="951">
        <v>5</v>
      </c>
      <c r="E394" s="471">
        <v>1.3</v>
      </c>
      <c r="F394" s="462">
        <v>0.1</v>
      </c>
      <c r="G394" s="462">
        <v>7.4999999999999997E-2</v>
      </c>
      <c r="H394" s="462">
        <f>ROUND(D394*E394*F394*G394,3)</f>
        <v>4.9000000000000002E-2</v>
      </c>
      <c r="I394" s="471">
        <v>80689</v>
      </c>
      <c r="J394" s="471">
        <f>ROUND(H394*I394,2)</f>
        <v>3953.76</v>
      </c>
      <c r="K394" s="54" t="s">
        <v>780</v>
      </c>
      <c r="L394" s="951">
        <v>5</v>
      </c>
      <c r="M394" s="471">
        <v>1.2</v>
      </c>
      <c r="N394" s="462">
        <v>0.1</v>
      </c>
      <c r="O394" s="462">
        <v>7.4999999999999997E-2</v>
      </c>
      <c r="P394" s="462">
        <f>ROUND(L394*M394*N394*O394,3)</f>
        <v>4.4999999999999998E-2</v>
      </c>
      <c r="Q394" s="471">
        <v>80689</v>
      </c>
      <c r="R394" s="471">
        <f>ROUND(P394*Q394,2)</f>
        <v>3631.01</v>
      </c>
    </row>
    <row r="395" spans="1:18" hidden="1">
      <c r="A395" s="617"/>
      <c r="B395" s="34"/>
      <c r="C395" s="54" t="s">
        <v>441</v>
      </c>
      <c r="D395" s="951">
        <v>2</v>
      </c>
      <c r="E395" s="471">
        <v>2</v>
      </c>
      <c r="F395" s="462">
        <v>0.1</v>
      </c>
      <c r="G395" s="462">
        <v>7.4999999999999997E-2</v>
      </c>
      <c r="H395" s="462">
        <f>ROUND(D395*E395*F395*G395,3)</f>
        <v>0.03</v>
      </c>
      <c r="I395" s="471">
        <v>80689</v>
      </c>
      <c r="J395" s="471">
        <f>ROUND(H395*I395,2)</f>
        <v>2420.67</v>
      </c>
      <c r="K395" s="54" t="s">
        <v>441</v>
      </c>
      <c r="L395" s="951">
        <v>2</v>
      </c>
      <c r="M395" s="471">
        <v>2</v>
      </c>
      <c r="N395" s="462">
        <v>0.1</v>
      </c>
      <c r="O395" s="462">
        <v>7.4999999999999997E-2</v>
      </c>
      <c r="P395" s="462">
        <f>ROUND(L395*M395*N395*O395,3)</f>
        <v>0.03</v>
      </c>
      <c r="Q395" s="471">
        <v>80689</v>
      </c>
      <c r="R395" s="471">
        <f>ROUND(P395*Q395,2)</f>
        <v>2420.67</v>
      </c>
    </row>
    <row r="396" spans="1:18" hidden="1">
      <c r="A396" s="617"/>
      <c r="B396" s="34"/>
      <c r="C396" s="54" t="s">
        <v>782</v>
      </c>
      <c r="D396" s="951" t="s">
        <v>854</v>
      </c>
      <c r="E396" s="471">
        <f>(1.35-2*0.075+2*0.015)</f>
        <v>1.2300000000000002</v>
      </c>
      <c r="F396" s="462">
        <v>7.4999999999999997E-2</v>
      </c>
      <c r="G396" s="462">
        <v>3.2000000000000001E-2</v>
      </c>
      <c r="H396" s="462">
        <f>ROUND(8*E396*F396*G396,3)</f>
        <v>2.4E-2</v>
      </c>
      <c r="I396" s="471">
        <v>145240</v>
      </c>
      <c r="J396" s="471">
        <f>ROUND(H396*I396,2)</f>
        <v>3485.76</v>
      </c>
      <c r="K396" s="54" t="s">
        <v>782</v>
      </c>
      <c r="L396" s="951" t="s">
        <v>854</v>
      </c>
      <c r="M396" s="471">
        <f>(1.2-2*0.075+2*0.015)</f>
        <v>1.08</v>
      </c>
      <c r="N396" s="462">
        <v>7.4999999999999997E-2</v>
      </c>
      <c r="O396" s="462">
        <v>3.2000000000000001E-2</v>
      </c>
      <c r="P396" s="462">
        <f>ROUND(8*M396*N396*O396,3)</f>
        <v>2.1000000000000001E-2</v>
      </c>
      <c r="Q396" s="471">
        <v>145240</v>
      </c>
      <c r="R396" s="471">
        <f>ROUND(P396*Q396,2)</f>
        <v>3050.04</v>
      </c>
    </row>
    <row r="397" spans="1:18" hidden="1">
      <c r="A397" s="617"/>
      <c r="B397" s="34"/>
      <c r="C397" s="54" t="s">
        <v>783</v>
      </c>
      <c r="D397" s="951" t="s">
        <v>855</v>
      </c>
      <c r="E397" s="471">
        <f>(1.85-5*0.075+8*0.015)/4</f>
        <v>0.39875000000000005</v>
      </c>
      <c r="F397" s="462">
        <v>7.4999999999999997E-2</v>
      </c>
      <c r="G397" s="462">
        <v>3.2000000000000001E-2</v>
      </c>
      <c r="H397" s="462">
        <f>ROUND(12*E397*F397*G397,3)</f>
        <v>1.0999999999999999E-2</v>
      </c>
      <c r="I397" s="471">
        <v>145240</v>
      </c>
      <c r="J397" s="471">
        <f>ROUND(H397*I397,2)</f>
        <v>1597.64</v>
      </c>
      <c r="K397" s="54" t="s">
        <v>783</v>
      </c>
      <c r="L397" s="951" t="s">
        <v>855</v>
      </c>
      <c r="M397" s="471">
        <f>(1.85-5*0.075+8*0.015)/4</f>
        <v>0.39875000000000005</v>
      </c>
      <c r="N397" s="462">
        <v>7.4999999999999997E-2</v>
      </c>
      <c r="O397" s="462">
        <v>3.2000000000000001E-2</v>
      </c>
      <c r="P397" s="462">
        <f>ROUND(12*M397*N397*O397,3)</f>
        <v>1.0999999999999999E-2</v>
      </c>
      <c r="Q397" s="471">
        <v>145240</v>
      </c>
      <c r="R397" s="471">
        <f>ROUND(P397*Q397,2)</f>
        <v>1597.64</v>
      </c>
    </row>
    <row r="398" spans="1:18" ht="25.8" hidden="1">
      <c r="A398" s="617" t="s">
        <v>418</v>
      </c>
      <c r="C398" s="54" t="s">
        <v>417</v>
      </c>
      <c r="D398" s="951" t="s">
        <v>854</v>
      </c>
      <c r="E398" s="471">
        <f>(1.85-5*0.075+8*0.015)/4+2*0.025</f>
        <v>0.44875000000000004</v>
      </c>
      <c r="F398" s="462">
        <f>(1.35-2*0.075+2*0.015-3*0.075)/2+2*0.025</f>
        <v>0.55250000000000021</v>
      </c>
      <c r="G398" s="462">
        <f>ROUND(8*E398*F398,3)</f>
        <v>1.9830000000000001</v>
      </c>
      <c r="H398" s="462"/>
      <c r="I398" s="471">
        <v>806</v>
      </c>
      <c r="J398" s="471">
        <f>ROUND(G398*I398,2)</f>
        <v>1598.3</v>
      </c>
      <c r="K398" s="54" t="s">
        <v>417</v>
      </c>
      <c r="L398" s="951" t="s">
        <v>854</v>
      </c>
      <c r="M398" s="471">
        <f>(1.85-5*0.075+8*0.015)/4+2*0.025</f>
        <v>0.44875000000000004</v>
      </c>
      <c r="N398" s="462">
        <f>(1.2-2*0.075+2*0.015-3*0.075)/2+2*0.025</f>
        <v>0.47750000000000004</v>
      </c>
      <c r="O398" s="462">
        <f>ROUND(8*M398*N398,3)</f>
        <v>1.714</v>
      </c>
      <c r="P398" s="462"/>
      <c r="Q398" s="471">
        <v>806</v>
      </c>
      <c r="R398" s="471">
        <f>ROUND(O398*Q398,2)</f>
        <v>1381.48</v>
      </c>
    </row>
    <row r="399" spans="1:18" hidden="1">
      <c r="A399" s="617"/>
      <c r="B399" s="34"/>
      <c r="C399" s="54" t="s">
        <v>1482</v>
      </c>
      <c r="D399" s="951"/>
      <c r="E399" s="471"/>
      <c r="F399" s="462"/>
      <c r="G399" s="462"/>
      <c r="H399" s="462">
        <f>SUM(H394:H398)</f>
        <v>0.114</v>
      </c>
      <c r="I399" s="465">
        <f>G25</f>
        <v>19572.5</v>
      </c>
      <c r="J399" s="471">
        <f>ROUND(H399*I399,2)</f>
        <v>2231.27</v>
      </c>
      <c r="K399" s="54" t="s">
        <v>1482</v>
      </c>
      <c r="L399" s="951"/>
      <c r="M399" s="471"/>
      <c r="N399" s="462"/>
      <c r="O399" s="462"/>
      <c r="P399" s="462">
        <f>SUM(P394:P398)</f>
        <v>0.107</v>
      </c>
      <c r="Q399" s="465">
        <f>I399</f>
        <v>19572.5</v>
      </c>
      <c r="R399" s="471">
        <f>ROUND(P399*Q399,2)</f>
        <v>2094.2600000000002</v>
      </c>
    </row>
    <row r="400" spans="1:18" ht="33.299999999999997" hidden="1">
      <c r="A400" s="617" t="s">
        <v>787</v>
      </c>
      <c r="B400" s="19"/>
      <c r="C400" s="54" t="s">
        <v>788</v>
      </c>
      <c r="D400" s="951"/>
      <c r="E400" s="471"/>
      <c r="F400" s="462"/>
      <c r="G400" s="952"/>
      <c r="H400" s="952"/>
      <c r="I400" s="471"/>
      <c r="J400" s="471"/>
      <c r="K400" s="54" t="s">
        <v>788</v>
      </c>
      <c r="L400" s="951"/>
      <c r="M400" s="471"/>
      <c r="N400" s="462"/>
      <c r="O400" s="952"/>
      <c r="P400" s="952"/>
      <c r="Q400" s="471"/>
      <c r="R400" s="471"/>
    </row>
    <row r="401" spans="1:18" hidden="1">
      <c r="A401" s="617"/>
      <c r="B401" s="693"/>
      <c r="C401" s="694" t="s">
        <v>915</v>
      </c>
      <c r="D401" s="471" t="s">
        <v>1035</v>
      </c>
      <c r="E401" s="462" t="s">
        <v>1624</v>
      </c>
      <c r="F401" s="462"/>
      <c r="G401" s="462"/>
      <c r="H401" s="948">
        <v>4</v>
      </c>
      <c r="I401" s="471">
        <v>35</v>
      </c>
      <c r="J401" s="471">
        <f t="shared" ref="J401:J406" si="24">ROUND(H401*I401,2)</f>
        <v>140</v>
      </c>
      <c r="K401" s="694" t="s">
        <v>915</v>
      </c>
      <c r="L401" s="471" t="s">
        <v>1035</v>
      </c>
      <c r="M401" s="462" t="s">
        <v>1624</v>
      </c>
      <c r="N401" s="462"/>
      <c r="O401" s="462"/>
      <c r="P401" s="948">
        <v>3</v>
      </c>
      <c r="Q401" s="471">
        <v>38</v>
      </c>
      <c r="R401" s="471">
        <f t="shared" ref="R401:R406" si="25">ROUND(P401*Q401,2)</f>
        <v>114</v>
      </c>
    </row>
    <row r="402" spans="1:18" hidden="1">
      <c r="A402" s="617"/>
      <c r="B402" s="693"/>
      <c r="C402" s="31" t="s">
        <v>916</v>
      </c>
      <c r="D402" s="471" t="s">
        <v>1035</v>
      </c>
      <c r="E402" s="462" t="s">
        <v>1624</v>
      </c>
      <c r="F402" s="462"/>
      <c r="G402" s="462"/>
      <c r="H402" s="948">
        <v>4</v>
      </c>
      <c r="I402" s="471">
        <v>35</v>
      </c>
      <c r="J402" s="471">
        <f t="shared" si="24"/>
        <v>140</v>
      </c>
      <c r="K402" s="31" t="s">
        <v>916</v>
      </c>
      <c r="L402" s="471" t="s">
        <v>1035</v>
      </c>
      <c r="M402" s="462" t="s">
        <v>1624</v>
      </c>
      <c r="N402" s="462"/>
      <c r="O402" s="462"/>
      <c r="P402" s="948">
        <v>3</v>
      </c>
      <c r="Q402" s="471">
        <v>38</v>
      </c>
      <c r="R402" s="471">
        <f t="shared" si="25"/>
        <v>114</v>
      </c>
    </row>
    <row r="403" spans="1:18" hidden="1">
      <c r="A403" s="617"/>
      <c r="B403" s="693"/>
      <c r="C403" s="946" t="s">
        <v>917</v>
      </c>
      <c r="D403" s="471" t="s">
        <v>1035</v>
      </c>
      <c r="E403" s="462" t="s">
        <v>1625</v>
      </c>
      <c r="F403" s="462"/>
      <c r="G403" s="462"/>
      <c r="H403" s="948">
        <v>8</v>
      </c>
      <c r="I403" s="471">
        <v>21</v>
      </c>
      <c r="J403" s="471">
        <f t="shared" si="24"/>
        <v>168</v>
      </c>
      <c r="K403" s="946" t="s">
        <v>917</v>
      </c>
      <c r="L403" s="471" t="s">
        <v>1035</v>
      </c>
      <c r="M403" s="462" t="s">
        <v>1625</v>
      </c>
      <c r="N403" s="462"/>
      <c r="O403" s="462"/>
      <c r="P403" s="948">
        <v>6</v>
      </c>
      <c r="Q403" s="471">
        <v>26</v>
      </c>
      <c r="R403" s="471">
        <f t="shared" si="25"/>
        <v>156</v>
      </c>
    </row>
    <row r="404" spans="1:18" hidden="1">
      <c r="A404" s="617"/>
      <c r="B404" s="693"/>
      <c r="C404" s="694" t="s">
        <v>918</v>
      </c>
      <c r="D404" s="471" t="s">
        <v>1035</v>
      </c>
      <c r="E404" s="462" t="s">
        <v>1626</v>
      </c>
      <c r="F404" s="462"/>
      <c r="G404" s="462"/>
      <c r="H404" s="948">
        <v>4</v>
      </c>
      <c r="I404" s="471">
        <v>213</v>
      </c>
      <c r="J404" s="471">
        <f t="shared" si="24"/>
        <v>852</v>
      </c>
      <c r="K404" s="694" t="s">
        <v>918</v>
      </c>
      <c r="L404" s="471" t="s">
        <v>1035</v>
      </c>
      <c r="M404" s="462" t="s">
        <v>1626</v>
      </c>
      <c r="N404" s="462"/>
      <c r="O404" s="462"/>
      <c r="P404" s="948">
        <v>3</v>
      </c>
      <c r="Q404" s="471">
        <v>107</v>
      </c>
      <c r="R404" s="471">
        <f t="shared" si="25"/>
        <v>321</v>
      </c>
    </row>
    <row r="405" spans="1:18" hidden="1">
      <c r="A405" s="617"/>
      <c r="B405" s="693"/>
      <c r="C405" s="694" t="s">
        <v>799</v>
      </c>
      <c r="D405" s="471" t="s">
        <v>882</v>
      </c>
      <c r="E405" s="462" t="s">
        <v>1652</v>
      </c>
      <c r="F405" s="462"/>
      <c r="G405" s="462"/>
      <c r="H405" s="948">
        <v>120</v>
      </c>
      <c r="I405" s="471">
        <v>3</v>
      </c>
      <c r="J405" s="471">
        <f t="shared" si="24"/>
        <v>360</v>
      </c>
      <c r="K405" s="694" t="s">
        <v>799</v>
      </c>
      <c r="L405" s="471" t="s">
        <v>882</v>
      </c>
      <c r="M405" s="462" t="s">
        <v>1652</v>
      </c>
      <c r="N405" s="462"/>
      <c r="O405" s="462"/>
      <c r="P405" s="948">
        <v>90</v>
      </c>
      <c r="Q405" s="471">
        <v>0.89</v>
      </c>
      <c r="R405" s="471">
        <f t="shared" si="25"/>
        <v>80.099999999999994</v>
      </c>
    </row>
    <row r="406" spans="1:18" hidden="1">
      <c r="A406" s="617"/>
      <c r="B406" s="32"/>
      <c r="C406" s="54" t="s">
        <v>1598</v>
      </c>
      <c r="D406" s="951"/>
      <c r="E406" s="953" t="s">
        <v>1651</v>
      </c>
      <c r="F406" s="462"/>
      <c r="G406" s="462"/>
      <c r="H406" s="948">
        <v>4</v>
      </c>
      <c r="I406" s="471">
        <v>32</v>
      </c>
      <c r="J406" s="471">
        <f t="shared" si="24"/>
        <v>128</v>
      </c>
      <c r="K406" s="54" t="s">
        <v>1598</v>
      </c>
      <c r="L406" s="951"/>
      <c r="M406" s="953" t="s">
        <v>1651</v>
      </c>
      <c r="N406" s="462"/>
      <c r="O406" s="462"/>
      <c r="P406" s="948">
        <v>4</v>
      </c>
      <c r="Q406" s="471">
        <v>35</v>
      </c>
      <c r="R406" s="471">
        <f t="shared" si="25"/>
        <v>140</v>
      </c>
    </row>
    <row r="407" spans="1:18" hidden="1">
      <c r="A407" s="617"/>
      <c r="B407" s="34"/>
      <c r="C407" s="54" t="s">
        <v>1484</v>
      </c>
      <c r="D407" s="951">
        <v>2.75</v>
      </c>
      <c r="E407" s="471">
        <v>1.8</v>
      </c>
      <c r="F407" s="462"/>
      <c r="G407" s="471">
        <v>1.35</v>
      </c>
      <c r="H407" s="462">
        <f>ROUND(G407*E407*D407,2)</f>
        <v>6.68</v>
      </c>
      <c r="I407" s="698">
        <f>G15</f>
        <v>577.61900000000003</v>
      </c>
      <c r="J407" s="471">
        <f>ROUND(H407*I407/10,2)</f>
        <v>385.85</v>
      </c>
      <c r="K407" s="54" t="s">
        <v>1484</v>
      </c>
      <c r="L407" s="951">
        <v>2.75</v>
      </c>
      <c r="M407" s="471">
        <v>1.8</v>
      </c>
      <c r="N407" s="462"/>
      <c r="O407" s="471">
        <v>1.2</v>
      </c>
      <c r="P407" s="462">
        <f>ROUND(O407*M407*L407,2)</f>
        <v>5.94</v>
      </c>
      <c r="Q407" s="698">
        <f>I407</f>
        <v>577.61900000000003</v>
      </c>
      <c r="R407" s="471">
        <f>ROUND(P407*Q407/10,2)</f>
        <v>343.11</v>
      </c>
    </row>
    <row r="408" spans="1:18" hidden="1">
      <c r="A408" s="617"/>
      <c r="B408" s="34"/>
      <c r="C408" s="451" t="s">
        <v>1306</v>
      </c>
      <c r="D408" s="951" t="s">
        <v>246</v>
      </c>
      <c r="E408" s="471">
        <v>1.8</v>
      </c>
      <c r="F408" s="462">
        <f>10*1.8</f>
        <v>18</v>
      </c>
      <c r="G408" s="471">
        <v>1.1299999999999999</v>
      </c>
      <c r="H408" s="462">
        <f>G408*F408</f>
        <v>20.339999999999996</v>
      </c>
      <c r="I408" s="465">
        <f>'Lead- Input sheet '!R10/1000</f>
        <v>69.62</v>
      </c>
      <c r="J408" s="471">
        <f>H408*I408</f>
        <v>1416.0707999999997</v>
      </c>
      <c r="K408" s="451" t="s">
        <v>1306</v>
      </c>
      <c r="L408" s="951" t="s">
        <v>246</v>
      </c>
      <c r="M408" s="471">
        <v>1.8</v>
      </c>
      <c r="N408" s="462">
        <f>10*1.8</f>
        <v>18</v>
      </c>
      <c r="O408" s="471">
        <v>1.1299999999999999</v>
      </c>
      <c r="P408" s="462">
        <f>O408*N408</f>
        <v>20.339999999999996</v>
      </c>
      <c r="Q408" s="698">
        <f>I408</f>
        <v>69.62</v>
      </c>
      <c r="R408" s="471">
        <f>P408*Q408</f>
        <v>1416.0707999999997</v>
      </c>
    </row>
    <row r="409" spans="1:18" hidden="1">
      <c r="A409" s="617"/>
      <c r="B409" s="34"/>
      <c r="C409" s="54" t="s">
        <v>230</v>
      </c>
      <c r="D409" s="951"/>
      <c r="E409" s="471"/>
      <c r="F409" s="462"/>
      <c r="G409" s="462"/>
      <c r="H409" s="948">
        <v>1</v>
      </c>
      <c r="I409" s="471">
        <v>150</v>
      </c>
      <c r="J409" s="471">
        <f>H409*I409</f>
        <v>150</v>
      </c>
      <c r="K409" s="54" t="s">
        <v>230</v>
      </c>
      <c r="L409" s="951"/>
      <c r="M409" s="471"/>
      <c r="N409" s="462"/>
      <c r="O409" s="462"/>
      <c r="P409" s="948">
        <v>1</v>
      </c>
      <c r="Q409" s="471">
        <v>150</v>
      </c>
      <c r="R409" s="471">
        <f>P409*Q409</f>
        <v>150</v>
      </c>
    </row>
    <row r="410" spans="1:18" hidden="1">
      <c r="A410" s="617"/>
      <c r="B410" s="34"/>
      <c r="D410" s="951"/>
      <c r="E410" s="471"/>
      <c r="F410" s="462"/>
      <c r="G410" s="462"/>
      <c r="H410" s="462"/>
      <c r="I410" s="471"/>
      <c r="J410" s="471">
        <f>SUM(J394:J409)</f>
        <v>19027.320800000001</v>
      </c>
      <c r="K410" s="54"/>
      <c r="L410" s="951"/>
      <c r="M410" s="471"/>
      <c r="N410" s="462"/>
      <c r="O410" s="462"/>
      <c r="P410" s="462"/>
      <c r="Q410" s="471"/>
      <c r="R410" s="471">
        <f>SUM(R394:R409)</f>
        <v>17009.380800000003</v>
      </c>
    </row>
    <row r="411" spans="1:18" s="18" customFormat="1" hidden="1">
      <c r="A411" s="617"/>
      <c r="B411" s="40"/>
      <c r="C411" s="54" t="s">
        <v>1600</v>
      </c>
      <c r="D411" s="954"/>
      <c r="E411" s="468"/>
      <c r="F411" s="458"/>
      <c r="G411" s="458"/>
      <c r="H411" s="458">
        <f>J410</f>
        <v>19027.320800000001</v>
      </c>
      <c r="I411" s="468">
        <f>I6</f>
        <v>0</v>
      </c>
      <c r="J411" s="471">
        <f>ROUND(H411*I411,2)</f>
        <v>0</v>
      </c>
      <c r="K411" s="54" t="s">
        <v>1600</v>
      </c>
      <c r="L411" s="954"/>
      <c r="M411" s="468"/>
      <c r="N411" s="458"/>
      <c r="O411" s="458"/>
      <c r="P411" s="458">
        <f>R410</f>
        <v>17009.380800000003</v>
      </c>
      <c r="Q411" s="468">
        <f>R6</f>
        <v>0</v>
      </c>
      <c r="R411" s="471">
        <f>ROUND(P411*Q411,2)</f>
        <v>0</v>
      </c>
    </row>
    <row r="412" spans="1:18" s="439" customFormat="1" hidden="1">
      <c r="A412" s="617" t="s">
        <v>547</v>
      </c>
      <c r="B412" s="411"/>
      <c r="C412" s="283" t="s">
        <v>256</v>
      </c>
      <c r="D412" s="955"/>
      <c r="E412" s="469"/>
      <c r="F412" s="460"/>
      <c r="G412" s="460"/>
      <c r="H412" s="460"/>
      <c r="I412" s="469" t="s">
        <v>416</v>
      </c>
      <c r="J412" s="469">
        <f>SUM(J410:J411)</f>
        <v>19027.320800000001</v>
      </c>
      <c r="K412" s="283" t="s">
        <v>256</v>
      </c>
      <c r="L412" s="955"/>
      <c r="M412" s="469"/>
      <c r="N412" s="460"/>
      <c r="O412" s="460"/>
      <c r="P412" s="460"/>
      <c r="Q412" s="469" t="s">
        <v>416</v>
      </c>
      <c r="R412" s="469">
        <f>SUM(R410:R411)</f>
        <v>17009.380800000003</v>
      </c>
    </row>
    <row r="413" spans="1:18" hidden="1">
      <c r="A413" s="617"/>
      <c r="B413" s="34"/>
      <c r="C413" s="417" t="s">
        <v>14</v>
      </c>
      <c r="D413" s="951"/>
      <c r="E413" s="471"/>
      <c r="F413" s="462"/>
      <c r="G413" s="462"/>
      <c r="H413" s="462"/>
      <c r="I413" s="471"/>
      <c r="J413" s="471"/>
      <c r="K413" s="417" t="s">
        <v>14</v>
      </c>
      <c r="L413" s="951"/>
      <c r="M413" s="471"/>
      <c r="N413" s="462"/>
      <c r="O413" s="462"/>
      <c r="P413" s="462"/>
      <c r="Q413" s="471"/>
      <c r="R413" s="471"/>
    </row>
    <row r="414" spans="1:18" hidden="1">
      <c r="A414" s="617"/>
      <c r="B414" s="34"/>
      <c r="C414" s="54" t="s">
        <v>848</v>
      </c>
      <c r="D414" s="951"/>
      <c r="E414" s="471"/>
      <c r="F414" s="462"/>
      <c r="G414" s="462"/>
      <c r="H414" s="462"/>
      <c r="I414" s="471"/>
      <c r="J414" s="471"/>
      <c r="K414" s="54" t="s">
        <v>848</v>
      </c>
      <c r="L414" s="951"/>
      <c r="M414" s="471"/>
      <c r="N414" s="462"/>
      <c r="O414" s="462"/>
      <c r="P414" s="462"/>
      <c r="Q414" s="471"/>
      <c r="R414" s="471"/>
    </row>
    <row r="415" spans="1:18" hidden="1">
      <c r="A415" s="617"/>
      <c r="B415" s="34"/>
      <c r="C415" s="54" t="s">
        <v>780</v>
      </c>
      <c r="D415" s="951">
        <v>5</v>
      </c>
      <c r="E415" s="471">
        <v>1.3</v>
      </c>
      <c r="F415" s="462">
        <v>0.1</v>
      </c>
      <c r="G415" s="462">
        <v>7.4999999999999997E-2</v>
      </c>
      <c r="H415" s="462">
        <f>ROUND(D415*E415*F415*G415,3)</f>
        <v>4.9000000000000002E-2</v>
      </c>
      <c r="I415" s="471">
        <v>80689</v>
      </c>
      <c r="J415" s="471">
        <f>ROUND(H415*I415,2)</f>
        <v>3953.76</v>
      </c>
      <c r="K415" s="54" t="s">
        <v>780</v>
      </c>
      <c r="L415" s="951">
        <v>5</v>
      </c>
      <c r="M415" s="471">
        <v>1.2</v>
      </c>
      <c r="N415" s="462">
        <v>0.1</v>
      </c>
      <c r="O415" s="462">
        <v>7.4999999999999997E-2</v>
      </c>
      <c r="P415" s="462">
        <f>ROUND(L415*M415*N415*O415,3)</f>
        <v>4.4999999999999998E-2</v>
      </c>
      <c r="Q415" s="471">
        <v>80689</v>
      </c>
      <c r="R415" s="471">
        <f>ROUND(P415*Q415,2)</f>
        <v>3631.01</v>
      </c>
    </row>
    <row r="416" spans="1:18" hidden="1">
      <c r="A416" s="617"/>
      <c r="B416" s="34"/>
      <c r="C416" s="54" t="s">
        <v>441</v>
      </c>
      <c r="D416" s="951">
        <v>2</v>
      </c>
      <c r="E416" s="471">
        <v>2</v>
      </c>
      <c r="F416" s="462">
        <v>0.1</v>
      </c>
      <c r="G416" s="462">
        <v>7.4999999999999997E-2</v>
      </c>
      <c r="H416" s="462">
        <f>ROUND(D416*E416*F416*G416,3)</f>
        <v>0.03</v>
      </c>
      <c r="I416" s="471">
        <v>80689</v>
      </c>
      <c r="J416" s="471">
        <f>ROUND(H416*I416,2)</f>
        <v>2420.67</v>
      </c>
      <c r="K416" s="54" t="s">
        <v>441</v>
      </c>
      <c r="L416" s="951">
        <v>2</v>
      </c>
      <c r="M416" s="471">
        <v>2</v>
      </c>
      <c r="N416" s="462">
        <v>0.1</v>
      </c>
      <c r="O416" s="462">
        <v>7.4999999999999997E-2</v>
      </c>
      <c r="P416" s="462">
        <f>ROUND(L416*M416*N416*O416,3)</f>
        <v>0.03</v>
      </c>
      <c r="Q416" s="471">
        <v>80689</v>
      </c>
      <c r="R416" s="471">
        <f>ROUND(P416*Q416,2)</f>
        <v>2420.67</v>
      </c>
    </row>
    <row r="417" spans="1:18" hidden="1">
      <c r="A417" s="617"/>
      <c r="B417" s="34"/>
      <c r="C417" s="54" t="s">
        <v>1482</v>
      </c>
      <c r="D417" s="951"/>
      <c r="E417" s="471"/>
      <c r="F417" s="462"/>
      <c r="G417" s="462"/>
      <c r="H417" s="462">
        <f>SUM(H415:H416)</f>
        <v>7.9000000000000001E-2</v>
      </c>
      <c r="I417" s="465">
        <f>G25</f>
        <v>19572.5</v>
      </c>
      <c r="J417" s="471">
        <f>ROUND(H417*I417,2)</f>
        <v>1546.23</v>
      </c>
      <c r="K417" s="54" t="s">
        <v>1482</v>
      </c>
      <c r="L417" s="951"/>
      <c r="M417" s="471"/>
      <c r="N417" s="462"/>
      <c r="O417" s="462"/>
      <c r="P417" s="462">
        <f>SUM(P415:P416)</f>
        <v>7.4999999999999997E-2</v>
      </c>
      <c r="Q417" s="465">
        <f>I417</f>
        <v>19572.5</v>
      </c>
      <c r="R417" s="471">
        <f>ROUND(P417*Q417,2)</f>
        <v>1467.94</v>
      </c>
    </row>
    <row r="418" spans="1:18" ht="33.299999999999997" hidden="1">
      <c r="A418" s="617" t="s">
        <v>787</v>
      </c>
      <c r="B418" s="19"/>
      <c r="C418" s="54" t="s">
        <v>788</v>
      </c>
      <c r="D418" s="951"/>
      <c r="E418" s="471"/>
      <c r="F418" s="462"/>
      <c r="G418" s="952"/>
      <c r="H418" s="952"/>
      <c r="I418" s="471"/>
      <c r="J418" s="471"/>
      <c r="K418" s="54" t="s">
        <v>788</v>
      </c>
      <c r="L418" s="951"/>
      <c r="M418" s="471"/>
      <c r="N418" s="462"/>
      <c r="O418" s="952"/>
      <c r="P418" s="952"/>
      <c r="Q418" s="471"/>
      <c r="R418" s="471"/>
    </row>
    <row r="419" spans="1:18" hidden="1">
      <c r="A419" s="617"/>
      <c r="B419" s="32"/>
      <c r="C419" s="54" t="s">
        <v>1598</v>
      </c>
      <c r="D419" s="951"/>
      <c r="E419" s="953" t="s">
        <v>1651</v>
      </c>
      <c r="F419" s="462"/>
      <c r="G419" s="462"/>
      <c r="H419" s="948">
        <v>4</v>
      </c>
      <c r="I419" s="471">
        <v>32</v>
      </c>
      <c r="J419" s="471">
        <f>ROUND(H419*I419,2)</f>
        <v>128</v>
      </c>
      <c r="K419" s="54" t="s">
        <v>1598</v>
      </c>
      <c r="L419" s="951"/>
      <c r="M419" s="953" t="s">
        <v>1651</v>
      </c>
      <c r="N419" s="462"/>
      <c r="O419" s="462"/>
      <c r="P419" s="948">
        <v>4</v>
      </c>
      <c r="Q419" s="471">
        <v>35</v>
      </c>
      <c r="R419" s="471">
        <f>ROUND(P419*Q419,2)</f>
        <v>140</v>
      </c>
    </row>
    <row r="420" spans="1:18" hidden="1">
      <c r="A420" s="617"/>
      <c r="B420" s="34"/>
      <c r="C420" s="54" t="s">
        <v>1484</v>
      </c>
      <c r="D420" s="951">
        <v>2.75</v>
      </c>
      <c r="E420" s="471">
        <v>1.8</v>
      </c>
      <c r="F420" s="462"/>
      <c r="G420" s="471">
        <v>1.3</v>
      </c>
      <c r="H420" s="462">
        <f>ROUND(G420*E420*D420,2)</f>
        <v>6.44</v>
      </c>
      <c r="I420" s="698">
        <f>G15</f>
        <v>577.61900000000003</v>
      </c>
      <c r="J420" s="471">
        <f>ROUND(H420*I420/10,2)</f>
        <v>371.99</v>
      </c>
      <c r="K420" s="54" t="s">
        <v>1484</v>
      </c>
      <c r="L420" s="951">
        <v>2.75</v>
      </c>
      <c r="M420" s="471">
        <v>1.8</v>
      </c>
      <c r="N420" s="462"/>
      <c r="O420" s="471">
        <v>1.3</v>
      </c>
      <c r="P420" s="462">
        <f>ROUND(O420*M420*L420,2)</f>
        <v>6.44</v>
      </c>
      <c r="Q420" s="698">
        <f>I420</f>
        <v>577.61900000000003</v>
      </c>
      <c r="R420" s="471">
        <f>ROUND(P420*Q420/10,2)</f>
        <v>371.99</v>
      </c>
    </row>
    <row r="421" spans="1:18" hidden="1">
      <c r="A421" s="617"/>
      <c r="B421" s="34"/>
      <c r="C421" s="451" t="s">
        <v>1306</v>
      </c>
      <c r="D421" s="951" t="s">
        <v>246</v>
      </c>
      <c r="E421" s="471">
        <v>1.8</v>
      </c>
      <c r="F421" s="462">
        <f>10*1.8</f>
        <v>18</v>
      </c>
      <c r="G421" s="471">
        <v>1.1299999999999999</v>
      </c>
      <c r="H421" s="462">
        <f>G421*F421</f>
        <v>20.339999999999996</v>
      </c>
      <c r="I421" s="465">
        <f>'Lead- Input sheet '!R10/1000</f>
        <v>69.62</v>
      </c>
      <c r="J421" s="471">
        <f>H421*I421</f>
        <v>1416.0707999999997</v>
      </c>
      <c r="K421" s="451" t="s">
        <v>1306</v>
      </c>
      <c r="L421" s="951" t="s">
        <v>246</v>
      </c>
      <c r="M421" s="471">
        <v>1.8</v>
      </c>
      <c r="N421" s="462">
        <f>10*1.8</f>
        <v>18</v>
      </c>
      <c r="O421" s="471">
        <v>1.1299999999999999</v>
      </c>
      <c r="P421" s="462">
        <f>O421*N421</f>
        <v>20.339999999999996</v>
      </c>
      <c r="Q421" s="465">
        <f>I421</f>
        <v>69.62</v>
      </c>
      <c r="R421" s="471">
        <f>P421*Q421</f>
        <v>1416.0707999999997</v>
      </c>
    </row>
    <row r="422" spans="1:18" hidden="1">
      <c r="A422" s="617"/>
      <c r="B422" s="34"/>
      <c r="C422" s="54" t="s">
        <v>230</v>
      </c>
      <c r="D422" s="951"/>
      <c r="E422" s="471"/>
      <c r="F422" s="462"/>
      <c r="G422" s="462"/>
      <c r="H422" s="948">
        <v>1</v>
      </c>
      <c r="I422" s="471">
        <v>75</v>
      </c>
      <c r="J422" s="471">
        <f>H422*I422</f>
        <v>75</v>
      </c>
      <c r="K422" s="54" t="s">
        <v>230</v>
      </c>
      <c r="L422" s="951"/>
      <c r="M422" s="471"/>
      <c r="N422" s="462"/>
      <c r="O422" s="462"/>
      <c r="P422" s="948">
        <v>1</v>
      </c>
      <c r="Q422" s="471">
        <v>75</v>
      </c>
      <c r="R422" s="471">
        <f>P422*Q422</f>
        <v>75</v>
      </c>
    </row>
    <row r="423" spans="1:18" hidden="1">
      <c r="A423" s="617"/>
      <c r="B423" s="34"/>
      <c r="D423" s="951"/>
      <c r="E423" s="471"/>
      <c r="F423" s="462"/>
      <c r="G423" s="462"/>
      <c r="H423" s="462"/>
      <c r="I423" s="471"/>
      <c r="J423" s="471">
        <f>SUM(J415:J422)</f>
        <v>9911.7207999999991</v>
      </c>
      <c r="K423" s="54"/>
      <c r="L423" s="951"/>
      <c r="M423" s="471"/>
      <c r="N423" s="462"/>
      <c r="O423" s="462"/>
      <c r="P423" s="462"/>
      <c r="Q423" s="471"/>
      <c r="R423" s="471">
        <f>SUM(R415:R422)</f>
        <v>9522.6808000000001</v>
      </c>
    </row>
    <row r="424" spans="1:18" s="18" customFormat="1" hidden="1">
      <c r="A424" s="617"/>
      <c r="B424" s="40"/>
      <c r="C424" s="54" t="s">
        <v>1600</v>
      </c>
      <c r="D424" s="954"/>
      <c r="E424" s="468"/>
      <c r="F424" s="458"/>
      <c r="G424" s="458"/>
      <c r="H424" s="458">
        <f>'Lead- Input sheet '!Q32</f>
        <v>0</v>
      </c>
      <c r="I424" s="468">
        <f>J423</f>
        <v>9911.7207999999991</v>
      </c>
      <c r="J424" s="471">
        <f>ROUND(H424*I424,2)</f>
        <v>0</v>
      </c>
      <c r="K424" s="54" t="s">
        <v>1600</v>
      </c>
      <c r="L424" s="954"/>
      <c r="M424" s="468"/>
      <c r="N424" s="458"/>
      <c r="O424" s="458"/>
      <c r="P424" s="458">
        <f>'Lead- Input sheet '!X32</f>
        <v>0</v>
      </c>
      <c r="Q424" s="468">
        <f>R423</f>
        <v>9522.6808000000001</v>
      </c>
      <c r="R424" s="471">
        <f>ROUND(P424*Q424,2)</f>
        <v>0</v>
      </c>
    </row>
    <row r="425" spans="1:18" s="439" customFormat="1" hidden="1">
      <c r="A425" s="617"/>
      <c r="B425" s="411"/>
      <c r="C425" s="418" t="s">
        <v>15</v>
      </c>
      <c r="D425" s="955"/>
      <c r="E425" s="469"/>
      <c r="F425" s="460"/>
      <c r="G425" s="460"/>
      <c r="H425" s="460"/>
      <c r="I425" s="469" t="s">
        <v>1486</v>
      </c>
      <c r="J425" s="469">
        <f>SUM(J423:J424)</f>
        <v>9911.7207999999991</v>
      </c>
      <c r="K425" s="418" t="s">
        <v>15</v>
      </c>
      <c r="L425" s="955"/>
      <c r="M425" s="469"/>
      <c r="N425" s="460"/>
      <c r="O425" s="460"/>
      <c r="P425" s="460"/>
      <c r="Q425" s="469" t="s">
        <v>1486</v>
      </c>
      <c r="R425" s="469">
        <f>SUM(R423:R424)</f>
        <v>9522.6808000000001</v>
      </c>
    </row>
    <row r="426" spans="1:18" s="439" customFormat="1" hidden="1">
      <c r="A426" s="617"/>
      <c r="B426" s="411"/>
      <c r="C426" s="418" t="s">
        <v>16</v>
      </c>
      <c r="D426" s="955"/>
      <c r="E426" s="469"/>
      <c r="F426" s="460"/>
      <c r="G426" s="460"/>
      <c r="H426" s="460"/>
      <c r="I426" s="469" t="s">
        <v>1486</v>
      </c>
      <c r="J426" s="469">
        <f>J412-J425</f>
        <v>9115.6000000000022</v>
      </c>
      <c r="K426" s="418" t="s">
        <v>16</v>
      </c>
      <c r="L426" s="955"/>
      <c r="M426" s="469"/>
      <c r="N426" s="460"/>
      <c r="O426" s="460"/>
      <c r="P426" s="460"/>
      <c r="Q426" s="469" t="s">
        <v>1486</v>
      </c>
      <c r="R426" s="469">
        <f>R412-R425</f>
        <v>7486.7000000000025</v>
      </c>
    </row>
    <row r="427" spans="1:18" ht="90.3" hidden="1">
      <c r="A427" s="617"/>
      <c r="B427" s="26">
        <v>8</v>
      </c>
      <c r="C427" s="55" t="s">
        <v>1834</v>
      </c>
      <c r="D427" s="951"/>
      <c r="E427" s="471"/>
      <c r="F427" s="462"/>
      <c r="G427" s="462"/>
      <c r="H427" s="462"/>
      <c r="I427" s="471"/>
      <c r="J427" s="471"/>
    </row>
    <row r="428" spans="1:18" hidden="1">
      <c r="A428" s="617"/>
      <c r="B428" s="34"/>
      <c r="C428" s="55" t="s">
        <v>9</v>
      </c>
      <c r="D428" s="951"/>
      <c r="E428" s="471"/>
      <c r="F428" s="462"/>
      <c r="G428" s="462"/>
      <c r="H428" s="462"/>
      <c r="I428" s="471"/>
      <c r="J428" s="471"/>
    </row>
    <row r="429" spans="1:18" s="500" customFormat="1" hidden="1">
      <c r="A429" s="617"/>
      <c r="B429" s="34"/>
      <c r="C429" s="54" t="s">
        <v>848</v>
      </c>
      <c r="D429" s="951"/>
      <c r="E429" s="471"/>
      <c r="F429" s="462"/>
      <c r="G429" s="462"/>
      <c r="H429" s="462"/>
      <c r="I429" s="471"/>
      <c r="J429" s="471"/>
    </row>
    <row r="430" spans="1:18" s="500" customFormat="1" hidden="1">
      <c r="A430" s="617"/>
      <c r="B430" s="34"/>
      <c r="C430" s="54" t="s">
        <v>780</v>
      </c>
      <c r="D430" s="951">
        <v>4</v>
      </c>
      <c r="E430" s="471">
        <v>1.2</v>
      </c>
      <c r="F430" s="462">
        <v>0.1</v>
      </c>
      <c r="G430" s="462">
        <v>7.4999999999999997E-2</v>
      </c>
      <c r="H430" s="462">
        <f>ROUND(D430*E430*F430*G430,3)</f>
        <v>3.5999999999999997E-2</v>
      </c>
      <c r="I430" s="471">
        <v>80689</v>
      </c>
      <c r="J430" s="471">
        <f t="shared" ref="J430:J435" si="26">ROUND(H430*I430,2)</f>
        <v>2904.8</v>
      </c>
    </row>
    <row r="431" spans="1:18" hidden="1">
      <c r="A431" s="617"/>
      <c r="B431" s="34"/>
      <c r="C431" s="54" t="s">
        <v>781</v>
      </c>
      <c r="D431" s="951">
        <v>2</v>
      </c>
      <c r="E431" s="471">
        <v>1.35</v>
      </c>
      <c r="F431" s="462">
        <v>0.1</v>
      </c>
      <c r="G431" s="462">
        <v>7.4999999999999997E-2</v>
      </c>
      <c r="H431" s="462">
        <f>ROUND(D431*E431*F431*G431,3)</f>
        <v>0.02</v>
      </c>
      <c r="I431" s="471">
        <v>80689</v>
      </c>
      <c r="J431" s="471">
        <f t="shared" si="26"/>
        <v>1613.78</v>
      </c>
    </row>
    <row r="432" spans="1:18" hidden="1">
      <c r="A432" s="617"/>
      <c r="B432" s="34"/>
      <c r="C432" s="54" t="s">
        <v>782</v>
      </c>
      <c r="D432" s="951" t="s">
        <v>243</v>
      </c>
      <c r="E432" s="472">
        <f>(1.2-2*0.075+2*0.015)</f>
        <v>1.08</v>
      </c>
      <c r="F432" s="462">
        <v>7.4999999999999997E-2</v>
      </c>
      <c r="G432" s="462">
        <f>1.25*25.4/1000</f>
        <v>3.175E-2</v>
      </c>
      <c r="H432" s="462">
        <f>ROUND(6*E432*F432*G432,3)</f>
        <v>1.4999999999999999E-2</v>
      </c>
      <c r="I432" s="471">
        <v>145240</v>
      </c>
      <c r="J432" s="471">
        <f t="shared" si="26"/>
        <v>2178.6</v>
      </c>
    </row>
    <row r="433" spans="1:11" hidden="1">
      <c r="A433" s="617"/>
      <c r="B433" s="34"/>
      <c r="C433" s="54" t="s">
        <v>783</v>
      </c>
      <c r="D433" s="951" t="s">
        <v>244</v>
      </c>
      <c r="E433" s="471">
        <f>(1.2-3*0.075+4*0.015)/2</f>
        <v>0.51749999999999996</v>
      </c>
      <c r="F433" s="462">
        <v>7.4999999999999997E-2</v>
      </c>
      <c r="G433" s="462">
        <f>1.25*25.4/1000</f>
        <v>3.175E-2</v>
      </c>
      <c r="H433" s="462">
        <f>ROUND(9*E433*F433*G433,3)</f>
        <v>1.0999999999999999E-2</v>
      </c>
      <c r="I433" s="471">
        <v>145240</v>
      </c>
      <c r="J433" s="471">
        <f t="shared" si="26"/>
        <v>1597.64</v>
      </c>
    </row>
    <row r="434" spans="1:11" hidden="1">
      <c r="A434" s="617"/>
      <c r="B434" s="34"/>
      <c r="C434" s="54" t="s">
        <v>1481</v>
      </c>
      <c r="D434" s="951" t="s">
        <v>245</v>
      </c>
      <c r="E434" s="471">
        <f>(1.2-4*0.075+6*0.015)/3-2*0.075+2*0.025</f>
        <v>0.22999999999999998</v>
      </c>
      <c r="F434" s="462">
        <f>(1.2-2*0.075+2*0.015-3*0.075)/2+2*0.025</f>
        <v>0.47750000000000004</v>
      </c>
      <c r="G434" s="462">
        <v>2.5000000000000001E-2</v>
      </c>
      <c r="H434" s="462">
        <f>ROUND(6*E434*F434*G434,3)</f>
        <v>1.6E-2</v>
      </c>
      <c r="I434" s="471">
        <v>145240</v>
      </c>
      <c r="J434" s="471">
        <f t="shared" si="26"/>
        <v>2323.84</v>
      </c>
    </row>
    <row r="435" spans="1:11" hidden="1">
      <c r="A435" s="617"/>
      <c r="B435" s="34"/>
      <c r="C435" s="54" t="s">
        <v>1482</v>
      </c>
      <c r="D435" s="951"/>
      <c r="E435" s="471"/>
      <c r="F435" s="462"/>
      <c r="G435" s="462"/>
      <c r="H435" s="462">
        <f>SUM(H430:H434)</f>
        <v>9.799999999999999E-2</v>
      </c>
      <c r="I435" s="465">
        <f>G25</f>
        <v>19572.5</v>
      </c>
      <c r="J435" s="471">
        <f t="shared" si="26"/>
        <v>1918.11</v>
      </c>
    </row>
    <row r="436" spans="1:11" ht="33.299999999999997" hidden="1">
      <c r="A436" s="617" t="s">
        <v>787</v>
      </c>
      <c r="B436" s="19"/>
      <c r="C436" s="54" t="s">
        <v>788</v>
      </c>
      <c r="D436" s="951"/>
      <c r="E436" s="471"/>
      <c r="F436" s="462"/>
      <c r="G436" s="952"/>
      <c r="H436" s="952"/>
      <c r="I436" s="471"/>
      <c r="J436" s="471"/>
    </row>
    <row r="437" spans="1:11" hidden="1">
      <c r="A437" s="617"/>
      <c r="B437" s="693"/>
      <c r="C437" s="694" t="s">
        <v>915</v>
      </c>
      <c r="D437" s="471" t="s">
        <v>1035</v>
      </c>
      <c r="E437" s="462" t="s">
        <v>1624</v>
      </c>
      <c r="F437" s="462"/>
      <c r="G437" s="462"/>
      <c r="H437" s="948">
        <v>3</v>
      </c>
      <c r="I437" s="471">
        <v>35</v>
      </c>
      <c r="J437" s="471">
        <f t="shared" ref="J437:J442" si="27">ROUND(H437*I437,2)</f>
        <v>105</v>
      </c>
    </row>
    <row r="438" spans="1:11" hidden="1">
      <c r="A438" s="617"/>
      <c r="B438" s="693"/>
      <c r="C438" s="31" t="s">
        <v>916</v>
      </c>
      <c r="D438" s="471" t="s">
        <v>1035</v>
      </c>
      <c r="E438" s="462" t="s">
        <v>1624</v>
      </c>
      <c r="F438" s="462"/>
      <c r="G438" s="462"/>
      <c r="H438" s="948">
        <v>3</v>
      </c>
      <c r="I438" s="471">
        <v>35</v>
      </c>
      <c r="J438" s="471">
        <f t="shared" si="27"/>
        <v>105</v>
      </c>
    </row>
    <row r="439" spans="1:11" hidden="1">
      <c r="A439" s="617"/>
      <c r="B439" s="693"/>
      <c r="C439" s="946" t="s">
        <v>917</v>
      </c>
      <c r="D439" s="471" t="s">
        <v>1035</v>
      </c>
      <c r="E439" s="462" t="s">
        <v>1625</v>
      </c>
      <c r="F439" s="462"/>
      <c r="G439" s="462"/>
      <c r="H439" s="948">
        <v>6</v>
      </c>
      <c r="I439" s="471">
        <v>21</v>
      </c>
      <c r="J439" s="471">
        <f t="shared" si="27"/>
        <v>126</v>
      </c>
    </row>
    <row r="440" spans="1:11" hidden="1">
      <c r="A440" s="617"/>
      <c r="B440" s="693"/>
      <c r="C440" s="694" t="s">
        <v>918</v>
      </c>
      <c r="D440" s="471" t="s">
        <v>1035</v>
      </c>
      <c r="E440" s="462" t="s">
        <v>1626</v>
      </c>
      <c r="F440" s="462"/>
      <c r="G440" s="462"/>
      <c r="H440" s="948">
        <v>3</v>
      </c>
      <c r="I440" s="471">
        <v>213</v>
      </c>
      <c r="J440" s="471">
        <f t="shared" si="27"/>
        <v>639</v>
      </c>
    </row>
    <row r="441" spans="1:11" hidden="1">
      <c r="A441" s="617"/>
      <c r="B441" s="693"/>
      <c r="C441" s="694" t="s">
        <v>799</v>
      </c>
      <c r="D441" s="471" t="s">
        <v>882</v>
      </c>
      <c r="E441" s="462" t="s">
        <v>1652</v>
      </c>
      <c r="F441" s="462"/>
      <c r="G441" s="462"/>
      <c r="H441" s="948">
        <v>90</v>
      </c>
      <c r="I441" s="471">
        <v>3</v>
      </c>
      <c r="J441" s="471">
        <f t="shared" si="27"/>
        <v>270</v>
      </c>
    </row>
    <row r="442" spans="1:11" hidden="1">
      <c r="A442" s="617"/>
      <c r="B442" s="693"/>
      <c r="C442" s="694" t="s">
        <v>1598</v>
      </c>
      <c r="D442" s="471"/>
      <c r="E442" s="953" t="s">
        <v>1651</v>
      </c>
      <c r="F442" s="462"/>
      <c r="G442" s="462"/>
      <c r="H442" s="948">
        <v>4</v>
      </c>
      <c r="I442" s="471">
        <v>32</v>
      </c>
      <c r="J442" s="471">
        <f t="shared" si="27"/>
        <v>128</v>
      </c>
    </row>
    <row r="443" spans="1:11" hidden="1">
      <c r="A443" s="617"/>
      <c r="B443" s="34"/>
      <c r="C443" s="54" t="s">
        <v>1484</v>
      </c>
      <c r="D443" s="951">
        <v>2.75</v>
      </c>
      <c r="E443" s="471">
        <v>1.2</v>
      </c>
      <c r="F443" s="462"/>
      <c r="G443" s="471">
        <v>1.2</v>
      </c>
      <c r="H443" s="462">
        <f>ROUND(G443*E443*D443,2)</f>
        <v>3.96</v>
      </c>
      <c r="I443" s="698">
        <f>G15</f>
        <v>577.61900000000003</v>
      </c>
      <c r="J443" s="471">
        <f>ROUND(H443*I443/10,2)</f>
        <v>228.74</v>
      </c>
    </row>
    <row r="444" spans="1:11" hidden="1">
      <c r="A444" s="617"/>
      <c r="B444" s="34"/>
      <c r="C444" s="451" t="s">
        <v>1306</v>
      </c>
      <c r="D444" s="951" t="s">
        <v>10</v>
      </c>
      <c r="E444" s="471">
        <v>1.2</v>
      </c>
      <c r="F444" s="471">
        <f>E444*9</f>
        <v>10.799999999999999</v>
      </c>
      <c r="G444" s="471">
        <v>1.1299999999999999</v>
      </c>
      <c r="H444" s="462">
        <f>G444*F444</f>
        <v>12.203999999999997</v>
      </c>
      <c r="I444" s="465">
        <f>'Lead- Input sheet '!R10/1000</f>
        <v>69.62</v>
      </c>
      <c r="J444" s="471">
        <f>H444*I444</f>
        <v>849.64247999999986</v>
      </c>
      <c r="K444" s="25">
        <f>(1.2-0.075*2-0.1)/0.1</f>
        <v>9.5</v>
      </c>
    </row>
    <row r="445" spans="1:11" hidden="1">
      <c r="A445" s="617"/>
      <c r="B445" s="34"/>
      <c r="C445" s="54" t="s">
        <v>230</v>
      </c>
      <c r="D445" s="951"/>
      <c r="E445" s="471"/>
      <c r="F445" s="462"/>
      <c r="G445" s="462"/>
      <c r="H445" s="948">
        <v>1</v>
      </c>
      <c r="I445" s="471">
        <v>100</v>
      </c>
      <c r="J445" s="471">
        <f>H445*I445</f>
        <v>100</v>
      </c>
    </row>
    <row r="446" spans="1:11" hidden="1">
      <c r="A446" s="617"/>
      <c r="B446" s="34"/>
      <c r="D446" s="951"/>
      <c r="E446" s="471"/>
      <c r="F446" s="462"/>
      <c r="G446" s="462"/>
      <c r="H446" s="462"/>
      <c r="I446" s="471"/>
      <c r="J446" s="471">
        <f>SUM(J430:J445)</f>
        <v>15088.152480000001</v>
      </c>
    </row>
    <row r="447" spans="1:11" hidden="1">
      <c r="A447" s="617"/>
      <c r="B447" s="40"/>
      <c r="C447" s="54" t="s">
        <v>1600</v>
      </c>
      <c r="D447" s="954"/>
      <c r="E447" s="468"/>
      <c r="F447" s="458"/>
      <c r="G447" s="458"/>
      <c r="H447" s="458">
        <f>'Lead- Input sheet '!Q32</f>
        <v>0</v>
      </c>
      <c r="I447" s="468">
        <f>J446</f>
        <v>15088.152480000001</v>
      </c>
      <c r="J447" s="468">
        <f>ROUND(H447*I447,2)</f>
        <v>0</v>
      </c>
    </row>
    <row r="448" spans="1:11" hidden="1">
      <c r="A448" s="617"/>
      <c r="B448" s="411"/>
      <c r="C448" s="283" t="s">
        <v>256</v>
      </c>
      <c r="D448" s="955"/>
      <c r="E448" s="469"/>
      <c r="F448" s="460"/>
      <c r="G448" s="460"/>
      <c r="H448" s="460"/>
      <c r="I448" s="469" t="s">
        <v>416</v>
      </c>
      <c r="J448" s="469">
        <f>SUM(J446:J447)</f>
        <v>15088.152480000001</v>
      </c>
    </row>
    <row r="449" spans="1:10" hidden="1">
      <c r="A449" s="617"/>
      <c r="B449" s="34"/>
      <c r="C449" s="55" t="s">
        <v>11</v>
      </c>
      <c r="D449" s="951"/>
      <c r="E449" s="471"/>
      <c r="F449" s="462"/>
      <c r="G449" s="462"/>
      <c r="H449" s="462"/>
      <c r="I449" s="471"/>
      <c r="J449" s="471"/>
    </row>
    <row r="450" spans="1:10" hidden="1">
      <c r="A450" s="617"/>
      <c r="B450" s="34"/>
      <c r="C450" s="54" t="s">
        <v>848</v>
      </c>
      <c r="D450" s="951"/>
      <c r="E450" s="471"/>
      <c r="F450" s="462"/>
      <c r="G450" s="462"/>
      <c r="H450" s="462"/>
      <c r="I450" s="471"/>
      <c r="J450" s="471"/>
    </row>
    <row r="451" spans="1:10" hidden="1">
      <c r="A451" s="617"/>
      <c r="B451" s="34"/>
      <c r="C451" s="54" t="s">
        <v>780</v>
      </c>
      <c r="D451" s="951">
        <v>4</v>
      </c>
      <c r="E451" s="471">
        <v>1.2</v>
      </c>
      <c r="F451" s="462">
        <v>0.1</v>
      </c>
      <c r="G451" s="462">
        <v>7.4999999999999997E-2</v>
      </c>
      <c r="H451" s="462">
        <f>ROUND(D451*E451*F451*G451,3)</f>
        <v>3.5999999999999997E-2</v>
      </c>
      <c r="I451" s="471">
        <v>80689</v>
      </c>
      <c r="J451" s="471">
        <f>ROUND(H451*I451,2)</f>
        <v>2904.8</v>
      </c>
    </row>
    <row r="452" spans="1:10" hidden="1">
      <c r="A452" s="617"/>
      <c r="B452" s="34"/>
      <c r="C452" s="54" t="s">
        <v>781</v>
      </c>
      <c r="D452" s="951">
        <v>2</v>
      </c>
      <c r="E452" s="471">
        <v>1.35</v>
      </c>
      <c r="F452" s="462">
        <v>0.1</v>
      </c>
      <c r="G452" s="462">
        <v>7.4999999999999997E-2</v>
      </c>
      <c r="H452" s="462">
        <f>ROUND(D452*E452*F452*G452,3)</f>
        <v>0.02</v>
      </c>
      <c r="I452" s="471">
        <v>80689</v>
      </c>
      <c r="J452" s="471">
        <f>ROUND(H452*I452,2)</f>
        <v>1613.78</v>
      </c>
    </row>
    <row r="453" spans="1:10" hidden="1">
      <c r="A453" s="617"/>
      <c r="B453" s="34"/>
      <c r="C453" s="54" t="s">
        <v>1482</v>
      </c>
      <c r="D453" s="951"/>
      <c r="E453" s="471"/>
      <c r="F453" s="462"/>
      <c r="G453" s="462"/>
      <c r="H453" s="462">
        <f>SUM(H451:H452)</f>
        <v>5.5999999999999994E-2</v>
      </c>
      <c r="I453" s="465">
        <f>G25</f>
        <v>19572.5</v>
      </c>
      <c r="J453" s="471">
        <f>ROUND(H453*I453,2)</f>
        <v>1096.06</v>
      </c>
    </row>
    <row r="454" spans="1:10" ht="33.299999999999997" hidden="1">
      <c r="A454" s="617" t="s">
        <v>787</v>
      </c>
      <c r="B454" s="19"/>
      <c r="C454" s="54" t="s">
        <v>788</v>
      </c>
      <c r="D454" s="951"/>
      <c r="E454" s="471"/>
      <c r="F454" s="462"/>
      <c r="G454" s="952"/>
      <c r="H454" s="952"/>
      <c r="I454" s="471"/>
      <c r="J454" s="471"/>
    </row>
    <row r="455" spans="1:10" hidden="1">
      <c r="A455" s="617"/>
      <c r="B455" s="32"/>
      <c r="C455" s="54" t="s">
        <v>1598</v>
      </c>
      <c r="D455" s="951"/>
      <c r="E455" s="953" t="s">
        <v>1651</v>
      </c>
      <c r="F455" s="462"/>
      <c r="G455" s="462"/>
      <c r="H455" s="948">
        <v>4</v>
      </c>
      <c r="I455" s="471">
        <v>32</v>
      </c>
      <c r="J455" s="471">
        <f>ROUND(H455*I455,2)</f>
        <v>128</v>
      </c>
    </row>
    <row r="456" spans="1:10" hidden="1">
      <c r="A456" s="617"/>
      <c r="B456" s="34"/>
      <c r="C456" s="54" t="s">
        <v>1484</v>
      </c>
      <c r="D456" s="471" t="s">
        <v>544</v>
      </c>
      <c r="E456" s="471">
        <v>1.2</v>
      </c>
      <c r="F456" s="462"/>
      <c r="G456" s="471">
        <v>1.2</v>
      </c>
      <c r="H456" s="462">
        <f>ROUND(G456*E456*2.75/3,2)</f>
        <v>1.32</v>
      </c>
      <c r="I456" s="698">
        <f>G15</f>
        <v>577.61900000000003</v>
      </c>
      <c r="J456" s="471">
        <f>ROUND(H456*I456/10,2)</f>
        <v>76.25</v>
      </c>
    </row>
    <row r="457" spans="1:10" hidden="1">
      <c r="A457" s="617"/>
      <c r="B457" s="34"/>
      <c r="C457" s="451" t="s">
        <v>1306</v>
      </c>
      <c r="D457" s="951" t="s">
        <v>10</v>
      </c>
      <c r="E457" s="471">
        <v>1.2</v>
      </c>
      <c r="F457" s="471">
        <f>E457*9</f>
        <v>10.799999999999999</v>
      </c>
      <c r="G457" s="471">
        <v>1.1299999999999999</v>
      </c>
      <c r="H457" s="462">
        <f>G457*F457</f>
        <v>12.203999999999997</v>
      </c>
      <c r="I457" s="465">
        <f>'Lead- Input sheet '!R10/1000</f>
        <v>69.62</v>
      </c>
      <c r="J457" s="471">
        <f>H457*I457</f>
        <v>849.64247999999986</v>
      </c>
    </row>
    <row r="458" spans="1:10" hidden="1">
      <c r="A458" s="617"/>
      <c r="B458" s="34"/>
      <c r="C458" s="54" t="s">
        <v>230</v>
      </c>
      <c r="D458" s="951"/>
      <c r="E458" s="471"/>
      <c r="F458" s="462"/>
      <c r="G458" s="462"/>
      <c r="H458" s="948">
        <v>1</v>
      </c>
      <c r="I458" s="471">
        <v>50</v>
      </c>
      <c r="J458" s="471">
        <f>H458*I458</f>
        <v>50</v>
      </c>
    </row>
    <row r="459" spans="1:10" hidden="1">
      <c r="A459" s="617"/>
      <c r="B459" s="34"/>
      <c r="D459" s="951"/>
      <c r="E459" s="471"/>
      <c r="F459" s="462"/>
      <c r="G459" s="462"/>
      <c r="H459" s="462"/>
      <c r="I459" s="471"/>
      <c r="J459" s="471">
        <f>SUM(J451:J458)</f>
        <v>6718.5324799999989</v>
      </c>
    </row>
    <row r="460" spans="1:10" hidden="1">
      <c r="A460" s="617"/>
      <c r="B460" s="40"/>
      <c r="C460" s="54" t="s">
        <v>1600</v>
      </c>
      <c r="D460" s="954"/>
      <c r="E460" s="468"/>
      <c r="F460" s="458"/>
      <c r="G460" s="458"/>
      <c r="H460" s="458">
        <f>'Lead- Input sheet '!Q32</f>
        <v>0</v>
      </c>
      <c r="I460" s="468">
        <f>J459</f>
        <v>6718.5324799999989</v>
      </c>
      <c r="J460" s="471">
        <f>H460*I460</f>
        <v>0</v>
      </c>
    </row>
    <row r="461" spans="1:10" hidden="1">
      <c r="A461" s="617"/>
      <c r="B461" s="411"/>
      <c r="C461" s="418" t="s">
        <v>12</v>
      </c>
      <c r="D461" s="955"/>
      <c r="E461" s="469"/>
      <c r="F461" s="460"/>
      <c r="G461" s="460"/>
      <c r="H461" s="460"/>
      <c r="I461" s="469" t="s">
        <v>416</v>
      </c>
      <c r="J461" s="469">
        <f>SUM(J459:J460)</f>
        <v>6718.5324799999989</v>
      </c>
    </row>
    <row r="462" spans="1:10" hidden="1">
      <c r="A462" s="617"/>
      <c r="B462" s="411"/>
      <c r="C462" s="418" t="s">
        <v>13</v>
      </c>
      <c r="D462" s="955"/>
      <c r="E462" s="469"/>
      <c r="F462" s="460"/>
      <c r="G462" s="460"/>
      <c r="H462" s="460"/>
      <c r="I462" s="469" t="s">
        <v>416</v>
      </c>
      <c r="J462" s="469">
        <f>J448-J461</f>
        <v>8369.6200000000026</v>
      </c>
    </row>
    <row r="463" spans="1:10" hidden="1">
      <c r="A463" s="617"/>
      <c r="E463" s="222"/>
      <c r="F463" s="947"/>
      <c r="G463" s="947"/>
      <c r="H463" s="950"/>
      <c r="I463" s="472"/>
      <c r="J463" s="441"/>
    </row>
    <row r="464" spans="1:10" hidden="1"/>
    <row r="465" spans="1:11" ht="90.3" hidden="1">
      <c r="A465" s="617"/>
      <c r="B465" s="26">
        <v>8</v>
      </c>
      <c r="C465" s="55" t="s">
        <v>1835</v>
      </c>
      <c r="D465" s="951"/>
      <c r="E465" s="471"/>
      <c r="F465" s="462"/>
      <c r="G465" s="462"/>
      <c r="H465" s="462"/>
      <c r="I465" s="471"/>
      <c r="J465" s="471"/>
    </row>
    <row r="466" spans="1:11" hidden="1">
      <c r="A466" s="617"/>
      <c r="B466" s="34"/>
      <c r="C466" s="55" t="s">
        <v>1778</v>
      </c>
      <c r="D466" s="951"/>
      <c r="E466" s="471"/>
      <c r="F466" s="462"/>
      <c r="G466" s="462"/>
      <c r="H466" s="462"/>
      <c r="I466" s="471"/>
      <c r="J466" s="471"/>
    </row>
    <row r="467" spans="1:11" hidden="1">
      <c r="A467" s="617"/>
      <c r="B467" s="34"/>
      <c r="C467" s="54" t="s">
        <v>848</v>
      </c>
      <c r="D467" s="951"/>
      <c r="E467" s="471"/>
      <c r="F467" s="462"/>
      <c r="G467" s="462"/>
      <c r="H467" s="462"/>
      <c r="I467" s="471"/>
      <c r="J467" s="471"/>
    </row>
    <row r="468" spans="1:11" hidden="1">
      <c r="A468" s="617"/>
      <c r="B468" s="34"/>
      <c r="C468" s="54" t="s">
        <v>780</v>
      </c>
      <c r="D468" s="951">
        <v>3</v>
      </c>
      <c r="E468" s="471">
        <v>0.3</v>
      </c>
      <c r="F468" s="462">
        <v>6.5000000000000002E-2</v>
      </c>
      <c r="G468" s="462">
        <v>7.4999999999999997E-2</v>
      </c>
      <c r="H468" s="462">
        <f>ROUND(D468*E468*F468*G468,3)</f>
        <v>4.0000000000000001E-3</v>
      </c>
      <c r="I468" s="471">
        <v>80689</v>
      </c>
      <c r="J468" s="471">
        <f>ROUND(H468*I468,2)</f>
        <v>322.76</v>
      </c>
    </row>
    <row r="469" spans="1:11" hidden="1">
      <c r="A469" s="617"/>
      <c r="B469" s="34"/>
      <c r="C469" s="54" t="s">
        <v>781</v>
      </c>
      <c r="D469" s="951">
        <v>2</v>
      </c>
      <c r="E469" s="471">
        <v>0.6</v>
      </c>
      <c r="F469" s="462">
        <v>6.5000000000000002E-2</v>
      </c>
      <c r="G469" s="462">
        <v>7.4999999999999997E-2</v>
      </c>
      <c r="H469" s="462">
        <f>ROUND(D469*E469*F469*G469,3)</f>
        <v>6.0000000000000001E-3</v>
      </c>
      <c r="I469" s="471">
        <v>80689</v>
      </c>
      <c r="J469" s="471">
        <f>ROUND(H469*I469,2)</f>
        <v>484.13</v>
      </c>
    </row>
    <row r="470" spans="1:11" hidden="1">
      <c r="A470" s="617"/>
      <c r="B470" s="34"/>
      <c r="C470" s="54" t="s">
        <v>1482</v>
      </c>
      <c r="D470" s="951"/>
      <c r="E470" s="471"/>
      <c r="F470" s="462"/>
      <c r="G470" s="462"/>
      <c r="H470" s="462">
        <f>SUM(H468:H469)</f>
        <v>0.01</v>
      </c>
      <c r="I470" s="465">
        <f>I453</f>
        <v>19572.5</v>
      </c>
      <c r="J470" s="471">
        <f>ROUND(H470*I470,2)</f>
        <v>195.73</v>
      </c>
    </row>
    <row r="471" spans="1:11" hidden="1">
      <c r="A471" s="617"/>
      <c r="B471" s="34"/>
      <c r="C471" s="54" t="s">
        <v>1484</v>
      </c>
      <c r="D471" s="951">
        <v>2.25</v>
      </c>
      <c r="E471" s="471">
        <v>0.6</v>
      </c>
      <c r="F471" s="462"/>
      <c r="G471" s="471">
        <v>0.3</v>
      </c>
      <c r="H471" s="462">
        <f>ROUND(G471*E471*D471,2)</f>
        <v>0.41</v>
      </c>
      <c r="I471" s="698">
        <f>I456</f>
        <v>577.61900000000003</v>
      </c>
      <c r="J471" s="471">
        <f>ROUND(H471*I471/10,2)</f>
        <v>23.68</v>
      </c>
    </row>
    <row r="472" spans="1:11" hidden="1">
      <c r="A472" s="617"/>
      <c r="B472" s="34"/>
      <c r="C472" s="451" t="s">
        <v>1779</v>
      </c>
      <c r="D472" s="951" t="s">
        <v>1780</v>
      </c>
      <c r="E472" s="471">
        <v>0.6</v>
      </c>
      <c r="F472" s="471">
        <f>E472*2</f>
        <v>1.2</v>
      </c>
      <c r="G472" s="471">
        <v>0.62</v>
      </c>
      <c r="H472" s="462">
        <f>G472*F472</f>
        <v>0.74399999999999999</v>
      </c>
      <c r="I472" s="465">
        <f>I457</f>
        <v>69.62</v>
      </c>
      <c r="J472" s="471">
        <f>H472*I472</f>
        <v>51.797280000000001</v>
      </c>
    </row>
    <row r="473" spans="1:11" hidden="1">
      <c r="A473" s="617"/>
      <c r="B473" s="34"/>
      <c r="D473" s="951"/>
      <c r="E473" s="471"/>
      <c r="F473" s="462"/>
      <c r="G473" s="462"/>
      <c r="H473" s="462"/>
      <c r="I473" s="471"/>
      <c r="J473" s="471">
        <f>SUM(J468:J472)</f>
        <v>1078.09728</v>
      </c>
    </row>
    <row r="474" spans="1:11" hidden="1">
      <c r="A474" s="617"/>
      <c r="B474" s="40"/>
      <c r="C474" s="54" t="s">
        <v>1600</v>
      </c>
      <c r="D474" s="954"/>
      <c r="E474" s="468"/>
      <c r="F474" s="458"/>
      <c r="G474" s="458"/>
      <c r="H474" s="458">
        <f>'Lead- Input sheet '!Q75</f>
        <v>0</v>
      </c>
      <c r="I474" s="468">
        <f>J473</f>
        <v>1078.09728</v>
      </c>
      <c r="J474" s="468">
        <f>ROUND(H474*I474,2)</f>
        <v>0</v>
      </c>
    </row>
    <row r="475" spans="1:11" hidden="1">
      <c r="A475" s="617"/>
      <c r="B475" s="411"/>
      <c r="C475" s="283" t="s">
        <v>256</v>
      </c>
      <c r="D475" s="955"/>
      <c r="E475" s="469"/>
      <c r="F475" s="460"/>
      <c r="G475" s="460"/>
      <c r="H475" s="460"/>
      <c r="I475" s="469" t="s">
        <v>416</v>
      </c>
      <c r="J475" s="469">
        <f>SUM(J473:J474)</f>
        <v>1078.09728</v>
      </c>
    </row>
    <row r="476" spans="1:11" hidden="1"/>
    <row r="477" spans="1:11" ht="180.6" hidden="1">
      <c r="C477" s="54" t="s">
        <v>2264</v>
      </c>
    </row>
    <row r="478" spans="1:11">
      <c r="A478" s="1613"/>
      <c r="B478" s="1614"/>
      <c r="C478" s="1615"/>
      <c r="D478" s="1616"/>
      <c r="E478" s="1617"/>
      <c r="F478" s="1618"/>
      <c r="G478" s="1618"/>
      <c r="H478" s="1618"/>
      <c r="I478" s="1619"/>
      <c r="J478" s="1619"/>
    </row>
    <row r="479" spans="1:11">
      <c r="A479" s="11"/>
      <c r="B479" s="14"/>
      <c r="C479" s="12"/>
      <c r="D479" s="9"/>
      <c r="E479" s="1623"/>
      <c r="F479" s="1624"/>
      <c r="G479" s="1624"/>
      <c r="H479" s="1624"/>
      <c r="I479" s="123"/>
      <c r="J479" s="123"/>
      <c r="K479" s="637"/>
    </row>
    <row r="480" spans="1:11">
      <c r="A480" s="11"/>
      <c r="B480" s="14"/>
      <c r="C480" s="12" t="str">
        <f>'Lead- Input sheet '!B44</f>
        <v xml:space="preserve">  Assistant Exc.Engineer  </v>
      </c>
      <c r="D480" s="2668" t="str">
        <f>'Lead- Input sheet '!H44</f>
        <v>Deputy Executive Engineer</v>
      </c>
      <c r="E480" s="2668"/>
      <c r="F480" s="2668"/>
      <c r="G480" s="2668"/>
      <c r="H480" s="1624"/>
      <c r="I480" s="123"/>
      <c r="J480" s="123"/>
      <c r="K480" s="637"/>
    </row>
    <row r="481" spans="1:11">
      <c r="A481" s="11"/>
      <c r="B481" s="14"/>
      <c r="C481" s="12" t="str">
        <f>'Lead- Input sheet '!B45</f>
        <v>PR MPP Kalwakurthy</v>
      </c>
      <c r="D481" s="2668" t="str">
        <f>'Lead- Input sheet '!H45</f>
        <v>PR SD Kalwakurthy</v>
      </c>
      <c r="E481" s="2668"/>
      <c r="F481" s="2668"/>
      <c r="G481" s="2668"/>
      <c r="H481" s="1624"/>
      <c r="I481" s="123"/>
      <c r="J481" s="123"/>
      <c r="K481" s="637"/>
    </row>
    <row r="482" spans="1:11">
      <c r="A482" s="1620"/>
      <c r="B482" s="420"/>
      <c r="C482" s="1621"/>
      <c r="D482" s="1622"/>
      <c r="E482" s="429"/>
      <c r="F482" s="680"/>
      <c r="G482" s="680"/>
      <c r="H482" s="680"/>
      <c r="I482" s="431"/>
      <c r="J482" s="431"/>
    </row>
  </sheetData>
  <mergeCells count="4">
    <mergeCell ref="A1:J1"/>
    <mergeCell ref="A2:J2"/>
    <mergeCell ref="D480:G480"/>
    <mergeCell ref="D481:G481"/>
  </mergeCells>
  <printOptions horizontalCentered="1"/>
  <pageMargins left="0.23622047244094491" right="0.11811023622047245" top="0.51181102362204722" bottom="0.39370078740157483" header="0.23622047244094491" footer="0.15748031496062992"/>
  <pageSetup paperSize="9" scale="90" orientation="portrait" r:id="rId1"/>
  <headerFooter alignWithMargins="0">
    <oddFooter>&amp;R&amp;P of &amp;N</oddFooter>
  </headerFooter>
  <rowBreaks count="1" manualBreakCount="1">
    <brk id="219" max="9"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indexed="10"/>
  </sheetPr>
  <dimension ref="A1:IV177"/>
  <sheetViews>
    <sheetView view="pageBreakPreview" zoomScale="85" zoomScaleSheetLayoutView="85" workbookViewId="0">
      <pane ySplit="2" topLeftCell="A3" activePane="bottomLeft" state="frozen"/>
      <selection pane="bottomLeft" sqref="A1:G1"/>
    </sheetView>
  </sheetViews>
  <sheetFormatPr defaultColWidth="10.109375" defaultRowHeight="12.9"/>
  <cols>
    <col min="1" max="1" width="3.109375" style="197" customWidth="1"/>
    <col min="2" max="2" width="12.88671875" style="197" customWidth="1"/>
    <col min="3" max="3" width="37.6640625" style="197" customWidth="1"/>
    <col min="4" max="4" width="10.109375" style="197" customWidth="1"/>
    <col min="5" max="5" width="10.5546875" style="197" bestFit="1" customWidth="1"/>
    <col min="6" max="6" width="10.109375" style="718" customWidth="1"/>
    <col min="7" max="7" width="11.109375" style="197" customWidth="1"/>
    <col min="8" max="9" width="10.109375" style="197" customWidth="1"/>
    <col min="10" max="10" width="4.88671875" style="197" customWidth="1"/>
    <col min="11" max="256" width="10.109375" style="197"/>
  </cols>
  <sheetData>
    <row r="1" spans="1:10" ht="20.25" customHeight="1">
      <c r="A1" s="2671" t="str">
        <f>'Lead- Input sheet '!A2</f>
        <v xml:space="preserve"> Construction of  Anganwadi Building at Jeedipally Thanda (V) of Kalwakurthy (M) of Nagarkurnool District </v>
      </c>
      <c r="B1" s="2672"/>
      <c r="C1" s="2672"/>
      <c r="D1" s="2672"/>
      <c r="E1" s="2672"/>
      <c r="F1" s="2672"/>
      <c r="G1" s="2672"/>
      <c r="H1" s="635"/>
    </row>
    <row r="2" spans="1:10">
      <c r="A2" s="1718"/>
      <c r="B2" s="2673" t="s">
        <v>3166</v>
      </c>
      <c r="C2" s="2673"/>
      <c r="D2" s="2673"/>
      <c r="E2" s="2673"/>
      <c r="F2" s="2673"/>
      <c r="G2" s="2673"/>
      <c r="H2" s="635"/>
    </row>
    <row r="3" spans="1:10" ht="93" customHeight="1">
      <c r="A3" s="1719">
        <v>1</v>
      </c>
      <c r="B3" s="2669" t="s">
        <v>1253</v>
      </c>
      <c r="C3" s="2670"/>
      <c r="D3" s="2670"/>
      <c r="E3" s="2670"/>
      <c r="F3" s="2670"/>
      <c r="G3" s="2670"/>
      <c r="H3" s="635"/>
    </row>
    <row r="4" spans="1:10">
      <c r="A4" s="1718"/>
      <c r="B4" s="1720" t="s">
        <v>1254</v>
      </c>
      <c r="C4" s="1718"/>
      <c r="D4" s="1721" t="s">
        <v>1034</v>
      </c>
      <c r="E4" s="1721" t="s">
        <v>1479</v>
      </c>
      <c r="F4" s="1722" t="s">
        <v>1255</v>
      </c>
      <c r="G4" s="1723" t="s">
        <v>1256</v>
      </c>
      <c r="H4" s="635"/>
    </row>
    <row r="5" spans="1:10" ht="64.5">
      <c r="A5" s="1724"/>
      <c r="B5" s="1723" t="s">
        <v>1659</v>
      </c>
      <c r="C5" s="1725" t="s">
        <v>1257</v>
      </c>
      <c r="D5" s="1723" t="s">
        <v>856</v>
      </c>
      <c r="E5" s="1726">
        <v>2207</v>
      </c>
      <c r="F5" s="1727">
        <v>1</v>
      </c>
      <c r="G5" s="1728">
        <f>ROUND(E5*F5,2)</f>
        <v>2207</v>
      </c>
      <c r="H5" s="635"/>
    </row>
    <row r="6" spans="1:10" ht="44.25" customHeight="1">
      <c r="A6" s="1718"/>
      <c r="B6" s="1724" t="s">
        <v>1661</v>
      </c>
      <c r="C6" s="1725" t="s">
        <v>1660</v>
      </c>
      <c r="D6" s="1724" t="s">
        <v>856</v>
      </c>
      <c r="E6" s="1724">
        <v>1740</v>
      </c>
      <c r="F6" s="1727">
        <v>1</v>
      </c>
      <c r="G6" s="1728">
        <f>ROUND(E6*F6,2)</f>
        <v>1740</v>
      </c>
      <c r="H6" s="635"/>
    </row>
    <row r="7" spans="1:10">
      <c r="A7" s="1718"/>
      <c r="B7" s="1718"/>
      <c r="C7" s="1721" t="s">
        <v>322</v>
      </c>
      <c r="D7" s="1718"/>
      <c r="E7" s="1729">
        <f>G5</f>
        <v>2207</v>
      </c>
      <c r="F7" s="1730">
        <f>'Lead- Input sheet '!Q32</f>
        <v>0</v>
      </c>
      <c r="G7" s="1729">
        <f>ROUND(E7*F7,2)</f>
        <v>0</v>
      </c>
      <c r="H7" s="635"/>
    </row>
    <row r="8" spans="1:10">
      <c r="A8" s="1718"/>
      <c r="B8" s="1718"/>
      <c r="C8" s="1721"/>
      <c r="D8" s="1718"/>
      <c r="E8" s="1729">
        <f>G6</f>
        <v>1740</v>
      </c>
      <c r="F8" s="1730">
        <f>'Lead- Input sheet '!Q32</f>
        <v>0</v>
      </c>
      <c r="G8" s="1729">
        <f>ROUND(E8*F8,2)</f>
        <v>0</v>
      </c>
      <c r="H8" s="635"/>
    </row>
    <row r="9" spans="1:10" s="415" customFormat="1">
      <c r="A9" s="1718"/>
      <c r="B9" s="1718"/>
      <c r="C9" s="1721" t="s">
        <v>324</v>
      </c>
      <c r="D9" s="1718"/>
      <c r="E9" s="1729"/>
      <c r="F9" s="1731" t="s">
        <v>1486</v>
      </c>
      <c r="G9" s="1732">
        <f>SUM(G5:G8)</f>
        <v>3947</v>
      </c>
      <c r="H9" s="636"/>
      <c r="J9" s="414"/>
    </row>
    <row r="10" spans="1:10" ht="54" customHeight="1">
      <c r="A10" s="1719">
        <v>1</v>
      </c>
      <c r="B10" s="2669" t="s">
        <v>2973</v>
      </c>
      <c r="C10" s="2670"/>
      <c r="D10" s="2670"/>
      <c r="E10" s="2670"/>
      <c r="F10" s="2670"/>
      <c r="G10" s="2670"/>
      <c r="H10" s="635"/>
    </row>
    <row r="11" spans="1:10" ht="64.5">
      <c r="A11" s="1724"/>
      <c r="B11" s="1723" t="s">
        <v>1662</v>
      </c>
      <c r="C11" s="1725" t="s">
        <v>21</v>
      </c>
      <c r="D11" s="1723" t="s">
        <v>856</v>
      </c>
      <c r="E11" s="1726">
        <v>2081</v>
      </c>
      <c r="F11" s="1727">
        <v>1</v>
      </c>
      <c r="G11" s="1728">
        <v>2102</v>
      </c>
      <c r="H11" s="635"/>
    </row>
    <row r="12" spans="1:10" ht="46.5" customHeight="1">
      <c r="A12" s="1718"/>
      <c r="B12" s="1724" t="s">
        <v>1661</v>
      </c>
      <c r="C12" s="1725" t="s">
        <v>1660</v>
      </c>
      <c r="D12" s="1724" t="s">
        <v>856</v>
      </c>
      <c r="E12" s="1724">
        <v>2102</v>
      </c>
      <c r="F12" s="1727">
        <v>1</v>
      </c>
      <c r="G12" s="1728">
        <v>1740</v>
      </c>
      <c r="H12" s="635"/>
    </row>
    <row r="13" spans="1:10">
      <c r="A13" s="1718"/>
      <c r="B13" s="1718"/>
      <c r="C13" s="1721" t="s">
        <v>322</v>
      </c>
      <c r="D13" s="1718"/>
      <c r="E13" s="1729">
        <f>G11</f>
        <v>2102</v>
      </c>
      <c r="F13" s="1730">
        <f>'Lead- Input sheet '!Q32</f>
        <v>0</v>
      </c>
      <c r="G13" s="1729">
        <f>ROUND(E13*F13,2)</f>
        <v>0</v>
      </c>
      <c r="H13" s="635"/>
    </row>
    <row r="14" spans="1:10">
      <c r="A14" s="1718"/>
      <c r="B14" s="1718"/>
      <c r="C14" s="1721"/>
      <c r="D14" s="1718"/>
      <c r="E14" s="1729">
        <f>G12</f>
        <v>1740</v>
      </c>
      <c r="F14" s="1730">
        <f>'Lead- Input sheet '!Q32</f>
        <v>0</v>
      </c>
      <c r="G14" s="1729">
        <f>ROUND(E14*F14,2)</f>
        <v>0</v>
      </c>
      <c r="H14" s="635"/>
    </row>
    <row r="15" spans="1:10" s="415" customFormat="1">
      <c r="A15" s="1718"/>
      <c r="B15" s="1718"/>
      <c r="C15" s="1721" t="s">
        <v>324</v>
      </c>
      <c r="D15" s="1718"/>
      <c r="E15" s="1729"/>
      <c r="F15" s="1731" t="s">
        <v>1486</v>
      </c>
      <c r="G15" s="1732">
        <f>SUM(G11:G14)</f>
        <v>3842</v>
      </c>
      <c r="H15" s="636"/>
      <c r="J15" s="414"/>
    </row>
    <row r="16" spans="1:10" s="197" customFormat="1" ht="41.25" customHeight="1">
      <c r="A16" s="1719">
        <v>2</v>
      </c>
      <c r="B16" s="2669" t="s">
        <v>1663</v>
      </c>
      <c r="C16" s="2670"/>
      <c r="D16" s="2670"/>
      <c r="E16" s="2670"/>
      <c r="F16" s="2670"/>
      <c r="G16" s="2670"/>
      <c r="H16" s="635"/>
    </row>
    <row r="17" spans="1:17" s="197" customFormat="1">
      <c r="A17" s="1718"/>
      <c r="B17" s="1720" t="s">
        <v>1254</v>
      </c>
      <c r="C17" s="1718"/>
      <c r="D17" s="1721" t="s">
        <v>1034</v>
      </c>
      <c r="E17" s="1721" t="s">
        <v>1479</v>
      </c>
      <c r="F17" s="1722" t="s">
        <v>1255</v>
      </c>
      <c r="G17" s="1721" t="s">
        <v>1256</v>
      </c>
      <c r="H17" s="635"/>
    </row>
    <row r="18" spans="1:17" s="197" customFormat="1" ht="24.9" customHeight="1">
      <c r="A18" s="1718"/>
      <c r="B18" s="1721" t="s">
        <v>1664</v>
      </c>
      <c r="C18" s="1733" t="s">
        <v>1665</v>
      </c>
      <c r="D18" s="1721" t="s">
        <v>856</v>
      </c>
      <c r="E18" s="1734">
        <v>275</v>
      </c>
      <c r="F18" s="1722">
        <v>1</v>
      </c>
      <c r="G18" s="1729">
        <f>ROUND(E18*F18,2)</f>
        <v>275</v>
      </c>
      <c r="H18" s="635"/>
    </row>
    <row r="19" spans="1:17" s="197" customFormat="1">
      <c r="A19" s="1718"/>
      <c r="B19" s="1718"/>
      <c r="C19" s="1721" t="s">
        <v>322</v>
      </c>
      <c r="D19" s="1718"/>
      <c r="E19" s="1729">
        <f>G18</f>
        <v>275</v>
      </c>
      <c r="F19" s="1730">
        <f>'Lead- Input sheet '!Q32</f>
        <v>0</v>
      </c>
      <c r="G19" s="1729">
        <f>ROUND(E19*F19,2)</f>
        <v>0</v>
      </c>
      <c r="H19" s="635"/>
    </row>
    <row r="20" spans="1:17" s="415" customFormat="1">
      <c r="A20" s="1718"/>
      <c r="B20" s="1718"/>
      <c r="C20" s="1721" t="s">
        <v>324</v>
      </c>
      <c r="D20" s="1718"/>
      <c r="E20" s="1729"/>
      <c r="F20" s="1731" t="s">
        <v>1486</v>
      </c>
      <c r="G20" s="1732">
        <f>SUM(G18:G19)</f>
        <v>275</v>
      </c>
      <c r="H20" s="636"/>
      <c r="J20" s="414"/>
    </row>
    <row r="21" spans="1:17" s="197" customFormat="1">
      <c r="A21" s="1718"/>
      <c r="B21" s="1735"/>
      <c r="C21" s="1718"/>
      <c r="D21" s="1718"/>
      <c r="E21" s="1718"/>
      <c r="F21" s="1722"/>
      <c r="G21" s="1718"/>
      <c r="H21" s="635"/>
    </row>
    <row r="22" spans="1:17" s="197" customFormat="1" ht="48.75" customHeight="1">
      <c r="A22" s="1719">
        <v>3</v>
      </c>
      <c r="B22" s="2669" t="s">
        <v>921</v>
      </c>
      <c r="C22" s="2670"/>
      <c r="D22" s="2670"/>
      <c r="E22" s="2670"/>
      <c r="F22" s="2670"/>
      <c r="G22" s="2670"/>
      <c r="H22" s="635"/>
    </row>
    <row r="23" spans="1:17" s="197" customFormat="1">
      <c r="A23" s="1718"/>
      <c r="B23" s="1720" t="s">
        <v>1254</v>
      </c>
      <c r="C23" s="1718"/>
      <c r="D23" s="1721" t="s">
        <v>1034</v>
      </c>
      <c r="E23" s="1718" t="s">
        <v>1479</v>
      </c>
      <c r="F23" s="1722" t="s">
        <v>762</v>
      </c>
      <c r="G23" s="1721" t="s">
        <v>1256</v>
      </c>
      <c r="H23" s="635"/>
    </row>
    <row r="24" spans="1:17" s="197" customFormat="1" ht="38.700000000000003">
      <c r="A24" s="1718"/>
      <c r="B24" s="1736" t="s">
        <v>1666</v>
      </c>
      <c r="C24" s="1737" t="s">
        <v>763</v>
      </c>
      <c r="D24" s="1736" t="s">
        <v>856</v>
      </c>
      <c r="E24" s="1738">
        <v>171</v>
      </c>
      <c r="F24" s="1739">
        <v>1</v>
      </c>
      <c r="G24" s="1740">
        <f>ROUND(E24*F24,2)</f>
        <v>171</v>
      </c>
      <c r="H24" s="635"/>
    </row>
    <row r="25" spans="1:17" s="197" customFormat="1">
      <c r="A25" s="1718"/>
      <c r="B25" s="1718"/>
      <c r="C25" s="1721" t="s">
        <v>322</v>
      </c>
      <c r="D25" s="1718"/>
      <c r="E25" s="1729">
        <f>G24</f>
        <v>171</v>
      </c>
      <c r="F25" s="1730">
        <f>'Lead- Input sheet '!Q32</f>
        <v>0</v>
      </c>
      <c r="G25" s="1729">
        <f>ROUND(E25*F25,2)</f>
        <v>0</v>
      </c>
      <c r="H25" s="635"/>
    </row>
    <row r="26" spans="1:17" s="197" customFormat="1">
      <c r="A26" s="1718"/>
      <c r="B26" s="1718"/>
      <c r="C26" s="1721" t="s">
        <v>324</v>
      </c>
      <c r="D26" s="1718"/>
      <c r="E26" s="1718"/>
      <c r="F26" s="1731" t="s">
        <v>1486</v>
      </c>
      <c r="G26" s="1732">
        <f>SUM(G24:G25)</f>
        <v>171</v>
      </c>
      <c r="H26" s="635"/>
      <c r="J26" s="223" t="s">
        <v>1378</v>
      </c>
    </row>
    <row r="27" spans="1:17" s="197" customFormat="1" ht="50.25" hidden="1" customHeight="1">
      <c r="A27" s="1719">
        <v>4</v>
      </c>
      <c r="B27" s="2669" t="s">
        <v>764</v>
      </c>
      <c r="C27" s="2670"/>
      <c r="D27" s="2670"/>
      <c r="E27" s="2670"/>
      <c r="F27" s="2670"/>
      <c r="G27" s="2670"/>
      <c r="H27" s="635"/>
    </row>
    <row r="28" spans="1:17" s="197" customFormat="1" hidden="1">
      <c r="A28" s="1718"/>
      <c r="B28" s="1741" t="s">
        <v>765</v>
      </c>
      <c r="C28" s="1742" t="s">
        <v>766</v>
      </c>
      <c r="D28" s="1718"/>
      <c r="E28" s="1718"/>
      <c r="F28" s="1722"/>
      <c r="G28" s="1718"/>
      <c r="H28" s="635"/>
    </row>
    <row r="29" spans="1:17" s="197" customFormat="1" ht="38.700000000000003" hidden="1">
      <c r="A29" s="1718"/>
      <c r="B29" s="1736" t="s">
        <v>1667</v>
      </c>
      <c r="C29" s="1737" t="s">
        <v>1388</v>
      </c>
      <c r="D29" s="1736" t="s">
        <v>856</v>
      </c>
      <c r="E29" s="1738">
        <v>569</v>
      </c>
      <c r="F29" s="1739">
        <v>1</v>
      </c>
      <c r="G29" s="1740">
        <f>ROUND(E29*F29,2)</f>
        <v>569</v>
      </c>
      <c r="H29" s="635"/>
    </row>
    <row r="30" spans="1:17" s="197" customFormat="1" ht="51.6" hidden="1">
      <c r="A30" s="1718"/>
      <c r="B30" s="1718"/>
      <c r="C30" s="1803" t="s">
        <v>3207</v>
      </c>
      <c r="D30" s="1718">
        <v>0</v>
      </c>
      <c r="E30" s="1729">
        <v>104</v>
      </c>
      <c r="F30" s="1730">
        <v>3</v>
      </c>
      <c r="G30" s="1729">
        <f>ROUND(E30*F30,2)</f>
        <v>312</v>
      </c>
      <c r="H30" s="635"/>
      <c r="Q30" s="197">
        <f>81*1.13615</f>
        <v>92.028149999999997</v>
      </c>
    </row>
    <row r="31" spans="1:17" s="197" customFormat="1" hidden="1">
      <c r="A31" s="1718"/>
      <c r="B31" s="1718"/>
      <c r="C31" s="1721" t="s">
        <v>323</v>
      </c>
      <c r="D31" s="1718"/>
      <c r="E31" s="1718"/>
      <c r="F31" s="1730">
        <v>0</v>
      </c>
      <c r="G31" s="1729">
        <v>0</v>
      </c>
      <c r="H31" s="635"/>
      <c r="Q31" s="197">
        <f>45*1.13615</f>
        <v>51.126750000000001</v>
      </c>
    </row>
    <row r="32" spans="1:17" s="197" customFormat="1" hidden="1">
      <c r="A32" s="1718"/>
      <c r="B32" s="1718"/>
      <c r="C32" s="1721" t="s">
        <v>1389</v>
      </c>
      <c r="D32" s="1718"/>
      <c r="E32" s="1718"/>
      <c r="F32" s="1722">
        <v>1</v>
      </c>
      <c r="G32" s="1732">
        <f>SUM(G29:G31)</f>
        <v>881</v>
      </c>
      <c r="H32" s="635"/>
      <c r="Q32" s="197">
        <f>22*1.13615</f>
        <v>24.9953</v>
      </c>
    </row>
    <row r="33" spans="1:17" s="197" customFormat="1" hidden="1">
      <c r="A33" s="1718"/>
      <c r="B33" s="1741"/>
      <c r="C33" s="1718" t="s">
        <v>1390</v>
      </c>
      <c r="D33" s="1718"/>
      <c r="E33" s="1718"/>
      <c r="F33" s="1731" t="s">
        <v>1486</v>
      </c>
      <c r="G33" s="1742">
        <f>ROUND(G32/3,2)</f>
        <v>293.67</v>
      </c>
      <c r="H33" s="635"/>
      <c r="J33" s="223" t="s">
        <v>1377</v>
      </c>
      <c r="Q33" s="197">
        <f>171*1.13615</f>
        <v>194.28164999999998</v>
      </c>
    </row>
    <row r="34" spans="1:17" s="197" customFormat="1" hidden="1">
      <c r="A34" s="1718"/>
      <c r="B34" s="1741" t="s">
        <v>1391</v>
      </c>
      <c r="C34" s="1718" t="s">
        <v>1392</v>
      </c>
      <c r="D34" s="1718"/>
      <c r="E34" s="1718"/>
      <c r="F34" s="1722"/>
      <c r="G34" s="1718"/>
      <c r="H34" s="635"/>
      <c r="Q34" s="197">
        <f>149*1.13615</f>
        <v>169.28635</v>
      </c>
    </row>
    <row r="35" spans="1:17" s="197" customFormat="1" ht="38.700000000000003" hidden="1">
      <c r="A35" s="1718"/>
      <c r="B35" s="1736" t="s">
        <v>1668</v>
      </c>
      <c r="C35" s="1737" t="s">
        <v>1393</v>
      </c>
      <c r="D35" s="1736" t="s">
        <v>856</v>
      </c>
      <c r="E35" s="1738">
        <v>301</v>
      </c>
      <c r="F35" s="1739">
        <v>1</v>
      </c>
      <c r="G35" s="1740">
        <f>ROUND(E35*F35,2)</f>
        <v>301</v>
      </c>
      <c r="H35" s="635"/>
      <c r="Q35" s="197">
        <f>9*1.13615</f>
        <v>10.225350000000001</v>
      </c>
    </row>
    <row r="36" spans="1:17" s="197" customFormat="1" ht="51.6" hidden="1">
      <c r="A36" s="1718"/>
      <c r="B36" s="1736"/>
      <c r="C36" s="1803" t="s">
        <v>3207</v>
      </c>
      <c r="D36" s="1718">
        <v>0</v>
      </c>
      <c r="E36" s="1729">
        <v>104</v>
      </c>
      <c r="F36" s="1730">
        <v>3</v>
      </c>
      <c r="G36" s="1729">
        <f>ROUND(E36*F36,2)</f>
        <v>312</v>
      </c>
      <c r="H36" s="635"/>
    </row>
    <row r="37" spans="1:17" s="197" customFormat="1" hidden="1">
      <c r="A37" s="1718"/>
      <c r="B37" s="1718"/>
      <c r="C37" s="1721" t="s">
        <v>322</v>
      </c>
      <c r="D37" s="1718"/>
      <c r="E37" s="1729">
        <f>G35</f>
        <v>301</v>
      </c>
      <c r="F37" s="1730">
        <f>'Lead- Input sheet '!Q32</f>
        <v>0</v>
      </c>
      <c r="G37" s="1729">
        <f>ROUND(E37*F37,2)</f>
        <v>0</v>
      </c>
      <c r="H37" s="635"/>
    </row>
    <row r="38" spans="1:17" s="197" customFormat="1" hidden="1">
      <c r="A38" s="1718"/>
      <c r="B38" s="1718"/>
      <c r="C38" s="1721" t="s">
        <v>324</v>
      </c>
      <c r="D38" s="1718"/>
      <c r="E38" s="1718"/>
      <c r="F38" s="1722">
        <v>1</v>
      </c>
      <c r="G38" s="1732">
        <f>SUM(G35:G37)</f>
        <v>613</v>
      </c>
      <c r="H38" s="635"/>
    </row>
    <row r="39" spans="1:17" s="811" customFormat="1" hidden="1">
      <c r="A39" s="1718"/>
      <c r="B39" s="1741"/>
      <c r="C39" s="1718" t="s">
        <v>1390</v>
      </c>
      <c r="D39" s="1718"/>
      <c r="E39" s="1718"/>
      <c r="F39" s="1731" t="s">
        <v>1486</v>
      </c>
      <c r="G39" s="1732">
        <f>ROUND(G38/3,2)</f>
        <v>204.33</v>
      </c>
      <c r="H39" s="812"/>
      <c r="J39" s="813"/>
    </row>
    <row r="40" spans="1:17" s="197" customFormat="1" ht="48.75" customHeight="1">
      <c r="A40" s="1724">
        <v>5</v>
      </c>
      <c r="B40" s="2669" t="s">
        <v>1670</v>
      </c>
      <c r="C40" s="2670"/>
      <c r="D40" s="2670"/>
      <c r="E40" s="2670"/>
      <c r="F40" s="2670"/>
      <c r="G40" s="2670"/>
      <c r="H40" s="635"/>
    </row>
    <row r="41" spans="1:17" s="197" customFormat="1">
      <c r="A41" s="1718"/>
      <c r="B41" s="1720" t="s">
        <v>1254</v>
      </c>
      <c r="C41" s="1718"/>
      <c r="D41" s="1721" t="s">
        <v>1034</v>
      </c>
      <c r="E41" s="1720" t="s">
        <v>1086</v>
      </c>
      <c r="F41" s="1722" t="s">
        <v>1255</v>
      </c>
      <c r="G41" s="1721" t="s">
        <v>1256</v>
      </c>
      <c r="H41" s="635"/>
    </row>
    <row r="42" spans="1:17" s="197" customFormat="1" ht="25.8">
      <c r="A42" s="1718"/>
      <c r="B42" s="1723" t="s">
        <v>1671</v>
      </c>
      <c r="C42" s="1737" t="s">
        <v>1669</v>
      </c>
      <c r="D42" s="1723" t="s">
        <v>856</v>
      </c>
      <c r="E42" s="1728">
        <v>749</v>
      </c>
      <c r="F42" s="1727">
        <v>1</v>
      </c>
      <c r="G42" s="1728">
        <f>ROUND(E42*F42,2)</f>
        <v>749</v>
      </c>
      <c r="H42" s="635"/>
      <c r="K42" s="197">
        <v>25</v>
      </c>
    </row>
    <row r="43" spans="1:17" s="197" customFormat="1">
      <c r="A43" s="1718"/>
      <c r="B43" s="1718"/>
      <c r="C43" s="1721" t="s">
        <v>322</v>
      </c>
      <c r="D43" s="1718"/>
      <c r="E43" s="1729">
        <f>G42</f>
        <v>749</v>
      </c>
      <c r="F43" s="1730">
        <f>'Lead- Input sheet '!Q32</f>
        <v>0</v>
      </c>
      <c r="G43" s="1729">
        <f>ROUND(E43*F43,2)</f>
        <v>0</v>
      </c>
      <c r="H43" s="635"/>
    </row>
    <row r="44" spans="1:17" s="811" customFormat="1">
      <c r="A44" s="1718"/>
      <c r="B44" s="1718"/>
      <c r="C44" s="1721" t="s">
        <v>324</v>
      </c>
      <c r="D44" s="1718"/>
      <c r="E44" s="1729"/>
      <c r="F44" s="1731" t="s">
        <v>1486</v>
      </c>
      <c r="G44" s="1732">
        <f>SUM(G42:G43)</f>
        <v>749</v>
      </c>
      <c r="H44" s="812"/>
      <c r="J44" s="813"/>
    </row>
    <row r="45" spans="1:17" s="197" customFormat="1" ht="156" hidden="1" customHeight="1">
      <c r="A45" s="1719">
        <v>6</v>
      </c>
      <c r="B45" s="2669" t="s">
        <v>1672</v>
      </c>
      <c r="C45" s="2670"/>
      <c r="D45" s="2670"/>
      <c r="E45" s="2670"/>
      <c r="F45" s="2670"/>
      <c r="G45" s="2670"/>
      <c r="H45" s="635"/>
    </row>
    <row r="46" spans="1:17" s="197" customFormat="1" hidden="1">
      <c r="A46" s="1718"/>
      <c r="B46" s="1721" t="s">
        <v>550</v>
      </c>
      <c r="C46" s="1743" t="s">
        <v>517</v>
      </c>
      <c r="D46" s="1721" t="s">
        <v>1034</v>
      </c>
      <c r="E46" s="1721" t="s">
        <v>936</v>
      </c>
      <c r="F46" s="1722" t="s">
        <v>937</v>
      </c>
      <c r="G46" s="1721" t="s">
        <v>1256</v>
      </c>
      <c r="H46" s="635"/>
    </row>
    <row r="47" spans="1:17" s="197" customFormat="1" ht="38.700000000000003" hidden="1">
      <c r="A47" s="1718"/>
      <c r="B47" s="1723" t="s">
        <v>1674</v>
      </c>
      <c r="C47" s="1743" t="s">
        <v>1673</v>
      </c>
      <c r="D47" s="1723" t="s">
        <v>856</v>
      </c>
      <c r="E47" s="1728">
        <v>8688</v>
      </c>
      <c r="F47" s="1727">
        <v>1</v>
      </c>
      <c r="G47" s="1728">
        <f>ROUND(E47*F47,2)</f>
        <v>8688</v>
      </c>
      <c r="H47" s="635"/>
    </row>
    <row r="48" spans="1:17" s="197" customFormat="1" hidden="1">
      <c r="A48" s="1718"/>
      <c r="B48" s="1718"/>
      <c r="C48" s="1718"/>
      <c r="D48" s="1718"/>
      <c r="E48" s="1729"/>
      <c r="F48" s="1722"/>
      <c r="G48" s="1718"/>
      <c r="H48" s="635"/>
    </row>
    <row r="49" spans="1:10" s="197" customFormat="1" hidden="1">
      <c r="A49" s="1718"/>
      <c r="B49" s="1718"/>
      <c r="C49" s="1721" t="s">
        <v>322</v>
      </c>
      <c r="D49" s="1718"/>
      <c r="E49" s="1729">
        <f>G47</f>
        <v>8688</v>
      </c>
      <c r="F49" s="1730">
        <f>'Lead- Input sheet '!Q32</f>
        <v>0</v>
      </c>
      <c r="G49" s="1729">
        <f>ROUND(E49*F49,2)</f>
        <v>0</v>
      </c>
      <c r="H49" s="635"/>
    </row>
    <row r="50" spans="1:10" s="197" customFormat="1" hidden="1">
      <c r="A50" s="1718"/>
      <c r="B50" s="1718"/>
      <c r="C50" s="1721" t="s">
        <v>1458</v>
      </c>
      <c r="D50" s="1718"/>
      <c r="E50" s="1718"/>
      <c r="F50" s="1722">
        <v>1</v>
      </c>
      <c r="G50" s="1732">
        <f>SUM(G47:G49)</f>
        <v>8688</v>
      </c>
      <c r="H50" s="635"/>
      <c r="J50" s="223"/>
    </row>
    <row r="51" spans="1:10" s="197" customFormat="1" ht="76.5" hidden="1" customHeight="1">
      <c r="A51" s="1719">
        <v>8</v>
      </c>
      <c r="B51" s="2669" t="s">
        <v>78</v>
      </c>
      <c r="C51" s="2670"/>
      <c r="D51" s="2670"/>
      <c r="E51" s="2670"/>
      <c r="F51" s="2670"/>
      <c r="G51" s="2670"/>
      <c r="H51" s="635"/>
    </row>
    <row r="52" spans="1:10" s="197" customFormat="1" hidden="1">
      <c r="A52" s="1718"/>
      <c r="B52" s="1721" t="s">
        <v>1459</v>
      </c>
      <c r="C52" s="1718"/>
      <c r="D52" s="1721" t="s">
        <v>1034</v>
      </c>
      <c r="E52" s="1721" t="s">
        <v>936</v>
      </c>
      <c r="F52" s="1722" t="s">
        <v>937</v>
      </c>
      <c r="G52" s="1721" t="s">
        <v>1256</v>
      </c>
      <c r="H52" s="635"/>
    </row>
    <row r="53" spans="1:10" s="197" customFormat="1" ht="154.80000000000001" hidden="1">
      <c r="A53" s="1718"/>
      <c r="B53" s="1723" t="s">
        <v>1676</v>
      </c>
      <c r="C53" s="1725" t="s">
        <v>1675</v>
      </c>
      <c r="D53" s="1723" t="s">
        <v>299</v>
      </c>
      <c r="E53" s="1726">
        <v>215</v>
      </c>
      <c r="F53" s="1727">
        <v>1</v>
      </c>
      <c r="G53" s="1728">
        <f>ROUND(E53*F53,2)</f>
        <v>215</v>
      </c>
      <c r="H53" s="635"/>
    </row>
    <row r="54" spans="1:10" s="197" customFormat="1" hidden="1">
      <c r="A54" s="1718"/>
      <c r="B54" s="1718"/>
      <c r="C54" s="1721" t="s">
        <v>322</v>
      </c>
      <c r="D54" s="1718"/>
      <c r="E54" s="1729">
        <f>G53</f>
        <v>215</v>
      </c>
      <c r="F54" s="1730">
        <f>'Lead- Input sheet '!Q32</f>
        <v>0</v>
      </c>
      <c r="G54" s="1729">
        <f>ROUND(E54*F54,2)</f>
        <v>0</v>
      </c>
      <c r="H54" s="635"/>
    </row>
    <row r="55" spans="1:10" s="197" customFormat="1" hidden="1">
      <c r="A55" s="1718"/>
      <c r="B55" s="1718"/>
      <c r="C55" s="1721" t="s">
        <v>300</v>
      </c>
      <c r="D55" s="1718"/>
      <c r="E55" s="1729"/>
      <c r="F55" s="1731" t="s">
        <v>1486</v>
      </c>
      <c r="G55" s="1732">
        <f>SUM(G53:G54)</f>
        <v>215</v>
      </c>
      <c r="H55" s="635"/>
      <c r="J55" s="223"/>
    </row>
    <row r="56" spans="1:10" s="197" customFormat="1" ht="36.75" hidden="1" customHeight="1">
      <c r="A56" s="1719">
        <v>9</v>
      </c>
      <c r="B56" s="2669" t="s">
        <v>1490</v>
      </c>
      <c r="C56" s="2670"/>
      <c r="D56" s="2670"/>
      <c r="E56" s="2670"/>
      <c r="F56" s="2670"/>
      <c r="G56" s="2670"/>
      <c r="H56" s="635"/>
    </row>
    <row r="57" spans="1:10" s="197" customFormat="1" ht="38.700000000000003" hidden="1">
      <c r="A57" s="1718"/>
      <c r="B57" s="1723" t="s">
        <v>1678</v>
      </c>
      <c r="C57" s="1737" t="s">
        <v>1677</v>
      </c>
      <c r="D57" s="1723" t="s">
        <v>856</v>
      </c>
      <c r="E57" s="1728">
        <v>700</v>
      </c>
      <c r="F57" s="1727">
        <v>1</v>
      </c>
      <c r="G57" s="1728">
        <f>ROUND(E57*F57,2)</f>
        <v>700</v>
      </c>
      <c r="H57" s="635"/>
    </row>
    <row r="58" spans="1:10" s="197" customFormat="1" hidden="1">
      <c r="A58" s="1718"/>
      <c r="B58" s="1718"/>
      <c r="C58" s="1721" t="s">
        <v>322</v>
      </c>
      <c r="D58" s="1718"/>
      <c r="E58" s="1729">
        <f>G57</f>
        <v>700</v>
      </c>
      <c r="F58" s="1730">
        <f>'Lead- Input sheet '!Q32</f>
        <v>0</v>
      </c>
      <c r="G58" s="1729">
        <f>ROUND(E58*F58,2)</f>
        <v>0</v>
      </c>
      <c r="H58" s="635"/>
    </row>
    <row r="59" spans="1:10" s="415" customFormat="1" hidden="1">
      <c r="A59" s="1718"/>
      <c r="B59" s="1718"/>
      <c r="C59" s="1721" t="s">
        <v>1458</v>
      </c>
      <c r="D59" s="1718"/>
      <c r="E59" s="1729"/>
      <c r="F59" s="1731" t="s">
        <v>1486</v>
      </c>
      <c r="G59" s="1732">
        <f>SUM(G57:G58)</f>
        <v>700</v>
      </c>
      <c r="H59" s="636"/>
      <c r="J59" s="414"/>
    </row>
    <row r="60" spans="1:10" s="197" customFormat="1" ht="38.700000000000003" hidden="1">
      <c r="A60" s="1718"/>
      <c r="B60" s="1723" t="s">
        <v>1680</v>
      </c>
      <c r="C60" s="1737" t="s">
        <v>1679</v>
      </c>
      <c r="D60" s="1723" t="s">
        <v>856</v>
      </c>
      <c r="E60" s="1728">
        <v>942</v>
      </c>
      <c r="F60" s="1727">
        <v>1</v>
      </c>
      <c r="G60" s="1728">
        <f>ROUND(E60*F60,2)</f>
        <v>942</v>
      </c>
      <c r="H60" s="635"/>
    </row>
    <row r="61" spans="1:10" s="197" customFormat="1" hidden="1">
      <c r="A61" s="1718"/>
      <c r="B61" s="1721"/>
      <c r="C61" s="1718"/>
      <c r="D61" s="1718"/>
      <c r="E61" s="1729"/>
      <c r="F61" s="1722"/>
      <c r="G61" s="1718"/>
      <c r="H61" s="635"/>
    </row>
    <row r="62" spans="1:10" s="197" customFormat="1" hidden="1">
      <c r="A62" s="1718"/>
      <c r="B62" s="1718"/>
      <c r="C62" s="1721" t="s">
        <v>322</v>
      </c>
      <c r="D62" s="1718"/>
      <c r="E62" s="1729">
        <f>G60</f>
        <v>942</v>
      </c>
      <c r="F62" s="1730">
        <f>F58</f>
        <v>0</v>
      </c>
      <c r="G62" s="1729">
        <f>ROUND(E62*F62,2)</f>
        <v>0</v>
      </c>
      <c r="H62" s="635"/>
    </row>
    <row r="63" spans="1:10" s="415" customFormat="1" hidden="1">
      <c r="A63" s="1718"/>
      <c r="B63" s="1718"/>
      <c r="C63" s="1721" t="s">
        <v>1458</v>
      </c>
      <c r="D63" s="1718"/>
      <c r="E63" s="1729"/>
      <c r="F63" s="1731" t="s">
        <v>1486</v>
      </c>
      <c r="G63" s="1732">
        <f>SUM(G60:G62)</f>
        <v>942</v>
      </c>
      <c r="H63" s="636"/>
      <c r="J63" s="414"/>
    </row>
    <row r="64" spans="1:10" s="197" customFormat="1" ht="38.700000000000003" hidden="1">
      <c r="A64" s="1718"/>
      <c r="B64" s="1723" t="s">
        <v>1681</v>
      </c>
      <c r="C64" s="1737" t="s">
        <v>1682</v>
      </c>
      <c r="D64" s="1723" t="s">
        <v>856</v>
      </c>
      <c r="E64" s="1728">
        <v>1354</v>
      </c>
      <c r="F64" s="1727">
        <v>1</v>
      </c>
      <c r="G64" s="1728">
        <f>ROUND(E64*F64,2)</f>
        <v>1354</v>
      </c>
      <c r="H64" s="635"/>
    </row>
    <row r="65" spans="1:10" s="197" customFormat="1" hidden="1">
      <c r="A65" s="1718"/>
      <c r="B65" s="1721"/>
      <c r="C65" s="1718"/>
      <c r="D65" s="1718"/>
      <c r="E65" s="1729"/>
      <c r="F65" s="1722"/>
      <c r="G65" s="1718"/>
      <c r="H65" s="635"/>
    </row>
    <row r="66" spans="1:10" s="197" customFormat="1" hidden="1">
      <c r="A66" s="1718"/>
      <c r="B66" s="1718"/>
      <c r="C66" s="1721" t="s">
        <v>322</v>
      </c>
      <c r="D66" s="1718"/>
      <c r="E66" s="1729">
        <f>G64</f>
        <v>1354</v>
      </c>
      <c r="F66" s="1730">
        <f>F62</f>
        <v>0</v>
      </c>
      <c r="G66" s="1729">
        <f>ROUND(E66*F66,2)</f>
        <v>0</v>
      </c>
      <c r="H66" s="635"/>
    </row>
    <row r="67" spans="1:10" s="415" customFormat="1" hidden="1">
      <c r="A67" s="1718"/>
      <c r="B67" s="1718"/>
      <c r="C67" s="1721" t="s">
        <v>1458</v>
      </c>
      <c r="D67" s="1718"/>
      <c r="E67" s="1729"/>
      <c r="F67" s="1731" t="s">
        <v>1486</v>
      </c>
      <c r="G67" s="1732">
        <f>SUM(G64:G66)</f>
        <v>1354</v>
      </c>
      <c r="H67" s="636"/>
      <c r="J67" s="414"/>
    </row>
    <row r="68" spans="1:10" s="197" customFormat="1" ht="15.75" hidden="1" customHeight="1">
      <c r="A68" s="1719">
        <v>12</v>
      </c>
      <c r="B68" s="2669" t="s">
        <v>728</v>
      </c>
      <c r="C68" s="2670"/>
      <c r="D68" s="2670"/>
      <c r="E68" s="2670"/>
      <c r="F68" s="2670"/>
      <c r="G68" s="2670"/>
      <c r="H68" s="635"/>
    </row>
    <row r="69" spans="1:10" s="197" customFormat="1" hidden="1">
      <c r="A69" s="1718"/>
      <c r="B69" s="1723" t="s">
        <v>1684</v>
      </c>
      <c r="C69" s="1737" t="s">
        <v>1683</v>
      </c>
      <c r="D69" s="1744" t="s">
        <v>856</v>
      </c>
      <c r="E69" s="1728">
        <v>33</v>
      </c>
      <c r="F69" s="1727">
        <v>1</v>
      </c>
      <c r="G69" s="1728">
        <f>ROUND(E69*F69,2)</f>
        <v>33</v>
      </c>
      <c r="H69" s="635"/>
    </row>
    <row r="70" spans="1:10" s="197" customFormat="1" hidden="1">
      <c r="A70" s="1718"/>
      <c r="B70" s="1718"/>
      <c r="C70" s="1721" t="s">
        <v>322</v>
      </c>
      <c r="D70" s="1742"/>
      <c r="E70" s="1729">
        <f>G69</f>
        <v>33</v>
      </c>
      <c r="F70" s="1730">
        <f>'Lead- Input sheet '!Q32</f>
        <v>0</v>
      </c>
      <c r="G70" s="1729">
        <f>ROUND(E70*F70,2)</f>
        <v>0</v>
      </c>
      <c r="H70" s="635"/>
    </row>
    <row r="71" spans="1:10" s="415" customFormat="1" hidden="1">
      <c r="A71" s="1718"/>
      <c r="B71" s="1718"/>
      <c r="C71" s="1721" t="s">
        <v>1458</v>
      </c>
      <c r="D71" s="1742"/>
      <c r="E71" s="1729"/>
      <c r="F71" s="1731" t="s">
        <v>1486</v>
      </c>
      <c r="G71" s="1732">
        <f>SUM(G69:G70)</f>
        <v>33</v>
      </c>
      <c r="H71" s="636"/>
      <c r="J71" s="414"/>
    </row>
    <row r="72" spans="1:10" s="415" customFormat="1" ht="50.2" hidden="1" customHeight="1">
      <c r="A72" s="1719">
        <v>16</v>
      </c>
      <c r="B72" s="2669" t="s">
        <v>1354</v>
      </c>
      <c r="C72" s="2670"/>
      <c r="D72" s="2670"/>
      <c r="E72" s="2670"/>
      <c r="F72" s="2670"/>
      <c r="G72" s="2670"/>
      <c r="H72" s="636"/>
      <c r="J72" s="414"/>
    </row>
    <row r="73" spans="1:10" s="197" customFormat="1" hidden="1">
      <c r="A73" s="1718"/>
      <c r="B73" s="1744" t="s">
        <v>1685</v>
      </c>
      <c r="C73" s="1737"/>
      <c r="D73" s="1744" t="s">
        <v>452</v>
      </c>
      <c r="E73" s="1728">
        <v>1</v>
      </c>
      <c r="F73" s="1727">
        <v>617</v>
      </c>
      <c r="G73" s="1728">
        <f>ROUND(E73*F73,2)</f>
        <v>617</v>
      </c>
      <c r="H73" s="635"/>
    </row>
    <row r="74" spans="1:10" s="197" customFormat="1" hidden="1">
      <c r="A74" s="1718"/>
      <c r="B74" s="1718"/>
      <c r="C74" s="1721" t="s">
        <v>322</v>
      </c>
      <c r="D74" s="1742"/>
      <c r="E74" s="1729">
        <f>G73</f>
        <v>617</v>
      </c>
      <c r="F74" s="1730">
        <f>'Lead- Input sheet '!Q32</f>
        <v>0</v>
      </c>
      <c r="G74" s="1729">
        <f>ROUND(E74*F74,2)</f>
        <v>0</v>
      </c>
      <c r="H74" s="635"/>
    </row>
    <row r="75" spans="1:10" s="415" customFormat="1" hidden="1">
      <c r="A75" s="1718"/>
      <c r="B75" s="1718"/>
      <c r="C75" s="1721" t="s">
        <v>1352</v>
      </c>
      <c r="D75" s="1742"/>
      <c r="E75" s="1729"/>
      <c r="F75" s="1731" t="s">
        <v>1486</v>
      </c>
      <c r="G75" s="1732">
        <f>SUM(G73:G74)</f>
        <v>617</v>
      </c>
      <c r="H75" s="636"/>
      <c r="J75" s="414"/>
    </row>
    <row r="76" spans="1:10" s="415" customFormat="1" ht="50.2" hidden="1" customHeight="1">
      <c r="A76" s="1719">
        <v>16</v>
      </c>
      <c r="B76" s="2669" t="s">
        <v>1353</v>
      </c>
      <c r="C76" s="2670"/>
      <c r="D76" s="2670"/>
      <c r="E76" s="2670"/>
      <c r="F76" s="2670"/>
      <c r="G76" s="2670"/>
      <c r="H76" s="636"/>
      <c r="J76" s="414"/>
    </row>
    <row r="77" spans="1:10" s="197" customFormat="1" hidden="1">
      <c r="A77" s="1718"/>
      <c r="B77" s="1744" t="s">
        <v>1686</v>
      </c>
      <c r="C77" s="1737"/>
      <c r="D77" s="1744" t="s">
        <v>452</v>
      </c>
      <c r="E77" s="1728">
        <v>1</v>
      </c>
      <c r="F77" s="1727">
        <v>531</v>
      </c>
      <c r="G77" s="1728">
        <f>ROUND(E77*F77,2)</f>
        <v>531</v>
      </c>
      <c r="H77" s="635"/>
    </row>
    <row r="78" spans="1:10" s="197" customFormat="1" hidden="1">
      <c r="A78" s="1718"/>
      <c r="B78" s="1718"/>
      <c r="C78" s="1721" t="s">
        <v>322</v>
      </c>
      <c r="D78" s="1742"/>
      <c r="E78" s="1729">
        <f>G77</f>
        <v>531</v>
      </c>
      <c r="F78" s="1730">
        <f>'Lead- Input sheet '!Q32</f>
        <v>0</v>
      </c>
      <c r="G78" s="1729">
        <f>ROUND(E78*F78,2)</f>
        <v>0</v>
      </c>
      <c r="H78" s="635"/>
    </row>
    <row r="79" spans="1:10" s="415" customFormat="1" hidden="1">
      <c r="A79" s="1718"/>
      <c r="B79" s="1718"/>
      <c r="C79" s="1721" t="s">
        <v>1352</v>
      </c>
      <c r="D79" s="1742"/>
      <c r="E79" s="1729"/>
      <c r="F79" s="1731" t="s">
        <v>1486</v>
      </c>
      <c r="G79" s="1732">
        <f>SUM(G77:G78)</f>
        <v>531</v>
      </c>
      <c r="H79" s="636"/>
      <c r="J79" s="414"/>
    </row>
    <row r="80" spans="1:10" s="415" customFormat="1" ht="50.2" customHeight="1">
      <c r="A80" s="1719">
        <v>16</v>
      </c>
      <c r="B80" s="2669" t="s">
        <v>1687</v>
      </c>
      <c r="C80" s="2670"/>
      <c r="D80" s="2670"/>
      <c r="E80" s="2670"/>
      <c r="F80" s="2670"/>
      <c r="G80" s="2670"/>
      <c r="H80" s="636"/>
      <c r="J80" s="414"/>
    </row>
    <row r="81" spans="1:10" s="197" customFormat="1">
      <c r="A81" s="1718"/>
      <c r="B81" s="1744" t="s">
        <v>1688</v>
      </c>
      <c r="C81" s="1737"/>
      <c r="D81" s="1744" t="s">
        <v>856</v>
      </c>
      <c r="E81" s="1728">
        <v>1</v>
      </c>
      <c r="F81" s="1727">
        <v>4610</v>
      </c>
      <c r="G81" s="1728">
        <f>ROUND(E81*F81,2)</f>
        <v>4610</v>
      </c>
      <c r="H81" s="635"/>
    </row>
    <row r="82" spans="1:10" s="197" customFormat="1">
      <c r="A82" s="1718"/>
      <c r="B82" s="1718"/>
      <c r="C82" s="1721" t="s">
        <v>322</v>
      </c>
      <c r="D82" s="1742"/>
      <c r="E82" s="1729">
        <f>G81</f>
        <v>4610</v>
      </c>
      <c r="F82" s="1730">
        <f>'Lead- Input sheet '!Q32</f>
        <v>0</v>
      </c>
      <c r="G82" s="1729">
        <f>ROUND(E82*F82,2)</f>
        <v>0</v>
      </c>
      <c r="H82" s="635"/>
    </row>
    <row r="83" spans="1:10" s="415" customFormat="1">
      <c r="A83" s="1718"/>
      <c r="B83" s="1718"/>
      <c r="C83" s="1721" t="s">
        <v>1458</v>
      </c>
      <c r="D83" s="1742"/>
      <c r="E83" s="1729"/>
      <c r="F83" s="1731" t="s">
        <v>1486</v>
      </c>
      <c r="G83" s="1732">
        <f>SUM(G81:G82)</f>
        <v>4610</v>
      </c>
      <c r="H83" s="636"/>
      <c r="J83" s="414"/>
    </row>
    <row r="84" spans="1:10" s="197" customFormat="1" ht="37.5" hidden="1" customHeight="1">
      <c r="A84" s="1718"/>
      <c r="B84" s="2676" t="s">
        <v>686</v>
      </c>
      <c r="C84" s="2677"/>
      <c r="D84" s="2677"/>
      <c r="E84" s="2677"/>
      <c r="F84" s="2677"/>
      <c r="G84" s="2677"/>
      <c r="H84" s="635"/>
      <c r="J84" s="196"/>
    </row>
    <row r="85" spans="1:10" s="197" customFormat="1" ht="27" hidden="1" customHeight="1">
      <c r="A85" s="1718"/>
      <c r="B85" s="1721" t="s">
        <v>687</v>
      </c>
      <c r="C85" s="1721" t="s">
        <v>1444</v>
      </c>
      <c r="D85" s="1721" t="s">
        <v>856</v>
      </c>
      <c r="E85" s="1729"/>
      <c r="F85" s="1722">
        <v>1</v>
      </c>
      <c r="G85" s="1729">
        <f>ROUND(E85*F85,2)</f>
        <v>0</v>
      </c>
      <c r="H85" s="635"/>
    </row>
    <row r="86" spans="1:10" s="25" customFormat="1" ht="12.9" hidden="1" customHeight="1">
      <c r="A86" s="327"/>
      <c r="B86" s="1592"/>
      <c r="C86" s="1611" t="s">
        <v>526</v>
      </c>
      <c r="D86" s="1745"/>
      <c r="E86" s="1745"/>
      <c r="F86" s="1711"/>
      <c r="G86" s="328"/>
      <c r="H86" s="637"/>
    </row>
    <row r="87" spans="1:10" s="815" customFormat="1" ht="37.5" hidden="1" customHeight="1">
      <c r="A87" s="327"/>
      <c r="B87" s="1556" t="s">
        <v>1979</v>
      </c>
      <c r="C87" s="1746" t="s">
        <v>1917</v>
      </c>
      <c r="D87" s="1747" t="s">
        <v>334</v>
      </c>
      <c r="E87" s="1747">
        <v>1</v>
      </c>
      <c r="F87" s="70">
        <v>26500</v>
      </c>
      <c r="G87" s="1748">
        <f>ROUND(E87*F87,2)</f>
        <v>26500</v>
      </c>
      <c r="H87" s="814"/>
    </row>
    <row r="88" spans="1:10" s="25" customFormat="1" ht="12.9" hidden="1" customHeight="1">
      <c r="A88" s="327"/>
      <c r="B88" s="1592"/>
      <c r="C88" s="1749" t="s">
        <v>1445</v>
      </c>
      <c r="D88" s="1745" t="s">
        <v>334</v>
      </c>
      <c r="E88" s="1745">
        <v>2</v>
      </c>
      <c r="F88" s="1711">
        <v>300</v>
      </c>
      <c r="G88" s="1729">
        <f>ROUND(E88*F88,2)</f>
        <v>600</v>
      </c>
      <c r="H88" s="637"/>
    </row>
    <row r="89" spans="1:10" s="25" customFormat="1" ht="12.9" hidden="1" customHeight="1">
      <c r="A89" s="327"/>
      <c r="B89" s="1592"/>
      <c r="C89" s="1749" t="s">
        <v>1158</v>
      </c>
      <c r="D89" s="1745"/>
      <c r="E89" s="1750">
        <v>0.02</v>
      </c>
      <c r="F89" s="1711">
        <f>SUM(G87:G88)</f>
        <v>27100</v>
      </c>
      <c r="G89" s="328"/>
      <c r="H89" s="637"/>
    </row>
    <row r="90" spans="1:10" s="25" customFormat="1" ht="24.75" hidden="1" customHeight="1">
      <c r="A90" s="327"/>
      <c r="B90" s="1592"/>
      <c r="C90" s="1611" t="s">
        <v>1454</v>
      </c>
      <c r="D90" s="1745"/>
      <c r="E90" s="1745"/>
      <c r="F90" s="1711"/>
      <c r="G90" s="328"/>
      <c r="H90" s="637"/>
    </row>
    <row r="91" spans="1:10" s="25" customFormat="1" ht="12.9" hidden="1" customHeight="1">
      <c r="A91" s="327"/>
      <c r="B91" s="1592"/>
      <c r="C91" s="1749" t="s">
        <v>1455</v>
      </c>
      <c r="D91" s="1745" t="s">
        <v>1047</v>
      </c>
      <c r="E91" s="1745">
        <v>0.5</v>
      </c>
      <c r="F91" s="1711">
        <f>'Lead- Input sheet '!R31</f>
        <v>680</v>
      </c>
      <c r="G91" s="1729">
        <f>ROUND(E91*F91,2)</f>
        <v>340</v>
      </c>
      <c r="H91" s="637"/>
    </row>
    <row r="92" spans="1:10" s="25" customFormat="1" ht="12.9" hidden="1" customHeight="1">
      <c r="A92" s="327"/>
      <c r="B92" s="1592"/>
      <c r="C92" s="1749" t="s">
        <v>1116</v>
      </c>
      <c r="D92" s="1745" t="s">
        <v>1047</v>
      </c>
      <c r="E92" s="1745">
        <v>1</v>
      </c>
      <c r="F92" s="1711">
        <f>'Lead- Input sheet '!R30</f>
        <v>650</v>
      </c>
      <c r="G92" s="1729">
        <f>ROUND(E92*F92,2)</f>
        <v>650</v>
      </c>
      <c r="H92" s="637"/>
    </row>
    <row r="93" spans="1:10" s="25" customFormat="1" ht="12.9" hidden="1" customHeight="1">
      <c r="A93" s="327"/>
      <c r="B93" s="1592"/>
      <c r="C93" s="1749" t="s">
        <v>1456</v>
      </c>
      <c r="D93" s="1745" t="s">
        <v>1047</v>
      </c>
      <c r="E93" s="1745">
        <v>0.5</v>
      </c>
      <c r="F93" s="1711">
        <f>'Lead- Input sheet '!R32</f>
        <v>780</v>
      </c>
      <c r="G93" s="1729">
        <f>ROUND(E93*F93,2)</f>
        <v>390</v>
      </c>
      <c r="H93" s="637"/>
    </row>
    <row r="94" spans="1:10" s="25" customFormat="1" ht="12.9" hidden="1" customHeight="1">
      <c r="A94" s="327"/>
      <c r="B94" s="1592"/>
      <c r="C94" s="1749" t="s">
        <v>1446</v>
      </c>
      <c r="D94" s="1745" t="s">
        <v>975</v>
      </c>
      <c r="E94" s="1745"/>
      <c r="F94" s="1711"/>
      <c r="G94" s="1564">
        <f>SUM(G87:G93)</f>
        <v>28480</v>
      </c>
      <c r="H94" s="637"/>
    </row>
    <row r="95" spans="1:10" s="197" customFormat="1" hidden="1">
      <c r="A95" s="1718"/>
      <c r="B95" s="1718"/>
      <c r="C95" s="1721" t="s">
        <v>322</v>
      </c>
      <c r="D95" s="1718"/>
      <c r="E95" s="1729">
        <f>G94</f>
        <v>28480</v>
      </c>
      <c r="F95" s="1730">
        <f>'Lead- Input sheet '!Q32</f>
        <v>0</v>
      </c>
      <c r="G95" s="1729">
        <f>ROUND(E95*F95,2)</f>
        <v>0</v>
      </c>
      <c r="H95" s="635"/>
    </row>
    <row r="96" spans="1:10" s="197" customFormat="1" hidden="1">
      <c r="A96" s="1718"/>
      <c r="B96" s="1718"/>
      <c r="C96" s="1721" t="s">
        <v>323</v>
      </c>
      <c r="D96" s="1718"/>
      <c r="E96" s="1729"/>
      <c r="F96" s="1722">
        <v>0</v>
      </c>
      <c r="G96" s="1729">
        <f>ROUND(E96*F96,2)</f>
        <v>0</v>
      </c>
      <c r="H96" s="635"/>
    </row>
    <row r="97" spans="1:16" s="415" customFormat="1" hidden="1">
      <c r="A97" s="1718"/>
      <c r="B97" s="1718"/>
      <c r="C97" s="1721" t="s">
        <v>552</v>
      </c>
      <c r="D97" s="1718"/>
      <c r="E97" s="1729"/>
      <c r="F97" s="1731" t="s">
        <v>1486</v>
      </c>
      <c r="G97" s="1732">
        <f>SUM(G94:G96)</f>
        <v>28480</v>
      </c>
      <c r="H97" s="636"/>
      <c r="J97" s="414"/>
    </row>
    <row r="98" spans="1:16" s="197" customFormat="1" ht="35.25" hidden="1" customHeight="1">
      <c r="A98" s="1719">
        <v>15</v>
      </c>
      <c r="B98" s="2669" t="s">
        <v>553</v>
      </c>
      <c r="C98" s="2670"/>
      <c r="D98" s="2670"/>
      <c r="E98" s="2670"/>
      <c r="F98" s="2670"/>
      <c r="G98" s="2670"/>
      <c r="H98" s="2674"/>
      <c r="I98" s="2675"/>
    </row>
    <row r="99" spans="1:16" s="197" customFormat="1" hidden="1">
      <c r="A99" s="1718"/>
      <c r="B99" s="1720" t="s">
        <v>1254</v>
      </c>
      <c r="C99" s="1718"/>
      <c r="D99" s="1721" t="s">
        <v>1034</v>
      </c>
      <c r="E99" s="1721" t="s">
        <v>936</v>
      </c>
      <c r="F99" s="1722" t="s">
        <v>937</v>
      </c>
      <c r="G99" s="1721" t="s">
        <v>1256</v>
      </c>
      <c r="H99" s="635"/>
    </row>
    <row r="100" spans="1:16" s="197" customFormat="1" ht="63.75" hidden="1" customHeight="1">
      <c r="A100" s="1718"/>
      <c r="B100" s="1723" t="s">
        <v>1689</v>
      </c>
      <c r="C100" s="1737" t="s">
        <v>2064</v>
      </c>
      <c r="D100" s="1723" t="s">
        <v>857</v>
      </c>
      <c r="E100" s="1728">
        <v>8700</v>
      </c>
      <c r="F100" s="1727">
        <v>1</v>
      </c>
      <c r="G100" s="1728">
        <f>ROUND(E100*F100,2)</f>
        <v>8700</v>
      </c>
      <c r="H100" s="635"/>
    </row>
    <row r="101" spans="1:16" s="197" customFormat="1" hidden="1">
      <c r="A101" s="1718"/>
      <c r="B101" s="1723"/>
      <c r="C101" s="1725" t="s">
        <v>1158</v>
      </c>
      <c r="D101" s="1723"/>
      <c r="E101" s="1751">
        <v>0.02</v>
      </c>
      <c r="F101" s="1727"/>
      <c r="G101" s="1728">
        <f>E100*E101</f>
        <v>174</v>
      </c>
      <c r="H101" s="635"/>
    </row>
    <row r="102" spans="1:16" s="197" customFormat="1" ht="38.700000000000003" hidden="1">
      <c r="A102" s="1718"/>
      <c r="B102" s="1723"/>
      <c r="C102" s="1752" t="s">
        <v>1454</v>
      </c>
      <c r="D102" s="1723"/>
      <c r="E102" s="1751"/>
      <c r="F102" s="1727"/>
      <c r="G102" s="1728"/>
      <c r="H102" s="635"/>
      <c r="P102" s="197">
        <f>25043+25370+32229+61462+41236+1718+203383+90600+18057+73619+74149</f>
        <v>646866</v>
      </c>
    </row>
    <row r="103" spans="1:16" s="197" customFormat="1" hidden="1">
      <c r="A103" s="1718"/>
      <c r="B103" s="1723"/>
      <c r="C103" s="1725" t="s">
        <v>1455</v>
      </c>
      <c r="D103" s="1753" t="s">
        <v>1047</v>
      </c>
      <c r="E103" s="1753">
        <v>0.5</v>
      </c>
      <c r="F103" s="1727">
        <f>'Lead- Input sheet '!R31</f>
        <v>680</v>
      </c>
      <c r="G103" s="1728">
        <f>E103*F103</f>
        <v>340</v>
      </c>
      <c r="H103" s="635"/>
      <c r="L103" s="197">
        <f>4716000/2</f>
        <v>2358000</v>
      </c>
    </row>
    <row r="104" spans="1:16" s="197" customFormat="1" hidden="1">
      <c r="A104" s="1718"/>
      <c r="B104" s="1723"/>
      <c r="C104" s="1725" t="s">
        <v>1116</v>
      </c>
      <c r="D104" s="1753" t="s">
        <v>1047</v>
      </c>
      <c r="E104" s="1753">
        <v>1</v>
      </c>
      <c r="F104" s="1727">
        <f>'Lead- Input sheet '!R30</f>
        <v>650</v>
      </c>
      <c r="G104" s="1728">
        <f>E104*F104</f>
        <v>650</v>
      </c>
      <c r="H104" s="635"/>
    </row>
    <row r="105" spans="1:16" s="197" customFormat="1" hidden="1">
      <c r="A105" s="1718"/>
      <c r="B105" s="1723"/>
      <c r="C105" s="1725" t="s">
        <v>1456</v>
      </c>
      <c r="D105" s="1753" t="s">
        <v>1047</v>
      </c>
      <c r="E105" s="1753">
        <v>0.5</v>
      </c>
      <c r="F105" s="1727">
        <f>F103</f>
        <v>680</v>
      </c>
      <c r="G105" s="1728">
        <f>E105*F105</f>
        <v>340</v>
      </c>
      <c r="H105" s="635"/>
    </row>
    <row r="106" spans="1:16" s="197" customFormat="1" hidden="1">
      <c r="A106" s="1718"/>
      <c r="B106" s="1723"/>
      <c r="C106" s="1725" t="s">
        <v>1117</v>
      </c>
      <c r="D106" s="1753" t="s">
        <v>975</v>
      </c>
      <c r="E106" s="1728"/>
      <c r="F106" s="1727"/>
      <c r="G106" s="1728"/>
      <c r="H106" s="635"/>
    </row>
    <row r="107" spans="1:16" s="197" customFormat="1" hidden="1">
      <c r="A107" s="1718"/>
      <c r="B107" s="1718"/>
      <c r="C107" s="1721" t="s">
        <v>322</v>
      </c>
      <c r="D107" s="1718"/>
      <c r="E107" s="1729">
        <f>SUM(G100:G105)</f>
        <v>10204</v>
      </c>
      <c r="F107" s="1730">
        <f>'Lead- Input sheet '!Q32</f>
        <v>0</v>
      </c>
      <c r="G107" s="1729">
        <f>ROUND(E107*F107,2)</f>
        <v>0</v>
      </c>
      <c r="H107" s="635"/>
    </row>
    <row r="108" spans="1:16" s="197" customFormat="1" hidden="1">
      <c r="A108" s="1718"/>
      <c r="B108" s="1718"/>
      <c r="C108" s="1721" t="s">
        <v>323</v>
      </c>
      <c r="D108" s="1718"/>
      <c r="E108" s="1729"/>
      <c r="F108" s="1722">
        <v>0</v>
      </c>
      <c r="G108" s="1729">
        <f>ROUND(E108*F108,2)</f>
        <v>0</v>
      </c>
      <c r="H108" s="635"/>
    </row>
    <row r="109" spans="1:16" s="415" customFormat="1" hidden="1">
      <c r="A109" s="1718"/>
      <c r="B109" s="1718"/>
      <c r="C109" s="1721" t="s">
        <v>1458</v>
      </c>
      <c r="D109" s="1718"/>
      <c r="E109" s="1729"/>
      <c r="F109" s="1731" t="s">
        <v>1486</v>
      </c>
      <c r="G109" s="1732">
        <f>SUM(G100:G108)</f>
        <v>10204</v>
      </c>
      <c r="H109" s="636"/>
      <c r="J109" s="414"/>
    </row>
    <row r="110" spans="1:16" s="197" customFormat="1" hidden="1">
      <c r="A110" s="1718"/>
      <c r="B110" s="1718"/>
      <c r="C110" s="1718"/>
      <c r="D110" s="1718"/>
      <c r="E110" s="1718"/>
      <c r="F110" s="1722"/>
      <c r="G110" s="1718"/>
      <c r="H110" s="635"/>
    </row>
    <row r="111" spans="1:16" s="197" customFormat="1" ht="50.25" customHeight="1">
      <c r="A111" s="1719">
        <v>16</v>
      </c>
      <c r="B111" s="2669" t="s">
        <v>1690</v>
      </c>
      <c r="C111" s="2670"/>
      <c r="D111" s="2670"/>
      <c r="E111" s="2670"/>
      <c r="F111" s="2670"/>
      <c r="G111" s="2670"/>
      <c r="H111" s="635"/>
    </row>
    <row r="112" spans="1:16" s="197" customFormat="1">
      <c r="A112" s="1718"/>
      <c r="B112" s="1721" t="s">
        <v>550</v>
      </c>
      <c r="C112" s="1718"/>
      <c r="D112" s="1721" t="s">
        <v>1034</v>
      </c>
      <c r="E112" s="1721" t="s">
        <v>936</v>
      </c>
      <c r="F112" s="1722" t="s">
        <v>937</v>
      </c>
      <c r="G112" s="1721" t="s">
        <v>1256</v>
      </c>
      <c r="H112" s="635"/>
    </row>
    <row r="113" spans="1:10" s="197" customFormat="1">
      <c r="A113" s="1718"/>
      <c r="B113" s="1721" t="s">
        <v>551</v>
      </c>
      <c r="C113" s="1718"/>
      <c r="D113" s="1718"/>
      <c r="E113" s="1718"/>
      <c r="F113" s="1722"/>
      <c r="G113" s="1718"/>
      <c r="H113" s="635"/>
    </row>
    <row r="114" spans="1:10" s="197" customFormat="1" ht="25.8">
      <c r="A114" s="1718"/>
      <c r="B114" s="1754" t="s">
        <v>1686</v>
      </c>
      <c r="C114" s="1737" t="s">
        <v>1457</v>
      </c>
      <c r="D114" s="1721" t="s">
        <v>452</v>
      </c>
      <c r="E114" s="1729">
        <v>531</v>
      </c>
      <c r="F114" s="1722">
        <v>1</v>
      </c>
      <c r="G114" s="1729">
        <f>ROUND(E114*F114,2)</f>
        <v>531</v>
      </c>
      <c r="H114" s="635"/>
    </row>
    <row r="115" spans="1:10" s="197" customFormat="1">
      <c r="A115" s="1718"/>
      <c r="B115" s="1718"/>
      <c r="C115" s="1721" t="s">
        <v>322</v>
      </c>
      <c r="D115" s="1718"/>
      <c r="E115" s="1729">
        <f>SUM(G114:G114)</f>
        <v>531</v>
      </c>
      <c r="F115" s="1730">
        <f>'Lead- Input sheet '!Q32</f>
        <v>0</v>
      </c>
      <c r="G115" s="1729">
        <f>ROUND(E115*F115,2)</f>
        <v>0</v>
      </c>
      <c r="H115" s="635"/>
    </row>
    <row r="116" spans="1:10" s="197" customFormat="1">
      <c r="A116" s="1718"/>
      <c r="B116" s="1718"/>
      <c r="C116" s="1721" t="s">
        <v>1018</v>
      </c>
      <c r="D116" s="1718"/>
      <c r="E116" s="1729">
        <v>0</v>
      </c>
      <c r="F116" s="1722">
        <f>'Lead- Input sheet '!Q32</f>
        <v>0</v>
      </c>
      <c r="G116" s="1729">
        <f>ROUND(E116*F116,2)</f>
        <v>0</v>
      </c>
      <c r="H116" s="635"/>
    </row>
    <row r="117" spans="1:10" s="415" customFormat="1">
      <c r="A117" s="1718"/>
      <c r="B117" s="1718"/>
      <c r="C117" s="1721" t="s">
        <v>552</v>
      </c>
      <c r="D117" s="1718"/>
      <c r="E117" s="1729"/>
      <c r="F117" s="1731" t="s">
        <v>1486</v>
      </c>
      <c r="G117" s="1732">
        <f>SUM(G114:G116)</f>
        <v>531</v>
      </c>
      <c r="H117" s="636"/>
      <c r="J117" s="414"/>
    </row>
    <row r="118" spans="1:10" s="197" customFormat="1" ht="30" customHeight="1">
      <c r="A118" s="1719">
        <v>4</v>
      </c>
      <c r="B118" s="2669" t="s">
        <v>1691</v>
      </c>
      <c r="C118" s="2670"/>
      <c r="D118" s="2670"/>
      <c r="E118" s="2670"/>
      <c r="F118" s="2670"/>
      <c r="G118" s="2670"/>
      <c r="H118" s="635"/>
    </row>
    <row r="119" spans="1:10" s="197" customFormat="1">
      <c r="A119" s="1718"/>
      <c r="B119" s="1721" t="s">
        <v>550</v>
      </c>
      <c r="C119" s="1718"/>
      <c r="D119" s="1721" t="s">
        <v>1034</v>
      </c>
      <c r="E119" s="1721" t="s">
        <v>936</v>
      </c>
      <c r="F119" s="1722" t="s">
        <v>937</v>
      </c>
      <c r="G119" s="1721" t="s">
        <v>1256</v>
      </c>
      <c r="H119" s="635"/>
    </row>
    <row r="120" spans="1:10" s="197" customFormat="1">
      <c r="A120" s="1718"/>
      <c r="B120" s="1721" t="s">
        <v>551</v>
      </c>
      <c r="C120" s="1718"/>
      <c r="D120" s="1718"/>
      <c r="E120" s="1718"/>
      <c r="F120" s="1722"/>
      <c r="G120" s="1718"/>
      <c r="H120" s="635"/>
    </row>
    <row r="121" spans="1:10" s="197" customFormat="1">
      <c r="A121" s="1718"/>
      <c r="B121" s="1754" t="s">
        <v>1693</v>
      </c>
      <c r="C121" s="1743" t="s">
        <v>1692</v>
      </c>
      <c r="D121" s="1754" t="s">
        <v>884</v>
      </c>
      <c r="E121" s="1755">
        <v>10</v>
      </c>
      <c r="F121" s="1727">
        <v>1</v>
      </c>
      <c r="G121" s="1756">
        <f>ROUND(E121*F121,2)</f>
        <v>10</v>
      </c>
      <c r="H121" s="635"/>
    </row>
    <row r="122" spans="1:10" s="197" customFormat="1">
      <c r="A122" s="1718"/>
      <c r="B122" s="1718"/>
      <c r="C122" s="1721" t="s">
        <v>322</v>
      </c>
      <c r="D122" s="1757"/>
      <c r="E122" s="1755">
        <f>G121</f>
        <v>10</v>
      </c>
      <c r="F122" s="1755">
        <f>'Lead- Input sheet '!Q32</f>
        <v>0</v>
      </c>
      <c r="G122" s="1756">
        <f>ROUND(E122*F122,2)</f>
        <v>0</v>
      </c>
      <c r="H122" s="635"/>
    </row>
    <row r="123" spans="1:10" s="197" customFormat="1">
      <c r="A123" s="1718"/>
      <c r="B123" s="1718"/>
      <c r="C123" s="1721" t="s">
        <v>323</v>
      </c>
      <c r="D123" s="1757"/>
      <c r="E123" s="1755"/>
      <c r="F123" s="1727">
        <v>0</v>
      </c>
      <c r="G123" s="1756">
        <f>ROUND(E123*F123,2)</f>
        <v>0</v>
      </c>
      <c r="H123" s="635"/>
    </row>
    <row r="124" spans="1:10" s="415" customFormat="1">
      <c r="A124" s="1718"/>
      <c r="B124" s="1718"/>
      <c r="C124" s="1721" t="s">
        <v>552</v>
      </c>
      <c r="D124" s="1757"/>
      <c r="E124" s="1755"/>
      <c r="F124" s="1731" t="s">
        <v>1486</v>
      </c>
      <c r="G124" s="1758">
        <f>SUM(G121:G123)</f>
        <v>10</v>
      </c>
      <c r="H124" s="636"/>
      <c r="J124" s="414"/>
    </row>
    <row r="125" spans="1:10" s="197" customFormat="1" ht="30" hidden="1" customHeight="1">
      <c r="A125" s="1719">
        <v>5</v>
      </c>
      <c r="B125" s="2669" t="s">
        <v>1447</v>
      </c>
      <c r="C125" s="2670"/>
      <c r="D125" s="2670"/>
      <c r="E125" s="2670"/>
      <c r="F125" s="2670"/>
      <c r="G125" s="2670"/>
      <c r="H125" s="635"/>
    </row>
    <row r="126" spans="1:10" s="197" customFormat="1" hidden="1">
      <c r="A126" s="1718"/>
      <c r="B126" s="1721" t="s">
        <v>550</v>
      </c>
      <c r="C126" s="1718"/>
      <c r="D126" s="1721" t="s">
        <v>1034</v>
      </c>
      <c r="E126" s="1721" t="s">
        <v>936</v>
      </c>
      <c r="F126" s="1722" t="s">
        <v>937</v>
      </c>
      <c r="G126" s="1721" t="s">
        <v>1256</v>
      </c>
      <c r="H126" s="635"/>
    </row>
    <row r="127" spans="1:10" s="197" customFormat="1" hidden="1">
      <c r="A127" s="1718"/>
      <c r="B127" s="1721" t="s">
        <v>551</v>
      </c>
      <c r="C127" s="1718"/>
      <c r="D127" s="1718"/>
      <c r="E127" s="1718"/>
      <c r="F127" s="1722"/>
      <c r="G127" s="1718"/>
      <c r="H127" s="635"/>
    </row>
    <row r="128" spans="1:10" s="197" customFormat="1" ht="51.6" hidden="1">
      <c r="A128" s="1718"/>
      <c r="B128" s="1754" t="s">
        <v>1694</v>
      </c>
      <c r="C128" s="1737" t="s">
        <v>1053</v>
      </c>
      <c r="D128" s="1754" t="s">
        <v>452</v>
      </c>
      <c r="E128" s="1755">
        <v>249</v>
      </c>
      <c r="F128" s="1727">
        <v>1</v>
      </c>
      <c r="G128" s="1756">
        <f>ROUND(E128*F128,2)</f>
        <v>249</v>
      </c>
      <c r="H128" s="635"/>
    </row>
    <row r="129" spans="1:10" s="197" customFormat="1" hidden="1">
      <c r="A129" s="1718"/>
      <c r="B129" s="1718"/>
      <c r="C129" s="1721" t="s">
        <v>322</v>
      </c>
      <c r="D129" s="1757"/>
      <c r="E129" s="1755">
        <f>G128</f>
        <v>249</v>
      </c>
      <c r="F129" s="1755">
        <f>'Lead- Input sheet '!Q32</f>
        <v>0</v>
      </c>
      <c r="G129" s="1756">
        <f>ROUND(E129*F129,2)</f>
        <v>0</v>
      </c>
      <c r="H129" s="635"/>
    </row>
    <row r="130" spans="1:10" s="415" customFormat="1" hidden="1">
      <c r="A130" s="1718"/>
      <c r="B130" s="1718"/>
      <c r="C130" s="1721" t="s">
        <v>552</v>
      </c>
      <c r="D130" s="1718"/>
      <c r="E130" s="1729"/>
      <c r="F130" s="1731" t="s">
        <v>1486</v>
      </c>
      <c r="G130" s="1759">
        <f>SUM(G128:G129)</f>
        <v>249</v>
      </c>
      <c r="H130" s="636"/>
      <c r="J130" s="414"/>
    </row>
    <row r="131" spans="1:10" s="197" customFormat="1" ht="51.6" hidden="1">
      <c r="A131" s="1718"/>
      <c r="B131" s="1754" t="s">
        <v>1695</v>
      </c>
      <c r="C131" s="1737" t="s">
        <v>1448</v>
      </c>
      <c r="D131" s="1754" t="s">
        <v>452</v>
      </c>
      <c r="E131" s="1755">
        <v>326</v>
      </c>
      <c r="F131" s="1727">
        <v>1</v>
      </c>
      <c r="G131" s="1756">
        <f>ROUND(E131*F131,2)</f>
        <v>326</v>
      </c>
      <c r="H131" s="635"/>
    </row>
    <row r="132" spans="1:10" s="197" customFormat="1" hidden="1">
      <c r="A132" s="1718"/>
      <c r="B132" s="1718"/>
      <c r="C132" s="1721" t="s">
        <v>322</v>
      </c>
      <c r="D132" s="1757"/>
      <c r="E132" s="1755">
        <f>G131</f>
        <v>326</v>
      </c>
      <c r="F132" s="1755">
        <f>'Lead- Input sheet '!Q32</f>
        <v>0</v>
      </c>
      <c r="G132" s="1756">
        <f>ROUND(E132*F132,2)</f>
        <v>0</v>
      </c>
      <c r="H132" s="635"/>
    </row>
    <row r="133" spans="1:10" s="415" customFormat="1" hidden="1">
      <c r="A133" s="1718"/>
      <c r="B133" s="1718"/>
      <c r="C133" s="1721" t="s">
        <v>552</v>
      </c>
      <c r="D133" s="1718"/>
      <c r="E133" s="1729"/>
      <c r="F133" s="1731" t="s">
        <v>1486</v>
      </c>
      <c r="G133" s="1759">
        <f>SUM(G131:G132)</f>
        <v>326</v>
      </c>
      <c r="H133" s="636"/>
      <c r="J133" s="414"/>
    </row>
    <row r="134" spans="1:10" s="197" customFormat="1" ht="51.6" hidden="1">
      <c r="A134" s="1718"/>
      <c r="B134" s="1754" t="s">
        <v>1696</v>
      </c>
      <c r="C134" s="1737" t="s">
        <v>1449</v>
      </c>
      <c r="D134" s="1754" t="s">
        <v>452</v>
      </c>
      <c r="E134" s="1755">
        <v>455</v>
      </c>
      <c r="F134" s="1727">
        <v>1</v>
      </c>
      <c r="G134" s="1756">
        <f>ROUND(E134*F134,2)</f>
        <v>455</v>
      </c>
      <c r="H134" s="635"/>
    </row>
    <row r="135" spans="1:10" s="197" customFormat="1" hidden="1">
      <c r="A135" s="1718"/>
      <c r="B135" s="1718"/>
      <c r="C135" s="1721" t="s">
        <v>322</v>
      </c>
      <c r="D135" s="1757"/>
      <c r="E135" s="1755">
        <f>G134</f>
        <v>455</v>
      </c>
      <c r="F135" s="1755">
        <f>'Lead- Input sheet '!Q32</f>
        <v>0</v>
      </c>
      <c r="G135" s="1756">
        <f>ROUND(E135*F135,2)</f>
        <v>0</v>
      </c>
      <c r="H135" s="635"/>
    </row>
    <row r="136" spans="1:10" s="415" customFormat="1" hidden="1">
      <c r="A136" s="1718"/>
      <c r="B136" s="1718"/>
      <c r="C136" s="1721" t="s">
        <v>552</v>
      </c>
      <c r="D136" s="1718"/>
      <c r="E136" s="1729"/>
      <c r="F136" s="1731" t="s">
        <v>1486</v>
      </c>
      <c r="G136" s="1759">
        <f>SUM(G134:G135)</f>
        <v>455</v>
      </c>
      <c r="H136" s="636"/>
      <c r="J136" s="414"/>
    </row>
    <row r="137" spans="1:10" ht="51.6" hidden="1">
      <c r="A137" s="1718"/>
      <c r="B137" s="1754" t="s">
        <v>1697</v>
      </c>
      <c r="C137" s="1737" t="s">
        <v>849</v>
      </c>
      <c r="D137" s="1754" t="s">
        <v>452</v>
      </c>
      <c r="E137" s="1755">
        <v>84</v>
      </c>
      <c r="F137" s="1727">
        <v>1</v>
      </c>
      <c r="G137" s="1756">
        <f>ROUND(E137*F137,2)</f>
        <v>84</v>
      </c>
      <c r="H137" s="635"/>
    </row>
    <row r="138" spans="1:10" s="197" customFormat="1" hidden="1">
      <c r="A138" s="1718"/>
      <c r="B138" s="1718"/>
      <c r="C138" s="1721" t="s">
        <v>322</v>
      </c>
      <c r="D138" s="1757"/>
      <c r="E138" s="1755">
        <f>G137</f>
        <v>84</v>
      </c>
      <c r="F138" s="1755">
        <f>'Lead- Input sheet '!Q32</f>
        <v>0</v>
      </c>
      <c r="G138" s="1756">
        <f>ROUND(E138*F138,2)</f>
        <v>0</v>
      </c>
      <c r="H138" s="635"/>
    </row>
    <row r="139" spans="1:10" s="197" customFormat="1" hidden="1">
      <c r="A139" s="1718"/>
      <c r="B139" s="1718"/>
      <c r="C139" s="1721" t="s">
        <v>323</v>
      </c>
      <c r="D139" s="1757"/>
      <c r="E139" s="1755"/>
      <c r="F139" s="1727">
        <v>0</v>
      </c>
      <c r="G139" s="1756">
        <f>ROUND(E139*F139,2)</f>
        <v>0</v>
      </c>
      <c r="H139" s="635"/>
    </row>
    <row r="140" spans="1:10" s="415" customFormat="1" hidden="1">
      <c r="A140" s="1718"/>
      <c r="B140" s="1718"/>
      <c r="C140" s="1721" t="s">
        <v>552</v>
      </c>
      <c r="D140" s="1757"/>
      <c r="E140" s="1755"/>
      <c r="F140" s="1731" t="s">
        <v>1486</v>
      </c>
      <c r="G140" s="1758">
        <f>SUM(G137:G139)</f>
        <v>84</v>
      </c>
      <c r="H140" s="636"/>
      <c r="J140" s="414"/>
    </row>
    <row r="141" spans="1:10" ht="51.6" hidden="1">
      <c r="A141" s="1718"/>
      <c r="B141" s="1754" t="s">
        <v>1698</v>
      </c>
      <c r="C141" s="1737" t="s">
        <v>850</v>
      </c>
      <c r="D141" s="1754" t="s">
        <v>452</v>
      </c>
      <c r="E141" s="1755">
        <v>47</v>
      </c>
      <c r="F141" s="1727">
        <v>1</v>
      </c>
      <c r="G141" s="1756">
        <f>ROUND(E141*F141,2)</f>
        <v>47</v>
      </c>
      <c r="H141" s="635"/>
    </row>
    <row r="142" spans="1:10" s="197" customFormat="1" hidden="1">
      <c r="A142" s="1718"/>
      <c r="B142" s="1718"/>
      <c r="C142" s="1721" t="s">
        <v>322</v>
      </c>
      <c r="D142" s="1757"/>
      <c r="E142" s="1755">
        <f>G141</f>
        <v>47</v>
      </c>
      <c r="F142" s="1755">
        <f>'Lead- Input sheet '!Q32</f>
        <v>0</v>
      </c>
      <c r="G142" s="1756">
        <f>ROUND(E142*F142,2)</f>
        <v>0</v>
      </c>
      <c r="H142" s="635"/>
    </row>
    <row r="143" spans="1:10" s="197" customFormat="1" hidden="1">
      <c r="A143" s="1718"/>
      <c r="B143" s="1718"/>
      <c r="C143" s="1721" t="s">
        <v>323</v>
      </c>
      <c r="D143" s="1757"/>
      <c r="E143" s="1755"/>
      <c r="F143" s="1727">
        <v>0</v>
      </c>
      <c r="G143" s="1756">
        <f>ROUND(E143*F143,2)</f>
        <v>0</v>
      </c>
      <c r="H143" s="635"/>
    </row>
    <row r="144" spans="1:10" s="415" customFormat="1" hidden="1">
      <c r="A144" s="1718"/>
      <c r="B144" s="1718"/>
      <c r="C144" s="1721" t="s">
        <v>552</v>
      </c>
      <c r="D144" s="1757"/>
      <c r="E144" s="1755"/>
      <c r="F144" s="1731" t="s">
        <v>1486</v>
      </c>
      <c r="G144" s="1758">
        <f>SUM(G141:G143)</f>
        <v>47</v>
      </c>
      <c r="H144" s="636"/>
      <c r="J144" s="414"/>
    </row>
    <row r="145" spans="1:10" ht="38.700000000000003">
      <c r="A145" s="1718"/>
      <c r="B145" s="1754" t="s">
        <v>1699</v>
      </c>
      <c r="C145" s="1737" t="s">
        <v>851</v>
      </c>
      <c r="D145" s="1754" t="s">
        <v>452</v>
      </c>
      <c r="E145" s="1755">
        <v>23</v>
      </c>
      <c r="F145" s="1727">
        <v>1</v>
      </c>
      <c r="G145" s="1756">
        <f>ROUND(E145*F145,2)</f>
        <v>23</v>
      </c>
      <c r="H145" s="635"/>
    </row>
    <row r="146" spans="1:10" s="197" customFormat="1">
      <c r="A146" s="1718"/>
      <c r="B146" s="1718"/>
      <c r="C146" s="1721" t="s">
        <v>322</v>
      </c>
      <c r="D146" s="1757"/>
      <c r="E146" s="1755">
        <f>G145</f>
        <v>23</v>
      </c>
      <c r="F146" s="1755">
        <f>'Lead- Input sheet '!Q32</f>
        <v>0</v>
      </c>
      <c r="G146" s="1756">
        <f>ROUND(E146*F146,2)</f>
        <v>0</v>
      </c>
      <c r="H146" s="635"/>
    </row>
    <row r="147" spans="1:10" s="197" customFormat="1">
      <c r="A147" s="1718"/>
      <c r="B147" s="1718"/>
      <c r="C147" s="1721" t="s">
        <v>323</v>
      </c>
      <c r="D147" s="1757"/>
      <c r="E147" s="1755"/>
      <c r="F147" s="1727">
        <v>0</v>
      </c>
      <c r="G147" s="1756">
        <f>ROUND(E147*F147,2)</f>
        <v>0</v>
      </c>
      <c r="H147" s="635"/>
    </row>
    <row r="148" spans="1:10" s="415" customFormat="1">
      <c r="A148" s="1718"/>
      <c r="B148" s="1718"/>
      <c r="C148" s="1721" t="s">
        <v>552</v>
      </c>
      <c r="D148" s="1718"/>
      <c r="E148" s="1729"/>
      <c r="F148" s="1731" t="s">
        <v>1486</v>
      </c>
      <c r="G148" s="1759">
        <f>SUM(G145:G147)</f>
        <v>23</v>
      </c>
      <c r="H148" s="636"/>
      <c r="J148" s="414"/>
    </row>
    <row r="149" spans="1:10" ht="181.5" customHeight="1">
      <c r="A149" s="1718"/>
      <c r="B149" s="1754" t="s">
        <v>1700</v>
      </c>
      <c r="C149" s="1760" t="s">
        <v>1922</v>
      </c>
      <c r="D149" s="1754" t="s">
        <v>856</v>
      </c>
      <c r="E149" s="1755">
        <v>2045</v>
      </c>
      <c r="F149" s="1727">
        <v>1</v>
      </c>
      <c r="G149" s="1756">
        <f>ROUND(E149*F149,2)</f>
        <v>2045</v>
      </c>
      <c r="H149" s="635"/>
    </row>
    <row r="150" spans="1:10" s="197" customFormat="1">
      <c r="A150" s="1718"/>
      <c r="B150" s="1718"/>
      <c r="C150" s="1721" t="s">
        <v>322</v>
      </c>
      <c r="D150" s="1757"/>
      <c r="E150" s="1755">
        <f>E149</f>
        <v>2045</v>
      </c>
      <c r="F150" s="1755">
        <f>'Lead- Input sheet '!Q32</f>
        <v>0</v>
      </c>
      <c r="G150" s="1756">
        <f>ROUND(E150*F150,2)</f>
        <v>0</v>
      </c>
      <c r="H150" s="635"/>
    </row>
    <row r="151" spans="1:10" s="197" customFormat="1">
      <c r="A151" s="1718"/>
      <c r="B151" s="1718"/>
      <c r="C151" s="1721" t="s">
        <v>323</v>
      </c>
      <c r="D151" s="1757"/>
      <c r="E151" s="1755"/>
      <c r="F151" s="1727">
        <v>0</v>
      </c>
      <c r="G151" s="1756">
        <f>ROUND(E151*F151,2)</f>
        <v>0</v>
      </c>
      <c r="H151" s="635"/>
    </row>
    <row r="152" spans="1:10" s="415" customFormat="1">
      <c r="A152" s="1718"/>
      <c r="B152" s="1718"/>
      <c r="C152" s="1721" t="s">
        <v>552</v>
      </c>
      <c r="D152" s="1718"/>
      <c r="E152" s="1729"/>
      <c r="F152" s="1731" t="s">
        <v>1486</v>
      </c>
      <c r="G152" s="1759">
        <f>SUM(G149:G151)</f>
        <v>2045</v>
      </c>
      <c r="H152" s="636"/>
      <c r="J152" s="414"/>
    </row>
    <row r="153" spans="1:10" ht="31.5" customHeight="1">
      <c r="A153" s="1718"/>
      <c r="B153" s="1754"/>
      <c r="C153" s="1760" t="s">
        <v>1980</v>
      </c>
      <c r="D153" s="1754" t="s">
        <v>452</v>
      </c>
      <c r="E153" s="1755">
        <v>155</v>
      </c>
      <c r="F153" s="1727">
        <v>1</v>
      </c>
      <c r="G153" s="1756">
        <f>ROUND(E153*F153,2)</f>
        <v>155</v>
      </c>
      <c r="H153" s="635"/>
    </row>
    <row r="154" spans="1:10" s="197" customFormat="1">
      <c r="A154" s="1718"/>
      <c r="B154" s="1718"/>
      <c r="C154" s="1721" t="s">
        <v>322</v>
      </c>
      <c r="D154" s="1757"/>
      <c r="E154" s="1755">
        <f>G153</f>
        <v>155</v>
      </c>
      <c r="F154" s="1755">
        <f>'Lead- Input sheet '!$Q$32</f>
        <v>0</v>
      </c>
      <c r="G154" s="1756">
        <f>ROUND(E154*F154,2)</f>
        <v>0</v>
      </c>
      <c r="H154" s="635"/>
    </row>
    <row r="155" spans="1:10" s="197" customFormat="1">
      <c r="A155" s="1718"/>
      <c r="B155" s="1718"/>
      <c r="C155" s="1721" t="s">
        <v>323</v>
      </c>
      <c r="D155" s="1757"/>
      <c r="E155" s="1755"/>
      <c r="F155" s="1727">
        <v>0</v>
      </c>
      <c r="G155" s="1756">
        <f>ROUND(E155*F155,2)</f>
        <v>0</v>
      </c>
      <c r="H155" s="635"/>
    </row>
    <row r="156" spans="1:10" s="415" customFormat="1">
      <c r="A156" s="1718"/>
      <c r="B156" s="1718"/>
      <c r="C156" s="1721" t="s">
        <v>552</v>
      </c>
      <c r="D156" s="1718"/>
      <c r="E156" s="1729"/>
      <c r="F156" s="1731" t="s">
        <v>1486</v>
      </c>
      <c r="G156" s="1759">
        <f>SUM(G153:G155)</f>
        <v>155</v>
      </c>
      <c r="H156" s="636"/>
      <c r="J156" s="414"/>
    </row>
    <row r="157" spans="1:10" ht="31.5" customHeight="1">
      <c r="A157" s="1718"/>
      <c r="B157" s="1754"/>
      <c r="C157" s="1760" t="s">
        <v>1981</v>
      </c>
      <c r="D157" s="1754" t="s">
        <v>452</v>
      </c>
      <c r="E157" s="1755">
        <v>178</v>
      </c>
      <c r="F157" s="1727">
        <v>1</v>
      </c>
      <c r="G157" s="1756">
        <f>ROUND(E157*F157,2)</f>
        <v>178</v>
      </c>
      <c r="H157" s="635"/>
    </row>
    <row r="158" spans="1:10" s="197" customFormat="1">
      <c r="A158" s="1718"/>
      <c r="B158" s="1718"/>
      <c r="C158" s="1721" t="s">
        <v>322</v>
      </c>
      <c r="D158" s="1757"/>
      <c r="E158" s="1755">
        <f>G157</f>
        <v>178</v>
      </c>
      <c r="F158" s="1755">
        <f>'Lead- Input sheet '!$Q$32</f>
        <v>0</v>
      </c>
      <c r="G158" s="1756">
        <f>ROUND(E158*F158,2)</f>
        <v>0</v>
      </c>
      <c r="H158" s="635"/>
    </row>
    <row r="159" spans="1:10" s="197" customFormat="1">
      <c r="A159" s="1718"/>
      <c r="B159" s="1718"/>
      <c r="C159" s="1721" t="s">
        <v>323</v>
      </c>
      <c r="D159" s="1757"/>
      <c r="E159" s="1755"/>
      <c r="F159" s="1727">
        <v>0</v>
      </c>
      <c r="G159" s="1756">
        <f>ROUND(E159*F159,2)</f>
        <v>0</v>
      </c>
      <c r="H159" s="635"/>
    </row>
    <row r="160" spans="1:10" s="415" customFormat="1">
      <c r="A160" s="1718"/>
      <c r="B160" s="1718"/>
      <c r="C160" s="1721" t="s">
        <v>552</v>
      </c>
      <c r="D160" s="1718"/>
      <c r="E160" s="1729"/>
      <c r="F160" s="1731" t="s">
        <v>1486</v>
      </c>
      <c r="G160" s="1759">
        <f>SUM(G157:G159)</f>
        <v>178</v>
      </c>
      <c r="H160" s="636"/>
      <c r="J160" s="414"/>
    </row>
    <row r="161" spans="1:10" ht="31.5" customHeight="1">
      <c r="A161" s="1718"/>
      <c r="B161" s="1754"/>
      <c r="C161" s="1760" t="s">
        <v>1982</v>
      </c>
      <c r="D161" s="1754" t="s">
        <v>452</v>
      </c>
      <c r="E161" s="1755">
        <v>235</v>
      </c>
      <c r="F161" s="1727">
        <v>1</v>
      </c>
      <c r="G161" s="1756">
        <f>ROUND(E161*F161,2)</f>
        <v>235</v>
      </c>
      <c r="H161" s="635"/>
    </row>
    <row r="162" spans="1:10" s="197" customFormat="1">
      <c r="A162" s="1718"/>
      <c r="B162" s="1718"/>
      <c r="C162" s="1721" t="s">
        <v>322</v>
      </c>
      <c r="D162" s="1757"/>
      <c r="E162" s="1755">
        <f>+E161</f>
        <v>235</v>
      </c>
      <c r="F162" s="1755">
        <f>'Lead- Input sheet '!$Q$32</f>
        <v>0</v>
      </c>
      <c r="G162" s="1756">
        <f>ROUND(E162*F162,2)</f>
        <v>0</v>
      </c>
      <c r="H162" s="635"/>
    </row>
    <row r="163" spans="1:10" s="197" customFormat="1">
      <c r="A163" s="1718"/>
      <c r="B163" s="1718"/>
      <c r="C163" s="1721" t="s">
        <v>323</v>
      </c>
      <c r="D163" s="1757"/>
      <c r="E163" s="1755"/>
      <c r="F163" s="1727">
        <v>0</v>
      </c>
      <c r="G163" s="1756">
        <f>ROUND(E163*F163,2)</f>
        <v>0</v>
      </c>
      <c r="H163" s="635"/>
    </row>
    <row r="164" spans="1:10" s="415" customFormat="1">
      <c r="A164" s="1718"/>
      <c r="B164" s="1718"/>
      <c r="C164" s="1721" t="s">
        <v>552</v>
      </c>
      <c r="D164" s="1718"/>
      <c r="E164" s="1729"/>
      <c r="F164" s="1731" t="s">
        <v>1486</v>
      </c>
      <c r="G164" s="1759">
        <f>SUM(G161:G163)</f>
        <v>235</v>
      </c>
      <c r="H164" s="636"/>
      <c r="J164" s="414"/>
    </row>
    <row r="165" spans="1:10" ht="31.5" customHeight="1">
      <c r="A165" s="1718"/>
      <c r="B165" s="1754"/>
      <c r="C165" s="1760" t="s">
        <v>1983</v>
      </c>
      <c r="D165" s="1754" t="s">
        <v>452</v>
      </c>
      <c r="E165" s="1755">
        <v>320</v>
      </c>
      <c r="F165" s="1727">
        <v>1</v>
      </c>
      <c r="G165" s="1756">
        <f>ROUND(E165*F165,2)</f>
        <v>320</v>
      </c>
      <c r="H165" s="635"/>
    </row>
    <row r="166" spans="1:10" s="197" customFormat="1">
      <c r="A166" s="1718"/>
      <c r="B166" s="1718"/>
      <c r="C166" s="1721" t="s">
        <v>322</v>
      </c>
      <c r="D166" s="1757"/>
      <c r="E166" s="1755">
        <f>G165</f>
        <v>320</v>
      </c>
      <c r="F166" s="1755">
        <f>'Lead- Input sheet '!$Q$32</f>
        <v>0</v>
      </c>
      <c r="G166" s="1756">
        <f>ROUND(E166*F166,2)</f>
        <v>0</v>
      </c>
      <c r="H166" s="635"/>
    </row>
    <row r="167" spans="1:10" s="197" customFormat="1">
      <c r="A167" s="1718"/>
      <c r="B167" s="1718"/>
      <c r="C167" s="1721" t="s">
        <v>323</v>
      </c>
      <c r="D167" s="1757"/>
      <c r="E167" s="1755"/>
      <c r="F167" s="1727">
        <v>0</v>
      </c>
      <c r="G167" s="1756">
        <f>ROUND(E167*F167,2)</f>
        <v>0</v>
      </c>
      <c r="H167" s="635"/>
    </row>
    <row r="168" spans="1:10" s="415" customFormat="1">
      <c r="A168" s="1718"/>
      <c r="B168" s="1718"/>
      <c r="C168" s="1721" t="s">
        <v>552</v>
      </c>
      <c r="D168" s="1718"/>
      <c r="E168" s="1729"/>
      <c r="F168" s="1731" t="s">
        <v>1486</v>
      </c>
      <c r="G168" s="1759">
        <f>SUM(G165:G167)</f>
        <v>320</v>
      </c>
      <c r="H168" s="636"/>
      <c r="J168" s="414"/>
    </row>
    <row r="169" spans="1:10">
      <c r="A169" s="1761"/>
      <c r="B169" s="1761"/>
      <c r="C169" s="1761"/>
      <c r="D169" s="1761"/>
      <c r="E169" s="1761"/>
      <c r="F169" s="1762"/>
      <c r="G169" s="1761"/>
      <c r="H169" s="635"/>
    </row>
    <row r="170" spans="1:10">
      <c r="A170" s="1761"/>
      <c r="B170" s="1761"/>
      <c r="C170" s="1761"/>
      <c r="D170" s="1761"/>
      <c r="E170" s="1761"/>
      <c r="F170" s="1762"/>
      <c r="G170" s="1761"/>
      <c r="H170" s="635"/>
    </row>
    <row r="171" spans="1:10">
      <c r="A171" s="1761"/>
      <c r="B171" s="1761"/>
      <c r="C171" s="1761"/>
      <c r="D171" s="1761"/>
      <c r="E171" s="1761"/>
      <c r="F171" s="1762"/>
      <c r="G171" s="1761"/>
      <c r="H171" s="635"/>
    </row>
    <row r="172" spans="1:10">
      <c r="A172" s="1761"/>
      <c r="B172" s="1761" t="str">
        <f>'Lead- Input sheet '!B44</f>
        <v xml:space="preserve">  Assistant Exc.Engineer  </v>
      </c>
      <c r="C172" s="1761"/>
      <c r="D172" s="1761" t="str">
        <f>'Lead- Input sheet '!H44</f>
        <v>Deputy Executive Engineer</v>
      </c>
      <c r="E172" s="1761"/>
      <c r="F172" s="1762"/>
      <c r="G172" s="1761"/>
      <c r="H172" s="635"/>
    </row>
    <row r="173" spans="1:10">
      <c r="A173" s="1761"/>
      <c r="B173" s="1761" t="str">
        <f>'Lead- Input sheet '!B45</f>
        <v>PR MPP Kalwakurthy</v>
      </c>
      <c r="C173" s="1761"/>
      <c r="D173" s="1761" t="str">
        <f>'Lead- Input sheet '!H45</f>
        <v>PR SD Kalwakurthy</v>
      </c>
      <c r="E173" s="1761"/>
      <c r="F173" s="1762"/>
      <c r="G173" s="1761"/>
      <c r="H173" s="635"/>
    </row>
    <row r="174" spans="1:10">
      <c r="A174" s="1761"/>
      <c r="B174" s="1761"/>
      <c r="C174" s="1761"/>
      <c r="D174" s="1761"/>
      <c r="E174" s="1761"/>
      <c r="F174" s="1762"/>
      <c r="G174" s="1761"/>
      <c r="H174" s="635"/>
    </row>
    <row r="175" spans="1:10">
      <c r="A175" s="638"/>
      <c r="B175" s="638"/>
      <c r="C175" s="638"/>
      <c r="D175" s="638"/>
      <c r="E175" s="638"/>
      <c r="F175" s="719"/>
      <c r="G175" s="638"/>
    </row>
    <row r="176" spans="1:10" s="500" customFormat="1" ht="11.1">
      <c r="A176" s="496"/>
      <c r="B176" s="634"/>
      <c r="C176" s="634"/>
      <c r="E176" s="634"/>
      <c r="F176" s="720"/>
    </row>
    <row r="177" spans="1:6" s="500" customFormat="1" ht="11.1">
      <c r="A177" s="496"/>
      <c r="B177" s="634"/>
      <c r="C177" s="634"/>
      <c r="E177" s="634"/>
      <c r="F177" s="720"/>
    </row>
  </sheetData>
  <mergeCells count="21">
    <mergeCell ref="B125:G125"/>
    <mergeCell ref="B80:G80"/>
    <mergeCell ref="H98:I98"/>
    <mergeCell ref="B84:G84"/>
    <mergeCell ref="B118:G118"/>
    <mergeCell ref="B98:G98"/>
    <mergeCell ref="B111:G111"/>
    <mergeCell ref="A1:G1"/>
    <mergeCell ref="B2:G2"/>
    <mergeCell ref="B56:G56"/>
    <mergeCell ref="B45:G45"/>
    <mergeCell ref="B51:G51"/>
    <mergeCell ref="B22:G22"/>
    <mergeCell ref="B27:G27"/>
    <mergeCell ref="B40:G40"/>
    <mergeCell ref="B3:G3"/>
    <mergeCell ref="B76:G76"/>
    <mergeCell ref="B16:G16"/>
    <mergeCell ref="B68:G68"/>
    <mergeCell ref="B10:G10"/>
    <mergeCell ref="B72:G72"/>
  </mergeCells>
  <pageMargins left="0.74803149606299213" right="0.19685039370078741" top="0.51181102362204722" bottom="0.51181102362204722" header="0.51181102362204722" footer="0.51181102362204722"/>
  <pageSetup paperSize="9" scale="99" firstPageNumber="30" orientation="portrait" useFirstPageNumber="1"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H129"/>
  <sheetViews>
    <sheetView view="pageBreakPreview" zoomScale="115" zoomScaleNormal="85" zoomScaleSheetLayoutView="115" workbookViewId="0">
      <selection activeCell="A78" sqref="A78:XFD92"/>
    </sheetView>
  </sheetViews>
  <sheetFormatPr defaultColWidth="9.109375" defaultRowHeight="12.3"/>
  <cols>
    <col min="1" max="1" width="4" style="1248" customWidth="1"/>
    <col min="2" max="2" width="9.88671875" style="1248" customWidth="1"/>
    <col min="3" max="3" width="6" style="1248" customWidth="1"/>
    <col min="4" max="4" width="43.88671875" style="1248" customWidth="1"/>
    <col min="5" max="5" width="12.33203125" style="1248" customWidth="1"/>
    <col min="6" max="6" width="9.109375" style="1248"/>
    <col min="7" max="7" width="11.109375" style="1248" customWidth="1"/>
    <col min="8" max="8" width="11.6640625" style="1248" customWidth="1"/>
    <col min="9" max="16384" width="9.109375" style="1248"/>
  </cols>
  <sheetData>
    <row r="1" spans="1:8" ht="13.8">
      <c r="A1" s="1763"/>
      <c r="B1" s="1763"/>
      <c r="C1" s="1763"/>
      <c r="D1" s="1764" t="s">
        <v>2884</v>
      </c>
      <c r="E1" s="1763"/>
      <c r="F1" s="1765"/>
      <c r="G1" s="1765"/>
      <c r="H1" s="1765"/>
    </row>
    <row r="2" spans="1:8" ht="82.8" hidden="1">
      <c r="A2" s="1766">
        <v>1</v>
      </c>
      <c r="B2" s="2678" t="s">
        <v>2885</v>
      </c>
      <c r="C2" s="2679"/>
      <c r="D2" s="1767" t="s">
        <v>2886</v>
      </c>
      <c r="E2" s="1766"/>
      <c r="F2" s="1768"/>
      <c r="G2" s="1768"/>
      <c r="H2" s="1768"/>
    </row>
    <row r="3" spans="1:8" ht="13.8" hidden="1">
      <c r="A3" s="1763"/>
      <c r="B3" s="1769" t="s">
        <v>2953</v>
      </c>
      <c r="C3" s="1763"/>
      <c r="D3" s="1770" t="s">
        <v>2887</v>
      </c>
      <c r="E3" s="1763" t="s">
        <v>856</v>
      </c>
      <c r="F3" s="1765">
        <v>1</v>
      </c>
      <c r="G3" s="1765">
        <v>2101</v>
      </c>
      <c r="H3" s="1765">
        <f>ROUND(F3*G3,2)</f>
        <v>2101</v>
      </c>
    </row>
    <row r="4" spans="1:8" ht="13.8" hidden="1">
      <c r="A4" s="1763"/>
      <c r="B4" s="1769" t="s">
        <v>2888</v>
      </c>
      <c r="C4" s="1763"/>
      <c r="D4" s="1770" t="s">
        <v>2889</v>
      </c>
      <c r="E4" s="1763" t="s">
        <v>856</v>
      </c>
      <c r="F4" s="1765">
        <v>1</v>
      </c>
      <c r="G4" s="1765">
        <v>527</v>
      </c>
      <c r="H4" s="1765">
        <f>ROUND(F4*G4,2)</f>
        <v>527</v>
      </c>
    </row>
    <row r="5" spans="1:8" ht="13.8" hidden="1">
      <c r="A5" s="1763"/>
      <c r="B5" s="1763"/>
      <c r="C5" s="1763"/>
      <c r="D5" s="1771" t="s">
        <v>3171</v>
      </c>
      <c r="E5" s="1763"/>
      <c r="F5" s="1328">
        <v>0</v>
      </c>
      <c r="G5" s="1765">
        <f>H3+H4</f>
        <v>2628</v>
      </c>
      <c r="H5" s="1765">
        <f>ROUND(F5*G5,2)</f>
        <v>0</v>
      </c>
    </row>
    <row r="6" spans="1:8" ht="13.8" hidden="1">
      <c r="A6" s="1772"/>
      <c r="B6" s="1772"/>
      <c r="C6" s="1772"/>
      <c r="D6" s="1773" t="s">
        <v>1001</v>
      </c>
      <c r="E6" s="1772"/>
      <c r="F6" s="1774"/>
      <c r="G6" s="1774"/>
      <c r="H6" s="1774">
        <f>SUM(H3:H5)</f>
        <v>2628</v>
      </c>
    </row>
    <row r="7" spans="1:8" ht="13.8" hidden="1">
      <c r="A7" s="1772"/>
      <c r="B7" s="1772"/>
      <c r="C7" s="1772"/>
      <c r="D7" s="1773"/>
      <c r="E7" s="1772"/>
      <c r="F7" s="1774"/>
      <c r="G7" s="1774"/>
      <c r="H7" s="1774"/>
    </row>
    <row r="8" spans="1:8" ht="124.2" hidden="1">
      <c r="A8" s="1766">
        <f>+A2+1</f>
        <v>2</v>
      </c>
      <c r="B8" s="2680" t="s">
        <v>2885</v>
      </c>
      <c r="C8" s="2681"/>
      <c r="D8" s="1767" t="s">
        <v>2890</v>
      </c>
      <c r="E8" s="1766"/>
      <c r="F8" s="1768"/>
      <c r="G8" s="1768"/>
      <c r="H8" s="1768"/>
    </row>
    <row r="9" spans="1:8" ht="13.8" hidden="1">
      <c r="A9" s="1763"/>
      <c r="B9" s="1769" t="s">
        <v>2891</v>
      </c>
      <c r="C9" s="1769"/>
      <c r="D9" s="1767" t="s">
        <v>2892</v>
      </c>
      <c r="E9" s="1763" t="s">
        <v>856</v>
      </c>
      <c r="F9" s="1765">
        <v>1</v>
      </c>
      <c r="G9" s="1765">
        <v>10911</v>
      </c>
      <c r="H9" s="1765">
        <f>ROUND(F9*G9,2)</f>
        <v>10911</v>
      </c>
    </row>
    <row r="10" spans="1:8" ht="13.8" hidden="1">
      <c r="A10" s="1763"/>
      <c r="B10" s="1769" t="s">
        <v>2893</v>
      </c>
      <c r="C10" s="1769"/>
      <c r="D10" s="1767" t="s">
        <v>1160</v>
      </c>
      <c r="E10" s="1763" t="s">
        <v>856</v>
      </c>
      <c r="F10" s="1765">
        <v>1</v>
      </c>
      <c r="G10" s="1765">
        <v>370</v>
      </c>
      <c r="H10" s="1765">
        <f>ROUND(F10*G10,2)</f>
        <v>370</v>
      </c>
    </row>
    <row r="11" spans="1:8" ht="13.8" hidden="1">
      <c r="A11" s="1763"/>
      <c r="B11" s="1763"/>
      <c r="C11" s="1763"/>
      <c r="D11" s="1771" t="s">
        <v>3171</v>
      </c>
      <c r="E11" s="1763"/>
      <c r="F11" s="1328">
        <v>0</v>
      </c>
      <c r="G11" s="1765">
        <f>H9+H10</f>
        <v>11281</v>
      </c>
      <c r="H11" s="1765">
        <f>ROUND(F11*G11,2)</f>
        <v>0</v>
      </c>
    </row>
    <row r="12" spans="1:8" ht="13.8" hidden="1">
      <c r="A12" s="1772"/>
      <c r="B12" s="1772"/>
      <c r="C12" s="1772"/>
      <c r="D12" s="1773" t="s">
        <v>1001</v>
      </c>
      <c r="E12" s="1772"/>
      <c r="F12" s="1774"/>
      <c r="G12" s="1774"/>
      <c r="H12" s="1774">
        <f>SUM(H9:H11)</f>
        <v>11281</v>
      </c>
    </row>
    <row r="13" spans="1:8" ht="13.8" hidden="1">
      <c r="A13" s="1772"/>
      <c r="B13" s="1772"/>
      <c r="C13" s="1772"/>
      <c r="D13" s="1773"/>
      <c r="E13" s="1772"/>
      <c r="F13" s="1774"/>
      <c r="G13" s="1774"/>
      <c r="H13" s="1774"/>
    </row>
    <row r="14" spans="1:8" ht="151.80000000000001">
      <c r="A14" s="1766">
        <f>+A8+1</f>
        <v>3</v>
      </c>
      <c r="B14" s="2680" t="s">
        <v>2885</v>
      </c>
      <c r="C14" s="2681"/>
      <c r="D14" s="1767" t="s">
        <v>2894</v>
      </c>
      <c r="E14" s="1766"/>
      <c r="F14" s="1768"/>
      <c r="G14" s="1768"/>
      <c r="H14" s="1768"/>
    </row>
    <row r="15" spans="1:8" ht="13.8">
      <c r="A15" s="1763"/>
      <c r="B15" s="1769" t="s">
        <v>2895</v>
      </c>
      <c r="C15" s="1769"/>
      <c r="D15" s="1767" t="s">
        <v>2896</v>
      </c>
      <c r="E15" s="1763" t="s">
        <v>856</v>
      </c>
      <c r="F15" s="1765">
        <v>1</v>
      </c>
      <c r="G15" s="1765">
        <v>1455</v>
      </c>
      <c r="H15" s="1765">
        <f>ROUND(F15*G15,2)</f>
        <v>1455</v>
      </c>
    </row>
    <row r="16" spans="1:8" ht="44.25" customHeight="1">
      <c r="A16" s="1763"/>
      <c r="B16" s="1763" t="s">
        <v>2897</v>
      </c>
      <c r="C16" s="1769"/>
      <c r="D16" s="1767" t="s">
        <v>1160</v>
      </c>
      <c r="E16" s="1763" t="s">
        <v>856</v>
      </c>
      <c r="F16" s="1765">
        <v>1</v>
      </c>
      <c r="G16" s="1765">
        <v>527</v>
      </c>
      <c r="H16" s="1765">
        <f>ROUND(F16*G16,2)</f>
        <v>527</v>
      </c>
    </row>
    <row r="17" spans="1:8" ht="13.8">
      <c r="A17" s="1763"/>
      <c r="B17" s="1763"/>
      <c r="C17" s="1763"/>
      <c r="D17" s="1771" t="s">
        <v>3171</v>
      </c>
      <c r="E17" s="1763"/>
      <c r="F17" s="1328">
        <v>0</v>
      </c>
      <c r="G17" s="1765">
        <f>H15+H16</f>
        <v>1982</v>
      </c>
      <c r="H17" s="1765">
        <f>ROUND(F17*G17,2)</f>
        <v>0</v>
      </c>
    </row>
    <row r="18" spans="1:8" ht="13.8">
      <c r="A18" s="1772"/>
      <c r="B18" s="1772"/>
      <c r="C18" s="1772"/>
      <c r="D18" s="1773" t="s">
        <v>1001</v>
      </c>
      <c r="E18" s="1772"/>
      <c r="F18" s="1774"/>
      <c r="G18" s="1774"/>
      <c r="H18" s="1774">
        <f>SUM(H15:H17)</f>
        <v>1982</v>
      </c>
    </row>
    <row r="19" spans="1:8" ht="13.8">
      <c r="A19" s="1772"/>
      <c r="B19" s="1772"/>
      <c r="C19" s="1772"/>
      <c r="D19" s="1773"/>
      <c r="E19" s="1772"/>
      <c r="F19" s="1774"/>
      <c r="G19" s="1774"/>
      <c r="H19" s="1774"/>
    </row>
    <row r="20" spans="1:8" ht="41.4" hidden="1">
      <c r="A20" s="1766">
        <f>+A14+1</f>
        <v>4</v>
      </c>
      <c r="B20" s="2680" t="s">
        <v>2885</v>
      </c>
      <c r="C20" s="2681"/>
      <c r="D20" s="1767" t="s">
        <v>2898</v>
      </c>
      <c r="E20" s="1766"/>
      <c r="F20" s="1768"/>
      <c r="G20" s="1768"/>
      <c r="H20" s="1768"/>
    </row>
    <row r="21" spans="1:8" ht="13.8" hidden="1">
      <c r="A21" s="1763"/>
      <c r="B21" s="1769" t="s">
        <v>2899</v>
      </c>
      <c r="C21" s="1769"/>
      <c r="D21" s="1767" t="s">
        <v>2900</v>
      </c>
      <c r="E21" s="1763" t="s">
        <v>856</v>
      </c>
      <c r="F21" s="1765">
        <v>1</v>
      </c>
      <c r="G21" s="1765">
        <v>1532</v>
      </c>
      <c r="H21" s="1765">
        <f>ROUND(F21*G21,2)</f>
        <v>1532</v>
      </c>
    </row>
    <row r="22" spans="1:8" ht="41.4" hidden="1">
      <c r="A22" s="1763"/>
      <c r="B22" s="1763" t="s">
        <v>2901</v>
      </c>
      <c r="C22" s="1769"/>
      <c r="D22" s="1767" t="s">
        <v>1160</v>
      </c>
      <c r="E22" s="1763" t="s">
        <v>856</v>
      </c>
      <c r="F22" s="1765">
        <v>1</v>
      </c>
      <c r="G22" s="1765">
        <v>192</v>
      </c>
      <c r="H22" s="1765">
        <f>ROUND(F22*G22,2)</f>
        <v>192</v>
      </c>
    </row>
    <row r="23" spans="1:8" ht="13.8" hidden="1">
      <c r="A23" s="1763"/>
      <c r="B23" s="1763"/>
      <c r="C23" s="1763"/>
      <c r="D23" s="1771" t="s">
        <v>3171</v>
      </c>
      <c r="E23" s="1763"/>
      <c r="F23" s="1328">
        <v>0</v>
      </c>
      <c r="G23" s="1765">
        <f>H21+H22</f>
        <v>1724</v>
      </c>
      <c r="H23" s="1765">
        <f>ROUND(F23*G23,2)</f>
        <v>0</v>
      </c>
    </row>
    <row r="24" spans="1:8" ht="13.8" hidden="1">
      <c r="A24" s="1772"/>
      <c r="B24" s="1772"/>
      <c r="C24" s="1772"/>
      <c r="D24" s="1773" t="s">
        <v>1001</v>
      </c>
      <c r="E24" s="1772"/>
      <c r="F24" s="1774"/>
      <c r="G24" s="1774"/>
      <c r="H24" s="1774">
        <f>SUM(H21:H23)</f>
        <v>1724</v>
      </c>
    </row>
    <row r="25" spans="1:8" ht="13.8" hidden="1">
      <c r="A25" s="1772"/>
      <c r="B25" s="1772"/>
      <c r="C25" s="1772"/>
      <c r="D25" s="1773"/>
      <c r="E25" s="1772"/>
      <c r="F25" s="1774"/>
      <c r="G25" s="1774"/>
      <c r="H25" s="1774"/>
    </row>
    <row r="26" spans="1:8" ht="96.6" hidden="1">
      <c r="A26" s="1766">
        <f>+A20+1</f>
        <v>5</v>
      </c>
      <c r="B26" s="2680" t="s">
        <v>2885</v>
      </c>
      <c r="C26" s="2681"/>
      <c r="D26" s="1767" t="s">
        <v>2902</v>
      </c>
      <c r="E26" s="1766"/>
      <c r="F26" s="1768"/>
      <c r="G26" s="1768"/>
      <c r="H26" s="1768"/>
    </row>
    <row r="27" spans="1:8" ht="13.8" hidden="1">
      <c r="A27" s="1763"/>
      <c r="B27" s="1769" t="s">
        <v>2903</v>
      </c>
      <c r="C27" s="1769"/>
      <c r="D27" s="1767" t="s">
        <v>2904</v>
      </c>
      <c r="E27" s="1763" t="s">
        <v>856</v>
      </c>
      <c r="F27" s="1765">
        <v>1</v>
      </c>
      <c r="G27" s="1765">
        <v>3349</v>
      </c>
      <c r="H27" s="1765">
        <f>ROUND(F27*G27,2)</f>
        <v>3349</v>
      </c>
    </row>
    <row r="28" spans="1:8" ht="41.4" hidden="1">
      <c r="A28" s="1763"/>
      <c r="B28" s="1763" t="s">
        <v>2905</v>
      </c>
      <c r="C28" s="1769"/>
      <c r="D28" s="1767" t="s">
        <v>1160</v>
      </c>
      <c r="E28" s="1763" t="s">
        <v>856</v>
      </c>
      <c r="F28" s="1765">
        <v>1</v>
      </c>
      <c r="G28" s="1765">
        <v>211</v>
      </c>
      <c r="H28" s="1765">
        <f>ROUND(F28*G28,2)</f>
        <v>211</v>
      </c>
    </row>
    <row r="29" spans="1:8" ht="13.8" hidden="1">
      <c r="A29" s="1763"/>
      <c r="B29" s="1763"/>
      <c r="C29" s="1763"/>
      <c r="D29" s="1771" t="s">
        <v>3171</v>
      </c>
      <c r="E29" s="1763"/>
      <c r="F29" s="1328">
        <v>0</v>
      </c>
      <c r="G29" s="1765">
        <f>H27+H28</f>
        <v>3560</v>
      </c>
      <c r="H29" s="1765">
        <f>ROUND(F29*G29,2)</f>
        <v>0</v>
      </c>
    </row>
    <row r="30" spans="1:8" ht="13.8" hidden="1">
      <c r="A30" s="1772"/>
      <c r="B30" s="1772"/>
      <c r="C30" s="1772"/>
      <c r="D30" s="1773" t="s">
        <v>1001</v>
      </c>
      <c r="E30" s="1772"/>
      <c r="F30" s="1774"/>
      <c r="G30" s="1774"/>
      <c r="H30" s="1774">
        <f>SUM(H27:H29)</f>
        <v>3560</v>
      </c>
    </row>
    <row r="31" spans="1:8" ht="13.8" hidden="1">
      <c r="A31" s="1772"/>
      <c r="B31" s="1772"/>
      <c r="C31" s="1772"/>
      <c r="D31" s="1773"/>
      <c r="E31" s="1772"/>
      <c r="F31" s="1774"/>
      <c r="G31" s="1774"/>
      <c r="H31" s="1774"/>
    </row>
    <row r="32" spans="1:8" ht="182.25" customHeight="1">
      <c r="A32" s="1766">
        <f>+A26+1</f>
        <v>6</v>
      </c>
      <c r="B32" s="2678" t="s">
        <v>2885</v>
      </c>
      <c r="C32" s="2679"/>
      <c r="D32" s="1767" t="s">
        <v>2906</v>
      </c>
      <c r="E32" s="1766"/>
      <c r="F32" s="1768"/>
      <c r="G32" s="1768"/>
      <c r="H32" s="1768"/>
    </row>
    <row r="33" spans="1:8" ht="13.8">
      <c r="A33" s="1763"/>
      <c r="B33" s="1769" t="s">
        <v>2907</v>
      </c>
      <c r="C33" s="1763"/>
      <c r="D33" s="1770" t="s">
        <v>2908</v>
      </c>
      <c r="E33" s="1763" t="s">
        <v>495</v>
      </c>
      <c r="F33" s="1765">
        <v>1</v>
      </c>
      <c r="G33" s="1765">
        <v>250</v>
      </c>
      <c r="H33" s="1765">
        <f>ROUND(F33*G33,2)</f>
        <v>250</v>
      </c>
    </row>
    <row r="34" spans="1:8" ht="13.8">
      <c r="A34" s="1763"/>
      <c r="B34" s="1769" t="s">
        <v>2909</v>
      </c>
      <c r="C34" s="1763"/>
      <c r="D34" s="1770" t="s">
        <v>2910</v>
      </c>
      <c r="E34" s="1763" t="s">
        <v>495</v>
      </c>
      <c r="F34" s="1765">
        <v>1</v>
      </c>
      <c r="G34" s="1765">
        <v>104</v>
      </c>
      <c r="H34" s="1765">
        <f>ROUND(F34*G34,2)</f>
        <v>104</v>
      </c>
    </row>
    <row r="35" spans="1:8" ht="13.8">
      <c r="A35" s="1763"/>
      <c r="B35" s="1763"/>
      <c r="C35" s="1763"/>
      <c r="D35" s="1771" t="s">
        <v>3171</v>
      </c>
      <c r="E35" s="1763"/>
      <c r="F35" s="1328">
        <v>0</v>
      </c>
      <c r="G35" s="1765">
        <f>H33+H34</f>
        <v>354</v>
      </c>
      <c r="H35" s="1765">
        <f>ROUND(F35*G35,2)</f>
        <v>0</v>
      </c>
    </row>
    <row r="36" spans="1:8" ht="13.8">
      <c r="A36" s="1772"/>
      <c r="B36" s="1772"/>
      <c r="C36" s="1772"/>
      <c r="D36" s="1773" t="s">
        <v>2911</v>
      </c>
      <c r="E36" s="1772"/>
      <c r="F36" s="1774"/>
      <c r="G36" s="1774"/>
      <c r="H36" s="1774">
        <f>SUM(H33:H35)</f>
        <v>354</v>
      </c>
    </row>
    <row r="37" spans="1:8" ht="13.8">
      <c r="A37" s="1772"/>
      <c r="B37" s="1772"/>
      <c r="C37" s="1772"/>
      <c r="D37" s="1773"/>
      <c r="E37" s="1772"/>
      <c r="F37" s="1774"/>
      <c r="G37" s="1774"/>
      <c r="H37" s="1774"/>
    </row>
    <row r="38" spans="1:8" ht="151.80000000000001">
      <c r="A38" s="1766">
        <f>+A32+1</f>
        <v>7</v>
      </c>
      <c r="B38" s="2678" t="s">
        <v>2885</v>
      </c>
      <c r="C38" s="2679"/>
      <c r="D38" s="1767" t="s">
        <v>2912</v>
      </c>
      <c r="E38" s="1766"/>
      <c r="F38" s="1768"/>
      <c r="G38" s="1768"/>
      <c r="H38" s="1768"/>
    </row>
    <row r="39" spans="1:8" ht="13.8">
      <c r="A39" s="1763"/>
      <c r="B39" s="1769" t="s">
        <v>2913</v>
      </c>
      <c r="C39" s="1763"/>
      <c r="D39" s="1770" t="s">
        <v>2914</v>
      </c>
      <c r="E39" s="1763" t="s">
        <v>495</v>
      </c>
      <c r="F39" s="1765">
        <v>1</v>
      </c>
      <c r="G39" s="1765">
        <v>209</v>
      </c>
      <c r="H39" s="1765">
        <f>ROUND(F39*G39,2)</f>
        <v>209</v>
      </c>
    </row>
    <row r="40" spans="1:8" ht="13.8">
      <c r="A40" s="1763"/>
      <c r="B40" s="1769" t="s">
        <v>2909</v>
      </c>
      <c r="C40" s="1763"/>
      <c r="D40" s="1770" t="s">
        <v>2910</v>
      </c>
      <c r="E40" s="1763" t="s">
        <v>495</v>
      </c>
      <c r="F40" s="1765">
        <v>1</v>
      </c>
      <c r="G40" s="1765">
        <f>G34</f>
        <v>104</v>
      </c>
      <c r="H40" s="1765">
        <f>ROUND(F40*G40,2)</f>
        <v>104</v>
      </c>
    </row>
    <row r="41" spans="1:8" ht="13.8">
      <c r="A41" s="1763"/>
      <c r="B41" s="1763"/>
      <c r="C41" s="1763"/>
      <c r="D41" s="1771" t="s">
        <v>3171</v>
      </c>
      <c r="E41" s="1763"/>
      <c r="F41" s="1328">
        <v>0</v>
      </c>
      <c r="G41" s="1765">
        <f>H39+H40</f>
        <v>313</v>
      </c>
      <c r="H41" s="1765">
        <f>ROUND(F41*G41,2)</f>
        <v>0</v>
      </c>
    </row>
    <row r="42" spans="1:8" ht="13.8">
      <c r="A42" s="1772"/>
      <c r="B42" s="1772"/>
      <c r="C42" s="1772"/>
      <c r="D42" s="1773" t="s">
        <v>2911</v>
      </c>
      <c r="E42" s="1772"/>
      <c r="F42" s="1774"/>
      <c r="G42" s="1774"/>
      <c r="H42" s="1774">
        <f>SUM(H39:H41)</f>
        <v>313</v>
      </c>
    </row>
    <row r="43" spans="1:8" ht="13.8">
      <c r="A43" s="1772"/>
      <c r="B43" s="1772"/>
      <c r="C43" s="1772"/>
      <c r="D43" s="1773"/>
      <c r="E43" s="1772"/>
      <c r="F43" s="1774"/>
      <c r="G43" s="1774"/>
      <c r="H43" s="1774"/>
    </row>
    <row r="44" spans="1:8" ht="41.4">
      <c r="A44" s="1766">
        <f>+A38+1</f>
        <v>8</v>
      </c>
      <c r="B44" s="2678" t="s">
        <v>2885</v>
      </c>
      <c r="C44" s="2679"/>
      <c r="D44" s="1767" t="s">
        <v>2915</v>
      </c>
      <c r="E44" s="1766"/>
      <c r="F44" s="1768"/>
      <c r="G44" s="1768"/>
      <c r="H44" s="1768"/>
    </row>
    <row r="45" spans="1:8" ht="13.8">
      <c r="A45" s="1766"/>
      <c r="B45" s="1766"/>
      <c r="C45" s="1775"/>
      <c r="D45" s="1767" t="s">
        <v>2916</v>
      </c>
      <c r="E45" s="1766"/>
      <c r="F45" s="1768"/>
      <c r="G45" s="1768"/>
      <c r="H45" s="1768"/>
    </row>
    <row r="46" spans="1:8" ht="13.8">
      <c r="A46" s="1766"/>
      <c r="B46" s="1776" t="s">
        <v>2917</v>
      </c>
      <c r="C46" s="1766"/>
      <c r="D46" s="1777" t="s">
        <v>2918</v>
      </c>
      <c r="E46" s="1766" t="s">
        <v>495</v>
      </c>
      <c r="F46" s="1768">
        <v>1</v>
      </c>
      <c r="G46" s="1768">
        <v>339</v>
      </c>
      <c r="H46" s="1768">
        <f>ROUND(F46*G46,2)</f>
        <v>339</v>
      </c>
    </row>
    <row r="47" spans="1:8" ht="13.8">
      <c r="A47" s="1766"/>
      <c r="B47" s="1766"/>
      <c r="C47" s="1766"/>
      <c r="D47" s="1771" t="s">
        <v>3171</v>
      </c>
      <c r="E47" s="1763"/>
      <c r="F47" s="1328">
        <v>0</v>
      </c>
      <c r="G47" s="1765">
        <f>H46</f>
        <v>339</v>
      </c>
      <c r="H47" s="1765">
        <f>ROUND(F47*G47,2)</f>
        <v>0</v>
      </c>
    </row>
    <row r="48" spans="1:8" ht="13.8">
      <c r="A48" s="1766"/>
      <c r="B48" s="1766"/>
      <c r="C48" s="1766"/>
      <c r="D48" s="1773" t="s">
        <v>2919</v>
      </c>
      <c r="E48" s="1763"/>
      <c r="F48" s="1328"/>
      <c r="G48" s="1765"/>
      <c r="H48" s="1774">
        <f>SUM(H45:H47)</f>
        <v>339</v>
      </c>
    </row>
    <row r="49" spans="1:8" ht="13.8">
      <c r="A49" s="1772"/>
      <c r="B49" s="1772"/>
      <c r="C49" s="1772"/>
      <c r="D49" s="1773" t="s">
        <v>2920</v>
      </c>
      <c r="E49" s="1772"/>
      <c r="F49" s="1774"/>
      <c r="G49" s="1774"/>
      <c r="H49" s="1774">
        <f>ROUND(H48/3,2)</f>
        <v>113</v>
      </c>
    </row>
    <row r="50" spans="1:8" ht="13.8">
      <c r="A50" s="1763"/>
      <c r="B50" s="1763"/>
      <c r="C50" s="1763"/>
      <c r="D50" s="1770"/>
      <c r="E50" s="1763"/>
      <c r="F50" s="1765"/>
      <c r="G50" s="1765"/>
      <c r="H50" s="1765"/>
    </row>
    <row r="51" spans="1:8" ht="41.4">
      <c r="A51" s="1766">
        <f>+A44+1</f>
        <v>9</v>
      </c>
      <c r="B51" s="2678" t="s">
        <v>2885</v>
      </c>
      <c r="C51" s="2679"/>
      <c r="D51" s="1767" t="s">
        <v>2921</v>
      </c>
      <c r="E51" s="1766"/>
      <c r="F51" s="1768"/>
      <c r="G51" s="1768"/>
      <c r="H51" s="1768"/>
    </row>
    <row r="52" spans="1:8" ht="13.8">
      <c r="A52" s="1766"/>
      <c r="B52" s="1766"/>
      <c r="C52" s="1775"/>
      <c r="D52" s="1767" t="s">
        <v>2916</v>
      </c>
      <c r="E52" s="1766"/>
      <c r="F52" s="1768"/>
      <c r="G52" s="1768"/>
      <c r="H52" s="1768"/>
    </row>
    <row r="53" spans="1:8" ht="13.8">
      <c r="A53" s="1766"/>
      <c r="B53" s="1776" t="s">
        <v>2922</v>
      </c>
      <c r="C53" s="1766"/>
      <c r="D53" s="1777" t="s">
        <v>2923</v>
      </c>
      <c r="E53" s="1766" t="s">
        <v>495</v>
      </c>
      <c r="F53" s="1768">
        <v>1</v>
      </c>
      <c r="G53" s="1768">
        <v>661</v>
      </c>
      <c r="H53" s="1768">
        <f>ROUND(F53*G53,2)</f>
        <v>661</v>
      </c>
    </row>
    <row r="54" spans="1:8" ht="13.8">
      <c r="A54" s="1766"/>
      <c r="B54" s="1766"/>
      <c r="C54" s="1766"/>
      <c r="D54" s="1771" t="s">
        <v>3171</v>
      </c>
      <c r="E54" s="1763"/>
      <c r="F54" s="1328">
        <v>0</v>
      </c>
      <c r="G54" s="1765">
        <f>H53</f>
        <v>661</v>
      </c>
      <c r="H54" s="1765">
        <f>ROUND(F54*G54,2)</f>
        <v>0</v>
      </c>
    </row>
    <row r="55" spans="1:8" ht="13.8">
      <c r="A55" s="1766"/>
      <c r="B55" s="1766"/>
      <c r="C55" s="1766"/>
      <c r="D55" s="1773" t="s">
        <v>2919</v>
      </c>
      <c r="E55" s="1763"/>
      <c r="F55" s="1328"/>
      <c r="G55" s="1765"/>
      <c r="H55" s="1774">
        <f>SUM(H52:H54)</f>
        <v>661</v>
      </c>
    </row>
    <row r="56" spans="1:8" ht="13.8">
      <c r="A56" s="1772"/>
      <c r="B56" s="1772"/>
      <c r="C56" s="1772"/>
      <c r="D56" s="1773" t="s">
        <v>2920</v>
      </c>
      <c r="E56" s="1772"/>
      <c r="F56" s="1774"/>
      <c r="G56" s="1774"/>
      <c r="H56" s="1774">
        <f>ROUND(H55/3,2)</f>
        <v>220.33</v>
      </c>
    </row>
    <row r="57" spans="1:8" ht="13.8">
      <c r="A57" s="1763"/>
      <c r="B57" s="1763"/>
      <c r="C57" s="1763"/>
      <c r="D57" s="1770"/>
      <c r="E57" s="1763"/>
      <c r="F57" s="1765"/>
      <c r="G57" s="1765"/>
      <c r="H57" s="1765"/>
    </row>
    <row r="58" spans="1:8" ht="96.6">
      <c r="A58" s="1766">
        <f>+A51+1</f>
        <v>10</v>
      </c>
      <c r="B58" s="2678" t="s">
        <v>2885</v>
      </c>
      <c r="C58" s="2679"/>
      <c r="D58" s="1767" t="s">
        <v>1252</v>
      </c>
      <c r="E58" s="1766"/>
      <c r="F58" s="1768"/>
      <c r="G58" s="1768"/>
      <c r="H58" s="1768"/>
    </row>
    <row r="59" spans="1:8" ht="13.8">
      <c r="A59" s="1766"/>
      <c r="B59" s="1769" t="s">
        <v>1666</v>
      </c>
      <c r="C59" s="1763"/>
      <c r="D59" s="1770" t="s">
        <v>2924</v>
      </c>
      <c r="E59" s="1763" t="s">
        <v>856</v>
      </c>
      <c r="F59" s="1765">
        <v>1</v>
      </c>
      <c r="G59" s="1765">
        <v>171</v>
      </c>
      <c r="H59" s="1765">
        <f>ROUND(F59*G59,2)</f>
        <v>171</v>
      </c>
    </row>
    <row r="60" spans="1:8" ht="13.8">
      <c r="A60" s="1766"/>
      <c r="B60" s="1766"/>
      <c r="C60" s="1775"/>
      <c r="D60" s="1771" t="s">
        <v>3171</v>
      </c>
      <c r="E60" s="1763"/>
      <c r="F60" s="1328">
        <v>0</v>
      </c>
      <c r="G60" s="1765">
        <f>H59</f>
        <v>171</v>
      </c>
      <c r="H60" s="1765">
        <f>ROUND(F60*G60,2)</f>
        <v>0</v>
      </c>
    </row>
    <row r="61" spans="1:8" ht="13.8">
      <c r="A61" s="1763"/>
      <c r="B61" s="1763"/>
      <c r="C61" s="1763"/>
      <c r="D61" s="1770"/>
      <c r="E61" s="1763"/>
      <c r="F61" s="1765"/>
      <c r="G61" s="1765"/>
      <c r="H61" s="1774">
        <f>SUM(H59:H60)</f>
        <v>171</v>
      </c>
    </row>
    <row r="62" spans="1:8" ht="13.8">
      <c r="A62" s="1763"/>
      <c r="B62" s="1763"/>
      <c r="C62" s="1763"/>
      <c r="D62" s="1770"/>
      <c r="E62" s="1763"/>
      <c r="F62" s="1765"/>
      <c r="G62" s="1765"/>
      <c r="H62" s="1765"/>
    </row>
    <row r="63" spans="1:8" ht="69">
      <c r="A63" s="1766">
        <f>+A58+1</f>
        <v>11</v>
      </c>
      <c r="B63" s="2678" t="s">
        <v>2885</v>
      </c>
      <c r="C63" s="2679"/>
      <c r="D63" s="1767" t="s">
        <v>2925</v>
      </c>
      <c r="E63" s="1766"/>
      <c r="F63" s="1768"/>
      <c r="G63" s="1768"/>
      <c r="H63" s="1768"/>
    </row>
    <row r="64" spans="1:8" ht="13.8">
      <c r="A64" s="1766"/>
      <c r="B64" s="1769" t="s">
        <v>1697</v>
      </c>
      <c r="C64" s="1763"/>
      <c r="D64" s="1770" t="s">
        <v>2926</v>
      </c>
      <c r="E64" s="1763" t="s">
        <v>856</v>
      </c>
      <c r="F64" s="1765">
        <v>1</v>
      </c>
      <c r="G64" s="1765">
        <v>81</v>
      </c>
      <c r="H64" s="1765">
        <f>ROUND(F64*G64,2)</f>
        <v>81</v>
      </c>
    </row>
    <row r="65" spans="1:8" ht="13.8">
      <c r="A65" s="1766"/>
      <c r="B65" s="1766"/>
      <c r="C65" s="1775"/>
      <c r="D65" s="1771" t="s">
        <v>3171</v>
      </c>
      <c r="E65" s="1763"/>
      <c r="F65" s="1328">
        <v>0</v>
      </c>
      <c r="G65" s="1765">
        <f>H64</f>
        <v>81</v>
      </c>
      <c r="H65" s="1765">
        <f>ROUND(F65*G65,2)</f>
        <v>0</v>
      </c>
    </row>
    <row r="66" spans="1:8" ht="13.8">
      <c r="A66" s="1763"/>
      <c r="B66" s="1763"/>
      <c r="C66" s="1763"/>
      <c r="D66" s="1770"/>
      <c r="E66" s="1763"/>
      <c r="F66" s="1765"/>
      <c r="G66" s="1765"/>
      <c r="H66" s="1774">
        <f>SUM(H64:H65)</f>
        <v>81</v>
      </c>
    </row>
    <row r="67" spans="1:8" ht="13.8">
      <c r="A67" s="1763"/>
      <c r="B67" s="1763"/>
      <c r="C67" s="1763"/>
      <c r="D67" s="1770"/>
      <c r="E67" s="1763"/>
      <c r="F67" s="1765"/>
      <c r="G67" s="1765"/>
      <c r="H67" s="1765"/>
    </row>
    <row r="68" spans="1:8" ht="69" hidden="1">
      <c r="A68" s="1766">
        <f>+A63+1</f>
        <v>12</v>
      </c>
      <c r="B68" s="2678" t="s">
        <v>2885</v>
      </c>
      <c r="C68" s="2679"/>
      <c r="D68" s="1767" t="s">
        <v>2927</v>
      </c>
      <c r="E68" s="1766"/>
      <c r="F68" s="1768"/>
      <c r="G68" s="1768"/>
      <c r="H68" s="1768"/>
    </row>
    <row r="69" spans="1:8" ht="13.8" hidden="1">
      <c r="A69" s="1766"/>
      <c r="B69" s="1769" t="s">
        <v>2928</v>
      </c>
      <c r="C69" s="1763"/>
      <c r="D69" s="1770" t="s">
        <v>2929</v>
      </c>
      <c r="E69" s="1763" t="s">
        <v>856</v>
      </c>
      <c r="F69" s="1765">
        <v>1</v>
      </c>
      <c r="G69" s="1765">
        <v>45</v>
      </c>
      <c r="H69" s="1765">
        <f>ROUND(F69*G69,2)</f>
        <v>45</v>
      </c>
    </row>
    <row r="70" spans="1:8" ht="13.8" hidden="1">
      <c r="A70" s="1766"/>
      <c r="B70" s="1766"/>
      <c r="C70" s="1775"/>
      <c r="D70" s="1771" t="s">
        <v>3171</v>
      </c>
      <c r="E70" s="1763"/>
      <c r="F70" s="1328">
        <v>0</v>
      </c>
      <c r="G70" s="1765">
        <f>H69</f>
        <v>45</v>
      </c>
      <c r="H70" s="1765">
        <f>ROUND(F70*G70,2)</f>
        <v>0</v>
      </c>
    </row>
    <row r="71" spans="1:8" ht="13.8" hidden="1">
      <c r="A71" s="1763"/>
      <c r="B71" s="1763"/>
      <c r="C71" s="1763"/>
      <c r="D71" s="1770"/>
      <c r="E71" s="1763"/>
      <c r="F71" s="1765"/>
      <c r="G71" s="1765"/>
      <c r="H71" s="1774">
        <f>SUM(H69:H70)</f>
        <v>45</v>
      </c>
    </row>
    <row r="72" spans="1:8" ht="13.8" hidden="1">
      <c r="A72" s="1763"/>
      <c r="B72" s="1763"/>
      <c r="C72" s="1763"/>
      <c r="D72" s="1770"/>
      <c r="E72" s="1763"/>
      <c r="F72" s="1765"/>
      <c r="G72" s="1765"/>
      <c r="H72" s="1765"/>
    </row>
    <row r="73" spans="1:8" ht="41.4" hidden="1">
      <c r="A73" s="1766">
        <f>+A68+1</f>
        <v>13</v>
      </c>
      <c r="B73" s="2678" t="s">
        <v>2885</v>
      </c>
      <c r="C73" s="2679"/>
      <c r="D73" s="1767" t="s">
        <v>448</v>
      </c>
      <c r="E73" s="1766"/>
      <c r="F73" s="1768"/>
      <c r="G73" s="1768"/>
      <c r="H73" s="1768"/>
    </row>
    <row r="74" spans="1:8" ht="13.8" hidden="1">
      <c r="A74" s="1766"/>
      <c r="B74" s="1769" t="s">
        <v>2930</v>
      </c>
      <c r="C74" s="1763"/>
      <c r="D74" s="1770" t="s">
        <v>2929</v>
      </c>
      <c r="E74" s="1763" t="s">
        <v>856</v>
      </c>
      <c r="F74" s="1765">
        <v>1</v>
      </c>
      <c r="G74" s="1765">
        <v>23</v>
      </c>
      <c r="H74" s="1765">
        <f>ROUND(F74*G74,2)</f>
        <v>23</v>
      </c>
    </row>
    <row r="75" spans="1:8" ht="13.8" hidden="1">
      <c r="A75" s="1766"/>
      <c r="B75" s="1766"/>
      <c r="C75" s="1775"/>
      <c r="D75" s="1771" t="s">
        <v>3171</v>
      </c>
      <c r="E75" s="1763"/>
      <c r="F75" s="1328">
        <v>0</v>
      </c>
      <c r="G75" s="1765">
        <f>H74</f>
        <v>23</v>
      </c>
      <c r="H75" s="1765">
        <f>ROUND(F75*G75,2)</f>
        <v>0</v>
      </c>
    </row>
    <row r="76" spans="1:8" ht="13.8" hidden="1">
      <c r="A76" s="1763"/>
      <c r="B76" s="1763"/>
      <c r="C76" s="1763"/>
      <c r="D76" s="1770"/>
      <c r="E76" s="1763"/>
      <c r="F76" s="1765"/>
      <c r="G76" s="1765"/>
      <c r="H76" s="1774">
        <f>SUM(H74:H75)</f>
        <v>23</v>
      </c>
    </row>
    <row r="77" spans="1:8" ht="13.8" hidden="1">
      <c r="A77" s="1763"/>
      <c r="B77" s="1763"/>
      <c r="C77" s="1763"/>
      <c r="D77" s="1770"/>
      <c r="E77" s="1763"/>
      <c r="F77" s="1765"/>
      <c r="G77" s="1765"/>
      <c r="H77" s="1765"/>
    </row>
    <row r="78" spans="1:8" ht="124.2" hidden="1">
      <c r="A78" s="1766">
        <f>+A38+1</f>
        <v>8</v>
      </c>
      <c r="B78" s="2678" t="s">
        <v>2885</v>
      </c>
      <c r="C78" s="2679"/>
      <c r="D78" s="1777" t="s">
        <v>2931</v>
      </c>
      <c r="E78" s="1766"/>
      <c r="F78" s="1768"/>
      <c r="G78" s="1768"/>
      <c r="H78" s="1768"/>
    </row>
    <row r="79" spans="1:8" ht="38.25" hidden="1" customHeight="1">
      <c r="A79" s="1763"/>
      <c r="B79" s="1769" t="s">
        <v>2932</v>
      </c>
      <c r="C79" s="1763"/>
      <c r="D79" s="1770" t="s">
        <v>2933</v>
      </c>
      <c r="E79" s="1763" t="s">
        <v>856</v>
      </c>
      <c r="F79" s="1765">
        <v>1</v>
      </c>
      <c r="G79" s="1765">
        <v>4610</v>
      </c>
      <c r="H79" s="1765">
        <f>ROUND(F79*G79,2)</f>
        <v>4610</v>
      </c>
    </row>
    <row r="80" spans="1:8" ht="13.8" hidden="1">
      <c r="A80" s="1763"/>
      <c r="B80" s="1763"/>
      <c r="C80" s="1763"/>
      <c r="D80" s="1771" t="s">
        <v>3171</v>
      </c>
      <c r="E80" s="1763"/>
      <c r="F80" s="1328">
        <v>0</v>
      </c>
      <c r="G80" s="1765">
        <f>H79</f>
        <v>4610</v>
      </c>
      <c r="H80" s="1765">
        <f>ROUND(F80*G80,2)</f>
        <v>0</v>
      </c>
    </row>
    <row r="81" spans="1:8" ht="13.8" hidden="1">
      <c r="A81" s="1772"/>
      <c r="B81" s="1772"/>
      <c r="C81" s="1772"/>
      <c r="D81" s="1773" t="s">
        <v>1001</v>
      </c>
      <c r="E81" s="1772"/>
      <c r="F81" s="1774"/>
      <c r="G81" s="1774"/>
      <c r="H81" s="1774">
        <f>SUM(H79:H80)</f>
        <v>4610</v>
      </c>
    </row>
    <row r="82" spans="1:8" ht="13.8" hidden="1">
      <c r="A82" s="1763"/>
      <c r="B82" s="1763"/>
      <c r="C82" s="1763"/>
      <c r="D82" s="1770"/>
      <c r="E82" s="1763"/>
      <c r="F82" s="1765"/>
      <c r="G82" s="1765"/>
      <c r="H82" s="1765"/>
    </row>
    <row r="83" spans="1:8" ht="82.8" hidden="1">
      <c r="A83" s="1766">
        <f>+A78+1</f>
        <v>9</v>
      </c>
      <c r="B83" s="2678" t="s">
        <v>2885</v>
      </c>
      <c r="C83" s="2679"/>
      <c r="D83" s="1767" t="s">
        <v>2934</v>
      </c>
      <c r="E83" s="1766"/>
      <c r="F83" s="1768"/>
      <c r="G83" s="1768"/>
      <c r="H83" s="1768"/>
    </row>
    <row r="84" spans="1:8" ht="13.8" hidden="1">
      <c r="A84" s="1766"/>
      <c r="B84" s="1769" t="s">
        <v>1671</v>
      </c>
      <c r="C84" s="1763"/>
      <c r="D84" s="1770" t="s">
        <v>2935</v>
      </c>
      <c r="E84" s="1763" t="s">
        <v>856</v>
      </c>
      <c r="F84" s="1765">
        <v>1</v>
      </c>
      <c r="G84" s="1765">
        <v>749</v>
      </c>
      <c r="H84" s="1765">
        <f>ROUND(F84*G84,2)</f>
        <v>749</v>
      </c>
    </row>
    <row r="85" spans="1:8" ht="13.8" hidden="1">
      <c r="A85" s="1766"/>
      <c r="B85" s="1766"/>
      <c r="C85" s="1775"/>
      <c r="D85" s="1771" t="s">
        <v>3171</v>
      </c>
      <c r="E85" s="1763"/>
      <c r="F85" s="1328">
        <v>0</v>
      </c>
      <c r="G85" s="1765">
        <f>H84</f>
        <v>749</v>
      </c>
      <c r="H85" s="1765">
        <f>ROUND(F85*G85,2)</f>
        <v>0</v>
      </c>
    </row>
    <row r="86" spans="1:8" ht="13.8" hidden="1">
      <c r="A86" s="1763"/>
      <c r="B86" s="1763"/>
      <c r="C86" s="1763"/>
      <c r="D86" s="1770"/>
      <c r="E86" s="1763"/>
      <c r="F86" s="1765"/>
      <c r="G86" s="1765"/>
      <c r="H86" s="1774">
        <f>SUM(H84:H85)</f>
        <v>749</v>
      </c>
    </row>
    <row r="87" spans="1:8" ht="13.8" hidden="1">
      <c r="A87" s="1763"/>
      <c r="B87" s="1763"/>
      <c r="C87" s="1763"/>
      <c r="D87" s="1770"/>
      <c r="E87" s="1763"/>
      <c r="F87" s="1765"/>
      <c r="G87" s="1765"/>
      <c r="H87" s="1765"/>
    </row>
    <row r="88" spans="1:8" ht="96.6" hidden="1">
      <c r="A88" s="1766">
        <f>+A78+1</f>
        <v>9</v>
      </c>
      <c r="B88" s="2678" t="s">
        <v>2936</v>
      </c>
      <c r="C88" s="2679"/>
      <c r="D88" s="1767" t="s">
        <v>2937</v>
      </c>
      <c r="E88" s="1766"/>
      <c r="F88" s="1768"/>
      <c r="G88" s="1768"/>
      <c r="H88" s="1768"/>
    </row>
    <row r="89" spans="1:8" ht="13.8" hidden="1">
      <c r="A89" s="1763"/>
      <c r="B89" s="1769" t="s">
        <v>1693</v>
      </c>
      <c r="C89" s="1763"/>
      <c r="D89" s="1770" t="s">
        <v>2938</v>
      </c>
      <c r="E89" s="1763" t="s">
        <v>2939</v>
      </c>
      <c r="F89" s="1765">
        <v>1</v>
      </c>
      <c r="G89" s="1765">
        <v>10</v>
      </c>
      <c r="H89" s="1765">
        <f>ROUND(F89*G89,2)</f>
        <v>10</v>
      </c>
    </row>
    <row r="90" spans="1:8" ht="13.8" hidden="1">
      <c r="A90" s="1763"/>
      <c r="B90" s="1763"/>
      <c r="C90" s="1763"/>
      <c r="D90" s="1771" t="s">
        <v>3171</v>
      </c>
      <c r="E90" s="1763"/>
      <c r="F90" s="1328">
        <v>0</v>
      </c>
      <c r="G90" s="1765">
        <f>H89</f>
        <v>10</v>
      </c>
      <c r="H90" s="1765">
        <f>ROUND(F90*G90,2)</f>
        <v>0</v>
      </c>
    </row>
    <row r="91" spans="1:8" ht="13.8" hidden="1">
      <c r="A91" s="1772"/>
      <c r="B91" s="1772"/>
      <c r="C91" s="1772"/>
      <c r="D91" s="1773" t="s">
        <v>2940</v>
      </c>
      <c r="E91" s="1772"/>
      <c r="F91" s="1774"/>
      <c r="G91" s="1774"/>
      <c r="H91" s="1774">
        <f>SUM(H89:H90)</f>
        <v>10</v>
      </c>
    </row>
    <row r="92" spans="1:8" ht="13.8" hidden="1">
      <c r="A92" s="1772"/>
      <c r="B92" s="1772"/>
      <c r="C92" s="1772"/>
      <c r="D92" s="1773"/>
      <c r="E92" s="1772"/>
      <c r="F92" s="1774"/>
      <c r="G92" s="1774"/>
      <c r="H92" s="1774"/>
    </row>
    <row r="93" spans="1:8" ht="110.4">
      <c r="A93" s="1766">
        <f>+A88+1</f>
        <v>10</v>
      </c>
      <c r="B93" s="2678" t="s">
        <v>2885</v>
      </c>
      <c r="C93" s="2679"/>
      <c r="D93" s="1767" t="s">
        <v>2941</v>
      </c>
      <c r="E93" s="1766"/>
      <c r="F93" s="1768"/>
      <c r="G93" s="1768"/>
      <c r="H93" s="1768"/>
    </row>
    <row r="94" spans="1:8" ht="13.8">
      <c r="A94" s="1766"/>
      <c r="B94" s="1769" t="s">
        <v>2942</v>
      </c>
      <c r="C94" s="1763"/>
      <c r="D94" s="1770" t="s">
        <v>2943</v>
      </c>
      <c r="E94" s="1763" t="s">
        <v>495</v>
      </c>
      <c r="F94" s="1765">
        <v>1</v>
      </c>
      <c r="G94" s="1765">
        <v>781</v>
      </c>
      <c r="H94" s="1765">
        <f>ROUND(F94*G94,2)</f>
        <v>781</v>
      </c>
    </row>
    <row r="95" spans="1:8" ht="13.8">
      <c r="A95" s="1766"/>
      <c r="B95" s="1769" t="s">
        <v>2944</v>
      </c>
      <c r="C95" s="1763"/>
      <c r="D95" s="1770" t="s">
        <v>1160</v>
      </c>
      <c r="E95" s="1763" t="s">
        <v>495</v>
      </c>
      <c r="F95" s="1765">
        <v>1</v>
      </c>
      <c r="G95" s="1765">
        <v>341</v>
      </c>
      <c r="H95" s="1765">
        <f>ROUND(F95*G95,2)</f>
        <v>341</v>
      </c>
    </row>
    <row r="96" spans="1:8" ht="13.8">
      <c r="A96" s="1766"/>
      <c r="B96" s="1766"/>
      <c r="C96" s="1775"/>
      <c r="D96" s="1771" t="s">
        <v>3171</v>
      </c>
      <c r="E96" s="1763"/>
      <c r="F96" s="1328">
        <v>0</v>
      </c>
      <c r="G96" s="1765">
        <f>H94+H95</f>
        <v>1122</v>
      </c>
      <c r="H96" s="1765">
        <f>ROUND(F96*G96,2)</f>
        <v>0</v>
      </c>
    </row>
    <row r="97" spans="1:8" ht="13.8">
      <c r="A97" s="1763"/>
      <c r="B97" s="1763"/>
      <c r="C97" s="1763"/>
      <c r="D97" s="1770" t="s">
        <v>2911</v>
      </c>
      <c r="E97" s="1763"/>
      <c r="F97" s="1765"/>
      <c r="G97" s="1765"/>
      <c r="H97" s="1774">
        <f>SUM(H94:H96)</f>
        <v>1122</v>
      </c>
    </row>
    <row r="98" spans="1:8" ht="13.8">
      <c r="A98" s="1763"/>
      <c r="B98" s="1763"/>
      <c r="C98" s="1763"/>
      <c r="D98" s="1770"/>
      <c r="E98" s="1763"/>
      <c r="F98" s="1765"/>
      <c r="G98" s="1765"/>
      <c r="H98" s="1765"/>
    </row>
    <row r="99" spans="1:8" ht="96.6">
      <c r="A99" s="1766">
        <f>+A93+1</f>
        <v>11</v>
      </c>
      <c r="B99" s="2680" t="s">
        <v>2885</v>
      </c>
      <c r="C99" s="2681"/>
      <c r="D99" s="1767" t="s">
        <v>2945</v>
      </c>
      <c r="E99" s="1766"/>
      <c r="F99" s="1768"/>
      <c r="G99" s="1768"/>
      <c r="H99" s="1768"/>
    </row>
    <row r="100" spans="1:8" ht="13.8">
      <c r="A100" s="1766"/>
      <c r="B100" s="1769" t="s">
        <v>1685</v>
      </c>
      <c r="C100" s="1769"/>
      <c r="D100" s="1770" t="s">
        <v>2946</v>
      </c>
      <c r="E100" s="1763" t="s">
        <v>495</v>
      </c>
      <c r="F100" s="1765">
        <v>1</v>
      </c>
      <c r="G100" s="1765">
        <v>573</v>
      </c>
      <c r="H100" s="1765">
        <f>ROUND(F100*G100,2)</f>
        <v>573</v>
      </c>
    </row>
    <row r="101" spans="1:8" ht="13.8">
      <c r="A101" s="1766"/>
      <c r="B101" s="1769" t="s">
        <v>2944</v>
      </c>
      <c r="C101" s="1763"/>
      <c r="D101" s="1770" t="s">
        <v>1160</v>
      </c>
      <c r="E101" s="1763" t="s">
        <v>495</v>
      </c>
      <c r="F101" s="1765">
        <v>1</v>
      </c>
      <c r="G101" s="1765">
        <f>G95</f>
        <v>341</v>
      </c>
      <c r="H101" s="1765">
        <f>ROUND(F101*G101,2)</f>
        <v>341</v>
      </c>
    </row>
    <row r="102" spans="1:8" ht="13.8">
      <c r="A102" s="1766"/>
      <c r="B102" s="1766"/>
      <c r="C102" s="1775"/>
      <c r="D102" s="1771" t="s">
        <v>3171</v>
      </c>
      <c r="E102" s="1763"/>
      <c r="F102" s="1328">
        <v>0</v>
      </c>
      <c r="G102" s="1765">
        <f>H100+H101</f>
        <v>914</v>
      </c>
      <c r="H102" s="1765">
        <f>ROUND(F102*G102,2)</f>
        <v>0</v>
      </c>
    </row>
    <row r="103" spans="1:8" ht="13.8">
      <c r="A103" s="1763"/>
      <c r="B103" s="1763"/>
      <c r="C103" s="1763"/>
      <c r="D103" s="1770" t="s">
        <v>2911</v>
      </c>
      <c r="E103" s="1763"/>
      <c r="F103" s="1765"/>
      <c r="G103" s="1765"/>
      <c r="H103" s="1774">
        <f>SUM(H100:H102)</f>
        <v>914</v>
      </c>
    </row>
    <row r="104" spans="1:8" ht="13.8">
      <c r="A104" s="1763"/>
      <c r="B104" s="1763"/>
      <c r="C104" s="1763"/>
      <c r="D104" s="1770"/>
      <c r="E104" s="1763"/>
      <c r="F104" s="1765"/>
      <c r="G104" s="1765"/>
      <c r="H104" s="1765"/>
    </row>
    <row r="105" spans="1:8" ht="41.4">
      <c r="A105" s="1766">
        <f>+A99+1</f>
        <v>12</v>
      </c>
      <c r="B105" s="2678" t="s">
        <v>2885</v>
      </c>
      <c r="C105" s="2679"/>
      <c r="D105" s="1767" t="s">
        <v>2947</v>
      </c>
      <c r="E105" s="1766"/>
      <c r="F105" s="1768"/>
      <c r="G105" s="1768"/>
      <c r="H105" s="1768"/>
    </row>
    <row r="106" spans="1:8" ht="13.8">
      <c r="A106" s="1763"/>
      <c r="B106" s="1769" t="s">
        <v>2948</v>
      </c>
      <c r="C106" s="1763"/>
      <c r="D106" s="1770" t="s">
        <v>2943</v>
      </c>
      <c r="E106" s="1763" t="s">
        <v>856</v>
      </c>
      <c r="F106" s="1765">
        <v>1</v>
      </c>
      <c r="G106" s="1765">
        <v>336</v>
      </c>
      <c r="H106" s="1765">
        <f>ROUND(F106*G106,2)</f>
        <v>336</v>
      </c>
    </row>
    <row r="107" spans="1:8" ht="13.8">
      <c r="A107" s="1763"/>
      <c r="B107" s="1763"/>
      <c r="C107" s="1763"/>
      <c r="D107" s="1771" t="s">
        <v>3171</v>
      </c>
      <c r="E107" s="1763"/>
      <c r="F107" s="1328">
        <v>0</v>
      </c>
      <c r="G107" s="1765">
        <f>H106</f>
        <v>336</v>
      </c>
      <c r="H107" s="1765">
        <f>ROUND(F107*G107,2)</f>
        <v>0</v>
      </c>
    </row>
    <row r="108" spans="1:8" ht="13.8">
      <c r="A108" s="1763"/>
      <c r="B108" s="1763"/>
      <c r="C108" s="1763"/>
      <c r="D108" s="1770" t="s">
        <v>1001</v>
      </c>
      <c r="E108" s="1763"/>
      <c r="F108" s="1765"/>
      <c r="G108" s="1765"/>
      <c r="H108" s="1774">
        <f>SUM(H106:H107)</f>
        <v>336</v>
      </c>
    </row>
    <row r="109" spans="1:8" ht="13.8">
      <c r="A109" s="1763"/>
      <c r="B109" s="1763"/>
      <c r="C109" s="1763"/>
      <c r="D109" s="1770"/>
      <c r="E109" s="1763"/>
      <c r="F109" s="1765"/>
      <c r="G109" s="1765"/>
      <c r="H109" s="1765"/>
    </row>
    <row r="110" spans="1:8" ht="55.2">
      <c r="A110" s="1766">
        <f>+A99+1</f>
        <v>12</v>
      </c>
      <c r="B110" s="2678" t="s">
        <v>2885</v>
      </c>
      <c r="C110" s="2679"/>
      <c r="D110" s="1767" t="s">
        <v>2949</v>
      </c>
      <c r="E110" s="1766"/>
      <c r="F110" s="1768"/>
      <c r="G110" s="1768"/>
      <c r="H110" s="1768"/>
    </row>
    <row r="111" spans="1:8" ht="13.8">
      <c r="A111" s="1766"/>
      <c r="B111" s="1776" t="s">
        <v>1664</v>
      </c>
      <c r="C111" s="1766"/>
      <c r="D111" s="1777" t="s">
        <v>2950</v>
      </c>
      <c r="E111" s="1766" t="s">
        <v>856</v>
      </c>
      <c r="F111" s="1768">
        <v>1</v>
      </c>
      <c r="G111" s="1768">
        <v>275</v>
      </c>
      <c r="H111" s="1768">
        <f>ROUND(F111*G111,2)</f>
        <v>275</v>
      </c>
    </row>
    <row r="112" spans="1:8" ht="13.8">
      <c r="A112" s="1766"/>
      <c r="B112" s="1766"/>
      <c r="C112" s="1766"/>
      <c r="D112" s="1771" t="s">
        <v>3171</v>
      </c>
      <c r="E112" s="1763"/>
      <c r="F112" s="1328">
        <v>0</v>
      </c>
      <c r="G112" s="1765">
        <f>H111</f>
        <v>275</v>
      </c>
      <c r="H112" s="1765">
        <f>ROUND(F112*G112,2)</f>
        <v>0</v>
      </c>
    </row>
    <row r="113" spans="1:8" ht="13.8">
      <c r="A113" s="1772"/>
      <c r="B113" s="1772"/>
      <c r="C113" s="1772"/>
      <c r="D113" s="1773" t="s">
        <v>1001</v>
      </c>
      <c r="E113" s="1772"/>
      <c r="F113" s="1774"/>
      <c r="G113" s="1774"/>
      <c r="H113" s="1774">
        <f>SUM(H111:H112)</f>
        <v>275</v>
      </c>
    </row>
    <row r="114" spans="1:8" ht="260.25" hidden="1" customHeight="1">
      <c r="A114" s="1778"/>
      <c r="B114" s="1778"/>
      <c r="C114" s="1778"/>
      <c r="D114" s="1767" t="s">
        <v>2964</v>
      </c>
      <c r="E114" s="1778"/>
      <c r="F114" s="1778"/>
      <c r="G114" s="1778"/>
      <c r="H114" s="1778"/>
    </row>
    <row r="115" spans="1:8" ht="14.7" hidden="1">
      <c r="A115" s="2683" t="s">
        <v>2966</v>
      </c>
      <c r="B115" s="2683"/>
      <c r="C115" s="1779">
        <v>1</v>
      </c>
      <c r="D115" s="1780" t="s">
        <v>2965</v>
      </c>
      <c r="E115" s="1781">
        <v>1799</v>
      </c>
      <c r="F115" s="1779">
        <v>1</v>
      </c>
      <c r="G115" s="1779"/>
      <c r="H115" s="1779">
        <f>C115*E115/F115</f>
        <v>1799</v>
      </c>
    </row>
    <row r="116" spans="1:8" ht="15.75" hidden="1" customHeight="1">
      <c r="A116" s="2682" t="s">
        <v>2967</v>
      </c>
      <c r="B116" s="2682"/>
      <c r="C116" s="1779">
        <v>1</v>
      </c>
      <c r="D116" s="1782"/>
      <c r="E116" s="1783">
        <v>330</v>
      </c>
      <c r="F116" s="1784">
        <v>1</v>
      </c>
      <c r="G116" s="1784"/>
      <c r="H116" s="1784">
        <f>ROUND(C116*E116/F116,2)</f>
        <v>330</v>
      </c>
    </row>
    <row r="117" spans="1:8" ht="15.75" hidden="1" customHeight="1">
      <c r="A117" s="2683" t="s">
        <v>2969</v>
      </c>
      <c r="B117" s="2683"/>
      <c r="C117" s="1779">
        <v>1</v>
      </c>
      <c r="D117" s="1780" t="s">
        <v>2968</v>
      </c>
      <c r="E117" s="1781">
        <v>1186</v>
      </c>
      <c r="F117" s="1779">
        <v>1</v>
      </c>
      <c r="G117" s="1779"/>
      <c r="H117" s="1779">
        <f>C117*E117/F117</f>
        <v>1186</v>
      </c>
    </row>
    <row r="118" spans="1:8" ht="15.75" hidden="1" customHeight="1">
      <c r="A118" s="2682" t="s">
        <v>2970</v>
      </c>
      <c r="B118" s="2682"/>
      <c r="C118" s="1779">
        <v>1</v>
      </c>
      <c r="D118" s="1782"/>
      <c r="E118" s="1783">
        <v>96</v>
      </c>
      <c r="F118" s="1784">
        <v>1</v>
      </c>
      <c r="G118" s="1784"/>
      <c r="H118" s="1784">
        <f>ROUND(C118*E118/F118,2)</f>
        <v>96</v>
      </c>
    </row>
    <row r="119" spans="1:8" ht="14.7" hidden="1">
      <c r="A119" s="1778"/>
      <c r="B119" s="1785"/>
      <c r="C119" s="1779"/>
      <c r="D119" s="1780"/>
      <c r="E119" s="1781"/>
      <c r="F119" s="1779"/>
      <c r="G119" s="1779"/>
      <c r="H119" s="1779"/>
    </row>
    <row r="120" spans="1:8" ht="14.7" hidden="1">
      <c r="A120" s="1778"/>
      <c r="B120" s="1786"/>
      <c r="C120" s="1779"/>
      <c r="D120" s="1782"/>
      <c r="E120" s="1783"/>
      <c r="F120" s="1784"/>
      <c r="G120" s="1784"/>
      <c r="H120" s="1784"/>
    </row>
    <row r="121" spans="1:8" ht="14.7" hidden="1">
      <c r="A121" s="1778"/>
      <c r="B121" s="1787"/>
      <c r="C121" s="1779"/>
      <c r="D121" s="1788"/>
      <c r="E121" s="1781"/>
      <c r="F121" s="1779"/>
      <c r="G121" s="1779"/>
      <c r="H121" s="1779">
        <f>SUM(H115:H120)</f>
        <v>3411</v>
      </c>
    </row>
    <row r="122" spans="1:8" ht="15.75" hidden="1" customHeight="1">
      <c r="A122" s="1778"/>
      <c r="B122" s="1787"/>
      <c r="C122" s="1779"/>
      <c r="D122" s="1789" t="s">
        <v>2971</v>
      </c>
      <c r="E122" s="1781"/>
      <c r="F122" s="1779"/>
      <c r="G122" s="1779"/>
      <c r="H122" s="1779">
        <f>ROUND(H121*B122,2)</f>
        <v>0</v>
      </c>
    </row>
    <row r="123" spans="1:8" ht="14.7" hidden="1">
      <c r="A123" s="1778"/>
      <c r="B123" s="1787"/>
      <c r="C123" s="1779"/>
      <c r="D123" s="1788"/>
      <c r="E123" s="1781"/>
      <c r="F123" s="1779"/>
      <c r="G123" s="1779"/>
      <c r="H123" s="1779"/>
    </row>
    <row r="124" spans="1:8" ht="14.7" hidden="1">
      <c r="A124" s="1778"/>
      <c r="B124" s="1790"/>
      <c r="C124" s="1791"/>
      <c r="D124" s="1792" t="s">
        <v>2972</v>
      </c>
      <c r="E124" s="1793"/>
      <c r="F124" s="1794"/>
      <c r="G124" s="1795"/>
      <c r="H124" s="1796">
        <f>H121+H122</f>
        <v>3411</v>
      </c>
    </row>
    <row r="128" spans="1:8" ht="15.6">
      <c r="D128" s="1798" t="s">
        <v>3194</v>
      </c>
      <c r="F128" s="2614" t="s">
        <v>3195</v>
      </c>
      <c r="G128" s="2615"/>
      <c r="H128" s="2616"/>
    </row>
    <row r="129" spans="4:8" ht="15.6">
      <c r="D129" s="1351" t="str">
        <f>CONCATENATE("PR MPP ",'input sheet'!$C$7)</f>
        <v>PR MPP Kalwakurthy</v>
      </c>
      <c r="F129" s="2617" t="str">
        <f>CONCATENATE("PR SD ",'input sheet'!$C$8)</f>
        <v>PR SD Kalwakurthy</v>
      </c>
      <c r="G129" s="2618"/>
      <c r="H129" s="2619"/>
    </row>
  </sheetData>
  <mergeCells count="26">
    <mergeCell ref="F128:H128"/>
    <mergeCell ref="F129:H129"/>
    <mergeCell ref="B73:C73"/>
    <mergeCell ref="B78:C78"/>
    <mergeCell ref="B83:C83"/>
    <mergeCell ref="B88:C88"/>
    <mergeCell ref="B93:C93"/>
    <mergeCell ref="A116:B116"/>
    <mergeCell ref="A117:B117"/>
    <mergeCell ref="A118:B118"/>
    <mergeCell ref="A115:B115"/>
    <mergeCell ref="B105:C105"/>
    <mergeCell ref="B110:C110"/>
    <mergeCell ref="B99:C99"/>
    <mergeCell ref="B68:C68"/>
    <mergeCell ref="B2:C2"/>
    <mergeCell ref="B8:C8"/>
    <mergeCell ref="B14:C14"/>
    <mergeCell ref="B20:C20"/>
    <mergeCell ref="B26:C26"/>
    <mergeCell ref="B32:C32"/>
    <mergeCell ref="B38:C38"/>
    <mergeCell ref="B44:C44"/>
    <mergeCell ref="B51:C51"/>
    <mergeCell ref="B58:C58"/>
    <mergeCell ref="B63:C63"/>
  </mergeCells>
  <pageMargins left="0.7" right="0.7" top="0.75" bottom="0.75" header="0.3" footer="0.3"/>
  <pageSetup scale="85"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rgb="FF00B0F0"/>
  </sheetPr>
  <dimension ref="A1:IV517"/>
  <sheetViews>
    <sheetView view="pageBreakPreview" topLeftCell="A28" zoomScaleSheetLayoutView="100" workbookViewId="0">
      <selection activeCell="D73" sqref="D73"/>
    </sheetView>
  </sheetViews>
  <sheetFormatPr defaultColWidth="10.33203125" defaultRowHeight="12.9"/>
  <cols>
    <col min="1" max="1" width="4.44140625" style="137" customWidth="1"/>
    <col min="2" max="2" width="10.6640625" style="2194" customWidth="1"/>
    <col min="3" max="3" width="5.88671875" style="128" customWidth="1"/>
    <col min="4" max="4" width="41.88671875" style="128" customWidth="1"/>
    <col min="5" max="5" width="8.109375" style="128" customWidth="1"/>
    <col min="6" max="6" width="9.88671875" style="137" customWidth="1"/>
    <col min="7" max="7" width="11.44140625" style="479" customWidth="1"/>
    <col min="8" max="8" width="10.33203125" style="128" customWidth="1"/>
    <col min="9" max="9" width="9.6640625" style="128" customWidth="1"/>
    <col min="10" max="10" width="1.88671875" style="128" customWidth="1"/>
    <col min="11" max="11" width="0.109375" style="128" customWidth="1"/>
    <col min="12" max="12" width="0.44140625" style="128" customWidth="1"/>
    <col min="13" max="256" width="10.33203125" style="128"/>
    <col min="257" max="16384" width="10.33203125" style="1808"/>
  </cols>
  <sheetData>
    <row r="1" spans="1:14" ht="15" customHeight="1">
      <c r="A1" s="2685" t="s">
        <v>3165</v>
      </c>
      <c r="B1" s="2685"/>
      <c r="C1" s="2685"/>
      <c r="D1" s="2685"/>
      <c r="E1" s="2685"/>
      <c r="F1" s="2685"/>
      <c r="G1" s="2685"/>
      <c r="H1" s="2685"/>
      <c r="I1" s="1684"/>
      <c r="J1" s="1684"/>
      <c r="K1" s="1684"/>
    </row>
    <row r="2" spans="1:14" ht="16.5" customHeight="1">
      <c r="A2" s="2684" t="str">
        <f>'Lead- Input sheet '!A2</f>
        <v xml:space="preserve"> Construction of  Anganwadi Building at Jeedipally Thanda (V) of Kalwakurthy (M) of Nagarkurnool District </v>
      </c>
      <c r="B2" s="2684"/>
      <c r="C2" s="2684"/>
      <c r="D2" s="2684"/>
      <c r="E2" s="2684"/>
      <c r="F2" s="2684"/>
      <c r="G2" s="2684"/>
      <c r="H2" s="2684"/>
      <c r="I2" s="1684"/>
      <c r="J2" s="1684"/>
      <c r="K2" s="1684"/>
    </row>
    <row r="3" spans="1:14" ht="21.7" customHeight="1">
      <c r="A3" s="1689"/>
      <c r="B3" s="2164" t="s">
        <v>431</v>
      </c>
      <c r="C3" s="1557">
        <v>1.3</v>
      </c>
      <c r="D3" s="1575" t="s">
        <v>1192</v>
      </c>
      <c r="E3" s="1598"/>
      <c r="F3" s="1581"/>
      <c r="G3" s="1716"/>
      <c r="H3" s="1011"/>
    </row>
    <row r="4" spans="1:14" ht="107.25" customHeight="1">
      <c r="A4" s="1581">
        <v>1</v>
      </c>
      <c r="B4" s="2164"/>
      <c r="C4" s="1557" t="s">
        <v>432</v>
      </c>
      <c r="D4" s="1566" t="s">
        <v>1188</v>
      </c>
      <c r="E4" s="1598"/>
      <c r="F4" s="1581"/>
      <c r="G4" s="1716"/>
      <c r="H4" s="1011"/>
      <c r="M4" s="128">
        <v>1</v>
      </c>
    </row>
    <row r="5" spans="1:14" ht="12.9" customHeight="1">
      <c r="A5" s="1689"/>
      <c r="B5" s="1710"/>
      <c r="C5" s="1557"/>
      <c r="D5" s="1566" t="s">
        <v>510</v>
      </c>
      <c r="E5" s="1598"/>
      <c r="F5" s="1581"/>
      <c r="G5" s="1690"/>
      <c r="H5" s="1598"/>
    </row>
    <row r="6" spans="1:14" ht="12.9" customHeight="1">
      <c r="A6" s="1689"/>
      <c r="B6" s="1710"/>
      <c r="C6" s="1557"/>
      <c r="D6" s="1566" t="s">
        <v>526</v>
      </c>
      <c r="E6" s="1598"/>
      <c r="F6" s="1581"/>
      <c r="G6" s="1690"/>
      <c r="H6" s="1598"/>
    </row>
    <row r="7" spans="1:14" ht="12.9" customHeight="1">
      <c r="A7" s="1689"/>
      <c r="B7" s="1691" t="s">
        <v>1960</v>
      </c>
      <c r="C7" s="1557"/>
      <c r="D7" s="1566" t="s">
        <v>1891</v>
      </c>
      <c r="E7" s="1598" t="s">
        <v>511</v>
      </c>
      <c r="F7" s="1581">
        <v>1</v>
      </c>
      <c r="G7" s="2163">
        <f t="shared" ref="G7:G12" si="0">G27</f>
        <v>34</v>
      </c>
      <c r="H7" s="1690">
        <f>ROUND(F7*G7*100,2)</f>
        <v>3400</v>
      </c>
    </row>
    <row r="8" spans="1:14" ht="12.9" customHeight="1">
      <c r="A8" s="1689"/>
      <c r="B8" s="1691" t="s">
        <v>1655</v>
      </c>
      <c r="C8" s="1557"/>
      <c r="D8" s="1566" t="s">
        <v>951</v>
      </c>
      <c r="E8" s="1598" t="s">
        <v>1410</v>
      </c>
      <c r="F8" s="1581">
        <v>2</v>
      </c>
      <c r="G8" s="2163">
        <f t="shared" si="0"/>
        <v>45</v>
      </c>
      <c r="H8" s="1690">
        <f t="shared" ref="H8:H13" si="1">F8*G8</f>
        <v>90</v>
      </c>
      <c r="N8" s="128">
        <f>0.96+0.28</f>
        <v>1.24</v>
      </c>
    </row>
    <row r="9" spans="1:14" ht="12.9" customHeight="1">
      <c r="A9" s="1689"/>
      <c r="B9" s="1691" t="s">
        <v>1961</v>
      </c>
      <c r="C9" s="1557"/>
      <c r="D9" s="1566" t="s">
        <v>1435</v>
      </c>
      <c r="E9" s="1598" t="s">
        <v>1410</v>
      </c>
      <c r="F9" s="1581">
        <v>2</v>
      </c>
      <c r="G9" s="2163">
        <f t="shared" si="0"/>
        <v>142</v>
      </c>
      <c r="H9" s="1690">
        <f t="shared" si="1"/>
        <v>284</v>
      </c>
    </row>
    <row r="10" spans="1:14" ht="12.9" customHeight="1">
      <c r="A10" s="1689"/>
      <c r="B10" s="1691" t="s">
        <v>1890</v>
      </c>
      <c r="C10" s="1557"/>
      <c r="D10" s="1566" t="s">
        <v>20</v>
      </c>
      <c r="E10" s="1598" t="s">
        <v>454</v>
      </c>
      <c r="F10" s="1581">
        <v>200</v>
      </c>
      <c r="G10" s="2163">
        <f t="shared" si="0"/>
        <v>3.19</v>
      </c>
      <c r="H10" s="1690">
        <f t="shared" si="1"/>
        <v>638</v>
      </c>
    </row>
    <row r="11" spans="1:14" ht="12.9" customHeight="1">
      <c r="A11" s="1689"/>
      <c r="B11" s="1691" t="s">
        <v>2649</v>
      </c>
      <c r="C11" s="1557"/>
      <c r="D11" s="1566" t="s">
        <v>1189</v>
      </c>
      <c r="E11" s="1598" t="s">
        <v>856</v>
      </c>
      <c r="F11" s="1581">
        <v>12</v>
      </c>
      <c r="G11" s="2163">
        <f t="shared" si="0"/>
        <v>29</v>
      </c>
      <c r="H11" s="1690">
        <f t="shared" si="1"/>
        <v>348</v>
      </c>
    </row>
    <row r="12" spans="1:14" ht="12.9" customHeight="1">
      <c r="A12" s="1689"/>
      <c r="B12" s="1691" t="s">
        <v>2650</v>
      </c>
      <c r="C12" s="1557"/>
      <c r="D12" s="1566" t="s">
        <v>1584</v>
      </c>
      <c r="E12" s="1598" t="s">
        <v>856</v>
      </c>
      <c r="F12" s="1581">
        <v>12</v>
      </c>
      <c r="G12" s="2163">
        <f t="shared" si="0"/>
        <v>13</v>
      </c>
      <c r="H12" s="1690">
        <f t="shared" si="1"/>
        <v>156</v>
      </c>
    </row>
    <row r="13" spans="1:14" ht="12.9" customHeight="1">
      <c r="A13" s="1689"/>
      <c r="B13" s="1691" t="s">
        <v>1972</v>
      </c>
      <c r="C13" s="1557"/>
      <c r="D13" s="1566" t="s">
        <v>1436</v>
      </c>
      <c r="E13" s="1598" t="s">
        <v>856</v>
      </c>
      <c r="F13" s="1581">
        <v>3</v>
      </c>
      <c r="G13" s="2163">
        <v>81</v>
      </c>
      <c r="H13" s="1690">
        <f t="shared" si="1"/>
        <v>243</v>
      </c>
    </row>
    <row r="14" spans="1:14" ht="12.9" customHeight="1">
      <c r="A14" s="1689"/>
      <c r="B14" s="1691" t="s">
        <v>1437</v>
      </c>
      <c r="C14" s="1557"/>
      <c r="D14" s="1566" t="s">
        <v>523</v>
      </c>
      <c r="E14" s="1598" t="s">
        <v>347</v>
      </c>
      <c r="F14" s="1581">
        <v>25</v>
      </c>
      <c r="G14" s="2163">
        <f>'Lead- Input sheet '!R8</f>
        <v>6656</v>
      </c>
      <c r="H14" s="1690">
        <f>ROUND(F14*G14/1000,2)</f>
        <v>166.4</v>
      </c>
      <c r="I14" s="137"/>
    </row>
    <row r="15" spans="1:14" ht="12.9" customHeight="1">
      <c r="A15" s="1689"/>
      <c r="B15" s="1710"/>
      <c r="C15" s="1557"/>
      <c r="D15" s="1566" t="s">
        <v>512</v>
      </c>
      <c r="E15" s="1598"/>
      <c r="F15" s="1581"/>
      <c r="G15" s="2163"/>
      <c r="H15" s="1690"/>
    </row>
    <row r="16" spans="1:14" ht="12.9" customHeight="1">
      <c r="A16" s="1689"/>
      <c r="B16" s="1691"/>
      <c r="C16" s="1557"/>
      <c r="D16" s="1566" t="s">
        <v>513</v>
      </c>
      <c r="E16" s="1598" t="s">
        <v>1047</v>
      </c>
      <c r="F16" s="1581">
        <v>2</v>
      </c>
      <c r="G16" s="2163">
        <f>'Lead- Input sheet '!R33</f>
        <v>775</v>
      </c>
      <c r="H16" s="1690">
        <f>F16*G16</f>
        <v>1550</v>
      </c>
    </row>
    <row r="17" spans="1:14" ht="12.9" customHeight="1">
      <c r="A17" s="1689"/>
      <c r="B17" s="1691"/>
      <c r="C17" s="1557"/>
      <c r="D17" s="1566" t="s">
        <v>514</v>
      </c>
      <c r="E17" s="1598" t="s">
        <v>1047</v>
      </c>
      <c r="F17" s="1581">
        <v>2</v>
      </c>
      <c r="G17" s="2163">
        <f>'Lead- Input sheet '!R36</f>
        <v>650</v>
      </c>
      <c r="H17" s="1690">
        <f>F17*G17</f>
        <v>1300</v>
      </c>
    </row>
    <row r="18" spans="1:14" ht="12.9" customHeight="1">
      <c r="A18" s="1689"/>
      <c r="B18" s="1691"/>
      <c r="C18" s="1557"/>
      <c r="D18" s="1566" t="s">
        <v>515</v>
      </c>
      <c r="E18" s="1598" t="s">
        <v>1047</v>
      </c>
      <c r="F18" s="1581">
        <v>2</v>
      </c>
      <c r="G18" s="2163">
        <f>'Lead- Input sheet '!R36</f>
        <v>650</v>
      </c>
      <c r="H18" s="1690">
        <f>F18*G18</f>
        <v>1300</v>
      </c>
    </row>
    <row r="19" spans="1:14" ht="12.9" customHeight="1">
      <c r="A19" s="1689"/>
      <c r="B19" s="1710"/>
      <c r="C19" s="1557"/>
      <c r="D19" s="1566" t="s">
        <v>896</v>
      </c>
      <c r="E19" s="1594"/>
      <c r="F19" s="1594">
        <f>'Lead- Input sheet '!Q31</f>
        <v>0</v>
      </c>
      <c r="G19" s="2203">
        <f>SUM(H16:H18)</f>
        <v>4150</v>
      </c>
      <c r="H19" s="1692">
        <f>ROUND(G19*F19,2)</f>
        <v>0</v>
      </c>
    </row>
    <row r="20" spans="1:14" ht="12.9" customHeight="1">
      <c r="A20" s="1689"/>
      <c r="B20" s="1710"/>
      <c r="C20" s="1557"/>
      <c r="D20" s="1566" t="s">
        <v>707</v>
      </c>
      <c r="E20" s="1598"/>
      <c r="F20" s="1581"/>
      <c r="G20" s="1690"/>
      <c r="H20" s="1598">
        <f>SUM(H7:H19)</f>
        <v>9475.4</v>
      </c>
    </row>
    <row r="21" spans="1:14" s="2165" customFormat="1" ht="12.9" customHeight="1">
      <c r="A21" s="1693"/>
      <c r="B21" s="2164"/>
      <c r="C21" s="1557"/>
      <c r="D21" s="1575" t="s">
        <v>708</v>
      </c>
      <c r="E21" s="1694"/>
      <c r="F21" s="1557"/>
      <c r="G21" s="1695"/>
      <c r="H21" s="1694">
        <f>ROUND(H20/100,2)</f>
        <v>94.75</v>
      </c>
    </row>
    <row r="22" spans="1:14" s="2165" customFormat="1" ht="12.9" customHeight="1">
      <c r="A22" s="1693"/>
      <c r="B22" s="2164"/>
      <c r="C22" s="1557"/>
      <c r="D22" s="1575" t="s">
        <v>1000</v>
      </c>
      <c r="E22" s="1694"/>
      <c r="F22" s="1696">
        <f>'Lead- Input sheet '!Q32</f>
        <v>0</v>
      </c>
      <c r="G22" s="1695">
        <f>H21</f>
        <v>94.75</v>
      </c>
      <c r="H22" s="1694">
        <f>ROUND(G22*F22,2)</f>
        <v>0</v>
      </c>
    </row>
    <row r="23" spans="1:14" s="2165" customFormat="1" ht="12.9" customHeight="1">
      <c r="A23" s="1693"/>
      <c r="B23" s="2164"/>
      <c r="C23" s="1557"/>
      <c r="D23" s="1575" t="s">
        <v>1460</v>
      </c>
      <c r="E23" s="1694"/>
      <c r="F23" s="1557"/>
      <c r="G23" s="1695" t="s">
        <v>416</v>
      </c>
      <c r="H23" s="1694">
        <f>ROUND(SUM(H21:H22),2)</f>
        <v>94.75</v>
      </c>
    </row>
    <row r="24" spans="1:14" ht="90.75" customHeight="1">
      <c r="A24" s="1689">
        <v>1</v>
      </c>
      <c r="B24" s="2164"/>
      <c r="C24" s="1557" t="s">
        <v>1461</v>
      </c>
      <c r="D24" s="1566" t="s">
        <v>1005</v>
      </c>
      <c r="E24" s="1598"/>
      <c r="F24" s="1581"/>
      <c r="G24" s="1690"/>
      <c r="H24" s="1598"/>
    </row>
    <row r="25" spans="1:14" ht="11.25" customHeight="1">
      <c r="A25" s="1689"/>
      <c r="B25" s="1710"/>
      <c r="C25" s="1557"/>
      <c r="D25" s="1566" t="s">
        <v>510</v>
      </c>
      <c r="E25" s="1598"/>
      <c r="F25" s="1581"/>
      <c r="G25" s="1690"/>
      <c r="H25" s="1598"/>
    </row>
    <row r="26" spans="1:14" ht="12.75" customHeight="1">
      <c r="A26" s="1689"/>
      <c r="B26" s="1710"/>
      <c r="C26" s="1557"/>
      <c r="D26" s="1566" t="s">
        <v>526</v>
      </c>
      <c r="E26" s="1598"/>
      <c r="F26" s="1581"/>
      <c r="G26" s="1690"/>
      <c r="H26" s="1598"/>
    </row>
    <row r="27" spans="1:14" ht="12.75" customHeight="1">
      <c r="A27" s="1689"/>
      <c r="B27" s="1691" t="s">
        <v>1960</v>
      </c>
      <c r="C27" s="1557"/>
      <c r="D27" s="1566" t="s">
        <v>1891</v>
      </c>
      <c r="E27" s="1598" t="s">
        <v>511</v>
      </c>
      <c r="F27" s="1581">
        <v>1</v>
      </c>
      <c r="G27" s="2163">
        <v>34</v>
      </c>
      <c r="H27" s="1690">
        <f>G27*F27*100</f>
        <v>3400</v>
      </c>
      <c r="N27" s="130"/>
    </row>
    <row r="28" spans="1:14" ht="12.9" customHeight="1">
      <c r="A28" s="1689"/>
      <c r="B28" s="1691" t="str">
        <f>B8</f>
        <v>ELEC-9.1.2</v>
      </c>
      <c r="C28" s="1557"/>
      <c r="D28" s="1566" t="s">
        <v>951</v>
      </c>
      <c r="E28" s="1598" t="s">
        <v>1410</v>
      </c>
      <c r="F28" s="1581">
        <v>2</v>
      </c>
      <c r="G28" s="2163">
        <v>45</v>
      </c>
      <c r="H28" s="1690">
        <f>F28*G28</f>
        <v>90</v>
      </c>
      <c r="N28" s="128">
        <f>0.96+0.28</f>
        <v>1.24</v>
      </c>
    </row>
    <row r="29" spans="1:14" ht="12.9" customHeight="1">
      <c r="A29" s="1689"/>
      <c r="B29" s="1691" t="str">
        <f>B9</f>
        <v>ELEC-1.4.4-d</v>
      </c>
      <c r="C29" s="1557"/>
      <c r="D29" s="1566" t="s">
        <v>1435</v>
      </c>
      <c r="E29" s="1598" t="s">
        <v>1410</v>
      </c>
      <c r="F29" s="1581">
        <v>2</v>
      </c>
      <c r="G29" s="2163">
        <v>142</v>
      </c>
      <c r="H29" s="1690">
        <f>F29*G29</f>
        <v>284</v>
      </c>
    </row>
    <row r="30" spans="1:14" ht="12.75" customHeight="1">
      <c r="A30" s="1689"/>
      <c r="B30" s="1691" t="str">
        <f>B10</f>
        <v>ELEC-1.1.11 B</v>
      </c>
      <c r="C30" s="1557"/>
      <c r="D30" s="1566" t="s">
        <v>1892</v>
      </c>
      <c r="E30" s="1598" t="s">
        <v>454</v>
      </c>
      <c r="F30" s="1581">
        <v>200</v>
      </c>
      <c r="G30" s="2163">
        <v>3.19</v>
      </c>
      <c r="H30" s="1690">
        <f>F30*G30</f>
        <v>638</v>
      </c>
      <c r="N30" s="130"/>
    </row>
    <row r="31" spans="1:14" ht="12.75" customHeight="1">
      <c r="A31" s="1689"/>
      <c r="B31" s="1691" t="str">
        <f>B11</f>
        <v>ELEC-1.2.6-B</v>
      </c>
      <c r="C31" s="1557"/>
      <c r="D31" s="1566" t="s">
        <v>1462</v>
      </c>
      <c r="E31" s="1598" t="s">
        <v>856</v>
      </c>
      <c r="F31" s="1581">
        <v>12</v>
      </c>
      <c r="G31" s="2163">
        <v>29</v>
      </c>
      <c r="H31" s="1690">
        <f>F31*G31</f>
        <v>348</v>
      </c>
      <c r="N31" s="130"/>
    </row>
    <row r="32" spans="1:14" ht="12.75" customHeight="1">
      <c r="A32" s="1689"/>
      <c r="B32" s="1691" t="str">
        <f>B12</f>
        <v>ELEC-1.2.8-B</v>
      </c>
      <c r="C32" s="1557"/>
      <c r="D32" s="1566" t="s">
        <v>723</v>
      </c>
      <c r="E32" s="1598" t="s">
        <v>856</v>
      </c>
      <c r="F32" s="1581">
        <v>12</v>
      </c>
      <c r="G32" s="2163">
        <v>13</v>
      </c>
      <c r="H32" s="1690">
        <f>F32*G32</f>
        <v>156</v>
      </c>
      <c r="N32" s="130"/>
    </row>
    <row r="33" spans="1:8" ht="12.75" customHeight="1">
      <c r="A33" s="1689"/>
      <c r="B33" s="1691" t="s">
        <v>1437</v>
      </c>
      <c r="C33" s="1557"/>
      <c r="D33" s="1566" t="s">
        <v>523</v>
      </c>
      <c r="E33" s="1598" t="s">
        <v>347</v>
      </c>
      <c r="F33" s="1581">
        <v>25</v>
      </c>
      <c r="G33" s="2163">
        <f>'Lead- Input sheet '!R8</f>
        <v>6656</v>
      </c>
      <c r="H33" s="1690">
        <f>F33*G33/1000</f>
        <v>166.4</v>
      </c>
    </row>
    <row r="34" spans="1:8" ht="12.75" customHeight="1">
      <c r="A34" s="1689"/>
      <c r="B34" s="1710"/>
      <c r="C34" s="1557"/>
      <c r="D34" s="1566" t="s">
        <v>512</v>
      </c>
      <c r="E34" s="1598"/>
      <c r="F34" s="1581"/>
      <c r="G34" s="2163"/>
      <c r="H34" s="1598"/>
    </row>
    <row r="35" spans="1:8" ht="12.75" customHeight="1">
      <c r="A35" s="1689"/>
      <c r="B35" s="1691"/>
      <c r="C35" s="1557"/>
      <c r="D35" s="1566" t="s">
        <v>513</v>
      </c>
      <c r="E35" s="1598" t="s">
        <v>1047</v>
      </c>
      <c r="F35" s="1581">
        <v>2</v>
      </c>
      <c r="G35" s="2163">
        <f>G16</f>
        <v>775</v>
      </c>
      <c r="H35" s="1690">
        <f>F35*G35</f>
        <v>1550</v>
      </c>
    </row>
    <row r="36" spans="1:8" ht="12.75" customHeight="1">
      <c r="A36" s="1689"/>
      <c r="B36" s="1691"/>
      <c r="C36" s="1557"/>
      <c r="D36" s="1566" t="s">
        <v>514</v>
      </c>
      <c r="E36" s="1598" t="s">
        <v>1047</v>
      </c>
      <c r="F36" s="1581">
        <v>2</v>
      </c>
      <c r="G36" s="2163">
        <f>G17</f>
        <v>650</v>
      </c>
      <c r="H36" s="1690">
        <f>F36*G36</f>
        <v>1300</v>
      </c>
    </row>
    <row r="37" spans="1:8" ht="12.75" customHeight="1">
      <c r="A37" s="1689"/>
      <c r="B37" s="1691"/>
      <c r="C37" s="1557"/>
      <c r="D37" s="1566" t="s">
        <v>515</v>
      </c>
      <c r="E37" s="1598" t="s">
        <v>1047</v>
      </c>
      <c r="F37" s="1581">
        <v>2</v>
      </c>
      <c r="G37" s="2163">
        <f>G18</f>
        <v>650</v>
      </c>
      <c r="H37" s="1690">
        <f>F37*G37</f>
        <v>1300</v>
      </c>
    </row>
    <row r="38" spans="1:8" ht="12.9" customHeight="1">
      <c r="A38" s="1689"/>
      <c r="B38" s="1710"/>
      <c r="C38" s="1557"/>
      <c r="D38" s="1566" t="s">
        <v>896</v>
      </c>
      <c r="E38" s="1594"/>
      <c r="F38" s="1594">
        <f>'Lead- Input sheet '!Q31</f>
        <v>0</v>
      </c>
      <c r="G38" s="1692">
        <f>SUM(H35:H37)</f>
        <v>4150</v>
      </c>
      <c r="H38" s="1692">
        <f>ROUND(G38*F38,2)</f>
        <v>0</v>
      </c>
    </row>
    <row r="39" spans="1:8" ht="12.75" customHeight="1">
      <c r="A39" s="1689"/>
      <c r="B39" s="1710"/>
      <c r="C39" s="1557"/>
      <c r="D39" s="1566" t="s">
        <v>707</v>
      </c>
      <c r="E39" s="1598"/>
      <c r="F39" s="1581"/>
      <c r="G39" s="1690"/>
      <c r="H39" s="1690">
        <f>SUM(H27:H38)</f>
        <v>9232.4</v>
      </c>
    </row>
    <row r="40" spans="1:8" s="2165" customFormat="1" ht="12.75" customHeight="1">
      <c r="A40" s="1693"/>
      <c r="B40" s="2164"/>
      <c r="C40" s="1557"/>
      <c r="D40" s="1575" t="s">
        <v>708</v>
      </c>
      <c r="E40" s="1694"/>
      <c r="F40" s="1557"/>
      <c r="G40" s="1695"/>
      <c r="H40" s="1695">
        <f>ROUND(H39/100,2)</f>
        <v>92.32</v>
      </c>
    </row>
    <row r="41" spans="1:8" s="2165" customFormat="1" ht="12.9" customHeight="1">
      <c r="A41" s="1693"/>
      <c r="B41" s="2164"/>
      <c r="C41" s="1557"/>
      <c r="D41" s="1575" t="s">
        <v>1000</v>
      </c>
      <c r="E41" s="1694"/>
      <c r="F41" s="1697">
        <f>'Lead- Input sheet '!Q32</f>
        <v>0</v>
      </c>
      <c r="G41" s="1695">
        <f>H40</f>
        <v>92.32</v>
      </c>
      <c r="H41" s="1694">
        <f>ROUND(G41*F41,2)</f>
        <v>0</v>
      </c>
    </row>
    <row r="42" spans="1:8" s="2165" customFormat="1" ht="12.9" customHeight="1">
      <c r="A42" s="1693"/>
      <c r="B42" s="2164"/>
      <c r="C42" s="1557"/>
      <c r="D42" s="1575" t="s">
        <v>1460</v>
      </c>
      <c r="E42" s="1694"/>
      <c r="F42" s="1557"/>
      <c r="G42" s="1695" t="s">
        <v>416</v>
      </c>
      <c r="H42" s="1698">
        <f>ROUND(SUM(H40:H41),2)</f>
        <v>92.32</v>
      </c>
    </row>
    <row r="43" spans="1:8" s="2165" customFormat="1" ht="12.9" customHeight="1">
      <c r="A43" s="1693">
        <v>3</v>
      </c>
      <c r="B43" s="2164"/>
      <c r="C43" s="1557"/>
      <c r="D43" s="1699" t="s">
        <v>1322</v>
      </c>
      <c r="E43" s="1694"/>
      <c r="F43" s="1557"/>
      <c r="G43" s="1695"/>
      <c r="H43" s="1698"/>
    </row>
    <row r="44" spans="1:8" s="2165" customFormat="1" ht="60.75" customHeight="1">
      <c r="A44" s="1693"/>
      <c r="B44" s="1714" t="s">
        <v>1321</v>
      </c>
      <c r="C44" s="1557" t="s">
        <v>1323</v>
      </c>
      <c r="D44" s="1566" t="s">
        <v>1320</v>
      </c>
      <c r="E44" s="1581"/>
      <c r="F44" s="1581"/>
      <c r="G44" s="1695"/>
      <c r="H44" s="1698"/>
    </row>
    <row r="45" spans="1:8" s="2165" customFormat="1" ht="12.9" customHeight="1">
      <c r="A45" s="1693"/>
      <c r="B45" s="2164"/>
      <c r="C45" s="1557"/>
      <c r="D45" s="1566" t="s">
        <v>510</v>
      </c>
      <c r="E45" s="1581"/>
      <c r="F45" s="1581"/>
      <c r="G45" s="1695"/>
      <c r="H45" s="1698"/>
    </row>
    <row r="46" spans="1:8" s="2165" customFormat="1" ht="12.9" customHeight="1">
      <c r="A46" s="1693"/>
      <c r="B46" s="2164"/>
      <c r="C46" s="1557"/>
      <c r="D46" s="1575" t="s">
        <v>526</v>
      </c>
      <c r="E46" s="1581"/>
      <c r="F46" s="1581"/>
      <c r="G46" s="1695"/>
      <c r="H46" s="1698"/>
    </row>
    <row r="47" spans="1:8" s="2165" customFormat="1" ht="12.9" customHeight="1">
      <c r="A47" s="1693"/>
      <c r="B47" s="1691" t="s">
        <v>1962</v>
      </c>
      <c r="C47" s="1557"/>
      <c r="D47" s="1566" t="s">
        <v>1893</v>
      </c>
      <c r="E47" s="1598" t="s">
        <v>511</v>
      </c>
      <c r="F47" s="1581">
        <v>1</v>
      </c>
      <c r="G47" s="2163">
        <v>47</v>
      </c>
      <c r="H47" s="1690">
        <f>ROUND(F47*G47*100,2)</f>
        <v>4700</v>
      </c>
    </row>
    <row r="48" spans="1:8" s="2165" customFormat="1" ht="12.9" customHeight="1">
      <c r="A48" s="1693"/>
      <c r="B48" s="2164"/>
      <c r="C48" s="1557"/>
      <c r="D48" s="1700" t="s">
        <v>1194</v>
      </c>
      <c r="E48" s="1701" t="s">
        <v>1410</v>
      </c>
      <c r="F48" s="1581">
        <v>2</v>
      </c>
      <c r="G48" s="1695"/>
      <c r="H48" s="1690">
        <f>ROUND(F48*G48*100,2)</f>
        <v>0</v>
      </c>
    </row>
    <row r="49" spans="1:17" s="2165" customFormat="1" ht="12.9" customHeight="1">
      <c r="A49" s="1693"/>
      <c r="B49" s="1691" t="s">
        <v>3574</v>
      </c>
      <c r="C49" s="1557"/>
      <c r="D49" s="1566" t="s">
        <v>293</v>
      </c>
      <c r="E49" s="1701" t="s">
        <v>856</v>
      </c>
      <c r="F49" s="1581">
        <v>12</v>
      </c>
      <c r="G49" s="2163">
        <v>37</v>
      </c>
      <c r="H49" s="1690">
        <f>ROUND(F49*G49,2)</f>
        <v>444</v>
      </c>
    </row>
    <row r="50" spans="1:17" s="2165" customFormat="1" ht="12.9" customHeight="1">
      <c r="A50" s="1693"/>
      <c r="B50" s="1691" t="str">
        <f>B12</f>
        <v>ELEC-1.2.8-B</v>
      </c>
      <c r="C50" s="1557"/>
      <c r="D50" s="1566" t="s">
        <v>294</v>
      </c>
      <c r="E50" s="1701" t="s">
        <v>856</v>
      </c>
      <c r="F50" s="1581">
        <v>12</v>
      </c>
      <c r="G50" s="2163">
        <f>G32</f>
        <v>13</v>
      </c>
      <c r="H50" s="1690">
        <f>ROUND(F50*G50,2)</f>
        <v>156</v>
      </c>
    </row>
    <row r="51" spans="1:17" s="2165" customFormat="1" ht="12.9" customHeight="1">
      <c r="A51" s="1693"/>
      <c r="B51" s="2164" t="s">
        <v>1197</v>
      </c>
      <c r="C51" s="1557"/>
      <c r="D51" s="1566" t="s">
        <v>523</v>
      </c>
      <c r="E51" s="1701" t="s">
        <v>347</v>
      </c>
      <c r="F51" s="1581">
        <v>50</v>
      </c>
      <c r="G51" s="1690">
        <f>'Lead- Input sheet '!R8</f>
        <v>6656</v>
      </c>
      <c r="H51" s="1690">
        <f>ROUND(F51*G51/1000,2)</f>
        <v>332.8</v>
      </c>
      <c r="Q51" s="2165">
        <f>8303-275+265</f>
        <v>8293</v>
      </c>
    </row>
    <row r="52" spans="1:17" s="2165" customFormat="1" ht="12.9" customHeight="1">
      <c r="A52" s="1693"/>
      <c r="B52" s="2164"/>
      <c r="C52" s="1557"/>
      <c r="D52" s="1575" t="s">
        <v>512</v>
      </c>
      <c r="E52" s="1701"/>
      <c r="F52" s="1581"/>
      <c r="G52" s="1695"/>
      <c r="H52" s="1690"/>
    </row>
    <row r="53" spans="1:17" s="2165" customFormat="1" ht="12.9" customHeight="1">
      <c r="A53" s="1693"/>
      <c r="B53" s="1691"/>
      <c r="C53" s="1557"/>
      <c r="D53" s="1566" t="s">
        <v>513</v>
      </c>
      <c r="E53" s="1701" t="s">
        <v>1047</v>
      </c>
      <c r="F53" s="1581">
        <v>2</v>
      </c>
      <c r="G53" s="1690">
        <f>G35</f>
        <v>775</v>
      </c>
      <c r="H53" s="1690">
        <f>ROUND(F53*G53,2)</f>
        <v>1550</v>
      </c>
    </row>
    <row r="54" spans="1:17" s="2165" customFormat="1" ht="12.9" customHeight="1">
      <c r="A54" s="1693"/>
      <c r="B54" s="1691"/>
      <c r="C54" s="1557" t="s">
        <v>2003</v>
      </c>
      <c r="D54" s="1566" t="s">
        <v>514</v>
      </c>
      <c r="E54" s="1701" t="s">
        <v>1047</v>
      </c>
      <c r="F54" s="1581">
        <v>2</v>
      </c>
      <c r="G54" s="1690">
        <f>G36</f>
        <v>650</v>
      </c>
      <c r="H54" s="1690">
        <f>ROUND(F54*G54,2)</f>
        <v>1300</v>
      </c>
    </row>
    <row r="55" spans="1:17" s="2165" customFormat="1" ht="12.9" customHeight="1">
      <c r="A55" s="1693"/>
      <c r="B55" s="1691"/>
      <c r="C55" s="1557"/>
      <c r="D55" s="1566" t="s">
        <v>515</v>
      </c>
      <c r="E55" s="1701" t="s">
        <v>1047</v>
      </c>
      <c r="F55" s="1581">
        <v>2</v>
      </c>
      <c r="G55" s="1690">
        <f>G37</f>
        <v>650</v>
      </c>
      <c r="H55" s="1690">
        <f>ROUND(F55*G55,2)</f>
        <v>1300</v>
      </c>
    </row>
    <row r="56" spans="1:17" s="2165" customFormat="1" ht="12.9" customHeight="1">
      <c r="A56" s="1693"/>
      <c r="B56" s="2164"/>
      <c r="C56" s="1557"/>
      <c r="D56" s="1566" t="s">
        <v>496</v>
      </c>
      <c r="E56" s="1701" t="s">
        <v>1047</v>
      </c>
      <c r="F56" s="1581">
        <v>2</v>
      </c>
      <c r="G56" s="1690">
        <f>'Lead- Input sheet '!R31</f>
        <v>680</v>
      </c>
      <c r="H56" s="1690">
        <f>ROUND(F56*G56,2)</f>
        <v>1360</v>
      </c>
    </row>
    <row r="57" spans="1:17" ht="12.9" customHeight="1">
      <c r="A57" s="1689"/>
      <c r="B57" s="1710"/>
      <c r="C57" s="1557"/>
      <c r="D57" s="1566" t="s">
        <v>896</v>
      </c>
      <c r="E57" s="1594"/>
      <c r="F57" s="1594">
        <f>'Lead- Input sheet '!Q31</f>
        <v>0</v>
      </c>
      <c r="G57" s="1692">
        <f>SUM(H53:H56)</f>
        <v>5510</v>
      </c>
      <c r="H57" s="1692">
        <f>ROUND(G57*F57,2)</f>
        <v>0</v>
      </c>
    </row>
    <row r="58" spans="1:17" s="2165" customFormat="1" ht="12.75" customHeight="1">
      <c r="A58" s="1693"/>
      <c r="B58" s="2164"/>
      <c r="C58" s="1557"/>
      <c r="D58" s="1575" t="s">
        <v>708</v>
      </c>
      <c r="E58" s="1694"/>
      <c r="F58" s="1557"/>
      <c r="G58" s="1695"/>
      <c r="H58" s="1695">
        <f>ROUND(SUM(H47:H57)/100,2)</f>
        <v>111.43</v>
      </c>
    </row>
    <row r="59" spans="1:17" s="2165" customFormat="1" ht="12.9" customHeight="1">
      <c r="A59" s="1693"/>
      <c r="B59" s="2164"/>
      <c r="C59" s="1557"/>
      <c r="D59" s="1575" t="s">
        <v>1000</v>
      </c>
      <c r="E59" s="1694"/>
      <c r="F59" s="1697">
        <f>'Lead- Input sheet '!Q32</f>
        <v>0</v>
      </c>
      <c r="G59" s="1695">
        <f>H58</f>
        <v>111.43</v>
      </c>
      <c r="H59" s="1694">
        <f>ROUND(G59*F59,2)</f>
        <v>0</v>
      </c>
    </row>
    <row r="60" spans="1:17" s="2165" customFormat="1" ht="12.9" customHeight="1">
      <c r="A60" s="1693"/>
      <c r="B60" s="2164"/>
      <c r="C60" s="1557" t="s">
        <v>1602</v>
      </c>
      <c r="D60" s="1575" t="s">
        <v>1460</v>
      </c>
      <c r="E60" s="1694"/>
      <c r="F60" s="1557"/>
      <c r="G60" s="1695" t="s">
        <v>416</v>
      </c>
      <c r="H60" s="1695">
        <f>ROUND(SUM(H58:H59),2)</f>
        <v>111.43</v>
      </c>
    </row>
    <row r="61" spans="1:17" s="2165" customFormat="1" ht="60" customHeight="1">
      <c r="A61" s="1693"/>
      <c r="B61" s="1714" t="s">
        <v>1321</v>
      </c>
      <c r="C61" s="1557" t="s">
        <v>1193</v>
      </c>
      <c r="D61" s="1566" t="s">
        <v>1244</v>
      </c>
      <c r="E61" s="1581"/>
      <c r="F61" s="1581"/>
      <c r="G61" s="1695"/>
      <c r="H61" s="1698"/>
    </row>
    <row r="62" spans="1:17" s="2165" customFormat="1" ht="12.9" customHeight="1">
      <c r="A62" s="1693"/>
      <c r="B62" s="2164"/>
      <c r="C62" s="1557"/>
      <c r="D62" s="1566" t="s">
        <v>510</v>
      </c>
      <c r="E62" s="1581"/>
      <c r="F62" s="1581"/>
      <c r="G62" s="1695"/>
      <c r="H62" s="1698"/>
    </row>
    <row r="63" spans="1:17" s="2165" customFormat="1" ht="12.9" customHeight="1">
      <c r="A63" s="1693"/>
      <c r="B63" s="2164"/>
      <c r="C63" s="1557"/>
      <c r="D63" s="1575" t="s">
        <v>526</v>
      </c>
      <c r="E63" s="1581"/>
      <c r="F63" s="1581"/>
      <c r="G63" s="1695"/>
      <c r="H63" s="1698"/>
    </row>
    <row r="64" spans="1:17" s="2165" customFormat="1" ht="12.9" customHeight="1">
      <c r="A64" s="1693"/>
      <c r="B64" s="1691" t="s">
        <v>1894</v>
      </c>
      <c r="C64" s="1557"/>
      <c r="D64" s="1566" t="s">
        <v>1895</v>
      </c>
      <c r="E64" s="1701" t="s">
        <v>511</v>
      </c>
      <c r="F64" s="1581">
        <v>1</v>
      </c>
      <c r="G64" s="2163">
        <f>G47</f>
        <v>47</v>
      </c>
      <c r="H64" s="1690">
        <f>ROUND(F64*G64*100,2)</f>
        <v>4700</v>
      </c>
    </row>
    <row r="65" spans="1:14" s="2165" customFormat="1" ht="12.9" customHeight="1">
      <c r="A65" s="1693"/>
      <c r="B65" s="1691" t="s">
        <v>3574</v>
      </c>
      <c r="C65" s="1557"/>
      <c r="D65" s="1566" t="s">
        <v>1195</v>
      </c>
      <c r="E65" s="1701" t="s">
        <v>856</v>
      </c>
      <c r="F65" s="1581">
        <v>12</v>
      </c>
      <c r="G65" s="2163">
        <f>G49</f>
        <v>37</v>
      </c>
      <c r="H65" s="1690">
        <f>ROUND(F65*G65,2)</f>
        <v>444</v>
      </c>
    </row>
    <row r="66" spans="1:14" s="2165" customFormat="1" ht="12.9" customHeight="1">
      <c r="A66" s="1693"/>
      <c r="B66" s="1691" t="s">
        <v>2650</v>
      </c>
      <c r="C66" s="1557"/>
      <c r="D66" s="1566" t="s">
        <v>1196</v>
      </c>
      <c r="E66" s="1701" t="s">
        <v>856</v>
      </c>
      <c r="F66" s="1581">
        <v>12</v>
      </c>
      <c r="G66" s="2163">
        <f>G50</f>
        <v>13</v>
      </c>
      <c r="H66" s="1690">
        <f>ROUND(F66*G66,2)</f>
        <v>156</v>
      </c>
    </row>
    <row r="67" spans="1:14" s="2165" customFormat="1" ht="12.9" customHeight="1">
      <c r="A67" s="1693"/>
      <c r="B67" s="2164"/>
      <c r="C67" s="1693"/>
      <c r="D67" s="1575" t="s">
        <v>512</v>
      </c>
      <c r="E67" s="1701"/>
      <c r="F67" s="1581"/>
      <c r="G67" s="1695"/>
      <c r="H67" s="1698"/>
    </row>
    <row r="68" spans="1:14" s="2165" customFormat="1" ht="12.9" customHeight="1">
      <c r="A68" s="1693"/>
      <c r="B68" s="1691"/>
      <c r="C68" s="1693"/>
      <c r="D68" s="1566" t="s">
        <v>513</v>
      </c>
      <c r="E68" s="1701" t="s">
        <v>1047</v>
      </c>
      <c r="F68" s="1581">
        <v>2</v>
      </c>
      <c r="G68" s="1690">
        <f>G53</f>
        <v>775</v>
      </c>
      <c r="H68" s="1690">
        <f>ROUND(F68*G68,2)</f>
        <v>1550</v>
      </c>
    </row>
    <row r="69" spans="1:14" s="2165" customFormat="1" ht="12.9" customHeight="1">
      <c r="A69" s="1693"/>
      <c r="B69" s="1691"/>
      <c r="C69" s="1693"/>
      <c r="D69" s="1566" t="s">
        <v>514</v>
      </c>
      <c r="E69" s="1701" t="s">
        <v>1047</v>
      </c>
      <c r="F69" s="1581">
        <v>2</v>
      </c>
      <c r="G69" s="1690">
        <f>G54</f>
        <v>650</v>
      </c>
      <c r="H69" s="1690">
        <f>ROUND(F69*G69,2)</f>
        <v>1300</v>
      </c>
    </row>
    <row r="70" spans="1:14" s="2165" customFormat="1" ht="12.9" customHeight="1">
      <c r="A70" s="1693"/>
      <c r="B70" s="1691"/>
      <c r="C70" s="1693"/>
      <c r="D70" s="1566" t="s">
        <v>515</v>
      </c>
      <c r="E70" s="1701" t="s">
        <v>1047</v>
      </c>
      <c r="F70" s="1581">
        <v>2</v>
      </c>
      <c r="G70" s="1690">
        <f>G55</f>
        <v>650</v>
      </c>
      <c r="H70" s="1690">
        <f>ROUND(F70*G70,2)</f>
        <v>1300</v>
      </c>
    </row>
    <row r="71" spans="1:14" ht="12.9" customHeight="1">
      <c r="A71" s="1689"/>
      <c r="B71" s="1710"/>
      <c r="C71" s="1557"/>
      <c r="D71" s="1566" t="s">
        <v>896</v>
      </c>
      <c r="E71" s="1594"/>
      <c r="F71" s="1594">
        <f>'Lead- Input sheet '!Q31</f>
        <v>0</v>
      </c>
      <c r="G71" s="1692">
        <f>SUM(H68:H70)</f>
        <v>4150</v>
      </c>
      <c r="H71" s="1692">
        <f>ROUND(G71*F71,2)</f>
        <v>0</v>
      </c>
    </row>
    <row r="72" spans="1:14" s="2165" customFormat="1" ht="12.75" customHeight="1">
      <c r="A72" s="1693"/>
      <c r="B72" s="2164"/>
      <c r="C72" s="1557"/>
      <c r="D72" s="1575" t="s">
        <v>708</v>
      </c>
      <c r="E72" s="1694"/>
      <c r="F72" s="1557"/>
      <c r="G72" s="1695"/>
      <c r="H72" s="1695">
        <f>ROUND(SUM(H64:H71)/100,2)</f>
        <v>94.5</v>
      </c>
    </row>
    <row r="73" spans="1:14" s="2165" customFormat="1" ht="12.9" customHeight="1">
      <c r="A73" s="1693"/>
      <c r="B73" s="2164"/>
      <c r="C73" s="1557"/>
      <c r="D73" s="1575" t="s">
        <v>1000</v>
      </c>
      <c r="E73" s="1694"/>
      <c r="F73" s="1697">
        <f>'Lead- Input sheet '!Q32</f>
        <v>0</v>
      </c>
      <c r="G73" s="1695">
        <f>H72</f>
        <v>94.5</v>
      </c>
      <c r="H73" s="1694">
        <f>ROUND(G73*F73,2)</f>
        <v>0</v>
      </c>
    </row>
    <row r="74" spans="1:14" s="2165" customFormat="1" ht="12.9" customHeight="1">
      <c r="A74" s="1693"/>
      <c r="B74" s="2164"/>
      <c r="C74" s="1557"/>
      <c r="D74" s="1575" t="s">
        <v>1460</v>
      </c>
      <c r="E74" s="1694"/>
      <c r="F74" s="1557"/>
      <c r="G74" s="1695" t="s">
        <v>416</v>
      </c>
      <c r="H74" s="1695">
        <f>ROUND(SUM(H72:H73),2)</f>
        <v>94.5</v>
      </c>
    </row>
    <row r="75" spans="1:14" s="128" customFormat="1" ht="12.9" customHeight="1">
      <c r="A75" s="1689"/>
      <c r="B75" s="2164" t="s">
        <v>709</v>
      </c>
      <c r="C75" s="1557">
        <v>2</v>
      </c>
      <c r="D75" s="1566" t="s">
        <v>1125</v>
      </c>
      <c r="E75" s="1598"/>
      <c r="F75" s="1581"/>
      <c r="G75" s="1690"/>
      <c r="H75" s="1598"/>
      <c r="I75" s="2685" t="s">
        <v>626</v>
      </c>
    </row>
    <row r="76" spans="1:14" ht="28.5" customHeight="1">
      <c r="A76" s="1689"/>
      <c r="B76" s="2164" t="s">
        <v>1126</v>
      </c>
      <c r="C76" s="1693">
        <v>2.1</v>
      </c>
      <c r="D76" s="1575" t="s">
        <v>973</v>
      </c>
      <c r="E76" s="1598"/>
      <c r="F76" s="1581"/>
      <c r="G76" s="1690"/>
      <c r="H76" s="1598"/>
      <c r="I76" s="2685"/>
    </row>
    <row r="77" spans="1:14" ht="157.9" hidden="1" customHeight="1">
      <c r="A77" s="1689">
        <v>3</v>
      </c>
      <c r="B77" s="2164"/>
      <c r="C77" s="1557" t="s">
        <v>974</v>
      </c>
      <c r="D77" s="1566" t="s">
        <v>3203</v>
      </c>
      <c r="E77" s="1598"/>
      <c r="F77" s="1581"/>
      <c r="G77" s="1690"/>
      <c r="H77" s="1598"/>
      <c r="I77" s="2668" t="s">
        <v>1348</v>
      </c>
    </row>
    <row r="78" spans="1:14" ht="12.9" hidden="1" customHeight="1">
      <c r="A78" s="1689"/>
      <c r="B78" s="1710"/>
      <c r="C78" s="1557"/>
      <c r="D78" s="1566" t="s">
        <v>351</v>
      </c>
      <c r="E78" s="1598"/>
      <c r="F78" s="1581"/>
      <c r="G78" s="1690"/>
      <c r="H78" s="1598"/>
      <c r="I78" s="2668"/>
    </row>
    <row r="79" spans="1:14" ht="12.9" hidden="1" customHeight="1">
      <c r="A79" s="1689"/>
      <c r="B79" s="1710"/>
      <c r="C79" s="1557"/>
      <c r="D79" s="1566" t="s">
        <v>526</v>
      </c>
      <c r="E79" s="1598"/>
      <c r="F79" s="1581"/>
      <c r="G79" s="1690"/>
      <c r="H79" s="1598"/>
      <c r="I79" s="2668"/>
    </row>
    <row r="80" spans="1:14" ht="12.9" hidden="1" customHeight="1">
      <c r="A80" s="1689"/>
      <c r="B80" s="1691" t="s">
        <v>2598</v>
      </c>
      <c r="C80" s="1557"/>
      <c r="D80" s="1566" t="s">
        <v>3202</v>
      </c>
      <c r="E80" s="1598" t="s">
        <v>511</v>
      </c>
      <c r="F80" s="1581">
        <v>1</v>
      </c>
      <c r="G80" s="1690">
        <v>13.43</v>
      </c>
      <c r="H80" s="1690">
        <f>F80*G80*100</f>
        <v>1343</v>
      </c>
      <c r="N80" s="128">
        <f>1103/100</f>
        <v>11.03</v>
      </c>
    </row>
    <row r="81" spans="1:8" ht="12.9" hidden="1" customHeight="1">
      <c r="A81" s="1689"/>
      <c r="B81" s="1691" t="s">
        <v>1965</v>
      </c>
      <c r="C81" s="1557"/>
      <c r="D81" s="1566" t="s">
        <v>429</v>
      </c>
      <c r="E81" s="1598" t="s">
        <v>334</v>
      </c>
      <c r="F81" s="1581">
        <v>6</v>
      </c>
      <c r="G81" s="1690">
        <v>20</v>
      </c>
      <c r="H81" s="1690">
        <f>F81*G81</f>
        <v>120</v>
      </c>
    </row>
    <row r="82" spans="1:8" ht="12.9" hidden="1" customHeight="1">
      <c r="A82" s="1689"/>
      <c r="B82" s="1691" t="s">
        <v>1963</v>
      </c>
      <c r="C82" s="1557"/>
      <c r="D82" s="1566" t="s">
        <v>1848</v>
      </c>
      <c r="E82" s="1598" t="s">
        <v>334</v>
      </c>
      <c r="F82" s="1581">
        <v>6</v>
      </c>
      <c r="G82" s="1690">
        <v>25</v>
      </c>
      <c r="H82" s="1690">
        <f>F82*G82</f>
        <v>150</v>
      </c>
    </row>
    <row r="83" spans="1:8" ht="12.9" hidden="1" customHeight="1">
      <c r="A83" s="1689"/>
      <c r="B83" s="1691" t="s">
        <v>1964</v>
      </c>
      <c r="C83" s="1557"/>
      <c r="D83" s="1566" t="s">
        <v>938</v>
      </c>
      <c r="E83" s="1598" t="s">
        <v>2000</v>
      </c>
      <c r="F83" s="1581">
        <v>80</v>
      </c>
      <c r="G83" s="1690">
        <v>1</v>
      </c>
      <c r="H83" s="1690">
        <f>F83*G83</f>
        <v>80</v>
      </c>
    </row>
    <row r="84" spans="1:8" ht="12.9" hidden="1" customHeight="1">
      <c r="A84" s="1689"/>
      <c r="B84" s="1710"/>
      <c r="C84" s="1557" t="s">
        <v>1926</v>
      </c>
      <c r="D84" s="1566" t="s">
        <v>512</v>
      </c>
      <c r="E84" s="1598"/>
      <c r="F84" s="1581"/>
      <c r="G84" s="1690"/>
      <c r="H84" s="1690"/>
    </row>
    <row r="85" spans="1:8" ht="12.9" hidden="1" customHeight="1">
      <c r="A85" s="1689"/>
      <c r="B85" s="1691"/>
      <c r="C85" s="1557"/>
      <c r="D85" s="1566" t="s">
        <v>513</v>
      </c>
      <c r="E85" s="1598" t="s">
        <v>1047</v>
      </c>
      <c r="F85" s="1581">
        <v>0.6</v>
      </c>
      <c r="G85" s="1690">
        <f>G68</f>
        <v>775</v>
      </c>
      <c r="H85" s="1690">
        <f>F85*G85</f>
        <v>465</v>
      </c>
    </row>
    <row r="86" spans="1:8" ht="12.9" hidden="1" customHeight="1">
      <c r="A86" s="1689"/>
      <c r="B86" s="1691"/>
      <c r="C86" s="1557"/>
      <c r="D86" s="1566" t="s">
        <v>514</v>
      </c>
      <c r="E86" s="1598" t="s">
        <v>1047</v>
      </c>
      <c r="F86" s="1581">
        <v>1.2</v>
      </c>
      <c r="G86" s="1690">
        <f>G69</f>
        <v>650</v>
      </c>
      <c r="H86" s="1690">
        <f>F86*G86</f>
        <v>780</v>
      </c>
    </row>
    <row r="87" spans="1:8" ht="12.9" hidden="1" customHeight="1">
      <c r="A87" s="1689"/>
      <c r="B87" s="1691"/>
      <c r="C87" s="1557"/>
      <c r="D87" s="1566" t="s">
        <v>515</v>
      </c>
      <c r="E87" s="1598" t="s">
        <v>1047</v>
      </c>
      <c r="F87" s="1581">
        <v>0.6</v>
      </c>
      <c r="G87" s="1690">
        <f>G70</f>
        <v>650</v>
      </c>
      <c r="H87" s="1690">
        <f>F87*G87</f>
        <v>390</v>
      </c>
    </row>
    <row r="88" spans="1:8" ht="12.9" hidden="1" customHeight="1">
      <c r="A88" s="1689"/>
      <c r="B88" s="1710"/>
      <c r="C88" s="1557"/>
      <c r="D88" s="1566" t="s">
        <v>896</v>
      </c>
      <c r="E88" s="1594"/>
      <c r="F88" s="1594">
        <f>'Lead- Input sheet '!Q31</f>
        <v>0</v>
      </c>
      <c r="G88" s="1692">
        <f>SUM(H85:H87)</f>
        <v>1635</v>
      </c>
      <c r="H88" s="1692">
        <f>ROUND(G88*F88,2)</f>
        <v>0</v>
      </c>
    </row>
    <row r="89" spans="1:8" ht="12.9" hidden="1" customHeight="1">
      <c r="A89" s="1689"/>
      <c r="B89" s="1710"/>
      <c r="C89" s="1557"/>
      <c r="D89" s="1566" t="s">
        <v>939</v>
      </c>
      <c r="E89" s="1598"/>
      <c r="F89" s="1581"/>
      <c r="G89" s="1690"/>
      <c r="H89" s="1690">
        <f>SUM(H80:H88)</f>
        <v>3328</v>
      </c>
    </row>
    <row r="90" spans="1:8" s="2165" customFormat="1" ht="12.9" hidden="1" customHeight="1">
      <c r="A90" s="1693"/>
      <c r="B90" s="2164"/>
      <c r="C90" s="1557"/>
      <c r="D90" s="1575" t="s">
        <v>352</v>
      </c>
      <c r="E90" s="1694"/>
      <c r="F90" s="1557"/>
      <c r="G90" s="1695"/>
      <c r="H90" s="1695">
        <f>ROUND(H89/6,2)</f>
        <v>554.66999999999996</v>
      </c>
    </row>
    <row r="91" spans="1:8" s="2165" customFormat="1" ht="12.9" hidden="1" customHeight="1">
      <c r="A91" s="1693"/>
      <c r="B91" s="2164"/>
      <c r="C91" s="1557"/>
      <c r="D91" s="1575" t="s">
        <v>1000</v>
      </c>
      <c r="E91" s="1694"/>
      <c r="F91" s="1697">
        <f>'Lead- Input sheet '!Q32</f>
        <v>0</v>
      </c>
      <c r="G91" s="1695">
        <f>H90</f>
        <v>554.66999999999996</v>
      </c>
      <c r="H91" s="1694">
        <f>ROUND(G91*F91,2)</f>
        <v>0</v>
      </c>
    </row>
    <row r="92" spans="1:8" s="2165" customFormat="1" ht="12.9" hidden="1" customHeight="1">
      <c r="A92" s="1693"/>
      <c r="B92" s="2164"/>
      <c r="C92" s="1557"/>
      <c r="D92" s="1575" t="s">
        <v>433</v>
      </c>
      <c r="E92" s="1694"/>
      <c r="F92" s="1557"/>
      <c r="G92" s="1695" t="s">
        <v>416</v>
      </c>
      <c r="H92" s="1694">
        <f>ROUND(SUM(H90:H91),2)</f>
        <v>554.66999999999996</v>
      </c>
    </row>
    <row r="93" spans="1:8" s="128" customFormat="1" ht="135" hidden="1" customHeight="1">
      <c r="A93" s="1689">
        <v>4</v>
      </c>
      <c r="B93" s="2164"/>
      <c r="C93" s="1557" t="s">
        <v>940</v>
      </c>
      <c r="D93" s="1566" t="s">
        <v>3163</v>
      </c>
      <c r="E93" s="1598"/>
      <c r="F93" s="1581"/>
      <c r="G93" s="1690"/>
      <c r="H93" s="1690"/>
    </row>
    <row r="94" spans="1:8" s="128" customFormat="1" ht="12.9" hidden="1" customHeight="1">
      <c r="A94" s="1689"/>
      <c r="B94" s="1710"/>
      <c r="C94" s="1557"/>
      <c r="D94" s="1566" t="s">
        <v>351</v>
      </c>
      <c r="E94" s="1598"/>
      <c r="F94" s="1581"/>
      <c r="G94" s="1690"/>
      <c r="H94" s="1690"/>
    </row>
    <row r="95" spans="1:8" s="128" customFormat="1" ht="12.9" hidden="1" customHeight="1">
      <c r="A95" s="1689"/>
      <c r="B95" s="1710"/>
      <c r="C95" s="1557"/>
      <c r="D95" s="1566" t="s">
        <v>526</v>
      </c>
      <c r="E95" s="1598"/>
      <c r="F95" s="1581"/>
      <c r="G95" s="1690"/>
      <c r="H95" s="1690"/>
    </row>
    <row r="96" spans="1:8" s="128" customFormat="1" ht="12.9" hidden="1" customHeight="1">
      <c r="A96" s="1689"/>
      <c r="B96" s="1691" t="s">
        <v>1966</v>
      </c>
      <c r="C96" s="1557"/>
      <c r="D96" s="1566" t="s">
        <v>1349</v>
      </c>
      <c r="E96" s="1598" t="s">
        <v>511</v>
      </c>
      <c r="F96" s="1581">
        <v>1</v>
      </c>
      <c r="G96" s="1690">
        <v>10.5</v>
      </c>
      <c r="H96" s="1690">
        <f>F96*G96*100</f>
        <v>1050</v>
      </c>
    </row>
    <row r="97" spans="1:9" s="128" customFormat="1" ht="12.9" hidden="1" customHeight="1">
      <c r="A97" s="1689"/>
      <c r="B97" s="1691" t="s">
        <v>1965</v>
      </c>
      <c r="C97" s="1557"/>
      <c r="D97" s="1566" t="s">
        <v>429</v>
      </c>
      <c r="E97" s="1598" t="s">
        <v>334</v>
      </c>
      <c r="F97" s="1581">
        <v>6</v>
      </c>
      <c r="G97" s="1690">
        <f>G81</f>
        <v>20</v>
      </c>
      <c r="H97" s="1690">
        <f>F97*G97</f>
        <v>120</v>
      </c>
    </row>
    <row r="98" spans="1:9" s="128" customFormat="1" ht="12.9" hidden="1" customHeight="1">
      <c r="A98" s="1689"/>
      <c r="B98" s="1691" t="s">
        <v>1963</v>
      </c>
      <c r="C98" s="1557"/>
      <c r="D98" s="1566" t="s">
        <v>1849</v>
      </c>
      <c r="E98" s="1598" t="s">
        <v>334</v>
      </c>
      <c r="F98" s="1581">
        <v>6</v>
      </c>
      <c r="G98" s="1690">
        <f>G82</f>
        <v>25</v>
      </c>
      <c r="H98" s="1690">
        <f>F98*G98</f>
        <v>150</v>
      </c>
    </row>
    <row r="99" spans="1:9" s="128" customFormat="1" ht="12.9" hidden="1" customHeight="1">
      <c r="A99" s="1689"/>
      <c r="B99" s="1691" t="s">
        <v>1964</v>
      </c>
      <c r="C99" s="1557"/>
      <c r="D99" s="1566" t="s">
        <v>938</v>
      </c>
      <c r="E99" s="1598" t="s">
        <v>920</v>
      </c>
      <c r="F99" s="1581">
        <v>80</v>
      </c>
      <c r="G99" s="1690">
        <v>1</v>
      </c>
      <c r="H99" s="1690">
        <f>F99*G99</f>
        <v>80</v>
      </c>
      <c r="I99" s="1684"/>
    </row>
    <row r="100" spans="1:9" s="128" customFormat="1" ht="12.9" hidden="1" customHeight="1">
      <c r="A100" s="1689"/>
      <c r="B100" s="1710"/>
      <c r="C100" s="1557"/>
      <c r="D100" s="1566" t="s">
        <v>512</v>
      </c>
      <c r="E100" s="1598"/>
      <c r="F100" s="1581"/>
      <c r="G100" s="1690"/>
      <c r="H100" s="1690"/>
    </row>
    <row r="101" spans="1:9" s="128" customFormat="1" ht="12.9" hidden="1" customHeight="1">
      <c r="A101" s="1689"/>
      <c r="B101" s="1691"/>
      <c r="C101" s="1557"/>
      <c r="D101" s="1566" t="s">
        <v>513</v>
      </c>
      <c r="E101" s="1598" t="s">
        <v>1047</v>
      </c>
      <c r="F101" s="1581">
        <v>0.6</v>
      </c>
      <c r="G101" s="1690">
        <f>G85</f>
        <v>775</v>
      </c>
      <c r="H101" s="1690">
        <f>F101*G101</f>
        <v>465</v>
      </c>
    </row>
    <row r="102" spans="1:9" s="128" customFormat="1" ht="12.9" hidden="1" customHeight="1">
      <c r="A102" s="1689"/>
      <c r="B102" s="1691"/>
      <c r="C102" s="1557"/>
      <c r="D102" s="1566" t="s">
        <v>514</v>
      </c>
      <c r="E102" s="1598" t="s">
        <v>1047</v>
      </c>
      <c r="F102" s="1581">
        <v>1.2</v>
      </c>
      <c r="G102" s="1690">
        <f>G86</f>
        <v>650</v>
      </c>
      <c r="H102" s="1690">
        <f>F102*G102</f>
        <v>780</v>
      </c>
    </row>
    <row r="103" spans="1:9" s="128" customFormat="1" ht="12.9" hidden="1" customHeight="1">
      <c r="A103" s="1689"/>
      <c r="B103" s="1691"/>
      <c r="C103" s="1557"/>
      <c r="D103" s="1566" t="s">
        <v>515</v>
      </c>
      <c r="E103" s="1598" t="s">
        <v>1047</v>
      </c>
      <c r="F103" s="1581">
        <v>0.6</v>
      </c>
      <c r="G103" s="1690">
        <f>G87</f>
        <v>650</v>
      </c>
      <c r="H103" s="1690">
        <f>F103*G103</f>
        <v>390</v>
      </c>
    </row>
    <row r="104" spans="1:9" ht="12.9" hidden="1" customHeight="1">
      <c r="A104" s="1689"/>
      <c r="B104" s="1710"/>
      <c r="C104" s="1557"/>
      <c r="D104" s="1566" t="s">
        <v>896</v>
      </c>
      <c r="E104" s="1594"/>
      <c r="F104" s="1594">
        <f>'Lead- Input sheet '!Q31</f>
        <v>0</v>
      </c>
      <c r="G104" s="1692">
        <f>SUM(H101:H103)</f>
        <v>1635</v>
      </c>
      <c r="H104" s="1692">
        <f>ROUND(G104*F104,2)</f>
        <v>0</v>
      </c>
    </row>
    <row r="105" spans="1:9" s="128" customFormat="1" ht="12.9" hidden="1" customHeight="1">
      <c r="A105" s="1689"/>
      <c r="B105" s="1710"/>
      <c r="C105" s="1557"/>
      <c r="D105" s="1566" t="s">
        <v>939</v>
      </c>
      <c r="E105" s="1598"/>
      <c r="F105" s="1581"/>
      <c r="G105" s="1690"/>
      <c r="H105" s="1690">
        <f>SUM(H96:H104)</f>
        <v>3035</v>
      </c>
    </row>
    <row r="106" spans="1:9" s="128" customFormat="1" ht="12.9" hidden="1" customHeight="1">
      <c r="A106" s="1689"/>
      <c r="B106" s="1710"/>
      <c r="C106" s="1557"/>
      <c r="D106" s="1566" t="s">
        <v>941</v>
      </c>
      <c r="E106" s="1598"/>
      <c r="F106" s="1581"/>
      <c r="G106" s="1690"/>
      <c r="H106" s="1690">
        <f>ROUND(H105/6,2)</f>
        <v>505.83</v>
      </c>
    </row>
    <row r="107" spans="1:9" s="128" customFormat="1" ht="12.9" hidden="1" customHeight="1">
      <c r="A107" s="1689"/>
      <c r="B107" s="1710"/>
      <c r="C107" s="1557"/>
      <c r="D107" s="1566" t="s">
        <v>430</v>
      </c>
      <c r="E107" s="1598"/>
      <c r="F107" s="1697">
        <f>'Lead- Input sheet '!Q32</f>
        <v>0</v>
      </c>
      <c r="G107" s="1695">
        <f>H106</f>
        <v>505.83</v>
      </c>
      <c r="H107" s="1694">
        <f>ROUND(G107*F107,2)</f>
        <v>0</v>
      </c>
    </row>
    <row r="108" spans="1:9" s="128" customFormat="1" ht="12.9" hidden="1" customHeight="1">
      <c r="A108" s="1689"/>
      <c r="B108" s="1710"/>
      <c r="C108" s="1557"/>
      <c r="D108" s="1566" t="s">
        <v>1460</v>
      </c>
      <c r="E108" s="1598"/>
      <c r="F108" s="1581"/>
      <c r="G108" s="1695" t="s">
        <v>416</v>
      </c>
      <c r="H108" s="1695">
        <f>ROUND(SUM(H106:H107),2)</f>
        <v>505.83</v>
      </c>
    </row>
    <row r="109" spans="1:9" s="128" customFormat="1" ht="12.9" hidden="1" customHeight="1">
      <c r="A109" s="1689"/>
      <c r="B109" s="1710"/>
      <c r="C109" s="1557"/>
      <c r="D109" s="1566" t="s">
        <v>942</v>
      </c>
      <c r="E109" s="1598">
        <f>H108</f>
        <v>505.83</v>
      </c>
      <c r="F109" s="1581" t="s">
        <v>1472</v>
      </c>
      <c r="G109" s="1690">
        <v>1.5</v>
      </c>
      <c r="H109" s="1695">
        <f>G109*E109</f>
        <v>758.745</v>
      </c>
    </row>
    <row r="110" spans="1:9" ht="80.2" hidden="1" customHeight="1">
      <c r="A110" s="1689">
        <v>5</v>
      </c>
      <c r="B110" s="2164"/>
      <c r="C110" s="1557" t="s">
        <v>356</v>
      </c>
      <c r="D110" s="1566" t="s">
        <v>292</v>
      </c>
      <c r="E110" s="1598"/>
      <c r="F110" s="1581"/>
      <c r="G110" s="1690"/>
      <c r="H110" s="1690"/>
    </row>
    <row r="111" spans="1:9" ht="12.9" hidden="1" customHeight="1">
      <c r="A111" s="1689"/>
      <c r="B111" s="1710"/>
      <c r="C111" s="1557"/>
      <c r="D111" s="1566" t="s">
        <v>510</v>
      </c>
      <c r="E111" s="1598"/>
      <c r="F111" s="1581"/>
      <c r="G111" s="1690"/>
      <c r="H111" s="1690"/>
    </row>
    <row r="112" spans="1:9" ht="12.9" hidden="1" customHeight="1">
      <c r="A112" s="1689"/>
      <c r="B112" s="1710"/>
      <c r="C112" s="1557"/>
      <c r="D112" s="1566" t="s">
        <v>526</v>
      </c>
      <c r="E112" s="1598"/>
      <c r="F112" s="1581"/>
      <c r="G112" s="1690"/>
      <c r="H112" s="1690"/>
    </row>
    <row r="113" spans="1:8" ht="42.75" hidden="1" customHeight="1">
      <c r="A113" s="1689"/>
      <c r="B113" s="1691" t="s">
        <v>1966</v>
      </c>
      <c r="C113" s="1557"/>
      <c r="D113" s="1566" t="s">
        <v>1896</v>
      </c>
      <c r="E113" s="1598" t="s">
        <v>511</v>
      </c>
      <c r="F113" s="1581">
        <v>1</v>
      </c>
      <c r="G113" s="1690">
        <v>11.03</v>
      </c>
      <c r="H113" s="1690">
        <f>F113*G113</f>
        <v>11.03</v>
      </c>
    </row>
    <row r="114" spans="1:8" ht="12.9" hidden="1" customHeight="1">
      <c r="A114" s="1689"/>
      <c r="B114" s="1710"/>
      <c r="C114" s="1557"/>
      <c r="D114" s="1566" t="s">
        <v>512</v>
      </c>
      <c r="E114" s="1598"/>
      <c r="F114" s="1581"/>
      <c r="G114" s="1690"/>
      <c r="H114" s="1690"/>
    </row>
    <row r="115" spans="1:8" ht="12.9" hidden="1" customHeight="1">
      <c r="A115" s="1689"/>
      <c r="B115" s="1691"/>
      <c r="C115" s="1557"/>
      <c r="D115" s="1566" t="s">
        <v>513</v>
      </c>
      <c r="E115" s="1598" t="s">
        <v>1047</v>
      </c>
      <c r="F115" s="1581">
        <v>0.34</v>
      </c>
      <c r="G115" s="1690">
        <f>G101</f>
        <v>775</v>
      </c>
      <c r="H115" s="1690">
        <f>ROUND(F115*G115,20)</f>
        <v>263.5</v>
      </c>
    </row>
    <row r="116" spans="1:8" ht="12.9" hidden="1" customHeight="1">
      <c r="A116" s="1689"/>
      <c r="B116" s="1691"/>
      <c r="C116" s="1557"/>
      <c r="D116" s="1566" t="s">
        <v>1110</v>
      </c>
      <c r="E116" s="1598" t="s">
        <v>1047</v>
      </c>
      <c r="F116" s="1581">
        <v>1</v>
      </c>
      <c r="G116" s="1690">
        <f>G102</f>
        <v>650</v>
      </c>
      <c r="H116" s="1690">
        <f>ROUND(F116*G116,20)</f>
        <v>650</v>
      </c>
    </row>
    <row r="117" spans="1:8" ht="12.9" hidden="1" customHeight="1">
      <c r="A117" s="1689"/>
      <c r="B117" s="1691"/>
      <c r="C117" s="1557"/>
      <c r="D117" s="1566" t="s">
        <v>515</v>
      </c>
      <c r="E117" s="1598" t="s">
        <v>1047</v>
      </c>
      <c r="F117" s="1581">
        <v>0.34</v>
      </c>
      <c r="G117" s="1690">
        <f>G103</f>
        <v>650</v>
      </c>
      <c r="H117" s="1690">
        <f>ROUND(F117*G117,20)</f>
        <v>221</v>
      </c>
    </row>
    <row r="118" spans="1:8" ht="12.9" hidden="1" customHeight="1">
      <c r="A118" s="1689"/>
      <c r="B118" s="1710"/>
      <c r="C118" s="1557"/>
      <c r="D118" s="1566" t="s">
        <v>896</v>
      </c>
      <c r="E118" s="1594"/>
      <c r="F118" s="1594">
        <f>'Lead- Input sheet '!Q31</f>
        <v>0</v>
      </c>
      <c r="G118" s="1692">
        <f>SUM(H115:H117)</f>
        <v>1134.5</v>
      </c>
      <c r="H118" s="1692">
        <f>ROUND(G118*F118,2)</f>
        <v>0</v>
      </c>
    </row>
    <row r="119" spans="1:8" ht="12.9" hidden="1" customHeight="1">
      <c r="A119" s="1689"/>
      <c r="B119" s="1710"/>
      <c r="C119" s="1557"/>
      <c r="D119" s="1566" t="s">
        <v>707</v>
      </c>
      <c r="E119" s="1598"/>
      <c r="F119" s="1581"/>
      <c r="G119" s="1690"/>
      <c r="H119" s="1690">
        <f>SUM(H113:H118)</f>
        <v>1145.53</v>
      </c>
    </row>
    <row r="120" spans="1:8" s="2165" customFormat="1" ht="12.9" hidden="1" customHeight="1">
      <c r="A120" s="1693"/>
      <c r="B120" s="2164"/>
      <c r="C120" s="1557"/>
      <c r="D120" s="1575" t="s">
        <v>708</v>
      </c>
      <c r="E120" s="1694"/>
      <c r="F120" s="1557"/>
      <c r="G120" s="1695"/>
      <c r="H120" s="1695">
        <f>ROUND(H119/100,2)</f>
        <v>11.46</v>
      </c>
    </row>
    <row r="121" spans="1:8" s="2165" customFormat="1" ht="12.9" hidden="1" customHeight="1">
      <c r="A121" s="1693"/>
      <c r="B121" s="2164"/>
      <c r="C121" s="1557"/>
      <c r="D121" s="1575" t="s">
        <v>1000</v>
      </c>
      <c r="E121" s="1694"/>
      <c r="F121" s="1697">
        <f>'Lead- Input sheet '!Q32</f>
        <v>0</v>
      </c>
      <c r="G121" s="1695">
        <f>H120</f>
        <v>11.46</v>
      </c>
      <c r="H121" s="1694">
        <f>ROUND(G121*F121,2)</f>
        <v>0</v>
      </c>
    </row>
    <row r="122" spans="1:8" s="2165" customFormat="1" ht="12.9" hidden="1" customHeight="1">
      <c r="A122" s="1693"/>
      <c r="B122" s="2164"/>
      <c r="C122" s="1557"/>
      <c r="D122" s="1575" t="s">
        <v>1460</v>
      </c>
      <c r="E122" s="1694"/>
      <c r="F122" s="1557"/>
      <c r="G122" s="1695" t="s">
        <v>416</v>
      </c>
      <c r="H122" s="1694">
        <f>ROUND(SUM(H120:H121),2)</f>
        <v>11.46</v>
      </c>
    </row>
    <row r="123" spans="1:8" ht="12.9" hidden="1" customHeight="1">
      <c r="A123" s="1689"/>
      <c r="B123" s="1710"/>
      <c r="C123" s="1557"/>
      <c r="D123" s="1566" t="s">
        <v>1111</v>
      </c>
      <c r="E123" s="1598"/>
      <c r="F123" s="1581"/>
      <c r="G123" s="1690"/>
      <c r="H123" s="1690"/>
    </row>
    <row r="124" spans="1:8" ht="80.2" hidden="1" customHeight="1">
      <c r="A124" s="1689"/>
      <c r="B124" s="1710"/>
      <c r="C124" s="1557" t="s">
        <v>1324</v>
      </c>
      <c r="D124" s="1566" t="s">
        <v>1850</v>
      </c>
      <c r="E124" s="1581"/>
      <c r="F124" s="1581"/>
      <c r="G124" s="1690"/>
      <c r="H124" s="1690"/>
    </row>
    <row r="125" spans="1:8" ht="12.9" hidden="1" customHeight="1">
      <c r="A125" s="1689"/>
      <c r="B125" s="1710"/>
      <c r="C125" s="1557"/>
      <c r="D125" s="1566" t="s">
        <v>510</v>
      </c>
      <c r="E125" s="1581"/>
      <c r="F125" s="1581"/>
      <c r="G125" s="1690"/>
      <c r="H125" s="1690"/>
    </row>
    <row r="126" spans="1:8" ht="12.9" hidden="1" customHeight="1">
      <c r="A126" s="1689"/>
      <c r="B126" s="1710"/>
      <c r="C126" s="1557"/>
      <c r="D126" s="1575" t="s">
        <v>526</v>
      </c>
      <c r="E126" s="1581"/>
      <c r="F126" s="1581"/>
      <c r="G126" s="1690"/>
      <c r="H126" s="1690"/>
    </row>
    <row r="127" spans="1:8" ht="40.5" hidden="1" customHeight="1">
      <c r="A127" s="1689"/>
      <c r="B127" s="1691" t="s">
        <v>1967</v>
      </c>
      <c r="C127" s="1557"/>
      <c r="D127" s="1566" t="s">
        <v>1897</v>
      </c>
      <c r="E127" s="1581" t="s">
        <v>511</v>
      </c>
      <c r="F127" s="1581">
        <v>2</v>
      </c>
      <c r="G127" s="1690">
        <v>1885</v>
      </c>
      <c r="H127" s="1690">
        <f>F127*G127</f>
        <v>3770</v>
      </c>
    </row>
    <row r="128" spans="1:8" ht="12.9" hidden="1" customHeight="1">
      <c r="A128" s="1689"/>
      <c r="B128" s="1710"/>
      <c r="C128" s="1557"/>
      <c r="D128" s="1575" t="s">
        <v>512</v>
      </c>
      <c r="E128" s="1581"/>
      <c r="F128" s="1581"/>
      <c r="G128" s="1690"/>
      <c r="H128" s="1690"/>
    </row>
    <row r="129" spans="1:8" ht="12.9" hidden="1" customHeight="1">
      <c r="A129" s="1689"/>
      <c r="B129" s="1710"/>
      <c r="C129" s="1557"/>
      <c r="D129" s="1566" t="s">
        <v>513</v>
      </c>
      <c r="E129" s="1701" t="s">
        <v>1047</v>
      </c>
      <c r="F129" s="1581">
        <v>0.67</v>
      </c>
      <c r="G129" s="1690">
        <f>G115</f>
        <v>775</v>
      </c>
      <c r="H129" s="1690">
        <f>ROUND(F129*G129,20)</f>
        <v>519.25</v>
      </c>
    </row>
    <row r="130" spans="1:8" ht="12.9" hidden="1" customHeight="1">
      <c r="A130" s="1689"/>
      <c r="B130" s="1710"/>
      <c r="C130" s="1557"/>
      <c r="D130" s="1566" t="s">
        <v>1110</v>
      </c>
      <c r="E130" s="1701" t="s">
        <v>1047</v>
      </c>
      <c r="F130" s="1581">
        <v>2</v>
      </c>
      <c r="G130" s="1690">
        <f>G116</f>
        <v>650</v>
      </c>
      <c r="H130" s="1690">
        <f>ROUND(F130*G130,20)</f>
        <v>1300</v>
      </c>
    </row>
    <row r="131" spans="1:8" ht="12.9" hidden="1" customHeight="1">
      <c r="A131" s="1689"/>
      <c r="B131" s="1710"/>
      <c r="C131" s="1557"/>
      <c r="D131" s="1566" t="s">
        <v>515</v>
      </c>
      <c r="E131" s="1701" t="s">
        <v>1047</v>
      </c>
      <c r="F131" s="1581">
        <v>0.67</v>
      </c>
      <c r="G131" s="1690">
        <f>G117</f>
        <v>650</v>
      </c>
      <c r="H131" s="1690">
        <f>ROUND(F131*G131,20)</f>
        <v>435.5</v>
      </c>
    </row>
    <row r="132" spans="1:8" ht="12.9" hidden="1" customHeight="1">
      <c r="A132" s="1689"/>
      <c r="B132" s="1710"/>
      <c r="C132" s="1557"/>
      <c r="D132" s="1566" t="s">
        <v>896</v>
      </c>
      <c r="E132" s="1594"/>
      <c r="F132" s="1594">
        <f>'Lead- Input sheet '!Q31</f>
        <v>0</v>
      </c>
      <c r="G132" s="1692">
        <f>SUM(H129:H131)</f>
        <v>2254.75</v>
      </c>
      <c r="H132" s="1692">
        <f>ROUND(G132*F132,2)</f>
        <v>0</v>
      </c>
    </row>
    <row r="133" spans="1:8" ht="12.9" hidden="1" customHeight="1">
      <c r="A133" s="1689"/>
      <c r="B133" s="1710"/>
      <c r="C133" s="1557"/>
      <c r="D133" s="1566" t="s">
        <v>707</v>
      </c>
      <c r="E133" s="1598"/>
      <c r="F133" s="1581"/>
      <c r="G133" s="1690"/>
      <c r="H133" s="1690">
        <f>SUM(H127:H132)</f>
        <v>6024.75</v>
      </c>
    </row>
    <row r="134" spans="1:8" s="2165" customFormat="1" ht="12.9" hidden="1" customHeight="1">
      <c r="A134" s="1693"/>
      <c r="B134" s="2164"/>
      <c r="C134" s="1557"/>
      <c r="D134" s="1575" t="s">
        <v>708</v>
      </c>
      <c r="E134" s="1694"/>
      <c r="F134" s="1557"/>
      <c r="G134" s="1695"/>
      <c r="H134" s="1695">
        <f>ROUND(H133/100,2)</f>
        <v>60.25</v>
      </c>
    </row>
    <row r="135" spans="1:8" s="2165" customFormat="1" ht="12.9" hidden="1" customHeight="1">
      <c r="A135" s="1693"/>
      <c r="B135" s="2164"/>
      <c r="C135" s="1557"/>
      <c r="D135" s="1575" t="s">
        <v>1000</v>
      </c>
      <c r="E135" s="1694"/>
      <c r="F135" s="1697">
        <f>'Lead- Input sheet '!Q32</f>
        <v>0</v>
      </c>
      <c r="G135" s="1695">
        <f>H134</f>
        <v>60.25</v>
      </c>
      <c r="H135" s="1694">
        <f>ROUND(G135*F135,2)</f>
        <v>0</v>
      </c>
    </row>
    <row r="136" spans="1:8" s="2165" customFormat="1" ht="12.9" hidden="1" customHeight="1">
      <c r="A136" s="1693"/>
      <c r="B136" s="2164"/>
      <c r="C136" s="1557"/>
      <c r="D136" s="1575" t="s">
        <v>1460</v>
      </c>
      <c r="E136" s="1694"/>
      <c r="F136" s="1557"/>
      <c r="G136" s="1695" t="s">
        <v>416</v>
      </c>
      <c r="H136" s="1694">
        <f>ROUND(SUM(H134:H135),2)</f>
        <v>60.25</v>
      </c>
    </row>
    <row r="137" spans="1:8" ht="80.2" hidden="1" customHeight="1">
      <c r="A137" s="1689"/>
      <c r="B137" s="1710"/>
      <c r="C137" s="1557" t="s">
        <v>1326</v>
      </c>
      <c r="D137" s="1566" t="s">
        <v>1851</v>
      </c>
      <c r="E137" s="1581"/>
      <c r="F137" s="1581"/>
      <c r="G137" s="1690"/>
      <c r="H137" s="1690"/>
    </row>
    <row r="138" spans="1:8" ht="12.9" hidden="1" customHeight="1">
      <c r="A138" s="1689"/>
      <c r="B138" s="1710"/>
      <c r="C138" s="1557"/>
      <c r="D138" s="1566" t="s">
        <v>510</v>
      </c>
      <c r="E138" s="1581"/>
      <c r="F138" s="1581"/>
      <c r="G138" s="1690"/>
      <c r="H138" s="1690"/>
    </row>
    <row r="139" spans="1:8" ht="12.9" hidden="1" customHeight="1">
      <c r="A139" s="1689"/>
      <c r="B139" s="1710"/>
      <c r="C139" s="1557"/>
      <c r="D139" s="1575" t="s">
        <v>526</v>
      </c>
      <c r="E139" s="1581"/>
      <c r="F139" s="1581"/>
      <c r="G139" s="1690"/>
      <c r="H139" s="1690"/>
    </row>
    <row r="140" spans="1:8" ht="58.5" hidden="1" customHeight="1">
      <c r="A140" s="1689"/>
      <c r="B140" s="1691" t="s">
        <v>1968</v>
      </c>
      <c r="C140" s="1557"/>
      <c r="D140" s="1566" t="s">
        <v>1899</v>
      </c>
      <c r="E140" s="1581" t="s">
        <v>511</v>
      </c>
      <c r="F140" s="1581">
        <v>2</v>
      </c>
      <c r="G140" s="1690">
        <v>3900</v>
      </c>
      <c r="H140" s="1690">
        <f>F140*G140</f>
        <v>7800</v>
      </c>
    </row>
    <row r="141" spans="1:8" ht="12.9" hidden="1" customHeight="1">
      <c r="A141" s="1689"/>
      <c r="B141" s="1710"/>
      <c r="C141" s="1557"/>
      <c r="D141" s="1575" t="s">
        <v>512</v>
      </c>
      <c r="E141" s="1581"/>
      <c r="F141" s="1581"/>
      <c r="G141" s="1690"/>
      <c r="H141" s="1690"/>
    </row>
    <row r="142" spans="1:8" ht="12.9" hidden="1" customHeight="1">
      <c r="A142" s="1689"/>
      <c r="B142" s="1710"/>
      <c r="C142" s="1557"/>
      <c r="D142" s="1566" t="s">
        <v>513</v>
      </c>
      <c r="E142" s="1701" t="s">
        <v>1047</v>
      </c>
      <c r="F142" s="1581">
        <v>0.67</v>
      </c>
      <c r="G142" s="1690">
        <f>G129</f>
        <v>775</v>
      </c>
      <c r="H142" s="1690">
        <f>ROUND(F142*G142,20)</f>
        <v>519.25</v>
      </c>
    </row>
    <row r="143" spans="1:8" ht="12.9" hidden="1" customHeight="1">
      <c r="A143" s="1689"/>
      <c r="B143" s="1710"/>
      <c r="C143" s="1557"/>
      <c r="D143" s="1566" t="s">
        <v>1110</v>
      </c>
      <c r="E143" s="1701" t="s">
        <v>1047</v>
      </c>
      <c r="F143" s="1581">
        <v>2</v>
      </c>
      <c r="G143" s="1690">
        <f>G130</f>
        <v>650</v>
      </c>
      <c r="H143" s="1690">
        <f>ROUND(F143*G143,20)</f>
        <v>1300</v>
      </c>
    </row>
    <row r="144" spans="1:8" ht="12.9" hidden="1" customHeight="1">
      <c r="A144" s="1689"/>
      <c r="B144" s="1710"/>
      <c r="C144" s="1557"/>
      <c r="D144" s="1566" t="s">
        <v>515</v>
      </c>
      <c r="E144" s="1701" t="s">
        <v>1047</v>
      </c>
      <c r="F144" s="1581">
        <v>0.67</v>
      </c>
      <c r="G144" s="1690">
        <f>G131</f>
        <v>650</v>
      </c>
      <c r="H144" s="1690">
        <f>ROUND(F144*G144,20)</f>
        <v>435.5</v>
      </c>
    </row>
    <row r="145" spans="1:8" ht="12.9" hidden="1" customHeight="1">
      <c r="A145" s="1689"/>
      <c r="B145" s="1710"/>
      <c r="C145" s="1557"/>
      <c r="D145" s="1566" t="s">
        <v>896</v>
      </c>
      <c r="E145" s="1594"/>
      <c r="F145" s="1594">
        <f>'Lead- Input sheet '!Q31</f>
        <v>0</v>
      </c>
      <c r="G145" s="1692">
        <f>SUM(H142:H144)</f>
        <v>2254.75</v>
      </c>
      <c r="H145" s="1692">
        <f>ROUND(G145*F145,2)</f>
        <v>0</v>
      </c>
    </row>
    <row r="146" spans="1:8" ht="12.9" hidden="1" customHeight="1">
      <c r="A146" s="1689"/>
      <c r="B146" s="1710"/>
      <c r="C146" s="1557"/>
      <c r="D146" s="1566" t="s">
        <v>707</v>
      </c>
      <c r="E146" s="1598"/>
      <c r="F146" s="1581"/>
      <c r="G146" s="1690"/>
      <c r="H146" s="1690">
        <f>SUM(H140:H145)</f>
        <v>10054.75</v>
      </c>
    </row>
    <row r="147" spans="1:8" s="2165" customFormat="1" ht="12.9" hidden="1" customHeight="1">
      <c r="A147" s="1693"/>
      <c r="B147" s="2164"/>
      <c r="C147" s="1557"/>
      <c r="D147" s="1575" t="s">
        <v>708</v>
      </c>
      <c r="E147" s="1694"/>
      <c r="F147" s="1557"/>
      <c r="G147" s="1695"/>
      <c r="H147" s="1695">
        <f>ROUND(H146/100,2)</f>
        <v>100.55</v>
      </c>
    </row>
    <row r="148" spans="1:8" s="2165" customFormat="1" ht="12.9" hidden="1" customHeight="1">
      <c r="A148" s="1693"/>
      <c r="B148" s="2164"/>
      <c r="C148" s="1557"/>
      <c r="D148" s="1575" t="s">
        <v>1000</v>
      </c>
      <c r="E148" s="1694"/>
      <c r="F148" s="1697">
        <f>'Lead- Input sheet '!Q32</f>
        <v>0</v>
      </c>
      <c r="G148" s="1695">
        <f>H147</f>
        <v>100.55</v>
      </c>
      <c r="H148" s="1694">
        <f>ROUND(G148*F148,2)</f>
        <v>0</v>
      </c>
    </row>
    <row r="149" spans="1:8" s="2165" customFormat="1" ht="12.9" hidden="1" customHeight="1">
      <c r="A149" s="1693"/>
      <c r="B149" s="2164"/>
      <c r="C149" s="1557"/>
      <c r="D149" s="1575" t="s">
        <v>1460</v>
      </c>
      <c r="E149" s="1694"/>
      <c r="F149" s="1557"/>
      <c r="G149" s="1695" t="s">
        <v>416</v>
      </c>
      <c r="H149" s="1695">
        <f>ROUND(SUM(H147:H148),2)</f>
        <v>100.55</v>
      </c>
    </row>
    <row r="150" spans="1:8" ht="99.9" hidden="1" customHeight="1">
      <c r="A150" s="1689">
        <v>6</v>
      </c>
      <c r="B150" s="2164"/>
      <c r="C150" s="1557" t="s">
        <v>943</v>
      </c>
      <c r="D150" s="1566" t="s">
        <v>1852</v>
      </c>
      <c r="E150" s="1598"/>
      <c r="F150" s="1581"/>
      <c r="G150" s="1690"/>
      <c r="H150" s="1690"/>
    </row>
    <row r="151" spans="1:8" ht="12.9" hidden="1" customHeight="1">
      <c r="A151" s="1689"/>
      <c r="B151" s="1710"/>
      <c r="C151" s="1557"/>
      <c r="D151" s="1566" t="s">
        <v>510</v>
      </c>
      <c r="E151" s="1598"/>
      <c r="F151" s="1581"/>
      <c r="G151" s="1690"/>
      <c r="H151" s="1690"/>
    </row>
    <row r="152" spans="1:8" ht="12.9" hidden="1" customHeight="1">
      <c r="A152" s="1689"/>
      <c r="B152" s="1710"/>
      <c r="C152" s="1557"/>
      <c r="D152" s="1566" t="s">
        <v>526</v>
      </c>
      <c r="E152" s="1598"/>
      <c r="F152" s="1581"/>
      <c r="G152" s="1690"/>
      <c r="H152" s="1690"/>
    </row>
    <row r="153" spans="1:8" ht="75" hidden="1" customHeight="1">
      <c r="A153" s="1689"/>
      <c r="B153" s="1691" t="s">
        <v>1898</v>
      </c>
      <c r="C153" s="1557"/>
      <c r="D153" s="1566" t="s">
        <v>1900</v>
      </c>
      <c r="E153" s="1598" t="s">
        <v>511</v>
      </c>
      <c r="F153" s="1581">
        <v>2</v>
      </c>
      <c r="G153" s="1690">
        <v>3725</v>
      </c>
      <c r="H153" s="1690">
        <f>ROUND(F153*G153,2)</f>
        <v>7450</v>
      </c>
    </row>
    <row r="154" spans="1:8" ht="12.9" hidden="1" customHeight="1">
      <c r="A154" s="1689"/>
      <c r="B154" s="1710"/>
      <c r="C154" s="1557"/>
      <c r="D154" s="1566" t="s">
        <v>512</v>
      </c>
      <c r="E154" s="1598"/>
      <c r="F154" s="1581"/>
      <c r="G154" s="1690"/>
      <c r="H154" s="1690"/>
    </row>
    <row r="155" spans="1:8" ht="12.9" hidden="1" customHeight="1">
      <c r="A155" s="1689"/>
      <c r="B155" s="1710"/>
      <c r="C155" s="1557"/>
      <c r="D155" s="1566" t="s">
        <v>513</v>
      </c>
      <c r="E155" s="1598" t="s">
        <v>1047</v>
      </c>
      <c r="F155" s="1581">
        <v>1</v>
      </c>
      <c r="G155" s="1690">
        <f>G142</f>
        <v>775</v>
      </c>
      <c r="H155" s="1690">
        <f>ROUND(F155*G155,20)</f>
        <v>775</v>
      </c>
    </row>
    <row r="156" spans="1:8" ht="12.9" hidden="1" customHeight="1">
      <c r="A156" s="1689"/>
      <c r="B156" s="1710"/>
      <c r="C156" s="1557"/>
      <c r="D156" s="1566" t="s">
        <v>1110</v>
      </c>
      <c r="E156" s="1598" t="s">
        <v>1047</v>
      </c>
      <c r="F156" s="1581">
        <v>3</v>
      </c>
      <c r="G156" s="1690">
        <f>G143</f>
        <v>650</v>
      </c>
      <c r="H156" s="1690">
        <f>ROUND(F156*G156,20)</f>
        <v>1950</v>
      </c>
    </row>
    <row r="157" spans="1:8" ht="12.9" hidden="1" customHeight="1">
      <c r="A157" s="1689"/>
      <c r="B157" s="1710"/>
      <c r="C157" s="1557"/>
      <c r="D157" s="1566" t="s">
        <v>515</v>
      </c>
      <c r="E157" s="1598" t="s">
        <v>1047</v>
      </c>
      <c r="F157" s="1581">
        <v>1</v>
      </c>
      <c r="G157" s="1690">
        <f>G144</f>
        <v>650</v>
      </c>
      <c r="H157" s="1690">
        <f>ROUND(F157*G157,20)</f>
        <v>650</v>
      </c>
    </row>
    <row r="158" spans="1:8" ht="12.9" hidden="1" customHeight="1">
      <c r="A158" s="1689"/>
      <c r="B158" s="1710"/>
      <c r="C158" s="1557"/>
      <c r="D158" s="1566" t="s">
        <v>896</v>
      </c>
      <c r="E158" s="1594"/>
      <c r="F158" s="1594">
        <f>'Lead- Input sheet '!Q31</f>
        <v>0</v>
      </c>
      <c r="G158" s="1692">
        <f>SUM(H155:H157)</f>
        <v>3375</v>
      </c>
      <c r="H158" s="1692">
        <f>ROUND(G158*F158,2)</f>
        <v>0</v>
      </c>
    </row>
    <row r="159" spans="1:8" ht="12.9" hidden="1" customHeight="1">
      <c r="A159" s="1689"/>
      <c r="B159" s="1710"/>
      <c r="C159" s="1557"/>
      <c r="D159" s="1566" t="s">
        <v>707</v>
      </c>
      <c r="E159" s="1598"/>
      <c r="F159" s="1581"/>
      <c r="G159" s="1690"/>
      <c r="H159" s="1690">
        <f>SUM(H153:H158)</f>
        <v>10825</v>
      </c>
    </row>
    <row r="160" spans="1:8" ht="12.9" hidden="1" customHeight="1">
      <c r="A160" s="1689"/>
      <c r="B160" s="1710"/>
      <c r="C160" s="1557"/>
      <c r="D160" s="1566" t="s">
        <v>708</v>
      </c>
      <c r="E160" s="1598"/>
      <c r="F160" s="1581"/>
      <c r="G160" s="1690"/>
      <c r="H160" s="1690">
        <f>H159/100</f>
        <v>108.25</v>
      </c>
    </row>
    <row r="161" spans="1:9" s="2165" customFormat="1" ht="12.9" hidden="1" customHeight="1">
      <c r="A161" s="1693"/>
      <c r="B161" s="2164"/>
      <c r="C161" s="1557"/>
      <c r="D161" s="1575" t="s">
        <v>1000</v>
      </c>
      <c r="E161" s="1694"/>
      <c r="F161" s="1697">
        <f>'Lead- Input sheet '!Q32</f>
        <v>0</v>
      </c>
      <c r="G161" s="1695">
        <f>H160</f>
        <v>108.25</v>
      </c>
      <c r="H161" s="1694">
        <f>ROUND(G161*F161,2)</f>
        <v>0</v>
      </c>
    </row>
    <row r="162" spans="1:9" s="2165" customFormat="1" ht="12.9" hidden="1" customHeight="1">
      <c r="A162" s="1693"/>
      <c r="B162" s="2164"/>
      <c r="C162" s="1557"/>
      <c r="D162" s="1575" t="s">
        <v>1460</v>
      </c>
      <c r="E162" s="1694"/>
      <c r="F162" s="1557"/>
      <c r="G162" s="1695" t="s">
        <v>416</v>
      </c>
      <c r="H162" s="1694">
        <f>ROUND(SUM(H160:H161),2)</f>
        <v>108.25</v>
      </c>
    </row>
    <row r="163" spans="1:9" ht="12.9" hidden="1" customHeight="1">
      <c r="A163" s="1689"/>
      <c r="B163" s="1710"/>
      <c r="C163" s="1557"/>
      <c r="D163" s="1566" t="s">
        <v>944</v>
      </c>
      <c r="E163" s="1598"/>
      <c r="F163" s="1581"/>
      <c r="G163" s="1690"/>
      <c r="H163" s="1690"/>
    </row>
    <row r="164" spans="1:9" ht="12.9" hidden="1" customHeight="1">
      <c r="A164" s="1689"/>
      <c r="B164" s="1710"/>
      <c r="C164" s="1557"/>
      <c r="D164" s="1566"/>
      <c r="E164" s="1598"/>
      <c r="F164" s="1581"/>
      <c r="G164" s="1690"/>
      <c r="H164" s="1690"/>
    </row>
    <row r="165" spans="1:9" ht="95.2" hidden="1" customHeight="1">
      <c r="A165" s="1689">
        <v>5</v>
      </c>
      <c r="B165" s="2164"/>
      <c r="C165" s="1557" t="s">
        <v>353</v>
      </c>
      <c r="D165" s="1566" t="s">
        <v>297</v>
      </c>
      <c r="E165" s="1598"/>
      <c r="F165" s="1581"/>
      <c r="G165" s="1690"/>
      <c r="H165" s="1690"/>
    </row>
    <row r="166" spans="1:9" ht="12.9" hidden="1" customHeight="1">
      <c r="A166" s="1702"/>
      <c r="B166" s="1703"/>
      <c r="C166" s="1702"/>
      <c r="D166" s="1704" t="s">
        <v>3099</v>
      </c>
      <c r="E166" s="2148"/>
      <c r="F166" s="2148"/>
      <c r="G166" s="2148"/>
      <c r="H166" s="2166"/>
      <c r="I166" s="2167"/>
    </row>
    <row r="167" spans="1:9" ht="12.9" hidden="1" customHeight="1">
      <c r="A167" s="1703"/>
      <c r="B167" s="2168"/>
      <c r="C167" s="1702"/>
      <c r="D167" s="1706" t="s">
        <v>354</v>
      </c>
      <c r="E167" s="2166"/>
      <c r="F167" s="2166"/>
      <c r="G167" s="2169"/>
      <c r="H167" s="2166"/>
      <c r="I167" s="2167"/>
    </row>
    <row r="168" spans="1:9" ht="12.9" hidden="1" customHeight="1">
      <c r="A168" s="1703"/>
      <c r="B168" s="2168"/>
      <c r="C168" s="1702"/>
      <c r="D168" s="1707" t="s">
        <v>526</v>
      </c>
      <c r="E168" s="2166"/>
      <c r="F168" s="2166"/>
      <c r="G168" s="2169"/>
      <c r="H168" s="2166"/>
      <c r="I168" s="2167"/>
    </row>
    <row r="169" spans="1:9" ht="12.9" hidden="1" customHeight="1">
      <c r="A169" s="1703"/>
      <c r="B169" s="1691" t="s">
        <v>1901</v>
      </c>
      <c r="C169" s="1557"/>
      <c r="D169" s="1566" t="s">
        <v>945</v>
      </c>
      <c r="E169" s="1705" t="s">
        <v>334</v>
      </c>
      <c r="F169" s="1705">
        <v>1</v>
      </c>
      <c r="G169" s="1690">
        <v>29</v>
      </c>
      <c r="H169" s="2169">
        <f>ROUND(F169*G169,2)</f>
        <v>29</v>
      </c>
      <c r="I169" s="2167"/>
    </row>
    <row r="170" spans="1:9" ht="12.9" hidden="1" customHeight="1">
      <c r="A170" s="1703"/>
      <c r="B170" s="1691" t="s">
        <v>1902</v>
      </c>
      <c r="C170" s="1557"/>
      <c r="D170" s="1566" t="s">
        <v>946</v>
      </c>
      <c r="E170" s="1705" t="s">
        <v>334</v>
      </c>
      <c r="F170" s="1705">
        <v>1</v>
      </c>
      <c r="G170" s="1690">
        <v>20</v>
      </c>
      <c r="H170" s="2169">
        <f>ROUND(F170*G170,2)</f>
        <v>20</v>
      </c>
      <c r="I170" s="2167"/>
    </row>
    <row r="171" spans="1:9" ht="12.9" hidden="1" customHeight="1">
      <c r="A171" s="1703"/>
      <c r="B171" s="2168"/>
      <c r="C171" s="1702"/>
      <c r="D171" s="1707" t="s">
        <v>512</v>
      </c>
      <c r="E171" s="1705"/>
      <c r="F171" s="1705"/>
      <c r="G171" s="2169"/>
      <c r="H171" s="2166"/>
      <c r="I171" s="2167"/>
    </row>
    <row r="172" spans="1:9" ht="12.9" hidden="1" customHeight="1">
      <c r="A172" s="1703"/>
      <c r="B172" s="2168"/>
      <c r="C172" s="1702"/>
      <c r="D172" s="1706" t="s">
        <v>513</v>
      </c>
      <c r="E172" s="2170" t="s">
        <v>1047</v>
      </c>
      <c r="F172" s="1705">
        <v>6.7000000000000004E-2</v>
      </c>
      <c r="G172" s="2169">
        <v>735</v>
      </c>
      <c r="H172" s="2169">
        <f>ROUND(F172*G172,2)</f>
        <v>49.25</v>
      </c>
      <c r="I172" s="2167"/>
    </row>
    <row r="173" spans="1:9" ht="12.9" hidden="1" customHeight="1">
      <c r="A173" s="1703"/>
      <c r="B173" s="2168"/>
      <c r="C173" s="1702"/>
      <c r="D173" s="1706" t="s">
        <v>515</v>
      </c>
      <c r="E173" s="2170" t="s">
        <v>1047</v>
      </c>
      <c r="F173" s="1705">
        <v>6.7000000000000004E-2</v>
      </c>
      <c r="G173" s="2169">
        <v>615</v>
      </c>
      <c r="H173" s="2169">
        <f>ROUND(F173*G173,2)</f>
        <v>41.21</v>
      </c>
      <c r="I173" s="2167"/>
    </row>
    <row r="174" spans="1:9" ht="12.9" hidden="1" customHeight="1">
      <c r="A174" s="1703"/>
      <c r="B174" s="2168"/>
      <c r="C174" s="1702"/>
      <c r="D174" s="2171" t="s">
        <v>3082</v>
      </c>
      <c r="E174" s="2172">
        <v>0</v>
      </c>
      <c r="F174" s="2173"/>
      <c r="G174" s="1708"/>
      <c r="H174" s="2174">
        <f>ROUND(SUM(H172:H173)*E174,2)</f>
        <v>0</v>
      </c>
      <c r="I174" s="2167"/>
    </row>
    <row r="175" spans="1:9" ht="12.9" hidden="1" customHeight="1">
      <c r="A175" s="1703"/>
      <c r="B175" s="2168"/>
      <c r="C175" s="1702"/>
      <c r="D175" s="2175" t="s">
        <v>3096</v>
      </c>
      <c r="E175" s="2176">
        <v>0</v>
      </c>
      <c r="F175" s="2173"/>
      <c r="G175" s="1708"/>
      <c r="H175" s="2174">
        <f>ROUND(SUM(H168:H174)*E175,2)</f>
        <v>0</v>
      </c>
      <c r="I175" s="2167"/>
    </row>
    <row r="176" spans="1:9" ht="12.9" hidden="1" customHeight="1">
      <c r="A176" s="1703"/>
      <c r="B176" s="2168"/>
      <c r="C176" s="1702"/>
      <c r="D176" s="1707" t="s">
        <v>427</v>
      </c>
      <c r="E176" s="1705"/>
      <c r="F176" s="1705"/>
      <c r="G176" s="2169"/>
      <c r="H176" s="2177">
        <f>SUM(H169:H175)</f>
        <v>139.46</v>
      </c>
      <c r="I176" s="2178" t="s">
        <v>3097</v>
      </c>
    </row>
    <row r="177" spans="1:13" ht="12.9" hidden="1" customHeight="1">
      <c r="A177" s="1689"/>
      <c r="B177" s="1710"/>
      <c r="C177" s="1557"/>
      <c r="D177" s="1566"/>
      <c r="E177" s="1598"/>
      <c r="F177" s="1581"/>
      <c r="G177" s="1690"/>
      <c r="H177" s="1690"/>
    </row>
    <row r="178" spans="1:13" ht="63.7" hidden="1" customHeight="1">
      <c r="A178" s="1702"/>
      <c r="B178" s="1703"/>
      <c r="C178" s="1702" t="s">
        <v>3100</v>
      </c>
      <c r="D178" s="2686" t="s">
        <v>3101</v>
      </c>
      <c r="E178" s="2686"/>
      <c r="F178" s="2686"/>
      <c r="G178" s="2686"/>
      <c r="H178" s="2166"/>
      <c r="I178" s="2167"/>
      <c r="M178" s="128">
        <f>95*2</f>
        <v>190</v>
      </c>
    </row>
    <row r="179" spans="1:13" ht="12.9" hidden="1" customHeight="1">
      <c r="A179" s="1689"/>
      <c r="B179" s="2168"/>
      <c r="C179" s="1702"/>
      <c r="D179" s="1706" t="s">
        <v>354</v>
      </c>
      <c r="E179" s="1705"/>
      <c r="F179" s="1705"/>
      <c r="G179" s="2166"/>
      <c r="H179" s="2166"/>
      <c r="I179" s="2167"/>
    </row>
    <row r="180" spans="1:13" ht="12.9" hidden="1" customHeight="1">
      <c r="A180" s="1689"/>
      <c r="B180" s="2168"/>
      <c r="C180" s="1702"/>
      <c r="D180" s="1707" t="s">
        <v>526</v>
      </c>
      <c r="E180" s="1705"/>
      <c r="F180" s="1705"/>
      <c r="G180" s="2166"/>
      <c r="H180" s="2166"/>
      <c r="I180" s="2167"/>
    </row>
    <row r="181" spans="1:13" ht="12.9" hidden="1" customHeight="1">
      <c r="A181" s="1689"/>
      <c r="B181" s="2168" t="s">
        <v>3102</v>
      </c>
      <c r="C181" s="1702"/>
      <c r="D181" s="1706" t="s">
        <v>3103</v>
      </c>
      <c r="E181" s="1705" t="s">
        <v>334</v>
      </c>
      <c r="F181" s="1705">
        <v>1</v>
      </c>
      <c r="G181" s="2169">
        <v>25</v>
      </c>
      <c r="H181" s="2169">
        <f>ROUND(F181*G181,2)</f>
        <v>25</v>
      </c>
      <c r="I181" s="2167"/>
    </row>
    <row r="182" spans="1:13" ht="12.9" hidden="1" customHeight="1">
      <c r="A182" s="1689"/>
      <c r="B182" s="2168" t="s">
        <v>3135</v>
      </c>
      <c r="C182" s="1702"/>
      <c r="D182" s="1706" t="s">
        <v>3204</v>
      </c>
      <c r="E182" s="1705" t="s">
        <v>334</v>
      </c>
      <c r="F182" s="1705">
        <v>1</v>
      </c>
      <c r="G182" s="2169">
        <v>670</v>
      </c>
      <c r="H182" s="2169">
        <f>ROUND(F182*G182,2)</f>
        <v>670</v>
      </c>
      <c r="I182" s="2167"/>
    </row>
    <row r="183" spans="1:13" ht="12.9" hidden="1" customHeight="1">
      <c r="A183" s="1689"/>
      <c r="B183" s="2168"/>
      <c r="C183" s="1702"/>
      <c r="D183" s="1707" t="s">
        <v>512</v>
      </c>
      <c r="E183" s="1705"/>
      <c r="F183" s="1705"/>
      <c r="G183" s="2166"/>
      <c r="H183" s="2166"/>
      <c r="I183" s="2167"/>
    </row>
    <row r="184" spans="1:13" ht="12.9" hidden="1" customHeight="1">
      <c r="A184" s="1689"/>
      <c r="B184" s="2168"/>
      <c r="C184" s="1702"/>
      <c r="D184" s="1706" t="s">
        <v>513</v>
      </c>
      <c r="E184" s="2170" t="s">
        <v>1047</v>
      </c>
      <c r="F184" s="1705">
        <v>0.05</v>
      </c>
      <c r="G184" s="2169">
        <v>735</v>
      </c>
      <c r="H184" s="2169">
        <f>ROUND(F184*G184,2)</f>
        <v>36.75</v>
      </c>
      <c r="I184" s="2167"/>
    </row>
    <row r="185" spans="1:13" ht="12.9" hidden="1" customHeight="1">
      <c r="A185" s="1689"/>
      <c r="B185" s="2168"/>
      <c r="C185" s="1702"/>
      <c r="D185" s="1706" t="s">
        <v>515</v>
      </c>
      <c r="E185" s="2170" t="s">
        <v>1047</v>
      </c>
      <c r="F185" s="1705">
        <v>0.05</v>
      </c>
      <c r="G185" s="2169">
        <v>615</v>
      </c>
      <c r="H185" s="2169">
        <f>ROUND(F185*G185,2)</f>
        <v>30.75</v>
      </c>
      <c r="I185" s="2167"/>
    </row>
    <row r="186" spans="1:13" ht="12.9" hidden="1" customHeight="1">
      <c r="A186" s="1689"/>
      <c r="B186" s="2168"/>
      <c r="C186" s="1702"/>
      <c r="D186" s="2171" t="s">
        <v>3082</v>
      </c>
      <c r="E186" s="2172">
        <v>0</v>
      </c>
      <c r="F186" s="2173"/>
      <c r="G186" s="2169"/>
      <c r="H186" s="2174">
        <f>ROUND(SUM(H184:H185)*E186,2)</f>
        <v>0</v>
      </c>
      <c r="I186" s="2167"/>
    </row>
    <row r="187" spans="1:13" ht="12.9" hidden="1" customHeight="1">
      <c r="A187" s="1689"/>
      <c r="B187" s="2168" t="s">
        <v>3102</v>
      </c>
      <c r="C187" s="1702" t="s">
        <v>3105</v>
      </c>
      <c r="D187" s="1706" t="s">
        <v>3106</v>
      </c>
      <c r="E187" s="1705" t="s">
        <v>334</v>
      </c>
      <c r="F187" s="1705">
        <v>1</v>
      </c>
      <c r="G187" s="2169">
        <v>23</v>
      </c>
      <c r="H187" s="2169">
        <f>ROUND(F187*G187,2)</f>
        <v>23</v>
      </c>
      <c r="I187" s="2179"/>
    </row>
    <row r="188" spans="1:13" ht="12.9" hidden="1" customHeight="1">
      <c r="A188" s="1689"/>
      <c r="B188" s="2168"/>
      <c r="C188" s="1702"/>
      <c r="D188" s="2175" t="s">
        <v>3096</v>
      </c>
      <c r="E188" s="2176">
        <v>0</v>
      </c>
      <c r="F188" s="2173"/>
      <c r="G188" s="1708"/>
      <c r="H188" s="2174">
        <f>ROUND(SUM(H181:H187)*E188,2)</f>
        <v>0</v>
      </c>
      <c r="I188" s="2180"/>
    </row>
    <row r="189" spans="1:13" ht="12.9" hidden="1" customHeight="1">
      <c r="A189" s="1689"/>
      <c r="B189" s="2168"/>
      <c r="C189" s="1702"/>
      <c r="D189" s="1707" t="s">
        <v>427</v>
      </c>
      <c r="E189" s="1705"/>
      <c r="F189" s="1705"/>
      <c r="G189" s="2166"/>
      <c r="H189" s="2177">
        <f>SUM(H181:H188)</f>
        <v>785.5</v>
      </c>
    </row>
    <row r="190" spans="1:13" ht="12.9" hidden="1" customHeight="1">
      <c r="A190" s="1689"/>
      <c r="B190" s="2168"/>
      <c r="C190" s="1702"/>
      <c r="D190" s="2687" t="s">
        <v>3104</v>
      </c>
      <c r="E190" s="2687"/>
      <c r="F190" s="1705"/>
      <c r="G190" s="2166"/>
      <c r="H190" s="2181" t="s">
        <v>3097</v>
      </c>
      <c r="I190" s="2167"/>
    </row>
    <row r="191" spans="1:13" ht="12.9" hidden="1" customHeight="1">
      <c r="A191" s="1689"/>
      <c r="B191" s="2168"/>
      <c r="C191" s="1702"/>
      <c r="D191" s="2175" t="s">
        <v>3098</v>
      </c>
      <c r="E191" s="2175"/>
      <c r="F191" s="1705"/>
      <c r="G191" s="2166"/>
      <c r="H191" s="2166"/>
      <c r="I191" s="2167"/>
    </row>
    <row r="192" spans="1:13" ht="12.9" hidden="1" customHeight="1">
      <c r="A192" s="1689"/>
      <c r="B192" s="1710"/>
      <c r="C192" s="1557"/>
      <c r="D192" s="1566"/>
      <c r="E192" s="1598"/>
      <c r="F192" s="1581"/>
      <c r="G192" s="1690"/>
      <c r="H192" s="1690"/>
    </row>
    <row r="193" spans="1:9" ht="12.9" hidden="1" customHeight="1">
      <c r="A193" s="1689"/>
      <c r="B193" s="1710"/>
      <c r="C193" s="1557"/>
      <c r="D193" s="1566"/>
      <c r="E193" s="1598"/>
      <c r="F193" s="1581"/>
      <c r="G193" s="1690"/>
      <c r="H193" s="1690"/>
    </row>
    <row r="194" spans="1:9" s="54" customFormat="1" ht="66" hidden="1" customHeight="1">
      <c r="A194" s="1566"/>
      <c r="B194" s="1703" t="s">
        <v>3107</v>
      </c>
      <c r="C194" s="1702" t="s">
        <v>1324</v>
      </c>
      <c r="D194" s="2686" t="s">
        <v>3108</v>
      </c>
      <c r="E194" s="2686"/>
      <c r="F194" s="2686"/>
      <c r="G194" s="2686"/>
      <c r="H194" s="2166"/>
      <c r="I194" s="2167"/>
    </row>
    <row r="195" spans="1:9" ht="12.9" hidden="1" customHeight="1">
      <c r="A195" s="1689"/>
      <c r="B195" s="2168"/>
      <c r="C195" s="1702"/>
      <c r="D195" s="1706" t="s">
        <v>510</v>
      </c>
      <c r="E195" s="1705"/>
      <c r="F195" s="1705"/>
      <c r="G195" s="2166"/>
      <c r="H195" s="2166"/>
      <c r="I195" s="2167"/>
    </row>
    <row r="196" spans="1:9" ht="12.9" hidden="1" customHeight="1">
      <c r="A196" s="1689"/>
      <c r="B196" s="2168"/>
      <c r="C196" s="1702"/>
      <c r="D196" s="1707" t="s">
        <v>526</v>
      </c>
      <c r="E196" s="1705"/>
      <c r="F196" s="1705"/>
      <c r="G196" s="2166"/>
      <c r="H196" s="2166"/>
      <c r="I196" s="2167"/>
    </row>
    <row r="197" spans="1:9" ht="12.9" hidden="1" customHeight="1">
      <c r="A197" s="1689"/>
      <c r="B197" s="2168" t="s">
        <v>3109</v>
      </c>
      <c r="C197" s="1702"/>
      <c r="D197" s="2182" t="s">
        <v>3110</v>
      </c>
      <c r="E197" s="1705" t="s">
        <v>511</v>
      </c>
      <c r="F197" s="2183">
        <v>2</v>
      </c>
      <c r="G197" s="2169">
        <v>3900</v>
      </c>
      <c r="H197" s="2169">
        <f>ROUND(F197*G197,2)</f>
        <v>7800</v>
      </c>
      <c r="I197" s="2167"/>
    </row>
    <row r="198" spans="1:9" ht="12.9" hidden="1" customHeight="1">
      <c r="A198" s="1689"/>
      <c r="B198" s="2168"/>
      <c r="C198" s="1702"/>
      <c r="D198" s="1707" t="s">
        <v>512</v>
      </c>
      <c r="E198" s="1705"/>
      <c r="F198" s="2183"/>
      <c r="G198" s="2166"/>
      <c r="H198" s="2166"/>
      <c r="I198" s="2167"/>
    </row>
    <row r="199" spans="1:9" ht="12.9" hidden="1" customHeight="1">
      <c r="A199" s="1689"/>
      <c r="B199" s="2168"/>
      <c r="C199" s="1702"/>
      <c r="D199" s="1706" t="s">
        <v>513</v>
      </c>
      <c r="E199" s="2170" t="s">
        <v>1047</v>
      </c>
      <c r="F199" s="2183">
        <v>0.67</v>
      </c>
      <c r="G199" s="2169">
        <v>735</v>
      </c>
      <c r="H199" s="2169">
        <f>ROUND(F199*G199,2)</f>
        <v>492.45</v>
      </c>
      <c r="I199" s="2167"/>
    </row>
    <row r="200" spans="1:9" ht="12.9" hidden="1" customHeight="1">
      <c r="A200" s="1689"/>
      <c r="B200" s="2168"/>
      <c r="C200" s="1702"/>
      <c r="D200" s="1706" t="s">
        <v>1110</v>
      </c>
      <c r="E200" s="2170" t="s">
        <v>1047</v>
      </c>
      <c r="F200" s="2183">
        <v>2</v>
      </c>
      <c r="G200" s="2169">
        <v>615</v>
      </c>
      <c r="H200" s="2169">
        <f>ROUND(F200*G200,2)</f>
        <v>1230</v>
      </c>
      <c r="I200" s="2167"/>
    </row>
    <row r="201" spans="1:9" s="54" customFormat="1" hidden="1">
      <c r="A201" s="1566"/>
      <c r="B201" s="2168"/>
      <c r="C201" s="1702"/>
      <c r="D201" s="1706" t="s">
        <v>515</v>
      </c>
      <c r="E201" s="2170" t="s">
        <v>1047</v>
      </c>
      <c r="F201" s="2183">
        <v>0.67</v>
      </c>
      <c r="G201" s="2169">
        <v>615</v>
      </c>
      <c r="H201" s="2169">
        <f>ROUND(F201*G201,2)</f>
        <v>412.05</v>
      </c>
      <c r="I201" s="2167"/>
    </row>
    <row r="202" spans="1:9" ht="12.9" hidden="1" customHeight="1">
      <c r="A202" s="1689"/>
      <c r="B202" s="2168"/>
      <c r="C202" s="1702"/>
      <c r="D202" s="2171" t="s">
        <v>3082</v>
      </c>
      <c r="E202" s="2172">
        <v>0</v>
      </c>
      <c r="F202" s="2184"/>
      <c r="G202" s="1708"/>
      <c r="H202" s="2174">
        <f>ROUND(SUM(H199:H201)*E202,2)</f>
        <v>0</v>
      </c>
      <c r="I202" s="2167"/>
    </row>
    <row r="203" spans="1:9" ht="12.9" hidden="1" customHeight="1">
      <c r="A203" s="1689"/>
      <c r="B203" s="2168"/>
      <c r="C203" s="1702"/>
      <c r="D203" s="2175" t="s">
        <v>3111</v>
      </c>
      <c r="E203" s="2176">
        <v>0</v>
      </c>
      <c r="F203" s="2173"/>
      <c r="G203" s="1708"/>
      <c r="H203" s="2174">
        <f>ROUND(SUM(H196:H202)*E203,2)</f>
        <v>0</v>
      </c>
      <c r="I203" s="2167"/>
    </row>
    <row r="204" spans="1:9" ht="12.9" hidden="1" customHeight="1">
      <c r="A204" s="1689"/>
      <c r="B204" s="2168"/>
      <c r="C204" s="1702"/>
      <c r="D204" s="1707" t="s">
        <v>707</v>
      </c>
      <c r="E204" s="1705"/>
      <c r="F204" s="1705"/>
      <c r="G204" s="2166"/>
      <c r="H204" s="2166">
        <f>SUM(H197:H203)</f>
        <v>9934.5</v>
      </c>
      <c r="I204" s="2167"/>
    </row>
    <row r="205" spans="1:9" ht="12.9" hidden="1" customHeight="1">
      <c r="A205" s="1689"/>
      <c r="B205" s="2168"/>
      <c r="C205" s="1702"/>
      <c r="D205" s="1707" t="s">
        <v>708</v>
      </c>
      <c r="E205" s="1705"/>
      <c r="F205" s="1705"/>
      <c r="G205" s="2166"/>
      <c r="H205" s="2181">
        <f>ROUND(H204/100,2)</f>
        <v>99.35</v>
      </c>
    </row>
    <row r="206" spans="1:9" ht="12.9" hidden="1" customHeight="1">
      <c r="A206" s="1689"/>
      <c r="B206" s="2168"/>
      <c r="C206" s="1702"/>
      <c r="D206" s="2688" t="s">
        <v>1111</v>
      </c>
      <c r="E206" s="2688"/>
      <c r="F206" s="1705"/>
      <c r="G206" s="2166"/>
      <c r="H206" s="2181" t="s">
        <v>3112</v>
      </c>
      <c r="I206" s="2167"/>
    </row>
    <row r="207" spans="1:9" ht="12.9" hidden="1" customHeight="1">
      <c r="A207" s="1689"/>
      <c r="B207" s="1710"/>
      <c r="C207" s="1557"/>
      <c r="D207" s="1566"/>
      <c r="E207" s="1598"/>
      <c r="F207" s="1581"/>
      <c r="G207" s="1690"/>
      <c r="H207" s="1690"/>
    </row>
    <row r="208" spans="1:9" s="2179" customFormat="1" ht="15.9" hidden="1" customHeight="1">
      <c r="A208" s="1703">
        <v>48</v>
      </c>
      <c r="B208" s="1703"/>
      <c r="C208" s="1702">
        <v>6</v>
      </c>
      <c r="D208" s="1704" t="s">
        <v>3115</v>
      </c>
      <c r="E208" s="1705"/>
      <c r="F208" s="1705"/>
      <c r="G208" s="2166"/>
      <c r="H208" s="2166"/>
      <c r="I208" s="2167"/>
    </row>
    <row r="209" spans="1:9" s="2179" customFormat="1" ht="15.9" hidden="1" customHeight="1">
      <c r="A209" s="1703"/>
      <c r="B209" s="1703"/>
      <c r="C209" s="1702">
        <v>6.1</v>
      </c>
      <c r="D209" s="1704" t="s">
        <v>3116</v>
      </c>
      <c r="E209" s="1705"/>
      <c r="F209" s="1705"/>
      <c r="G209" s="2166"/>
      <c r="H209" s="2166"/>
      <c r="I209" s="2167"/>
    </row>
    <row r="210" spans="1:9" s="2179" customFormat="1" ht="57.75" hidden="1" customHeight="1">
      <c r="A210" s="2168"/>
      <c r="B210" s="2168"/>
      <c r="C210" s="1702" t="s">
        <v>3117</v>
      </c>
      <c r="D210" s="1706" t="s">
        <v>3118</v>
      </c>
      <c r="E210" s="1705"/>
      <c r="F210" s="1705"/>
      <c r="G210" s="2166"/>
      <c r="H210" s="2166"/>
      <c r="I210" s="2167"/>
    </row>
    <row r="211" spans="1:9" s="2179" customFormat="1" ht="15.9" hidden="1" customHeight="1">
      <c r="A211" s="2168"/>
      <c r="B211" s="2168"/>
      <c r="C211" s="1702"/>
      <c r="D211" s="1707" t="s">
        <v>526</v>
      </c>
      <c r="E211" s="1705"/>
      <c r="F211" s="1705"/>
      <c r="G211" s="2166"/>
      <c r="H211" s="2166"/>
      <c r="I211" s="2167"/>
    </row>
    <row r="212" spans="1:9" s="2179" customFormat="1" ht="15.9" hidden="1" customHeight="1">
      <c r="A212" s="2168"/>
      <c r="B212" s="1703" t="s">
        <v>3119</v>
      </c>
      <c r="C212" s="1702"/>
      <c r="D212" s="1706" t="s">
        <v>3120</v>
      </c>
      <c r="E212" s="1705" t="s">
        <v>511</v>
      </c>
      <c r="F212" s="2183">
        <v>1</v>
      </c>
      <c r="G212" s="2169">
        <v>2100</v>
      </c>
      <c r="H212" s="2169">
        <f>ROUND(F212*G212,2)</f>
        <v>2100</v>
      </c>
      <c r="I212" s="2167"/>
    </row>
    <row r="213" spans="1:9" s="2179" customFormat="1" ht="15.9" hidden="1" customHeight="1">
      <c r="A213" s="2168"/>
      <c r="B213" s="1703" t="s">
        <v>3127</v>
      </c>
      <c r="C213" s="1702"/>
      <c r="D213" s="1706" t="s">
        <v>3128</v>
      </c>
      <c r="E213" s="1705" t="s">
        <v>1585</v>
      </c>
      <c r="F213" s="2183">
        <v>1</v>
      </c>
      <c r="G213" s="2169">
        <v>3500</v>
      </c>
      <c r="H213" s="2169">
        <f>ROUND(F213*G213,2)</f>
        <v>3500</v>
      </c>
      <c r="I213" s="2167"/>
    </row>
    <row r="214" spans="1:9" s="2179" customFormat="1" ht="15.9" hidden="1" customHeight="1">
      <c r="A214" s="2168"/>
      <c r="B214" s="2168"/>
      <c r="C214" s="1702"/>
      <c r="D214" s="1706" t="s">
        <v>3121</v>
      </c>
      <c r="E214" s="1705" t="s">
        <v>1410</v>
      </c>
      <c r="F214" s="2183">
        <v>1</v>
      </c>
      <c r="G214" s="2169">
        <v>4</v>
      </c>
      <c r="H214" s="2169">
        <f>ROUND(F214*G214*100,2)</f>
        <v>400</v>
      </c>
      <c r="I214" s="2167"/>
    </row>
    <row r="215" spans="1:9" s="2179" customFormat="1" ht="15.9" hidden="1" customHeight="1">
      <c r="A215" s="2168"/>
      <c r="B215" s="2168"/>
      <c r="C215" s="1702"/>
      <c r="D215" s="1707" t="s">
        <v>3122</v>
      </c>
      <c r="E215" s="1705"/>
      <c r="F215" s="1705"/>
      <c r="G215" s="2169"/>
      <c r="H215" s="2166"/>
      <c r="I215" s="2167"/>
    </row>
    <row r="216" spans="1:9" s="2179" customFormat="1" ht="15.9" hidden="1" customHeight="1">
      <c r="A216" s="2168"/>
      <c r="B216" s="2168"/>
      <c r="C216" s="1702"/>
      <c r="D216" s="1706" t="s">
        <v>513</v>
      </c>
      <c r="E216" s="1705" t="s">
        <v>1047</v>
      </c>
      <c r="F216" s="1705">
        <v>1</v>
      </c>
      <c r="G216" s="2169">
        <v>735</v>
      </c>
      <c r="H216" s="2169">
        <f>ROUND(F216*G216,2)</f>
        <v>735</v>
      </c>
      <c r="I216" s="2167"/>
    </row>
    <row r="217" spans="1:9" s="2179" customFormat="1" ht="15.9" hidden="1" customHeight="1">
      <c r="A217" s="2168"/>
      <c r="B217" s="2168"/>
      <c r="C217" s="1702"/>
      <c r="D217" s="1706" t="s">
        <v>3123</v>
      </c>
      <c r="E217" s="1705" t="s">
        <v>1047</v>
      </c>
      <c r="F217" s="1705">
        <v>1</v>
      </c>
      <c r="G217" s="2169">
        <v>615</v>
      </c>
      <c r="H217" s="2169">
        <f>ROUND(F217*G217,2)</f>
        <v>615</v>
      </c>
      <c r="I217" s="2167"/>
    </row>
    <row r="218" spans="1:9" s="2179" customFormat="1" ht="15.9" hidden="1" customHeight="1">
      <c r="A218" s="2168"/>
      <c r="B218" s="2168"/>
      <c r="C218" s="1702"/>
      <c r="D218" s="1706" t="s">
        <v>1116</v>
      </c>
      <c r="E218" s="1705" t="s">
        <v>1047</v>
      </c>
      <c r="F218" s="1705">
        <v>1</v>
      </c>
      <c r="G218" s="2169">
        <v>615</v>
      </c>
      <c r="H218" s="2169">
        <f>ROUND(F218*G218,2)</f>
        <v>615</v>
      </c>
      <c r="I218" s="2167"/>
    </row>
    <row r="219" spans="1:9" s="2179" customFormat="1" ht="15.9" hidden="1" customHeight="1">
      <c r="A219" s="2168"/>
      <c r="B219" s="2168"/>
      <c r="C219" s="1702"/>
      <c r="D219" s="1706" t="s">
        <v>3124</v>
      </c>
      <c r="E219" s="1705"/>
      <c r="F219" s="1705"/>
      <c r="G219" s="1708"/>
      <c r="H219" s="2169">
        <f>SUM(H212:H218)</f>
        <v>7965</v>
      </c>
      <c r="I219" s="2167"/>
    </row>
    <row r="220" spans="1:9" s="2179" customFormat="1" ht="15.9" hidden="1" customHeight="1">
      <c r="A220" s="2168"/>
      <c r="B220" s="2168"/>
      <c r="C220" s="1702"/>
      <c r="D220" s="2175" t="s">
        <v>3096</v>
      </c>
      <c r="E220" s="2176">
        <v>0</v>
      </c>
      <c r="F220" s="2173"/>
      <c r="G220" s="1708"/>
      <c r="H220" s="2174">
        <f>ROUND(SUM(H219)*E220,2)</f>
        <v>0</v>
      </c>
      <c r="I220" s="2167"/>
    </row>
    <row r="221" spans="1:9" s="2179" customFormat="1" ht="15.9" hidden="1" customHeight="1">
      <c r="A221" s="2168"/>
      <c r="B221" s="2168"/>
      <c r="C221" s="1702"/>
      <c r="D221" s="1707" t="s">
        <v>3125</v>
      </c>
      <c r="E221" s="1705"/>
      <c r="F221" s="1705"/>
      <c r="G221" s="2166"/>
      <c r="H221" s="2169">
        <f>SUM(H219:H220)</f>
        <v>7965</v>
      </c>
      <c r="I221" s="2167"/>
    </row>
    <row r="222" spans="1:9" s="2179" customFormat="1" ht="15.9" hidden="1" customHeight="1">
      <c r="A222" s="2168"/>
      <c r="B222" s="2168"/>
      <c r="C222" s="1702"/>
      <c r="D222" s="1707" t="s">
        <v>3126</v>
      </c>
      <c r="E222" s="1705"/>
      <c r="F222" s="1705"/>
      <c r="G222" s="2166"/>
      <c r="H222" s="2177">
        <f>ROUND(H221/100,2)</f>
        <v>79.650000000000006</v>
      </c>
    </row>
    <row r="223" spans="1:9" s="2179" customFormat="1" ht="15.9" hidden="1" customHeight="1">
      <c r="A223" s="1703"/>
      <c r="B223" s="1703"/>
      <c r="C223" s="1702"/>
      <c r="D223" s="1707"/>
      <c r="E223" s="1705"/>
      <c r="F223" s="1705"/>
      <c r="G223" s="2166"/>
      <c r="H223" s="2181" t="s">
        <v>3112</v>
      </c>
      <c r="I223" s="2185"/>
    </row>
    <row r="224" spans="1:9" ht="12.9" hidden="1" customHeight="1">
      <c r="A224" s="1689"/>
      <c r="B224" s="1710"/>
      <c r="C224" s="1557"/>
      <c r="D224" s="1566"/>
      <c r="E224" s="1598"/>
      <c r="F224" s="1581"/>
      <c r="G224" s="1690"/>
      <c r="H224" s="1690"/>
    </row>
    <row r="225" spans="1:8" ht="95.2" hidden="1" customHeight="1">
      <c r="A225" s="1689">
        <v>7</v>
      </c>
      <c r="B225" s="2164"/>
      <c r="C225" s="1557" t="s">
        <v>353</v>
      </c>
      <c r="D225" s="1566" t="s">
        <v>297</v>
      </c>
      <c r="E225" s="1598"/>
      <c r="F225" s="1581"/>
      <c r="G225" s="1690"/>
      <c r="H225" s="1690"/>
    </row>
    <row r="226" spans="1:8" ht="12.9" hidden="1" customHeight="1">
      <c r="A226" s="1689"/>
      <c r="B226" s="1710"/>
      <c r="C226" s="1557"/>
      <c r="D226" s="1566" t="s">
        <v>354</v>
      </c>
      <c r="E226" s="1598"/>
      <c r="F226" s="1581"/>
      <c r="G226" s="1690"/>
      <c r="H226" s="1690"/>
    </row>
    <row r="227" spans="1:8" ht="12.9" hidden="1" customHeight="1">
      <c r="A227" s="1689"/>
      <c r="B227" s="1710"/>
      <c r="C227" s="1557"/>
      <c r="D227" s="1566" t="s">
        <v>526</v>
      </c>
      <c r="E227" s="1598"/>
      <c r="F227" s="1581"/>
      <c r="G227" s="1690"/>
      <c r="H227" s="1690"/>
    </row>
    <row r="228" spans="1:8" ht="12.9" hidden="1" customHeight="1">
      <c r="A228" s="1689"/>
      <c r="B228" s="1691" t="s">
        <v>1901</v>
      </c>
      <c r="C228" s="1557"/>
      <c r="D228" s="1566" t="s">
        <v>945</v>
      </c>
      <c r="E228" s="1598" t="s">
        <v>334</v>
      </c>
      <c r="F228" s="1581">
        <v>1</v>
      </c>
      <c r="G228" s="1690">
        <v>29</v>
      </c>
      <c r="H228" s="1690">
        <f>ROUND(F228*G228,20)</f>
        <v>29</v>
      </c>
    </row>
    <row r="229" spans="1:8" ht="12.9" hidden="1" customHeight="1">
      <c r="A229" s="1689"/>
      <c r="B229" s="1691" t="s">
        <v>1902</v>
      </c>
      <c r="C229" s="1557"/>
      <c r="D229" s="1566" t="s">
        <v>946</v>
      </c>
      <c r="E229" s="1598" t="s">
        <v>334</v>
      </c>
      <c r="F229" s="1581">
        <v>1</v>
      </c>
      <c r="G229" s="1690">
        <v>20</v>
      </c>
      <c r="H229" s="1690">
        <f>ROUND(F229*G229,20)</f>
        <v>20</v>
      </c>
    </row>
    <row r="230" spans="1:8" ht="12.9" hidden="1" customHeight="1">
      <c r="A230" s="1689"/>
      <c r="B230" s="1710"/>
      <c r="C230" s="1557"/>
      <c r="D230" s="1566" t="s">
        <v>512</v>
      </c>
      <c r="E230" s="1598"/>
      <c r="F230" s="1581"/>
      <c r="G230" s="1690"/>
      <c r="H230" s="1690"/>
    </row>
    <row r="231" spans="1:8" ht="12.9" hidden="1" customHeight="1">
      <c r="A231" s="1689"/>
      <c r="B231" s="1710"/>
      <c r="C231" s="1557"/>
      <c r="D231" s="1566" t="s">
        <v>513</v>
      </c>
      <c r="E231" s="1598" t="s">
        <v>1047</v>
      </c>
      <c r="F231" s="1581">
        <v>6.7000000000000004E-2</v>
      </c>
      <c r="G231" s="1690">
        <f>G155</f>
        <v>775</v>
      </c>
      <c r="H231" s="1690">
        <f>ROUND(F231*G231,20)</f>
        <v>51.924999999999997</v>
      </c>
    </row>
    <row r="232" spans="1:8" ht="12.9" hidden="1" customHeight="1">
      <c r="A232" s="1689"/>
      <c r="B232" s="1710"/>
      <c r="C232" s="1557"/>
      <c r="D232" s="1566" t="s">
        <v>515</v>
      </c>
      <c r="E232" s="1598" t="s">
        <v>1047</v>
      </c>
      <c r="F232" s="1581">
        <v>6.7000000000000004E-2</v>
      </c>
      <c r="G232" s="1690">
        <f>G156</f>
        <v>650</v>
      </c>
      <c r="H232" s="1690">
        <f>ROUND(F232*G232,20)</f>
        <v>43.55</v>
      </c>
    </row>
    <row r="233" spans="1:8" ht="12.9" hidden="1" customHeight="1">
      <c r="A233" s="1689"/>
      <c r="B233" s="1710"/>
      <c r="C233" s="1557"/>
      <c r="D233" s="1566" t="s">
        <v>896</v>
      </c>
      <c r="E233" s="1594"/>
      <c r="F233" s="1594">
        <f>'Lead- Input sheet '!Q31</f>
        <v>0</v>
      </c>
      <c r="G233" s="1692">
        <f>SUM(H231:H232)</f>
        <v>95.474999999999994</v>
      </c>
      <c r="H233" s="1692">
        <f>ROUND(G233*F233,2)</f>
        <v>0</v>
      </c>
    </row>
    <row r="234" spans="1:8" ht="12.9" hidden="1" customHeight="1">
      <c r="A234" s="1689"/>
      <c r="B234" s="1710"/>
      <c r="C234" s="1557"/>
      <c r="D234" s="1566" t="s">
        <v>427</v>
      </c>
      <c r="E234" s="1598"/>
      <c r="F234" s="1581"/>
      <c r="G234" s="1690"/>
      <c r="H234" s="1690">
        <f>SUM(H228:H233)</f>
        <v>144.47499999999999</v>
      </c>
    </row>
    <row r="235" spans="1:8" s="2165" customFormat="1" ht="12.9" hidden="1" customHeight="1">
      <c r="A235" s="1693"/>
      <c r="B235" s="2164"/>
      <c r="C235" s="1557"/>
      <c r="D235" s="1575" t="s">
        <v>1000</v>
      </c>
      <c r="E235" s="1694"/>
      <c r="F235" s="1697">
        <f>'Lead- Input sheet '!Q32</f>
        <v>0</v>
      </c>
      <c r="G235" s="1695">
        <f>H234</f>
        <v>144.47499999999999</v>
      </c>
      <c r="H235" s="1694">
        <f>ROUND(G235*F235,2)</f>
        <v>0</v>
      </c>
    </row>
    <row r="236" spans="1:8" s="2165" customFormat="1" ht="12.9" hidden="1" customHeight="1">
      <c r="A236" s="1693"/>
      <c r="B236" s="2164"/>
      <c r="C236" s="1557"/>
      <c r="D236" s="1575" t="s">
        <v>1001</v>
      </c>
      <c r="E236" s="1694"/>
      <c r="F236" s="1557"/>
      <c r="G236" s="1695" t="s">
        <v>416</v>
      </c>
      <c r="H236" s="1695">
        <f>ROUND(SUM(H234:H235),2)</f>
        <v>144.47999999999999</v>
      </c>
    </row>
    <row r="237" spans="1:8" ht="14.25" hidden="1" customHeight="1">
      <c r="A237" s="1689"/>
      <c r="B237" s="1710"/>
      <c r="C237" s="1557"/>
      <c r="D237" s="1566" t="s">
        <v>355</v>
      </c>
      <c r="E237" s="1598"/>
      <c r="F237" s="1581"/>
      <c r="G237" s="1690"/>
      <c r="H237" s="1690"/>
    </row>
    <row r="238" spans="1:8" s="128" customFormat="1" ht="114.9" hidden="1" customHeight="1">
      <c r="A238" s="1689">
        <v>8</v>
      </c>
      <c r="B238" s="2164"/>
      <c r="C238" s="1557" t="s">
        <v>1404</v>
      </c>
      <c r="D238" s="1566" t="s">
        <v>298</v>
      </c>
      <c r="E238" s="1598"/>
      <c r="F238" s="1581"/>
      <c r="G238" s="1690"/>
      <c r="H238" s="1690"/>
    </row>
    <row r="239" spans="1:8" s="128" customFormat="1" ht="12.9" hidden="1" customHeight="1">
      <c r="A239" s="1689"/>
      <c r="B239" s="1710"/>
      <c r="C239" s="1557"/>
      <c r="D239" s="1566" t="s">
        <v>354</v>
      </c>
      <c r="E239" s="1598"/>
      <c r="F239" s="1581"/>
      <c r="G239" s="1690"/>
      <c r="H239" s="1690"/>
    </row>
    <row r="240" spans="1:8" s="128" customFormat="1" ht="12.9" hidden="1" customHeight="1">
      <c r="A240" s="1689"/>
      <c r="B240" s="1710"/>
      <c r="C240" s="1557"/>
      <c r="D240" s="1566" t="s">
        <v>526</v>
      </c>
      <c r="E240" s="1598"/>
      <c r="F240" s="1581"/>
      <c r="G240" s="1690"/>
      <c r="H240" s="1690"/>
    </row>
    <row r="241" spans="1:14" s="128" customFormat="1" ht="12.9" hidden="1" customHeight="1">
      <c r="A241" s="1689"/>
      <c r="B241" s="1710" t="s">
        <v>1903</v>
      </c>
      <c r="C241" s="1557"/>
      <c r="D241" s="1566" t="s">
        <v>1405</v>
      </c>
      <c r="E241" s="1598" t="s">
        <v>334</v>
      </c>
      <c r="F241" s="1581">
        <v>1</v>
      </c>
      <c r="G241" s="1690">
        <v>46</v>
      </c>
      <c r="H241" s="1690">
        <f>ROUND(F241*G241,20)</f>
        <v>46</v>
      </c>
    </row>
    <row r="242" spans="1:14" s="128" customFormat="1" ht="30" hidden="1" customHeight="1">
      <c r="A242" s="1689"/>
      <c r="B242" s="1710" t="s">
        <v>1904</v>
      </c>
      <c r="C242" s="1557"/>
      <c r="D242" s="1566" t="s">
        <v>295</v>
      </c>
      <c r="E242" s="1598" t="s">
        <v>334</v>
      </c>
      <c r="F242" s="1581">
        <v>1</v>
      </c>
      <c r="G242" s="1690">
        <v>102</v>
      </c>
      <c r="H242" s="1690">
        <f>ROUND(F242*G242,20)</f>
        <v>102</v>
      </c>
    </row>
    <row r="243" spans="1:14" s="128" customFormat="1" ht="13.5" hidden="1" customHeight="1">
      <c r="A243" s="1689"/>
      <c r="B243" s="1710" t="s">
        <v>1973</v>
      </c>
      <c r="C243" s="1557"/>
      <c r="D243" s="1566" t="s">
        <v>1853</v>
      </c>
      <c r="E243" s="1598" t="s">
        <v>334</v>
      </c>
      <c r="F243" s="1581">
        <v>1</v>
      </c>
      <c r="G243" s="1690">
        <v>65</v>
      </c>
      <c r="H243" s="1690">
        <f>ROUND(F243*G243,20)</f>
        <v>65</v>
      </c>
    </row>
    <row r="244" spans="1:14" s="128" customFormat="1" ht="12.9" hidden="1" customHeight="1">
      <c r="A244" s="1689"/>
      <c r="B244" s="1710"/>
      <c r="C244" s="1557"/>
      <c r="D244" s="1566" t="s">
        <v>512</v>
      </c>
      <c r="E244" s="1598"/>
      <c r="F244" s="1581"/>
      <c r="G244" s="1690"/>
      <c r="H244" s="1690"/>
    </row>
    <row r="245" spans="1:14" s="128" customFormat="1" ht="12.9" hidden="1" customHeight="1">
      <c r="A245" s="1689"/>
      <c r="B245" s="1710"/>
      <c r="C245" s="1557"/>
      <c r="D245" s="1566" t="s">
        <v>513</v>
      </c>
      <c r="E245" s="1598" t="s">
        <v>1047</v>
      </c>
      <c r="F245" s="1581">
        <v>0.1</v>
      </c>
      <c r="G245" s="1690">
        <f>'Lead- Input sheet '!R33</f>
        <v>775</v>
      </c>
      <c r="H245" s="1690">
        <f>ROUND(F245*G245,20)</f>
        <v>77.5</v>
      </c>
    </row>
    <row r="246" spans="1:14" s="128" customFormat="1" ht="12.9" hidden="1" customHeight="1">
      <c r="A246" s="1689"/>
      <c r="B246" s="1710"/>
      <c r="C246" s="1557"/>
      <c r="D246" s="1566" t="s">
        <v>515</v>
      </c>
      <c r="E246" s="1598" t="s">
        <v>1047</v>
      </c>
      <c r="F246" s="1581">
        <v>0.1</v>
      </c>
      <c r="G246" s="1690">
        <f>G232</f>
        <v>650</v>
      </c>
      <c r="H246" s="1690">
        <f>ROUND(F246*G246,20)</f>
        <v>65</v>
      </c>
    </row>
    <row r="247" spans="1:14" ht="12.9" hidden="1" customHeight="1">
      <c r="A247" s="1689"/>
      <c r="B247" s="1710"/>
      <c r="C247" s="1557"/>
      <c r="D247" s="1566" t="s">
        <v>896</v>
      </c>
      <c r="E247" s="1594"/>
      <c r="F247" s="1594">
        <f>'Lead- Input sheet '!Q31</f>
        <v>0</v>
      </c>
      <c r="G247" s="1692">
        <f>SUM(H245:H246)</f>
        <v>142.5</v>
      </c>
      <c r="H247" s="1692">
        <f>ROUND(G247*F247,2)</f>
        <v>0</v>
      </c>
    </row>
    <row r="248" spans="1:14" s="128" customFormat="1" ht="12.9" hidden="1" customHeight="1">
      <c r="A248" s="1689"/>
      <c r="B248" s="1710"/>
      <c r="C248" s="1557"/>
      <c r="D248" s="1566" t="s">
        <v>427</v>
      </c>
      <c r="E248" s="1598"/>
      <c r="F248" s="1581"/>
      <c r="G248" s="1690"/>
      <c r="H248" s="1690">
        <f>SUM(H241:H247)</f>
        <v>355.5</v>
      </c>
    </row>
    <row r="249" spans="1:14" s="2165" customFormat="1" ht="12.9" hidden="1" customHeight="1">
      <c r="A249" s="1693"/>
      <c r="B249" s="2164"/>
      <c r="C249" s="1557"/>
      <c r="D249" s="1575" t="s">
        <v>1000</v>
      </c>
      <c r="E249" s="1694"/>
      <c r="F249" s="1697">
        <f>'Lead- Input sheet '!Q32</f>
        <v>0</v>
      </c>
      <c r="G249" s="1695">
        <f>H248</f>
        <v>355.5</v>
      </c>
      <c r="H249" s="1694">
        <f>ROUND(G249*F249,2)</f>
        <v>0</v>
      </c>
    </row>
    <row r="250" spans="1:14" s="2165" customFormat="1" ht="12.9" hidden="1" customHeight="1">
      <c r="A250" s="1693"/>
      <c r="B250" s="2164"/>
      <c r="C250" s="1557"/>
      <c r="D250" s="1575" t="s">
        <v>1001</v>
      </c>
      <c r="E250" s="1694"/>
      <c r="F250" s="1557"/>
      <c r="G250" s="1695" t="s">
        <v>416</v>
      </c>
      <c r="H250" s="1695">
        <f>ROUND(SUM(H248:H249),2)</f>
        <v>355.5</v>
      </c>
    </row>
    <row r="251" spans="1:14" s="128" customFormat="1" ht="114.9" hidden="1" customHeight="1">
      <c r="A251" s="1689">
        <v>9</v>
      </c>
      <c r="B251" s="2164"/>
      <c r="C251" s="1557" t="s">
        <v>1404</v>
      </c>
      <c r="D251" s="1566" t="s">
        <v>1198</v>
      </c>
      <c r="E251" s="1598"/>
      <c r="F251" s="1581"/>
      <c r="G251" s="1690"/>
      <c r="H251" s="1690"/>
    </row>
    <row r="252" spans="1:14" s="128" customFormat="1" ht="12.9" hidden="1" customHeight="1">
      <c r="A252" s="1689"/>
      <c r="B252" s="1710"/>
      <c r="C252" s="1557"/>
      <c r="D252" s="1566" t="s">
        <v>354</v>
      </c>
      <c r="E252" s="1598"/>
      <c r="F252" s="1581"/>
      <c r="G252" s="1690"/>
      <c r="H252" s="1690"/>
    </row>
    <row r="253" spans="1:14" s="128" customFormat="1" ht="12.9" hidden="1" customHeight="1">
      <c r="A253" s="1689"/>
      <c r="B253" s="1710"/>
      <c r="C253" s="1557"/>
      <c r="D253" s="1566" t="s">
        <v>526</v>
      </c>
      <c r="E253" s="1598"/>
      <c r="F253" s="1581"/>
      <c r="G253" s="1690"/>
      <c r="H253" s="1690"/>
      <c r="N253" s="128">
        <v>20</v>
      </c>
    </row>
    <row r="254" spans="1:14" s="128" customFormat="1" ht="12.9" hidden="1" customHeight="1">
      <c r="A254" s="1689"/>
      <c r="B254" s="1710" t="s">
        <v>1905</v>
      </c>
      <c r="C254" s="1557"/>
      <c r="D254" s="1566" t="s">
        <v>428</v>
      </c>
      <c r="E254" s="1598" t="s">
        <v>334</v>
      </c>
      <c r="F254" s="1581">
        <v>1</v>
      </c>
      <c r="G254" s="1690">
        <v>46</v>
      </c>
      <c r="H254" s="1690">
        <f>ROUND(F254*G254,20)</f>
        <v>46</v>
      </c>
      <c r="N254" s="128">
        <v>26</v>
      </c>
    </row>
    <row r="255" spans="1:14" s="128" customFormat="1" ht="30" hidden="1" customHeight="1">
      <c r="A255" s="1689"/>
      <c r="B255" s="1710" t="s">
        <v>1907</v>
      </c>
      <c r="C255" s="1557"/>
      <c r="D255" s="1566" t="s">
        <v>1906</v>
      </c>
      <c r="E255" s="1598" t="s">
        <v>334</v>
      </c>
      <c r="F255" s="1581">
        <v>1</v>
      </c>
      <c r="G255" s="1690">
        <v>46</v>
      </c>
      <c r="H255" s="1690">
        <f>ROUND(F255*G255,20)</f>
        <v>46</v>
      </c>
    </row>
    <row r="256" spans="1:14" s="128" customFormat="1" ht="13.5" hidden="1" customHeight="1">
      <c r="A256" s="1689"/>
      <c r="B256" s="1710" t="s">
        <v>1902</v>
      </c>
      <c r="C256" s="1557"/>
      <c r="D256" s="1566" t="s">
        <v>429</v>
      </c>
      <c r="E256" s="1598" t="s">
        <v>334</v>
      </c>
      <c r="F256" s="1581">
        <v>1</v>
      </c>
      <c r="G256" s="1690">
        <v>18</v>
      </c>
      <c r="H256" s="1690">
        <f>ROUND(F256*G256,20)</f>
        <v>18</v>
      </c>
    </row>
    <row r="257" spans="1:8" s="128" customFormat="1" ht="12.9" hidden="1" customHeight="1">
      <c r="A257" s="1689"/>
      <c r="B257" s="1710"/>
      <c r="C257" s="1557"/>
      <c r="D257" s="1566" t="s">
        <v>512</v>
      </c>
      <c r="E257" s="1598"/>
      <c r="F257" s="1581"/>
      <c r="G257" s="1690"/>
      <c r="H257" s="1690"/>
    </row>
    <row r="258" spans="1:8" s="128" customFormat="1" ht="12.9" hidden="1" customHeight="1">
      <c r="A258" s="1689"/>
      <c r="B258" s="1710"/>
      <c r="C258" s="1557"/>
      <c r="D258" s="1566" t="s">
        <v>513</v>
      </c>
      <c r="E258" s="1598" t="s">
        <v>1047</v>
      </c>
      <c r="F258" s="1581">
        <v>0.1</v>
      </c>
      <c r="G258" s="1690">
        <f>'Lead- Input sheet '!R33</f>
        <v>775</v>
      </c>
      <c r="H258" s="1690">
        <f>ROUND(F258*G258,20)</f>
        <v>77.5</v>
      </c>
    </row>
    <row r="259" spans="1:8" s="128" customFormat="1" ht="12.9" hidden="1" customHeight="1">
      <c r="A259" s="1689"/>
      <c r="B259" s="1710"/>
      <c r="C259" s="1557"/>
      <c r="D259" s="1566" t="s">
        <v>515</v>
      </c>
      <c r="E259" s="1598" t="s">
        <v>1047</v>
      </c>
      <c r="F259" s="1581">
        <v>0.1</v>
      </c>
      <c r="G259" s="1690">
        <f>G246</f>
        <v>650</v>
      </c>
      <c r="H259" s="1690">
        <f>ROUND(F259*G259,20)</f>
        <v>65</v>
      </c>
    </row>
    <row r="260" spans="1:8" ht="12.9" hidden="1" customHeight="1">
      <c r="A260" s="1689"/>
      <c r="B260" s="1710"/>
      <c r="C260" s="1557"/>
      <c r="D260" s="1566" t="s">
        <v>896</v>
      </c>
      <c r="E260" s="1594"/>
      <c r="F260" s="1594">
        <f>'Lead- Input sheet '!Q31</f>
        <v>0</v>
      </c>
      <c r="G260" s="1692">
        <f>SUM(H258:H259)</f>
        <v>142.5</v>
      </c>
      <c r="H260" s="1692">
        <f>ROUND(G260*F260,2)</f>
        <v>0</v>
      </c>
    </row>
    <row r="261" spans="1:8" s="2165" customFormat="1" ht="12.9" hidden="1" customHeight="1">
      <c r="A261" s="1693"/>
      <c r="B261" s="2164"/>
      <c r="C261" s="1557"/>
      <c r="D261" s="1575" t="s">
        <v>427</v>
      </c>
      <c r="E261" s="1694"/>
      <c r="F261" s="1557"/>
      <c r="G261" s="1695"/>
      <c r="H261" s="1695">
        <f>SUM(H254:H260)</f>
        <v>252.5</v>
      </c>
    </row>
    <row r="262" spans="1:8" s="2165" customFormat="1" ht="12.9" hidden="1" customHeight="1">
      <c r="A262" s="1693"/>
      <c r="B262" s="2164"/>
      <c r="C262" s="1557"/>
      <c r="D262" s="1575" t="s">
        <v>1000</v>
      </c>
      <c r="E262" s="1694"/>
      <c r="F262" s="1697">
        <f>'Lead- Input sheet '!Q32</f>
        <v>0</v>
      </c>
      <c r="G262" s="1695">
        <f>H261</f>
        <v>252.5</v>
      </c>
      <c r="H262" s="1694">
        <f>ROUND(G262*F262,2)</f>
        <v>0</v>
      </c>
    </row>
    <row r="263" spans="1:8" s="2165" customFormat="1" ht="12.9" hidden="1" customHeight="1">
      <c r="A263" s="1693"/>
      <c r="B263" s="2164"/>
      <c r="C263" s="1557"/>
      <c r="D263" s="1575" t="s">
        <v>1001</v>
      </c>
      <c r="E263" s="1694"/>
      <c r="F263" s="1557"/>
      <c r="G263" s="1695" t="s">
        <v>416</v>
      </c>
      <c r="H263" s="1694">
        <f>ROUND(SUM(H261:H262),2)</f>
        <v>252.5</v>
      </c>
    </row>
    <row r="264" spans="1:8" ht="12.9" hidden="1" customHeight="1">
      <c r="A264" s="1689"/>
      <c r="B264" s="2164" t="s">
        <v>1155</v>
      </c>
      <c r="C264" s="1557">
        <v>9.6999999999999993</v>
      </c>
      <c r="D264" s="1566" t="s">
        <v>1156</v>
      </c>
      <c r="E264" s="1598"/>
      <c r="F264" s="1581"/>
      <c r="G264" s="1690"/>
      <c r="H264" s="1690"/>
    </row>
    <row r="265" spans="1:8" ht="90.75" hidden="1" customHeight="1">
      <c r="A265" s="1689">
        <v>10</v>
      </c>
      <c r="B265" s="1710"/>
      <c r="C265" s="1557" t="s">
        <v>1157</v>
      </c>
      <c r="D265" s="1566" t="s">
        <v>885</v>
      </c>
      <c r="E265" s="1598"/>
      <c r="F265" s="1581"/>
      <c r="G265" s="1690"/>
      <c r="H265" s="1690"/>
    </row>
    <row r="266" spans="1:8" ht="12" hidden="1" customHeight="1">
      <c r="A266" s="1689"/>
      <c r="B266" s="1710"/>
      <c r="C266" s="1557"/>
      <c r="D266" s="1566" t="s">
        <v>526</v>
      </c>
      <c r="E266" s="1598"/>
      <c r="F266" s="1581"/>
      <c r="G266" s="1690"/>
      <c r="H266" s="1690"/>
    </row>
    <row r="267" spans="1:8" ht="50.2" hidden="1" customHeight="1">
      <c r="A267" s="1689"/>
      <c r="B267" s="2186" t="s">
        <v>1443</v>
      </c>
      <c r="C267" s="1557"/>
      <c r="D267" s="1598" t="s">
        <v>1908</v>
      </c>
      <c r="E267" s="1598" t="s">
        <v>334</v>
      </c>
      <c r="F267" s="1581">
        <v>1</v>
      </c>
      <c r="G267" s="1690">
        <v>2000</v>
      </c>
      <c r="H267" s="1690">
        <f>F267*G267</f>
        <v>2000</v>
      </c>
    </row>
    <row r="268" spans="1:8" ht="12.9" hidden="1" customHeight="1">
      <c r="A268" s="1689"/>
      <c r="B268" s="1710"/>
      <c r="C268" s="1557"/>
      <c r="D268" s="1566" t="s">
        <v>1158</v>
      </c>
      <c r="E268" s="1598"/>
      <c r="F268" s="1581">
        <v>0.01</v>
      </c>
      <c r="G268" s="1690"/>
      <c r="H268" s="1690">
        <f>G267*1%</f>
        <v>20</v>
      </c>
    </row>
    <row r="269" spans="1:8" s="2165" customFormat="1" ht="12.9" hidden="1" customHeight="1">
      <c r="A269" s="1693"/>
      <c r="B269" s="2164"/>
      <c r="C269" s="1557"/>
      <c r="D269" s="1575" t="s">
        <v>645</v>
      </c>
      <c r="E269" s="1694"/>
      <c r="F269" s="1557"/>
      <c r="G269" s="1695"/>
      <c r="H269" s="1695">
        <f>SUM(H267:H268)</f>
        <v>2020</v>
      </c>
    </row>
    <row r="270" spans="1:8" s="2165" customFormat="1" ht="12.9" hidden="1" customHeight="1">
      <c r="A270" s="1693"/>
      <c r="B270" s="2164"/>
      <c r="C270" s="1557"/>
      <c r="D270" s="1575" t="s">
        <v>1000</v>
      </c>
      <c r="E270" s="1694"/>
      <c r="F270" s="1697">
        <f>'Lead- Input sheet '!Q32</f>
        <v>0</v>
      </c>
      <c r="G270" s="1695">
        <f>H269</f>
        <v>2020</v>
      </c>
      <c r="H270" s="1694">
        <f>ROUND(G270*F270,2)</f>
        <v>0</v>
      </c>
    </row>
    <row r="271" spans="1:8" s="2165" customFormat="1" ht="12.9" hidden="1" customHeight="1">
      <c r="A271" s="1693"/>
      <c r="B271" s="2164"/>
      <c r="C271" s="1557"/>
      <c r="D271" s="1575" t="s">
        <v>1001</v>
      </c>
      <c r="E271" s="1694"/>
      <c r="F271" s="1557"/>
      <c r="G271" s="1695" t="s">
        <v>416</v>
      </c>
      <c r="H271" s="1695">
        <f>ROUND(SUM(H269:H270),2)</f>
        <v>2020</v>
      </c>
    </row>
    <row r="272" spans="1:8" ht="12.9" hidden="1" customHeight="1">
      <c r="A272" s="1689"/>
      <c r="B272" s="1710"/>
      <c r="C272" s="1557" t="s">
        <v>1159</v>
      </c>
      <c r="D272" s="1566" t="s">
        <v>1160</v>
      </c>
      <c r="E272" s="1598"/>
      <c r="F272" s="1581"/>
      <c r="G272" s="1690"/>
      <c r="H272" s="1690"/>
    </row>
    <row r="273" spans="1:8" ht="51.75" hidden="1" customHeight="1">
      <c r="A273" s="1689">
        <v>11</v>
      </c>
      <c r="B273" s="1710"/>
      <c r="C273" s="1557"/>
      <c r="D273" s="1566" t="s">
        <v>1108</v>
      </c>
      <c r="E273" s="1598"/>
      <c r="F273" s="1581"/>
      <c r="G273" s="1690"/>
      <c r="H273" s="1690"/>
    </row>
    <row r="274" spans="1:8" ht="12.75" hidden="1" customHeight="1">
      <c r="A274" s="1689"/>
      <c r="B274" s="1710"/>
      <c r="C274" s="1557"/>
      <c r="D274" s="1566" t="s">
        <v>526</v>
      </c>
      <c r="E274" s="1598"/>
      <c r="F274" s="1581"/>
      <c r="G274" s="1690"/>
      <c r="H274" s="1690"/>
    </row>
    <row r="275" spans="1:8" ht="12.9" hidden="1" customHeight="1">
      <c r="A275" s="1689"/>
      <c r="B275" s="1691" t="s">
        <v>2600</v>
      </c>
      <c r="C275" s="1557"/>
      <c r="D275" s="1566" t="s">
        <v>2599</v>
      </c>
      <c r="E275" s="1598" t="s">
        <v>1585</v>
      </c>
      <c r="F275" s="1581">
        <v>1</v>
      </c>
      <c r="G275" s="1690">
        <v>1315</v>
      </c>
      <c r="H275" s="1690">
        <f>F275*G275/100</f>
        <v>13.15</v>
      </c>
    </row>
    <row r="276" spans="1:8" ht="50.2" hidden="1" customHeight="1">
      <c r="A276" s="1689"/>
      <c r="B276" s="1710"/>
      <c r="C276" s="1557"/>
      <c r="D276" s="1566" t="s">
        <v>646</v>
      </c>
      <c r="E276" s="1598" t="s">
        <v>975</v>
      </c>
      <c r="F276" s="1581"/>
      <c r="G276" s="1690"/>
      <c r="H276" s="1690">
        <v>10</v>
      </c>
    </row>
    <row r="277" spans="1:8" ht="12.9" hidden="1" customHeight="1">
      <c r="A277" s="1689"/>
      <c r="B277" s="1710"/>
      <c r="C277" s="1557"/>
      <c r="D277" s="1566" t="s">
        <v>1109</v>
      </c>
      <c r="E277" s="1598"/>
      <c r="F277" s="1581"/>
      <c r="G277" s="1690"/>
      <c r="H277" s="1690"/>
    </row>
    <row r="278" spans="1:8" ht="12.9" hidden="1" customHeight="1">
      <c r="A278" s="1689"/>
      <c r="B278" s="1710"/>
      <c r="C278" s="1557"/>
      <c r="D278" s="1566" t="s">
        <v>513</v>
      </c>
      <c r="E278" s="1598" t="s">
        <v>1047</v>
      </c>
      <c r="F278" s="1581">
        <v>0.125</v>
      </c>
      <c r="G278" s="1690">
        <f>'Lead- Input sheet '!R33</f>
        <v>775</v>
      </c>
      <c r="H278" s="1690">
        <f>F278*G278</f>
        <v>96.875</v>
      </c>
    </row>
    <row r="279" spans="1:8" ht="12.9" hidden="1" customHeight="1">
      <c r="A279" s="1689"/>
      <c r="B279" s="1710"/>
      <c r="C279" s="1557"/>
      <c r="D279" s="1566" t="s">
        <v>1116</v>
      </c>
      <c r="E279" s="1598" t="s">
        <v>1047</v>
      </c>
      <c r="F279" s="1581">
        <v>0.125</v>
      </c>
      <c r="G279" s="1690">
        <f>G259</f>
        <v>650</v>
      </c>
      <c r="H279" s="1690">
        <f>F279*G279</f>
        <v>81.25</v>
      </c>
    </row>
    <row r="280" spans="1:8" ht="12.9" hidden="1" customHeight="1">
      <c r="A280" s="1689"/>
      <c r="B280" s="1710"/>
      <c r="C280" s="1557"/>
      <c r="D280" s="1566" t="s">
        <v>896</v>
      </c>
      <c r="E280" s="1594"/>
      <c r="F280" s="1594">
        <f>'Lead- Input sheet '!Q31</f>
        <v>0</v>
      </c>
      <c r="G280" s="1692">
        <f>SUM(H278:H279)</f>
        <v>178.125</v>
      </c>
      <c r="H280" s="1692">
        <f>ROUND(G280*F280,2)</f>
        <v>0</v>
      </c>
    </row>
    <row r="281" spans="1:8" ht="12.9" hidden="1" customHeight="1">
      <c r="A281" s="1689"/>
      <c r="B281" s="1710"/>
      <c r="C281" s="1557"/>
      <c r="D281" s="1566" t="s">
        <v>645</v>
      </c>
      <c r="E281" s="1598"/>
      <c r="F281" s="1581"/>
      <c r="G281" s="1690"/>
      <c r="H281" s="1690">
        <f>SUM(H275:H280)</f>
        <v>201.27500000000001</v>
      </c>
    </row>
    <row r="282" spans="1:8" s="2165" customFormat="1" ht="12.9" hidden="1" customHeight="1">
      <c r="A282" s="1693"/>
      <c r="B282" s="2164"/>
      <c r="C282" s="1557"/>
      <c r="D282" s="1575" t="s">
        <v>1000</v>
      </c>
      <c r="E282" s="1694"/>
      <c r="F282" s="1697">
        <f>'Lead- Input sheet '!Q32</f>
        <v>0</v>
      </c>
      <c r="G282" s="1695">
        <f>H281</f>
        <v>201.27500000000001</v>
      </c>
      <c r="H282" s="1694">
        <f>ROUND(G282*F282,2)</f>
        <v>0</v>
      </c>
    </row>
    <row r="283" spans="1:8" s="2165" customFormat="1" ht="12.9" hidden="1" customHeight="1">
      <c r="A283" s="1693"/>
      <c r="B283" s="2164"/>
      <c r="C283" s="1557"/>
      <c r="D283" s="1575" t="s">
        <v>1460</v>
      </c>
      <c r="E283" s="1694"/>
      <c r="F283" s="1557"/>
      <c r="G283" s="1695" t="s">
        <v>416</v>
      </c>
      <c r="H283" s="1694">
        <f>ROUND(SUM(H281:H282),2)</f>
        <v>201.28</v>
      </c>
    </row>
    <row r="284" spans="1:8" s="2165" customFormat="1" ht="12.9" hidden="1" customHeight="1">
      <c r="A284" s="1693"/>
      <c r="B284" s="2164"/>
      <c r="C284" s="1557"/>
      <c r="D284" s="1575" t="s">
        <v>1001</v>
      </c>
      <c r="E284" s="1694"/>
      <c r="F284" s="1557"/>
      <c r="G284" s="1695" t="s">
        <v>416</v>
      </c>
      <c r="H284" s="1695">
        <f>H283+H271</f>
        <v>2221.2800000000002</v>
      </c>
    </row>
    <row r="285" spans="1:8" s="128" customFormat="1" ht="75" hidden="1" customHeight="1">
      <c r="A285" s="1689">
        <v>12</v>
      </c>
      <c r="B285" s="1710"/>
      <c r="C285" s="1557" t="s">
        <v>647</v>
      </c>
      <c r="D285" s="1566" t="s">
        <v>301</v>
      </c>
      <c r="E285" s="1598"/>
      <c r="F285" s="1581"/>
      <c r="G285" s="1690"/>
      <c r="H285" s="1690"/>
    </row>
    <row r="286" spans="1:8" ht="12.75" hidden="1" customHeight="1">
      <c r="A286" s="1689"/>
      <c r="B286" s="1710"/>
      <c r="C286" s="1557"/>
      <c r="D286" s="1566" t="s">
        <v>526</v>
      </c>
      <c r="E286" s="1598"/>
      <c r="F286" s="1581"/>
      <c r="G286" s="1690"/>
      <c r="H286" s="1690"/>
    </row>
    <row r="287" spans="1:8" ht="12.9" hidden="1" customHeight="1">
      <c r="A287" s="1689"/>
      <c r="B287" s="1710" t="s">
        <v>1909</v>
      </c>
      <c r="C287" s="1557"/>
      <c r="D287" s="1566" t="s">
        <v>648</v>
      </c>
      <c r="E287" s="1598" t="s">
        <v>334</v>
      </c>
      <c r="F287" s="1581">
        <v>1</v>
      </c>
      <c r="G287" s="1690">
        <v>220</v>
      </c>
      <c r="H287" s="1690">
        <f>F287*G287</f>
        <v>220</v>
      </c>
    </row>
    <row r="288" spans="1:8" ht="12.9" hidden="1" customHeight="1">
      <c r="A288" s="1689"/>
      <c r="B288" s="1710"/>
      <c r="C288" s="1557"/>
      <c r="D288" s="1566" t="s">
        <v>1109</v>
      </c>
      <c r="E288" s="1598"/>
      <c r="F288" s="1581"/>
      <c r="G288" s="1690"/>
      <c r="H288" s="1690"/>
    </row>
    <row r="289" spans="1:8" ht="12.9" hidden="1" customHeight="1">
      <c r="A289" s="1689"/>
      <c r="B289" s="1710"/>
      <c r="C289" s="1557"/>
      <c r="D289" s="1566" t="s">
        <v>649</v>
      </c>
      <c r="E289" s="1598" t="s">
        <v>1047</v>
      </c>
      <c r="F289" s="1581">
        <v>0.1</v>
      </c>
      <c r="G289" s="1690">
        <f>G279</f>
        <v>650</v>
      </c>
      <c r="H289" s="1690">
        <f>F289*G289</f>
        <v>65</v>
      </c>
    </row>
    <row r="290" spans="1:8" ht="12.9" hidden="1" customHeight="1">
      <c r="A290" s="1689"/>
      <c r="B290" s="1710"/>
      <c r="C290" s="1557"/>
      <c r="D290" s="1566" t="s">
        <v>896</v>
      </c>
      <c r="E290" s="1594"/>
      <c r="F290" s="1594">
        <f>'Lead- Input sheet '!Q31</f>
        <v>0</v>
      </c>
      <c r="G290" s="1692">
        <f>SUM(H288:H289)</f>
        <v>65</v>
      </c>
      <c r="H290" s="1692">
        <f>ROUND(G290*F290,2)</f>
        <v>0</v>
      </c>
    </row>
    <row r="291" spans="1:8" s="2165" customFormat="1" ht="12.9" hidden="1" customHeight="1">
      <c r="A291" s="1693"/>
      <c r="B291" s="2164"/>
      <c r="C291" s="1557"/>
      <c r="D291" s="1575" t="s">
        <v>645</v>
      </c>
      <c r="E291" s="1694"/>
      <c r="F291" s="1557"/>
      <c r="G291" s="1695"/>
      <c r="H291" s="1695">
        <f>SUM(H287:H290)</f>
        <v>285</v>
      </c>
    </row>
    <row r="292" spans="1:8" s="2165" customFormat="1" ht="12.9" hidden="1" customHeight="1">
      <c r="A292" s="1693"/>
      <c r="B292" s="2164"/>
      <c r="C292" s="1557"/>
      <c r="D292" s="1575" t="s">
        <v>1000</v>
      </c>
      <c r="E292" s="1694"/>
      <c r="F292" s="1697">
        <f>'Lead- Input sheet '!Q32</f>
        <v>0</v>
      </c>
      <c r="G292" s="1695">
        <f>H291</f>
        <v>285</v>
      </c>
      <c r="H292" s="1694">
        <f>ROUND(G292*F292,2)</f>
        <v>0</v>
      </c>
    </row>
    <row r="293" spans="1:8" s="2165" customFormat="1" ht="12.9" hidden="1" customHeight="1">
      <c r="A293" s="1693"/>
      <c r="B293" s="2164"/>
      <c r="C293" s="1557"/>
      <c r="D293" s="1575" t="s">
        <v>1001</v>
      </c>
      <c r="E293" s="1694"/>
      <c r="F293" s="1557"/>
      <c r="G293" s="1695" t="s">
        <v>416</v>
      </c>
      <c r="H293" s="1694">
        <f>ROUND(SUM(H291:H292),2)</f>
        <v>285</v>
      </c>
    </row>
    <row r="294" spans="1:8" ht="12.9" hidden="1" customHeight="1">
      <c r="A294" s="1689"/>
      <c r="B294" s="1710"/>
      <c r="C294" s="1557"/>
      <c r="D294" s="1566" t="s">
        <v>650</v>
      </c>
      <c r="E294" s="1598"/>
      <c r="F294" s="1581"/>
      <c r="G294" s="1690"/>
      <c r="H294" s="1690"/>
    </row>
    <row r="295" spans="1:8" ht="12" hidden="1" customHeight="1">
      <c r="A295" s="1689"/>
      <c r="B295" s="1710"/>
      <c r="C295" s="1557" t="s">
        <v>651</v>
      </c>
      <c r="D295" s="1566" t="s">
        <v>652</v>
      </c>
      <c r="E295" s="1598"/>
      <c r="F295" s="1581"/>
      <c r="G295" s="1690"/>
      <c r="H295" s="1690"/>
    </row>
    <row r="296" spans="1:8" ht="76.5" hidden="1" customHeight="1">
      <c r="A296" s="1689">
        <v>13</v>
      </c>
      <c r="B296" s="1710"/>
      <c r="C296" s="1557"/>
      <c r="D296" s="1566" t="s">
        <v>1910</v>
      </c>
      <c r="E296" s="1598"/>
      <c r="F296" s="1581"/>
      <c r="G296" s="1690"/>
      <c r="H296" s="1690"/>
    </row>
    <row r="297" spans="1:8" ht="12" hidden="1" customHeight="1">
      <c r="A297" s="1689"/>
      <c r="B297" s="1710"/>
      <c r="C297" s="1557"/>
      <c r="D297" s="1566" t="s">
        <v>526</v>
      </c>
      <c r="E297" s="1598"/>
      <c r="F297" s="1581"/>
      <c r="G297" s="1690"/>
      <c r="H297" s="1690"/>
    </row>
    <row r="298" spans="1:8" ht="12.9" hidden="1" customHeight="1">
      <c r="A298" s="1689"/>
      <c r="B298" s="1691" t="s">
        <v>2601</v>
      </c>
      <c r="C298" s="1557"/>
      <c r="D298" s="1566" t="s">
        <v>1657</v>
      </c>
      <c r="E298" s="1598" t="s">
        <v>334</v>
      </c>
      <c r="F298" s="1581">
        <v>1</v>
      </c>
      <c r="G298" s="1690">
        <v>1583</v>
      </c>
      <c r="H298" s="1690">
        <f>F298*G298</f>
        <v>1583</v>
      </c>
    </row>
    <row r="299" spans="1:8" ht="12.9" hidden="1" customHeight="1">
      <c r="A299" s="1689"/>
      <c r="B299" s="1710"/>
      <c r="C299" s="1557"/>
      <c r="D299" s="1566" t="s">
        <v>1158</v>
      </c>
      <c r="E299" s="1598"/>
      <c r="F299" s="1581">
        <v>0.01</v>
      </c>
      <c r="G299" s="1690"/>
      <c r="H299" s="1690">
        <f>G298*F299</f>
        <v>15.83</v>
      </c>
    </row>
    <row r="300" spans="1:8" ht="12.9" hidden="1" customHeight="1">
      <c r="A300" s="1689"/>
      <c r="B300" s="1710"/>
      <c r="C300" s="1557"/>
      <c r="D300" s="1566" t="s">
        <v>645</v>
      </c>
      <c r="E300" s="1598"/>
      <c r="F300" s="1581"/>
      <c r="G300" s="1690"/>
      <c r="H300" s="1690">
        <f>SUM(H298:H299)</f>
        <v>1598.83</v>
      </c>
    </row>
    <row r="301" spans="1:8" s="2165" customFormat="1" ht="12.9" hidden="1" customHeight="1">
      <c r="A301" s="1693"/>
      <c r="B301" s="2164"/>
      <c r="C301" s="1557"/>
      <c r="D301" s="1575" t="s">
        <v>1000</v>
      </c>
      <c r="E301" s="1694"/>
      <c r="F301" s="1697">
        <f>'Lead- Input sheet '!Q32</f>
        <v>0</v>
      </c>
      <c r="G301" s="1695">
        <f>H300</f>
        <v>1598.83</v>
      </c>
      <c r="H301" s="1694">
        <f>ROUND(G301*F301,2)</f>
        <v>0</v>
      </c>
    </row>
    <row r="302" spans="1:8" s="2165" customFormat="1" ht="12.9" hidden="1" customHeight="1">
      <c r="A302" s="1693"/>
      <c r="B302" s="2164"/>
      <c r="C302" s="1557"/>
      <c r="D302" s="1575" t="s">
        <v>1001</v>
      </c>
      <c r="E302" s="1694"/>
      <c r="F302" s="1557"/>
      <c r="G302" s="1695" t="s">
        <v>416</v>
      </c>
      <c r="H302" s="1694">
        <f>ROUND(SUM(H300:H301),2)</f>
        <v>1598.83</v>
      </c>
    </row>
    <row r="303" spans="1:8" ht="46.5" hidden="1" customHeight="1">
      <c r="A303" s="1689">
        <v>14</v>
      </c>
      <c r="B303" s="1710"/>
      <c r="C303" s="1557" t="s">
        <v>1433</v>
      </c>
      <c r="D303" s="1566" t="s">
        <v>303</v>
      </c>
      <c r="E303" s="1598"/>
      <c r="F303" s="1581"/>
      <c r="G303" s="1690"/>
      <c r="H303" s="1690"/>
    </row>
    <row r="304" spans="1:8" ht="11.25" hidden="1" customHeight="1">
      <c r="A304" s="1689"/>
      <c r="B304" s="1710"/>
      <c r="C304" s="1557"/>
      <c r="D304" s="1566" t="s">
        <v>526</v>
      </c>
      <c r="E304" s="1598"/>
      <c r="F304" s="1581"/>
      <c r="G304" s="1716"/>
      <c r="H304" s="1716"/>
    </row>
    <row r="305" spans="1:9" ht="12.9" hidden="1" customHeight="1">
      <c r="A305" s="1689"/>
      <c r="B305" s="1691" t="s">
        <v>1656</v>
      </c>
      <c r="C305" s="1557"/>
      <c r="D305" s="1566" t="s">
        <v>1434</v>
      </c>
      <c r="E305" s="1598" t="s">
        <v>1585</v>
      </c>
      <c r="F305" s="1581">
        <v>1</v>
      </c>
      <c r="G305" s="1716">
        <f>G275</f>
        <v>1315</v>
      </c>
      <c r="H305" s="1716">
        <f>F305*G305/100</f>
        <v>13.15</v>
      </c>
    </row>
    <row r="306" spans="1:9" ht="12.9" hidden="1" customHeight="1">
      <c r="A306" s="1689"/>
      <c r="B306" s="1710"/>
      <c r="C306" s="1557"/>
      <c r="D306" s="1566" t="s">
        <v>523</v>
      </c>
      <c r="E306" s="1598" t="s">
        <v>347</v>
      </c>
      <c r="F306" s="1581">
        <v>25</v>
      </c>
      <c r="G306" s="1716">
        <f>G14</f>
        <v>6656</v>
      </c>
      <c r="H306" s="1716">
        <f>F306*G306/1000</f>
        <v>166.4</v>
      </c>
    </row>
    <row r="307" spans="1:9" ht="12.9" hidden="1" customHeight="1">
      <c r="A307" s="1689"/>
      <c r="B307" s="1710"/>
      <c r="C307" s="1557"/>
      <c r="D307" s="1566" t="s">
        <v>1109</v>
      </c>
      <c r="E307" s="1598"/>
      <c r="F307" s="1581"/>
      <c r="G307" s="1716"/>
      <c r="H307" s="1716"/>
    </row>
    <row r="308" spans="1:9" ht="12.9" hidden="1" customHeight="1">
      <c r="A308" s="1689"/>
      <c r="B308" s="1710"/>
      <c r="C308" s="1557"/>
      <c r="D308" s="1566" t="s">
        <v>513</v>
      </c>
      <c r="E308" s="1598" t="s">
        <v>1047</v>
      </c>
      <c r="F308" s="1581">
        <v>0.25</v>
      </c>
      <c r="G308" s="1716">
        <f>'Lead- Input sheet '!R33</f>
        <v>775</v>
      </c>
      <c r="H308" s="1716">
        <f>F308*G308</f>
        <v>193.75</v>
      </c>
    </row>
    <row r="309" spans="1:9" ht="12.9" hidden="1" customHeight="1">
      <c r="A309" s="1689"/>
      <c r="B309" s="1710"/>
      <c r="C309" s="1557"/>
      <c r="D309" s="1566" t="s">
        <v>1116</v>
      </c>
      <c r="E309" s="1598" t="s">
        <v>1047</v>
      </c>
      <c r="F309" s="1581">
        <v>0.25</v>
      </c>
      <c r="G309" s="1716">
        <f>G279</f>
        <v>650</v>
      </c>
      <c r="H309" s="1716">
        <f>F309*G309</f>
        <v>162.5</v>
      </c>
    </row>
    <row r="310" spans="1:9" ht="12.9" hidden="1" customHeight="1">
      <c r="A310" s="1689"/>
      <c r="B310" s="1710"/>
      <c r="C310" s="1557"/>
      <c r="D310" s="1566" t="s">
        <v>1152</v>
      </c>
      <c r="E310" s="1598" t="s">
        <v>1047</v>
      </c>
      <c r="F310" s="1581">
        <v>0.25</v>
      </c>
      <c r="G310" s="1716">
        <f>'Lead- Input sheet '!R28</f>
        <v>605</v>
      </c>
      <c r="H310" s="1716">
        <f>F310*G310</f>
        <v>151.25</v>
      </c>
    </row>
    <row r="311" spans="1:9" ht="12.9" hidden="1" customHeight="1">
      <c r="A311" s="1689"/>
      <c r="B311" s="1710"/>
      <c r="C311" s="1557"/>
      <c r="D311" s="1566" t="s">
        <v>896</v>
      </c>
      <c r="E311" s="1594"/>
      <c r="F311" s="1594">
        <f>'Lead- Input sheet '!Q31</f>
        <v>0</v>
      </c>
      <c r="G311" s="1692">
        <f>SUM(H308:H310)</f>
        <v>507.5</v>
      </c>
      <c r="H311" s="1692">
        <f>ROUND(G311*F311,2)</f>
        <v>0</v>
      </c>
    </row>
    <row r="312" spans="1:9" ht="12.9" hidden="1" customHeight="1">
      <c r="A312" s="1689"/>
      <c r="B312" s="1710"/>
      <c r="C312" s="1557"/>
      <c r="D312" s="1566" t="s">
        <v>645</v>
      </c>
      <c r="E312" s="1598"/>
      <c r="F312" s="1581"/>
      <c r="G312" s="1716"/>
      <c r="H312" s="2187">
        <f>SUM(H305:H311)</f>
        <v>687.05</v>
      </c>
    </row>
    <row r="313" spans="1:9" s="2165" customFormat="1" ht="12.9" hidden="1" customHeight="1">
      <c r="A313" s="1693"/>
      <c r="B313" s="2164"/>
      <c r="C313" s="1557"/>
      <c r="D313" s="1575" t="s">
        <v>1000</v>
      </c>
      <c r="E313" s="1694"/>
      <c r="F313" s="1697">
        <f>'Lead- Input sheet '!Q32</f>
        <v>0</v>
      </c>
      <c r="G313" s="1695">
        <f>H312</f>
        <v>687.05</v>
      </c>
      <c r="H313" s="1694">
        <f>ROUND(G313*F313,2)</f>
        <v>0</v>
      </c>
    </row>
    <row r="314" spans="1:9" s="2165" customFormat="1" ht="12.9" hidden="1" customHeight="1">
      <c r="A314" s="1693"/>
      <c r="B314" s="2164"/>
      <c r="C314" s="1557"/>
      <c r="D314" s="1575" t="s">
        <v>1001</v>
      </c>
      <c r="E314" s="1694"/>
      <c r="F314" s="1557"/>
      <c r="G314" s="1695" t="s">
        <v>416</v>
      </c>
      <c r="H314" s="1694">
        <f>ROUND(SUM(H312:H313),2)</f>
        <v>687.05</v>
      </c>
    </row>
    <row r="315" spans="1:9" ht="12.9" hidden="1" customHeight="1">
      <c r="A315" s="1689"/>
      <c r="B315" s="1710"/>
      <c r="C315" s="1557"/>
      <c r="D315" s="1566" t="s">
        <v>729</v>
      </c>
      <c r="E315" s="1598"/>
      <c r="F315" s="1581"/>
      <c r="G315" s="1716"/>
      <c r="H315" s="1716"/>
    </row>
    <row r="316" spans="1:9" ht="12.9" hidden="1" customHeight="1">
      <c r="A316" s="1689"/>
      <c r="B316" s="1710"/>
      <c r="C316" s="1557"/>
      <c r="D316" s="1566"/>
      <c r="E316" s="1598"/>
      <c r="F316" s="1581"/>
      <c r="G316" s="1716"/>
      <c r="H316" s="1716"/>
    </row>
    <row r="317" spans="1:9" ht="50.2" hidden="1" customHeight="1">
      <c r="A317" s="1689">
        <v>12</v>
      </c>
      <c r="B317" s="1703"/>
      <c r="C317" s="1702"/>
      <c r="D317" s="2686" t="s">
        <v>3129</v>
      </c>
      <c r="E317" s="2686"/>
      <c r="F317" s="2686"/>
      <c r="G317" s="2686"/>
      <c r="H317" s="2166"/>
      <c r="I317" s="2167"/>
    </row>
    <row r="318" spans="1:9" ht="12.9" hidden="1" customHeight="1">
      <c r="A318" s="1689"/>
      <c r="B318" s="2168"/>
      <c r="C318" s="1702"/>
      <c r="D318" s="1706" t="s">
        <v>354</v>
      </c>
      <c r="E318" s="2166"/>
      <c r="F318" s="2166"/>
      <c r="G318" s="2169"/>
      <c r="H318" s="2166"/>
      <c r="I318" s="2167"/>
    </row>
    <row r="319" spans="1:9" ht="12.9" hidden="1" customHeight="1">
      <c r="A319" s="1689"/>
      <c r="B319" s="2168"/>
      <c r="C319" s="1702"/>
      <c r="D319" s="1707" t="s">
        <v>526</v>
      </c>
      <c r="E319" s="2166"/>
      <c r="F319" s="2166"/>
      <c r="G319" s="2169"/>
      <c r="H319" s="2166"/>
      <c r="I319" s="2167"/>
    </row>
    <row r="320" spans="1:9" ht="12.9" hidden="1" customHeight="1">
      <c r="A320" s="1689"/>
      <c r="B320" s="2168" t="s">
        <v>3130</v>
      </c>
      <c r="C320" s="1702"/>
      <c r="D320" s="1706" t="s">
        <v>3131</v>
      </c>
      <c r="E320" s="1705" t="s">
        <v>334</v>
      </c>
      <c r="F320" s="1705">
        <v>1</v>
      </c>
      <c r="G320" s="2169">
        <v>138</v>
      </c>
      <c r="H320" s="2169">
        <f>ROUND(F320*G320,2)</f>
        <v>138</v>
      </c>
      <c r="I320" s="2167"/>
    </row>
    <row r="321" spans="1:9" ht="12.9" hidden="1" customHeight="1">
      <c r="A321" s="1689"/>
      <c r="B321" s="2168"/>
      <c r="C321" s="1702"/>
      <c r="D321" s="1707" t="s">
        <v>512</v>
      </c>
      <c r="E321" s="1705"/>
      <c r="F321" s="1705"/>
      <c r="G321" s="2169"/>
      <c r="H321" s="2166"/>
      <c r="I321" s="2167"/>
    </row>
    <row r="322" spans="1:9" ht="12.9" hidden="1" customHeight="1">
      <c r="A322" s="1689"/>
      <c r="B322" s="2168"/>
      <c r="C322" s="1702"/>
      <c r="D322" s="1706" t="s">
        <v>513</v>
      </c>
      <c r="E322" s="2170" t="s">
        <v>1047</v>
      </c>
      <c r="F322" s="1705">
        <v>0.05</v>
      </c>
      <c r="G322" s="2169">
        <v>735</v>
      </c>
      <c r="H322" s="2169">
        <f>ROUND(F322*G322,2)</f>
        <v>36.75</v>
      </c>
      <c r="I322" s="2167"/>
    </row>
    <row r="323" spans="1:9" ht="12.9" hidden="1" customHeight="1">
      <c r="A323" s="1689"/>
      <c r="B323" s="2168"/>
      <c r="C323" s="1702"/>
      <c r="D323" s="1706" t="s">
        <v>515</v>
      </c>
      <c r="E323" s="2170" t="s">
        <v>1047</v>
      </c>
      <c r="F323" s="1705">
        <v>0.05</v>
      </c>
      <c r="G323" s="2169">
        <v>615</v>
      </c>
      <c r="H323" s="2169">
        <f>ROUND(F323*G323,2)</f>
        <v>30.75</v>
      </c>
      <c r="I323" s="2167"/>
    </row>
    <row r="324" spans="1:9" ht="12.9" hidden="1" customHeight="1">
      <c r="A324" s="1689"/>
      <c r="B324" s="2168"/>
      <c r="C324" s="1702"/>
      <c r="D324" s="2171" t="s">
        <v>3082</v>
      </c>
      <c r="E324" s="2172">
        <v>0</v>
      </c>
      <c r="F324" s="2173"/>
      <c r="G324" s="1708"/>
      <c r="H324" s="2174">
        <f>ROUND(SUM(H322:H323)*E324,2)</f>
        <v>0</v>
      </c>
      <c r="I324" s="2167"/>
    </row>
    <row r="325" spans="1:9" ht="12.9" hidden="1" customHeight="1">
      <c r="A325" s="1689"/>
      <c r="B325" s="2168"/>
      <c r="C325" s="1702"/>
      <c r="D325" s="2175" t="s">
        <v>3096</v>
      </c>
      <c r="E325" s="2176">
        <v>0</v>
      </c>
      <c r="F325" s="2173"/>
      <c r="G325" s="1708"/>
      <c r="H325" s="2174">
        <f>ROUND(SUM(H319:H324)*E325,2)</f>
        <v>0</v>
      </c>
      <c r="I325" s="2167"/>
    </row>
    <row r="326" spans="1:9" ht="12.9" hidden="1" customHeight="1">
      <c r="A326" s="1689"/>
      <c r="B326" s="2168"/>
      <c r="C326" s="1702"/>
      <c r="D326" s="1707" t="s">
        <v>427</v>
      </c>
      <c r="E326" s="1705"/>
      <c r="F326" s="1705"/>
      <c r="G326" s="2169"/>
      <c r="H326" s="2177">
        <f>SUM(H320:H325)</f>
        <v>205.5</v>
      </c>
    </row>
    <row r="327" spans="1:9" ht="12.9" hidden="1" customHeight="1">
      <c r="A327" s="1689"/>
      <c r="B327" s="1710"/>
      <c r="C327" s="1557"/>
      <c r="D327" s="1566"/>
      <c r="E327" s="1598"/>
      <c r="F327" s="1581"/>
      <c r="G327" s="1716"/>
      <c r="H327" s="2181" t="s">
        <v>3097</v>
      </c>
    </row>
    <row r="328" spans="1:9" ht="12.9" hidden="1" customHeight="1">
      <c r="A328" s="1689"/>
      <c r="B328" s="1710"/>
      <c r="C328" s="1557"/>
      <c r="D328" s="1566"/>
      <c r="E328" s="1598"/>
      <c r="F328" s="1581"/>
      <c r="G328" s="1716"/>
      <c r="H328" s="1716"/>
    </row>
    <row r="329" spans="1:9" ht="12.9" hidden="1" customHeight="1">
      <c r="A329" s="1689"/>
      <c r="B329" s="1710"/>
      <c r="C329" s="1557"/>
      <c r="D329" s="1566"/>
      <c r="E329" s="1598"/>
      <c r="F329" s="1581"/>
      <c r="G329" s="1716"/>
      <c r="H329" s="1716"/>
    </row>
    <row r="330" spans="1:9" ht="12.9" hidden="1" customHeight="1">
      <c r="A330" s="1689"/>
      <c r="B330" s="1710"/>
      <c r="C330" s="1557"/>
      <c r="D330" s="1566"/>
      <c r="E330" s="1598"/>
      <c r="F330" s="1581"/>
      <c r="G330" s="1716"/>
      <c r="H330" s="1716"/>
    </row>
    <row r="331" spans="1:9" ht="12.9" hidden="1" customHeight="1">
      <c r="A331" s="1689"/>
      <c r="B331" s="1710"/>
      <c r="C331" s="1557"/>
      <c r="D331" s="1566"/>
      <c r="E331" s="1598"/>
      <c r="F331" s="1581"/>
      <c r="G331" s="1716"/>
      <c r="H331" s="1716"/>
    </row>
    <row r="332" spans="1:9" ht="12.9" hidden="1" customHeight="1">
      <c r="A332" s="1689"/>
      <c r="B332" s="1710"/>
      <c r="C332" s="1557"/>
      <c r="D332" s="1566"/>
      <c r="E332" s="1598"/>
      <c r="F332" s="1581"/>
      <c r="G332" s="1716"/>
      <c r="H332" s="1716"/>
    </row>
    <row r="333" spans="1:9" ht="139.19999999999999" hidden="1" customHeight="1">
      <c r="A333" s="1689">
        <v>12</v>
      </c>
      <c r="B333" s="1710"/>
      <c r="C333" s="1557"/>
      <c r="D333" s="1566" t="s">
        <v>3093</v>
      </c>
      <c r="E333" s="1598"/>
      <c r="F333" s="1581"/>
      <c r="G333" s="1716"/>
      <c r="H333" s="1716"/>
    </row>
    <row r="334" spans="1:9" ht="12.9" hidden="1" customHeight="1">
      <c r="A334" s="1689"/>
      <c r="B334" s="1703"/>
      <c r="C334" s="1702"/>
      <c r="D334" s="1707" t="s">
        <v>526</v>
      </c>
      <c r="E334" s="1705"/>
      <c r="F334" s="1705"/>
      <c r="G334" s="2166"/>
      <c r="H334" s="2166"/>
      <c r="I334" s="2185"/>
    </row>
    <row r="335" spans="1:9" ht="22.95" hidden="1" customHeight="1">
      <c r="A335" s="1689"/>
      <c r="B335" s="1703" t="s">
        <v>3094</v>
      </c>
      <c r="C335" s="1702"/>
      <c r="D335" s="1706" t="s">
        <v>3095</v>
      </c>
      <c r="E335" s="1705" t="s">
        <v>334</v>
      </c>
      <c r="F335" s="1705">
        <v>1</v>
      </c>
      <c r="G335" s="2169">
        <v>310</v>
      </c>
      <c r="H335" s="2169">
        <f>ROUND(F335*G335,2)</f>
        <v>310</v>
      </c>
      <c r="I335" s="2185"/>
    </row>
    <row r="336" spans="1:9" ht="12.9" hidden="1" customHeight="1">
      <c r="A336" s="1689"/>
      <c r="B336" s="1703"/>
      <c r="C336" s="1702"/>
      <c r="D336" s="2175" t="s">
        <v>3096</v>
      </c>
      <c r="E336" s="2176">
        <v>0</v>
      </c>
      <c r="F336" s="2173"/>
      <c r="G336" s="1708"/>
      <c r="H336" s="2174">
        <f>ROUND(SUM(H335:H335)*E336,2)</f>
        <v>0</v>
      </c>
      <c r="I336" s="2185"/>
    </row>
    <row r="337" spans="1:9" ht="12.9" hidden="1" customHeight="1">
      <c r="A337" s="1689"/>
      <c r="B337" s="1703"/>
      <c r="C337" s="1702"/>
      <c r="D337" s="1802" t="s">
        <v>3205</v>
      </c>
      <c r="E337" s="2176"/>
      <c r="F337" s="2173">
        <v>0.1</v>
      </c>
      <c r="G337" s="1708">
        <v>735</v>
      </c>
      <c r="H337" s="2169">
        <f>ROUND(F337*G337,2)</f>
        <v>73.5</v>
      </c>
      <c r="I337" s="2180"/>
    </row>
    <row r="338" spans="1:9" ht="12.9" hidden="1" customHeight="1">
      <c r="A338" s="1689"/>
      <c r="B338" s="1703"/>
      <c r="C338" s="1702"/>
      <c r="D338" s="1802" t="s">
        <v>3206</v>
      </c>
      <c r="E338" s="2176"/>
      <c r="F338" s="2173">
        <v>0.1</v>
      </c>
      <c r="G338" s="1708">
        <v>615</v>
      </c>
      <c r="H338" s="2169">
        <f>ROUND(F338*G338,2)</f>
        <v>61.5</v>
      </c>
      <c r="I338" s="2180"/>
    </row>
    <row r="339" spans="1:9" ht="21.7" hidden="1" customHeight="1">
      <c r="A339" s="1689"/>
      <c r="B339" s="1703"/>
      <c r="C339" s="1702"/>
      <c r="D339" s="1707" t="s">
        <v>427</v>
      </c>
      <c r="E339" s="1705"/>
      <c r="F339" s="1705"/>
      <c r="G339" s="2166"/>
      <c r="H339" s="2177">
        <f>SUM(H335:H338)</f>
        <v>445</v>
      </c>
    </row>
    <row r="340" spans="1:9" ht="12.9" hidden="1" customHeight="1">
      <c r="A340" s="1689"/>
      <c r="B340" s="1703"/>
      <c r="C340" s="1702"/>
      <c r="D340" s="2686" t="s">
        <v>3098</v>
      </c>
      <c r="E340" s="2686"/>
      <c r="F340" s="1705"/>
      <c r="G340" s="2166"/>
      <c r="H340" s="2181" t="s">
        <v>3097</v>
      </c>
      <c r="I340" s="2185"/>
    </row>
    <row r="341" spans="1:9" ht="12.9" hidden="1" customHeight="1">
      <c r="A341" s="1689"/>
      <c r="B341" s="1710"/>
      <c r="C341" s="1557"/>
      <c r="D341" s="1566"/>
      <c r="E341" s="1598"/>
      <c r="F341" s="1581"/>
      <c r="G341" s="1716"/>
      <c r="H341" s="1716"/>
    </row>
    <row r="342" spans="1:9" ht="12.9" hidden="1" customHeight="1">
      <c r="A342" s="1689"/>
      <c r="B342" s="1710"/>
      <c r="C342" s="1557"/>
      <c r="D342" s="1566"/>
      <c r="E342" s="1598"/>
      <c r="F342" s="1581"/>
      <c r="G342" s="1716"/>
      <c r="H342" s="1716"/>
    </row>
    <row r="343" spans="1:9" ht="12.9" hidden="1" customHeight="1">
      <c r="A343" s="1689"/>
      <c r="B343" s="1710"/>
      <c r="C343" s="1557"/>
      <c r="D343" s="1566"/>
      <c r="E343" s="1598"/>
      <c r="F343" s="1581"/>
      <c r="G343" s="1716"/>
      <c r="H343" s="1716"/>
    </row>
    <row r="344" spans="1:9" ht="12.9" hidden="1" customHeight="1">
      <c r="A344" s="1689"/>
      <c r="B344" s="1710"/>
      <c r="C344" s="1557"/>
      <c r="D344" s="1566"/>
      <c r="E344" s="1598"/>
      <c r="F344" s="1581"/>
      <c r="G344" s="1716"/>
      <c r="H344" s="1716"/>
    </row>
    <row r="345" spans="1:9" ht="93" hidden="1" customHeight="1">
      <c r="A345" s="1689">
        <v>15</v>
      </c>
      <c r="B345" s="1710"/>
      <c r="C345" s="1557" t="s">
        <v>730</v>
      </c>
      <c r="D345" s="1566" t="s">
        <v>1854</v>
      </c>
      <c r="E345" s="1598"/>
      <c r="F345" s="1581"/>
      <c r="G345" s="1716"/>
      <c r="H345" s="1716"/>
    </row>
    <row r="346" spans="1:9" ht="12.9" hidden="1" customHeight="1">
      <c r="A346" s="1689"/>
      <c r="B346" s="1710"/>
      <c r="C346" s="1557"/>
      <c r="D346" s="1566" t="s">
        <v>526</v>
      </c>
      <c r="E346" s="1598"/>
      <c r="F346" s="1581"/>
      <c r="G346" s="1716"/>
      <c r="H346" s="1716"/>
    </row>
    <row r="347" spans="1:9" ht="12.9" hidden="1" customHeight="1">
      <c r="A347" s="1689"/>
      <c r="B347" s="1691"/>
      <c r="C347" s="1557"/>
      <c r="D347" s="1566" t="s">
        <v>731</v>
      </c>
      <c r="E347" s="1598" t="s">
        <v>334</v>
      </c>
      <c r="F347" s="1581">
        <v>1</v>
      </c>
      <c r="G347" s="1716">
        <v>651</v>
      </c>
      <c r="H347" s="1716">
        <f>ROUND(F347*G347,2)</f>
        <v>651</v>
      </c>
    </row>
    <row r="348" spans="1:9" ht="12.9" hidden="1" customHeight="1">
      <c r="A348" s="1689"/>
      <c r="B348" s="1691" t="s">
        <v>2651</v>
      </c>
      <c r="C348" s="1557"/>
      <c r="D348" s="1566" t="s">
        <v>732</v>
      </c>
      <c r="E348" s="1598" t="s">
        <v>334</v>
      </c>
      <c r="F348" s="1581">
        <v>1</v>
      </c>
      <c r="G348" s="1716">
        <v>40</v>
      </c>
      <c r="H348" s="1716">
        <f>ROUND(F348*G348,2)</f>
        <v>40</v>
      </c>
    </row>
    <row r="349" spans="1:9" ht="12.9" hidden="1" customHeight="1">
      <c r="A349" s="1689"/>
      <c r="B349" s="1710"/>
      <c r="C349" s="1557"/>
      <c r="D349" s="1566" t="s">
        <v>1117</v>
      </c>
      <c r="E349" s="1598"/>
      <c r="F349" s="1581"/>
      <c r="G349" s="1716"/>
      <c r="H349" s="2187"/>
    </row>
    <row r="350" spans="1:9" ht="12.9" hidden="1" customHeight="1">
      <c r="A350" s="1689"/>
      <c r="B350" s="1710"/>
      <c r="C350" s="1557"/>
      <c r="D350" s="1566" t="s">
        <v>427</v>
      </c>
      <c r="E350" s="1598"/>
      <c r="F350" s="1581"/>
      <c r="G350" s="1716"/>
      <c r="H350" s="2187">
        <f>SUM(H347:H349)</f>
        <v>691</v>
      </c>
    </row>
    <row r="351" spans="1:9" s="2165" customFormat="1" ht="12.9" hidden="1" customHeight="1">
      <c r="A351" s="1693"/>
      <c r="B351" s="2164"/>
      <c r="C351" s="1557"/>
      <c r="D351" s="1575" t="s">
        <v>1000</v>
      </c>
      <c r="E351" s="1694"/>
      <c r="F351" s="1697">
        <f>'Lead- Input sheet '!Q32</f>
        <v>0</v>
      </c>
      <c r="G351" s="1695">
        <f>H350</f>
        <v>691</v>
      </c>
      <c r="H351" s="1694">
        <f>ROUND(G351*F351,2)</f>
        <v>0</v>
      </c>
    </row>
    <row r="352" spans="1:9" s="2165" customFormat="1" ht="12.9" hidden="1" customHeight="1">
      <c r="A352" s="1693"/>
      <c r="B352" s="2164"/>
      <c r="C352" s="1557"/>
      <c r="D352" s="1575" t="s">
        <v>1001</v>
      </c>
      <c r="E352" s="1694"/>
      <c r="F352" s="1557"/>
      <c r="G352" s="1695" t="s">
        <v>416</v>
      </c>
      <c r="H352" s="1694">
        <f>ROUND(SUM(H350:H351),2)</f>
        <v>691</v>
      </c>
    </row>
    <row r="353" spans="1:8" ht="61.5" hidden="1" customHeight="1">
      <c r="A353" s="1689">
        <v>16</v>
      </c>
      <c r="B353" s="1710"/>
      <c r="C353" s="1557" t="s">
        <v>1599</v>
      </c>
      <c r="D353" s="1566" t="s">
        <v>3164</v>
      </c>
      <c r="E353" s="1598"/>
      <c r="F353" s="1581"/>
      <c r="G353" s="1716"/>
      <c r="H353" s="1716"/>
    </row>
    <row r="354" spans="1:8" ht="12.9" hidden="1" customHeight="1">
      <c r="A354" s="1689"/>
      <c r="B354" s="1710"/>
      <c r="C354" s="1557"/>
      <c r="D354" s="1566" t="s">
        <v>526</v>
      </c>
      <c r="E354" s="1598"/>
      <c r="F354" s="1581"/>
      <c r="G354" s="1716"/>
      <c r="H354" s="1716"/>
    </row>
    <row r="355" spans="1:8" ht="12.9" hidden="1" customHeight="1">
      <c r="A355" s="1689"/>
      <c r="B355" s="1691" t="s">
        <v>1656</v>
      </c>
      <c r="C355" s="1557"/>
      <c r="D355" s="1566" t="s">
        <v>733</v>
      </c>
      <c r="E355" s="1598" t="s">
        <v>1213</v>
      </c>
      <c r="F355" s="1581">
        <v>1</v>
      </c>
      <c r="G355" s="1716">
        <v>9.8000000000000007</v>
      </c>
      <c r="H355" s="1716">
        <f>ROUND(F355*G355,2)</f>
        <v>9.8000000000000007</v>
      </c>
    </row>
    <row r="356" spans="1:8" ht="24.9" hidden="1" customHeight="1">
      <c r="A356" s="1689"/>
      <c r="B356" s="2188" t="s">
        <v>2602</v>
      </c>
      <c r="C356" s="1557"/>
      <c r="D356" s="1566" t="s">
        <v>1970</v>
      </c>
      <c r="E356" s="1598" t="s">
        <v>334</v>
      </c>
      <c r="F356" s="1581">
        <v>2</v>
      </c>
      <c r="G356" s="1709">
        <v>1.33</v>
      </c>
      <c r="H356" s="1716">
        <f>ROUND(F356*G356,2)</f>
        <v>2.66</v>
      </c>
    </row>
    <row r="357" spans="1:8" ht="12.9" hidden="1" customHeight="1">
      <c r="A357" s="1689"/>
      <c r="B357" s="1691" t="s">
        <v>1911</v>
      </c>
      <c r="C357" s="1557"/>
      <c r="D357" s="1566" t="s">
        <v>734</v>
      </c>
      <c r="E357" s="1598" t="s">
        <v>334</v>
      </c>
      <c r="F357" s="1581">
        <v>2</v>
      </c>
      <c r="G357" s="1716">
        <v>8</v>
      </c>
      <c r="H357" s="1716">
        <f>ROUND(F357*G357,2)</f>
        <v>16</v>
      </c>
    </row>
    <row r="358" spans="1:8" ht="12.9" hidden="1" customHeight="1">
      <c r="A358" s="1689"/>
      <c r="B358" s="1710"/>
      <c r="C358" s="1557"/>
      <c r="D358" s="1566" t="s">
        <v>1154</v>
      </c>
      <c r="E358" s="1598" t="s">
        <v>975</v>
      </c>
      <c r="F358" s="1581"/>
      <c r="G358" s="1716"/>
      <c r="H358" s="1716">
        <v>2</v>
      </c>
    </row>
    <row r="359" spans="1:8" ht="12.9" hidden="1" customHeight="1">
      <c r="A359" s="1689"/>
      <c r="B359" s="1710"/>
      <c r="C359" s="1557"/>
      <c r="D359" s="1566" t="s">
        <v>1150</v>
      </c>
      <c r="E359" s="1598"/>
      <c r="F359" s="1581"/>
      <c r="G359" s="1716"/>
      <c r="H359" s="1716"/>
    </row>
    <row r="360" spans="1:8" ht="12.9" hidden="1" customHeight="1">
      <c r="A360" s="1689"/>
      <c r="B360" s="1710"/>
      <c r="C360" s="1557"/>
      <c r="D360" s="1566" t="s">
        <v>1151</v>
      </c>
      <c r="E360" s="1598" t="s">
        <v>1047</v>
      </c>
      <c r="F360" s="1581">
        <v>0.1</v>
      </c>
      <c r="G360" s="1716">
        <f>'Lead- Input sheet '!R33</f>
        <v>775</v>
      </c>
      <c r="H360" s="1716">
        <f>ROUND(F360*G360,2)</f>
        <v>77.5</v>
      </c>
    </row>
    <row r="361" spans="1:8" ht="12.9" hidden="1" customHeight="1">
      <c r="A361" s="1689"/>
      <c r="B361" s="1710"/>
      <c r="C361" s="1557"/>
      <c r="D361" s="1566" t="s">
        <v>1153</v>
      </c>
      <c r="E361" s="1598" t="s">
        <v>1047</v>
      </c>
      <c r="F361" s="1581">
        <v>0.1</v>
      </c>
      <c r="G361" s="1716">
        <f>'Lead- Input sheet '!R36</f>
        <v>650</v>
      </c>
      <c r="H361" s="1716">
        <f>ROUND(F361*G361,2)</f>
        <v>65</v>
      </c>
    </row>
    <row r="362" spans="1:8" ht="12.9" hidden="1" customHeight="1">
      <c r="A362" s="1689"/>
      <c r="B362" s="1710"/>
      <c r="C362" s="1557"/>
      <c r="D362" s="1566" t="s">
        <v>896</v>
      </c>
      <c r="E362" s="1594"/>
      <c r="F362" s="1594">
        <f>'Lead- Input sheet '!Q31</f>
        <v>0</v>
      </c>
      <c r="G362" s="1692">
        <f>SUM(H360:H361)</f>
        <v>142.5</v>
      </c>
      <c r="H362" s="1692">
        <f>ROUND(G362*F362,2)</f>
        <v>0</v>
      </c>
    </row>
    <row r="363" spans="1:8" ht="12.9" hidden="1" customHeight="1">
      <c r="A363" s="1689"/>
      <c r="B363" s="1710"/>
      <c r="C363" s="1557"/>
      <c r="D363" s="1566" t="s">
        <v>427</v>
      </c>
      <c r="E363" s="1598"/>
      <c r="F363" s="1581"/>
      <c r="G363" s="1716"/>
      <c r="H363" s="2187">
        <f>SUM(H355:H362)</f>
        <v>172.96</v>
      </c>
    </row>
    <row r="364" spans="1:8" s="2165" customFormat="1" ht="12.9" hidden="1" customHeight="1">
      <c r="A364" s="1693"/>
      <c r="B364" s="2164"/>
      <c r="C364" s="1557"/>
      <c r="D364" s="1575" t="s">
        <v>1000</v>
      </c>
      <c r="E364" s="1694"/>
      <c r="F364" s="1697">
        <f>'Lead- Input sheet '!Q32</f>
        <v>0</v>
      </c>
      <c r="G364" s="1695">
        <f>H363</f>
        <v>172.96</v>
      </c>
      <c r="H364" s="1694">
        <f>ROUND(G364*F364,2)</f>
        <v>0</v>
      </c>
    </row>
    <row r="365" spans="1:8" s="2165" customFormat="1" ht="12.9" hidden="1" customHeight="1">
      <c r="A365" s="1693"/>
      <c r="B365" s="2164"/>
      <c r="C365" s="1557"/>
      <c r="D365" s="1575" t="s">
        <v>1001</v>
      </c>
      <c r="E365" s="1694"/>
      <c r="F365" s="1557"/>
      <c r="G365" s="1695"/>
      <c r="H365" s="1694">
        <f>ROUND(SUM(H363:H364),2)</f>
        <v>172.96</v>
      </c>
    </row>
    <row r="366" spans="1:8" s="128" customFormat="1" ht="12.9" hidden="1" customHeight="1">
      <c r="A366" s="1689"/>
      <c r="B366" s="1710"/>
      <c r="C366" s="1557"/>
      <c r="D366" s="1566"/>
      <c r="E366" s="1581"/>
      <c r="F366" s="1581"/>
      <c r="G366" s="1695" t="s">
        <v>416</v>
      </c>
      <c r="H366" s="2187">
        <f>H365+H352</f>
        <v>863.96</v>
      </c>
    </row>
    <row r="367" spans="1:8" ht="12.9" hidden="1" customHeight="1">
      <c r="A367" s="1689"/>
      <c r="B367" s="2164" t="s">
        <v>1114</v>
      </c>
      <c r="C367" s="1557"/>
      <c r="D367" s="1575" t="s">
        <v>526</v>
      </c>
      <c r="E367" s="1581"/>
      <c r="F367" s="1581"/>
      <c r="G367" s="1716"/>
      <c r="H367" s="1716"/>
    </row>
    <row r="368" spans="1:8" ht="51.6" hidden="1">
      <c r="A368" s="1689">
        <v>18</v>
      </c>
      <c r="B368" s="1710"/>
      <c r="C368" s="1011"/>
      <c r="D368" s="1566" t="s">
        <v>1147</v>
      </c>
      <c r="E368" s="1598"/>
      <c r="F368" s="1581"/>
      <c r="G368" s="1690"/>
      <c r="H368" s="1690"/>
    </row>
    <row r="369" spans="1:14" ht="21" hidden="1" customHeight="1">
      <c r="A369" s="1689"/>
      <c r="B369" s="1691" t="s">
        <v>1912</v>
      </c>
      <c r="C369" s="1011"/>
      <c r="D369" s="1566" t="s">
        <v>1148</v>
      </c>
      <c r="E369" s="2189" t="s">
        <v>857</v>
      </c>
      <c r="F369" s="2190">
        <v>1</v>
      </c>
      <c r="G369" s="1716">
        <v>362</v>
      </c>
      <c r="H369" s="1690">
        <f>ROUND(F369*G369,2)</f>
        <v>362</v>
      </c>
    </row>
    <row r="370" spans="1:14" hidden="1">
      <c r="A370" s="1689"/>
      <c r="B370" s="1691" t="s">
        <v>2603</v>
      </c>
      <c r="C370" s="1011"/>
      <c r="D370" s="1566" t="s">
        <v>2001</v>
      </c>
      <c r="E370" s="2189" t="s">
        <v>857</v>
      </c>
      <c r="F370" s="2190">
        <v>3</v>
      </c>
      <c r="G370" s="1716">
        <v>101</v>
      </c>
      <c r="H370" s="1690">
        <f t="shared" ref="H370:H378" si="2">ROUND(F370*G370,2)</f>
        <v>303</v>
      </c>
    </row>
    <row r="371" spans="1:14" hidden="1">
      <c r="A371" s="1689"/>
      <c r="B371" s="1691" t="s">
        <v>1971</v>
      </c>
      <c r="C371" s="1011"/>
      <c r="D371" s="1566" t="s">
        <v>1341</v>
      </c>
      <c r="E371" s="2189" t="s">
        <v>1342</v>
      </c>
      <c r="F371" s="2190">
        <v>12</v>
      </c>
      <c r="G371" s="1716">
        <v>264</v>
      </c>
      <c r="H371" s="1690">
        <f t="shared" si="2"/>
        <v>3168</v>
      </c>
    </row>
    <row r="372" spans="1:14" ht="12" hidden="1" customHeight="1">
      <c r="A372" s="1689"/>
      <c r="B372" s="1710"/>
      <c r="C372" s="1011"/>
      <c r="D372" s="1691" t="s">
        <v>1343</v>
      </c>
      <c r="E372" s="1011"/>
      <c r="F372" s="1689"/>
      <c r="G372" s="1716"/>
      <c r="H372" s="1716"/>
    </row>
    <row r="373" spans="1:14" ht="12" hidden="1" customHeight="1">
      <c r="A373" s="1689"/>
      <c r="B373" s="1691"/>
      <c r="C373" s="1011"/>
      <c r="D373" s="1566" t="s">
        <v>1344</v>
      </c>
      <c r="E373" s="2189" t="s">
        <v>1047</v>
      </c>
      <c r="F373" s="2190">
        <v>1</v>
      </c>
      <c r="G373" s="1716">
        <f>G360</f>
        <v>775</v>
      </c>
      <c r="H373" s="1690">
        <f t="shared" si="2"/>
        <v>775</v>
      </c>
    </row>
    <row r="374" spans="1:14" ht="12" hidden="1" customHeight="1">
      <c r="A374" s="1689"/>
      <c r="B374" s="1691"/>
      <c r="C374" s="1011"/>
      <c r="D374" s="1566" t="s">
        <v>1345</v>
      </c>
      <c r="E374" s="2189" t="s">
        <v>1047</v>
      </c>
      <c r="F374" s="2190">
        <v>1</v>
      </c>
      <c r="G374" s="1716">
        <f>'Lead- Input sheet '!R36</f>
        <v>650</v>
      </c>
      <c r="H374" s="1690">
        <f t="shared" si="2"/>
        <v>650</v>
      </c>
    </row>
    <row r="375" spans="1:14" ht="12.9" hidden="1" customHeight="1">
      <c r="A375" s="1689"/>
      <c r="B375" s="1710"/>
      <c r="C375" s="1557"/>
      <c r="D375" s="1566" t="s">
        <v>896</v>
      </c>
      <c r="E375" s="1594"/>
      <c r="F375" s="1594">
        <f>+'Lead- Input sheet '!Q31</f>
        <v>0</v>
      </c>
      <c r="G375" s="1692">
        <f>SUM(H373:H374)</f>
        <v>1425</v>
      </c>
      <c r="H375" s="1692">
        <f>ROUND(G375*F375,2)</f>
        <v>0</v>
      </c>
    </row>
    <row r="376" spans="1:14" ht="12" hidden="1" customHeight="1">
      <c r="A376" s="1689"/>
      <c r="B376" s="1691" t="s">
        <v>1346</v>
      </c>
      <c r="C376" s="1011"/>
      <c r="D376" s="1566"/>
      <c r="E376" s="1011"/>
      <c r="F376" s="1689"/>
      <c r="G376" s="1716"/>
      <c r="H376" s="1716"/>
      <c r="N376" s="128">
        <f>39/100</f>
        <v>0.39</v>
      </c>
    </row>
    <row r="377" spans="1:14" ht="12" hidden="1" customHeight="1">
      <c r="A377" s="1689"/>
      <c r="B377" s="1691" t="s">
        <v>1655</v>
      </c>
      <c r="C377" s="1011"/>
      <c r="D377" s="1566" t="s">
        <v>951</v>
      </c>
      <c r="E377" s="2189" t="s">
        <v>1035</v>
      </c>
      <c r="F377" s="2190">
        <v>4</v>
      </c>
      <c r="G377" s="1716">
        <v>0.39</v>
      </c>
      <c r="H377" s="1690">
        <f t="shared" si="2"/>
        <v>1.56</v>
      </c>
    </row>
    <row r="378" spans="1:14" ht="12" hidden="1" customHeight="1">
      <c r="A378" s="1689"/>
      <c r="B378" s="1691" t="s">
        <v>1521</v>
      </c>
      <c r="C378" s="1011"/>
      <c r="D378" s="1566" t="s">
        <v>2604</v>
      </c>
      <c r="E378" s="2189" t="s">
        <v>857</v>
      </c>
      <c r="F378" s="2190">
        <v>4</v>
      </c>
      <c r="G378" s="1716">
        <v>8</v>
      </c>
      <c r="H378" s="1690">
        <f t="shared" si="2"/>
        <v>32</v>
      </c>
    </row>
    <row r="379" spans="1:14" ht="12" hidden="1" customHeight="1">
      <c r="A379" s="1689"/>
      <c r="B379" s="1710"/>
      <c r="C379" s="1557"/>
      <c r="D379" s="1566" t="s">
        <v>427</v>
      </c>
      <c r="E379" s="1598"/>
      <c r="F379" s="1581"/>
      <c r="G379" s="1716"/>
      <c r="H379" s="1695">
        <f>SUM(H369:H378)</f>
        <v>5291.56</v>
      </c>
    </row>
    <row r="380" spans="1:14" ht="12" hidden="1" customHeight="1">
      <c r="A380" s="1693"/>
      <c r="B380" s="2164"/>
      <c r="C380" s="1557"/>
      <c r="D380" s="1575" t="s">
        <v>1000</v>
      </c>
      <c r="E380" s="1694"/>
      <c r="F380" s="1697">
        <f>'Lead- Input sheet '!Q32</f>
        <v>0</v>
      </c>
      <c r="G380" s="1695">
        <f>H379</f>
        <v>5291.56</v>
      </c>
      <c r="H380" s="1694">
        <f>ROUND(G380*F380,2)</f>
        <v>0</v>
      </c>
    </row>
    <row r="381" spans="1:14" ht="12" hidden="1" customHeight="1">
      <c r="A381" s="1693"/>
      <c r="B381" s="2164"/>
      <c r="C381" s="1557"/>
      <c r="D381" s="1575" t="s">
        <v>1001</v>
      </c>
      <c r="E381" s="1694"/>
      <c r="F381" s="1557"/>
      <c r="G381" s="1695"/>
      <c r="H381" s="1694">
        <f>ROUND(SUM(H379:H380),2)</f>
        <v>5291.56</v>
      </c>
    </row>
    <row r="382" spans="1:14" ht="125.2" hidden="1" customHeight="1">
      <c r="A382" s="1689">
        <v>20</v>
      </c>
      <c r="B382" s="1710"/>
      <c r="C382" s="1557" t="s">
        <v>1347</v>
      </c>
      <c r="D382" s="1566" t="s">
        <v>972</v>
      </c>
      <c r="E382" s="1598"/>
      <c r="F382" s="1581"/>
      <c r="G382" s="1716"/>
      <c r="H382" s="1716"/>
    </row>
    <row r="383" spans="1:14" ht="12.9" hidden="1" customHeight="1">
      <c r="A383" s="1689"/>
      <c r="B383" s="1710"/>
      <c r="C383" s="1557" t="s">
        <v>350</v>
      </c>
      <c r="D383" s="1566" t="s">
        <v>1177</v>
      </c>
      <c r="E383" s="1598"/>
      <c r="F383" s="1581"/>
      <c r="G383" s="1716"/>
      <c r="H383" s="1716"/>
    </row>
    <row r="384" spans="1:14" ht="24" hidden="1" customHeight="1">
      <c r="A384" s="1689"/>
      <c r="B384" s="1710"/>
      <c r="C384" s="1557"/>
      <c r="D384" s="1566" t="s">
        <v>354</v>
      </c>
      <c r="E384" s="1598"/>
      <c r="F384" s="1581"/>
      <c r="G384" s="1716"/>
      <c r="H384" s="1716"/>
    </row>
    <row r="385" spans="1:8" ht="12.9" hidden="1" customHeight="1">
      <c r="A385" s="1689"/>
      <c r="B385" s="1710"/>
      <c r="C385" s="1557"/>
      <c r="D385" s="1566" t="s">
        <v>526</v>
      </c>
      <c r="E385" s="1598"/>
      <c r="F385" s="1581"/>
      <c r="G385" s="1716"/>
      <c r="H385" s="1716"/>
    </row>
    <row r="386" spans="1:8" ht="93" hidden="1" customHeight="1">
      <c r="A386" s="1689"/>
      <c r="B386" s="1710" t="s">
        <v>2571</v>
      </c>
      <c r="C386" s="1557"/>
      <c r="D386" s="1566" t="s">
        <v>1913</v>
      </c>
      <c r="E386" s="1598" t="s">
        <v>334</v>
      </c>
      <c r="F386" s="1581">
        <v>1</v>
      </c>
      <c r="G386" s="1690">
        <v>1940</v>
      </c>
      <c r="H386" s="1690">
        <f t="shared" ref="H386:H392" si="3">ROUND(F386*G386,2)</f>
        <v>1940</v>
      </c>
    </row>
    <row r="387" spans="1:8" ht="12.9" hidden="1" customHeight="1">
      <c r="A387" s="1689"/>
      <c r="B387" s="1710"/>
      <c r="C387" s="1557"/>
      <c r="D387" s="1566" t="s">
        <v>1178</v>
      </c>
      <c r="E387" s="1598" t="s">
        <v>334</v>
      </c>
      <c r="F387" s="1581">
        <v>1</v>
      </c>
      <c r="G387" s="1716">
        <v>3056</v>
      </c>
      <c r="H387" s="1690">
        <f t="shared" si="3"/>
        <v>3056</v>
      </c>
    </row>
    <row r="388" spans="1:8" ht="12.9" hidden="1" customHeight="1">
      <c r="A388" s="1689"/>
      <c r="B388" s="1710" t="s">
        <v>2605</v>
      </c>
      <c r="C388" s="1557"/>
      <c r="D388" s="1566" t="s">
        <v>423</v>
      </c>
      <c r="E388" s="1598" t="s">
        <v>334</v>
      </c>
      <c r="F388" s="1581">
        <v>12</v>
      </c>
      <c r="G388" s="1716">
        <v>256</v>
      </c>
      <c r="H388" s="1690">
        <f t="shared" si="3"/>
        <v>3072</v>
      </c>
    </row>
    <row r="389" spans="1:8" s="2165" customFormat="1" ht="12.9" hidden="1" customHeight="1">
      <c r="A389" s="1689"/>
      <c r="B389" s="1710"/>
      <c r="C389" s="1557"/>
      <c r="D389" s="1566" t="s">
        <v>512</v>
      </c>
      <c r="E389" s="1598"/>
      <c r="F389" s="1581"/>
      <c r="G389" s="1716"/>
      <c r="H389" s="1716"/>
    </row>
    <row r="390" spans="1:8" s="2165" customFormat="1" ht="12.9" hidden="1" customHeight="1">
      <c r="A390" s="1689"/>
      <c r="B390" s="1710"/>
      <c r="C390" s="1557"/>
      <c r="D390" s="1566" t="s">
        <v>513</v>
      </c>
      <c r="E390" s="1712" t="s">
        <v>1047</v>
      </c>
      <c r="F390" s="1581">
        <v>0.5</v>
      </c>
      <c r="G390" s="1716">
        <f>G373</f>
        <v>775</v>
      </c>
      <c r="H390" s="1690">
        <f t="shared" si="3"/>
        <v>387.5</v>
      </c>
    </row>
    <row r="391" spans="1:8" hidden="1">
      <c r="A391" s="1689"/>
      <c r="B391" s="1710"/>
      <c r="C391" s="1557"/>
      <c r="D391" s="1566" t="s">
        <v>1110</v>
      </c>
      <c r="E391" s="1712" t="s">
        <v>1047</v>
      </c>
      <c r="F391" s="1581">
        <v>1</v>
      </c>
      <c r="G391" s="1716">
        <f>'Lead- Input sheet '!R36</f>
        <v>650</v>
      </c>
      <c r="H391" s="1690">
        <f t="shared" si="3"/>
        <v>650</v>
      </c>
    </row>
    <row r="392" spans="1:8" hidden="1">
      <c r="A392" s="1689"/>
      <c r="B392" s="1710"/>
      <c r="C392" s="1557"/>
      <c r="D392" s="1566" t="s">
        <v>515</v>
      </c>
      <c r="E392" s="1712" t="s">
        <v>1047</v>
      </c>
      <c r="F392" s="1581">
        <v>1</v>
      </c>
      <c r="G392" s="1716">
        <f>'Lead- Input sheet '!R36</f>
        <v>650</v>
      </c>
      <c r="H392" s="1690">
        <f t="shared" si="3"/>
        <v>650</v>
      </c>
    </row>
    <row r="393" spans="1:8" ht="12.9" hidden="1" customHeight="1">
      <c r="A393" s="1689"/>
      <c r="B393" s="1710"/>
      <c r="C393" s="1557"/>
      <c r="D393" s="1566" t="s">
        <v>896</v>
      </c>
      <c r="E393" s="1594"/>
      <c r="F393" s="1594">
        <f>+'Lead- Input sheet '!Q31</f>
        <v>0</v>
      </c>
      <c r="G393" s="1692">
        <f>SUM(H391:H392)</f>
        <v>1300</v>
      </c>
      <c r="H393" s="1692">
        <f>ROUND(G393*F393,2)</f>
        <v>0</v>
      </c>
    </row>
    <row r="394" spans="1:8" hidden="1">
      <c r="A394" s="1689"/>
      <c r="B394" s="1710"/>
      <c r="C394" s="1557"/>
      <c r="D394" s="1566" t="s">
        <v>749</v>
      </c>
      <c r="E394" s="1598" t="s">
        <v>975</v>
      </c>
      <c r="F394" s="1581"/>
      <c r="G394" s="1716"/>
      <c r="H394" s="1716"/>
    </row>
    <row r="395" spans="1:8" hidden="1">
      <c r="A395" s="1689"/>
      <c r="B395" s="1710"/>
      <c r="C395" s="1557"/>
      <c r="D395" s="1566" t="s">
        <v>750</v>
      </c>
      <c r="E395" s="1598"/>
      <c r="F395" s="1581"/>
      <c r="G395" s="1716"/>
      <c r="H395" s="2187">
        <f>SUM(H386:H394)</f>
        <v>9755.5</v>
      </c>
    </row>
    <row r="396" spans="1:8" hidden="1">
      <c r="A396" s="1693"/>
      <c r="B396" s="2164"/>
      <c r="C396" s="1557"/>
      <c r="D396" s="1575" t="s">
        <v>1000</v>
      </c>
      <c r="E396" s="1694"/>
      <c r="F396" s="1697">
        <f>'Lead- Input sheet '!Q32</f>
        <v>0</v>
      </c>
      <c r="G396" s="1695">
        <f>H395</f>
        <v>9755.5</v>
      </c>
      <c r="H396" s="1694">
        <f>ROUND(G396*F396,2)</f>
        <v>0</v>
      </c>
    </row>
    <row r="397" spans="1:8" hidden="1">
      <c r="A397" s="1693"/>
      <c r="B397" s="2164"/>
      <c r="C397" s="1557"/>
      <c r="D397" s="1575" t="s">
        <v>1001</v>
      </c>
      <c r="E397" s="1694"/>
      <c r="F397" s="1557"/>
      <c r="G397" s="1695"/>
      <c r="H397" s="1694">
        <f>ROUND(SUM(H395:H396),2)</f>
        <v>9755.5</v>
      </c>
    </row>
    <row r="398" spans="1:8" hidden="1">
      <c r="A398" s="1689"/>
      <c r="B398" s="1710"/>
      <c r="C398" s="1557"/>
      <c r="D398" s="1713" t="s">
        <v>1112</v>
      </c>
      <c r="E398" s="1011"/>
      <c r="F398" s="1581"/>
      <c r="G398" s="1716"/>
      <c r="H398" s="1716"/>
    </row>
    <row r="399" spans="1:8" ht="38.700000000000003" hidden="1">
      <c r="A399" s="1689">
        <v>17</v>
      </c>
      <c r="B399" s="1710"/>
      <c r="C399" s="1557" t="s">
        <v>1330</v>
      </c>
      <c r="D399" s="1566" t="s">
        <v>865</v>
      </c>
      <c r="E399" s="1581"/>
      <c r="F399" s="1581"/>
      <c r="G399" s="1716"/>
      <c r="H399" s="1716"/>
    </row>
    <row r="400" spans="1:8" hidden="1">
      <c r="A400" s="1689"/>
      <c r="B400" s="1710"/>
      <c r="C400" s="1557"/>
      <c r="D400" s="1575" t="s">
        <v>526</v>
      </c>
      <c r="E400" s="1581"/>
      <c r="F400" s="1581"/>
      <c r="G400" s="1716"/>
      <c r="H400" s="1716"/>
    </row>
    <row r="401" spans="1:8" hidden="1">
      <c r="A401" s="1689"/>
      <c r="B401" s="1710" t="s">
        <v>2606</v>
      </c>
      <c r="C401" s="1557"/>
      <c r="D401" s="1566" t="s">
        <v>1855</v>
      </c>
      <c r="E401" s="1581" t="s">
        <v>334</v>
      </c>
      <c r="F401" s="1581">
        <v>1</v>
      </c>
      <c r="G401" s="1716">
        <v>273</v>
      </c>
      <c r="H401" s="1716">
        <f>ROUND(F401*G401,2)</f>
        <v>273</v>
      </c>
    </row>
    <row r="402" spans="1:8" hidden="1">
      <c r="A402" s="1689"/>
      <c r="B402" s="1710" t="s">
        <v>1969</v>
      </c>
      <c r="C402" s="1557"/>
      <c r="D402" s="1566" t="s">
        <v>1331</v>
      </c>
      <c r="E402" s="1581" t="s">
        <v>334</v>
      </c>
      <c r="F402" s="1581">
        <v>1</v>
      </c>
      <c r="G402" s="1716">
        <v>40</v>
      </c>
      <c r="H402" s="1716">
        <f>ROUND(F402*G402,2)</f>
        <v>40</v>
      </c>
    </row>
    <row r="403" spans="1:8" ht="12.9" hidden="1" customHeight="1">
      <c r="A403" s="1689"/>
      <c r="B403" s="1710"/>
      <c r="C403" s="1557"/>
      <c r="D403" s="1566" t="s">
        <v>1332</v>
      </c>
      <c r="E403" s="1581"/>
      <c r="F403" s="1581"/>
      <c r="G403" s="1716"/>
      <c r="H403" s="1716"/>
    </row>
    <row r="404" spans="1:8" s="2165" customFormat="1" ht="12.9" hidden="1" customHeight="1">
      <c r="A404" s="1689"/>
      <c r="B404" s="1710"/>
      <c r="C404" s="1557"/>
      <c r="D404" s="1566" t="s">
        <v>427</v>
      </c>
      <c r="E404" s="1598"/>
      <c r="F404" s="1581"/>
      <c r="G404" s="1716"/>
      <c r="H404" s="2187">
        <f>SUM(H401:H403)</f>
        <v>313</v>
      </c>
    </row>
    <row r="405" spans="1:8" s="2165" customFormat="1" ht="12.9" hidden="1" customHeight="1">
      <c r="A405" s="1689"/>
      <c r="B405" s="1710"/>
      <c r="C405" s="1557"/>
      <c r="D405" s="1566" t="s">
        <v>1333</v>
      </c>
      <c r="E405" s="1598"/>
      <c r="F405" s="1581"/>
      <c r="G405" s="1716"/>
      <c r="H405" s="2187">
        <f>H363</f>
        <v>172.96</v>
      </c>
    </row>
    <row r="406" spans="1:8" hidden="1">
      <c r="A406" s="1693"/>
      <c r="B406" s="2164"/>
      <c r="C406" s="1557"/>
      <c r="D406" s="1575" t="s">
        <v>1000</v>
      </c>
      <c r="E406" s="1694"/>
      <c r="F406" s="1697">
        <f>'Lead- Input sheet '!Q32</f>
        <v>0</v>
      </c>
      <c r="G406" s="1695">
        <f>H404+H405</f>
        <v>485.96000000000004</v>
      </c>
      <c r="H406" s="1694">
        <f>ROUND(G406*F406,2)</f>
        <v>0</v>
      </c>
    </row>
    <row r="407" spans="1:8" ht="25.5" hidden="1" customHeight="1">
      <c r="A407" s="1693"/>
      <c r="B407" s="2164"/>
      <c r="C407" s="1557"/>
      <c r="D407" s="1575" t="s">
        <v>1001</v>
      </c>
      <c r="E407" s="1694"/>
      <c r="F407" s="1557"/>
      <c r="G407" s="1695" t="s">
        <v>416</v>
      </c>
      <c r="H407" s="1695">
        <f>ROUND(SUM(H404:H406),2)</f>
        <v>485.96</v>
      </c>
    </row>
    <row r="408" spans="1:8" ht="169.5" hidden="1" customHeight="1">
      <c r="A408" s="1689"/>
      <c r="B408" s="1710"/>
      <c r="C408" s="1557" t="s">
        <v>751</v>
      </c>
      <c r="D408" s="1566" t="s">
        <v>1976</v>
      </c>
      <c r="E408" s="1598"/>
      <c r="F408" s="1581"/>
      <c r="G408" s="1716"/>
      <c r="H408" s="1716"/>
    </row>
    <row r="409" spans="1:8" ht="12.9" hidden="1" customHeight="1">
      <c r="A409" s="1689"/>
      <c r="B409" s="1710"/>
      <c r="C409" s="1557"/>
      <c r="D409" s="1566" t="s">
        <v>526</v>
      </c>
      <c r="E409" s="1598"/>
      <c r="F409" s="1581"/>
      <c r="G409" s="1716"/>
      <c r="H409" s="1716"/>
    </row>
    <row r="410" spans="1:8" s="1686" customFormat="1" ht="63" hidden="1" customHeight="1">
      <c r="A410" s="1713"/>
      <c r="B410" s="1691" t="s">
        <v>1974</v>
      </c>
      <c r="C410" s="1714"/>
      <c r="D410" s="1715" t="s">
        <v>1975</v>
      </c>
      <c r="E410" s="1715" t="s">
        <v>334</v>
      </c>
      <c r="F410" s="1715">
        <v>1</v>
      </c>
      <c r="G410" s="1716">
        <v>1862</v>
      </c>
      <c r="H410" s="1690">
        <f>ROUND(F410*G410,2)</f>
        <v>1862</v>
      </c>
    </row>
    <row r="411" spans="1:8" s="1686" customFormat="1" ht="12.9" hidden="1" customHeight="1">
      <c r="A411" s="1713"/>
      <c r="B411" s="1691" t="s">
        <v>2002</v>
      </c>
      <c r="C411" s="1714"/>
      <c r="D411" s="1715" t="s">
        <v>752</v>
      </c>
      <c r="E411" s="1715" t="s">
        <v>1213</v>
      </c>
      <c r="F411" s="1715">
        <v>1</v>
      </c>
      <c r="G411" s="1716">
        <v>245</v>
      </c>
      <c r="H411" s="1690">
        <f>ROUND(F411*G411,2)</f>
        <v>245</v>
      </c>
    </row>
    <row r="412" spans="1:8" s="1686" customFormat="1" ht="12.9" hidden="1" customHeight="1">
      <c r="A412" s="1713"/>
      <c r="B412" s="1691" t="s">
        <v>1656</v>
      </c>
      <c r="C412" s="1714"/>
      <c r="D412" s="1715" t="s">
        <v>753</v>
      </c>
      <c r="E412" s="1715" t="s">
        <v>1213</v>
      </c>
      <c r="F412" s="1715">
        <v>2</v>
      </c>
      <c r="G412" s="1716">
        <v>9.8000000000000007</v>
      </c>
      <c r="H412" s="1690">
        <f>ROUND(F412*G412,2)</f>
        <v>19.600000000000001</v>
      </c>
    </row>
    <row r="413" spans="1:8" s="1686" customFormat="1" ht="12.9" hidden="1" customHeight="1">
      <c r="A413" s="1713"/>
      <c r="B413" s="1710"/>
      <c r="C413" s="1714"/>
      <c r="D413" s="1715" t="s">
        <v>1149</v>
      </c>
      <c r="E413" s="1715" t="s">
        <v>975</v>
      </c>
      <c r="F413" s="1715"/>
      <c r="G413" s="1716"/>
      <c r="H413" s="1716">
        <v>25</v>
      </c>
    </row>
    <row r="414" spans="1:8" s="1686" customFormat="1" ht="12.9" hidden="1" customHeight="1">
      <c r="A414" s="1713"/>
      <c r="B414" s="1710"/>
      <c r="C414" s="1714"/>
      <c r="D414" s="1715" t="s">
        <v>1150</v>
      </c>
      <c r="E414" s="1715"/>
      <c r="F414" s="1715"/>
      <c r="G414" s="1716"/>
      <c r="H414" s="1716"/>
    </row>
    <row r="415" spans="1:8" ht="12.9" hidden="1" customHeight="1">
      <c r="A415" s="1689"/>
      <c r="B415" s="1710"/>
      <c r="C415" s="1557"/>
      <c r="D415" s="1566" t="s">
        <v>1151</v>
      </c>
      <c r="E415" s="1598" t="s">
        <v>1047</v>
      </c>
      <c r="F415" s="1581">
        <v>0.2</v>
      </c>
      <c r="G415" s="1716">
        <f>'Lead- Input sheet '!R33</f>
        <v>775</v>
      </c>
      <c r="H415" s="1690">
        <f>ROUND(F415*G415,2)</f>
        <v>155</v>
      </c>
    </row>
    <row r="416" spans="1:8" ht="12.9" hidden="1" customHeight="1">
      <c r="A416" s="1689"/>
      <c r="B416" s="1710"/>
      <c r="C416" s="1557"/>
      <c r="D416" s="1566" t="s">
        <v>1152</v>
      </c>
      <c r="E416" s="1598" t="s">
        <v>1047</v>
      </c>
      <c r="F416" s="1581">
        <v>0.2</v>
      </c>
      <c r="G416" s="1716">
        <f>'Lead- Input sheet '!R36</f>
        <v>650</v>
      </c>
      <c r="H416" s="1690">
        <f>ROUND(F416*G416,2)</f>
        <v>130</v>
      </c>
    </row>
    <row r="417" spans="1:8" s="2165" customFormat="1" ht="12.9" hidden="1" customHeight="1">
      <c r="A417" s="1689"/>
      <c r="B417" s="1710"/>
      <c r="C417" s="1557"/>
      <c r="D417" s="1566" t="s">
        <v>1153</v>
      </c>
      <c r="E417" s="1598" t="s">
        <v>1047</v>
      </c>
      <c r="F417" s="1581">
        <v>0.2</v>
      </c>
      <c r="G417" s="1716">
        <f>'Lead- Input sheet '!R36</f>
        <v>650</v>
      </c>
      <c r="H417" s="1690">
        <f>ROUND(F417*G417,2)</f>
        <v>130</v>
      </c>
    </row>
    <row r="418" spans="1:8" s="2165" customFormat="1" ht="12.9" hidden="1" customHeight="1">
      <c r="A418" s="1689"/>
      <c r="B418" s="1710"/>
      <c r="C418" s="1557"/>
      <c r="D418" s="1566" t="s">
        <v>896</v>
      </c>
      <c r="E418" s="1594"/>
      <c r="F418" s="1594">
        <f>'Lead- Input sheet '!Q31</f>
        <v>0</v>
      </c>
      <c r="G418" s="1692">
        <f>SUM(H415:H417)</f>
        <v>415</v>
      </c>
      <c r="H418" s="1692">
        <f>ROUND(G418*F418,2)</f>
        <v>0</v>
      </c>
    </row>
    <row r="419" spans="1:8" ht="12.9" hidden="1" customHeight="1">
      <c r="A419" s="1689"/>
      <c r="B419" s="1710"/>
      <c r="C419" s="1557"/>
      <c r="D419" s="1566" t="s">
        <v>427</v>
      </c>
      <c r="E419" s="1598"/>
      <c r="F419" s="1581"/>
      <c r="G419" s="1716"/>
      <c r="H419" s="2187">
        <f>SUM(H410:H417)</f>
        <v>2566.6</v>
      </c>
    </row>
    <row r="420" spans="1:8" ht="56.25" hidden="1" customHeight="1">
      <c r="A420" s="1693"/>
      <c r="B420" s="2164"/>
      <c r="C420" s="1557"/>
      <c r="D420" s="1575" t="s">
        <v>1000</v>
      </c>
      <c r="E420" s="1694"/>
      <c r="F420" s="1697">
        <f>'Lead- Input sheet '!Q32</f>
        <v>0</v>
      </c>
      <c r="G420" s="1695">
        <f>H419</f>
        <v>2566.6</v>
      </c>
      <c r="H420" s="1694">
        <f>ROUND(G420*F420,2)</f>
        <v>0</v>
      </c>
    </row>
    <row r="421" spans="1:8" ht="12.9" hidden="1" customHeight="1">
      <c r="A421" s="1693"/>
      <c r="B421" s="2164"/>
      <c r="C421" s="1557"/>
      <c r="D421" s="1575" t="s">
        <v>1001</v>
      </c>
      <c r="E421" s="1694"/>
      <c r="F421" s="1557"/>
      <c r="G421" s="1695" t="s">
        <v>416</v>
      </c>
      <c r="H421" s="1694">
        <f>ROUND(SUM(H419:H420),2)</f>
        <v>2566.6</v>
      </c>
    </row>
    <row r="422" spans="1:8" ht="12.9" hidden="1" customHeight="1">
      <c r="A422" s="1693" t="s">
        <v>1008</v>
      </c>
      <c r="B422" s="1713"/>
      <c r="C422" s="1557">
        <v>4.4000000000000004</v>
      </c>
      <c r="D422" s="1566" t="s">
        <v>1009</v>
      </c>
      <c r="E422" s="1598"/>
      <c r="F422" s="1581"/>
      <c r="G422" s="1716"/>
      <c r="H422" s="1716"/>
    </row>
    <row r="423" spans="1:8" ht="128.25" hidden="1" customHeight="1">
      <c r="A423" s="1689"/>
      <c r="B423" s="1713"/>
      <c r="C423" s="1557" t="s">
        <v>1010</v>
      </c>
      <c r="D423" s="1566" t="s">
        <v>1176</v>
      </c>
      <c r="E423" s="1598"/>
      <c r="F423" s="1581"/>
      <c r="G423" s="1716"/>
      <c r="H423" s="1716"/>
    </row>
    <row r="424" spans="1:8" ht="12.9" hidden="1" customHeight="1">
      <c r="A424" s="1689"/>
      <c r="B424" s="1713"/>
      <c r="C424" s="1557" t="s">
        <v>350</v>
      </c>
      <c r="D424" s="1566" t="s">
        <v>49</v>
      </c>
      <c r="E424" s="1598"/>
      <c r="F424" s="1581"/>
      <c r="G424" s="1716"/>
      <c r="H424" s="1716"/>
    </row>
    <row r="425" spans="1:8" ht="12.9" hidden="1" customHeight="1">
      <c r="A425" s="1689"/>
      <c r="B425" s="1713"/>
      <c r="C425" s="1557"/>
      <c r="D425" s="1566" t="s">
        <v>354</v>
      </c>
      <c r="E425" s="1598"/>
      <c r="F425" s="1581"/>
      <c r="G425" s="1716"/>
      <c r="H425" s="1716"/>
    </row>
    <row r="426" spans="1:8" ht="12.9" hidden="1" customHeight="1">
      <c r="A426" s="1689"/>
      <c r="B426" s="1713"/>
      <c r="C426" s="1557"/>
      <c r="D426" s="1575" t="s">
        <v>526</v>
      </c>
      <c r="E426" s="1598"/>
      <c r="F426" s="1581"/>
      <c r="G426" s="1716"/>
      <c r="H426" s="1716"/>
    </row>
    <row r="427" spans="1:8" s="2165" customFormat="1" ht="50.2" hidden="1" customHeight="1">
      <c r="A427" s="1689"/>
      <c r="B427" s="1713" t="s">
        <v>2573</v>
      </c>
      <c r="C427" s="1557"/>
      <c r="D427" s="1566" t="s">
        <v>1856</v>
      </c>
      <c r="E427" s="1598" t="s">
        <v>334</v>
      </c>
      <c r="F427" s="1581">
        <v>1</v>
      </c>
      <c r="G427" s="1716">
        <v>1345</v>
      </c>
      <c r="H427" s="1716">
        <f>G427*F427</f>
        <v>1345</v>
      </c>
    </row>
    <row r="428" spans="1:8" s="2165" customFormat="1" ht="12.9" hidden="1" customHeight="1">
      <c r="A428" s="1689"/>
      <c r="B428" s="1713" t="s">
        <v>2572</v>
      </c>
      <c r="C428" s="1557"/>
      <c r="D428" s="1566" t="s">
        <v>1586</v>
      </c>
      <c r="E428" s="1598" t="s">
        <v>334</v>
      </c>
      <c r="F428" s="1581">
        <v>1</v>
      </c>
      <c r="G428" s="1716">
        <v>590</v>
      </c>
      <c r="H428" s="1716">
        <f t="shared" ref="H428:H433" si="4">G428*F428</f>
        <v>590</v>
      </c>
    </row>
    <row r="429" spans="1:8" s="2165" customFormat="1" ht="12.9" hidden="1" customHeight="1">
      <c r="A429" s="1689"/>
      <c r="B429" s="1713" t="s">
        <v>2574</v>
      </c>
      <c r="C429" s="1557"/>
      <c r="D429" s="1566" t="s">
        <v>132</v>
      </c>
      <c r="E429" s="1598" t="s">
        <v>334</v>
      </c>
      <c r="F429" s="1581">
        <v>4</v>
      </c>
      <c r="G429" s="1716">
        <v>325</v>
      </c>
      <c r="H429" s="1716">
        <f t="shared" si="4"/>
        <v>1300</v>
      </c>
    </row>
    <row r="430" spans="1:8" ht="12.9" hidden="1" customHeight="1">
      <c r="A430" s="1689"/>
      <c r="B430" s="1713"/>
      <c r="C430" s="1557"/>
      <c r="D430" s="1566" t="s">
        <v>512</v>
      </c>
      <c r="E430" s="1598"/>
      <c r="F430" s="1581"/>
      <c r="G430" s="1716"/>
      <c r="H430" s="1716"/>
    </row>
    <row r="431" spans="1:8" ht="12.9" hidden="1" customHeight="1">
      <c r="A431" s="1689"/>
      <c r="B431" s="1713"/>
      <c r="C431" s="1557"/>
      <c r="D431" s="1566" t="s">
        <v>513</v>
      </c>
      <c r="E431" s="1712" t="s">
        <v>1047</v>
      </c>
      <c r="F431" s="1581">
        <v>0.5</v>
      </c>
      <c r="G431" s="1716">
        <f>'Lead- Input sheet '!R33</f>
        <v>775</v>
      </c>
      <c r="H431" s="1716">
        <f t="shared" si="4"/>
        <v>387.5</v>
      </c>
    </row>
    <row r="432" spans="1:8" ht="12.9" hidden="1" customHeight="1">
      <c r="A432" s="1689"/>
      <c r="B432" s="1713"/>
      <c r="C432" s="1557"/>
      <c r="D432" s="1566" t="s">
        <v>1110</v>
      </c>
      <c r="E432" s="1712" t="s">
        <v>1047</v>
      </c>
      <c r="F432" s="1581">
        <v>0.5</v>
      </c>
      <c r="G432" s="1716">
        <f>'Lead- Input sheet '!R36</f>
        <v>650</v>
      </c>
      <c r="H432" s="1716">
        <f t="shared" si="4"/>
        <v>325</v>
      </c>
    </row>
    <row r="433" spans="1:8" ht="12.9" hidden="1" customHeight="1">
      <c r="A433" s="1689"/>
      <c r="B433" s="1713"/>
      <c r="C433" s="1557"/>
      <c r="D433" s="1566" t="s">
        <v>515</v>
      </c>
      <c r="E433" s="1712" t="s">
        <v>1047</v>
      </c>
      <c r="F433" s="1581">
        <v>1</v>
      </c>
      <c r="G433" s="1716">
        <f>'Lead- Input sheet '!R36</f>
        <v>650</v>
      </c>
      <c r="H433" s="1716">
        <f t="shared" si="4"/>
        <v>650</v>
      </c>
    </row>
    <row r="434" spans="1:8" ht="12.9" hidden="1" customHeight="1">
      <c r="A434" s="1689"/>
      <c r="B434" s="1710"/>
      <c r="C434" s="1557"/>
      <c r="D434" s="1566" t="s">
        <v>896</v>
      </c>
      <c r="E434" s="1594"/>
      <c r="F434" s="1594">
        <f>'Lead- Input sheet '!Q31</f>
        <v>0</v>
      </c>
      <c r="G434" s="1692">
        <f>SUM(H431:H433)</f>
        <v>1362.5</v>
      </c>
      <c r="H434" s="1692">
        <f>ROUND(G434*F434,2)</f>
        <v>0</v>
      </c>
    </row>
    <row r="435" spans="1:8" ht="12.9" hidden="1" customHeight="1">
      <c r="A435" s="1689"/>
      <c r="B435" s="1713"/>
      <c r="C435" s="1557"/>
      <c r="D435" s="1566" t="s">
        <v>133</v>
      </c>
      <c r="E435" s="1598" t="s">
        <v>975</v>
      </c>
      <c r="F435" s="1581"/>
      <c r="G435" s="1716"/>
      <c r="H435" s="1716">
        <v>25</v>
      </c>
    </row>
    <row r="436" spans="1:8" ht="12.9" hidden="1" customHeight="1">
      <c r="A436" s="1689"/>
      <c r="B436" s="1713"/>
      <c r="C436" s="1557"/>
      <c r="D436" s="1566" t="s">
        <v>427</v>
      </c>
      <c r="E436" s="1598"/>
      <c r="F436" s="1581"/>
      <c r="G436" s="1716"/>
      <c r="H436" s="2187">
        <f>SUM(H427:H435)</f>
        <v>4622.5</v>
      </c>
    </row>
    <row r="437" spans="1:8" ht="12.9" hidden="1" customHeight="1">
      <c r="A437" s="1693"/>
      <c r="B437" s="2164"/>
      <c r="C437" s="1557"/>
      <c r="D437" s="1575" t="s">
        <v>1000</v>
      </c>
      <c r="E437" s="1694"/>
      <c r="F437" s="1697">
        <f>'Lead- Input sheet '!Q32</f>
        <v>0</v>
      </c>
      <c r="G437" s="1695">
        <f>H436</f>
        <v>4622.5</v>
      </c>
      <c r="H437" s="1694">
        <f>ROUND(G437*F437,2)</f>
        <v>0</v>
      </c>
    </row>
    <row r="438" spans="1:8" ht="12.9" hidden="1" customHeight="1">
      <c r="A438" s="1693"/>
      <c r="B438" s="2164"/>
      <c r="C438" s="1557"/>
      <c r="D438" s="1575" t="s">
        <v>1001</v>
      </c>
      <c r="E438" s="1694"/>
      <c r="F438" s="1557"/>
      <c r="G438" s="1695" t="s">
        <v>416</v>
      </c>
      <c r="H438" s="1695">
        <f>ROUND(SUM(H436:H437),2)</f>
        <v>4622.5</v>
      </c>
    </row>
    <row r="439" spans="1:8" ht="12.9" hidden="1" customHeight="1">
      <c r="A439" s="1693" t="s">
        <v>1114</v>
      </c>
      <c r="B439" s="1713"/>
      <c r="C439" s="1557">
        <v>5.0999999999999996</v>
      </c>
      <c r="D439" s="1566" t="s">
        <v>1113</v>
      </c>
      <c r="E439" s="1598"/>
      <c r="F439" s="1581"/>
      <c r="G439" s="1716"/>
      <c r="H439" s="1716"/>
    </row>
    <row r="440" spans="1:8" ht="137.25" hidden="1" customHeight="1">
      <c r="A440" s="1689">
        <v>20</v>
      </c>
      <c r="B440" s="1713"/>
      <c r="C440" s="1557" t="s">
        <v>492</v>
      </c>
      <c r="D440" s="1566" t="s">
        <v>1386</v>
      </c>
      <c r="E440" s="1598"/>
      <c r="F440" s="1581"/>
      <c r="G440" s="1716"/>
      <c r="H440" s="1716"/>
    </row>
    <row r="441" spans="1:8" ht="12.9" hidden="1" customHeight="1">
      <c r="A441" s="1689"/>
      <c r="B441" s="1713"/>
      <c r="C441" s="1557"/>
      <c r="D441" s="1566" t="s">
        <v>526</v>
      </c>
      <c r="E441" s="1598"/>
      <c r="F441" s="1581"/>
      <c r="G441" s="1716"/>
      <c r="H441" s="1716"/>
    </row>
    <row r="442" spans="1:8" ht="12.9" hidden="1" customHeight="1">
      <c r="A442" s="1689"/>
      <c r="B442" s="1713" t="s">
        <v>1914</v>
      </c>
      <c r="C442" s="1557"/>
      <c r="D442" s="1566" t="s">
        <v>493</v>
      </c>
      <c r="E442" s="1598" t="s">
        <v>1473</v>
      </c>
      <c r="F442" s="1581">
        <v>0.85</v>
      </c>
      <c r="G442" s="1716">
        <v>318</v>
      </c>
      <c r="H442" s="1716">
        <f t="shared" ref="H442:H451" si="5">ROUND(G442*F442,2)</f>
        <v>270.3</v>
      </c>
    </row>
    <row r="443" spans="1:8" s="2165" customFormat="1" ht="12.9" hidden="1" customHeight="1">
      <c r="A443" s="1689"/>
      <c r="B443" s="1713" t="s">
        <v>1914</v>
      </c>
      <c r="C443" s="1557"/>
      <c r="D443" s="1566" t="s">
        <v>134</v>
      </c>
      <c r="E443" s="1598" t="s">
        <v>1473</v>
      </c>
      <c r="F443" s="1581">
        <v>0.9</v>
      </c>
      <c r="G443" s="1716">
        <v>318</v>
      </c>
      <c r="H443" s="1716">
        <f t="shared" si="5"/>
        <v>286.2</v>
      </c>
    </row>
    <row r="444" spans="1:8" s="2165" customFormat="1" ht="12.9" hidden="1" customHeight="1">
      <c r="A444" s="1689"/>
      <c r="B444" s="1713"/>
      <c r="C444" s="1557"/>
      <c r="D444" s="1566" t="s">
        <v>1418</v>
      </c>
      <c r="E444" s="1717"/>
      <c r="F444" s="1581">
        <v>0.25</v>
      </c>
      <c r="G444" s="1716">
        <v>556.5</v>
      </c>
      <c r="H444" s="1716">
        <f t="shared" si="5"/>
        <v>139.13</v>
      </c>
    </row>
    <row r="445" spans="1:8" ht="12" hidden="1" customHeight="1">
      <c r="A445" s="1689"/>
      <c r="B445" s="1713" t="s">
        <v>2575</v>
      </c>
      <c r="C445" s="1557"/>
      <c r="D445" s="1566" t="s">
        <v>735</v>
      </c>
      <c r="E445" s="1717" t="s">
        <v>1419</v>
      </c>
      <c r="F445" s="1581">
        <v>2.5</v>
      </c>
      <c r="G445" s="1716">
        <v>570</v>
      </c>
      <c r="H445" s="1716">
        <f t="shared" si="5"/>
        <v>1425</v>
      </c>
    </row>
    <row r="446" spans="1:8" ht="44.25" hidden="1" customHeight="1">
      <c r="A446" s="1689"/>
      <c r="B446" s="1713"/>
      <c r="C446" s="1557"/>
      <c r="D446" s="1566" t="s">
        <v>736</v>
      </c>
      <c r="E446" s="1717" t="s">
        <v>856</v>
      </c>
      <c r="F446" s="1581">
        <v>0.94199999999999995</v>
      </c>
      <c r="G446" s="1716">
        <f>'Lead- Input sheet '!R10/1000</f>
        <v>69.62</v>
      </c>
      <c r="H446" s="1716">
        <f t="shared" si="5"/>
        <v>65.58</v>
      </c>
    </row>
    <row r="447" spans="1:8" s="137" customFormat="1" ht="27.75" hidden="1" customHeight="1">
      <c r="A447" s="1689"/>
      <c r="B447" s="1713" t="s">
        <v>1915</v>
      </c>
      <c r="C447" s="1557"/>
      <c r="D447" s="1581" t="s">
        <v>1350</v>
      </c>
      <c r="E447" s="2191" t="s">
        <v>856</v>
      </c>
      <c r="F447" s="1581">
        <v>16</v>
      </c>
      <c r="G447" s="1709">
        <v>7</v>
      </c>
      <c r="H447" s="2192">
        <f t="shared" si="5"/>
        <v>112</v>
      </c>
    </row>
    <row r="448" spans="1:8" ht="24" hidden="1" customHeight="1">
      <c r="A448" s="1689"/>
      <c r="B448" s="1713" t="s">
        <v>1977</v>
      </c>
      <c r="C448" s="1557"/>
      <c r="D448" s="1566" t="s">
        <v>1351</v>
      </c>
      <c r="E448" s="1717" t="s">
        <v>1420</v>
      </c>
      <c r="F448" s="1581">
        <v>4</v>
      </c>
      <c r="G448" s="1716">
        <v>15</v>
      </c>
      <c r="H448" s="1716">
        <f t="shared" si="5"/>
        <v>60</v>
      </c>
    </row>
    <row r="449" spans="1:8" ht="12" hidden="1" customHeight="1">
      <c r="A449" s="1689"/>
      <c r="B449" s="1713" t="s">
        <v>1978</v>
      </c>
      <c r="C449" s="1557"/>
      <c r="D449" s="1566" t="s">
        <v>1144</v>
      </c>
      <c r="E449" s="1717" t="s">
        <v>856</v>
      </c>
      <c r="F449" s="1581">
        <v>1</v>
      </c>
      <c r="G449" s="1716">
        <v>382</v>
      </c>
      <c r="H449" s="1716">
        <f t="shared" si="5"/>
        <v>382</v>
      </c>
    </row>
    <row r="450" spans="1:8" s="137" customFormat="1" hidden="1">
      <c r="A450" s="1689"/>
      <c r="B450" s="1713" t="s">
        <v>1658</v>
      </c>
      <c r="C450" s="1557"/>
      <c r="D450" s="1715" t="s">
        <v>1145</v>
      </c>
      <c r="E450" s="2191" t="s">
        <v>338</v>
      </c>
      <c r="F450" s="1581">
        <v>40</v>
      </c>
      <c r="G450" s="2192">
        <v>27</v>
      </c>
      <c r="H450" s="1709">
        <f t="shared" si="5"/>
        <v>1080</v>
      </c>
    </row>
    <row r="451" spans="1:8" s="137" customFormat="1" hidden="1">
      <c r="A451" s="1689"/>
      <c r="B451" s="1713" t="s">
        <v>1916</v>
      </c>
      <c r="C451" s="1557"/>
      <c r="D451" s="1715" t="s">
        <v>1146</v>
      </c>
      <c r="E451" s="2191" t="s">
        <v>338</v>
      </c>
      <c r="F451" s="1581">
        <v>20</v>
      </c>
      <c r="G451" s="2192">
        <v>22</v>
      </c>
      <c r="H451" s="1709">
        <f t="shared" si="5"/>
        <v>440</v>
      </c>
    </row>
    <row r="452" spans="1:8" ht="12.9" hidden="1" customHeight="1">
      <c r="A452" s="1689"/>
      <c r="B452" s="1713"/>
      <c r="C452" s="1557"/>
      <c r="D452" s="1566" t="s">
        <v>1421</v>
      </c>
      <c r="E452" s="1717" t="s">
        <v>856</v>
      </c>
      <c r="F452" s="1581"/>
      <c r="G452" s="1716"/>
      <c r="H452" s="1716"/>
    </row>
    <row r="453" spans="1:8" ht="12.9" hidden="1" customHeight="1">
      <c r="A453" s="1689"/>
      <c r="B453" s="1713"/>
      <c r="C453" s="1557"/>
      <c r="D453" s="1566" t="s">
        <v>514</v>
      </c>
      <c r="E453" s="1598" t="s">
        <v>1035</v>
      </c>
      <c r="F453" s="1581">
        <v>0.5</v>
      </c>
      <c r="G453" s="1716">
        <f>'Lead- Input sheet '!R36</f>
        <v>650</v>
      </c>
      <c r="H453" s="1716">
        <f>ROUND(G453*F453,2)</f>
        <v>325</v>
      </c>
    </row>
    <row r="454" spans="1:8" ht="12.9" hidden="1" customHeight="1">
      <c r="A454" s="1689"/>
      <c r="B454" s="1713"/>
      <c r="C454" s="1557"/>
      <c r="D454" s="1566" t="s">
        <v>515</v>
      </c>
      <c r="E454" s="1598" t="s">
        <v>1035</v>
      </c>
      <c r="F454" s="1581">
        <v>0.5</v>
      </c>
      <c r="G454" s="1716">
        <f>'Lead- Input sheet '!R36</f>
        <v>650</v>
      </c>
      <c r="H454" s="1716">
        <f>ROUND(G454*F454,2)</f>
        <v>325</v>
      </c>
    </row>
    <row r="455" spans="1:8" ht="12.9" hidden="1" customHeight="1">
      <c r="A455" s="1689">
        <v>7</v>
      </c>
      <c r="B455" s="1710"/>
      <c r="C455" s="1557"/>
      <c r="D455" s="1566" t="s">
        <v>896</v>
      </c>
      <c r="E455" s="1594"/>
      <c r="F455" s="1594">
        <f>'Lead- Input sheet '!Q31</f>
        <v>0</v>
      </c>
      <c r="G455" s="1692">
        <f>SUM(H453:H454)</f>
        <v>650</v>
      </c>
      <c r="H455" s="1692">
        <f>ROUND(G455*F455,2)</f>
        <v>0</v>
      </c>
    </row>
    <row r="456" spans="1:8" ht="12.9" hidden="1" customHeight="1">
      <c r="A456" s="1689"/>
      <c r="B456" s="1713"/>
      <c r="C456" s="1557"/>
      <c r="D456" s="1566" t="s">
        <v>357</v>
      </c>
      <c r="E456" s="1598"/>
      <c r="F456" s="1581"/>
      <c r="G456" s="1716"/>
      <c r="H456" s="1716">
        <f>SUM(H442:H454)</f>
        <v>4910.21</v>
      </c>
    </row>
    <row r="457" spans="1:8" ht="12.9" hidden="1" customHeight="1">
      <c r="A457" s="1693"/>
      <c r="B457" s="2164"/>
      <c r="C457" s="1557"/>
      <c r="D457" s="1575" t="s">
        <v>1000</v>
      </c>
      <c r="E457" s="1694"/>
      <c r="F457" s="1697">
        <f>'Lead- Input sheet '!Q32</f>
        <v>0</v>
      </c>
      <c r="G457" s="1695">
        <f>H456</f>
        <v>4910.21</v>
      </c>
      <c r="H457" s="1694">
        <f>ROUND(G457*F457,2)</f>
        <v>0</v>
      </c>
    </row>
    <row r="458" spans="1:8" ht="12.9" hidden="1" customHeight="1">
      <c r="A458" s="1693"/>
      <c r="B458" s="2164"/>
      <c r="C458" s="1557"/>
      <c r="D458" s="1575" t="s">
        <v>1001</v>
      </c>
      <c r="E458" s="1694"/>
      <c r="F458" s="1557"/>
      <c r="G458" s="1695" t="s">
        <v>416</v>
      </c>
      <c r="H458" s="1694">
        <f>ROUND(SUM(H456:H457),2)</f>
        <v>4910.21</v>
      </c>
    </row>
    <row r="459" spans="1:8" ht="12.9" customHeight="1">
      <c r="A459" s="48"/>
      <c r="B459" s="2193"/>
      <c r="C459" s="14"/>
      <c r="D459" s="192"/>
      <c r="E459" s="1687"/>
      <c r="F459" s="14"/>
      <c r="G459" s="1688"/>
      <c r="H459" s="1687"/>
    </row>
    <row r="460" spans="1:8" s="2165" customFormat="1" ht="12.9" customHeight="1">
      <c r="A460" s="48"/>
      <c r="B460" s="2193"/>
      <c r="C460" s="14"/>
      <c r="D460" s="192"/>
      <c r="E460" s="1687"/>
      <c r="F460" s="14"/>
      <c r="G460" s="1688"/>
      <c r="H460" s="1687"/>
    </row>
    <row r="461" spans="1:8" s="2165" customFormat="1" ht="12.9" customHeight="1">
      <c r="A461" s="137"/>
      <c r="B461" s="2194"/>
      <c r="C461" s="128"/>
      <c r="D461" s="12"/>
      <c r="E461" s="128"/>
      <c r="F461" s="137"/>
      <c r="G461" s="479"/>
      <c r="H461" s="128"/>
    </row>
    <row r="462" spans="1:8" ht="12.9" customHeight="1">
      <c r="A462" s="48"/>
      <c r="B462" s="297" t="str">
        <f>'Lead- Input sheet '!B44</f>
        <v xml:space="preserve">  Assistant Exc.Engineer  </v>
      </c>
      <c r="C462" s="2165"/>
      <c r="D462" s="2195"/>
      <c r="E462" s="2165"/>
      <c r="F462" s="2195" t="str">
        <f>'Lead- Input sheet '!H44</f>
        <v>Deputy Executive Engineer</v>
      </c>
      <c r="G462" s="2165"/>
      <c r="H462" s="2165"/>
    </row>
    <row r="463" spans="1:8">
      <c r="A463" s="48"/>
      <c r="B463" s="297" t="str">
        <f>'Lead- Input sheet '!B45</f>
        <v>PR MPP Kalwakurthy</v>
      </c>
      <c r="C463" s="2165"/>
      <c r="D463" s="2195"/>
      <c r="E463" s="2165"/>
      <c r="F463" s="2195" t="str">
        <f>'Lead- Input sheet '!H45</f>
        <v>PR SD Kalwakurthy</v>
      </c>
      <c r="G463" s="2165"/>
      <c r="H463" s="2165"/>
    </row>
    <row r="464" spans="1:8">
      <c r="A464" s="48"/>
      <c r="B464" s="297"/>
      <c r="C464" s="2165"/>
      <c r="D464" s="2195"/>
      <c r="E464" s="2165"/>
      <c r="F464" s="2195"/>
      <c r="G464" s="2165"/>
      <c r="H464" s="2165"/>
    </row>
    <row r="465" spans="1:8" ht="11.25" customHeight="1">
      <c r="A465" s="48"/>
      <c r="B465" s="2193"/>
      <c r="C465" s="2165"/>
      <c r="D465" s="2165"/>
      <c r="E465" s="2165"/>
      <c r="F465" s="48"/>
      <c r="G465" s="2196"/>
      <c r="H465" s="2165"/>
    </row>
    <row r="466" spans="1:8" hidden="1">
      <c r="B466" s="297"/>
      <c r="C466" s="2165"/>
    </row>
    <row r="467" spans="1:8" hidden="1">
      <c r="B467" s="297"/>
      <c r="C467" s="2165"/>
    </row>
    <row r="468" spans="1:8" ht="21" hidden="1">
      <c r="B468" s="2197" t="s">
        <v>1789</v>
      </c>
      <c r="C468" s="1675" t="s">
        <v>1790</v>
      </c>
      <c r="D468" s="1676" t="s">
        <v>1791</v>
      </c>
      <c r="E468" s="1677"/>
      <c r="F468" s="1677"/>
    </row>
    <row r="469" spans="1:8" hidden="1">
      <c r="B469" s="2198"/>
      <c r="C469" s="1675"/>
      <c r="D469" s="1678" t="s">
        <v>1394</v>
      </c>
      <c r="E469" s="1677"/>
      <c r="F469" s="1677"/>
    </row>
    <row r="470" spans="1:8" hidden="1">
      <c r="B470" s="2198"/>
      <c r="C470" s="1675"/>
      <c r="D470" s="1676" t="s">
        <v>1395</v>
      </c>
      <c r="E470" s="1677"/>
      <c r="F470" s="1677"/>
    </row>
    <row r="471" spans="1:8" hidden="1">
      <c r="B471" s="2198"/>
      <c r="C471" s="1675"/>
      <c r="D471" s="1679" t="s">
        <v>1792</v>
      </c>
      <c r="E471" s="1677" t="s">
        <v>1417</v>
      </c>
      <c r="F471" s="1677">
        <v>0.7</v>
      </c>
      <c r="G471" s="479">
        <v>170</v>
      </c>
      <c r="H471" s="128">
        <f>F471*G471</f>
        <v>118.99999999999999</v>
      </c>
    </row>
    <row r="472" spans="1:8" hidden="1">
      <c r="B472" s="2198"/>
      <c r="C472" s="1675"/>
      <c r="D472" s="1676" t="s">
        <v>653</v>
      </c>
      <c r="E472" s="1677"/>
      <c r="F472" s="1677"/>
    </row>
    <row r="473" spans="1:8" hidden="1">
      <c r="B473" s="2198"/>
      <c r="C473" s="1675"/>
      <c r="D473" s="1679" t="s">
        <v>989</v>
      </c>
      <c r="E473" s="1680" t="s">
        <v>1047</v>
      </c>
      <c r="F473" s="1677">
        <v>0.7</v>
      </c>
      <c r="G473" s="479">
        <f>'Lead- Input sheet '!R31</f>
        <v>680</v>
      </c>
      <c r="H473" s="128">
        <f>F473*G473</f>
        <v>475.99999999999994</v>
      </c>
    </row>
    <row r="474" spans="1:8" hidden="1">
      <c r="B474" s="2198"/>
      <c r="C474" s="1675"/>
      <c r="D474" s="1679" t="s">
        <v>1166</v>
      </c>
      <c r="E474" s="1680"/>
      <c r="F474" s="1681"/>
    </row>
    <row r="475" spans="1:8" ht="22.8" hidden="1">
      <c r="B475" s="2198"/>
      <c r="C475" s="1675" t="s">
        <v>1793</v>
      </c>
      <c r="D475" s="1676" t="s">
        <v>1794</v>
      </c>
      <c r="E475" s="1677"/>
      <c r="F475" s="1681"/>
    </row>
    <row r="476" spans="1:8" hidden="1">
      <c r="B476" s="2198"/>
      <c r="C476" s="1675"/>
      <c r="D476" s="1676" t="s">
        <v>1395</v>
      </c>
      <c r="E476" s="1677"/>
      <c r="F476" s="1681"/>
    </row>
    <row r="477" spans="1:8" ht="22.8" hidden="1">
      <c r="B477" s="2198"/>
      <c r="C477" s="1675"/>
      <c r="D477" s="1679" t="s">
        <v>1795</v>
      </c>
      <c r="E477" s="1677" t="s">
        <v>1417</v>
      </c>
      <c r="F477" s="1681">
        <v>0.8</v>
      </c>
      <c r="G477" s="479">
        <v>113</v>
      </c>
      <c r="H477" s="128">
        <f>G477*F477</f>
        <v>90.4</v>
      </c>
    </row>
    <row r="478" spans="1:8" hidden="1">
      <c r="B478" s="2198"/>
      <c r="C478" s="1675"/>
      <c r="D478" s="1676" t="s">
        <v>653</v>
      </c>
      <c r="E478" s="1677"/>
      <c r="F478" s="1681"/>
      <c r="H478" s="128">
        <f>G478*F478</f>
        <v>0</v>
      </c>
    </row>
    <row r="479" spans="1:8" hidden="1">
      <c r="B479" s="2198"/>
      <c r="C479" s="1675"/>
      <c r="D479" s="1679" t="s">
        <v>989</v>
      </c>
      <c r="E479" s="1680" t="s">
        <v>1047</v>
      </c>
      <c r="F479" s="1681">
        <v>1.1000000000000001</v>
      </c>
      <c r="G479" s="479">
        <v>445</v>
      </c>
      <c r="H479" s="128">
        <f>G479*F479</f>
        <v>489.50000000000006</v>
      </c>
    </row>
    <row r="480" spans="1:8" hidden="1">
      <c r="B480" s="2198"/>
      <c r="C480" s="1675"/>
      <c r="D480" s="1679" t="s">
        <v>1166</v>
      </c>
      <c r="E480" s="1677"/>
      <c r="F480" s="1681"/>
    </row>
    <row r="481" spans="1:8" hidden="1">
      <c r="B481" s="2198"/>
      <c r="C481" s="1675"/>
      <c r="D481" s="1676" t="s">
        <v>1398</v>
      </c>
      <c r="E481" s="1680"/>
      <c r="F481" s="1681"/>
      <c r="H481" s="128">
        <f>SUM(H471:H480)</f>
        <v>1174.8999999999999</v>
      </c>
    </row>
    <row r="482" spans="1:8" hidden="1">
      <c r="B482" s="2198"/>
      <c r="C482" s="1675"/>
      <c r="D482" s="1679" t="s">
        <v>1796</v>
      </c>
      <c r="E482" s="1680"/>
      <c r="F482" s="1681"/>
      <c r="H482" s="128">
        <f>ROUND(H481/10,2)</f>
        <v>117.49</v>
      </c>
    </row>
    <row r="483" spans="1:8" ht="69" hidden="1" customHeight="1">
      <c r="B483" s="2198"/>
      <c r="C483" s="1675" t="s">
        <v>1781</v>
      </c>
      <c r="D483" s="1678" t="s">
        <v>1782</v>
      </c>
      <c r="E483" s="1682"/>
      <c r="F483" s="1680"/>
      <c r="G483" s="2199"/>
      <c r="H483" s="2199"/>
    </row>
    <row r="484" spans="1:8" ht="30" hidden="1" customHeight="1">
      <c r="B484" s="2198"/>
      <c r="C484" s="1675"/>
      <c r="D484" s="1683" t="s">
        <v>526</v>
      </c>
      <c r="E484" s="1682"/>
      <c r="F484" s="1680"/>
      <c r="G484" s="2199"/>
      <c r="H484" s="2199"/>
    </row>
    <row r="485" spans="1:8" ht="12.9" hidden="1" customHeight="1">
      <c r="B485" s="2198"/>
      <c r="C485" s="1675"/>
      <c r="D485" s="2200" t="s">
        <v>1783</v>
      </c>
      <c r="E485" s="1682" t="s">
        <v>1473</v>
      </c>
      <c r="F485" s="1680">
        <v>2</v>
      </c>
      <c r="G485" s="2199">
        <v>220</v>
      </c>
      <c r="H485" s="2199">
        <f>G485*F485</f>
        <v>440</v>
      </c>
    </row>
    <row r="486" spans="1:8" ht="12.9" hidden="1" customHeight="1">
      <c r="B486" s="2198"/>
      <c r="C486" s="1675"/>
      <c r="D486" s="2200" t="s">
        <v>1784</v>
      </c>
      <c r="E486" s="1682" t="s">
        <v>1473</v>
      </c>
      <c r="F486" s="1680">
        <v>2</v>
      </c>
      <c r="G486" s="2201">
        <v>4500</v>
      </c>
      <c r="H486" s="2199">
        <f t="shared" ref="H486:H494" si="6">G486*F486</f>
        <v>9000</v>
      </c>
    </row>
    <row r="487" spans="1:8" ht="12.9" hidden="1" customHeight="1">
      <c r="B487" s="2198"/>
      <c r="C487" s="1675"/>
      <c r="D487" s="2202" t="s">
        <v>1785</v>
      </c>
      <c r="E487" s="1682" t="s">
        <v>1473</v>
      </c>
      <c r="F487" s="1680">
        <v>5.3999999999999999E-2</v>
      </c>
      <c r="G487" s="2199">
        <v>5000</v>
      </c>
      <c r="H487" s="2199">
        <f t="shared" si="6"/>
        <v>270</v>
      </c>
    </row>
    <row r="488" spans="1:8" ht="12.9" hidden="1" customHeight="1">
      <c r="B488" s="2198">
        <f>PI()*(0.165*5.8+0.1397*3.1+0.1143*3.1)</f>
        <v>5.4801942249220348</v>
      </c>
      <c r="C488" s="1675"/>
      <c r="D488" s="1678" t="s">
        <v>1786</v>
      </c>
      <c r="E488" s="1682" t="s">
        <v>1478</v>
      </c>
      <c r="F488" s="1680">
        <v>5.48</v>
      </c>
      <c r="G488" s="2199">
        <f>H482</f>
        <v>117.49</v>
      </c>
      <c r="H488" s="2199">
        <f t="shared" si="6"/>
        <v>643.84519999999998</v>
      </c>
    </row>
    <row r="489" spans="1:8" ht="12.9" hidden="1" customHeight="1">
      <c r="B489" s="2198"/>
      <c r="C489" s="1675"/>
      <c r="D489" s="2200" t="s">
        <v>1787</v>
      </c>
      <c r="E489" s="1682" t="s">
        <v>334</v>
      </c>
      <c r="F489" s="1680">
        <v>1</v>
      </c>
      <c r="G489" s="2199">
        <v>75</v>
      </c>
      <c r="H489" s="2199">
        <f t="shared" si="6"/>
        <v>75</v>
      </c>
    </row>
    <row r="490" spans="1:8" ht="24" hidden="1" customHeight="1">
      <c r="B490" s="2198"/>
      <c r="C490" s="1675"/>
      <c r="D490" s="1683" t="s">
        <v>1150</v>
      </c>
      <c r="E490" s="1682"/>
      <c r="F490" s="1680"/>
      <c r="G490" s="2199"/>
      <c r="H490" s="2199"/>
    </row>
    <row r="491" spans="1:8" ht="12.9" hidden="1" customHeight="1">
      <c r="B491" s="2198"/>
      <c r="C491" s="1675"/>
      <c r="D491" s="1678" t="s">
        <v>513</v>
      </c>
      <c r="E491" s="1682" t="s">
        <v>1047</v>
      </c>
      <c r="F491" s="1680">
        <v>0.5</v>
      </c>
      <c r="G491" s="2199">
        <v>515</v>
      </c>
      <c r="H491" s="2199">
        <f t="shared" si="6"/>
        <v>257.5</v>
      </c>
    </row>
    <row r="492" spans="1:8" ht="12.9" hidden="1" customHeight="1">
      <c r="B492" s="2198"/>
      <c r="C492" s="1675"/>
      <c r="D492" s="1678" t="s">
        <v>1116</v>
      </c>
      <c r="E492" s="1682" t="s">
        <v>1047</v>
      </c>
      <c r="F492" s="1680">
        <v>4</v>
      </c>
      <c r="G492" s="2199">
        <v>400</v>
      </c>
      <c r="H492" s="2199">
        <f t="shared" si="6"/>
        <v>1600</v>
      </c>
    </row>
    <row r="493" spans="1:8" ht="12.9" hidden="1" customHeight="1">
      <c r="B493" s="2198"/>
      <c r="C493" s="1675"/>
      <c r="D493" s="1678" t="s">
        <v>1152</v>
      </c>
      <c r="E493" s="1682" t="s">
        <v>1047</v>
      </c>
      <c r="F493" s="1680">
        <v>0.5</v>
      </c>
      <c r="G493" s="2199">
        <v>405</v>
      </c>
      <c r="H493" s="2199">
        <f t="shared" si="6"/>
        <v>202.5</v>
      </c>
    </row>
    <row r="494" spans="1:8" ht="26.25" hidden="1" customHeight="1">
      <c r="B494" s="2198"/>
      <c r="C494" s="1675"/>
      <c r="D494" s="2200" t="s">
        <v>1788</v>
      </c>
      <c r="E494" s="1682"/>
      <c r="F494" s="1682">
        <v>0.2</v>
      </c>
      <c r="G494" s="2199">
        <f>SUM(H491:H493)</f>
        <v>2060</v>
      </c>
      <c r="H494" s="2199">
        <f t="shared" si="6"/>
        <v>412</v>
      </c>
    </row>
    <row r="495" spans="1:8" s="2165" customFormat="1" ht="12.9" hidden="1" customHeight="1">
      <c r="A495" s="137"/>
      <c r="B495" s="2198"/>
      <c r="C495" s="1675"/>
      <c r="D495" s="1683" t="s">
        <v>645</v>
      </c>
      <c r="E495" s="1682"/>
      <c r="F495" s="1680"/>
      <c r="G495" s="2199"/>
      <c r="H495" s="2199">
        <f>SUM(H485:H494)</f>
        <v>12900.8452</v>
      </c>
    </row>
    <row r="496" spans="1:8" s="2165" customFormat="1" ht="12.9" hidden="1" customHeight="1">
      <c r="A496" s="137"/>
      <c r="B496" s="2194"/>
      <c r="C496" s="128"/>
      <c r="D496" s="128"/>
      <c r="E496" s="128"/>
      <c r="F496" s="137"/>
      <c r="G496" s="479"/>
      <c r="H496" s="128"/>
    </row>
    <row r="497" spans="1:9" s="2165" customFormat="1" ht="114.75" hidden="1" customHeight="1">
      <c r="A497" s="137"/>
      <c r="B497" s="2198"/>
      <c r="C497" s="1675" t="s">
        <v>1864</v>
      </c>
      <c r="D497" s="1678" t="s">
        <v>1865</v>
      </c>
      <c r="E497" s="1682"/>
      <c r="F497" s="1680"/>
      <c r="G497" s="2199"/>
      <c r="H497" s="2199"/>
      <c r="I497" s="2199"/>
    </row>
    <row r="498" spans="1:9" hidden="1">
      <c r="B498" s="2198"/>
      <c r="C498" s="1675"/>
      <c r="D498" s="1683" t="s">
        <v>526</v>
      </c>
      <c r="E498" s="1682"/>
      <c r="F498" s="1680"/>
      <c r="G498" s="2199"/>
      <c r="H498" s="2199"/>
      <c r="I498" s="2199"/>
    </row>
    <row r="499" spans="1:9" s="2165" customFormat="1" hidden="1">
      <c r="A499" s="137"/>
      <c r="B499" s="2198" t="s">
        <v>1874</v>
      </c>
      <c r="C499" s="1675"/>
      <c r="D499" s="2200" t="s">
        <v>1866</v>
      </c>
      <c r="E499" s="1682" t="s">
        <v>338</v>
      </c>
      <c r="F499" s="1680">
        <v>29.07</v>
      </c>
      <c r="G499" s="2199">
        <v>59</v>
      </c>
      <c r="H499" s="2201">
        <f>F499*G499</f>
        <v>1715.13</v>
      </c>
      <c r="I499" s="2199"/>
    </row>
    <row r="500" spans="1:9" s="2165" customFormat="1" hidden="1">
      <c r="A500" s="137"/>
      <c r="B500" s="2198" t="s">
        <v>1874</v>
      </c>
      <c r="C500" s="1675"/>
      <c r="D500" s="2200" t="s">
        <v>1867</v>
      </c>
      <c r="E500" s="1682" t="s">
        <v>338</v>
      </c>
      <c r="F500" s="1680">
        <v>13</v>
      </c>
      <c r="G500" s="2199">
        <v>59</v>
      </c>
      <c r="H500" s="2201">
        <f t="shared" ref="H500:H506" si="7">F500*G500</f>
        <v>767</v>
      </c>
      <c r="I500" s="2199"/>
    </row>
    <row r="501" spans="1:9" s="2165" customFormat="1" hidden="1">
      <c r="A501" s="137"/>
      <c r="B501" s="2198" t="s">
        <v>1874</v>
      </c>
      <c r="C501" s="1675"/>
      <c r="D501" s="2202" t="s">
        <v>1868</v>
      </c>
      <c r="E501" s="1682" t="s">
        <v>338</v>
      </c>
      <c r="F501" s="1680">
        <v>13</v>
      </c>
      <c r="G501" s="2199">
        <v>59</v>
      </c>
      <c r="H501" s="2201">
        <f t="shared" si="7"/>
        <v>767</v>
      </c>
      <c r="I501" s="2199"/>
    </row>
    <row r="502" spans="1:9" hidden="1">
      <c r="B502" s="2198"/>
      <c r="C502" s="1675"/>
      <c r="D502" s="2202" t="s">
        <v>1869</v>
      </c>
      <c r="E502" s="1682" t="s">
        <v>334</v>
      </c>
      <c r="F502" s="1680">
        <v>12</v>
      </c>
      <c r="G502" s="2199">
        <v>6</v>
      </c>
      <c r="H502" s="2201">
        <f t="shared" si="7"/>
        <v>72</v>
      </c>
      <c r="I502" s="2199"/>
    </row>
    <row r="503" spans="1:9" hidden="1">
      <c r="B503" s="2198"/>
      <c r="C503" s="1675"/>
      <c r="D503" s="2202" t="s">
        <v>1870</v>
      </c>
      <c r="E503" s="1682" t="s">
        <v>1871</v>
      </c>
      <c r="F503" s="1680">
        <v>1</v>
      </c>
      <c r="G503" s="2199">
        <v>16.37</v>
      </c>
      <c r="H503" s="2201">
        <f t="shared" si="7"/>
        <v>16.37</v>
      </c>
      <c r="I503" s="2199"/>
    </row>
    <row r="504" spans="1:9" hidden="1">
      <c r="B504" s="2198"/>
      <c r="C504" s="1675"/>
      <c r="D504" s="1683" t="s">
        <v>1150</v>
      </c>
      <c r="E504" s="1682"/>
      <c r="F504" s="1680"/>
      <c r="G504" s="2199"/>
      <c r="H504" s="2201">
        <f t="shared" si="7"/>
        <v>0</v>
      </c>
      <c r="I504" s="2199"/>
    </row>
    <row r="505" spans="1:9" hidden="1">
      <c r="B505" s="2198"/>
      <c r="C505" s="1675"/>
      <c r="D505" s="1678" t="s">
        <v>1872</v>
      </c>
      <c r="E505" s="1682" t="s">
        <v>1047</v>
      </c>
      <c r="F505" s="1680">
        <v>0.5</v>
      </c>
      <c r="G505" s="2199">
        <v>425</v>
      </c>
      <c r="H505" s="2201">
        <f t="shared" si="7"/>
        <v>212.5</v>
      </c>
      <c r="I505" s="2199"/>
    </row>
    <row r="506" spans="1:9" hidden="1">
      <c r="B506" s="2198"/>
      <c r="C506" s="1675"/>
      <c r="D506" s="1678" t="s">
        <v>1116</v>
      </c>
      <c r="E506" s="1682" t="s">
        <v>1047</v>
      </c>
      <c r="F506" s="1680">
        <v>4</v>
      </c>
      <c r="G506" s="2199">
        <v>400</v>
      </c>
      <c r="H506" s="2201">
        <f t="shared" si="7"/>
        <v>1600</v>
      </c>
      <c r="I506" s="2199"/>
    </row>
    <row r="507" spans="1:9" hidden="1">
      <c r="B507" s="2198"/>
      <c r="C507" s="1675"/>
      <c r="D507" s="1683" t="s">
        <v>645</v>
      </c>
      <c r="E507" s="1682"/>
      <c r="F507" s="1680"/>
      <c r="G507" s="2199"/>
      <c r="H507" s="2201">
        <f>SUM(H499:H506)</f>
        <v>5150</v>
      </c>
      <c r="I507" s="2199"/>
    </row>
    <row r="508" spans="1:9" hidden="1">
      <c r="B508" s="2198"/>
      <c r="C508" s="1675"/>
      <c r="D508" s="1683" t="s">
        <v>1873</v>
      </c>
      <c r="E508" s="1682"/>
      <c r="F508" s="1680"/>
      <c r="G508" s="2199"/>
      <c r="H508" s="2199"/>
      <c r="I508" s="2199"/>
    </row>
    <row r="509" spans="1:9" hidden="1"/>
    <row r="510" spans="1:9" hidden="1"/>
    <row r="511" spans="1:9" hidden="1"/>
    <row r="512" spans="1:9" hidden="1"/>
    <row r="513" hidden="1"/>
    <row r="514" hidden="1"/>
    <row r="515" hidden="1"/>
    <row r="516" hidden="1"/>
    <row r="517" hidden="1"/>
  </sheetData>
  <mergeCells count="10">
    <mergeCell ref="A2:H2"/>
    <mergeCell ref="A1:H1"/>
    <mergeCell ref="I75:I76"/>
    <mergeCell ref="I77:I79"/>
    <mergeCell ref="D340:E340"/>
    <mergeCell ref="D178:G178"/>
    <mergeCell ref="D190:E190"/>
    <mergeCell ref="D194:G194"/>
    <mergeCell ref="D206:E206"/>
    <mergeCell ref="D317:G317"/>
  </mergeCells>
  <pageMargins left="0.55118110236220474" right="0.23622047244094491" top="0.19685039370078741" bottom="0.51181102362204722" header="0.19685039370078741" footer="0.31496062992125984"/>
  <pageSetup paperSize="9" scale="84" firstPageNumber="35" orientation="portrait" useFirstPageNumber="1" r:id="rId1"/>
  <headerFooter scaleWithDoc="0" alignWithMargins="0"/>
  <rowBreaks count="2" manualBreakCount="2">
    <brk id="145" max="7" man="1"/>
    <brk id="352" max="7" man="1"/>
  </rowBreaks>
  <colBreaks count="1" manualBreakCount="1">
    <brk id="8" max="374" man="1"/>
  </col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IT56"/>
  <sheetViews>
    <sheetView view="pageBreakPreview" zoomScaleNormal="86" zoomScaleSheetLayoutView="100" workbookViewId="0">
      <pane xSplit="2" ySplit="2" topLeftCell="C3" activePane="bottomRight" state="frozen"/>
      <selection pane="topRight" activeCell="C1" sqref="C1"/>
      <selection pane="bottomLeft" activeCell="A2" sqref="A2"/>
      <selection pane="bottomRight" activeCell="A2" sqref="A2:R2"/>
    </sheetView>
  </sheetViews>
  <sheetFormatPr defaultColWidth="9.109375" defaultRowHeight="12.3"/>
  <cols>
    <col min="1" max="1" width="5.88671875" style="1255" customWidth="1"/>
    <col min="2" max="2" width="36.6640625" style="1249" customWidth="1"/>
    <col min="3" max="3" width="6.44140625" style="1504" customWidth="1"/>
    <col min="4" max="4" width="5.33203125" style="1504" customWidth="1"/>
    <col min="5" max="5" width="16.5546875" style="1504" customWidth="1"/>
    <col min="6" max="6" width="7.44140625" style="1504" customWidth="1"/>
    <col min="7" max="7" width="7.109375" style="1504" customWidth="1"/>
    <col min="8" max="8" width="7.5546875" style="1504" customWidth="1"/>
    <col min="9" max="9" width="8.44140625" style="1504" customWidth="1"/>
    <col min="10" max="10" width="6.44140625" style="1504" customWidth="1"/>
    <col min="11" max="11" width="7" style="1504" customWidth="1"/>
    <col min="12" max="12" width="8.88671875" style="2159" customWidth="1"/>
    <col min="13" max="13" width="6.6640625" style="1504" customWidth="1"/>
    <col min="14" max="14" width="6" style="1504" customWidth="1"/>
    <col min="15" max="15" width="6.33203125" style="1504" customWidth="1"/>
    <col min="16" max="16" width="8.6640625" style="1504" customWidth="1"/>
    <col min="17" max="17" width="9.5546875" style="1504" customWidth="1"/>
    <col min="18" max="18" width="12.109375" style="1504" customWidth="1"/>
    <col min="19" max="254" width="9.109375" style="1249"/>
    <col min="255" max="16384" width="9.109375" style="1248"/>
  </cols>
  <sheetData>
    <row r="1" spans="1:20" ht="25.2" customHeight="1">
      <c r="C1" s="2691" t="s">
        <v>3573</v>
      </c>
      <c r="D1" s="2691"/>
      <c r="E1" s="2691"/>
      <c r="F1" s="2691"/>
      <c r="G1" s="2691"/>
      <c r="H1" s="2691"/>
      <c r="I1" s="2691"/>
      <c r="J1" s="2691"/>
      <c r="K1" s="2691"/>
      <c r="L1" s="2691"/>
      <c r="M1" s="2691"/>
    </row>
    <row r="2" spans="1:20" ht="23.4" customHeight="1">
      <c r="A2" s="2694" t="str">
        <f>CONCATENATE(" Construction of  ",'input sheet'!C3," Building at ",'input sheet'!C6," (V) of ",'input sheet'!C7," (M) of ",'input sheet'!C9," District ")</f>
        <v xml:space="preserve"> Construction of  Anganwadi Building at Jeedipally Thanda (V) of Kalwakurthy (M) of Nagarkurnool District </v>
      </c>
      <c r="B2" s="2695"/>
      <c r="C2" s="2695"/>
      <c r="D2" s="2695"/>
      <c r="E2" s="2695"/>
      <c r="F2" s="2695"/>
      <c r="G2" s="2695"/>
      <c r="H2" s="2695"/>
      <c r="I2" s="2695"/>
      <c r="J2" s="2695"/>
      <c r="K2" s="2695"/>
      <c r="L2" s="2695"/>
      <c r="M2" s="2695"/>
      <c r="N2" s="2695"/>
      <c r="O2" s="2695"/>
      <c r="P2" s="2695"/>
      <c r="Q2" s="2695"/>
      <c r="R2" s="2695"/>
    </row>
    <row r="3" spans="1:20" ht="23.4" customHeight="1">
      <c r="A3" s="2160"/>
      <c r="B3" s="1474" t="s">
        <v>3562</v>
      </c>
      <c r="C3" s="1474"/>
      <c r="D3" s="1474" t="s">
        <v>2060</v>
      </c>
      <c r="E3" s="2161"/>
      <c r="F3" s="2162"/>
      <c r="G3" s="2162"/>
      <c r="H3" s="2162"/>
      <c r="I3" s="2162"/>
      <c r="J3" s="2162"/>
      <c r="K3" s="2162"/>
      <c r="L3" s="2162"/>
      <c r="M3" s="2162"/>
      <c r="N3" s="1474"/>
      <c r="O3" s="1474"/>
      <c r="P3" s="1474"/>
      <c r="Q3" s="1474"/>
      <c r="R3" s="1474"/>
    </row>
    <row r="4" spans="1:20" s="1250" customFormat="1" ht="9" customHeight="1">
      <c r="A4" s="2689" t="s">
        <v>516</v>
      </c>
      <c r="B4" s="2689" t="s">
        <v>517</v>
      </c>
      <c r="C4" s="2689" t="s">
        <v>518</v>
      </c>
      <c r="D4" s="2689" t="s">
        <v>519</v>
      </c>
      <c r="E4" s="2689" t="s">
        <v>1215</v>
      </c>
      <c r="F4" s="2689" t="s">
        <v>1809</v>
      </c>
      <c r="G4" s="2689" t="s">
        <v>1878</v>
      </c>
      <c r="H4" s="2689" t="s">
        <v>520</v>
      </c>
      <c r="I4" s="2696" t="s">
        <v>521</v>
      </c>
      <c r="J4" s="2696"/>
      <c r="K4" s="2696"/>
      <c r="L4" s="2696" t="s">
        <v>894</v>
      </c>
      <c r="M4" s="2696"/>
      <c r="N4" s="2696"/>
      <c r="O4" s="2696"/>
      <c r="P4" s="2689" t="s">
        <v>1606</v>
      </c>
      <c r="Q4" s="2689" t="s">
        <v>1607</v>
      </c>
      <c r="R4" s="2689" t="s">
        <v>3159</v>
      </c>
    </row>
    <row r="5" spans="1:20" s="1250" customFormat="1" ht="59.25" customHeight="1">
      <c r="A5" s="2690"/>
      <c r="B5" s="2690"/>
      <c r="C5" s="2690"/>
      <c r="D5" s="2697"/>
      <c r="E5" s="2690"/>
      <c r="F5" s="2690"/>
      <c r="G5" s="2690"/>
      <c r="H5" s="2690"/>
      <c r="I5" s="1475" t="s">
        <v>3572</v>
      </c>
      <c r="J5" s="1475" t="s">
        <v>1605</v>
      </c>
      <c r="K5" s="1475" t="s">
        <v>486</v>
      </c>
      <c r="L5" s="2156" t="s">
        <v>1334</v>
      </c>
      <c r="M5" s="1475" t="s">
        <v>1627</v>
      </c>
      <c r="N5" s="1475" t="s">
        <v>3087</v>
      </c>
      <c r="O5" s="1475" t="s">
        <v>1630</v>
      </c>
      <c r="P5" s="2690"/>
      <c r="Q5" s="2690"/>
      <c r="R5" s="2690"/>
    </row>
    <row r="6" spans="1:20" s="1251" customFormat="1" ht="12.9">
      <c r="A6" s="1476">
        <v>1</v>
      </c>
      <c r="B6" s="1476">
        <f>A6+1</f>
        <v>2</v>
      </c>
      <c r="C6" s="1495">
        <f t="shared" ref="C6:L6" si="0">B6+1</f>
        <v>3</v>
      </c>
      <c r="D6" s="1495">
        <f t="shared" si="0"/>
        <v>4</v>
      </c>
      <c r="E6" s="1495">
        <f t="shared" si="0"/>
        <v>5</v>
      </c>
      <c r="F6" s="1495">
        <f t="shared" si="0"/>
        <v>6</v>
      </c>
      <c r="G6" s="1495">
        <f t="shared" si="0"/>
        <v>7</v>
      </c>
      <c r="H6" s="1495">
        <f t="shared" si="0"/>
        <v>8</v>
      </c>
      <c r="I6" s="1495">
        <f t="shared" si="0"/>
        <v>9</v>
      </c>
      <c r="J6" s="1495">
        <f t="shared" si="0"/>
        <v>10</v>
      </c>
      <c r="K6" s="1495">
        <f t="shared" si="0"/>
        <v>11</v>
      </c>
      <c r="L6" s="2157">
        <f t="shared" si="0"/>
        <v>12</v>
      </c>
      <c r="M6" s="1495">
        <f>L6+1</f>
        <v>13</v>
      </c>
      <c r="N6" s="1495">
        <f>L6+1</f>
        <v>13</v>
      </c>
      <c r="O6" s="1495">
        <f>M6+1</f>
        <v>14</v>
      </c>
      <c r="P6" s="1495">
        <f>O6+1</f>
        <v>15</v>
      </c>
      <c r="Q6" s="1495">
        <f>P6+1</f>
        <v>16</v>
      </c>
      <c r="R6" s="1495">
        <f>Q6+1</f>
        <v>17</v>
      </c>
    </row>
    <row r="7" spans="1:20" s="1251" customFormat="1" ht="16.5" customHeight="1">
      <c r="A7" s="1476"/>
      <c r="B7" s="1476"/>
      <c r="C7" s="1495"/>
      <c r="D7" s="1495"/>
      <c r="E7" s="1495"/>
      <c r="F7" s="1495"/>
      <c r="G7" s="1495"/>
      <c r="H7" s="1495"/>
      <c r="I7" s="1495"/>
      <c r="J7" s="1495"/>
      <c r="K7" s="1495"/>
      <c r="L7" s="2157"/>
      <c r="M7" s="1479"/>
      <c r="N7" s="1479"/>
      <c r="O7" s="1495"/>
      <c r="P7" s="1495"/>
      <c r="Q7" s="1495"/>
      <c r="R7" s="1495"/>
    </row>
    <row r="8" spans="1:20" ht="20.399999999999999" customHeight="1">
      <c r="A8" s="1474">
        <v>1</v>
      </c>
      <c r="B8" s="1477" t="s">
        <v>3565</v>
      </c>
      <c r="C8" s="1478">
        <v>183</v>
      </c>
      <c r="D8" s="1478" t="s">
        <v>1037</v>
      </c>
      <c r="E8" s="1494" t="s">
        <v>1212</v>
      </c>
      <c r="F8" s="1478"/>
      <c r="G8" s="1478"/>
      <c r="H8" s="1479" t="s">
        <v>524</v>
      </c>
      <c r="I8" s="1479"/>
      <c r="J8" s="1479"/>
      <c r="K8" s="1479"/>
      <c r="L8" s="2149">
        <v>5200</v>
      </c>
      <c r="M8" s="1479"/>
      <c r="N8" s="1479">
        <f>+L8*28%</f>
        <v>1456.0000000000002</v>
      </c>
      <c r="O8" s="1479"/>
      <c r="P8" s="1479"/>
      <c r="Q8" s="1479"/>
      <c r="R8" s="1479">
        <f>SUM(K8+L8+M8+N8+P8+Q8,)</f>
        <v>6656</v>
      </c>
    </row>
    <row r="9" spans="1:20" ht="20.399999999999999" customHeight="1">
      <c r="A9" s="1474">
        <f>A8+1</f>
        <v>2</v>
      </c>
      <c r="B9" s="1477" t="s">
        <v>3566</v>
      </c>
      <c r="C9" s="1478">
        <v>193</v>
      </c>
      <c r="D9" s="1478" t="s">
        <v>1037</v>
      </c>
      <c r="E9" s="1494" t="s">
        <v>1212</v>
      </c>
      <c r="F9" s="1478"/>
      <c r="G9" s="1478"/>
      <c r="H9" s="1479" t="s">
        <v>524</v>
      </c>
      <c r="I9" s="1479"/>
      <c r="J9" s="1479"/>
      <c r="K9" s="1479"/>
      <c r="L9" s="2149">
        <v>51000</v>
      </c>
      <c r="M9" s="1479"/>
      <c r="N9" s="1479">
        <f>+L9*18%</f>
        <v>9180</v>
      </c>
      <c r="O9" s="1479"/>
      <c r="P9" s="1479"/>
      <c r="Q9" s="1479"/>
      <c r="R9" s="1479">
        <f>SUM(K9+L9+M9+N9+P9+Q9,)</f>
        <v>60180</v>
      </c>
    </row>
    <row r="10" spans="1:20" ht="20.399999999999999" customHeight="1">
      <c r="A10" s="1474">
        <f t="shared" ref="A10:A36" si="1">A9+1</f>
        <v>3</v>
      </c>
      <c r="B10" s="1477" t="s">
        <v>3567</v>
      </c>
      <c r="C10" s="1480"/>
      <c r="D10" s="1478"/>
      <c r="E10" s="1494"/>
      <c r="F10" s="1478"/>
      <c r="G10" s="1478"/>
      <c r="H10" s="1479"/>
      <c r="I10" s="1479"/>
      <c r="J10" s="1479"/>
      <c r="K10" s="1479"/>
      <c r="L10" s="2149">
        <v>59000</v>
      </c>
      <c r="M10" s="1479"/>
      <c r="N10" s="1479">
        <f>+L10*18%</f>
        <v>10620</v>
      </c>
      <c r="O10" s="1479"/>
      <c r="P10" s="1479"/>
      <c r="Q10" s="1479"/>
      <c r="R10" s="1479">
        <f>SUM(K10+L10+M10+N10+P10+Q10,)</f>
        <v>69620</v>
      </c>
    </row>
    <row r="11" spans="1:20" ht="20.399999999999999" customHeight="1">
      <c r="A11" s="1474">
        <f t="shared" si="1"/>
        <v>4</v>
      </c>
      <c r="B11" s="1477" t="s">
        <v>485</v>
      </c>
      <c r="C11" s="1474" t="str">
        <f>F11</f>
        <v>36.a</v>
      </c>
      <c r="D11" s="1478" t="s">
        <v>525</v>
      </c>
      <c r="E11" s="1797" t="str">
        <f>'input sheet'!$C$13</f>
        <v>Dindi Vagu</v>
      </c>
      <c r="F11" s="1478" t="s">
        <v>1806</v>
      </c>
      <c r="G11" s="1478">
        <v>32</v>
      </c>
      <c r="H11" s="1481">
        <f>'input sheet'!$D$13</f>
        <v>19</v>
      </c>
      <c r="I11" s="1479">
        <f>LOOKUP(H11,'Conveyance 25-26'!D4:E303)-'Conveyance 25-26'!$E$4</f>
        <v>326.8</v>
      </c>
      <c r="J11" s="1479">
        <f>I11-I11/1.13615</f>
        <v>39.161924041719828</v>
      </c>
      <c r="K11" s="1479">
        <f t="shared" ref="K11:K24" si="2">I11-J11</f>
        <v>287.63807595828018</v>
      </c>
      <c r="L11" s="2149">
        <v>952</v>
      </c>
      <c r="M11" s="1479"/>
      <c r="N11" s="1479"/>
      <c r="O11" s="1479"/>
      <c r="P11" s="1479"/>
      <c r="Q11" s="1479"/>
      <c r="R11" s="1479">
        <f>SUM(K11+L11+M11+N11+P11+Q11,)</f>
        <v>1239.6380759582803</v>
      </c>
      <c r="T11" s="1249">
        <f>1.1+1.05</f>
        <v>2.1500000000000004</v>
      </c>
    </row>
    <row r="12" spans="1:20" ht="20.399999999999999" customHeight="1">
      <c r="A12" s="1474">
        <f t="shared" si="1"/>
        <v>5</v>
      </c>
      <c r="B12" s="1477" t="s">
        <v>1104</v>
      </c>
      <c r="C12" s="1474" t="s">
        <v>1807</v>
      </c>
      <c r="D12" s="1478" t="s">
        <v>525</v>
      </c>
      <c r="E12" s="1797" t="str">
        <f>'input sheet'!$C$13</f>
        <v>Dindi Vagu</v>
      </c>
      <c r="F12" s="1478" t="s">
        <v>1807</v>
      </c>
      <c r="G12" s="1478">
        <v>32</v>
      </c>
      <c r="H12" s="1481">
        <f>'input sheet'!$D$13</f>
        <v>19</v>
      </c>
      <c r="I12" s="1479">
        <f>LOOKUP(H12,'Conveyance 25-26'!D5:E304)-'Conveyance 25-26'!$E$4</f>
        <v>326.8</v>
      </c>
      <c r="J12" s="1479">
        <f t="shared" ref="J12:J27" si="3">I12-I12/1.13615</f>
        <v>39.161924041719828</v>
      </c>
      <c r="K12" s="1479">
        <f t="shared" si="2"/>
        <v>287.63807595828018</v>
      </c>
      <c r="L12" s="2149">
        <v>723</v>
      </c>
      <c r="M12" s="1479"/>
      <c r="N12" s="1479"/>
      <c r="O12" s="1479"/>
      <c r="P12" s="1479"/>
      <c r="Q12" s="1479"/>
      <c r="R12" s="1479">
        <f t="shared" ref="R12:R27" si="4">SUM(K12+L12+M12+N12+P12+Q12,)</f>
        <v>1010.6380759582802</v>
      </c>
      <c r="T12" s="1249">
        <f>+T11/2</f>
        <v>1.0750000000000002</v>
      </c>
    </row>
    <row r="13" spans="1:20" ht="20.399999999999999" customHeight="1">
      <c r="A13" s="1474">
        <f t="shared" si="1"/>
        <v>6</v>
      </c>
      <c r="B13" s="1477" t="s">
        <v>1576</v>
      </c>
      <c r="C13" s="1474" t="s">
        <v>1808</v>
      </c>
      <c r="D13" s="1478" t="s">
        <v>525</v>
      </c>
      <c r="E13" s="1797" t="str">
        <f>'input sheet'!$C$13</f>
        <v>Dindi Vagu</v>
      </c>
      <c r="F13" s="1478" t="s">
        <v>1808</v>
      </c>
      <c r="G13" s="1478">
        <v>32</v>
      </c>
      <c r="H13" s="1481">
        <f>'input sheet'!$D$13</f>
        <v>19</v>
      </c>
      <c r="I13" s="1479">
        <f>LOOKUP(H13,'Conveyance 25-26'!D6:E305)-'Conveyance 25-26'!$E$4</f>
        <v>326.8</v>
      </c>
      <c r="J13" s="1479">
        <f t="shared" si="3"/>
        <v>39.161924041719828</v>
      </c>
      <c r="K13" s="1479">
        <f t="shared" si="2"/>
        <v>287.63807595828018</v>
      </c>
      <c r="L13" s="2149">
        <v>723</v>
      </c>
      <c r="M13" s="1479"/>
      <c r="N13" s="1479"/>
      <c r="O13" s="1479"/>
      <c r="P13" s="1479"/>
      <c r="Q13" s="1479"/>
      <c r="R13" s="1479">
        <f t="shared" si="4"/>
        <v>1010.6380759582802</v>
      </c>
      <c r="T13" s="1249">
        <f>+T12*37*0.45</f>
        <v>17.898750000000003</v>
      </c>
    </row>
    <row r="14" spans="1:20" ht="20.399999999999999" customHeight="1">
      <c r="A14" s="1474">
        <f t="shared" si="1"/>
        <v>7</v>
      </c>
      <c r="B14" s="1477" t="s">
        <v>2644</v>
      </c>
      <c r="C14" s="1474" t="s">
        <v>1808</v>
      </c>
      <c r="D14" s="1478" t="s">
        <v>525</v>
      </c>
      <c r="E14" s="1478" t="str">
        <f>'input sheet'!C16</f>
        <v>jadcherla</v>
      </c>
      <c r="F14" s="1478" t="s">
        <v>1808</v>
      </c>
      <c r="G14" s="1478">
        <v>32</v>
      </c>
      <c r="H14" s="1481">
        <f>'input sheet'!D16</f>
        <v>36</v>
      </c>
      <c r="I14" s="1479">
        <f>LOOKUP(H14,'Conveyance 25-26'!A4:B303)-'Conveyance 25-26'!$B$4</f>
        <v>616.40000000000009</v>
      </c>
      <c r="J14" s="1479">
        <f>I14-I14/1.13615</f>
        <v>73.866003608678398</v>
      </c>
      <c r="K14" s="1479">
        <f>I14-J14</f>
        <v>542.53399639132169</v>
      </c>
      <c r="L14" s="2149">
        <v>676</v>
      </c>
      <c r="M14" s="1479"/>
      <c r="N14" s="1479"/>
      <c r="O14" s="1479"/>
      <c r="P14" s="1479"/>
      <c r="Q14" s="1479"/>
      <c r="R14" s="1479">
        <f>SUM(K14+L14+M14+N14+P14+Q14,)</f>
        <v>1218.5339963913216</v>
      </c>
      <c r="T14" s="1249">
        <f>30*0.23*1.5</f>
        <v>10.350000000000001</v>
      </c>
    </row>
    <row r="15" spans="1:20" ht="20.399999999999999" customHeight="1">
      <c r="A15" s="1474">
        <f>A13+1</f>
        <v>7</v>
      </c>
      <c r="B15" s="1477" t="s">
        <v>2585</v>
      </c>
      <c r="C15" s="1478">
        <v>1</v>
      </c>
      <c r="D15" s="1478" t="s">
        <v>922</v>
      </c>
      <c r="E15" s="1494" t="str">
        <f>'input sheet'!C18</f>
        <v>Jp Nagar</v>
      </c>
      <c r="F15" s="1496" t="s">
        <v>1604</v>
      </c>
      <c r="G15" s="1478">
        <v>51</v>
      </c>
      <c r="H15" s="1481">
        <f>'input sheet'!D18</f>
        <v>8</v>
      </c>
      <c r="I15" s="1479">
        <f>LOOKUP(H15,'Conveyance 25-26'!J4:K303)-'Conveyance 25-26'!K4</f>
        <v>206.60000000000005</v>
      </c>
      <c r="J15" s="1479">
        <f t="shared" si="3"/>
        <v>24.75781366896976</v>
      </c>
      <c r="K15" s="1479">
        <f t="shared" si="2"/>
        <v>181.84218633103029</v>
      </c>
      <c r="L15" s="2149">
        <v>9000</v>
      </c>
      <c r="M15" s="1479"/>
      <c r="N15" s="1479"/>
      <c r="O15" s="1479"/>
      <c r="P15" s="1479">
        <f>85.2/1.13615</f>
        <v>74.990098138450037</v>
      </c>
      <c r="Q15" s="1479">
        <f>85.2/1.13615</f>
        <v>74.990098138450037</v>
      </c>
      <c r="R15" s="1479">
        <f t="shared" si="4"/>
        <v>9331.822382607932</v>
      </c>
      <c r="T15" s="1249">
        <f>7*0.23*1.5</f>
        <v>2.415</v>
      </c>
    </row>
    <row r="16" spans="1:20" ht="20.399999999999999" customHeight="1">
      <c r="A16" s="1474">
        <f t="shared" si="1"/>
        <v>8</v>
      </c>
      <c r="B16" s="1482" t="s">
        <v>3570</v>
      </c>
      <c r="C16" s="1478">
        <v>1</v>
      </c>
      <c r="D16" s="1478" t="s">
        <v>922</v>
      </c>
      <c r="E16" s="1494" t="str">
        <f>'input sheet'!C19</f>
        <v>jadcherla</v>
      </c>
      <c r="F16" s="1496" t="s">
        <v>1604</v>
      </c>
      <c r="G16" s="1478">
        <v>51</v>
      </c>
      <c r="H16" s="1481">
        <f>'input sheet'!D19</f>
        <v>36</v>
      </c>
      <c r="I16" s="1479">
        <f>LOOKUP(H16,'Conveyance 25-26'!J4:K304)-'Conveyance 25-26'!K4</f>
        <v>984.19999999999948</v>
      </c>
      <c r="J16" s="1479">
        <f>I16-I16/1.13615</f>
        <v>117.9411433349469</v>
      </c>
      <c r="K16" s="1479">
        <f t="shared" si="2"/>
        <v>866.25885666505258</v>
      </c>
      <c r="L16" s="2149">
        <v>30000</v>
      </c>
      <c r="M16" s="1479"/>
      <c r="N16" s="1479"/>
      <c r="O16" s="1479"/>
      <c r="P16" s="1479">
        <f>85.2/1.13615</f>
        <v>74.990098138450037</v>
      </c>
      <c r="Q16" s="1479">
        <f>85.2/1.13615</f>
        <v>74.990098138450037</v>
      </c>
      <c r="R16" s="1479">
        <f t="shared" si="4"/>
        <v>31016.23905294195</v>
      </c>
      <c r="T16" s="1249">
        <f>6*0.35*0.12*1.5</f>
        <v>0.37799999999999989</v>
      </c>
    </row>
    <row r="17" spans="1:20" ht="20.399999999999999" customHeight="1">
      <c r="A17" s="1474">
        <v>9</v>
      </c>
      <c r="B17" s="1477" t="s">
        <v>1105</v>
      </c>
      <c r="C17" s="1480">
        <v>118</v>
      </c>
      <c r="D17" s="1478" t="s">
        <v>525</v>
      </c>
      <c r="E17" s="1494" t="str">
        <f>'input sheet'!$C$15</f>
        <v>Veldanda</v>
      </c>
      <c r="F17" s="1478" t="s">
        <v>1810</v>
      </c>
      <c r="G17" s="1478">
        <v>29</v>
      </c>
      <c r="H17" s="1483">
        <f>'input sheet'!$D$15</f>
        <v>18</v>
      </c>
      <c r="I17" s="1479">
        <f>LOOKUP(H17,'Conveyance 25-26'!A7:B306)-'Conveyance 25-26'!$B$4</f>
        <v>310.39999999999998</v>
      </c>
      <c r="J17" s="1479">
        <f t="shared" si="3"/>
        <v>37.19663776790037</v>
      </c>
      <c r="K17" s="1479">
        <f t="shared" si="2"/>
        <v>273.20336223209961</v>
      </c>
      <c r="L17" s="2149">
        <v>909</v>
      </c>
      <c r="M17" s="1479"/>
      <c r="N17" s="1479"/>
      <c r="O17" s="1479"/>
      <c r="P17" s="1479"/>
      <c r="Q17" s="1479"/>
      <c r="R17" s="1479">
        <f t="shared" si="4"/>
        <v>1182.2033622320996</v>
      </c>
      <c r="S17" s="1249">
        <v>40</v>
      </c>
      <c r="T17" s="1249">
        <f>30*1.5</f>
        <v>45</v>
      </c>
    </row>
    <row r="18" spans="1:20" s="1252" customFormat="1" ht="20.399999999999999" customHeight="1">
      <c r="A18" s="1474">
        <f t="shared" si="1"/>
        <v>10</v>
      </c>
      <c r="B18" s="1477" t="s">
        <v>1106</v>
      </c>
      <c r="C18" s="1480">
        <v>116</v>
      </c>
      <c r="D18" s="1478" t="s">
        <v>525</v>
      </c>
      <c r="E18" s="1494" t="str">
        <f>'input sheet'!$C$15</f>
        <v>Veldanda</v>
      </c>
      <c r="F18" s="1478" t="s">
        <v>1811</v>
      </c>
      <c r="G18" s="1478">
        <v>29</v>
      </c>
      <c r="H18" s="1483">
        <f>'input sheet'!$D$15</f>
        <v>18</v>
      </c>
      <c r="I18" s="1479">
        <f>LOOKUP(H18,'Conveyance 25-26'!A8:B307)-'Conveyance 25-26'!$B$4</f>
        <v>310.39999999999998</v>
      </c>
      <c r="J18" s="1479">
        <f t="shared" si="3"/>
        <v>37.19663776790037</v>
      </c>
      <c r="K18" s="1479">
        <f t="shared" si="2"/>
        <v>273.20336223209961</v>
      </c>
      <c r="L18" s="2149">
        <v>1220</v>
      </c>
      <c r="M18" s="1479"/>
      <c r="N18" s="1479"/>
      <c r="O18" s="1479"/>
      <c r="P18" s="1479"/>
      <c r="Q18" s="1479"/>
      <c r="R18" s="1479">
        <f t="shared" si="4"/>
        <v>1493.2033622320996</v>
      </c>
      <c r="S18" s="1252">
        <v>20</v>
      </c>
      <c r="T18" s="1252">
        <f>7*1.5</f>
        <v>10.5</v>
      </c>
    </row>
    <row r="19" spans="1:20" s="1252" customFormat="1" ht="20.399999999999999" customHeight="1">
      <c r="A19" s="1474">
        <f t="shared" si="1"/>
        <v>11</v>
      </c>
      <c r="B19" s="1477" t="s">
        <v>1628</v>
      </c>
      <c r="C19" s="1480"/>
      <c r="D19" s="1478" t="s">
        <v>525</v>
      </c>
      <c r="E19" s="1494" t="str">
        <f>'input sheet'!$C$15</f>
        <v>Veldanda</v>
      </c>
      <c r="F19" s="1478" t="s">
        <v>1812</v>
      </c>
      <c r="G19" s="1478">
        <v>29</v>
      </c>
      <c r="H19" s="1483">
        <f>'input sheet'!$D$15</f>
        <v>18</v>
      </c>
      <c r="I19" s="1479">
        <f>LOOKUP(H19,'Conveyance 25-26'!A9:B308)-'Conveyance 25-26'!$B$4</f>
        <v>310.39999999999998</v>
      </c>
      <c r="J19" s="1479">
        <f t="shared" si="3"/>
        <v>37.19663776790037</v>
      </c>
      <c r="K19" s="1479">
        <f t="shared" si="2"/>
        <v>273.20336223209961</v>
      </c>
      <c r="L19" s="2149">
        <v>1070</v>
      </c>
      <c r="M19" s="1479"/>
      <c r="N19" s="1479"/>
      <c r="O19" s="1479"/>
      <c r="P19" s="1479"/>
      <c r="Q19" s="1479"/>
      <c r="R19" s="1479">
        <f t="shared" si="4"/>
        <v>1343.2033622320996</v>
      </c>
      <c r="S19" s="1252">
        <v>12</v>
      </c>
      <c r="T19" s="1252">
        <f>7*1.5</f>
        <v>10.5</v>
      </c>
    </row>
    <row r="20" spans="1:20" s="1252" customFormat="1" ht="20.399999999999999" customHeight="1">
      <c r="A20" s="1474">
        <f t="shared" si="1"/>
        <v>12</v>
      </c>
      <c r="B20" s="1477" t="s">
        <v>2613</v>
      </c>
      <c r="C20" s="1480"/>
      <c r="D20" s="1478" t="s">
        <v>525</v>
      </c>
      <c r="E20" s="1494" t="str">
        <f>'input sheet'!$C$15</f>
        <v>Veldanda</v>
      </c>
      <c r="F20" s="1478" t="s">
        <v>1812</v>
      </c>
      <c r="G20" s="1478">
        <v>29</v>
      </c>
      <c r="H20" s="1483">
        <f>'input sheet'!$D$15</f>
        <v>18</v>
      </c>
      <c r="I20" s="1479">
        <f>LOOKUP(H20,'Conveyance 25-26'!A10:B309)-'Conveyance 25-26'!$B$4</f>
        <v>310.39999999999998</v>
      </c>
      <c r="J20" s="1479">
        <f>I20-I20/1.13615</f>
        <v>37.19663776790037</v>
      </c>
      <c r="K20" s="1479">
        <f>I20-J20</f>
        <v>273.20336223209961</v>
      </c>
      <c r="L20" s="2149">
        <v>900</v>
      </c>
      <c r="M20" s="1479"/>
      <c r="N20" s="1479"/>
      <c r="O20" s="1479"/>
      <c r="P20" s="1479"/>
      <c r="Q20" s="1479"/>
      <c r="R20" s="1479">
        <f>SUM(K20+L20+M20+N20+P20+Q20,)</f>
        <v>1173.2033622320996</v>
      </c>
      <c r="S20" s="1252" t="s">
        <v>2645</v>
      </c>
      <c r="T20" s="1252">
        <f>37*0.23</f>
        <v>8.51</v>
      </c>
    </row>
    <row r="21" spans="1:20" ht="20.399999999999999" customHeight="1">
      <c r="A21" s="1474">
        <f t="shared" si="1"/>
        <v>13</v>
      </c>
      <c r="B21" s="1477" t="s">
        <v>1224</v>
      </c>
      <c r="C21" s="1480">
        <v>64</v>
      </c>
      <c r="D21" s="1478" t="s">
        <v>525</v>
      </c>
      <c r="E21" s="1494" t="str">
        <f>'input sheet'!$C$17</f>
        <v xml:space="preserve">Urkonda </v>
      </c>
      <c r="F21" s="1478">
        <v>12</v>
      </c>
      <c r="G21" s="1478">
        <v>4</v>
      </c>
      <c r="H21" s="1481">
        <f>'input sheet'!$D$17</f>
        <v>11</v>
      </c>
      <c r="I21" s="1479">
        <f>LOOKUP(H21,'Conveyance 25-26'!A11:B310)-'Conveyance 25-26'!$B$4</f>
        <v>184.39999999999998</v>
      </c>
      <c r="J21" s="1479">
        <f t="shared" si="3"/>
        <v>22.097487127579996</v>
      </c>
      <c r="K21" s="1479">
        <f t="shared" si="2"/>
        <v>162.30251287241998</v>
      </c>
      <c r="L21" s="2149">
        <v>265</v>
      </c>
      <c r="M21" s="1479"/>
      <c r="N21" s="1479"/>
      <c r="O21" s="1479"/>
      <c r="P21" s="1479"/>
      <c r="Q21" s="1479"/>
      <c r="R21" s="1479">
        <f t="shared" si="4"/>
        <v>427.30251287241998</v>
      </c>
    </row>
    <row r="22" spans="1:20" ht="20.399999999999999" customHeight="1">
      <c r="A22" s="1474">
        <f>A21+1</f>
        <v>14</v>
      </c>
      <c r="B22" s="1484" t="s">
        <v>2616</v>
      </c>
      <c r="C22" s="1480">
        <v>14</v>
      </c>
      <c r="D22" s="1478" t="s">
        <v>525</v>
      </c>
      <c r="E22" s="1494" t="str">
        <f>E21</f>
        <v xml:space="preserve">Urkonda </v>
      </c>
      <c r="F22" s="1478">
        <v>14</v>
      </c>
      <c r="G22" s="1478">
        <v>2</v>
      </c>
      <c r="H22" s="1481">
        <f>'input sheet'!$D$17</f>
        <v>11</v>
      </c>
      <c r="I22" s="1479">
        <f>LOOKUP(H22,'Conveyance 25-26'!A12:B311)-'Conveyance 25-26'!$B$4</f>
        <v>184.39999999999998</v>
      </c>
      <c r="J22" s="1479">
        <f t="shared" si="3"/>
        <v>22.097487127579996</v>
      </c>
      <c r="K22" s="1479">
        <f t="shared" si="2"/>
        <v>162.30251287241998</v>
      </c>
      <c r="L22" s="2149">
        <v>276</v>
      </c>
      <c r="M22" s="1479"/>
      <c r="N22" s="1479"/>
      <c r="O22" s="1479"/>
      <c r="P22" s="1479"/>
      <c r="Q22" s="1479"/>
      <c r="R22" s="1479">
        <f t="shared" si="4"/>
        <v>438.30251287241998</v>
      </c>
    </row>
    <row r="23" spans="1:20" ht="20.399999999999999" customHeight="1">
      <c r="A23" s="1474">
        <f t="shared" si="1"/>
        <v>15</v>
      </c>
      <c r="B23" s="1477" t="s">
        <v>3569</v>
      </c>
      <c r="C23" s="1480">
        <v>76</v>
      </c>
      <c r="D23" s="1478" t="s">
        <v>525</v>
      </c>
      <c r="E23" s="1494" t="str">
        <f>E22</f>
        <v xml:space="preserve">Urkonda </v>
      </c>
      <c r="F23" s="1478">
        <v>76</v>
      </c>
      <c r="G23" s="1478">
        <v>4</v>
      </c>
      <c r="H23" s="1481">
        <f>'input sheet'!$D$17</f>
        <v>11</v>
      </c>
      <c r="I23" s="1479">
        <f>LOOKUP(H23,'Conveyance 25-26'!A13:B312)-'Conveyance 25-26'!$B$4</f>
        <v>184.39999999999998</v>
      </c>
      <c r="J23" s="1479">
        <f t="shared" si="3"/>
        <v>22.097487127579996</v>
      </c>
      <c r="K23" s="1479">
        <f t="shared" si="2"/>
        <v>162.30251287241998</v>
      </c>
      <c r="L23" s="2149">
        <v>1933.8</v>
      </c>
      <c r="M23" s="1479"/>
      <c r="N23" s="1479"/>
      <c r="O23" s="1479"/>
      <c r="P23" s="1479"/>
      <c r="Q23" s="1479"/>
      <c r="R23" s="1479">
        <f t="shared" si="4"/>
        <v>2096.10251287242</v>
      </c>
    </row>
    <row r="24" spans="1:20" ht="20.399999999999999" customHeight="1">
      <c r="A24" s="1474">
        <f t="shared" si="1"/>
        <v>16</v>
      </c>
      <c r="B24" s="1484" t="s">
        <v>3568</v>
      </c>
      <c r="C24" s="1478">
        <v>28</v>
      </c>
      <c r="D24" s="1478" t="s">
        <v>525</v>
      </c>
      <c r="E24" s="1494" t="str">
        <f>E23</f>
        <v xml:space="preserve">Urkonda </v>
      </c>
      <c r="F24" s="1478">
        <v>28</v>
      </c>
      <c r="G24" s="1478">
        <v>28</v>
      </c>
      <c r="H24" s="1481">
        <f>'input sheet'!$D$17</f>
        <v>11</v>
      </c>
      <c r="I24" s="1479">
        <f>LOOKUP(H24,'Conveyance 25-26'!A14:B313)-'Conveyance 25-26'!$B$4</f>
        <v>184.39999999999998</v>
      </c>
      <c r="J24" s="1479">
        <f t="shared" si="3"/>
        <v>22.097487127579996</v>
      </c>
      <c r="K24" s="1479">
        <f t="shared" si="2"/>
        <v>162.30251287241998</v>
      </c>
      <c r="L24" s="2149">
        <v>1471.26</v>
      </c>
      <c r="M24" s="1479"/>
      <c r="N24" s="1479"/>
      <c r="O24" s="1479"/>
      <c r="P24" s="1479"/>
      <c r="Q24" s="1479"/>
      <c r="R24" s="1479">
        <f t="shared" si="4"/>
        <v>1633.56251287242</v>
      </c>
    </row>
    <row r="25" spans="1:20" ht="20.399999999999999" customHeight="1">
      <c r="A25" s="1474">
        <f t="shared" si="1"/>
        <v>17</v>
      </c>
      <c r="B25" s="1477" t="s">
        <v>2626</v>
      </c>
      <c r="C25" s="1480">
        <v>177</v>
      </c>
      <c r="D25" s="1478" t="s">
        <v>525</v>
      </c>
      <c r="E25" s="1478" t="str">
        <f>'input sheet'!C20</f>
        <v>local</v>
      </c>
      <c r="F25" s="1478">
        <v>34</v>
      </c>
      <c r="G25" s="1478">
        <v>32</v>
      </c>
      <c r="H25" s="1481">
        <f>'input sheet'!D20</f>
        <v>5</v>
      </c>
      <c r="I25" s="1479">
        <f>LOOKUP(H25,'Conveyance 25-26'!D4:E303)</f>
        <v>119.7</v>
      </c>
      <c r="J25" s="1479">
        <f>I25-I25/1.13615</f>
        <v>14.344193108304367</v>
      </c>
      <c r="K25" s="1479">
        <f>I25-J25</f>
        <v>105.35580689169564</v>
      </c>
      <c r="L25" s="2149">
        <v>82</v>
      </c>
      <c r="M25" s="1479"/>
      <c r="N25" s="1479"/>
      <c r="O25" s="1479"/>
      <c r="P25" s="1479"/>
      <c r="Q25" s="1479"/>
      <c r="R25" s="1479">
        <f t="shared" si="4"/>
        <v>187.35580689169564</v>
      </c>
    </row>
    <row r="26" spans="1:20" ht="25.2" customHeight="1">
      <c r="A26" s="1474">
        <f t="shared" si="1"/>
        <v>18</v>
      </c>
      <c r="B26" s="1485" t="s">
        <v>1519</v>
      </c>
      <c r="C26" s="1480">
        <v>23</v>
      </c>
      <c r="D26" s="1478" t="s">
        <v>923</v>
      </c>
      <c r="E26" s="1494" t="str">
        <f>'input sheet'!C21</f>
        <v>Tandur</v>
      </c>
      <c r="F26" s="1478" t="s">
        <v>1629</v>
      </c>
      <c r="G26" s="1478"/>
      <c r="H26" s="1481">
        <f>'input sheet'!D21</f>
        <v>150</v>
      </c>
      <c r="I26" s="1479">
        <f>LOOKUP(H26,'Conveyance 25-26'!G4:H303)*0.165-'Conveyance 25-26'!H4*0.165</f>
        <v>563.06249999999989</v>
      </c>
      <c r="J26" s="1479">
        <f t="shared" si="3"/>
        <v>67.474329423931692</v>
      </c>
      <c r="K26" s="1479">
        <f>(I26-J26)</f>
        <v>495.58817057606819</v>
      </c>
      <c r="L26" s="2149">
        <v>2700</v>
      </c>
      <c r="M26" s="1479"/>
      <c r="N26" s="1479"/>
      <c r="O26" s="1479"/>
      <c r="P26" s="1486">
        <f>61.9*0.165/1.13615</f>
        <v>8.9895700391673632</v>
      </c>
      <c r="Q26" s="1486">
        <f>30.95*0.165/1.13615</f>
        <v>4.4947850195836816</v>
      </c>
      <c r="R26" s="1479">
        <f t="shared" si="4"/>
        <v>3209.0725256348192</v>
      </c>
    </row>
    <row r="27" spans="1:20" ht="26.4" customHeight="1">
      <c r="A27" s="1474">
        <f t="shared" si="1"/>
        <v>19</v>
      </c>
      <c r="B27" s="1485" t="s">
        <v>2624</v>
      </c>
      <c r="C27" s="1480">
        <v>22</v>
      </c>
      <c r="D27" s="1478" t="s">
        <v>923</v>
      </c>
      <c r="E27" s="1478" t="str">
        <f>E26</f>
        <v>Tandur</v>
      </c>
      <c r="F27" s="1478" t="s">
        <v>2625</v>
      </c>
      <c r="G27" s="1478">
        <v>80</v>
      </c>
      <c r="H27" s="1487">
        <f>H26</f>
        <v>150</v>
      </c>
      <c r="I27" s="1479">
        <f>LOOKUP(H27,'Conveyance 25-26'!G5:H304)*0.325-'Conveyance 25-26'!H4*0.325</f>
        <v>1109.0624999999998</v>
      </c>
      <c r="J27" s="1479">
        <f t="shared" si="3"/>
        <v>132.90398219865335</v>
      </c>
      <c r="K27" s="1479">
        <f>(I27-J27)</f>
        <v>976.15851780134642</v>
      </c>
      <c r="L27" s="2149">
        <v>1500</v>
      </c>
      <c r="M27" s="1479"/>
      <c r="N27" s="1479"/>
      <c r="O27" s="1479"/>
      <c r="P27" s="1479">
        <f>61.9*0.33/1.13615</f>
        <v>17.979140078334726</v>
      </c>
      <c r="Q27" s="1479">
        <f>30.95*0.33/1.13615</f>
        <v>8.9895700391673632</v>
      </c>
      <c r="R27" s="1479">
        <f t="shared" si="4"/>
        <v>2503.1272279188488</v>
      </c>
    </row>
    <row r="28" spans="1:20" s="1253" customFormat="1" ht="20.399999999999999" customHeight="1">
      <c r="A28" s="1474">
        <f t="shared" si="1"/>
        <v>20</v>
      </c>
      <c r="B28" s="1484" t="s">
        <v>2615</v>
      </c>
      <c r="C28" s="1474"/>
      <c r="D28" s="1474"/>
      <c r="E28" s="1474"/>
      <c r="F28" s="1474"/>
      <c r="G28" s="1497"/>
      <c r="H28" s="1474"/>
      <c r="I28" s="1497"/>
      <c r="J28" s="1474"/>
      <c r="K28" s="1498"/>
      <c r="L28" s="2150"/>
      <c r="M28" s="1498"/>
      <c r="N28" s="1498"/>
      <c r="O28" s="1498"/>
      <c r="P28" s="1474"/>
      <c r="Q28" s="1497"/>
      <c r="R28" s="2146">
        <v>605</v>
      </c>
    </row>
    <row r="29" spans="1:20" s="1254" customFormat="1" ht="20.399999999999999" customHeight="1">
      <c r="A29" s="1474">
        <f t="shared" si="1"/>
        <v>21</v>
      </c>
      <c r="B29" s="1488" t="s">
        <v>1033</v>
      </c>
      <c r="C29" s="1474"/>
      <c r="D29" s="1474"/>
      <c r="E29" s="1474"/>
      <c r="F29" s="1474"/>
      <c r="G29" s="1474"/>
      <c r="H29" s="1474"/>
      <c r="I29" s="1474"/>
      <c r="J29" s="1474"/>
      <c r="K29" s="1498"/>
      <c r="L29" s="2150"/>
      <c r="M29" s="1498"/>
      <c r="N29" s="1498"/>
      <c r="O29" s="1498"/>
      <c r="P29" s="1474"/>
      <c r="Q29" s="1497"/>
      <c r="R29" s="2146">
        <v>605</v>
      </c>
    </row>
    <row r="30" spans="1:20" s="1254" customFormat="1" ht="20.399999999999999" customHeight="1">
      <c r="A30" s="1474">
        <f t="shared" si="1"/>
        <v>22</v>
      </c>
      <c r="B30" s="1489" t="s">
        <v>1857</v>
      </c>
      <c r="C30" s="1474"/>
      <c r="D30" s="1474"/>
      <c r="E30" s="1474"/>
      <c r="F30" s="1474"/>
      <c r="G30" s="1474"/>
      <c r="H30" s="1474"/>
      <c r="I30" s="1474"/>
      <c r="J30" s="1474"/>
      <c r="K30" s="1498"/>
      <c r="L30" s="2151"/>
      <c r="M30" s="1474"/>
      <c r="N30" s="1474"/>
      <c r="O30" s="1474"/>
      <c r="P30" s="1474"/>
      <c r="Q30" s="1497"/>
      <c r="R30" s="2146">
        <v>650</v>
      </c>
    </row>
    <row r="31" spans="1:20" s="1254" customFormat="1" ht="20.399999999999999" customHeight="1">
      <c r="A31" s="1474">
        <f t="shared" si="1"/>
        <v>23</v>
      </c>
      <c r="B31" s="1489" t="s">
        <v>1880</v>
      </c>
      <c r="C31" s="1474"/>
      <c r="D31" s="1474"/>
      <c r="E31" s="1474"/>
      <c r="F31" s="1474"/>
      <c r="G31" s="1474"/>
      <c r="H31" s="1474"/>
      <c r="I31" s="1474"/>
      <c r="J31" s="1474"/>
      <c r="K31" s="1498"/>
      <c r="L31" s="2152"/>
      <c r="M31" s="1499"/>
      <c r="N31" s="1499"/>
      <c r="O31" s="1499"/>
      <c r="P31" s="1497"/>
      <c r="Q31" s="1497"/>
      <c r="R31" s="2146">
        <v>680</v>
      </c>
    </row>
    <row r="32" spans="1:20" s="1254" customFormat="1" ht="20.399999999999999" customHeight="1">
      <c r="A32" s="1474">
        <f t="shared" si="1"/>
        <v>24</v>
      </c>
      <c r="B32" s="1490" t="s">
        <v>1882</v>
      </c>
      <c r="C32" s="1474"/>
      <c r="D32" s="1474"/>
      <c r="E32" s="1474"/>
      <c r="F32" s="1474"/>
      <c r="G32" s="1474"/>
      <c r="H32" s="1474"/>
      <c r="I32" s="1474"/>
      <c r="J32" s="1474"/>
      <c r="K32" s="1498"/>
      <c r="L32" s="2152"/>
      <c r="M32" s="1499"/>
      <c r="N32" s="1499"/>
      <c r="O32" s="1499"/>
      <c r="P32" s="1497"/>
      <c r="Q32" s="1500"/>
      <c r="R32" s="2146">
        <v>780</v>
      </c>
    </row>
    <row r="33" spans="1:18" s="1254" customFormat="1" ht="20.399999999999999" customHeight="1">
      <c r="A33" s="1474">
        <f t="shared" si="1"/>
        <v>25</v>
      </c>
      <c r="B33" s="1490" t="s">
        <v>513</v>
      </c>
      <c r="C33" s="1474"/>
      <c r="D33" s="1474"/>
      <c r="E33" s="1474"/>
      <c r="F33" s="1474"/>
      <c r="G33" s="1474"/>
      <c r="H33" s="1474"/>
      <c r="I33" s="1474"/>
      <c r="J33" s="1474"/>
      <c r="K33" s="1498"/>
      <c r="L33" s="2150"/>
      <c r="M33" s="1498"/>
      <c r="N33" s="1498"/>
      <c r="O33" s="1498"/>
      <c r="P33" s="1498"/>
      <c r="Q33" s="1500"/>
      <c r="R33" s="2146">
        <v>775</v>
      </c>
    </row>
    <row r="34" spans="1:18" s="1254" customFormat="1" ht="20.399999999999999" customHeight="1">
      <c r="A34" s="1474">
        <f t="shared" si="1"/>
        <v>26</v>
      </c>
      <c r="B34" s="1490" t="s">
        <v>1879</v>
      </c>
      <c r="C34" s="1474"/>
      <c r="D34" s="1474"/>
      <c r="E34" s="1474"/>
      <c r="F34" s="1474"/>
      <c r="G34" s="1474"/>
      <c r="H34" s="1474"/>
      <c r="I34" s="1474"/>
      <c r="J34" s="1474"/>
      <c r="K34" s="1498"/>
      <c r="L34" s="2150" t="s">
        <v>1569</v>
      </c>
      <c r="M34" s="1498"/>
      <c r="N34" s="1498"/>
      <c r="O34" s="1501" t="s">
        <v>1797</v>
      </c>
      <c r="P34" s="2147">
        <v>81</v>
      </c>
      <c r="Q34" s="1503"/>
      <c r="R34" s="2146">
        <v>805</v>
      </c>
    </row>
    <row r="35" spans="1:18" s="1254" customFormat="1" ht="20.399999999999999" customHeight="1">
      <c r="A35" s="1474">
        <f t="shared" si="1"/>
        <v>27</v>
      </c>
      <c r="B35" s="1490" t="s">
        <v>892</v>
      </c>
      <c r="C35" s="1474"/>
      <c r="D35" s="1474"/>
      <c r="E35" s="1474"/>
      <c r="F35" s="1474"/>
      <c r="G35" s="1474"/>
      <c r="H35" s="1474"/>
      <c r="I35" s="1474"/>
      <c r="J35" s="1474"/>
      <c r="K35" s="1498"/>
      <c r="L35" s="2150"/>
      <c r="M35" s="1498"/>
      <c r="N35" s="1498"/>
      <c r="O35" s="1501" t="s">
        <v>1798</v>
      </c>
      <c r="P35" s="1501">
        <v>98</v>
      </c>
      <c r="Q35" s="1501">
        <v>73</v>
      </c>
      <c r="R35" s="2146">
        <v>790</v>
      </c>
    </row>
    <row r="36" spans="1:18" s="1254" customFormat="1" ht="20.399999999999999" customHeight="1">
      <c r="A36" s="1474">
        <f t="shared" si="1"/>
        <v>28</v>
      </c>
      <c r="B36" s="1489" t="s">
        <v>1881</v>
      </c>
      <c r="C36" s="1474"/>
      <c r="D36" s="1474"/>
      <c r="E36" s="1474"/>
      <c r="F36" s="1474"/>
      <c r="G36" s="1474"/>
      <c r="H36" s="1474"/>
      <c r="I36" s="1474"/>
      <c r="J36" s="1474"/>
      <c r="K36" s="1498"/>
      <c r="L36" s="2151"/>
      <c r="M36" s="1474"/>
      <c r="N36" s="1474"/>
      <c r="O36" s="1474"/>
      <c r="P36" s="1474"/>
      <c r="Q36" s="1497"/>
      <c r="R36" s="2146">
        <v>650</v>
      </c>
    </row>
    <row r="37" spans="1:18" s="1254" customFormat="1" ht="12.9">
      <c r="A37" s="1492"/>
      <c r="B37" s="1491" t="s">
        <v>893</v>
      </c>
      <c r="C37" s="1502"/>
      <c r="D37" s="1502"/>
      <c r="E37" s="1502"/>
      <c r="F37" s="1502"/>
      <c r="G37" s="1502"/>
      <c r="H37" s="1502"/>
      <c r="I37" s="1502"/>
      <c r="J37" s="1502"/>
      <c r="K37" s="1502"/>
      <c r="L37" s="2158"/>
      <c r="M37" s="1502"/>
      <c r="N37" s="1502"/>
      <c r="O37" s="1502"/>
      <c r="P37" s="1502"/>
      <c r="Q37" s="1502"/>
      <c r="R37" s="1502"/>
    </row>
    <row r="38" spans="1:18" s="1254" customFormat="1" ht="12.9">
      <c r="A38" s="1492"/>
      <c r="B38" s="1491" t="s">
        <v>924</v>
      </c>
      <c r="C38" s="1502"/>
      <c r="D38" s="1502"/>
      <c r="E38" s="1502"/>
      <c r="F38" s="1502"/>
      <c r="G38" s="1502"/>
      <c r="H38" s="1502"/>
      <c r="I38" s="1502"/>
      <c r="J38" s="1502"/>
      <c r="K38" s="1502"/>
      <c r="L38" s="2158"/>
      <c r="M38" s="1502"/>
      <c r="N38" s="1502"/>
      <c r="O38" s="1502"/>
      <c r="P38" s="1502"/>
      <c r="Q38" s="1502"/>
      <c r="R38" s="1502"/>
    </row>
    <row r="39" spans="1:18" s="1254" customFormat="1" ht="12.9">
      <c r="A39" s="1492"/>
      <c r="B39" s="1491" t="s">
        <v>895</v>
      </c>
      <c r="C39" s="1502"/>
      <c r="D39" s="1502"/>
      <c r="E39" s="1502"/>
      <c r="F39" s="1502"/>
      <c r="G39" s="1502"/>
      <c r="H39" s="1502"/>
      <c r="I39" s="1502"/>
      <c r="J39" s="1502"/>
      <c r="K39" s="1502"/>
      <c r="L39" s="2158"/>
      <c r="M39" s="1502"/>
      <c r="N39" s="1502"/>
      <c r="O39" s="1502"/>
      <c r="P39" s="1502"/>
      <c r="Q39" s="1502"/>
      <c r="R39" s="1502"/>
    </row>
    <row r="40" spans="1:18" s="1254" customFormat="1" ht="12.9">
      <c r="A40" s="1492"/>
      <c r="B40" s="1491"/>
      <c r="C40" s="1502"/>
      <c r="D40" s="1502"/>
      <c r="E40" s="1502"/>
      <c r="F40" s="1502"/>
      <c r="G40" s="1502"/>
      <c r="H40" s="1502"/>
      <c r="I40" s="1502"/>
      <c r="J40" s="1502"/>
      <c r="K40" s="1502"/>
      <c r="L40" s="2158"/>
      <c r="M40" s="1502"/>
      <c r="N40" s="1502"/>
      <c r="O40" s="1502"/>
      <c r="P40" s="1502"/>
      <c r="Q40" s="1502"/>
      <c r="R40" s="1502"/>
    </row>
    <row r="41" spans="1:18" s="1254" customFormat="1" ht="12.9">
      <c r="A41" s="1492"/>
      <c r="B41" s="1491"/>
      <c r="C41" s="1502"/>
      <c r="D41" s="1502"/>
      <c r="E41" s="1502"/>
      <c r="F41" s="1502"/>
      <c r="G41" s="1502"/>
      <c r="H41" s="1502"/>
      <c r="I41" s="1502"/>
      <c r="J41" s="1502"/>
      <c r="K41" s="1502"/>
      <c r="L41" s="2158"/>
      <c r="M41" s="1502"/>
      <c r="N41" s="1502"/>
      <c r="O41" s="1502"/>
      <c r="P41" s="1502"/>
      <c r="Q41" s="1502"/>
      <c r="R41" s="1502"/>
    </row>
    <row r="42" spans="1:18" s="1254" customFormat="1" ht="12.9">
      <c r="A42" s="1492"/>
      <c r="B42" s="1491"/>
      <c r="C42" s="1502"/>
      <c r="D42" s="1502"/>
      <c r="E42" s="1502"/>
      <c r="F42" s="1502"/>
      <c r="G42" s="1502"/>
      <c r="H42" s="1502"/>
      <c r="I42" s="1502"/>
      <c r="J42" s="1502"/>
      <c r="K42" s="1502"/>
      <c r="L42" s="2158"/>
      <c r="M42" s="1502"/>
      <c r="N42" s="1502"/>
      <c r="O42" s="1502"/>
      <c r="P42" s="1502"/>
      <c r="Q42" s="1502"/>
      <c r="R42" s="1502"/>
    </row>
    <row r="43" spans="1:18" ht="12.9">
      <c r="A43" s="1493"/>
      <c r="B43" s="1491"/>
      <c r="C43" s="1502"/>
      <c r="D43" s="1502"/>
      <c r="E43" s="1502"/>
      <c r="F43" s="1502"/>
      <c r="G43" s="1502"/>
      <c r="H43" s="1502"/>
      <c r="I43" s="1502"/>
      <c r="J43" s="1502"/>
      <c r="K43" s="1502"/>
      <c r="L43" s="2158"/>
      <c r="M43" s="1502"/>
      <c r="N43" s="1502"/>
      <c r="O43" s="1502"/>
      <c r="P43" s="1502"/>
      <c r="Q43" s="1502"/>
      <c r="R43" s="1502"/>
    </row>
    <row r="44" spans="1:18" s="1254" customFormat="1" ht="15.6">
      <c r="A44" s="1492"/>
      <c r="B44" s="1369" t="s">
        <v>3194</v>
      </c>
      <c r="C44" s="1502"/>
      <c r="D44" s="1502"/>
      <c r="E44" s="1502"/>
      <c r="F44" s="1502"/>
      <c r="G44" s="1502"/>
      <c r="H44" s="2692" t="s">
        <v>3195</v>
      </c>
      <c r="I44" s="2693"/>
      <c r="J44" s="2693"/>
      <c r="K44" s="2693"/>
      <c r="L44" s="2158"/>
      <c r="M44" s="1502"/>
      <c r="N44" s="1502"/>
      <c r="O44" s="1502"/>
      <c r="P44" s="1502"/>
      <c r="Q44" s="1502"/>
      <c r="R44" s="1502"/>
    </row>
    <row r="45" spans="1:18" s="1254" customFormat="1" ht="15.6">
      <c r="A45" s="1492"/>
      <c r="B45" s="1350" t="str">
        <f>CONCATENATE("PR MPP ",'input sheet'!$C$7)</f>
        <v>PR MPP Kalwakurthy</v>
      </c>
      <c r="C45" s="1502"/>
      <c r="D45" s="1502"/>
      <c r="E45" s="1502"/>
      <c r="F45" s="1502"/>
      <c r="G45" s="1502"/>
      <c r="H45" s="2692" t="str">
        <f>CONCATENATE("PR SD ",'input sheet'!$C$8)</f>
        <v>PR SD Kalwakurthy</v>
      </c>
      <c r="I45" s="2693"/>
      <c r="J45" s="2693"/>
      <c r="K45" s="2693"/>
      <c r="L45" s="2158"/>
      <c r="M45" s="1502"/>
      <c r="N45" s="1502"/>
      <c r="O45" s="1502"/>
      <c r="P45" s="1502"/>
      <c r="Q45" s="1502"/>
      <c r="R45" s="1502"/>
    </row>
    <row r="46" spans="1:18" s="1254" customFormat="1">
      <c r="A46" s="1253"/>
      <c r="C46" s="1504"/>
      <c r="D46" s="1504"/>
      <c r="E46" s="1504"/>
      <c r="F46" s="1504"/>
      <c r="G46" s="1504"/>
      <c r="H46" s="1504"/>
      <c r="I46" s="1504"/>
      <c r="J46" s="1504"/>
      <c r="K46" s="1504"/>
      <c r="L46" s="2159"/>
      <c r="M46" s="1504"/>
      <c r="N46" s="1504"/>
      <c r="O46" s="1504"/>
      <c r="P46" s="1504"/>
      <c r="Q46" s="1504"/>
      <c r="R46" s="1504"/>
    </row>
    <row r="50" spans="5:20">
      <c r="E50" s="1504">
        <f>42600*5/100</f>
        <v>2130</v>
      </c>
      <c r="J50" s="1504">
        <f>27*1402</f>
        <v>37854</v>
      </c>
    </row>
    <row r="51" spans="5:20">
      <c r="E51" s="1504" t="s">
        <v>467</v>
      </c>
      <c r="J51" s="1504">
        <f>+J50*0.5/100</f>
        <v>189.27</v>
      </c>
      <c r="P51" s="1504">
        <f>255022-6788</f>
        <v>248234</v>
      </c>
    </row>
    <row r="52" spans="5:20">
      <c r="J52" s="1504">
        <f>SUM(J50:J51)</f>
        <v>38043.269999999997</v>
      </c>
      <c r="P52" s="1504">
        <f>256831-P51</f>
        <v>8597</v>
      </c>
      <c r="R52" s="1504">
        <f>1809/85974</f>
        <v>2.1041245027566473E-2</v>
      </c>
    </row>
    <row r="53" spans="5:20">
      <c r="J53" s="1504">
        <f>+J52*12/100</f>
        <v>4565.1923999999999</v>
      </c>
      <c r="N53" s="1504">
        <f>256831-255022</f>
        <v>1809</v>
      </c>
      <c r="P53" s="1504">
        <f>+P52/85974</f>
        <v>9.9995347430618553E-2</v>
      </c>
      <c r="R53" s="1504">
        <f>+R52+0.0789</f>
        <v>9.9941245027566475E-2</v>
      </c>
      <c r="S53" s="1249">
        <v>85974</v>
      </c>
      <c r="T53" s="1249">
        <f>+R53*S53</f>
        <v>8592.3485999999994</v>
      </c>
    </row>
    <row r="55" spans="5:20">
      <c r="I55" s="1504">
        <f>25+40</f>
        <v>65</v>
      </c>
    </row>
    <row r="56" spans="5:20">
      <c r="I56" s="1504">
        <f>+I55/2</f>
        <v>32.5</v>
      </c>
    </row>
  </sheetData>
  <mergeCells count="17">
    <mergeCell ref="H4:H5"/>
    <mergeCell ref="E4:E5"/>
    <mergeCell ref="F4:F5"/>
    <mergeCell ref="C1:M1"/>
    <mergeCell ref="H44:K44"/>
    <mergeCell ref="H45:K45"/>
    <mergeCell ref="A2:R2"/>
    <mergeCell ref="A4:A5"/>
    <mergeCell ref="Q4:Q5"/>
    <mergeCell ref="L4:O4"/>
    <mergeCell ref="G4:G5"/>
    <mergeCell ref="D4:D5"/>
    <mergeCell ref="R4:R5"/>
    <mergeCell ref="B4:B5"/>
    <mergeCell ref="P4:P5"/>
    <mergeCell ref="C4:C5"/>
    <mergeCell ref="I4:K4"/>
  </mergeCells>
  <printOptions horizontalCentered="1"/>
  <pageMargins left="0.23622047244094491" right="0.23622047244094491" top="0.43307086614173229" bottom="0.39370078740157483" header="0.31496062992125984" footer="0.31496062992125984"/>
  <pageSetup paperSize="9" scale="84"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V53"/>
  <sheetViews>
    <sheetView view="pageBreakPreview" zoomScale="75" zoomScaleSheetLayoutView="75" workbookViewId="0">
      <selection activeCell="D57" sqref="D56:D57"/>
    </sheetView>
  </sheetViews>
  <sheetFormatPr defaultColWidth="8.88671875" defaultRowHeight="13.8"/>
  <cols>
    <col min="1" max="1" width="5" style="1199" customWidth="1"/>
    <col min="2" max="2" width="14" style="1199" customWidth="1"/>
    <col min="3" max="3" width="34.5546875" style="1199" customWidth="1"/>
    <col min="4" max="5" width="8.88671875" style="1199"/>
    <col min="6" max="6" width="9.5546875" style="1199" bestFit="1" customWidth="1"/>
    <col min="7" max="7" width="12.5546875" style="1199" customWidth="1"/>
    <col min="8" max="256" width="8.88671875" style="1199"/>
  </cols>
  <sheetData>
    <row r="1" spans="1:7" ht="15" customHeight="1">
      <c r="A1" s="2698" t="s">
        <v>2614</v>
      </c>
      <c r="B1" s="2698"/>
      <c r="C1" s="2698"/>
      <c r="D1" s="2698"/>
      <c r="E1" s="2698"/>
      <c r="F1" s="2698"/>
      <c r="G1" s="2698"/>
    </row>
    <row r="2" spans="1:7" ht="21.75" customHeight="1">
      <c r="A2" s="2699" t="str">
        <f>'Lead- Input sheet '!A2:R2</f>
        <v xml:space="preserve"> Construction of  Anganwadi Building at Jeedipally Thanda (V) of Kalwakurthy (M) of Nagarkurnool District </v>
      </c>
      <c r="B2" s="2699"/>
      <c r="C2" s="2699"/>
      <c r="D2" s="2699"/>
      <c r="E2" s="2699"/>
      <c r="F2" s="2699"/>
      <c r="G2" s="2699"/>
    </row>
    <row r="3" spans="1:7" ht="50.25" customHeight="1">
      <c r="A3" s="1200">
        <v>1</v>
      </c>
      <c r="B3" s="1201"/>
      <c r="C3" s="2700" t="s">
        <v>2435</v>
      </c>
      <c r="D3" s="2701"/>
      <c r="E3" s="2701"/>
      <c r="F3" s="2702"/>
      <c r="G3" s="1202"/>
    </row>
    <row r="4" spans="1:7" ht="14.1">
      <c r="A4" s="1200"/>
      <c r="B4" s="1201"/>
      <c r="C4" s="1203" t="s">
        <v>1041</v>
      </c>
      <c r="D4" s="1204"/>
      <c r="E4" s="1205"/>
      <c r="F4" s="1206"/>
      <c r="G4" s="1202"/>
    </row>
    <row r="5" spans="1:7" ht="27.6">
      <c r="A5" s="1200"/>
      <c r="B5" s="1201"/>
      <c r="C5" s="1203" t="s">
        <v>2145</v>
      </c>
      <c r="D5" s="1204" t="s">
        <v>347</v>
      </c>
      <c r="E5" s="1205">
        <v>1.03</v>
      </c>
      <c r="F5" s="1206">
        <f>'Lead- Input sheet '!R10/1000</f>
        <v>69.62</v>
      </c>
      <c r="G5" s="1206">
        <f>F5*E5</f>
        <v>71.708600000000004</v>
      </c>
    </row>
    <row r="6" spans="1:7">
      <c r="A6" s="1200"/>
      <c r="B6" s="1201"/>
      <c r="C6" s="1203"/>
      <c r="D6" s="1204"/>
      <c r="E6" s="1205"/>
      <c r="F6" s="1206"/>
      <c r="G6" s="1206"/>
    </row>
    <row r="7" spans="1:7" ht="14.1">
      <c r="A7" s="1200"/>
      <c r="B7" s="1201"/>
      <c r="C7" s="1203" t="s">
        <v>653</v>
      </c>
      <c r="D7" s="1204"/>
      <c r="E7" s="1205"/>
      <c r="F7" s="1206"/>
      <c r="G7" s="1202"/>
    </row>
    <row r="8" spans="1:7" ht="89.25" customHeight="1">
      <c r="A8" s="1200"/>
      <c r="B8" s="1201" t="s">
        <v>2146</v>
      </c>
      <c r="C8" s="1203" t="s">
        <v>2147</v>
      </c>
      <c r="D8" s="1204" t="s">
        <v>347</v>
      </c>
      <c r="E8" s="1205">
        <v>1</v>
      </c>
      <c r="F8" s="1206">
        <v>34</v>
      </c>
      <c r="G8" s="1206">
        <f>F8*E8</f>
        <v>34</v>
      </c>
    </row>
    <row r="9" spans="1:7" ht="95.2" customHeight="1">
      <c r="A9" s="1200"/>
      <c r="B9" s="1201" t="s">
        <v>2148</v>
      </c>
      <c r="C9" s="1203" t="s">
        <v>2149</v>
      </c>
      <c r="D9" s="1204" t="s">
        <v>347</v>
      </c>
      <c r="E9" s="1205">
        <v>1</v>
      </c>
      <c r="F9" s="1206">
        <v>31</v>
      </c>
      <c r="G9" s="1206">
        <f>F9*E9</f>
        <v>31</v>
      </c>
    </row>
    <row r="10" spans="1:7">
      <c r="A10" s="1200"/>
      <c r="B10" s="1201"/>
      <c r="C10" s="1207" t="s">
        <v>2150</v>
      </c>
      <c r="D10" s="1204" t="s">
        <v>975</v>
      </c>
      <c r="E10" s="1205">
        <v>0</v>
      </c>
      <c r="F10" s="1206">
        <f>SUM(G8:G9)</f>
        <v>65</v>
      </c>
      <c r="G10" s="1206">
        <f>F10*E10</f>
        <v>0</v>
      </c>
    </row>
    <row r="11" spans="1:7">
      <c r="A11" s="1200"/>
      <c r="B11" s="1201"/>
      <c r="C11" s="1207" t="s">
        <v>2151</v>
      </c>
      <c r="D11" s="1204" t="s">
        <v>975</v>
      </c>
      <c r="E11" s="1205">
        <v>0</v>
      </c>
      <c r="F11" s="1206">
        <f>SUM(G5:G9)</f>
        <v>136.70859999999999</v>
      </c>
      <c r="G11" s="1206">
        <f>F11*E11</f>
        <v>0</v>
      </c>
    </row>
    <row r="12" spans="1:7" ht="28.2">
      <c r="A12" s="1200"/>
      <c r="B12" s="1201"/>
      <c r="C12" s="1208" t="s">
        <v>2152</v>
      </c>
      <c r="D12" s="1204"/>
      <c r="E12" s="1205"/>
      <c r="F12" s="1202" t="s">
        <v>2153</v>
      </c>
      <c r="G12" s="1202">
        <f>SUM(G5:G11)</f>
        <v>136.70859999999999</v>
      </c>
    </row>
    <row r="13" spans="1:7" ht="44.25" customHeight="1">
      <c r="A13" s="1200">
        <v>2</v>
      </c>
      <c r="B13" s="1201" t="s">
        <v>2154</v>
      </c>
      <c r="C13" s="1203" t="s">
        <v>2155</v>
      </c>
      <c r="D13" s="1204" t="s">
        <v>347</v>
      </c>
      <c r="E13" s="1205">
        <v>1.03</v>
      </c>
      <c r="F13" s="1206">
        <v>75</v>
      </c>
      <c r="G13" s="1206">
        <f>F13*E13</f>
        <v>77.25</v>
      </c>
    </row>
    <row r="14" spans="1:7" ht="14.1">
      <c r="A14" s="1200"/>
      <c r="B14" s="1201"/>
      <c r="C14" s="1203" t="s">
        <v>653</v>
      </c>
      <c r="D14" s="1204"/>
      <c r="E14" s="1205"/>
      <c r="F14" s="1206"/>
      <c r="G14" s="1202"/>
    </row>
    <row r="15" spans="1:7" ht="82.8">
      <c r="A15" s="1200"/>
      <c r="B15" s="1201" t="s">
        <v>2146</v>
      </c>
      <c r="C15" s="1203" t="s">
        <v>2147</v>
      </c>
      <c r="D15" s="1204" t="s">
        <v>347</v>
      </c>
      <c r="E15" s="1205">
        <v>1</v>
      </c>
      <c r="F15" s="1206">
        <v>34</v>
      </c>
      <c r="G15" s="1206">
        <f>F15*E15</f>
        <v>34</v>
      </c>
    </row>
    <row r="16" spans="1:7" ht="96.6">
      <c r="A16" s="1200"/>
      <c r="B16" s="1201" t="s">
        <v>2148</v>
      </c>
      <c r="C16" s="1203" t="s">
        <v>2149</v>
      </c>
      <c r="D16" s="1204" t="s">
        <v>347</v>
      </c>
      <c r="E16" s="1205">
        <v>1</v>
      </c>
      <c r="F16" s="1206">
        <v>31</v>
      </c>
      <c r="G16" s="1206">
        <f>F16*E16</f>
        <v>31</v>
      </c>
    </row>
    <row r="17" spans="1:7" ht="28.2">
      <c r="A17" s="1200"/>
      <c r="B17" s="1201"/>
      <c r="C17" s="1208" t="s">
        <v>2152</v>
      </c>
      <c r="D17" s="1204"/>
      <c r="E17" s="1205"/>
      <c r="F17" s="1202" t="s">
        <v>2153</v>
      </c>
      <c r="G17" s="1202">
        <f>SUM(G13:G16)</f>
        <v>142.25</v>
      </c>
    </row>
    <row r="18" spans="1:7" ht="159.69999999999999" customHeight="1">
      <c r="A18" s="1200">
        <v>3</v>
      </c>
      <c r="B18" s="1200" t="s">
        <v>2156</v>
      </c>
      <c r="C18" s="2703" t="s">
        <v>2436</v>
      </c>
      <c r="D18" s="2704"/>
      <c r="E18" s="2704"/>
      <c r="F18" s="2705"/>
      <c r="G18" s="1209"/>
    </row>
    <row r="19" spans="1:7">
      <c r="A19" s="1200"/>
      <c r="B19" s="1200"/>
      <c r="C19" s="1207" t="s">
        <v>1227</v>
      </c>
      <c r="D19" s="1210"/>
      <c r="E19" s="1211"/>
      <c r="F19" s="1209"/>
      <c r="G19" s="1209"/>
    </row>
    <row r="20" spans="1:7">
      <c r="A20" s="1200"/>
      <c r="B20" s="1200"/>
      <c r="C20" s="1207" t="s">
        <v>1041</v>
      </c>
      <c r="D20" s="1210"/>
      <c r="E20" s="1211"/>
      <c r="F20" s="1209"/>
      <c r="G20" s="1209"/>
    </row>
    <row r="21" spans="1:7" ht="32.700000000000003" customHeight="1">
      <c r="A21" s="1200"/>
      <c r="B21" s="1200" t="s">
        <v>2157</v>
      </c>
      <c r="C21" s="1207" t="s">
        <v>2158</v>
      </c>
      <c r="D21" s="1210" t="s">
        <v>987</v>
      </c>
      <c r="E21" s="1211">
        <v>10</v>
      </c>
      <c r="F21" s="1209">
        <v>434</v>
      </c>
      <c r="G21" s="1209">
        <f t="shared" ref="G21:G27" si="0">F21*E21</f>
        <v>4340</v>
      </c>
    </row>
    <row r="22" spans="1:7" ht="27.6">
      <c r="A22" s="1200"/>
      <c r="B22" s="1201" t="s">
        <v>1993</v>
      </c>
      <c r="C22" s="1207" t="s">
        <v>1737</v>
      </c>
      <c r="D22" s="1210" t="s">
        <v>882</v>
      </c>
      <c r="E22" s="1211">
        <v>47.91</v>
      </c>
      <c r="F22" s="1209">
        <v>8</v>
      </c>
      <c r="G22" s="1209">
        <f t="shared" si="0"/>
        <v>383.28</v>
      </c>
    </row>
    <row r="23" spans="1:7" ht="55.2">
      <c r="A23" s="1200"/>
      <c r="B23" s="1201" t="s">
        <v>1995</v>
      </c>
      <c r="C23" s="1207" t="s">
        <v>1739</v>
      </c>
      <c r="D23" s="1210" t="s">
        <v>882</v>
      </c>
      <c r="E23" s="1211">
        <v>43.9</v>
      </c>
      <c r="F23" s="1209">
        <v>12</v>
      </c>
      <c r="G23" s="1209">
        <f t="shared" si="0"/>
        <v>526.79999999999995</v>
      </c>
    </row>
    <row r="24" spans="1:7" ht="30" customHeight="1">
      <c r="A24" s="1200"/>
      <c r="B24" s="1201" t="s">
        <v>1996</v>
      </c>
      <c r="C24" s="1207" t="s">
        <v>2159</v>
      </c>
      <c r="D24" s="1210" t="s">
        <v>882</v>
      </c>
      <c r="E24" s="1211">
        <v>91.82</v>
      </c>
      <c r="F24" s="1209">
        <v>4</v>
      </c>
      <c r="G24" s="1209">
        <f t="shared" si="0"/>
        <v>367.28</v>
      </c>
    </row>
    <row r="25" spans="1:7" ht="35.200000000000003" customHeight="1">
      <c r="A25" s="1200"/>
      <c r="B25" s="1201" t="s">
        <v>1997</v>
      </c>
      <c r="C25" s="1207" t="s">
        <v>1741</v>
      </c>
      <c r="D25" s="1210" t="s">
        <v>882</v>
      </c>
      <c r="E25" s="1211">
        <v>91.82</v>
      </c>
      <c r="F25" s="1209">
        <v>4</v>
      </c>
      <c r="G25" s="1209">
        <f t="shared" si="0"/>
        <v>367.28</v>
      </c>
    </row>
    <row r="26" spans="1:7" ht="36" customHeight="1">
      <c r="A26" s="1200"/>
      <c r="B26" s="1212" t="s">
        <v>2160</v>
      </c>
      <c r="C26" s="1207" t="s">
        <v>1742</v>
      </c>
      <c r="D26" s="1210" t="s">
        <v>1743</v>
      </c>
      <c r="E26" s="1211">
        <v>0.14000000000000001</v>
      </c>
      <c r="F26" s="1209">
        <v>236</v>
      </c>
      <c r="G26" s="1209">
        <f t="shared" si="0"/>
        <v>33.040000000000006</v>
      </c>
    </row>
    <row r="27" spans="1:7" ht="32.200000000000003" customHeight="1">
      <c r="A27" s="1200"/>
      <c r="B27" s="1212" t="s">
        <v>1615</v>
      </c>
      <c r="C27" s="1207" t="s">
        <v>1744</v>
      </c>
      <c r="D27" s="1210" t="s">
        <v>1743</v>
      </c>
      <c r="E27" s="1211">
        <v>0.2</v>
      </c>
      <c r="F27" s="1209">
        <v>289</v>
      </c>
      <c r="G27" s="1209">
        <f t="shared" si="0"/>
        <v>57.800000000000004</v>
      </c>
    </row>
    <row r="28" spans="1:7">
      <c r="A28" s="1200"/>
      <c r="B28" s="1200"/>
      <c r="C28" s="1207" t="s">
        <v>653</v>
      </c>
      <c r="D28" s="1210"/>
      <c r="E28" s="1211"/>
      <c r="F28" s="1209"/>
      <c r="G28" s="1209"/>
    </row>
    <row r="29" spans="1:7">
      <c r="A29" s="1200"/>
      <c r="B29" s="1200"/>
      <c r="C29" s="1207" t="s">
        <v>1745</v>
      </c>
      <c r="D29" s="1210"/>
      <c r="E29" s="1211"/>
      <c r="F29" s="1209"/>
      <c r="G29" s="1209"/>
    </row>
    <row r="30" spans="1:7" ht="28.2" customHeight="1">
      <c r="A30" s="1200"/>
      <c r="B30" s="1200" t="s">
        <v>2161</v>
      </c>
      <c r="C30" s="1207" t="s">
        <v>1746</v>
      </c>
      <c r="D30" s="1210" t="s">
        <v>1047</v>
      </c>
      <c r="E30" s="1211">
        <v>0.84</v>
      </c>
      <c r="F30" s="1209">
        <v>550</v>
      </c>
      <c r="G30" s="1209">
        <f>F30*E30</f>
        <v>462</v>
      </c>
    </row>
    <row r="31" spans="1:7" ht="27" customHeight="1">
      <c r="A31" s="1200"/>
      <c r="B31" s="1200" t="s">
        <v>2162</v>
      </c>
      <c r="C31" s="1207" t="s">
        <v>1747</v>
      </c>
      <c r="D31" s="1210" t="s">
        <v>1047</v>
      </c>
      <c r="E31" s="1211">
        <v>0.91</v>
      </c>
      <c r="F31" s="1209">
        <v>520</v>
      </c>
      <c r="G31" s="1209">
        <f>F31*E31</f>
        <v>473.2</v>
      </c>
    </row>
    <row r="32" spans="1:7">
      <c r="A32" s="1200"/>
      <c r="B32" s="1200"/>
      <c r="C32" s="1207" t="s">
        <v>1748</v>
      </c>
      <c r="D32" s="1210"/>
      <c r="E32" s="1211"/>
      <c r="F32" s="1209"/>
      <c r="G32" s="1209"/>
    </row>
    <row r="33" spans="1:7">
      <c r="A33" s="1200"/>
      <c r="B33" s="1200" t="s">
        <v>2163</v>
      </c>
      <c r="C33" s="1207" t="s">
        <v>989</v>
      </c>
      <c r="D33" s="1210" t="s">
        <v>1047</v>
      </c>
      <c r="E33" s="1211">
        <v>0.06</v>
      </c>
      <c r="F33" s="1209">
        <v>550</v>
      </c>
      <c r="G33" s="1209">
        <f>F33*E33</f>
        <v>33</v>
      </c>
    </row>
    <row r="34" spans="1:7">
      <c r="A34" s="1200"/>
      <c r="B34" s="1200"/>
      <c r="C34" s="1207" t="s">
        <v>1749</v>
      </c>
      <c r="D34" s="1210" t="s">
        <v>1047</v>
      </c>
      <c r="E34" s="1211">
        <v>0.06</v>
      </c>
      <c r="F34" s="1209">
        <v>520</v>
      </c>
      <c r="G34" s="1209">
        <f>F34*E34</f>
        <v>31.2</v>
      </c>
    </row>
    <row r="35" spans="1:7">
      <c r="A35" s="1200"/>
      <c r="B35" s="1200"/>
      <c r="C35" s="1207" t="s">
        <v>1750</v>
      </c>
      <c r="D35" s="1210"/>
      <c r="E35" s="1211"/>
      <c r="F35" s="1209"/>
      <c r="G35" s="1209"/>
    </row>
    <row r="36" spans="1:7" ht="27.7" customHeight="1">
      <c r="A36" s="1200"/>
      <c r="B36" s="1200" t="s">
        <v>2163</v>
      </c>
      <c r="C36" s="1207" t="s">
        <v>989</v>
      </c>
      <c r="D36" s="1210" t="s">
        <v>1047</v>
      </c>
      <c r="E36" s="1211">
        <v>0.14000000000000001</v>
      </c>
      <c r="F36" s="1209">
        <f>F33</f>
        <v>550</v>
      </c>
      <c r="G36" s="1209">
        <f>F36*E36</f>
        <v>77.000000000000014</v>
      </c>
    </row>
    <row r="37" spans="1:7">
      <c r="A37" s="1200"/>
      <c r="B37" s="1200"/>
      <c r="C37" s="1207" t="s">
        <v>1751</v>
      </c>
      <c r="D37" s="1210" t="s">
        <v>1047</v>
      </c>
      <c r="E37" s="1211">
        <v>0.14000000000000001</v>
      </c>
      <c r="F37" s="1209">
        <f>F31</f>
        <v>520</v>
      </c>
      <c r="G37" s="1209">
        <f>F37*E37</f>
        <v>72.800000000000011</v>
      </c>
    </row>
    <row r="38" spans="1:7">
      <c r="A38" s="1200"/>
      <c r="B38" s="1200"/>
      <c r="C38" s="1207" t="s">
        <v>2150</v>
      </c>
      <c r="D38" s="1210" t="s">
        <v>975</v>
      </c>
      <c r="E38" s="1211">
        <v>0</v>
      </c>
      <c r="F38" s="1209">
        <f>SUM(G30:G37)</f>
        <v>1149.2</v>
      </c>
      <c r="G38" s="1209">
        <f>F38*E38</f>
        <v>0</v>
      </c>
    </row>
    <row r="39" spans="1:7">
      <c r="A39" s="1200"/>
      <c r="B39" s="1200"/>
      <c r="C39" s="1207" t="s">
        <v>2151</v>
      </c>
      <c r="D39" s="1210" t="s">
        <v>975</v>
      </c>
      <c r="E39" s="1211">
        <v>0</v>
      </c>
      <c r="F39" s="1209">
        <f>SUM(G21:G38)</f>
        <v>7224.6799999999994</v>
      </c>
      <c r="G39" s="1209">
        <f>F39*E39</f>
        <v>0</v>
      </c>
    </row>
    <row r="40" spans="1:7" ht="14.1">
      <c r="A40" s="1200"/>
      <c r="B40" s="1200"/>
      <c r="C40" s="1207"/>
      <c r="D40" s="1213" t="s">
        <v>2164</v>
      </c>
      <c r="E40" s="1214">
        <v>10</v>
      </c>
      <c r="F40" s="1215" t="s">
        <v>2165</v>
      </c>
      <c r="G40" s="1215">
        <f>SUM(G21:G39)</f>
        <v>7224.6799999999994</v>
      </c>
    </row>
    <row r="41" spans="1:7" ht="28.2">
      <c r="A41" s="1200"/>
      <c r="B41" s="1200"/>
      <c r="C41" s="1208" t="s">
        <v>2152</v>
      </c>
      <c r="D41" s="1210"/>
      <c r="E41" s="1214" t="s">
        <v>2166</v>
      </c>
      <c r="F41" s="1215" t="s">
        <v>2167</v>
      </c>
      <c r="G41" s="1215">
        <f>ROUNDUP(G40/E40,2)</f>
        <v>722.47</v>
      </c>
    </row>
    <row r="42" spans="1:7" ht="55.5">
      <c r="A42" s="1200">
        <v>4</v>
      </c>
      <c r="B42" s="1201"/>
      <c r="C42" s="1203" t="s">
        <v>2437</v>
      </c>
      <c r="D42" s="1204"/>
      <c r="E42" s="1205"/>
      <c r="F42" s="1206"/>
      <c r="G42" s="1202"/>
    </row>
    <row r="43" spans="1:7" ht="14.1">
      <c r="A43" s="1200"/>
      <c r="B43" s="1201"/>
      <c r="C43" s="1203" t="s">
        <v>1041</v>
      </c>
      <c r="D43" s="1204"/>
      <c r="E43" s="1205"/>
      <c r="F43" s="1206"/>
      <c r="G43" s="1202"/>
    </row>
    <row r="44" spans="1:7" ht="18.75" customHeight="1">
      <c r="A44" s="1200"/>
      <c r="B44" s="1201"/>
      <c r="C44" s="1203" t="s">
        <v>2168</v>
      </c>
      <c r="D44" s="1204" t="s">
        <v>347</v>
      </c>
      <c r="E44" s="1205">
        <v>1.03</v>
      </c>
      <c r="F44" s="1206">
        <f>'Lead- Input sheet '!R10/1000</f>
        <v>69.62</v>
      </c>
      <c r="G44" s="1206">
        <f>F44*E44</f>
        <v>71.708600000000004</v>
      </c>
    </row>
    <row r="45" spans="1:7" ht="14.1">
      <c r="A45" s="1200"/>
      <c r="B45" s="1201"/>
      <c r="C45" s="1203" t="s">
        <v>653</v>
      </c>
      <c r="D45" s="1204"/>
      <c r="E45" s="1205"/>
      <c r="F45" s="1206"/>
      <c r="G45" s="1202"/>
    </row>
    <row r="46" spans="1:7" ht="82.8">
      <c r="A46" s="1200"/>
      <c r="B46" s="1201" t="s">
        <v>2146</v>
      </c>
      <c r="C46" s="1203" t="s">
        <v>2147</v>
      </c>
      <c r="D46" s="1204" t="s">
        <v>347</v>
      </c>
      <c r="E46" s="1205">
        <v>1</v>
      </c>
      <c r="F46" s="1206">
        <v>34</v>
      </c>
      <c r="G46" s="1206">
        <f>F46*E46</f>
        <v>34</v>
      </c>
    </row>
    <row r="47" spans="1:7" ht="96.6">
      <c r="A47" s="1200"/>
      <c r="B47" s="1201" t="s">
        <v>2148</v>
      </c>
      <c r="C47" s="1203" t="s">
        <v>2149</v>
      </c>
      <c r="D47" s="1204" t="s">
        <v>347</v>
      </c>
      <c r="E47" s="1205">
        <v>1</v>
      </c>
      <c r="F47" s="1206">
        <v>31</v>
      </c>
      <c r="G47" s="1206">
        <f>F47*E47</f>
        <v>31</v>
      </c>
    </row>
    <row r="48" spans="1:7" ht="28.2">
      <c r="A48" s="1200"/>
      <c r="B48" s="1201"/>
      <c r="C48" s="1208" t="s">
        <v>2152</v>
      </c>
      <c r="D48" s="1204"/>
      <c r="E48" s="1205"/>
      <c r="F48" s="1202" t="s">
        <v>2153</v>
      </c>
      <c r="G48" s="1202">
        <f>SUM(G44:G47)</f>
        <v>136.70859999999999</v>
      </c>
    </row>
    <row r="52" spans="2:4">
      <c r="B52" s="1199" t="str">
        <f>'Lead- Input sheet '!B44</f>
        <v xml:space="preserve">  Assistant Exc.Engineer  </v>
      </c>
      <c r="D52" s="1199" t="str">
        <f>'Lead- Input sheet '!H44</f>
        <v>Deputy Executive Engineer</v>
      </c>
    </row>
    <row r="53" spans="2:4">
      <c r="B53" s="1199" t="str">
        <f>'Lead- Input sheet '!B45</f>
        <v>PR MPP Kalwakurthy</v>
      </c>
      <c r="D53" s="1199" t="str">
        <f>'Lead- Input sheet '!H45</f>
        <v>PR SD Kalwakurthy</v>
      </c>
    </row>
  </sheetData>
  <mergeCells count="4">
    <mergeCell ref="A1:G1"/>
    <mergeCell ref="A2:G2"/>
    <mergeCell ref="C3:F3"/>
    <mergeCell ref="C18:F18"/>
  </mergeCells>
  <pageMargins left="0.41" right="0.12" top="0.32" bottom="0.4" header="0.3" footer="0.3"/>
  <pageSetup paperSize="9" scale="97" orientation="portrait" r:id="rId1"/>
  <rowBreaks count="1" manualBreakCount="1">
    <brk id="43" max="6"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IV60"/>
  <sheetViews>
    <sheetView zoomScale="142" zoomScaleNormal="142" workbookViewId="0">
      <selection activeCell="A6" sqref="A6"/>
    </sheetView>
  </sheetViews>
  <sheetFormatPr defaultColWidth="10.109375" defaultRowHeight="13.8"/>
  <cols>
    <col min="1" max="1" width="5.88671875" style="1139" customWidth="1"/>
    <col min="2" max="2" width="30.6640625" style="1139" customWidth="1"/>
    <col min="3" max="3" width="24.44140625" style="1152" customWidth="1"/>
    <col min="4" max="4" width="27.88671875" style="1139" customWidth="1"/>
    <col min="5" max="5" width="19.5546875" style="1152" customWidth="1"/>
    <col min="6" max="6" width="15.5546875" style="1152" customWidth="1"/>
    <col min="7" max="7" width="4.88671875" style="1139" customWidth="1"/>
    <col min="8" max="256" width="10.109375" style="1139"/>
  </cols>
  <sheetData>
    <row r="1" spans="1:13" ht="30.75" customHeight="1">
      <c r="A1" s="1155" t="s">
        <v>986</v>
      </c>
      <c r="B1" s="1137"/>
      <c r="C1" s="1137"/>
      <c r="D1" s="1137"/>
      <c r="E1" s="1137"/>
      <c r="F1" s="1137"/>
      <c r="G1" s="1138"/>
    </row>
    <row r="2" spans="1:13" ht="59.25" customHeight="1">
      <c r="B2" s="1140" t="str">
        <f>CONCATENATE(" Accompanying the Detailed Estimate for the work ",'Lead- Input sheet '!A2," PIU Rangareddy DIST ")</f>
        <v xml:space="preserve"> Accompanying the Detailed Estimate for the work  Construction of  Anganwadi Building at Jeedipally Thanda (V) of Kalwakurthy (M) of Nagarkurnool District  PIU Rangareddy DIST </v>
      </c>
      <c r="C2" s="1140"/>
      <c r="D2" s="1140"/>
      <c r="E2" s="1140"/>
      <c r="F2" s="1140"/>
      <c r="G2" s="1141"/>
    </row>
    <row r="3" spans="1:13" s="1142" customFormat="1" ht="14.1">
      <c r="A3" s="1156"/>
      <c r="B3" s="1157"/>
      <c r="E3" s="1153" t="s">
        <v>497</v>
      </c>
      <c r="F3" s="1158" t="e">
        <f>'Rythu Vedhika -12'' ht Proflex'!#REF!</f>
        <v>#REF!</v>
      </c>
      <c r="G3" s="1139"/>
    </row>
    <row r="4" spans="1:13" s="1142" customFormat="1" ht="74.25" customHeight="1">
      <c r="B4" s="2395" t="s">
        <v>2367</v>
      </c>
      <c r="C4" s="2395"/>
      <c r="D4" s="2395"/>
      <c r="E4" s="2395"/>
      <c r="F4" s="2395"/>
    </row>
    <row r="5" spans="1:13" s="1142" customFormat="1">
      <c r="B5" s="1159" t="s">
        <v>2200</v>
      </c>
      <c r="C5" s="1159" t="s">
        <v>2201</v>
      </c>
      <c r="D5" s="1159" t="s">
        <v>2202</v>
      </c>
      <c r="E5" s="2395" t="s">
        <v>2203</v>
      </c>
      <c r="F5" s="2395"/>
    </row>
    <row r="6" spans="1:13" s="1142" customFormat="1">
      <c r="B6" s="1159" t="s">
        <v>2207</v>
      </c>
      <c r="C6" s="1159" t="s">
        <v>2204</v>
      </c>
      <c r="D6" s="1159" t="s">
        <v>221</v>
      </c>
      <c r="E6" s="2395" t="s">
        <v>2205</v>
      </c>
      <c r="F6" s="2395"/>
    </row>
    <row r="7" spans="1:13" s="1142" customFormat="1">
      <c r="B7" s="1159" t="s">
        <v>2309</v>
      </c>
      <c r="C7" s="1159" t="s">
        <v>2310</v>
      </c>
      <c r="D7" s="1159" t="s">
        <v>2206</v>
      </c>
      <c r="E7" s="1160" t="s">
        <v>2205</v>
      </c>
      <c r="F7" s="1159"/>
    </row>
    <row r="8" spans="1:13" s="1142" customFormat="1">
      <c r="B8" s="1159"/>
      <c r="C8" s="1159"/>
      <c r="D8" s="1159"/>
      <c r="E8" s="1160"/>
      <c r="F8" s="1159"/>
    </row>
    <row r="9" spans="1:13" s="1142" customFormat="1" ht="14.1">
      <c r="B9" s="1157" t="s">
        <v>2368</v>
      </c>
      <c r="C9" s="1157" t="s">
        <v>2369</v>
      </c>
      <c r="D9" s="1159"/>
      <c r="E9" s="2395"/>
      <c r="F9" s="2395"/>
    </row>
    <row r="10" spans="1:13" s="1142" customFormat="1" ht="14.1">
      <c r="B10" s="1157"/>
      <c r="C10" s="1157"/>
      <c r="D10" s="1159"/>
      <c r="E10" s="1159"/>
      <c r="F10" s="1159"/>
    </row>
    <row r="11" spans="1:13" s="1142" customFormat="1" ht="14.1">
      <c r="A11" s="1143"/>
      <c r="B11" s="1161" t="s">
        <v>2208</v>
      </c>
      <c r="C11" s="1162"/>
      <c r="D11" s="1161"/>
      <c r="E11" s="1161"/>
      <c r="F11" s="1161"/>
      <c r="H11" s="2399"/>
      <c r="I11" s="2399"/>
      <c r="J11" s="2399"/>
      <c r="K11" s="2399"/>
      <c r="L11" s="2399"/>
      <c r="M11" s="2399"/>
    </row>
    <row r="12" spans="1:13" s="1142" customFormat="1" ht="14.1">
      <c r="A12" s="1143"/>
      <c r="B12" s="1161"/>
      <c r="C12" s="1162"/>
      <c r="D12" s="1161"/>
      <c r="E12" s="1161"/>
      <c r="F12" s="1161"/>
      <c r="H12" s="1187"/>
      <c r="I12" s="1187"/>
      <c r="J12" s="1187"/>
      <c r="K12" s="1187"/>
      <c r="L12" s="1187"/>
      <c r="M12" s="1187"/>
    </row>
    <row r="13" spans="1:13" s="1146" customFormat="1" ht="67.5" customHeight="1">
      <c r="A13" s="1144">
        <v>1</v>
      </c>
      <c r="B13" s="2395" t="s">
        <v>2057</v>
      </c>
      <c r="C13" s="2395"/>
      <c r="D13" s="2395"/>
      <c r="E13" s="2395"/>
      <c r="F13" s="2395"/>
      <c r="G13" s="1145"/>
    </row>
    <row r="14" spans="1:13" s="1146" customFormat="1" ht="87" customHeight="1">
      <c r="A14" s="1144">
        <f>A13+1</f>
        <v>2</v>
      </c>
      <c r="B14" s="2398" t="s">
        <v>2311</v>
      </c>
      <c r="C14" s="2398"/>
      <c r="D14" s="2398"/>
      <c r="E14" s="2398"/>
      <c r="F14" s="2398"/>
      <c r="G14" s="1144"/>
    </row>
    <row r="15" spans="1:13" s="1146" customFormat="1" ht="77.25" customHeight="1">
      <c r="A15" s="1144">
        <f t="shared" ref="A15:A39" si="0">A14+1</f>
        <v>3</v>
      </c>
      <c r="B15" s="2398" t="s">
        <v>2312</v>
      </c>
      <c r="C15" s="2398"/>
      <c r="D15" s="2398"/>
      <c r="E15" s="2398"/>
      <c r="F15" s="2398"/>
      <c r="G15" s="1144"/>
    </row>
    <row r="16" spans="1:13" s="1146" customFormat="1" ht="60.75" customHeight="1">
      <c r="A16" s="1144">
        <f t="shared" si="0"/>
        <v>4</v>
      </c>
      <c r="B16" s="2398" t="s">
        <v>2313</v>
      </c>
      <c r="C16" s="2398"/>
      <c r="D16" s="2398"/>
      <c r="E16" s="2398"/>
      <c r="F16" s="2398"/>
      <c r="G16" s="1145"/>
    </row>
    <row r="17" spans="1:7" s="1055" customFormat="1" ht="72.75" customHeight="1">
      <c r="A17" s="1144">
        <f t="shared" si="0"/>
        <v>5</v>
      </c>
      <c r="B17" s="2396" t="s">
        <v>2314</v>
      </c>
      <c r="C17" s="2397"/>
      <c r="D17" s="2397"/>
      <c r="E17" s="2397"/>
      <c r="F17" s="2397"/>
      <c r="G17" s="1145"/>
    </row>
    <row r="18" spans="1:7" s="1055" customFormat="1" ht="96.75" customHeight="1">
      <c r="A18" s="1144">
        <f t="shared" si="0"/>
        <v>6</v>
      </c>
      <c r="B18" s="2396" t="s">
        <v>2315</v>
      </c>
      <c r="C18" s="2397"/>
      <c r="D18" s="2397"/>
      <c r="E18" s="2397"/>
      <c r="F18" s="2397"/>
      <c r="G18" s="1145"/>
    </row>
    <row r="19" spans="1:7" s="1055" customFormat="1" ht="69" customHeight="1">
      <c r="A19" s="1144">
        <f t="shared" si="0"/>
        <v>7</v>
      </c>
      <c r="B19" s="2396" t="s">
        <v>2316</v>
      </c>
      <c r="C19" s="2397"/>
      <c r="D19" s="2397"/>
      <c r="E19" s="2397"/>
      <c r="F19" s="2397"/>
      <c r="G19" s="1145"/>
    </row>
    <row r="20" spans="1:7" s="1055" customFormat="1" ht="65.25" customHeight="1">
      <c r="A20" s="1144">
        <f t="shared" si="0"/>
        <v>8</v>
      </c>
      <c r="B20" s="2395" t="s">
        <v>2317</v>
      </c>
      <c r="C20" s="2395"/>
      <c r="D20" s="2395"/>
      <c r="E20" s="2395"/>
      <c r="F20" s="2395"/>
      <c r="G20" s="1145"/>
    </row>
    <row r="21" spans="1:7" s="1055" customFormat="1" ht="97.5" customHeight="1">
      <c r="A21" s="1144">
        <f t="shared" si="0"/>
        <v>9</v>
      </c>
      <c r="B21" s="2395" t="s">
        <v>144</v>
      </c>
      <c r="C21" s="2395"/>
      <c r="D21" s="2395"/>
      <c r="E21" s="2395"/>
      <c r="F21" s="2395"/>
      <c r="G21" s="1147"/>
    </row>
    <row r="22" spans="1:7" s="1055" customFormat="1" ht="86.25" customHeight="1">
      <c r="A22" s="1144">
        <f t="shared" si="0"/>
        <v>10</v>
      </c>
      <c r="B22" s="2395" t="s">
        <v>634</v>
      </c>
      <c r="C22" s="2395"/>
      <c r="D22" s="2395"/>
      <c r="E22" s="2395"/>
      <c r="F22" s="2395"/>
      <c r="G22" s="1147"/>
    </row>
    <row r="23" spans="1:7" s="1055" customFormat="1" ht="76.5" customHeight="1">
      <c r="A23" s="1144">
        <f t="shared" si="0"/>
        <v>11</v>
      </c>
      <c r="B23" s="2398" t="s">
        <v>1376</v>
      </c>
      <c r="C23" s="2398"/>
      <c r="D23" s="2398"/>
      <c r="E23" s="2398"/>
      <c r="F23" s="2398"/>
      <c r="G23" s="1147"/>
    </row>
    <row r="24" spans="1:7" s="1055" customFormat="1" ht="47.25" customHeight="1">
      <c r="A24" s="1144">
        <f t="shared" si="0"/>
        <v>12</v>
      </c>
      <c r="B24" s="2398" t="s">
        <v>2247</v>
      </c>
      <c r="C24" s="2398"/>
      <c r="D24" s="2398"/>
      <c r="E24" s="2398"/>
      <c r="F24" s="2398"/>
      <c r="G24" s="1147"/>
    </row>
    <row r="25" spans="1:7" s="1055" customFormat="1" ht="38.25" customHeight="1">
      <c r="A25" s="1144">
        <f t="shared" si="0"/>
        <v>13</v>
      </c>
      <c r="B25" s="2398" t="s">
        <v>2251</v>
      </c>
      <c r="C25" s="2398"/>
      <c r="D25" s="2398"/>
      <c r="E25" s="2398"/>
      <c r="F25" s="2398"/>
      <c r="G25" s="1147"/>
    </row>
    <row r="26" spans="1:7" s="1055" customFormat="1" ht="62.25" customHeight="1">
      <c r="A26" s="1144">
        <f t="shared" si="0"/>
        <v>14</v>
      </c>
      <c r="B26" s="2398" t="s">
        <v>2252</v>
      </c>
      <c r="C26" s="2398"/>
      <c r="D26" s="2398"/>
      <c r="E26" s="2398"/>
      <c r="F26" s="2398"/>
      <c r="G26" s="1147"/>
    </row>
    <row r="27" spans="1:7" s="1055" customFormat="1" ht="76.5" customHeight="1">
      <c r="A27" s="1144">
        <f t="shared" si="0"/>
        <v>15</v>
      </c>
      <c r="B27" s="2398" t="s">
        <v>2253</v>
      </c>
      <c r="C27" s="2398"/>
      <c r="D27" s="2398"/>
      <c r="E27" s="2398"/>
      <c r="F27" s="2398"/>
      <c r="G27" s="1147"/>
    </row>
    <row r="28" spans="1:7" s="1055" customFormat="1" ht="76.5" customHeight="1">
      <c r="A28" s="1144">
        <f t="shared" si="0"/>
        <v>16</v>
      </c>
      <c r="B28" s="2398" t="s">
        <v>2197</v>
      </c>
      <c r="C28" s="2398"/>
      <c r="D28" s="2398"/>
      <c r="E28" s="2398"/>
      <c r="F28" s="2398"/>
      <c r="G28" s="1147"/>
    </row>
    <row r="29" spans="1:7" s="1055" customFormat="1" ht="94.5" customHeight="1">
      <c r="A29" s="1144">
        <f t="shared" si="0"/>
        <v>17</v>
      </c>
      <c r="B29" s="2395" t="s">
        <v>2234</v>
      </c>
      <c r="C29" s="2395"/>
      <c r="D29" s="2395"/>
      <c r="E29" s="2395"/>
      <c r="F29" s="2395"/>
      <c r="G29" s="1147"/>
    </row>
    <row r="30" spans="1:7" s="1055" customFormat="1" ht="39.75" customHeight="1">
      <c r="A30" s="1144">
        <f t="shared" si="0"/>
        <v>18</v>
      </c>
      <c r="B30" s="1163" t="s">
        <v>2249</v>
      </c>
      <c r="C30" s="1163" t="s">
        <v>2230</v>
      </c>
      <c r="D30" s="1163" t="s">
        <v>2248</v>
      </c>
      <c r="E30" s="1159"/>
      <c r="F30" s="1159"/>
      <c r="G30" s="1147"/>
    </row>
    <row r="31" spans="1:7" s="1055" customFormat="1" ht="153.75" customHeight="1">
      <c r="A31" s="1144">
        <f t="shared" si="0"/>
        <v>19</v>
      </c>
      <c r="B31" s="2395" t="s">
        <v>2246</v>
      </c>
      <c r="C31" s="2395"/>
      <c r="D31" s="2395"/>
      <c r="E31" s="2395"/>
      <c r="F31" s="2395"/>
      <c r="G31" s="1147"/>
    </row>
    <row r="32" spans="1:7" s="1055" customFormat="1" ht="21" customHeight="1">
      <c r="A32" s="1144">
        <f t="shared" si="0"/>
        <v>20</v>
      </c>
      <c r="B32" s="1163" t="s">
        <v>2250</v>
      </c>
      <c r="C32" s="1159"/>
      <c r="D32" s="1159"/>
      <c r="E32" s="1159"/>
      <c r="F32" s="1159"/>
      <c r="G32" s="1147"/>
    </row>
    <row r="33" spans="1:7" ht="23.25" customHeight="1">
      <c r="A33" s="1144">
        <f t="shared" si="0"/>
        <v>21</v>
      </c>
      <c r="B33" s="2400" t="s">
        <v>434</v>
      </c>
      <c r="C33" s="2400"/>
      <c r="D33" s="2400"/>
      <c r="E33" s="2400"/>
      <c r="F33" s="2400"/>
    </row>
    <row r="34" spans="1:7" s="1055" customFormat="1" ht="204.75" customHeight="1">
      <c r="A34" s="1144">
        <f t="shared" si="0"/>
        <v>22</v>
      </c>
      <c r="B34" s="2400" t="s">
        <v>2173</v>
      </c>
      <c r="C34" s="2400"/>
      <c r="D34" s="2400"/>
      <c r="E34" s="2400"/>
      <c r="F34" s="2400"/>
      <c r="G34" s="1147"/>
    </row>
    <row r="35" spans="1:7" ht="95.25" customHeight="1">
      <c r="A35" s="1144">
        <f t="shared" si="0"/>
        <v>23</v>
      </c>
      <c r="B35" s="2400" t="s">
        <v>2198</v>
      </c>
      <c r="C35" s="2400"/>
      <c r="D35" s="2400"/>
      <c r="E35" s="2400"/>
      <c r="F35" s="2400"/>
    </row>
    <row r="36" spans="1:7" ht="101.25" customHeight="1">
      <c r="A36" s="1144">
        <f t="shared" si="0"/>
        <v>24</v>
      </c>
      <c r="B36" s="2400" t="s">
        <v>1340</v>
      </c>
      <c r="C36" s="2400"/>
      <c r="D36" s="2400"/>
      <c r="E36" s="2400"/>
      <c r="F36" s="2400"/>
    </row>
    <row r="37" spans="1:7" s="1055" customFormat="1" ht="67.5" customHeight="1">
      <c r="A37" s="1144">
        <f t="shared" si="0"/>
        <v>25</v>
      </c>
      <c r="B37" s="2400" t="s">
        <v>2180</v>
      </c>
      <c r="C37" s="2400"/>
      <c r="D37" s="2400"/>
      <c r="E37" s="2400"/>
      <c r="F37" s="2400"/>
      <c r="G37" s="1145"/>
    </row>
    <row r="38" spans="1:7" s="1055" customFormat="1" ht="28.5" customHeight="1">
      <c r="A38" s="1144">
        <f t="shared" si="0"/>
        <v>26</v>
      </c>
      <c r="B38" s="2400" t="s">
        <v>2254</v>
      </c>
      <c r="C38" s="2400"/>
      <c r="D38" s="2400"/>
      <c r="E38" s="2400"/>
      <c r="F38" s="2400"/>
      <c r="G38" s="1145"/>
    </row>
    <row r="39" spans="1:7" s="1055" customFormat="1">
      <c r="A39" s="1144">
        <f t="shared" si="0"/>
        <v>27</v>
      </c>
      <c r="B39" s="2400" t="s">
        <v>2255</v>
      </c>
      <c r="C39" s="2400"/>
      <c r="D39" s="2400"/>
      <c r="E39" s="2400"/>
      <c r="F39" s="2400"/>
      <c r="G39" s="1145"/>
    </row>
    <row r="40" spans="1:7" s="1055" customFormat="1" ht="18.75" customHeight="1">
      <c r="A40" s="1144"/>
      <c r="B40" s="2400"/>
      <c r="C40" s="2400"/>
      <c r="D40" s="2400"/>
      <c r="E40" s="2400"/>
      <c r="F40" s="2400"/>
      <c r="G40" s="1145"/>
    </row>
    <row r="41" spans="1:7" s="1055" customFormat="1" ht="39" customHeight="1">
      <c r="A41" s="1148"/>
      <c r="B41" s="2401" t="s">
        <v>2199</v>
      </c>
      <c r="C41" s="2401"/>
      <c r="D41" s="2401"/>
      <c r="E41" s="2401"/>
      <c r="F41" s="2401"/>
      <c r="G41" s="1145"/>
    </row>
    <row r="42" spans="1:7" s="1055" customFormat="1">
      <c r="A42" s="1142"/>
      <c r="B42" s="1142"/>
      <c r="C42" s="1142"/>
      <c r="D42" s="1142"/>
      <c r="E42" s="1142"/>
      <c r="F42" s="1142"/>
      <c r="G42" s="1145"/>
    </row>
    <row r="43" spans="1:7" s="1055" customFormat="1">
      <c r="A43" s="1142"/>
      <c r="B43" s="1142"/>
      <c r="C43" s="1142"/>
      <c r="D43" s="1142"/>
      <c r="E43" s="1142"/>
      <c r="F43" s="1142"/>
      <c r="G43" s="1145"/>
    </row>
    <row r="44" spans="1:7">
      <c r="A44" s="1142"/>
      <c r="B44" s="1142"/>
      <c r="C44" s="1142"/>
      <c r="D44" s="1142"/>
      <c r="E44" s="1142"/>
      <c r="F44" s="1142"/>
    </row>
    <row r="45" spans="1:7" s="1151" customFormat="1" ht="15" customHeight="1">
      <c r="A45" s="1149"/>
      <c r="B45" s="1150" t="str">
        <f>'Lead- Input sheet '!B44</f>
        <v xml:space="preserve">  Assistant Exc.Engineer  </v>
      </c>
      <c r="D45" s="1150" t="str">
        <f>'Lead- Input sheet '!H44</f>
        <v>Deputy Executive Engineer</v>
      </c>
      <c r="E45" s="1150"/>
      <c r="F45" s="1150"/>
    </row>
    <row r="46" spans="1:7" s="1142" customFormat="1" ht="14.1">
      <c r="A46" s="1149"/>
      <c r="B46" s="1150" t="str">
        <f>'Lead- Input sheet '!B45</f>
        <v>PR MPP Kalwakurthy</v>
      </c>
      <c r="D46" s="1150" t="str">
        <f>'Lead- Input sheet '!H45</f>
        <v>PR SD Kalwakurthy</v>
      </c>
      <c r="E46" s="1150"/>
      <c r="F46" s="1150"/>
    </row>
    <row r="47" spans="1:7" s="1142" customFormat="1" ht="14.1">
      <c r="A47" s="1149"/>
      <c r="B47" s="1149"/>
      <c r="C47" s="1150"/>
      <c r="D47" s="1149"/>
      <c r="E47" s="1150"/>
      <c r="F47" s="1150"/>
    </row>
    <row r="48" spans="1:7" s="1142" customFormat="1">
      <c r="A48" s="1139"/>
      <c r="B48" s="1139"/>
      <c r="C48" s="1152"/>
      <c r="D48" s="1139"/>
      <c r="E48" s="1152"/>
      <c r="F48" s="1152"/>
    </row>
    <row r="49" spans="1:10" s="1149" customFormat="1" ht="14.1">
      <c r="A49" s="1139"/>
      <c r="B49" s="1139"/>
      <c r="C49" s="1152"/>
      <c r="D49" s="1139"/>
      <c r="E49" s="1152"/>
      <c r="F49" s="1152"/>
      <c r="G49" s="1150"/>
      <c r="H49" s="1150"/>
      <c r="I49" s="1150"/>
      <c r="J49" s="1150"/>
    </row>
    <row r="50" spans="1:10" s="1149" customFormat="1" ht="14.1">
      <c r="A50" s="1139"/>
      <c r="B50" s="1139"/>
      <c r="C50" s="1152"/>
      <c r="D50" s="1139"/>
      <c r="E50" s="1152"/>
      <c r="F50" s="1152"/>
      <c r="G50" s="1150"/>
      <c r="H50" s="1150"/>
      <c r="I50" s="1150"/>
      <c r="J50" s="1150"/>
    </row>
    <row r="51" spans="1:10" s="1149" customFormat="1" ht="14.1">
      <c r="A51" s="1139"/>
      <c r="B51" s="1139"/>
      <c r="C51" s="1152"/>
      <c r="D51" s="1139"/>
      <c r="E51" s="1152"/>
      <c r="F51" s="1152"/>
      <c r="G51" s="1153"/>
    </row>
    <row r="54" spans="1:10">
      <c r="A54" s="1154"/>
      <c r="B54" s="2400"/>
      <c r="C54" s="2400"/>
      <c r="D54" s="2400"/>
      <c r="E54" s="2400"/>
      <c r="F54" s="2400"/>
    </row>
    <row r="55" spans="1:10">
      <c r="A55" s="1154"/>
      <c r="B55" s="2400"/>
      <c r="C55" s="2400"/>
      <c r="D55" s="2400"/>
      <c r="E55" s="2400"/>
      <c r="F55" s="2400"/>
    </row>
    <row r="56" spans="1:10">
      <c r="A56" s="1154"/>
      <c r="B56" s="2400"/>
      <c r="C56" s="2400"/>
      <c r="D56" s="2400"/>
      <c r="E56" s="2400"/>
      <c r="F56" s="2400"/>
    </row>
    <row r="58" spans="1:10" s="1055" customFormat="1" ht="30.75" customHeight="1">
      <c r="A58" s="1139"/>
      <c r="B58" s="1139"/>
      <c r="C58" s="1152"/>
      <c r="D58" s="1139"/>
      <c r="E58" s="1152"/>
      <c r="F58" s="1152"/>
      <c r="G58" s="1145"/>
    </row>
    <row r="59" spans="1:10" s="1055" customFormat="1" ht="61.5" customHeight="1">
      <c r="A59" s="1139"/>
      <c r="B59" s="1139"/>
      <c r="C59" s="1152"/>
      <c r="D59" s="1139"/>
      <c r="E59" s="1152"/>
      <c r="F59" s="1152"/>
      <c r="G59" s="1145"/>
    </row>
    <row r="60" spans="1:10" s="1055" customFormat="1" ht="30.75" customHeight="1">
      <c r="A60" s="1139"/>
      <c r="B60" s="1139"/>
      <c r="C60" s="1152"/>
      <c r="D60" s="1139"/>
      <c r="E60" s="1152"/>
      <c r="F60" s="1152"/>
      <c r="G60" s="1145"/>
    </row>
  </sheetData>
  <mergeCells count="35">
    <mergeCell ref="H11:M11"/>
    <mergeCell ref="B56:F56"/>
    <mergeCell ref="B18:F18"/>
    <mergeCell ref="B4:F4"/>
    <mergeCell ref="B37:F37"/>
    <mergeCell ref="B39:F39"/>
    <mergeCell ref="B20:F20"/>
    <mergeCell ref="B29:F29"/>
    <mergeCell ref="B31:F31"/>
    <mergeCell ref="B33:F33"/>
    <mergeCell ref="B55:F55"/>
    <mergeCell ref="B24:F24"/>
    <mergeCell ref="B25:F25"/>
    <mergeCell ref="B26:F26"/>
    <mergeCell ref="B27:F27"/>
    <mergeCell ref="B28:F28"/>
    <mergeCell ref="E9:F9"/>
    <mergeCell ref="B34:F34"/>
    <mergeCell ref="B13:F13"/>
    <mergeCell ref="B35:F35"/>
    <mergeCell ref="E5:F5"/>
    <mergeCell ref="E6:F6"/>
    <mergeCell ref="B14:F14"/>
    <mergeCell ref="B15:F15"/>
    <mergeCell ref="B17:F17"/>
    <mergeCell ref="B21:F21"/>
    <mergeCell ref="B16:F16"/>
    <mergeCell ref="B22:F22"/>
    <mergeCell ref="B40:F40"/>
    <mergeCell ref="B41:F41"/>
    <mergeCell ref="B19:F19"/>
    <mergeCell ref="B54:F54"/>
    <mergeCell ref="B38:F38"/>
    <mergeCell ref="B36:F36"/>
    <mergeCell ref="B23:F23"/>
  </mergeCells>
  <printOptions horizontalCentered="1"/>
  <pageMargins left="0.5" right="0.25" top="0.75" bottom="0.4" header="0.5" footer="0.5"/>
  <pageSetup paperSize="9" scale="75"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M72"/>
  <sheetViews>
    <sheetView workbookViewId="0">
      <selection activeCell="A9" sqref="A9"/>
    </sheetView>
  </sheetViews>
  <sheetFormatPr defaultRowHeight="12.3"/>
  <cols>
    <col min="1" max="1" width="5.5546875" style="1" customWidth="1"/>
    <col min="2" max="2" width="14.109375" customWidth="1"/>
    <col min="3" max="3" width="22.5546875" customWidth="1"/>
    <col min="4" max="4" width="8.5546875" customWidth="1"/>
    <col min="5" max="5" width="6.109375" customWidth="1"/>
    <col min="6" max="7" width="3.6640625" customWidth="1"/>
    <col min="8" max="8" width="6.5546875" customWidth="1"/>
    <col min="9" max="9" width="7.88671875" customWidth="1"/>
    <col min="10" max="10" width="10.33203125" customWidth="1"/>
    <col min="11" max="11" width="7.109375" customWidth="1"/>
    <col min="12" max="12" width="12.33203125" customWidth="1"/>
  </cols>
  <sheetData>
    <row r="1" spans="1:13" ht="35.25" customHeight="1">
      <c r="A1" s="2706" t="str">
        <f>'Lead- Input sheet '!A2</f>
        <v xml:space="preserve"> Construction of  Anganwadi Building at Jeedipally Thanda (V) of Kalwakurthy (M) of Nagarkurnool District </v>
      </c>
      <c r="B1" s="2707"/>
      <c r="C1" s="2707"/>
      <c r="D1" s="2707"/>
      <c r="E1" s="2707"/>
      <c r="F1" s="2707"/>
      <c r="G1" s="2707"/>
      <c r="H1" s="2707"/>
      <c r="I1" s="2707"/>
      <c r="J1" s="2707"/>
      <c r="K1" s="2707"/>
      <c r="L1" s="2707"/>
    </row>
    <row r="2" spans="1:13" ht="30.75" customHeight="1">
      <c r="A2" s="2710" t="s">
        <v>971</v>
      </c>
      <c r="B2" s="2711"/>
      <c r="C2" s="2711"/>
      <c r="D2" s="2711"/>
      <c r="E2" s="2711"/>
      <c r="F2" s="2711"/>
      <c r="G2" s="2711"/>
      <c r="H2" s="2711"/>
      <c r="I2" s="2711"/>
      <c r="J2" s="2711"/>
      <c r="K2" s="2711"/>
      <c r="L2" s="2711"/>
    </row>
    <row r="3" spans="1:13" ht="24.9" customHeight="1">
      <c r="A3" s="2708" t="s">
        <v>952</v>
      </c>
      <c r="B3" s="2708" t="s">
        <v>957</v>
      </c>
      <c r="C3" s="2708" t="s">
        <v>953</v>
      </c>
      <c r="D3" s="2708" t="s">
        <v>960</v>
      </c>
      <c r="E3" s="2708" t="s">
        <v>472</v>
      </c>
      <c r="F3" s="2708" t="s">
        <v>961</v>
      </c>
      <c r="G3" s="2708"/>
      <c r="H3" s="2708"/>
      <c r="I3" s="2708" t="s">
        <v>1417</v>
      </c>
      <c r="J3" s="2708" t="s">
        <v>958</v>
      </c>
      <c r="K3" s="2708" t="s">
        <v>955</v>
      </c>
      <c r="L3" s="2708" t="s">
        <v>956</v>
      </c>
    </row>
    <row r="4" spans="1:13" ht="12.9">
      <c r="A4" s="2708"/>
      <c r="B4" s="2708"/>
      <c r="C4" s="2708"/>
      <c r="D4" s="2708"/>
      <c r="E4" s="2708"/>
      <c r="F4" s="2709"/>
      <c r="G4" s="2709"/>
      <c r="H4" s="2709"/>
      <c r="I4" s="2708"/>
      <c r="J4" s="2708"/>
      <c r="K4" s="2708"/>
      <c r="L4" s="2708"/>
    </row>
    <row r="5" spans="1:13" ht="12.9">
      <c r="A5" s="326">
        <v>1</v>
      </c>
      <c r="B5" s="326">
        <f>A5+1</f>
        <v>2</v>
      </c>
      <c r="C5" s="326">
        <f t="shared" ref="C5:L5" si="0">B5+1</f>
        <v>3</v>
      </c>
      <c r="D5" s="326">
        <f t="shared" si="0"/>
        <v>4</v>
      </c>
      <c r="E5" s="326">
        <f t="shared" si="0"/>
        <v>5</v>
      </c>
      <c r="F5" s="326">
        <f t="shared" si="0"/>
        <v>6</v>
      </c>
      <c r="G5" s="326">
        <f t="shared" si="0"/>
        <v>7</v>
      </c>
      <c r="H5" s="326">
        <f t="shared" si="0"/>
        <v>8</v>
      </c>
      <c r="I5" s="326">
        <f t="shared" si="0"/>
        <v>9</v>
      </c>
      <c r="J5" s="326">
        <f t="shared" si="0"/>
        <v>10</v>
      </c>
      <c r="K5" s="326">
        <f t="shared" si="0"/>
        <v>11</v>
      </c>
      <c r="L5" s="326">
        <f t="shared" si="0"/>
        <v>12</v>
      </c>
    </row>
    <row r="6" spans="1:13" ht="16.2">
      <c r="A6" s="326"/>
      <c r="B6" s="1024" t="s">
        <v>2044</v>
      </c>
      <c r="C6" s="1025"/>
      <c r="D6" s="326"/>
      <c r="E6" s="326"/>
      <c r="F6" s="326"/>
      <c r="G6" s="326"/>
      <c r="H6" s="326"/>
      <c r="I6" s="326"/>
      <c r="J6" s="326"/>
      <c r="K6" s="326"/>
      <c r="L6" s="326"/>
    </row>
    <row r="7" spans="1:13" ht="24.9" customHeight="1">
      <c r="A7" s="327">
        <v>1</v>
      </c>
      <c r="B7" s="328"/>
      <c r="C7" s="329" t="s">
        <v>959</v>
      </c>
      <c r="D7" s="327">
        <v>10</v>
      </c>
      <c r="E7" s="70">
        <v>12</v>
      </c>
      <c r="F7" s="327">
        <v>2</v>
      </c>
      <c r="G7" s="327" t="s">
        <v>1472</v>
      </c>
      <c r="H7" s="327">
        <v>12</v>
      </c>
      <c r="I7" s="330">
        <v>1</v>
      </c>
      <c r="J7" s="330">
        <f t="shared" ref="J7:J20" si="1">ROUND(I7*H7*F7*E7,2)</f>
        <v>288</v>
      </c>
      <c r="K7" s="330">
        <v>0.62</v>
      </c>
      <c r="L7" s="331">
        <f t="shared" ref="L7:L29" si="2">ROUND(K7*J7,2)</f>
        <v>178.56</v>
      </c>
      <c r="M7" s="1021">
        <f>L7</f>
        <v>178.56</v>
      </c>
    </row>
    <row r="8" spans="1:13" ht="24.9" customHeight="1">
      <c r="A8" s="327">
        <f>A7+1</f>
        <v>2</v>
      </c>
      <c r="B8" s="332" t="s">
        <v>962</v>
      </c>
      <c r="C8" s="329" t="s">
        <v>2019</v>
      </c>
      <c r="D8" s="70">
        <v>12</v>
      </c>
      <c r="E8" s="70">
        <v>12</v>
      </c>
      <c r="F8" s="327">
        <v>1</v>
      </c>
      <c r="G8" s="327" t="s">
        <v>1472</v>
      </c>
      <c r="H8" s="327">
        <v>6</v>
      </c>
      <c r="I8" s="330">
        <v>5.9</v>
      </c>
      <c r="J8" s="330">
        <f t="shared" si="1"/>
        <v>424.8</v>
      </c>
      <c r="K8" s="330">
        <v>0.89</v>
      </c>
      <c r="L8" s="333">
        <f t="shared" si="2"/>
        <v>378.07</v>
      </c>
    </row>
    <row r="9" spans="1:13" ht="24.9" customHeight="1">
      <c r="A9" s="327">
        <f t="shared" ref="A9:A29" si="3">A8+1</f>
        <v>3</v>
      </c>
      <c r="B9" s="332" t="s">
        <v>965</v>
      </c>
      <c r="C9" s="329" t="s">
        <v>2019</v>
      </c>
      <c r="D9" s="70">
        <v>8</v>
      </c>
      <c r="E9" s="70">
        <v>12</v>
      </c>
      <c r="F9" s="327">
        <v>1</v>
      </c>
      <c r="G9" s="327" t="s">
        <v>1472</v>
      </c>
      <c r="H9" s="327">
        <v>34</v>
      </c>
      <c r="I9" s="330">
        <v>0.9</v>
      </c>
      <c r="J9" s="330">
        <f t="shared" si="1"/>
        <v>367.2</v>
      </c>
      <c r="K9" s="330">
        <v>0.39</v>
      </c>
      <c r="L9" s="333">
        <f t="shared" si="2"/>
        <v>143.21</v>
      </c>
      <c r="M9" s="1021">
        <f>SUM(L8:L9)</f>
        <v>521.28</v>
      </c>
    </row>
    <row r="10" spans="1:13" ht="24.9" customHeight="1">
      <c r="A10" s="327">
        <f t="shared" si="3"/>
        <v>4</v>
      </c>
      <c r="B10" s="1011" t="s">
        <v>964</v>
      </c>
      <c r="C10" s="329" t="s">
        <v>2020</v>
      </c>
      <c r="D10" s="70">
        <v>12</v>
      </c>
      <c r="E10" s="70">
        <v>2</v>
      </c>
      <c r="F10" s="327">
        <v>4</v>
      </c>
      <c r="G10" s="327" t="s">
        <v>1472</v>
      </c>
      <c r="H10" s="327">
        <v>1</v>
      </c>
      <c r="I10" s="330">
        <v>6.46</v>
      </c>
      <c r="J10" s="330">
        <f t="shared" si="1"/>
        <v>51.68</v>
      </c>
      <c r="K10" s="330">
        <v>0.89</v>
      </c>
      <c r="L10" s="1012">
        <f t="shared" si="2"/>
        <v>46</v>
      </c>
      <c r="M10" s="1021"/>
    </row>
    <row r="11" spans="1:13" ht="24.9" customHeight="1">
      <c r="A11" s="327">
        <f t="shared" si="3"/>
        <v>5</v>
      </c>
      <c r="B11" s="332" t="s">
        <v>963</v>
      </c>
      <c r="C11" s="329"/>
      <c r="D11" s="70">
        <v>8</v>
      </c>
      <c r="E11" s="70">
        <v>2</v>
      </c>
      <c r="F11" s="327">
        <v>1</v>
      </c>
      <c r="G11" s="327" t="s">
        <v>1472</v>
      </c>
      <c r="H11" s="70">
        <f>(I10-3*0.23)/0.15</f>
        <v>38.466666666666669</v>
      </c>
      <c r="I11" s="330">
        <f>1.1</f>
        <v>1.1000000000000001</v>
      </c>
      <c r="J11" s="330">
        <f t="shared" si="1"/>
        <v>84.63</v>
      </c>
      <c r="K11" s="330">
        <v>0.39</v>
      </c>
      <c r="L11" s="1012">
        <f t="shared" si="2"/>
        <v>33.01</v>
      </c>
      <c r="M11" s="1021"/>
    </row>
    <row r="12" spans="1:13" ht="39.9" customHeight="1">
      <c r="A12" s="327">
        <f t="shared" si="3"/>
        <v>6</v>
      </c>
      <c r="B12" s="328" t="s">
        <v>964</v>
      </c>
      <c r="C12" s="329" t="s">
        <v>2021</v>
      </c>
      <c r="D12" s="70">
        <v>12</v>
      </c>
      <c r="E12" s="70">
        <v>3</v>
      </c>
      <c r="F12" s="327">
        <v>4</v>
      </c>
      <c r="G12" s="327" t="s">
        <v>1472</v>
      </c>
      <c r="H12" s="327">
        <v>1</v>
      </c>
      <c r="I12" s="330">
        <v>4.0599999999999996</v>
      </c>
      <c r="J12" s="330">
        <f t="shared" si="1"/>
        <v>48.72</v>
      </c>
      <c r="K12" s="330">
        <v>0.89</v>
      </c>
      <c r="L12" s="1012">
        <f t="shared" si="2"/>
        <v>43.36</v>
      </c>
      <c r="M12" s="1021"/>
    </row>
    <row r="13" spans="1:13" ht="39.9" customHeight="1">
      <c r="A13" s="327"/>
      <c r="B13" s="328"/>
      <c r="C13" s="329" t="s">
        <v>2047</v>
      </c>
      <c r="D13" s="70">
        <v>12</v>
      </c>
      <c r="E13" s="70">
        <v>3</v>
      </c>
      <c r="F13" s="327">
        <v>2</v>
      </c>
      <c r="G13" s="327" t="s">
        <v>1472</v>
      </c>
      <c r="H13" s="327">
        <v>2</v>
      </c>
      <c r="I13" s="330">
        <v>1</v>
      </c>
      <c r="J13" s="330">
        <f>ROUND(I13*H13*F13*E13,2)</f>
        <v>12</v>
      </c>
      <c r="K13" s="330">
        <v>0.89</v>
      </c>
      <c r="L13" s="1012">
        <f>ROUND(K13*J13,2)</f>
        <v>10.68</v>
      </c>
      <c r="M13" s="1021"/>
    </row>
    <row r="14" spans="1:13" ht="39.9" customHeight="1">
      <c r="A14" s="327">
        <f>A12+1</f>
        <v>7</v>
      </c>
      <c r="B14" s="332" t="s">
        <v>963</v>
      </c>
      <c r="C14" s="329"/>
      <c r="D14" s="70">
        <v>8</v>
      </c>
      <c r="E14" s="70">
        <v>3</v>
      </c>
      <c r="F14" s="327">
        <v>1</v>
      </c>
      <c r="G14" s="327" t="s">
        <v>1472</v>
      </c>
      <c r="H14" s="70">
        <f>(I12-3*0.3)/0.15</f>
        <v>21.066666666666666</v>
      </c>
      <c r="I14" s="330">
        <f>1.1</f>
        <v>1.1000000000000001</v>
      </c>
      <c r="J14" s="330">
        <f t="shared" si="1"/>
        <v>69.52</v>
      </c>
      <c r="K14" s="330">
        <v>0.39</v>
      </c>
      <c r="L14" s="1012">
        <f t="shared" si="2"/>
        <v>27.11</v>
      </c>
      <c r="M14" s="1021">
        <f>SUM(L10:L14)</f>
        <v>160.15999999999997</v>
      </c>
    </row>
    <row r="15" spans="1:13" ht="39.9" customHeight="1">
      <c r="A15" s="327">
        <f t="shared" si="3"/>
        <v>8</v>
      </c>
      <c r="B15" s="328" t="s">
        <v>964</v>
      </c>
      <c r="C15" s="329" t="s">
        <v>2022</v>
      </c>
      <c r="D15" s="70">
        <v>12</v>
      </c>
      <c r="E15" s="70">
        <v>2</v>
      </c>
      <c r="F15" s="327">
        <v>4</v>
      </c>
      <c r="G15" s="327" t="s">
        <v>1472</v>
      </c>
      <c r="H15" s="327">
        <v>1</v>
      </c>
      <c r="I15" s="330">
        <v>6.46</v>
      </c>
      <c r="J15" s="330">
        <f t="shared" si="1"/>
        <v>51.68</v>
      </c>
      <c r="K15" s="330">
        <v>0.89</v>
      </c>
      <c r="L15" s="1013">
        <f t="shared" si="2"/>
        <v>46</v>
      </c>
    </row>
    <row r="16" spans="1:13" ht="39.9" customHeight="1">
      <c r="A16" s="327"/>
      <c r="B16" s="328"/>
      <c r="C16" s="329" t="s">
        <v>2048</v>
      </c>
      <c r="D16" s="70">
        <v>12</v>
      </c>
      <c r="E16" s="70">
        <v>2</v>
      </c>
      <c r="F16" s="327">
        <v>1</v>
      </c>
      <c r="G16" s="327" t="s">
        <v>1472</v>
      </c>
      <c r="H16" s="327">
        <v>2</v>
      </c>
      <c r="I16" s="330">
        <v>1</v>
      </c>
      <c r="J16" s="330">
        <f t="shared" si="1"/>
        <v>4</v>
      </c>
      <c r="K16" s="330">
        <v>0.89</v>
      </c>
      <c r="L16" s="1027">
        <f t="shared" si="2"/>
        <v>3.56</v>
      </c>
    </row>
    <row r="17" spans="1:13" ht="39.9" customHeight="1">
      <c r="A17" s="327"/>
      <c r="B17" s="328"/>
      <c r="C17" s="329" t="s">
        <v>2049</v>
      </c>
      <c r="D17" s="70">
        <v>12</v>
      </c>
      <c r="E17" s="70">
        <v>2</v>
      </c>
      <c r="F17" s="327">
        <v>1</v>
      </c>
      <c r="G17" s="327" t="s">
        <v>1472</v>
      </c>
      <c r="H17" s="327">
        <v>2</v>
      </c>
      <c r="I17" s="330">
        <v>1.5</v>
      </c>
      <c r="J17" s="330">
        <f>ROUND(I17*H17*F17*E17,2)</f>
        <v>6</v>
      </c>
      <c r="K17" s="330">
        <v>0.89</v>
      </c>
      <c r="L17" s="1027">
        <f>ROUND(K17*J17,2)</f>
        <v>5.34</v>
      </c>
    </row>
    <row r="18" spans="1:13" ht="39.9" customHeight="1">
      <c r="A18" s="327">
        <f>A15+1</f>
        <v>9</v>
      </c>
      <c r="B18" s="332" t="s">
        <v>963</v>
      </c>
      <c r="C18" s="329"/>
      <c r="D18" s="70">
        <v>8</v>
      </c>
      <c r="E18" s="70">
        <v>3</v>
      </c>
      <c r="F18" s="327">
        <v>1</v>
      </c>
      <c r="G18" s="327" t="s">
        <v>1472</v>
      </c>
      <c r="H18" s="70">
        <f>(I15-3*0.23)/0.1</f>
        <v>57.699999999999996</v>
      </c>
      <c r="I18" s="330">
        <f>1.1</f>
        <v>1.1000000000000001</v>
      </c>
      <c r="J18" s="330">
        <f t="shared" si="1"/>
        <v>190.41</v>
      </c>
      <c r="K18" s="330">
        <v>0.39</v>
      </c>
      <c r="L18" s="1027">
        <f t="shared" si="2"/>
        <v>74.260000000000005</v>
      </c>
    </row>
    <row r="19" spans="1:13" ht="39.9" customHeight="1">
      <c r="A19" s="327">
        <f t="shared" si="3"/>
        <v>10</v>
      </c>
      <c r="B19" s="328" t="s">
        <v>964</v>
      </c>
      <c r="C19" s="329" t="s">
        <v>2023</v>
      </c>
      <c r="D19" s="70">
        <v>12</v>
      </c>
      <c r="E19" s="70">
        <v>3</v>
      </c>
      <c r="F19" s="327">
        <v>4</v>
      </c>
      <c r="G19" s="327" t="s">
        <v>1472</v>
      </c>
      <c r="H19" s="327">
        <v>1</v>
      </c>
      <c r="I19" s="330">
        <v>4.0599999999999996</v>
      </c>
      <c r="J19" s="330">
        <f t="shared" si="1"/>
        <v>48.72</v>
      </c>
      <c r="K19" s="330">
        <v>0.89</v>
      </c>
      <c r="L19" s="1013">
        <f t="shared" si="2"/>
        <v>43.36</v>
      </c>
    </row>
    <row r="20" spans="1:13" ht="24.9" customHeight="1">
      <c r="A20" s="327">
        <f t="shared" si="3"/>
        <v>11</v>
      </c>
      <c r="B20" s="332" t="s">
        <v>963</v>
      </c>
      <c r="C20" s="329"/>
      <c r="D20" s="70">
        <v>8</v>
      </c>
      <c r="E20" s="70">
        <v>3</v>
      </c>
      <c r="F20" s="327">
        <v>1</v>
      </c>
      <c r="G20" s="327" t="s">
        <v>1472</v>
      </c>
      <c r="H20" s="70">
        <f>(I19-3*0.23)/0.1</f>
        <v>33.699999999999996</v>
      </c>
      <c r="I20" s="330">
        <f>1.1</f>
        <v>1.1000000000000001</v>
      </c>
      <c r="J20" s="330">
        <f t="shared" si="1"/>
        <v>111.21</v>
      </c>
      <c r="K20" s="330">
        <v>0.39</v>
      </c>
      <c r="L20" s="1013">
        <f t="shared" si="2"/>
        <v>43.37</v>
      </c>
      <c r="M20" s="1021">
        <f>SUM(L15:L20)</f>
        <v>215.89000000000004</v>
      </c>
    </row>
    <row r="21" spans="1:13" ht="24.9" customHeight="1">
      <c r="A21" s="327">
        <f t="shared" si="3"/>
        <v>12</v>
      </c>
      <c r="B21" s="328" t="s">
        <v>964</v>
      </c>
      <c r="C21" s="329" t="s">
        <v>2025</v>
      </c>
      <c r="D21" s="70">
        <v>8</v>
      </c>
      <c r="E21" s="70">
        <v>1</v>
      </c>
      <c r="F21" s="327">
        <v>1</v>
      </c>
      <c r="G21" s="327" t="s">
        <v>1472</v>
      </c>
      <c r="H21" s="327">
        <v>4</v>
      </c>
      <c r="I21" s="330">
        <v>1.2</v>
      </c>
      <c r="J21" s="330">
        <f t="shared" ref="J21:J29" si="4">ROUND(I21*H21*F21*E21,2)</f>
        <v>4.8</v>
      </c>
      <c r="K21" s="330">
        <v>0.39</v>
      </c>
      <c r="L21" s="334">
        <f t="shared" si="2"/>
        <v>1.87</v>
      </c>
    </row>
    <row r="22" spans="1:13" ht="24.9" customHeight="1">
      <c r="A22" s="327">
        <f t="shared" si="3"/>
        <v>13</v>
      </c>
      <c r="B22" s="332" t="s">
        <v>963</v>
      </c>
      <c r="C22" s="329"/>
      <c r="D22" s="70">
        <v>8</v>
      </c>
      <c r="E22" s="70">
        <v>1</v>
      </c>
      <c r="F22" s="327">
        <v>1</v>
      </c>
      <c r="G22" s="327" t="s">
        <v>1472</v>
      </c>
      <c r="H22" s="70">
        <f>(I21)/0.15</f>
        <v>8</v>
      </c>
      <c r="I22" s="330">
        <v>0.9</v>
      </c>
      <c r="J22" s="330">
        <f t="shared" si="4"/>
        <v>7.2</v>
      </c>
      <c r="K22" s="330">
        <v>0.39</v>
      </c>
      <c r="L22" s="334">
        <f t="shared" si="2"/>
        <v>2.81</v>
      </c>
      <c r="M22" s="358"/>
    </row>
    <row r="23" spans="1:13" ht="24.9" customHeight="1">
      <c r="A23" s="327">
        <f t="shared" si="3"/>
        <v>14</v>
      </c>
      <c r="B23" s="328" t="s">
        <v>964</v>
      </c>
      <c r="C23" s="329" t="s">
        <v>2024</v>
      </c>
      <c r="D23" s="70">
        <v>8</v>
      </c>
      <c r="E23" s="70">
        <v>1</v>
      </c>
      <c r="F23" s="327">
        <v>1</v>
      </c>
      <c r="G23" s="327" t="s">
        <v>1472</v>
      </c>
      <c r="H23" s="327">
        <v>4</v>
      </c>
      <c r="I23" s="330">
        <v>1.35</v>
      </c>
      <c r="J23" s="330">
        <f>ROUND(I23*H23*F23*E23,2)</f>
        <v>5.4</v>
      </c>
      <c r="K23" s="330">
        <v>0.39</v>
      </c>
      <c r="L23" s="334">
        <f t="shared" si="2"/>
        <v>2.11</v>
      </c>
    </row>
    <row r="24" spans="1:13" ht="24.9" customHeight="1">
      <c r="A24" s="327">
        <f t="shared" si="3"/>
        <v>15</v>
      </c>
      <c r="B24" s="332" t="s">
        <v>963</v>
      </c>
      <c r="C24" s="329"/>
      <c r="D24" s="70">
        <v>8</v>
      </c>
      <c r="E24" s="70">
        <v>1</v>
      </c>
      <c r="F24" s="327">
        <v>1</v>
      </c>
      <c r="G24" s="327" t="s">
        <v>1472</v>
      </c>
      <c r="H24" s="70">
        <f>(I23)/0.15</f>
        <v>9.0000000000000018</v>
      </c>
      <c r="I24" s="330">
        <v>0.9</v>
      </c>
      <c r="J24" s="330">
        <f>ROUND(I24*H24*F24*E24,2)</f>
        <v>8.1</v>
      </c>
      <c r="K24" s="330">
        <v>0.39</v>
      </c>
      <c r="L24" s="334">
        <f t="shared" si="2"/>
        <v>3.16</v>
      </c>
      <c r="M24" s="358"/>
    </row>
    <row r="25" spans="1:13" ht="24.9" customHeight="1">
      <c r="A25" s="327">
        <f t="shared" si="3"/>
        <v>16</v>
      </c>
      <c r="B25" s="332"/>
      <c r="C25" s="329" t="s">
        <v>970</v>
      </c>
      <c r="D25" s="70">
        <v>8</v>
      </c>
      <c r="E25" s="70">
        <v>1</v>
      </c>
      <c r="F25" s="327">
        <v>1</v>
      </c>
      <c r="G25" s="327" t="s">
        <v>1472</v>
      </c>
      <c r="H25" s="327">
        <v>9</v>
      </c>
      <c r="I25" s="330">
        <v>0.9</v>
      </c>
      <c r="J25" s="330">
        <f t="shared" si="4"/>
        <v>8.1</v>
      </c>
      <c r="K25" s="330">
        <v>0.39</v>
      </c>
      <c r="L25" s="334">
        <f t="shared" si="2"/>
        <v>3.16</v>
      </c>
    </row>
    <row r="26" spans="1:13" ht="24.9" customHeight="1">
      <c r="A26" s="327">
        <f t="shared" si="3"/>
        <v>17</v>
      </c>
      <c r="B26" s="332"/>
      <c r="C26" s="329"/>
      <c r="D26" s="70">
        <v>8</v>
      </c>
      <c r="E26" s="70">
        <v>1</v>
      </c>
      <c r="F26" s="327">
        <v>1</v>
      </c>
      <c r="G26" s="327" t="s">
        <v>1472</v>
      </c>
      <c r="H26" s="70">
        <v>4</v>
      </c>
      <c r="I26" s="330">
        <v>1.35</v>
      </c>
      <c r="J26" s="330">
        <f t="shared" si="4"/>
        <v>5.4</v>
      </c>
      <c r="K26" s="330">
        <v>0.9</v>
      </c>
      <c r="L26" s="334">
        <f t="shared" si="2"/>
        <v>4.8600000000000003</v>
      </c>
      <c r="M26" s="1021">
        <f>SUM(L21:L26)</f>
        <v>17.97</v>
      </c>
    </row>
    <row r="27" spans="1:13" ht="24.9" customHeight="1">
      <c r="A27" s="327">
        <f t="shared" si="3"/>
        <v>18</v>
      </c>
      <c r="B27" s="328" t="s">
        <v>964</v>
      </c>
      <c r="C27" s="329" t="s">
        <v>967</v>
      </c>
      <c r="D27" s="70">
        <v>8</v>
      </c>
      <c r="E27" s="70">
        <v>1</v>
      </c>
      <c r="F27" s="327">
        <v>1</v>
      </c>
      <c r="G27" s="327" t="s">
        <v>1472</v>
      </c>
      <c r="H27" s="327">
        <v>21</v>
      </c>
      <c r="I27" s="330">
        <v>6.46</v>
      </c>
      <c r="J27" s="330">
        <f t="shared" si="4"/>
        <v>135.66</v>
      </c>
      <c r="K27" s="330">
        <v>0.39</v>
      </c>
      <c r="L27" s="335">
        <f t="shared" si="2"/>
        <v>52.91</v>
      </c>
    </row>
    <row r="28" spans="1:13" ht="24.9" customHeight="1">
      <c r="A28" s="327">
        <f t="shared" si="3"/>
        <v>19</v>
      </c>
      <c r="B28" s="328" t="s">
        <v>968</v>
      </c>
      <c r="C28" s="329"/>
      <c r="D28" s="70">
        <v>8</v>
      </c>
      <c r="E28" s="70">
        <v>1</v>
      </c>
      <c r="F28" s="327">
        <v>1</v>
      </c>
      <c r="G28" s="327" t="s">
        <v>1472</v>
      </c>
      <c r="H28" s="327">
        <v>32</v>
      </c>
      <c r="I28" s="330">
        <v>4.0599999999999996</v>
      </c>
      <c r="J28" s="330">
        <f t="shared" si="4"/>
        <v>129.91999999999999</v>
      </c>
      <c r="K28" s="330">
        <v>0.39</v>
      </c>
      <c r="L28" s="335">
        <f t="shared" si="2"/>
        <v>50.67</v>
      </c>
    </row>
    <row r="29" spans="1:13" ht="24.9" customHeight="1">
      <c r="A29" s="327">
        <f t="shared" si="3"/>
        <v>20</v>
      </c>
      <c r="B29" s="332" t="s">
        <v>966</v>
      </c>
      <c r="C29" s="329"/>
      <c r="D29" s="70">
        <v>8</v>
      </c>
      <c r="E29" s="70">
        <v>1</v>
      </c>
      <c r="F29" s="327">
        <v>9</v>
      </c>
      <c r="G29" s="327" t="s">
        <v>1472</v>
      </c>
      <c r="H29" s="327">
        <v>1</v>
      </c>
      <c r="I29" s="330">
        <v>1.9</v>
      </c>
      <c r="J29" s="330">
        <f t="shared" si="4"/>
        <v>17.100000000000001</v>
      </c>
      <c r="K29" s="330">
        <v>0.39</v>
      </c>
      <c r="L29" s="335">
        <f t="shared" si="2"/>
        <v>6.67</v>
      </c>
      <c r="M29" s="1021">
        <f>SUM(L27:L29)</f>
        <v>110.25</v>
      </c>
    </row>
    <row r="30" spans="1:13" ht="24.9" customHeight="1">
      <c r="A30" s="328"/>
      <c r="B30" s="328"/>
      <c r="C30" s="329"/>
      <c r="D30" s="328"/>
      <c r="E30" s="328"/>
      <c r="F30" s="328"/>
      <c r="G30" s="328"/>
      <c r="H30" s="328"/>
      <c r="I30" s="328"/>
      <c r="J30" s="328"/>
      <c r="K30" s="328" t="s">
        <v>954</v>
      </c>
      <c r="L30" s="336">
        <f>SUM(L7:L29)</f>
        <v>1204.1099999999999</v>
      </c>
      <c r="M30" s="336">
        <f>SUM(M7:M29)</f>
        <v>1204.1099999999999</v>
      </c>
    </row>
    <row r="31" spans="1:13" ht="17.399999999999999">
      <c r="B31" s="1026" t="s">
        <v>2043</v>
      </c>
    </row>
    <row r="32" spans="1:13" ht="24.9" customHeight="1">
      <c r="A32" s="327">
        <v>1</v>
      </c>
      <c r="B32" s="328"/>
      <c r="C32" s="329" t="s">
        <v>959</v>
      </c>
      <c r="D32" s="327">
        <v>10</v>
      </c>
      <c r="E32" s="70">
        <v>2</v>
      </c>
      <c r="F32" s="327">
        <v>2</v>
      </c>
      <c r="G32" s="327" t="s">
        <v>1472</v>
      </c>
      <c r="H32" s="327">
        <v>9</v>
      </c>
      <c r="I32" s="330">
        <v>1.2</v>
      </c>
      <c r="J32" s="330">
        <f t="shared" ref="J32:J46" si="5">ROUND(I32*H32*F32*E32,2)</f>
        <v>43.2</v>
      </c>
      <c r="K32" s="330">
        <v>0.62</v>
      </c>
      <c r="L32" s="1018">
        <f t="shared" ref="L32:L46" si="6">ROUND(K32*J32,2)</f>
        <v>26.78</v>
      </c>
      <c r="M32" s="1022">
        <v>26.78</v>
      </c>
    </row>
    <row r="33" spans="1:13" ht="24.9" customHeight="1">
      <c r="A33" s="327">
        <f>A32+1</f>
        <v>2</v>
      </c>
      <c r="B33" s="332" t="s">
        <v>962</v>
      </c>
      <c r="C33" s="329" t="s">
        <v>2019</v>
      </c>
      <c r="D33" s="70">
        <v>16</v>
      </c>
      <c r="E33" s="70">
        <v>2</v>
      </c>
      <c r="F33" s="327">
        <v>4</v>
      </c>
      <c r="G33" s="327" t="s">
        <v>1472</v>
      </c>
      <c r="H33" s="327">
        <v>1</v>
      </c>
      <c r="I33" s="330">
        <v>6.4</v>
      </c>
      <c r="J33" s="330">
        <f t="shared" si="5"/>
        <v>51.2</v>
      </c>
      <c r="K33" s="330">
        <v>1.54</v>
      </c>
      <c r="L33" s="1017">
        <f t="shared" si="6"/>
        <v>78.849999999999994</v>
      </c>
    </row>
    <row r="34" spans="1:13" ht="24.9" customHeight="1">
      <c r="A34" s="327">
        <f t="shared" ref="A34:A52" si="7">A33+1</f>
        <v>3</v>
      </c>
      <c r="B34" s="332"/>
      <c r="C34" s="329" t="s">
        <v>2019</v>
      </c>
      <c r="D34" s="70">
        <v>12</v>
      </c>
      <c r="E34" s="70">
        <v>2</v>
      </c>
      <c r="F34" s="327">
        <v>4</v>
      </c>
      <c r="G34" s="327" t="s">
        <v>1472</v>
      </c>
      <c r="H34" s="327">
        <v>1</v>
      </c>
      <c r="I34" s="330">
        <v>6.4</v>
      </c>
      <c r="J34" s="330">
        <f t="shared" si="5"/>
        <v>51.2</v>
      </c>
      <c r="K34" s="330">
        <v>0.89</v>
      </c>
      <c r="L34" s="1017">
        <f t="shared" si="6"/>
        <v>45.57</v>
      </c>
    </row>
    <row r="35" spans="1:13" ht="24.9" customHeight="1">
      <c r="A35" s="327">
        <f t="shared" si="7"/>
        <v>4</v>
      </c>
      <c r="B35" s="332" t="s">
        <v>965</v>
      </c>
      <c r="C35" s="329" t="s">
        <v>2019</v>
      </c>
      <c r="D35" s="70">
        <v>8</v>
      </c>
      <c r="E35" s="70">
        <v>2</v>
      </c>
      <c r="F35" s="327">
        <v>1</v>
      </c>
      <c r="G35" s="327" t="s">
        <v>1472</v>
      </c>
      <c r="H35" s="327">
        <v>43</v>
      </c>
      <c r="I35" s="330">
        <v>1.2</v>
      </c>
      <c r="J35" s="330">
        <f t="shared" si="5"/>
        <v>103.2</v>
      </c>
      <c r="K35" s="330">
        <v>0.39</v>
      </c>
      <c r="L35" s="1017">
        <f t="shared" si="6"/>
        <v>40.25</v>
      </c>
      <c r="M35" s="1021">
        <f>SUM(L33:L35)</f>
        <v>164.67</v>
      </c>
    </row>
    <row r="36" spans="1:13" ht="24.9" customHeight="1">
      <c r="A36" s="327">
        <f t="shared" si="7"/>
        <v>5</v>
      </c>
      <c r="B36" s="1011" t="s">
        <v>964</v>
      </c>
      <c r="C36" s="329" t="s">
        <v>2028</v>
      </c>
      <c r="D36" s="70">
        <v>12</v>
      </c>
      <c r="E36" s="70">
        <v>2</v>
      </c>
      <c r="F36" s="327">
        <v>6</v>
      </c>
      <c r="G36" s="327" t="s">
        <v>1472</v>
      </c>
      <c r="H36" s="327">
        <v>1</v>
      </c>
      <c r="I36" s="330">
        <f>3.6+0.46</f>
        <v>4.0600000000000005</v>
      </c>
      <c r="J36" s="330">
        <f t="shared" si="5"/>
        <v>48.72</v>
      </c>
      <c r="K36" s="330">
        <v>0.89</v>
      </c>
      <c r="L36" s="1019">
        <f t="shared" si="6"/>
        <v>43.36</v>
      </c>
    </row>
    <row r="37" spans="1:13" ht="24.9" customHeight="1">
      <c r="A37" s="327">
        <f t="shared" si="7"/>
        <v>6</v>
      </c>
      <c r="B37" s="332" t="s">
        <v>963</v>
      </c>
      <c r="C37" s="329"/>
      <c r="D37" s="70">
        <v>8</v>
      </c>
      <c r="E37" s="70">
        <v>2</v>
      </c>
      <c r="F37" s="327">
        <v>1</v>
      </c>
      <c r="G37" s="327" t="s">
        <v>1472</v>
      </c>
      <c r="H37" s="70">
        <f>(I36-3*0.23)/0.15</f>
        <v>22.466666666666672</v>
      </c>
      <c r="I37" s="330">
        <f>1.1</f>
        <v>1.1000000000000001</v>
      </c>
      <c r="J37" s="330">
        <f t="shared" si="5"/>
        <v>49.43</v>
      </c>
      <c r="K37" s="330">
        <v>0.39</v>
      </c>
      <c r="L37" s="1019">
        <f t="shared" si="6"/>
        <v>19.28</v>
      </c>
    </row>
    <row r="38" spans="1:13" ht="24.9" customHeight="1">
      <c r="A38" s="327">
        <f t="shared" si="7"/>
        <v>7</v>
      </c>
      <c r="B38" s="1011" t="s">
        <v>964</v>
      </c>
      <c r="C38" s="329" t="s">
        <v>2027</v>
      </c>
      <c r="D38" s="70">
        <v>12</v>
      </c>
      <c r="E38" s="70">
        <v>2</v>
      </c>
      <c r="F38" s="327">
        <v>6</v>
      </c>
      <c r="G38" s="327" t="s">
        <v>1472</v>
      </c>
      <c r="H38" s="327">
        <v>1</v>
      </c>
      <c r="I38" s="330">
        <f>2.4+0.46</f>
        <v>2.86</v>
      </c>
      <c r="J38" s="330">
        <f t="shared" si="5"/>
        <v>34.32</v>
      </c>
      <c r="K38" s="330">
        <v>0.89</v>
      </c>
      <c r="L38" s="1019">
        <f t="shared" si="6"/>
        <v>30.54</v>
      </c>
    </row>
    <row r="39" spans="1:13" ht="24.9" customHeight="1">
      <c r="A39" s="327">
        <f t="shared" si="7"/>
        <v>8</v>
      </c>
      <c r="B39" s="332" t="s">
        <v>963</v>
      </c>
      <c r="C39" s="329"/>
      <c r="D39" s="70">
        <v>8</v>
      </c>
      <c r="E39" s="70">
        <v>2</v>
      </c>
      <c r="F39" s="327">
        <v>1</v>
      </c>
      <c r="G39" s="327" t="s">
        <v>1472</v>
      </c>
      <c r="H39" s="70">
        <f>(I38-3*0.23)/0.15</f>
        <v>14.466666666666667</v>
      </c>
      <c r="I39" s="330">
        <f>1.1</f>
        <v>1.1000000000000001</v>
      </c>
      <c r="J39" s="330">
        <f t="shared" si="5"/>
        <v>31.83</v>
      </c>
      <c r="K39" s="330">
        <v>0.39</v>
      </c>
      <c r="L39" s="1019">
        <f t="shared" si="6"/>
        <v>12.41</v>
      </c>
      <c r="M39" s="1021">
        <f>SUM(L36:L39)</f>
        <v>105.59</v>
      </c>
    </row>
    <row r="40" spans="1:13" ht="24.9" customHeight="1">
      <c r="A40" s="327">
        <f t="shared" si="7"/>
        <v>9</v>
      </c>
      <c r="B40" s="1011" t="s">
        <v>964</v>
      </c>
      <c r="C40" s="329" t="s">
        <v>2032</v>
      </c>
      <c r="D40" s="70">
        <v>16</v>
      </c>
      <c r="E40" s="70">
        <v>2</v>
      </c>
      <c r="F40" s="327">
        <v>1</v>
      </c>
      <c r="G40" s="327" t="s">
        <v>1472</v>
      </c>
      <c r="H40" s="327">
        <v>7</v>
      </c>
      <c r="I40" s="330">
        <v>3.6</v>
      </c>
      <c r="J40" s="330">
        <f t="shared" si="5"/>
        <v>50.4</v>
      </c>
      <c r="K40" s="330">
        <v>1.54</v>
      </c>
      <c r="L40" s="1020">
        <f t="shared" si="6"/>
        <v>77.62</v>
      </c>
    </row>
    <row r="41" spans="1:13" ht="24.9" customHeight="1">
      <c r="A41" s="327">
        <f t="shared" si="7"/>
        <v>10</v>
      </c>
      <c r="B41" s="332" t="s">
        <v>963</v>
      </c>
      <c r="C41" s="329"/>
      <c r="D41" s="70">
        <v>8</v>
      </c>
      <c r="E41" s="70">
        <v>2</v>
      </c>
      <c r="F41" s="327">
        <v>1</v>
      </c>
      <c r="G41" s="327" t="s">
        <v>1472</v>
      </c>
      <c r="H41" s="70">
        <f>I40/0.15</f>
        <v>24</v>
      </c>
      <c r="I41" s="330">
        <v>1.2</v>
      </c>
      <c r="J41" s="330">
        <f t="shared" si="5"/>
        <v>57.6</v>
      </c>
      <c r="K41" s="330">
        <v>0.39</v>
      </c>
      <c r="L41" s="1020">
        <f t="shared" si="6"/>
        <v>22.46</v>
      </c>
    </row>
    <row r="42" spans="1:13" ht="36.75" customHeight="1">
      <c r="A42" s="327">
        <f>A41+1</f>
        <v>11</v>
      </c>
      <c r="B42" s="1011" t="s">
        <v>964</v>
      </c>
      <c r="C42" s="329" t="s">
        <v>2045</v>
      </c>
      <c r="D42" s="70">
        <v>12</v>
      </c>
      <c r="E42" s="70">
        <v>2</v>
      </c>
      <c r="F42" s="327">
        <v>1</v>
      </c>
      <c r="G42" s="327" t="s">
        <v>1472</v>
      </c>
      <c r="H42" s="327">
        <v>3</v>
      </c>
      <c r="I42" s="330">
        <v>4.1500000000000004</v>
      </c>
      <c r="J42" s="330">
        <f>ROUND(I42*H42*F42*E42,2)</f>
        <v>24.9</v>
      </c>
      <c r="K42" s="330">
        <v>0.89</v>
      </c>
      <c r="L42" s="1020">
        <f>ROUND(K42*J42,2)</f>
        <v>22.16</v>
      </c>
    </row>
    <row r="43" spans="1:13" ht="24.9" customHeight="1">
      <c r="A43" s="327"/>
      <c r="B43" s="1011"/>
      <c r="C43" s="329" t="s">
        <v>2046</v>
      </c>
      <c r="D43" s="70">
        <v>12</v>
      </c>
      <c r="E43" s="70">
        <v>2</v>
      </c>
      <c r="F43" s="327">
        <v>2</v>
      </c>
      <c r="G43" s="327" t="s">
        <v>1472</v>
      </c>
      <c r="H43" s="327">
        <v>2</v>
      </c>
      <c r="I43" s="330">
        <v>1.1000000000000001</v>
      </c>
      <c r="J43" s="330">
        <f>ROUND(I43*H43*F43*E43,2)</f>
        <v>8.8000000000000007</v>
      </c>
      <c r="K43" s="330">
        <v>0.89</v>
      </c>
      <c r="L43" s="1020">
        <f>ROUND(K43*J43,2)</f>
        <v>7.83</v>
      </c>
    </row>
    <row r="44" spans="1:13" ht="24.9" customHeight="1">
      <c r="A44" s="327">
        <f>A42+1</f>
        <v>12</v>
      </c>
      <c r="B44" s="332" t="s">
        <v>963</v>
      </c>
      <c r="C44" s="329"/>
      <c r="D44" s="70">
        <v>8</v>
      </c>
      <c r="E44" s="70">
        <v>2</v>
      </c>
      <c r="F44" s="327">
        <v>1</v>
      </c>
      <c r="G44" s="327" t="s">
        <v>1472</v>
      </c>
      <c r="H44" s="70">
        <f>I42/0.175</f>
        <v>23.714285714285719</v>
      </c>
      <c r="I44" s="330">
        <v>1.2</v>
      </c>
      <c r="J44" s="330">
        <f>ROUND(I44*H44*F44*E44,2)</f>
        <v>56.91</v>
      </c>
      <c r="K44" s="330">
        <v>0.39</v>
      </c>
      <c r="L44" s="1020">
        <f>ROUND(K44*J44,2)</f>
        <v>22.19</v>
      </c>
    </row>
    <row r="45" spans="1:13" ht="39.75" customHeight="1">
      <c r="A45" s="327">
        <f>A41+1</f>
        <v>11</v>
      </c>
      <c r="B45" s="332"/>
      <c r="C45" s="1014" t="s">
        <v>2029</v>
      </c>
      <c r="D45" s="70">
        <v>12</v>
      </c>
      <c r="E45" s="70">
        <v>2</v>
      </c>
      <c r="F45" s="327">
        <v>4</v>
      </c>
      <c r="G45" s="327" t="s">
        <v>1472</v>
      </c>
      <c r="H45" s="327">
        <v>1</v>
      </c>
      <c r="I45" s="330">
        <f>3.6+0.46</f>
        <v>4.0600000000000005</v>
      </c>
      <c r="J45" s="330">
        <f t="shared" si="5"/>
        <v>32.479999999999997</v>
      </c>
      <c r="K45" s="330">
        <v>0.89</v>
      </c>
      <c r="L45" s="1020">
        <f t="shared" si="6"/>
        <v>28.91</v>
      </c>
    </row>
    <row r="46" spans="1:13" ht="24.9" customHeight="1">
      <c r="A46" s="327">
        <f t="shared" si="7"/>
        <v>12</v>
      </c>
      <c r="B46" s="332"/>
      <c r="C46" s="1014" t="s">
        <v>2030</v>
      </c>
      <c r="D46" s="70">
        <v>12</v>
      </c>
      <c r="E46" s="70">
        <v>2</v>
      </c>
      <c r="F46" s="327">
        <v>4</v>
      </c>
      <c r="G46" s="327" t="s">
        <v>1472</v>
      </c>
      <c r="H46" s="327">
        <v>1</v>
      </c>
      <c r="I46" s="330">
        <v>2.86</v>
      </c>
      <c r="J46" s="330">
        <f t="shared" si="5"/>
        <v>22.88</v>
      </c>
      <c r="K46" s="330">
        <v>0.89</v>
      </c>
      <c r="L46" s="1020">
        <f t="shared" si="6"/>
        <v>20.36</v>
      </c>
      <c r="M46" s="1021">
        <f>SUM(L40:L46)</f>
        <v>201.53000000000003</v>
      </c>
    </row>
    <row r="47" spans="1:13" ht="24.9" customHeight="1">
      <c r="A47" s="327">
        <f t="shared" si="7"/>
        <v>13</v>
      </c>
      <c r="B47" s="332"/>
      <c r="C47" s="329"/>
      <c r="D47" s="70"/>
      <c r="E47" s="70"/>
      <c r="F47" s="327"/>
      <c r="G47" s="327"/>
      <c r="H47" s="70"/>
      <c r="I47" s="330"/>
      <c r="J47" s="330"/>
      <c r="K47" s="330"/>
      <c r="L47" s="1020"/>
    </row>
    <row r="48" spans="1:13" ht="24.9" customHeight="1">
      <c r="A48" s="327">
        <f t="shared" si="7"/>
        <v>14</v>
      </c>
      <c r="B48" s="328" t="s">
        <v>964</v>
      </c>
      <c r="C48" s="329" t="s">
        <v>967</v>
      </c>
      <c r="D48" s="70">
        <v>10</v>
      </c>
      <c r="E48" s="70">
        <v>1</v>
      </c>
      <c r="F48" s="327">
        <v>1</v>
      </c>
      <c r="G48" s="327" t="s">
        <v>1472</v>
      </c>
      <c r="H48" s="327">
        <v>20</v>
      </c>
      <c r="I48" s="330">
        <v>3.6</v>
      </c>
      <c r="J48" s="330">
        <f>ROUND(I48*H48*F48*E48,2)</f>
        <v>72</v>
      </c>
      <c r="K48" s="330">
        <v>0.62</v>
      </c>
      <c r="L48" s="335">
        <f>ROUND(K48*J48,2)</f>
        <v>44.64</v>
      </c>
    </row>
    <row r="49" spans="1:13" ht="24.9" customHeight="1">
      <c r="A49" s="327">
        <f t="shared" si="7"/>
        <v>15</v>
      </c>
      <c r="B49" s="328"/>
      <c r="C49" s="329"/>
      <c r="D49" s="70">
        <v>10</v>
      </c>
      <c r="E49" s="70">
        <v>1</v>
      </c>
      <c r="F49" s="327">
        <v>1</v>
      </c>
      <c r="G49" s="327" t="s">
        <v>1472</v>
      </c>
      <c r="H49" s="327">
        <v>17</v>
      </c>
      <c r="I49" s="330">
        <v>2.4</v>
      </c>
      <c r="J49" s="330">
        <f>ROUND(I49*H49*F49*E49,2)</f>
        <v>40.799999999999997</v>
      </c>
      <c r="K49" s="330">
        <v>0.62</v>
      </c>
      <c r="L49" s="335">
        <f>ROUND(K49*J49,2)</f>
        <v>25.3</v>
      </c>
    </row>
    <row r="50" spans="1:13" ht="24.9" customHeight="1">
      <c r="A50" s="327">
        <f t="shared" si="7"/>
        <v>16</v>
      </c>
      <c r="B50" s="328" t="s">
        <v>968</v>
      </c>
      <c r="C50" s="329"/>
      <c r="D50" s="70">
        <v>10</v>
      </c>
      <c r="E50" s="70">
        <v>1</v>
      </c>
      <c r="F50" s="327">
        <v>1</v>
      </c>
      <c r="G50" s="327" t="s">
        <v>1472</v>
      </c>
      <c r="H50" s="327">
        <v>18</v>
      </c>
      <c r="I50" s="330">
        <v>5.25</v>
      </c>
      <c r="J50" s="330">
        <f>ROUND(I50*H50*F50*E50,2)</f>
        <v>94.5</v>
      </c>
      <c r="K50" s="330">
        <v>0.62</v>
      </c>
      <c r="L50" s="335">
        <f>ROUND(K50*J50,2)</f>
        <v>58.59</v>
      </c>
    </row>
    <row r="51" spans="1:13" ht="24.9" customHeight="1">
      <c r="A51" s="327">
        <f t="shared" si="7"/>
        <v>17</v>
      </c>
      <c r="B51" s="332" t="s">
        <v>966</v>
      </c>
      <c r="C51" s="329"/>
      <c r="D51" s="70">
        <v>8</v>
      </c>
      <c r="E51" s="70">
        <v>1</v>
      </c>
      <c r="F51" s="327">
        <v>1</v>
      </c>
      <c r="G51" s="327" t="s">
        <v>1472</v>
      </c>
      <c r="H51" s="327">
        <v>9</v>
      </c>
      <c r="I51" s="330">
        <v>2.9</v>
      </c>
      <c r="J51" s="330">
        <f>ROUND(I51*H51*F51*E51,2)</f>
        <v>26.1</v>
      </c>
      <c r="K51" s="330">
        <v>0.62</v>
      </c>
      <c r="L51" s="335">
        <f>ROUND(K51*J51,2)</f>
        <v>16.18</v>
      </c>
      <c r="M51" s="1021">
        <f>SUM(L48:L51)</f>
        <v>144.71</v>
      </c>
    </row>
    <row r="52" spans="1:13" ht="24.9" customHeight="1">
      <c r="A52" s="327">
        <f t="shared" si="7"/>
        <v>18</v>
      </c>
      <c r="B52" s="328"/>
      <c r="C52" s="329"/>
      <c r="D52" s="328"/>
      <c r="E52" s="328"/>
      <c r="F52" s="328"/>
      <c r="G52" s="328"/>
      <c r="H52" s="328"/>
      <c r="I52" s="328"/>
      <c r="J52" s="328"/>
      <c r="K52" s="328" t="s">
        <v>954</v>
      </c>
      <c r="L52" s="336">
        <f>SUM(L32:L51)</f>
        <v>643.28</v>
      </c>
      <c r="M52" s="336">
        <f>SUM(M32:M51)</f>
        <v>643.28</v>
      </c>
    </row>
    <row r="53" spans="1:13" ht="24.9" customHeight="1">
      <c r="B53" s="1015" t="s">
        <v>2031</v>
      </c>
      <c r="L53" s="1016">
        <f>L52*2</f>
        <v>1286.56</v>
      </c>
    </row>
    <row r="54" spans="1:13" ht="24.9" customHeight="1">
      <c r="B54" s="1023" t="s">
        <v>2036</v>
      </c>
    </row>
    <row r="55" spans="1:13" ht="24.9" customHeight="1">
      <c r="A55" s="328">
        <v>23</v>
      </c>
      <c r="B55" s="328" t="s">
        <v>964</v>
      </c>
      <c r="C55" s="329" t="s">
        <v>967</v>
      </c>
      <c r="D55" s="70">
        <v>8</v>
      </c>
      <c r="E55" s="70">
        <v>1</v>
      </c>
      <c r="F55" s="327">
        <v>1</v>
      </c>
      <c r="G55" s="327" t="s">
        <v>1472</v>
      </c>
      <c r="H55" s="327">
        <v>22</v>
      </c>
      <c r="I55" s="330">
        <v>4.96</v>
      </c>
      <c r="J55" s="330">
        <f>ROUND(I55*H55*F55*E55,2)</f>
        <v>109.12</v>
      </c>
      <c r="K55" s="330">
        <v>0.39</v>
      </c>
      <c r="L55" s="335">
        <f>ROUND(K55*J55,2)</f>
        <v>42.56</v>
      </c>
    </row>
    <row r="56" spans="1:13" ht="24.9" customHeight="1">
      <c r="A56" s="328"/>
      <c r="B56" s="328"/>
      <c r="C56" s="329"/>
      <c r="D56" s="70">
        <v>8</v>
      </c>
      <c r="E56" s="70">
        <v>1</v>
      </c>
      <c r="F56" s="327">
        <v>1</v>
      </c>
      <c r="G56" s="327" t="s">
        <v>1472</v>
      </c>
      <c r="H56" s="327">
        <v>26</v>
      </c>
      <c r="I56" s="330">
        <v>4.0599999999999996</v>
      </c>
      <c r="J56" s="330">
        <f>ROUND(I56*H56*F56*E56,2)</f>
        <v>105.56</v>
      </c>
      <c r="K56" s="330">
        <v>0.39</v>
      </c>
      <c r="L56" s="335">
        <f>ROUND(K56*J56,2)</f>
        <v>41.17</v>
      </c>
    </row>
    <row r="57" spans="1:13" ht="24.9" customHeight="1">
      <c r="A57" s="328"/>
      <c r="B57" s="328"/>
      <c r="C57" s="329"/>
      <c r="D57" s="70"/>
      <c r="E57" s="70"/>
      <c r="F57" s="327"/>
      <c r="G57" s="327"/>
      <c r="H57" s="327"/>
      <c r="I57" s="330"/>
      <c r="J57" s="330"/>
      <c r="K57" s="330"/>
      <c r="L57" s="335"/>
    </row>
    <row r="58" spans="1:13" ht="24.9" customHeight="1">
      <c r="A58" s="328"/>
      <c r="B58" s="332" t="s">
        <v>966</v>
      </c>
      <c r="C58" s="329"/>
      <c r="D58" s="70">
        <v>8</v>
      </c>
      <c r="E58" s="70">
        <v>1</v>
      </c>
      <c r="F58" s="327">
        <v>2</v>
      </c>
      <c r="G58" s="327" t="s">
        <v>1472</v>
      </c>
      <c r="H58" s="327">
        <v>14</v>
      </c>
      <c r="I58" s="330">
        <v>1.2</v>
      </c>
      <c r="J58" s="330">
        <f>ROUND(I58*H58*F58*E58,2)</f>
        <v>33.6</v>
      </c>
      <c r="K58" s="330">
        <v>0.39</v>
      </c>
      <c r="L58" s="335">
        <f>ROUND(K58*J58,2)</f>
        <v>13.1</v>
      </c>
      <c r="M58" s="1021"/>
    </row>
    <row r="59" spans="1:13" ht="24.9" customHeight="1">
      <c r="A59" s="328"/>
      <c r="B59" s="332" t="s">
        <v>966</v>
      </c>
      <c r="C59" s="329"/>
      <c r="D59" s="70">
        <v>8</v>
      </c>
      <c r="E59" s="70">
        <v>1</v>
      </c>
      <c r="F59" s="327">
        <v>2</v>
      </c>
      <c r="G59" s="327" t="s">
        <v>1472</v>
      </c>
      <c r="H59" s="327">
        <v>12</v>
      </c>
      <c r="I59" s="330">
        <v>1.35</v>
      </c>
      <c r="J59" s="330">
        <f>ROUND(I59*H59*F59*E59,2)</f>
        <v>32.4</v>
      </c>
      <c r="K59" s="330">
        <v>0.39</v>
      </c>
      <c r="L59" s="335">
        <f>ROUND(K59*J59,2)</f>
        <v>12.64</v>
      </c>
      <c r="M59" s="1021"/>
    </row>
    <row r="60" spans="1:13" ht="24.9" customHeight="1">
      <c r="A60" s="328"/>
      <c r="B60" s="332" t="s">
        <v>966</v>
      </c>
      <c r="C60" s="329"/>
      <c r="D60" s="70">
        <v>8</v>
      </c>
      <c r="E60" s="70">
        <v>1</v>
      </c>
      <c r="F60" s="327">
        <v>2</v>
      </c>
      <c r="G60" s="327" t="s">
        <v>1472</v>
      </c>
      <c r="H60" s="327">
        <v>4</v>
      </c>
      <c r="I60" s="330">
        <v>4.96</v>
      </c>
      <c r="J60" s="330">
        <f>ROUND(I60*H60*F60*E60,2)</f>
        <v>39.68</v>
      </c>
      <c r="K60" s="330">
        <v>0.39</v>
      </c>
      <c r="L60" s="335">
        <f>ROUND(K60*J60,2)</f>
        <v>15.48</v>
      </c>
      <c r="M60" s="1021"/>
    </row>
    <row r="61" spans="1:13" ht="24.9" customHeight="1">
      <c r="A61" s="328"/>
      <c r="B61" s="332" t="s">
        <v>966</v>
      </c>
      <c r="C61" s="329"/>
      <c r="D61" s="70">
        <v>8</v>
      </c>
      <c r="E61" s="70">
        <v>1</v>
      </c>
      <c r="F61" s="327">
        <v>2</v>
      </c>
      <c r="G61" s="327" t="s">
        <v>1472</v>
      </c>
      <c r="H61" s="327">
        <v>4</v>
      </c>
      <c r="I61" s="330">
        <v>4.0599999999999996</v>
      </c>
      <c r="J61" s="330">
        <f>ROUND(I61*H61*F61*E61,2)</f>
        <v>32.479999999999997</v>
      </c>
      <c r="K61" s="330">
        <v>0.39</v>
      </c>
      <c r="L61" s="335">
        <f>ROUND(K61*J61,2)</f>
        <v>12.67</v>
      </c>
      <c r="M61" s="1021"/>
    </row>
    <row r="62" spans="1:13" ht="24.9" customHeight="1">
      <c r="A62" s="328"/>
      <c r="B62" s="328"/>
      <c r="C62" s="329"/>
      <c r="D62" s="328"/>
      <c r="E62" s="328"/>
      <c r="F62" s="328"/>
      <c r="G62" s="328"/>
      <c r="H62" s="328"/>
      <c r="I62" s="328"/>
      <c r="J62" s="328"/>
      <c r="K62" s="328" t="s">
        <v>954</v>
      </c>
      <c r="L62" s="336">
        <f>SUM(L55:L61)</f>
        <v>137.62</v>
      </c>
      <c r="M62" s="336"/>
    </row>
    <row r="63" spans="1:13" ht="24.9" customHeight="1">
      <c r="B63" s="1015"/>
      <c r="L63" s="1016">
        <f>L62+L53+L30</f>
        <v>2628.29</v>
      </c>
    </row>
    <row r="64" spans="1:13" ht="24.9" customHeight="1"/>
    <row r="65" ht="24.9" customHeight="1"/>
    <row r="66" ht="24.9" customHeight="1"/>
    <row r="67" ht="24.9" customHeight="1"/>
    <row r="68" ht="24.9" customHeight="1"/>
    <row r="69" ht="24.9" customHeight="1"/>
    <row r="70" ht="24.9" customHeight="1"/>
    <row r="71" ht="24.9" customHeight="1"/>
    <row r="72" ht="24.9" customHeight="1"/>
  </sheetData>
  <mergeCells count="13">
    <mergeCell ref="A1:L1"/>
    <mergeCell ref="L3:L4"/>
    <mergeCell ref="B3:B4"/>
    <mergeCell ref="I3:I4"/>
    <mergeCell ref="D3:D4"/>
    <mergeCell ref="F3:H3"/>
    <mergeCell ref="A3:A4"/>
    <mergeCell ref="K3:K4"/>
    <mergeCell ref="E3:E4"/>
    <mergeCell ref="J3:J4"/>
    <mergeCell ref="F4:H4"/>
    <mergeCell ref="A2:L2"/>
    <mergeCell ref="C3:C4"/>
  </mergeCells>
  <pageMargins left="0.73" right="0.15" top="0.16" bottom="1" header="0.5" footer="0.5"/>
  <pageSetup scale="79" orientation="portrait" r:id="rId1"/>
  <headerFooter alignWithMargins="0"/>
  <rowBreaks count="2" manualBreakCount="2">
    <brk id="30" max="11" man="1"/>
    <brk id="64" max="11" man="1"/>
  </rowBreaks>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4:E31"/>
  <sheetViews>
    <sheetView workbookViewId="0">
      <selection activeCell="E31" sqref="E31"/>
    </sheetView>
  </sheetViews>
  <sheetFormatPr defaultRowHeight="12.3"/>
  <cols>
    <col min="2" max="2" width="15" customWidth="1"/>
    <col min="3" max="3" width="13.44140625" customWidth="1"/>
    <col min="4" max="5" width="22.88671875" customWidth="1"/>
    <col min="6" max="6" width="17.5546875" customWidth="1"/>
    <col min="7" max="7" width="18.44140625" customWidth="1"/>
  </cols>
  <sheetData>
    <row r="4" spans="2:4">
      <c r="B4">
        <v>25.67</v>
      </c>
      <c r="C4">
        <v>270.73</v>
      </c>
      <c r="D4">
        <f>ROUND(B4*C4,0)</f>
        <v>6950</v>
      </c>
    </row>
    <row r="5" spans="2:4">
      <c r="B5">
        <v>2.54</v>
      </c>
      <c r="C5">
        <v>4253.07</v>
      </c>
      <c r="D5">
        <f t="shared" ref="D5:D27" si="0">ROUND(B5*C5,0)</f>
        <v>10803</v>
      </c>
    </row>
    <row r="6" spans="2:4">
      <c r="B6">
        <v>6.32</v>
      </c>
      <c r="C6">
        <v>4117.95</v>
      </c>
      <c r="D6">
        <f t="shared" si="0"/>
        <v>26025</v>
      </c>
    </row>
    <row r="7" spans="2:4">
      <c r="B7">
        <v>4.26</v>
      </c>
      <c r="C7">
        <v>4199.07</v>
      </c>
      <c r="D7">
        <f t="shared" si="0"/>
        <v>17888</v>
      </c>
    </row>
    <row r="8" spans="2:4">
      <c r="B8">
        <v>19.7</v>
      </c>
      <c r="C8">
        <v>408.12</v>
      </c>
      <c r="D8">
        <f t="shared" si="0"/>
        <v>8040</v>
      </c>
    </row>
    <row r="9" spans="2:4">
      <c r="B9">
        <v>4.05</v>
      </c>
      <c r="C9">
        <v>8151.45</v>
      </c>
      <c r="D9">
        <f t="shared" si="0"/>
        <v>33013</v>
      </c>
    </row>
    <row r="10" spans="2:4">
      <c r="B10">
        <v>0.73</v>
      </c>
      <c r="C10">
        <v>8564.4500000000007</v>
      </c>
      <c r="D10">
        <f t="shared" si="0"/>
        <v>6252</v>
      </c>
    </row>
    <row r="11" spans="2:4">
      <c r="B11">
        <v>1.76</v>
      </c>
      <c r="C11">
        <v>10293.93</v>
      </c>
      <c r="D11">
        <f t="shared" si="0"/>
        <v>18117</v>
      </c>
    </row>
    <row r="12" spans="2:4">
      <c r="B12">
        <v>1.57</v>
      </c>
      <c r="C12">
        <v>10143.450000000001</v>
      </c>
      <c r="D12">
        <f t="shared" si="0"/>
        <v>15925</v>
      </c>
    </row>
    <row r="13" spans="2:4">
      <c r="B13">
        <v>2.0699999999999998</v>
      </c>
      <c r="C13">
        <v>10119.73</v>
      </c>
      <c r="D13">
        <f t="shared" si="0"/>
        <v>20948</v>
      </c>
    </row>
    <row r="14" spans="2:4">
      <c r="B14">
        <v>52.51</v>
      </c>
      <c r="C14">
        <v>1217.4659999999999</v>
      </c>
      <c r="D14">
        <f t="shared" si="0"/>
        <v>63929</v>
      </c>
    </row>
    <row r="15" spans="2:4">
      <c r="B15">
        <v>0.19</v>
      </c>
      <c r="C15">
        <v>10465.93</v>
      </c>
      <c r="D15">
        <f t="shared" si="0"/>
        <v>1989</v>
      </c>
    </row>
    <row r="16" spans="2:4">
      <c r="B16">
        <v>5.7</v>
      </c>
      <c r="C16">
        <v>518.54</v>
      </c>
      <c r="D16">
        <f t="shared" si="0"/>
        <v>2956</v>
      </c>
    </row>
    <row r="17" spans="2:5">
      <c r="B17">
        <v>0.12</v>
      </c>
      <c r="C17">
        <v>5273.93</v>
      </c>
      <c r="D17">
        <f t="shared" si="0"/>
        <v>633</v>
      </c>
    </row>
    <row r="18" spans="2:5">
      <c r="B18">
        <v>10.93</v>
      </c>
      <c r="C18">
        <v>5028.08</v>
      </c>
      <c r="D18">
        <f t="shared" si="0"/>
        <v>54957</v>
      </c>
    </row>
    <row r="19" spans="2:5">
      <c r="B19">
        <v>89.13</v>
      </c>
      <c r="C19">
        <v>330.58300000000003</v>
      </c>
      <c r="D19">
        <f t="shared" si="0"/>
        <v>29465</v>
      </c>
    </row>
    <row r="20" spans="2:5">
      <c r="B20">
        <v>80.930000000000007</v>
      </c>
      <c r="C20">
        <v>354.70299999999997</v>
      </c>
      <c r="D20">
        <f t="shared" si="0"/>
        <v>28706</v>
      </c>
    </row>
    <row r="21" spans="2:5">
      <c r="B21">
        <v>28.14</v>
      </c>
      <c r="C21">
        <v>499.05</v>
      </c>
      <c r="D21">
        <f t="shared" si="0"/>
        <v>14043</v>
      </c>
    </row>
    <row r="22" spans="2:5">
      <c r="B22">
        <v>2.02</v>
      </c>
      <c r="C22">
        <v>553.13199999999995</v>
      </c>
      <c r="D22">
        <f t="shared" si="0"/>
        <v>1117</v>
      </c>
    </row>
    <row r="23" spans="2:5">
      <c r="B23">
        <v>0.36</v>
      </c>
      <c r="C23">
        <v>562</v>
      </c>
      <c r="D23">
        <f t="shared" si="0"/>
        <v>202</v>
      </c>
    </row>
    <row r="24" spans="2:5">
      <c r="B24">
        <v>17.84</v>
      </c>
      <c r="C24">
        <v>85.12</v>
      </c>
      <c r="D24">
        <f t="shared" si="0"/>
        <v>1519</v>
      </c>
    </row>
    <row r="25" spans="2:5">
      <c r="B25">
        <v>1.44</v>
      </c>
      <c r="C25">
        <v>55433.63</v>
      </c>
      <c r="D25">
        <f t="shared" si="0"/>
        <v>79824</v>
      </c>
    </row>
    <row r="26" spans="2:5">
      <c r="D26">
        <f t="shared" si="0"/>
        <v>0</v>
      </c>
    </row>
    <row r="27" spans="2:5">
      <c r="D27">
        <f t="shared" si="0"/>
        <v>0</v>
      </c>
    </row>
    <row r="28" spans="2:5">
      <c r="D28">
        <f>SUM(D4:D27)</f>
        <v>443301</v>
      </c>
    </row>
    <row r="29" spans="2:5">
      <c r="C29" t="s">
        <v>1930</v>
      </c>
      <c r="D29">
        <f>ROUND(D28*12%,0)</f>
        <v>53196</v>
      </c>
    </row>
    <row r="31" spans="2:5">
      <c r="D31">
        <f>SUM(D28:D30)</f>
        <v>496497</v>
      </c>
      <c r="E31">
        <f>D31-500000</f>
        <v>-3503</v>
      </c>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indexed="10"/>
  </sheetPr>
  <dimension ref="A1:IV246"/>
  <sheetViews>
    <sheetView topLeftCell="A157" zoomScale="150" zoomScaleSheetLayoutView="150" workbookViewId="0">
      <selection activeCell="A5" sqref="A5"/>
    </sheetView>
  </sheetViews>
  <sheetFormatPr defaultRowHeight="12.9"/>
  <cols>
    <col min="1" max="1" width="3.33203125" style="903" customWidth="1"/>
    <col min="2" max="2" width="36.5546875" style="881" customWidth="1"/>
    <col min="3" max="3" width="3.109375" style="893" customWidth="1"/>
    <col min="4" max="4" width="2.5546875" style="881" customWidth="1"/>
    <col min="5" max="5" width="4" style="893" customWidth="1"/>
    <col min="6" max="6" width="6.88671875" style="894" customWidth="1"/>
    <col min="7" max="7" width="7.33203125" style="894" customWidth="1"/>
    <col min="8" max="8" width="5.5546875" style="895" customWidth="1"/>
    <col min="9" max="9" width="8.5546875" style="895" customWidth="1"/>
    <col min="10" max="10" width="9.33203125" style="895" customWidth="1"/>
    <col min="11" max="11" width="10.6640625" style="895" customWidth="1"/>
    <col min="12" max="13" width="9.6640625" style="895" customWidth="1"/>
    <col min="14" max="256" width="9.109375" style="881"/>
  </cols>
  <sheetData>
    <row r="1" spans="1:13" ht="14.4">
      <c r="A1" s="2716" t="s">
        <v>208</v>
      </c>
      <c r="B1" s="2717"/>
      <c r="C1" s="2717"/>
      <c r="D1" s="2717"/>
      <c r="E1" s="2717"/>
      <c r="F1" s="2717"/>
      <c r="G1" s="2717"/>
      <c r="H1" s="2717"/>
      <c r="I1" s="2717"/>
      <c r="J1" s="2717"/>
      <c r="K1" s="2717"/>
      <c r="L1" s="816"/>
      <c r="M1" s="816"/>
    </row>
    <row r="2" spans="1:13" ht="46.5" customHeight="1">
      <c r="A2" s="2718" t="s">
        <v>1701</v>
      </c>
      <c r="B2" s="2718"/>
      <c r="C2" s="2718"/>
      <c r="D2" s="2718"/>
      <c r="E2" s="2718"/>
      <c r="F2" s="2718"/>
      <c r="G2" s="2718"/>
      <c r="H2" s="2718"/>
      <c r="I2" s="2718"/>
      <c r="J2" s="2718"/>
      <c r="K2" s="2718"/>
      <c r="L2" s="817"/>
      <c r="M2" s="817"/>
    </row>
    <row r="3" spans="1:13" ht="30" customHeight="1">
      <c r="A3" s="2724" t="s">
        <v>1200</v>
      </c>
      <c r="B3" s="2726" t="s">
        <v>1201</v>
      </c>
      <c r="C3" s="2728" t="s">
        <v>527</v>
      </c>
      <c r="D3" s="2729"/>
      <c r="E3" s="2730"/>
      <c r="F3" s="2734" t="s">
        <v>1202</v>
      </c>
      <c r="G3" s="2735"/>
      <c r="H3" s="2736"/>
      <c r="I3" s="2722" t="s">
        <v>786</v>
      </c>
      <c r="J3" s="2722" t="s">
        <v>1203</v>
      </c>
      <c r="K3" s="2719" t="s">
        <v>1115</v>
      </c>
      <c r="L3" s="2712" t="s">
        <v>1204</v>
      </c>
      <c r="M3" s="2712" t="s">
        <v>1205</v>
      </c>
    </row>
    <row r="4" spans="1:13" ht="30" customHeight="1">
      <c r="A4" s="2725"/>
      <c r="B4" s="2727"/>
      <c r="C4" s="2731"/>
      <c r="D4" s="2732"/>
      <c r="E4" s="2733"/>
      <c r="F4" s="818" t="s">
        <v>1417</v>
      </c>
      <c r="G4" s="818" t="s">
        <v>859</v>
      </c>
      <c r="H4" s="818" t="s">
        <v>785</v>
      </c>
      <c r="I4" s="2723"/>
      <c r="J4" s="2723"/>
      <c r="K4" s="2720"/>
      <c r="L4" s="2712"/>
      <c r="M4" s="2712"/>
    </row>
    <row r="5" spans="1:13" s="882" customFormat="1" ht="10.5" customHeight="1">
      <c r="A5" s="819">
        <v>1</v>
      </c>
      <c r="B5" s="820">
        <f>A5+1</f>
        <v>2</v>
      </c>
      <c r="C5" s="2737">
        <f>B5+1</f>
        <v>3</v>
      </c>
      <c r="D5" s="2737"/>
      <c r="E5" s="2737"/>
      <c r="F5" s="821">
        <f>C5+1</f>
        <v>4</v>
      </c>
      <c r="G5" s="821">
        <f>F5+1</f>
        <v>5</v>
      </c>
      <c r="H5" s="821">
        <f t="shared" ref="H5:M5" si="0">G5+1</f>
        <v>6</v>
      </c>
      <c r="I5" s="821">
        <f t="shared" si="0"/>
        <v>7</v>
      </c>
      <c r="J5" s="821">
        <f t="shared" si="0"/>
        <v>8</v>
      </c>
      <c r="K5" s="822">
        <v>9</v>
      </c>
      <c r="L5" s="823">
        <f t="shared" si="0"/>
        <v>10</v>
      </c>
      <c r="M5" s="824">
        <f t="shared" si="0"/>
        <v>11</v>
      </c>
    </row>
    <row r="6" spans="1:13" ht="125.2" customHeight="1">
      <c r="A6" s="825">
        <v>1</v>
      </c>
      <c r="B6" s="2713" t="s">
        <v>201</v>
      </c>
      <c r="C6" s="2713"/>
      <c r="D6" s="2713"/>
      <c r="E6" s="2713"/>
      <c r="F6" s="2713"/>
      <c r="G6" s="2713"/>
      <c r="H6" s="2713"/>
      <c r="I6" s="2713"/>
      <c r="J6" s="826"/>
      <c r="K6" s="827"/>
      <c r="L6" s="828"/>
      <c r="M6" s="829"/>
    </row>
    <row r="7" spans="1:13" ht="21.75" customHeight="1">
      <c r="A7" s="830" t="s">
        <v>659</v>
      </c>
      <c r="B7" s="831" t="s">
        <v>660</v>
      </c>
      <c r="C7" s="832"/>
      <c r="D7" s="829"/>
      <c r="E7" s="832"/>
      <c r="F7" s="829"/>
      <c r="G7" s="829"/>
      <c r="H7" s="829"/>
      <c r="I7" s="829"/>
      <c r="J7" s="826"/>
      <c r="K7" s="827"/>
      <c r="L7" s="828"/>
      <c r="M7" s="829"/>
    </row>
    <row r="8" spans="1:13" ht="21.75" customHeight="1">
      <c r="A8" s="830"/>
      <c r="B8" s="833" t="s">
        <v>655</v>
      </c>
      <c r="C8" s="832">
        <v>1</v>
      </c>
      <c r="D8" s="829" t="s">
        <v>1472</v>
      </c>
      <c r="E8" s="832">
        <v>2</v>
      </c>
      <c r="F8" s="829">
        <v>0.75</v>
      </c>
      <c r="G8" s="829">
        <v>0.75</v>
      </c>
      <c r="H8" s="829">
        <v>0.3</v>
      </c>
      <c r="I8" s="829">
        <f>ROUND(C8*E8*F8*G8*H8,2)</f>
        <v>0.34</v>
      </c>
      <c r="J8" s="826"/>
      <c r="K8" s="827"/>
      <c r="L8" s="828"/>
      <c r="M8" s="829"/>
    </row>
    <row r="9" spans="1:13" ht="21.75" customHeight="1">
      <c r="A9" s="830"/>
      <c r="B9" s="834"/>
      <c r="C9" s="832"/>
      <c r="D9" s="829"/>
      <c r="E9" s="832"/>
      <c r="F9" s="829"/>
      <c r="G9" s="829"/>
      <c r="H9" s="829"/>
      <c r="I9" s="835">
        <f>I8</f>
        <v>0.34</v>
      </c>
      <c r="J9" s="826">
        <f>Datas!G318</f>
        <v>8788.51</v>
      </c>
      <c r="K9" s="836">
        <f>ROUND(J9*I9,0)</f>
        <v>2988</v>
      </c>
      <c r="L9" s="828">
        <v>63</v>
      </c>
      <c r="M9" s="837">
        <f>L9*I9</f>
        <v>21.42</v>
      </c>
    </row>
    <row r="10" spans="1:13" ht="21.75" customHeight="1">
      <c r="A10" s="830"/>
      <c r="B10" s="834"/>
      <c r="C10" s="832"/>
      <c r="D10" s="829"/>
      <c r="E10" s="832"/>
      <c r="F10" s="829"/>
      <c r="G10" s="829"/>
      <c r="H10" s="829"/>
      <c r="I10" s="835" t="s">
        <v>656</v>
      </c>
      <c r="J10" s="826" t="s">
        <v>658</v>
      </c>
      <c r="K10" s="836"/>
      <c r="L10" s="838"/>
      <c r="M10" s="835"/>
    </row>
    <row r="11" spans="1:13" ht="21.75" customHeight="1">
      <c r="A11" s="830" t="s">
        <v>950</v>
      </c>
      <c r="B11" s="839" t="s">
        <v>272</v>
      </c>
      <c r="C11" s="832">
        <v>1</v>
      </c>
      <c r="D11" s="829" t="s">
        <v>422</v>
      </c>
      <c r="E11" s="832">
        <v>2</v>
      </c>
      <c r="F11" s="829">
        <v>0.45</v>
      </c>
      <c r="G11" s="829">
        <v>0.45</v>
      </c>
      <c r="H11" s="829">
        <v>0.2</v>
      </c>
      <c r="I11" s="835">
        <f>ROUND(C11*E11*F11*G11*H11,2)</f>
        <v>0.08</v>
      </c>
      <c r="J11" s="826">
        <f>Datas!G329</f>
        <v>9360.51</v>
      </c>
      <c r="K11" s="836">
        <f>ROUND(J11*I11,0)</f>
        <v>749</v>
      </c>
      <c r="L11" s="828">
        <v>63</v>
      </c>
      <c r="M11" s="837">
        <f>L11*I11</f>
        <v>5.04</v>
      </c>
    </row>
    <row r="12" spans="1:13" ht="21.75" customHeight="1">
      <c r="A12" s="830"/>
      <c r="B12" s="840"/>
      <c r="C12" s="832"/>
      <c r="D12" s="829"/>
      <c r="E12" s="832"/>
      <c r="F12" s="829"/>
      <c r="G12" s="829"/>
      <c r="H12" s="829"/>
      <c r="I12" s="835" t="s">
        <v>656</v>
      </c>
      <c r="J12" s="826" t="s">
        <v>658</v>
      </c>
      <c r="K12" s="836"/>
      <c r="L12" s="838"/>
      <c r="M12" s="835"/>
    </row>
    <row r="13" spans="1:13" ht="21.75" customHeight="1">
      <c r="A13" s="830" t="s">
        <v>661</v>
      </c>
      <c r="B13" s="841" t="s">
        <v>662</v>
      </c>
      <c r="C13" s="832"/>
      <c r="D13" s="829"/>
      <c r="E13" s="832"/>
      <c r="F13" s="829"/>
      <c r="G13" s="829"/>
      <c r="H13" s="829"/>
      <c r="I13" s="829"/>
      <c r="J13" s="826"/>
      <c r="K13" s="827"/>
      <c r="L13" s="828"/>
      <c r="M13" s="829"/>
    </row>
    <row r="14" spans="1:13" ht="21.75" customHeight="1">
      <c r="A14" s="830"/>
      <c r="B14" s="834" t="s">
        <v>663</v>
      </c>
      <c r="C14" s="832">
        <v>1</v>
      </c>
      <c r="D14" s="829" t="s">
        <v>1472</v>
      </c>
      <c r="E14" s="832">
        <v>2</v>
      </c>
      <c r="F14" s="829">
        <v>0.23</v>
      </c>
      <c r="G14" s="829">
        <v>0.3</v>
      </c>
      <c r="H14" s="829">
        <v>3</v>
      </c>
      <c r="I14" s="829">
        <f>ROUND(C14*E14*F14*G14*H14,2)</f>
        <v>0.41</v>
      </c>
      <c r="J14" s="826"/>
      <c r="K14" s="827"/>
      <c r="L14" s="828"/>
      <c r="M14" s="829"/>
    </row>
    <row r="15" spans="1:13" ht="21.75" customHeight="1">
      <c r="A15" s="830"/>
      <c r="B15" s="834"/>
      <c r="C15" s="832"/>
      <c r="D15" s="829"/>
      <c r="E15" s="832"/>
      <c r="F15" s="829"/>
      <c r="G15" s="829" t="s">
        <v>667</v>
      </c>
      <c r="H15" s="829"/>
      <c r="I15" s="835">
        <f>SUM(I14)</f>
        <v>0.41</v>
      </c>
      <c r="J15" s="826"/>
      <c r="K15" s="827"/>
      <c r="L15" s="828"/>
      <c r="M15" s="829"/>
    </row>
    <row r="16" spans="1:13" ht="21.75" customHeight="1">
      <c r="A16" s="830"/>
      <c r="B16" s="2721"/>
      <c r="C16" s="2721"/>
      <c r="D16" s="2721"/>
      <c r="E16" s="2721"/>
      <c r="F16" s="2721"/>
      <c r="G16" s="2721"/>
      <c r="H16" s="2721"/>
      <c r="I16" s="835">
        <f>CEILING(I15,0.05)</f>
        <v>0.45</v>
      </c>
      <c r="J16" s="826">
        <f>Datas!E388</f>
        <v>11842.03</v>
      </c>
      <c r="K16" s="836">
        <f>ROUND(J16*I16,0)</f>
        <v>5329</v>
      </c>
      <c r="L16" s="828">
        <v>63</v>
      </c>
      <c r="M16" s="837">
        <f>L16*I16</f>
        <v>28.35</v>
      </c>
    </row>
    <row r="17" spans="1:13" ht="21.75" customHeight="1">
      <c r="A17" s="830"/>
      <c r="B17" s="834"/>
      <c r="C17" s="832"/>
      <c r="D17" s="829"/>
      <c r="E17" s="832"/>
      <c r="F17" s="829"/>
      <c r="G17" s="829"/>
      <c r="H17" s="829"/>
      <c r="I17" s="835" t="s">
        <v>656</v>
      </c>
      <c r="J17" s="826" t="s">
        <v>668</v>
      </c>
      <c r="K17" s="836"/>
      <c r="L17" s="838"/>
      <c r="M17" s="835"/>
    </row>
    <row r="18" spans="1:13" ht="125.2" customHeight="1">
      <c r="A18" s="825">
        <v>2</v>
      </c>
      <c r="B18" s="2713" t="s">
        <v>1575</v>
      </c>
      <c r="C18" s="2713"/>
      <c r="D18" s="2713"/>
      <c r="E18" s="2713"/>
      <c r="F18" s="2713"/>
      <c r="G18" s="2713"/>
      <c r="H18" s="2713"/>
      <c r="I18" s="2713"/>
      <c r="J18" s="826"/>
      <c r="K18" s="827"/>
      <c r="L18" s="828"/>
      <c r="M18" s="829"/>
    </row>
    <row r="19" spans="1:13">
      <c r="A19" s="830"/>
      <c r="B19" s="842" t="s">
        <v>1530</v>
      </c>
      <c r="C19" s="843"/>
      <c r="D19" s="833"/>
      <c r="E19" s="843"/>
      <c r="F19" s="833"/>
      <c r="G19" s="833"/>
      <c r="H19" s="833"/>
      <c r="I19" s="833"/>
      <c r="J19" s="826"/>
      <c r="K19" s="827"/>
      <c r="L19" s="828"/>
      <c r="M19" s="829"/>
    </row>
    <row r="20" spans="1:13" ht="21.75" customHeight="1">
      <c r="A20" s="830"/>
      <c r="B20" s="844" t="s">
        <v>1528</v>
      </c>
      <c r="C20" s="832">
        <v>1</v>
      </c>
      <c r="D20" s="829" t="s">
        <v>1472</v>
      </c>
      <c r="E20" s="832">
        <v>1</v>
      </c>
      <c r="F20" s="829">
        <f>3.65+3.45+2.25+3.45+3.5+3.7+2.8+1.75+2.9+3</f>
        <v>30.45</v>
      </c>
      <c r="G20" s="829">
        <v>0.23</v>
      </c>
      <c r="H20" s="829">
        <v>0.95</v>
      </c>
      <c r="I20" s="829">
        <f>ROUND(C20*E20*F20*G20*H20,2)</f>
        <v>6.65</v>
      </c>
      <c r="J20" s="826"/>
      <c r="K20" s="827"/>
      <c r="L20" s="828"/>
      <c r="M20" s="829"/>
    </row>
    <row r="21" spans="1:13" ht="21.75" customHeight="1">
      <c r="A21" s="830"/>
      <c r="B21" s="844" t="s">
        <v>1529</v>
      </c>
      <c r="C21" s="832">
        <v>1</v>
      </c>
      <c r="D21" s="829" t="s">
        <v>1472</v>
      </c>
      <c r="E21" s="832">
        <v>1</v>
      </c>
      <c r="F21" s="829">
        <v>1.75</v>
      </c>
      <c r="G21" s="829">
        <v>0.23</v>
      </c>
      <c r="H21" s="829">
        <v>0.95</v>
      </c>
      <c r="I21" s="829">
        <f>ROUND(C21*E21*F21*G21*H21,2)</f>
        <v>0.38</v>
      </c>
      <c r="J21" s="826"/>
      <c r="K21" s="827"/>
      <c r="L21" s="828"/>
      <c r="M21" s="829"/>
    </row>
    <row r="22" spans="1:13" ht="21.75" customHeight="1">
      <c r="A22" s="830"/>
      <c r="B22" s="845"/>
      <c r="C22" s="832">
        <v>1</v>
      </c>
      <c r="D22" s="829" t="s">
        <v>1472</v>
      </c>
      <c r="E22" s="832">
        <v>1</v>
      </c>
      <c r="F22" s="829">
        <v>3</v>
      </c>
      <c r="G22" s="829">
        <v>0.23</v>
      </c>
      <c r="H22" s="829">
        <v>0.95</v>
      </c>
      <c r="I22" s="829">
        <f>ROUND(C22*E22*F22*G22*H22,2)</f>
        <v>0.66</v>
      </c>
      <c r="J22" s="826"/>
      <c r="K22" s="827"/>
      <c r="L22" s="828"/>
      <c r="M22" s="829"/>
    </row>
    <row r="23" spans="1:13" ht="21.75" customHeight="1">
      <c r="A23" s="830"/>
      <c r="B23" s="845"/>
      <c r="C23" s="832">
        <v>1</v>
      </c>
      <c r="D23" s="829" t="s">
        <v>1472</v>
      </c>
      <c r="E23" s="832">
        <v>1</v>
      </c>
      <c r="F23" s="829">
        <v>4.05</v>
      </c>
      <c r="G23" s="829">
        <v>0.23</v>
      </c>
      <c r="H23" s="829">
        <v>3.1</v>
      </c>
      <c r="I23" s="829">
        <f>ROUND(C23*E23*F23*G23*H23,2)</f>
        <v>2.89</v>
      </c>
      <c r="J23" s="826"/>
      <c r="K23" s="827"/>
      <c r="L23" s="828"/>
      <c r="M23" s="829"/>
    </row>
    <row r="24" spans="1:13">
      <c r="A24" s="830"/>
      <c r="B24" s="833"/>
      <c r="C24" s="832"/>
      <c r="D24" s="829"/>
      <c r="E24" s="832"/>
      <c r="F24" s="829"/>
      <c r="G24" s="829"/>
      <c r="H24" s="829"/>
      <c r="I24" s="835">
        <f>SUM(I20:I23)</f>
        <v>10.58</v>
      </c>
      <c r="J24" s="826"/>
      <c r="K24" s="827"/>
      <c r="L24" s="828"/>
      <c r="M24" s="829"/>
    </row>
    <row r="25" spans="1:13">
      <c r="A25" s="830"/>
      <c r="B25" s="2721"/>
      <c r="C25" s="2721"/>
      <c r="D25" s="2721"/>
      <c r="E25" s="2721"/>
      <c r="F25" s="2721"/>
      <c r="G25" s="2721"/>
      <c r="H25" s="2721"/>
      <c r="I25" s="835">
        <f>I24</f>
        <v>10.58</v>
      </c>
      <c r="J25" s="826">
        <f>Datas!E632</f>
        <v>6936.09</v>
      </c>
      <c r="K25" s="836">
        <f>ROUND(J25*I25,0)</f>
        <v>73384</v>
      </c>
      <c r="L25" s="828">
        <v>27.71</v>
      </c>
      <c r="M25" s="837">
        <f>L25*I25</f>
        <v>293.17180000000002</v>
      </c>
    </row>
    <row r="26" spans="1:13">
      <c r="A26" s="830"/>
      <c r="B26" s="833"/>
      <c r="C26" s="832"/>
      <c r="D26" s="829"/>
      <c r="E26" s="832"/>
      <c r="F26" s="829"/>
      <c r="G26" s="829"/>
      <c r="H26" s="829"/>
      <c r="I26" s="835" t="s">
        <v>656</v>
      </c>
      <c r="J26" s="846" t="s">
        <v>658</v>
      </c>
      <c r="K26" s="836"/>
      <c r="L26" s="828"/>
      <c r="M26" s="829"/>
    </row>
    <row r="27" spans="1:13" ht="150" customHeight="1">
      <c r="A27" s="830">
        <v>3</v>
      </c>
      <c r="B27" s="2713" t="s">
        <v>209</v>
      </c>
      <c r="C27" s="2714"/>
      <c r="D27" s="2714"/>
      <c r="E27" s="2714"/>
      <c r="F27" s="2714"/>
      <c r="G27" s="2714"/>
      <c r="H27" s="2714"/>
      <c r="I27" s="2714"/>
      <c r="J27" s="826"/>
      <c r="K27" s="827"/>
      <c r="L27" s="847"/>
      <c r="M27" s="847"/>
    </row>
    <row r="28" spans="1:13" ht="24" customHeight="1">
      <c r="A28" s="830"/>
      <c r="B28" s="848" t="s">
        <v>1531</v>
      </c>
      <c r="C28" s="849">
        <v>1</v>
      </c>
      <c r="D28" s="850" t="s">
        <v>1472</v>
      </c>
      <c r="E28" s="849">
        <v>1</v>
      </c>
      <c r="F28" s="850">
        <v>10</v>
      </c>
      <c r="G28" s="850">
        <v>5.5</v>
      </c>
      <c r="H28" s="850"/>
      <c r="I28" s="850">
        <f>ROUND(G28*F28,2)</f>
        <v>55</v>
      </c>
      <c r="J28" s="826"/>
      <c r="K28" s="827"/>
      <c r="L28" s="847"/>
      <c r="M28" s="847"/>
    </row>
    <row r="29" spans="1:13" ht="24" customHeight="1">
      <c r="A29" s="830"/>
      <c r="B29" s="848" t="s">
        <v>1532</v>
      </c>
      <c r="C29" s="851">
        <v>1</v>
      </c>
      <c r="D29" s="852" t="s">
        <v>1472</v>
      </c>
      <c r="E29" s="849">
        <v>1</v>
      </c>
      <c r="F29" s="850">
        <v>7.15</v>
      </c>
      <c r="G29" s="850">
        <v>6.9</v>
      </c>
      <c r="H29" s="850"/>
      <c r="I29" s="850">
        <f>ROUND(G29*F29,2)</f>
        <v>49.34</v>
      </c>
      <c r="J29" s="826"/>
      <c r="K29" s="827"/>
      <c r="L29" s="847"/>
      <c r="M29" s="847"/>
    </row>
    <row r="30" spans="1:13" ht="24" customHeight="1">
      <c r="A30" s="830"/>
      <c r="B30" s="848" t="s">
        <v>1533</v>
      </c>
      <c r="C30" s="851">
        <v>1</v>
      </c>
      <c r="D30" s="852" t="s">
        <v>1472</v>
      </c>
      <c r="E30" s="849">
        <v>1</v>
      </c>
      <c r="F30" s="850">
        <v>9.3000000000000007</v>
      </c>
      <c r="G30" s="850">
        <v>3.2</v>
      </c>
      <c r="H30" s="850"/>
      <c r="I30" s="850">
        <f>ROUND(G30*F30,2)</f>
        <v>29.76</v>
      </c>
      <c r="J30" s="826"/>
      <c r="K30" s="827"/>
      <c r="L30" s="847"/>
      <c r="M30" s="847"/>
    </row>
    <row r="31" spans="1:13" ht="24" customHeight="1">
      <c r="A31" s="830"/>
      <c r="B31" s="853"/>
      <c r="C31" s="851">
        <v>1</v>
      </c>
      <c r="D31" s="852" t="s">
        <v>1472</v>
      </c>
      <c r="E31" s="849">
        <v>1</v>
      </c>
      <c r="F31" s="850">
        <v>9.3000000000000007</v>
      </c>
      <c r="G31" s="850">
        <v>10</v>
      </c>
      <c r="H31" s="850"/>
      <c r="I31" s="850">
        <f>ROUND(G31*F31,2)</f>
        <v>93</v>
      </c>
      <c r="J31" s="826"/>
      <c r="K31" s="827"/>
      <c r="L31" s="847"/>
      <c r="M31" s="847"/>
    </row>
    <row r="32" spans="1:13" ht="24" customHeight="1">
      <c r="A32" s="830"/>
      <c r="B32" s="853"/>
      <c r="C32" s="851">
        <v>1</v>
      </c>
      <c r="D32" s="852" t="s">
        <v>1472</v>
      </c>
      <c r="E32" s="849">
        <v>1</v>
      </c>
      <c r="F32" s="850">
        <v>3.5</v>
      </c>
      <c r="G32" s="850">
        <v>3.7</v>
      </c>
      <c r="H32" s="850"/>
      <c r="I32" s="850">
        <f>ROUND(G32*F32,2)</f>
        <v>12.95</v>
      </c>
      <c r="J32" s="826"/>
      <c r="K32" s="827"/>
      <c r="L32" s="847"/>
      <c r="M32" s="847"/>
    </row>
    <row r="33" spans="1:13">
      <c r="A33" s="830"/>
      <c r="B33" s="833"/>
      <c r="C33" s="832"/>
      <c r="D33" s="829"/>
      <c r="E33" s="832"/>
      <c r="F33" s="829"/>
      <c r="G33" s="854"/>
      <c r="H33" s="829"/>
      <c r="I33" s="829">
        <f>SUM(I28:I32)</f>
        <v>240.04999999999998</v>
      </c>
      <c r="J33" s="826"/>
      <c r="K33" s="827"/>
      <c r="L33" s="847"/>
      <c r="M33" s="847"/>
    </row>
    <row r="34" spans="1:13" ht="24" customHeight="1">
      <c r="A34" s="830"/>
      <c r="B34" s="833"/>
      <c r="C34" s="832"/>
      <c r="D34" s="829"/>
      <c r="E34" s="832"/>
      <c r="F34" s="829"/>
      <c r="G34" s="829" t="s">
        <v>667</v>
      </c>
      <c r="H34" s="829"/>
      <c r="I34" s="835">
        <f>CEILING(I33,0.05)</f>
        <v>240.05</v>
      </c>
      <c r="J34" s="826">
        <f>Datas!G860</f>
        <v>4893.9799999999996</v>
      </c>
      <c r="K34" s="836">
        <f>ROUND(J34*I34/10,0)</f>
        <v>117480</v>
      </c>
      <c r="L34" s="828">
        <f>0.21*4</f>
        <v>0.84</v>
      </c>
      <c r="M34" s="837">
        <f>L34*I34</f>
        <v>201.642</v>
      </c>
    </row>
    <row r="35" spans="1:13" ht="24" customHeight="1">
      <c r="A35" s="830"/>
      <c r="B35" s="833"/>
      <c r="C35" s="832"/>
      <c r="D35" s="829"/>
      <c r="E35" s="832"/>
      <c r="F35" s="829"/>
      <c r="G35" s="829"/>
      <c r="H35" s="829"/>
      <c r="I35" s="835" t="s">
        <v>464</v>
      </c>
      <c r="J35" s="846" t="s">
        <v>37</v>
      </c>
      <c r="K35" s="836"/>
      <c r="L35" s="847"/>
      <c r="M35" s="847"/>
    </row>
    <row r="36" spans="1:13" ht="125.2" customHeight="1">
      <c r="A36" s="830">
        <v>4</v>
      </c>
      <c r="B36" s="2713" t="s">
        <v>202</v>
      </c>
      <c r="C36" s="2714"/>
      <c r="D36" s="2714"/>
      <c r="E36" s="2714"/>
      <c r="F36" s="2714"/>
      <c r="G36" s="2714"/>
      <c r="H36" s="2714"/>
      <c r="I36" s="2714"/>
      <c r="J36" s="826"/>
      <c r="K36" s="827"/>
      <c r="L36" s="828"/>
      <c r="M36" s="829"/>
    </row>
    <row r="37" spans="1:13">
      <c r="A37" s="830"/>
      <c r="B37" s="840" t="s">
        <v>466</v>
      </c>
      <c r="C37" s="855"/>
      <c r="D37" s="854"/>
      <c r="E37" s="855"/>
      <c r="F37" s="854"/>
      <c r="G37" s="854"/>
      <c r="H37" s="854"/>
      <c r="I37" s="854"/>
      <c r="J37" s="826"/>
      <c r="K37" s="827"/>
      <c r="L37" s="828"/>
      <c r="M37" s="829"/>
    </row>
    <row r="38" spans="1:13" ht="24" customHeight="1">
      <c r="A38" s="830"/>
      <c r="B38" s="844" t="s">
        <v>1528</v>
      </c>
      <c r="C38" s="832">
        <v>1</v>
      </c>
      <c r="D38" s="829" t="s">
        <v>1472</v>
      </c>
      <c r="E38" s="832">
        <v>2</v>
      </c>
      <c r="F38" s="829">
        <f>3.65+3.45+2.25+3.45+3.5+3.7+2.8+1.75+2.9+3+1.75+3</f>
        <v>35.200000000000003</v>
      </c>
      <c r="G38" s="829"/>
      <c r="H38" s="829">
        <v>0.95</v>
      </c>
      <c r="I38" s="829">
        <f>ROUND(C38*E38*F38*H38,2)</f>
        <v>66.88</v>
      </c>
      <c r="J38" s="826"/>
      <c r="K38" s="827"/>
      <c r="L38" s="828"/>
      <c r="M38" s="829"/>
    </row>
    <row r="39" spans="1:13" ht="24" customHeight="1">
      <c r="A39" s="830"/>
      <c r="B39" s="844" t="s">
        <v>1528</v>
      </c>
      <c r="C39" s="832">
        <v>1</v>
      </c>
      <c r="D39" s="829" t="s">
        <v>1472</v>
      </c>
      <c r="E39" s="832">
        <v>1</v>
      </c>
      <c r="F39" s="829">
        <f>3.65+3.45+2.25+3.45+3.5+3.7+2.8+1.75+2.9+3+1.75+3</f>
        <v>35.200000000000003</v>
      </c>
      <c r="G39" s="829">
        <v>0.23</v>
      </c>
      <c r="H39" s="854"/>
      <c r="I39" s="829">
        <f>ROUND(C39*E39*F39*G39,2)</f>
        <v>8.1</v>
      </c>
      <c r="J39" s="826"/>
      <c r="K39" s="827"/>
      <c r="L39" s="828"/>
      <c r="M39" s="829"/>
    </row>
    <row r="40" spans="1:13" ht="24" customHeight="1">
      <c r="A40" s="830"/>
      <c r="B40" s="856"/>
      <c r="C40" s="832"/>
      <c r="D40" s="829"/>
      <c r="E40" s="832"/>
      <c r="F40" s="829"/>
      <c r="G40" s="829" t="s">
        <v>667</v>
      </c>
      <c r="H40" s="829"/>
      <c r="I40" s="835">
        <f>SUM(I38:I39)</f>
        <v>74.97999999999999</v>
      </c>
      <c r="J40" s="826">
        <f>Datas!E679</f>
        <v>4266.8500000000004</v>
      </c>
      <c r="K40" s="836">
        <f>ROUND(J40*I40/10,0)</f>
        <v>31993</v>
      </c>
      <c r="L40" s="828">
        <f>0.15*4</f>
        <v>0.6</v>
      </c>
      <c r="M40" s="837">
        <f>L40*I40</f>
        <v>44.987999999999992</v>
      </c>
    </row>
    <row r="41" spans="1:13" ht="24" customHeight="1">
      <c r="A41" s="830"/>
      <c r="B41" s="833"/>
      <c r="C41" s="857"/>
      <c r="D41" s="835"/>
      <c r="E41" s="832"/>
      <c r="F41" s="829"/>
      <c r="G41" s="829"/>
      <c r="H41" s="829"/>
      <c r="I41" s="835" t="s">
        <v>1478</v>
      </c>
      <c r="J41" s="846" t="s">
        <v>37</v>
      </c>
      <c r="K41" s="836"/>
      <c r="L41" s="828"/>
      <c r="M41" s="829"/>
    </row>
    <row r="42" spans="1:13" ht="143.25" customHeight="1">
      <c r="A42" s="830">
        <v>5</v>
      </c>
      <c r="B42" s="2713" t="s">
        <v>210</v>
      </c>
      <c r="C42" s="2714"/>
      <c r="D42" s="2714"/>
      <c r="E42" s="2714"/>
      <c r="F42" s="2714"/>
      <c r="G42" s="2714"/>
      <c r="H42" s="2714"/>
      <c r="I42" s="2714"/>
      <c r="J42" s="826"/>
      <c r="K42" s="827"/>
      <c r="L42" s="828"/>
      <c r="M42" s="829"/>
    </row>
    <row r="43" spans="1:13" ht="24" customHeight="1">
      <c r="A43" s="830"/>
      <c r="B43" s="858" t="s">
        <v>1540</v>
      </c>
      <c r="C43" s="832">
        <v>1</v>
      </c>
      <c r="D43" s="829" t="s">
        <v>1472</v>
      </c>
      <c r="E43" s="832">
        <v>2</v>
      </c>
      <c r="F43" s="829">
        <f>24*0.3048</f>
        <v>7.3152000000000008</v>
      </c>
      <c r="G43" s="854"/>
      <c r="H43" s="829">
        <f>20*0.3048</f>
        <v>6.0960000000000001</v>
      </c>
      <c r="I43" s="829">
        <f>ROUND(C43*E43*F43*H43,2)</f>
        <v>89.19</v>
      </c>
      <c r="J43" s="826"/>
      <c r="K43" s="827"/>
      <c r="L43" s="828"/>
      <c r="M43" s="829"/>
    </row>
    <row r="44" spans="1:13">
      <c r="A44" s="830"/>
      <c r="B44" s="858" t="s">
        <v>1541</v>
      </c>
      <c r="C44" s="832">
        <v>1</v>
      </c>
      <c r="D44" s="829" t="s">
        <v>1472</v>
      </c>
      <c r="E44" s="832">
        <v>2</v>
      </c>
      <c r="F44" s="829">
        <v>7.32</v>
      </c>
      <c r="G44" s="854"/>
      <c r="H44" s="829">
        <v>1.8</v>
      </c>
      <c r="I44" s="829">
        <f>ROUND(C44*E44*F44*H44,2)</f>
        <v>26.35</v>
      </c>
      <c r="J44" s="826"/>
      <c r="K44" s="827"/>
      <c r="L44" s="828"/>
      <c r="M44" s="829"/>
    </row>
    <row r="45" spans="1:13" ht="24" customHeight="1">
      <c r="A45" s="830"/>
      <c r="B45" s="858" t="s">
        <v>42</v>
      </c>
      <c r="C45" s="832">
        <v>2</v>
      </c>
      <c r="D45" s="829" t="s">
        <v>1472</v>
      </c>
      <c r="E45" s="832">
        <v>1</v>
      </c>
      <c r="F45" s="829">
        <v>1.2</v>
      </c>
      <c r="G45" s="829">
        <v>0.23</v>
      </c>
      <c r="H45" s="829"/>
      <c r="I45" s="829">
        <f>ROUND(C45*E45*F45*G45,2)</f>
        <v>0.55000000000000004</v>
      </c>
      <c r="J45" s="826"/>
      <c r="K45" s="827"/>
      <c r="L45" s="828"/>
      <c r="M45" s="829"/>
    </row>
    <row r="46" spans="1:13" ht="24" customHeight="1">
      <c r="A46" s="830"/>
      <c r="B46" s="833"/>
      <c r="C46" s="832"/>
      <c r="D46" s="829"/>
      <c r="E46" s="832"/>
      <c r="F46" s="829"/>
      <c r="G46" s="829"/>
      <c r="H46" s="829"/>
      <c r="I46" s="829">
        <f>SUM(I43:I45)</f>
        <v>116.08999999999999</v>
      </c>
      <c r="J46" s="826"/>
      <c r="K46" s="827"/>
      <c r="L46" s="828"/>
      <c r="M46" s="829"/>
    </row>
    <row r="47" spans="1:13" ht="24" customHeight="1">
      <c r="A47" s="830"/>
      <c r="B47" s="833"/>
      <c r="C47" s="832"/>
      <c r="D47" s="829"/>
      <c r="E47" s="832"/>
      <c r="F47" s="829"/>
      <c r="G47" s="829"/>
      <c r="H47" s="829" t="s">
        <v>982</v>
      </c>
      <c r="I47" s="835">
        <f>CEILING(I46,0.05)</f>
        <v>116.10000000000001</v>
      </c>
      <c r="J47" s="826">
        <f>Datas!E748</f>
        <v>7593.7699999999995</v>
      </c>
      <c r="K47" s="836">
        <f>ROUND(J47*I47/10,0)</f>
        <v>88164</v>
      </c>
      <c r="L47" s="828">
        <f>0.12*4+1.1*7</f>
        <v>8.1800000000000015</v>
      </c>
      <c r="M47" s="837">
        <f>L47*I47</f>
        <v>949.69800000000021</v>
      </c>
    </row>
    <row r="48" spans="1:13" ht="24" customHeight="1">
      <c r="A48" s="830"/>
      <c r="B48" s="833"/>
      <c r="C48" s="832"/>
      <c r="D48" s="829"/>
      <c r="E48" s="832"/>
      <c r="F48" s="829"/>
      <c r="G48" s="829"/>
      <c r="H48" s="829"/>
      <c r="I48" s="835" t="s">
        <v>1478</v>
      </c>
      <c r="J48" s="846" t="s">
        <v>37</v>
      </c>
      <c r="K48" s="836"/>
      <c r="L48" s="828"/>
      <c r="M48" s="829"/>
    </row>
    <row r="49" spans="1:13" ht="125.2" customHeight="1">
      <c r="A49" s="830">
        <v>6</v>
      </c>
      <c r="B49" s="2713" t="s">
        <v>866</v>
      </c>
      <c r="C49" s="2714"/>
      <c r="D49" s="2714"/>
      <c r="E49" s="2714"/>
      <c r="F49" s="2714"/>
      <c r="G49" s="2714"/>
      <c r="H49" s="2714"/>
      <c r="I49" s="2714"/>
      <c r="J49" s="826"/>
      <c r="K49" s="827"/>
      <c r="L49" s="828"/>
      <c r="M49" s="829"/>
    </row>
    <row r="50" spans="1:13" ht="24" customHeight="1">
      <c r="A50" s="830"/>
      <c r="B50" s="858" t="s">
        <v>1540</v>
      </c>
      <c r="C50" s="832">
        <v>1</v>
      </c>
      <c r="D50" s="829" t="s">
        <v>1472</v>
      </c>
      <c r="E50" s="832">
        <v>2</v>
      </c>
      <c r="F50" s="829">
        <f>2*(7.32*2+6.1*2)</f>
        <v>53.68</v>
      </c>
      <c r="G50" s="829">
        <v>0.1</v>
      </c>
      <c r="H50" s="854"/>
      <c r="I50" s="829">
        <f>ROUND(C50*E50*F50*G50,2)</f>
        <v>10.74</v>
      </c>
      <c r="J50" s="826"/>
      <c r="K50" s="827"/>
      <c r="L50" s="828"/>
      <c r="M50" s="829"/>
    </row>
    <row r="51" spans="1:13" ht="24" customHeight="1">
      <c r="A51" s="830"/>
      <c r="B51" s="858" t="s">
        <v>41</v>
      </c>
      <c r="C51" s="832">
        <v>2</v>
      </c>
      <c r="D51" s="829" t="s">
        <v>1472</v>
      </c>
      <c r="E51" s="832">
        <v>2</v>
      </c>
      <c r="F51" s="829">
        <v>1.2</v>
      </c>
      <c r="G51" s="829">
        <v>0.1</v>
      </c>
      <c r="H51" s="829"/>
      <c r="I51" s="829">
        <f>-ROUND(C51*E51*F51*G51,2)</f>
        <v>-0.48</v>
      </c>
      <c r="J51" s="826"/>
      <c r="K51" s="827"/>
      <c r="L51" s="828"/>
      <c r="M51" s="829"/>
    </row>
    <row r="52" spans="1:13" ht="24" customHeight="1">
      <c r="A52" s="830"/>
      <c r="B52" s="833"/>
      <c r="C52" s="832"/>
      <c r="D52" s="829"/>
      <c r="E52" s="832"/>
      <c r="F52" s="829"/>
      <c r="G52" s="829"/>
      <c r="H52" s="829"/>
      <c r="I52" s="829">
        <f>SUM(I50:I51)</f>
        <v>10.26</v>
      </c>
      <c r="J52" s="826"/>
      <c r="K52" s="827"/>
      <c r="L52" s="828"/>
      <c r="M52" s="829"/>
    </row>
    <row r="53" spans="1:13" ht="24" customHeight="1">
      <c r="A53" s="830"/>
      <c r="B53" s="833"/>
      <c r="C53" s="832"/>
      <c r="D53" s="829"/>
      <c r="E53" s="832"/>
      <c r="F53" s="829"/>
      <c r="G53" s="829"/>
      <c r="H53" s="829" t="s">
        <v>982</v>
      </c>
      <c r="I53" s="835">
        <f>CEILING(I52,0.05)</f>
        <v>10.3</v>
      </c>
      <c r="J53" s="826">
        <f>Datas!G844</f>
        <v>8348.74</v>
      </c>
      <c r="K53" s="836">
        <f>ROUND(J53*I53/10,0)</f>
        <v>8599</v>
      </c>
      <c r="L53" s="828">
        <f>0.12*4+1.1*7</f>
        <v>8.1800000000000015</v>
      </c>
      <c r="M53" s="837">
        <f>L53*I53</f>
        <v>84.254000000000019</v>
      </c>
    </row>
    <row r="54" spans="1:13" ht="24" customHeight="1">
      <c r="A54" s="830"/>
      <c r="B54" s="833"/>
      <c r="C54" s="832"/>
      <c r="D54" s="829"/>
      <c r="E54" s="832"/>
      <c r="F54" s="829"/>
      <c r="G54" s="829"/>
      <c r="H54" s="829"/>
      <c r="I54" s="835" t="s">
        <v>1478</v>
      </c>
      <c r="J54" s="846" t="s">
        <v>37</v>
      </c>
      <c r="K54" s="836"/>
      <c r="L54" s="828"/>
      <c r="M54" s="829"/>
    </row>
    <row r="55" spans="1:13" ht="159.75" customHeight="1">
      <c r="A55" s="830">
        <v>7</v>
      </c>
      <c r="B55" s="2713" t="s">
        <v>1537</v>
      </c>
      <c r="C55" s="2714"/>
      <c r="D55" s="2714"/>
      <c r="E55" s="2714"/>
      <c r="F55" s="2714"/>
      <c r="G55" s="2714"/>
      <c r="H55" s="2714"/>
      <c r="I55" s="2714"/>
      <c r="J55" s="826"/>
      <c r="K55" s="827"/>
      <c r="L55" s="828"/>
      <c r="M55" s="829"/>
    </row>
    <row r="56" spans="1:13" ht="23.25" customHeight="1">
      <c r="A56" s="830"/>
      <c r="B56" s="2715" t="s">
        <v>1536</v>
      </c>
      <c r="C56" s="2715"/>
      <c r="D56" s="2715"/>
      <c r="E56" s="2715"/>
      <c r="F56" s="2715"/>
      <c r="G56" s="2715"/>
      <c r="H56" s="2715"/>
      <c r="I56" s="835">
        <v>2</v>
      </c>
      <c r="J56" s="826" t="e">
        <f>#REF!</f>
        <v>#REF!</v>
      </c>
      <c r="K56" s="836" t="e">
        <f>ROUND(J56*I56,0)</f>
        <v>#REF!</v>
      </c>
      <c r="L56" s="828"/>
      <c r="M56" s="829"/>
    </row>
    <row r="57" spans="1:13" s="883" customFormat="1">
      <c r="A57" s="859"/>
      <c r="B57" s="853"/>
      <c r="C57" s="860"/>
      <c r="D57" s="861"/>
      <c r="E57" s="860"/>
      <c r="F57" s="861"/>
      <c r="G57" s="861"/>
      <c r="H57" s="861"/>
      <c r="I57" s="861" t="s">
        <v>472</v>
      </c>
      <c r="J57" s="846" t="s">
        <v>1075</v>
      </c>
      <c r="K57" s="836"/>
      <c r="L57" s="862"/>
      <c r="M57" s="861"/>
    </row>
    <row r="58" spans="1:13" ht="121.5" customHeight="1">
      <c r="A58" s="830">
        <v>8</v>
      </c>
      <c r="B58" s="2713" t="s">
        <v>1534</v>
      </c>
      <c r="C58" s="2714"/>
      <c r="D58" s="2714"/>
      <c r="E58" s="2714"/>
      <c r="F58" s="2714"/>
      <c r="G58" s="2714"/>
      <c r="H58" s="2714"/>
      <c r="I58" s="2714"/>
      <c r="J58" s="826"/>
      <c r="K58" s="827"/>
      <c r="L58" s="828"/>
      <c r="M58" s="829"/>
    </row>
    <row r="59" spans="1:13" ht="21.75" customHeight="1">
      <c r="A59" s="830"/>
      <c r="B59" s="858" t="s">
        <v>203</v>
      </c>
      <c r="C59" s="832">
        <v>1</v>
      </c>
      <c r="D59" s="829" t="s">
        <v>1472</v>
      </c>
      <c r="E59" s="832">
        <v>1</v>
      </c>
      <c r="F59" s="829">
        <v>1.5</v>
      </c>
      <c r="G59" s="829"/>
      <c r="H59" s="829">
        <v>1.35</v>
      </c>
      <c r="I59" s="829">
        <v>1</v>
      </c>
      <c r="J59" s="826" t="e">
        <f>#REF!</f>
        <v>#REF!</v>
      </c>
      <c r="K59" s="836" t="e">
        <f>ROUND(J59*I59,0)</f>
        <v>#REF!</v>
      </c>
      <c r="L59" s="828"/>
      <c r="M59" s="829"/>
    </row>
    <row r="60" spans="1:13" s="883" customFormat="1">
      <c r="A60" s="859"/>
      <c r="B60" s="853"/>
      <c r="C60" s="860"/>
      <c r="D60" s="861"/>
      <c r="E60" s="860"/>
      <c r="F60" s="861"/>
      <c r="G60" s="861"/>
      <c r="H60" s="861"/>
      <c r="I60" s="861" t="s">
        <v>472</v>
      </c>
      <c r="J60" s="846" t="s">
        <v>1075</v>
      </c>
      <c r="K60" s="836"/>
      <c r="L60" s="862"/>
      <c r="M60" s="861"/>
    </row>
    <row r="61" spans="1:13" ht="21.75" customHeight="1">
      <c r="A61" s="830"/>
      <c r="B61" s="858" t="s">
        <v>1535</v>
      </c>
      <c r="C61" s="832">
        <v>1</v>
      </c>
      <c r="D61" s="829" t="s">
        <v>1472</v>
      </c>
      <c r="E61" s="832">
        <v>1</v>
      </c>
      <c r="F61" s="829">
        <v>1.5</v>
      </c>
      <c r="G61" s="829"/>
      <c r="H61" s="829">
        <v>1.35</v>
      </c>
      <c r="I61" s="829">
        <v>2</v>
      </c>
      <c r="J61" s="826" t="e">
        <f>#REF!</f>
        <v>#REF!</v>
      </c>
      <c r="K61" s="836" t="e">
        <f>ROUND(J61*I61,0)</f>
        <v>#REF!</v>
      </c>
      <c r="L61" s="828"/>
      <c r="M61" s="829"/>
    </row>
    <row r="62" spans="1:13" ht="50.2" customHeight="1">
      <c r="A62" s="830">
        <v>9</v>
      </c>
      <c r="B62" s="2713" t="s">
        <v>909</v>
      </c>
      <c r="C62" s="2714"/>
      <c r="D62" s="2714"/>
      <c r="E62" s="2714"/>
      <c r="F62" s="2714"/>
      <c r="G62" s="2714"/>
      <c r="H62" s="2714"/>
      <c r="I62" s="2714"/>
      <c r="J62" s="826"/>
      <c r="K62" s="827"/>
      <c r="L62" s="828"/>
      <c r="M62" s="829"/>
    </row>
    <row r="63" spans="1:13">
      <c r="A63" s="830"/>
      <c r="B63" s="833" t="s">
        <v>1538</v>
      </c>
      <c r="C63" s="832"/>
      <c r="D63" s="829"/>
      <c r="E63" s="832"/>
      <c r="F63" s="829"/>
      <c r="G63" s="829"/>
      <c r="H63" s="829"/>
      <c r="I63" s="829">
        <v>1210</v>
      </c>
      <c r="J63" s="826"/>
      <c r="K63" s="827"/>
      <c r="L63" s="828"/>
      <c r="M63" s="829"/>
    </row>
    <row r="64" spans="1:13" ht="24" customHeight="1">
      <c r="A64" s="830"/>
      <c r="B64" s="2721"/>
      <c r="C64" s="2721"/>
      <c r="D64" s="2721"/>
      <c r="E64" s="2721"/>
      <c r="F64" s="2721"/>
      <c r="G64" s="2721"/>
      <c r="H64" s="2721"/>
      <c r="I64" s="835">
        <v>1210</v>
      </c>
      <c r="J64" s="826">
        <f>Datas!G1054</f>
        <v>116.62</v>
      </c>
      <c r="K64" s="836">
        <f>ROUND(J64*I64,0)</f>
        <v>141110</v>
      </c>
      <c r="L64" s="828"/>
      <c r="M64" s="829"/>
    </row>
    <row r="65" spans="1:13" ht="24" customHeight="1">
      <c r="A65" s="830"/>
      <c r="B65" s="840"/>
      <c r="C65" s="832"/>
      <c r="D65" s="829"/>
      <c r="E65" s="832"/>
      <c r="F65" s="829"/>
      <c r="G65" s="829"/>
      <c r="H65" s="829"/>
      <c r="I65" s="861" t="s">
        <v>338</v>
      </c>
      <c r="J65" s="846" t="s">
        <v>1539</v>
      </c>
      <c r="K65" s="836"/>
      <c r="L65" s="828"/>
      <c r="M65" s="829"/>
    </row>
    <row r="66" spans="1:13" ht="103.5" customHeight="1">
      <c r="A66" s="830">
        <v>10</v>
      </c>
      <c r="B66" s="2713" t="s">
        <v>1542</v>
      </c>
      <c r="C66" s="2714"/>
      <c r="D66" s="2714"/>
      <c r="E66" s="2714"/>
      <c r="F66" s="2714"/>
      <c r="G66" s="2714"/>
      <c r="H66" s="2714"/>
      <c r="I66" s="2714"/>
      <c r="J66" s="826"/>
      <c r="K66" s="827"/>
      <c r="L66" s="828"/>
      <c r="M66" s="829"/>
    </row>
    <row r="67" spans="1:13">
      <c r="A67" s="830"/>
      <c r="B67" s="840" t="s">
        <v>1543</v>
      </c>
      <c r="C67" s="832"/>
      <c r="D67" s="829"/>
      <c r="E67" s="832"/>
      <c r="F67" s="829"/>
      <c r="G67" s="829"/>
      <c r="H67" s="829"/>
      <c r="I67" s="829"/>
      <c r="J67" s="826"/>
      <c r="K67" s="827"/>
      <c r="L67" s="828"/>
      <c r="M67" s="829"/>
    </row>
    <row r="68" spans="1:13">
      <c r="A68" s="830"/>
      <c r="B68" s="833" t="s">
        <v>1544</v>
      </c>
      <c r="C68" s="832">
        <v>1</v>
      </c>
      <c r="D68" s="829" t="s">
        <v>1472</v>
      </c>
      <c r="E68" s="832">
        <v>1</v>
      </c>
      <c r="F68" s="829">
        <v>7.4</v>
      </c>
      <c r="G68" s="829"/>
      <c r="H68" s="829">
        <v>6.3</v>
      </c>
      <c r="I68" s="829">
        <f>ROUND(H68*F68*E68,2)</f>
        <v>46.62</v>
      </c>
      <c r="J68" s="826"/>
      <c r="K68" s="827"/>
      <c r="L68" s="828"/>
      <c r="M68" s="829"/>
    </row>
    <row r="69" spans="1:13">
      <c r="A69" s="830"/>
      <c r="B69" s="833" t="s">
        <v>1545</v>
      </c>
      <c r="C69" s="832">
        <v>1</v>
      </c>
      <c r="D69" s="829" t="s">
        <v>1472</v>
      </c>
      <c r="E69" s="832">
        <v>1</v>
      </c>
      <c r="F69" s="829">
        <v>7.4</v>
      </c>
      <c r="G69" s="829"/>
      <c r="H69" s="829">
        <v>6.3</v>
      </c>
      <c r="I69" s="829">
        <f>ROUND(H69*F69*E69,2)</f>
        <v>46.62</v>
      </c>
      <c r="J69" s="826"/>
      <c r="K69" s="827"/>
      <c r="L69" s="828"/>
      <c r="M69" s="829"/>
    </row>
    <row r="70" spans="1:13">
      <c r="A70" s="830"/>
      <c r="B70" s="833" t="s">
        <v>1546</v>
      </c>
      <c r="C70" s="832">
        <v>1</v>
      </c>
      <c r="D70" s="829" t="s">
        <v>1472</v>
      </c>
      <c r="E70" s="832">
        <v>1</v>
      </c>
      <c r="F70" s="829">
        <v>7.4</v>
      </c>
      <c r="G70" s="829"/>
      <c r="H70" s="829">
        <v>6.3</v>
      </c>
      <c r="I70" s="829">
        <f>ROUND(H70*F70*E70,2)</f>
        <v>46.62</v>
      </c>
      <c r="J70" s="826"/>
      <c r="K70" s="827"/>
      <c r="L70" s="828"/>
      <c r="M70" s="829"/>
    </row>
    <row r="71" spans="1:13">
      <c r="A71" s="830"/>
      <c r="B71" s="833" t="s">
        <v>1547</v>
      </c>
      <c r="C71" s="832">
        <v>1</v>
      </c>
      <c r="D71" s="829" t="s">
        <v>1472</v>
      </c>
      <c r="E71" s="832">
        <v>1</v>
      </c>
      <c r="F71" s="829">
        <v>6</v>
      </c>
      <c r="G71" s="829"/>
      <c r="H71" s="829">
        <v>4.8</v>
      </c>
      <c r="I71" s="829">
        <f>ROUND(H71*F71*E71,2)</f>
        <v>28.8</v>
      </c>
      <c r="J71" s="826"/>
      <c r="K71" s="827"/>
      <c r="L71" s="828"/>
      <c r="M71" s="829"/>
    </row>
    <row r="72" spans="1:13">
      <c r="A72" s="830"/>
      <c r="B72" s="833" t="s">
        <v>1548</v>
      </c>
      <c r="C72" s="832">
        <v>1</v>
      </c>
      <c r="D72" s="829" t="s">
        <v>1472</v>
      </c>
      <c r="E72" s="832">
        <v>1</v>
      </c>
      <c r="F72" s="829">
        <v>6</v>
      </c>
      <c r="G72" s="829"/>
      <c r="H72" s="829">
        <v>4.8</v>
      </c>
      <c r="I72" s="829">
        <f>ROUND(H72*F72*E72,2)</f>
        <v>28.8</v>
      </c>
      <c r="J72" s="826"/>
      <c r="K72" s="827"/>
      <c r="L72" s="828"/>
      <c r="M72" s="829"/>
    </row>
    <row r="73" spans="1:13">
      <c r="A73" s="830"/>
      <c r="B73" s="833" t="s">
        <v>1549</v>
      </c>
      <c r="C73" s="832">
        <v>1</v>
      </c>
      <c r="D73" s="829" t="s">
        <v>1472</v>
      </c>
      <c r="E73" s="832">
        <v>1</v>
      </c>
      <c r="F73" s="829">
        <v>22.5</v>
      </c>
      <c r="G73" s="829">
        <v>2.0499999999999998</v>
      </c>
      <c r="H73" s="854"/>
      <c r="I73" s="829">
        <f>ROUND(G73*F73*E73,2)</f>
        <v>46.13</v>
      </c>
      <c r="J73" s="826"/>
      <c r="K73" s="827"/>
      <c r="L73" s="828"/>
      <c r="M73" s="829"/>
    </row>
    <row r="74" spans="1:13">
      <c r="A74" s="830"/>
      <c r="B74" s="833" t="s">
        <v>1550</v>
      </c>
      <c r="C74" s="832">
        <v>1</v>
      </c>
      <c r="D74" s="829" t="s">
        <v>1472</v>
      </c>
      <c r="E74" s="832">
        <v>1</v>
      </c>
      <c r="F74" s="829">
        <v>12.6</v>
      </c>
      <c r="G74" s="829">
        <v>2.6</v>
      </c>
      <c r="H74" s="854"/>
      <c r="I74" s="829">
        <f>ROUND(G74*F74*E74,2)</f>
        <v>32.76</v>
      </c>
      <c r="J74" s="826"/>
      <c r="K74" s="827"/>
      <c r="L74" s="828"/>
      <c r="M74" s="829"/>
    </row>
    <row r="75" spans="1:13">
      <c r="A75" s="830"/>
      <c r="B75" s="833" t="s">
        <v>1551</v>
      </c>
      <c r="C75" s="832">
        <v>1</v>
      </c>
      <c r="D75" s="829" t="s">
        <v>1472</v>
      </c>
      <c r="E75" s="832">
        <v>1</v>
      </c>
      <c r="F75" s="829">
        <v>22.5</v>
      </c>
      <c r="G75" s="829">
        <v>0.9</v>
      </c>
      <c r="H75" s="854"/>
      <c r="I75" s="829">
        <f>ROUND(G75*F75*E75,2)</f>
        <v>20.25</v>
      </c>
      <c r="J75" s="826"/>
      <c r="K75" s="827"/>
      <c r="L75" s="828"/>
      <c r="M75" s="829"/>
    </row>
    <row r="76" spans="1:13">
      <c r="A76" s="830"/>
      <c r="B76" s="833" t="s">
        <v>1551</v>
      </c>
      <c r="C76" s="832">
        <v>1</v>
      </c>
      <c r="D76" s="829" t="s">
        <v>1472</v>
      </c>
      <c r="E76" s="832">
        <v>1</v>
      </c>
      <c r="F76" s="829">
        <v>12.6</v>
      </c>
      <c r="G76" s="829">
        <v>0.9</v>
      </c>
      <c r="H76" s="854"/>
      <c r="I76" s="829">
        <f>ROUND(G76*F76*E76,2)</f>
        <v>11.34</v>
      </c>
      <c r="J76" s="826"/>
      <c r="K76" s="827"/>
      <c r="L76" s="828"/>
      <c r="M76" s="829"/>
    </row>
    <row r="77" spans="1:13">
      <c r="A77" s="830"/>
      <c r="B77" s="833" t="s">
        <v>1544</v>
      </c>
      <c r="C77" s="832">
        <v>1</v>
      </c>
      <c r="D77" s="829" t="s">
        <v>1472</v>
      </c>
      <c r="E77" s="832">
        <v>1</v>
      </c>
      <c r="F77" s="829">
        <v>31</v>
      </c>
      <c r="G77" s="829"/>
      <c r="H77" s="829">
        <v>3</v>
      </c>
      <c r="I77" s="829">
        <f t="shared" ref="I77:I92" si="1">ROUND(H77*F77*E77,2)</f>
        <v>93</v>
      </c>
      <c r="J77" s="826"/>
      <c r="K77" s="827"/>
      <c r="L77" s="828"/>
      <c r="M77" s="829"/>
    </row>
    <row r="78" spans="1:13">
      <c r="A78" s="830"/>
      <c r="B78" s="833" t="s">
        <v>1545</v>
      </c>
      <c r="C78" s="832">
        <v>1</v>
      </c>
      <c r="D78" s="829" t="s">
        <v>1472</v>
      </c>
      <c r="E78" s="832">
        <v>1</v>
      </c>
      <c r="F78" s="829">
        <v>31</v>
      </c>
      <c r="G78" s="829"/>
      <c r="H78" s="829">
        <v>3</v>
      </c>
      <c r="I78" s="829">
        <f t="shared" si="1"/>
        <v>93</v>
      </c>
      <c r="J78" s="826"/>
      <c r="K78" s="827"/>
      <c r="L78" s="828"/>
      <c r="M78" s="829"/>
    </row>
    <row r="79" spans="1:13">
      <c r="A79" s="830"/>
      <c r="B79" s="833" t="s">
        <v>1546</v>
      </c>
      <c r="C79" s="832">
        <v>1</v>
      </c>
      <c r="D79" s="829" t="s">
        <v>1472</v>
      </c>
      <c r="E79" s="832">
        <v>1</v>
      </c>
      <c r="F79" s="829">
        <v>31</v>
      </c>
      <c r="G79" s="829"/>
      <c r="H79" s="829">
        <v>3</v>
      </c>
      <c r="I79" s="829">
        <f t="shared" si="1"/>
        <v>93</v>
      </c>
      <c r="J79" s="826"/>
      <c r="K79" s="827"/>
      <c r="L79" s="828"/>
      <c r="M79" s="829"/>
    </row>
    <row r="80" spans="1:13">
      <c r="A80" s="830"/>
      <c r="B80" s="833" t="s">
        <v>1552</v>
      </c>
      <c r="C80" s="832">
        <v>1</v>
      </c>
      <c r="D80" s="829" t="s">
        <v>1472</v>
      </c>
      <c r="E80" s="832">
        <v>2</v>
      </c>
      <c r="F80" s="829">
        <v>2.0499999999999998</v>
      </c>
      <c r="G80" s="829"/>
      <c r="H80" s="829">
        <v>3</v>
      </c>
      <c r="I80" s="829">
        <f t="shared" si="1"/>
        <v>12.3</v>
      </c>
      <c r="J80" s="826"/>
      <c r="K80" s="827"/>
      <c r="L80" s="828"/>
      <c r="M80" s="829"/>
    </row>
    <row r="81" spans="1:13">
      <c r="A81" s="830"/>
      <c r="B81" s="833" t="s">
        <v>1553</v>
      </c>
      <c r="C81" s="832">
        <v>1</v>
      </c>
      <c r="D81" s="829" t="s">
        <v>1472</v>
      </c>
      <c r="E81" s="832">
        <v>1</v>
      </c>
      <c r="F81" s="829">
        <v>22.5</v>
      </c>
      <c r="G81" s="829"/>
      <c r="H81" s="829">
        <v>3</v>
      </c>
      <c r="I81" s="829">
        <f t="shared" si="1"/>
        <v>67.5</v>
      </c>
      <c r="J81" s="826"/>
      <c r="K81" s="827"/>
      <c r="L81" s="828"/>
      <c r="M81" s="829"/>
    </row>
    <row r="82" spans="1:13">
      <c r="A82" s="830"/>
      <c r="B82" s="833" t="s">
        <v>1554</v>
      </c>
      <c r="C82" s="832">
        <v>1</v>
      </c>
      <c r="D82" s="829" t="s">
        <v>1472</v>
      </c>
      <c r="E82" s="832">
        <v>1</v>
      </c>
      <c r="F82" s="829">
        <v>22.5</v>
      </c>
      <c r="G82" s="829"/>
      <c r="H82" s="829">
        <v>1</v>
      </c>
      <c r="I82" s="829">
        <f t="shared" si="1"/>
        <v>22.5</v>
      </c>
      <c r="J82" s="826"/>
      <c r="K82" s="827"/>
      <c r="L82" s="828"/>
      <c r="M82" s="829"/>
    </row>
    <row r="83" spans="1:13">
      <c r="A83" s="830"/>
      <c r="B83" s="833" t="s">
        <v>1555</v>
      </c>
      <c r="C83" s="832">
        <v>1</v>
      </c>
      <c r="D83" s="829" t="s">
        <v>1472</v>
      </c>
      <c r="E83" s="832">
        <v>1</v>
      </c>
      <c r="F83" s="829">
        <v>20.100000000000001</v>
      </c>
      <c r="G83" s="829"/>
      <c r="H83" s="829">
        <v>1</v>
      </c>
      <c r="I83" s="829">
        <f t="shared" si="1"/>
        <v>20.100000000000001</v>
      </c>
      <c r="J83" s="826"/>
      <c r="K83" s="827"/>
      <c r="L83" s="828"/>
      <c r="M83" s="829"/>
    </row>
    <row r="84" spans="1:13">
      <c r="A84" s="830"/>
      <c r="B84" s="833" t="s">
        <v>1547</v>
      </c>
      <c r="C84" s="832">
        <v>1</v>
      </c>
      <c r="D84" s="829" t="s">
        <v>1472</v>
      </c>
      <c r="E84" s="832">
        <v>1</v>
      </c>
      <c r="F84" s="829">
        <v>21.6</v>
      </c>
      <c r="G84" s="829"/>
      <c r="H84" s="829">
        <v>3</v>
      </c>
      <c r="I84" s="829">
        <f t="shared" si="1"/>
        <v>64.8</v>
      </c>
      <c r="J84" s="826"/>
      <c r="K84" s="827"/>
      <c r="L84" s="828"/>
      <c r="M84" s="829"/>
    </row>
    <row r="85" spans="1:13">
      <c r="A85" s="830"/>
      <c r="B85" s="833" t="s">
        <v>1548</v>
      </c>
      <c r="C85" s="832">
        <v>1</v>
      </c>
      <c r="D85" s="829" t="s">
        <v>1472</v>
      </c>
      <c r="E85" s="832">
        <v>1</v>
      </c>
      <c r="F85" s="829">
        <v>21.6</v>
      </c>
      <c r="G85" s="829"/>
      <c r="H85" s="829">
        <v>3</v>
      </c>
      <c r="I85" s="829">
        <f t="shared" si="1"/>
        <v>64.8</v>
      </c>
      <c r="J85" s="826"/>
      <c r="K85" s="827"/>
      <c r="L85" s="828"/>
      <c r="M85" s="829"/>
    </row>
    <row r="86" spans="1:13">
      <c r="A86" s="830"/>
      <c r="B86" s="833" t="s">
        <v>1556</v>
      </c>
      <c r="C86" s="832">
        <v>1</v>
      </c>
      <c r="D86" s="829" t="s">
        <v>1472</v>
      </c>
      <c r="E86" s="832">
        <v>2</v>
      </c>
      <c r="F86" s="829">
        <v>2.6</v>
      </c>
      <c r="G86" s="829"/>
      <c r="H86" s="829">
        <v>3</v>
      </c>
      <c r="I86" s="829">
        <f t="shared" si="1"/>
        <v>15.6</v>
      </c>
      <c r="J86" s="826"/>
      <c r="K86" s="827"/>
      <c r="L86" s="828"/>
      <c r="M86" s="829"/>
    </row>
    <row r="87" spans="1:13">
      <c r="A87" s="830"/>
      <c r="B87" s="833" t="s">
        <v>1557</v>
      </c>
      <c r="C87" s="832">
        <v>1</v>
      </c>
      <c r="D87" s="829" t="s">
        <v>1472</v>
      </c>
      <c r="E87" s="832">
        <v>1</v>
      </c>
      <c r="F87" s="829">
        <v>12.6</v>
      </c>
      <c r="G87" s="829"/>
      <c r="H87" s="829">
        <v>3</v>
      </c>
      <c r="I87" s="829">
        <f t="shared" si="1"/>
        <v>37.799999999999997</v>
      </c>
      <c r="J87" s="826"/>
      <c r="K87" s="827"/>
      <c r="L87" s="828"/>
      <c r="M87" s="829"/>
    </row>
    <row r="88" spans="1:13">
      <c r="A88" s="830"/>
      <c r="B88" s="833" t="s">
        <v>1558</v>
      </c>
      <c r="C88" s="832">
        <v>1</v>
      </c>
      <c r="D88" s="829" t="s">
        <v>1472</v>
      </c>
      <c r="E88" s="832">
        <v>1</v>
      </c>
      <c r="F88" s="829">
        <v>12.6</v>
      </c>
      <c r="G88" s="829"/>
      <c r="H88" s="829">
        <v>1</v>
      </c>
      <c r="I88" s="829">
        <f t="shared" si="1"/>
        <v>12.6</v>
      </c>
      <c r="J88" s="826"/>
      <c r="K88" s="827"/>
      <c r="L88" s="828"/>
      <c r="M88" s="829"/>
    </row>
    <row r="89" spans="1:13">
      <c r="A89" s="830"/>
      <c r="B89" s="833" t="s">
        <v>1555</v>
      </c>
      <c r="C89" s="832">
        <v>1</v>
      </c>
      <c r="D89" s="829" t="s">
        <v>1472</v>
      </c>
      <c r="E89" s="832">
        <v>1</v>
      </c>
      <c r="F89" s="829">
        <v>11.4</v>
      </c>
      <c r="G89" s="829"/>
      <c r="H89" s="829">
        <v>1</v>
      </c>
      <c r="I89" s="829">
        <f t="shared" si="1"/>
        <v>11.4</v>
      </c>
      <c r="J89" s="826"/>
      <c r="K89" s="827"/>
      <c r="L89" s="828"/>
      <c r="M89" s="829"/>
    </row>
    <row r="90" spans="1:13">
      <c r="A90" s="830"/>
      <c r="B90" s="840" t="s">
        <v>1559</v>
      </c>
      <c r="C90" s="832"/>
      <c r="D90" s="829"/>
      <c r="E90" s="832"/>
      <c r="F90" s="829"/>
      <c r="G90" s="829"/>
      <c r="H90" s="829"/>
      <c r="I90" s="829">
        <f>SUM(I68:I89)</f>
        <v>916.33999999999992</v>
      </c>
      <c r="J90" s="826"/>
      <c r="K90" s="827"/>
      <c r="L90" s="828"/>
      <c r="M90" s="829"/>
    </row>
    <row r="91" spans="1:13">
      <c r="A91" s="830"/>
      <c r="B91" s="833" t="s">
        <v>1560</v>
      </c>
      <c r="C91" s="832">
        <v>1</v>
      </c>
      <c r="D91" s="829" t="s">
        <v>1472</v>
      </c>
      <c r="E91" s="832">
        <v>5</v>
      </c>
      <c r="F91" s="829">
        <v>1.05</v>
      </c>
      <c r="G91" s="829"/>
      <c r="H91" s="829">
        <v>2.1</v>
      </c>
      <c r="I91" s="829">
        <f t="shared" si="1"/>
        <v>11.03</v>
      </c>
      <c r="J91" s="826"/>
      <c r="K91" s="827"/>
      <c r="L91" s="828"/>
      <c r="M91" s="829"/>
    </row>
    <row r="92" spans="1:13">
      <c r="A92" s="830"/>
      <c r="B92" s="833" t="s">
        <v>1270</v>
      </c>
      <c r="C92" s="832">
        <v>1</v>
      </c>
      <c r="D92" s="829" t="s">
        <v>1472</v>
      </c>
      <c r="E92" s="832">
        <v>15</v>
      </c>
      <c r="F92" s="829">
        <v>1.05</v>
      </c>
      <c r="G92" s="829"/>
      <c r="H92" s="829">
        <v>2.1</v>
      </c>
      <c r="I92" s="829">
        <f t="shared" si="1"/>
        <v>33.08</v>
      </c>
      <c r="J92" s="826"/>
      <c r="K92" s="827"/>
      <c r="L92" s="828"/>
      <c r="M92" s="829"/>
    </row>
    <row r="93" spans="1:13">
      <c r="A93" s="830"/>
      <c r="B93" s="833"/>
      <c r="C93" s="855"/>
      <c r="D93" s="854"/>
      <c r="E93" s="855"/>
      <c r="F93" s="829"/>
      <c r="G93" s="854"/>
      <c r="H93" s="854"/>
      <c r="I93" s="854">
        <f>SUM(I91:I92)</f>
        <v>44.11</v>
      </c>
      <c r="J93" s="826"/>
      <c r="K93" s="827"/>
      <c r="L93" s="828"/>
      <c r="M93" s="829"/>
    </row>
    <row r="94" spans="1:13">
      <c r="A94" s="830"/>
      <c r="B94" s="833"/>
      <c r="C94" s="855"/>
      <c r="D94" s="854"/>
      <c r="E94" s="855"/>
      <c r="F94" s="829"/>
      <c r="G94" s="854"/>
      <c r="H94" s="854"/>
      <c r="I94" s="854">
        <f>I90-I93</f>
        <v>872.2299999999999</v>
      </c>
      <c r="J94" s="826"/>
      <c r="K94" s="827"/>
      <c r="L94" s="828"/>
      <c r="M94" s="829"/>
    </row>
    <row r="95" spans="1:13" ht="24" customHeight="1">
      <c r="A95" s="830"/>
      <c r="B95" s="840"/>
      <c r="C95" s="832"/>
      <c r="D95" s="829"/>
      <c r="E95" s="832"/>
      <c r="F95" s="829">
        <f>SUM(F67:F89)</f>
        <v>346.9500000000001</v>
      </c>
      <c r="G95" s="829"/>
      <c r="H95" s="829" t="s">
        <v>471</v>
      </c>
      <c r="I95" s="846">
        <f>I94</f>
        <v>872.2299999999999</v>
      </c>
      <c r="J95" s="826">
        <f>Datas!G978</f>
        <v>907.5</v>
      </c>
      <c r="K95" s="836">
        <f>ROUND(J95*I95/10,0)</f>
        <v>79155</v>
      </c>
      <c r="L95" s="828"/>
      <c r="M95" s="829"/>
    </row>
    <row r="96" spans="1:13" ht="24" customHeight="1">
      <c r="A96" s="830"/>
      <c r="B96" s="840"/>
      <c r="C96" s="832"/>
      <c r="D96" s="829"/>
      <c r="E96" s="832"/>
      <c r="F96" s="829"/>
      <c r="G96" s="829"/>
      <c r="H96" s="829"/>
      <c r="I96" s="835" t="s">
        <v>1478</v>
      </c>
      <c r="J96" s="826" t="s">
        <v>37</v>
      </c>
      <c r="K96" s="836"/>
      <c r="L96" s="828"/>
      <c r="M96" s="829"/>
    </row>
    <row r="97" spans="1:13" ht="103.5" customHeight="1">
      <c r="A97" s="830">
        <v>11</v>
      </c>
      <c r="B97" s="2713" t="s">
        <v>1026</v>
      </c>
      <c r="C97" s="2714"/>
      <c r="D97" s="2714"/>
      <c r="E97" s="2714"/>
      <c r="F97" s="2714"/>
      <c r="G97" s="2714"/>
      <c r="H97" s="2714"/>
      <c r="I97" s="2714"/>
      <c r="J97" s="826"/>
      <c r="K97" s="827"/>
      <c r="L97" s="828"/>
      <c r="M97" s="829"/>
    </row>
    <row r="98" spans="1:13">
      <c r="A98" s="830"/>
      <c r="B98" s="833" t="s">
        <v>204</v>
      </c>
      <c r="C98" s="832">
        <v>1</v>
      </c>
      <c r="D98" s="829" t="s">
        <v>1472</v>
      </c>
      <c r="E98" s="832">
        <v>1</v>
      </c>
      <c r="F98" s="829">
        <v>23.1</v>
      </c>
      <c r="G98" s="829"/>
      <c r="H98" s="829">
        <v>3.6</v>
      </c>
      <c r="I98" s="829">
        <f>ROUND(H98*F98*E98,2)</f>
        <v>83.16</v>
      </c>
      <c r="J98" s="826"/>
      <c r="K98" s="827"/>
      <c r="L98" s="828"/>
      <c r="M98" s="829"/>
    </row>
    <row r="99" spans="1:13">
      <c r="A99" s="830"/>
      <c r="B99" s="833" t="s">
        <v>1561</v>
      </c>
      <c r="C99" s="832">
        <v>1</v>
      </c>
      <c r="D99" s="829" t="s">
        <v>1472</v>
      </c>
      <c r="E99" s="832">
        <v>1</v>
      </c>
      <c r="F99" s="829">
        <v>23.1</v>
      </c>
      <c r="G99" s="829"/>
      <c r="H99" s="829">
        <v>2.5</v>
      </c>
      <c r="I99" s="829">
        <f t="shared" ref="I99:I109" si="2">ROUND(H99*F99*E99,2)</f>
        <v>57.75</v>
      </c>
      <c r="J99" s="826"/>
      <c r="K99" s="827"/>
      <c r="L99" s="828"/>
      <c r="M99" s="829"/>
    </row>
    <row r="100" spans="1:13">
      <c r="A100" s="830"/>
      <c r="B100" s="833" t="s">
        <v>555</v>
      </c>
      <c r="C100" s="832">
        <v>1</v>
      </c>
      <c r="D100" s="829" t="s">
        <v>1472</v>
      </c>
      <c r="E100" s="832">
        <v>2</v>
      </c>
      <c r="F100" s="829">
        <v>9.0500000000000007</v>
      </c>
      <c r="G100" s="829"/>
      <c r="H100" s="829">
        <v>3.6</v>
      </c>
      <c r="I100" s="829">
        <f t="shared" si="2"/>
        <v>65.16</v>
      </c>
      <c r="J100" s="826"/>
      <c r="K100" s="827"/>
      <c r="L100" s="828"/>
      <c r="M100" s="829"/>
    </row>
    <row r="101" spans="1:13">
      <c r="A101" s="830"/>
      <c r="B101" s="833" t="s">
        <v>1563</v>
      </c>
      <c r="C101" s="832">
        <v>1</v>
      </c>
      <c r="D101" s="829" t="s">
        <v>1472</v>
      </c>
      <c r="E101" s="832">
        <v>1</v>
      </c>
      <c r="F101" s="829">
        <v>26.8</v>
      </c>
      <c r="G101" s="829"/>
      <c r="H101" s="829">
        <v>3.6</v>
      </c>
      <c r="I101" s="829">
        <f t="shared" si="2"/>
        <v>96.48</v>
      </c>
      <c r="J101" s="826"/>
      <c r="K101" s="827"/>
      <c r="L101" s="828"/>
      <c r="M101" s="829"/>
    </row>
    <row r="102" spans="1:13">
      <c r="A102" s="830"/>
      <c r="B102" s="833" t="s">
        <v>555</v>
      </c>
      <c r="C102" s="832">
        <v>1</v>
      </c>
      <c r="D102" s="829" t="s">
        <v>1472</v>
      </c>
      <c r="E102" s="832">
        <v>1</v>
      </c>
      <c r="F102" s="829">
        <v>26.8</v>
      </c>
      <c r="G102" s="829"/>
      <c r="H102" s="829">
        <v>2.5</v>
      </c>
      <c r="I102" s="829">
        <f t="shared" si="2"/>
        <v>67</v>
      </c>
      <c r="J102" s="826"/>
      <c r="K102" s="827"/>
      <c r="L102" s="828"/>
      <c r="M102" s="829"/>
    </row>
    <row r="103" spans="1:13">
      <c r="A103" s="830"/>
      <c r="B103" s="833" t="s">
        <v>1562</v>
      </c>
      <c r="C103" s="832">
        <v>1</v>
      </c>
      <c r="D103" s="829" t="s">
        <v>1472</v>
      </c>
      <c r="E103" s="832">
        <v>2</v>
      </c>
      <c r="F103" s="829">
        <v>8.15</v>
      </c>
      <c r="G103" s="829"/>
      <c r="H103" s="829">
        <v>3.6</v>
      </c>
      <c r="I103" s="829">
        <f t="shared" si="2"/>
        <v>58.68</v>
      </c>
      <c r="J103" s="826"/>
      <c r="K103" s="827"/>
      <c r="L103" s="828"/>
      <c r="M103" s="829"/>
    </row>
    <row r="104" spans="1:13">
      <c r="A104" s="830"/>
      <c r="B104" s="833" t="s">
        <v>1564</v>
      </c>
      <c r="C104" s="832">
        <v>2</v>
      </c>
      <c r="D104" s="829" t="s">
        <v>1472</v>
      </c>
      <c r="E104" s="832">
        <v>5</v>
      </c>
      <c r="F104" s="829">
        <v>1.7</v>
      </c>
      <c r="G104" s="829"/>
      <c r="H104" s="829">
        <v>0.65</v>
      </c>
      <c r="I104" s="829">
        <f t="shared" si="2"/>
        <v>5.53</v>
      </c>
      <c r="J104" s="826"/>
      <c r="K104" s="827"/>
      <c r="L104" s="828"/>
      <c r="M104" s="829"/>
    </row>
    <row r="105" spans="1:13">
      <c r="A105" s="830"/>
      <c r="B105" s="833" t="s">
        <v>1565</v>
      </c>
      <c r="C105" s="832">
        <v>1</v>
      </c>
      <c r="D105" s="829" t="s">
        <v>1472</v>
      </c>
      <c r="E105" s="832">
        <v>2</v>
      </c>
      <c r="F105" s="829">
        <v>10.6</v>
      </c>
      <c r="G105" s="829"/>
      <c r="H105" s="829">
        <v>1.75</v>
      </c>
      <c r="I105" s="829">
        <f t="shared" si="2"/>
        <v>37.1</v>
      </c>
      <c r="J105" s="826"/>
      <c r="K105" s="827"/>
      <c r="L105" s="828"/>
      <c r="M105" s="829"/>
    </row>
    <row r="106" spans="1:13">
      <c r="A106" s="830"/>
      <c r="B106" s="833"/>
      <c r="C106" s="832">
        <v>1</v>
      </c>
      <c r="D106" s="829" t="s">
        <v>1472</v>
      </c>
      <c r="E106" s="832">
        <v>2</v>
      </c>
      <c r="F106" s="829">
        <v>12.6</v>
      </c>
      <c r="G106" s="829"/>
      <c r="H106" s="829">
        <v>1.65</v>
      </c>
      <c r="I106" s="829">
        <f t="shared" si="2"/>
        <v>41.58</v>
      </c>
      <c r="J106" s="826"/>
      <c r="K106" s="827"/>
      <c r="L106" s="828"/>
      <c r="M106" s="829"/>
    </row>
    <row r="107" spans="1:13">
      <c r="A107" s="830"/>
      <c r="B107" s="833"/>
      <c r="C107" s="832">
        <v>1</v>
      </c>
      <c r="D107" s="829" t="s">
        <v>1472</v>
      </c>
      <c r="E107" s="832">
        <v>2</v>
      </c>
      <c r="F107" s="829">
        <v>32.200000000000003</v>
      </c>
      <c r="G107" s="829"/>
      <c r="H107" s="829">
        <v>1.7</v>
      </c>
      <c r="I107" s="829">
        <f t="shared" si="2"/>
        <v>109.48</v>
      </c>
      <c r="J107" s="826"/>
      <c r="K107" s="827"/>
      <c r="L107" s="828"/>
      <c r="M107" s="829"/>
    </row>
    <row r="108" spans="1:13">
      <c r="A108" s="830"/>
      <c r="B108" s="833"/>
      <c r="C108" s="832">
        <v>1</v>
      </c>
      <c r="D108" s="829" t="s">
        <v>1472</v>
      </c>
      <c r="E108" s="832">
        <v>2</v>
      </c>
      <c r="F108" s="829">
        <v>14.6</v>
      </c>
      <c r="G108" s="829"/>
      <c r="H108" s="829">
        <v>1.5</v>
      </c>
      <c r="I108" s="829">
        <f t="shared" si="2"/>
        <v>43.8</v>
      </c>
      <c r="J108" s="826"/>
      <c r="K108" s="827"/>
      <c r="L108" s="828"/>
      <c r="M108" s="829"/>
    </row>
    <row r="109" spans="1:13">
      <c r="A109" s="830"/>
      <c r="B109" s="833"/>
      <c r="C109" s="832">
        <v>1</v>
      </c>
      <c r="D109" s="829" t="s">
        <v>1472</v>
      </c>
      <c r="E109" s="832">
        <v>2</v>
      </c>
      <c r="F109" s="829">
        <v>5.7</v>
      </c>
      <c r="G109" s="829"/>
      <c r="H109" s="829">
        <v>1.5</v>
      </c>
      <c r="I109" s="829">
        <f t="shared" si="2"/>
        <v>17.100000000000001</v>
      </c>
      <c r="J109" s="826"/>
      <c r="K109" s="827"/>
      <c r="L109" s="828"/>
      <c r="M109" s="829"/>
    </row>
    <row r="110" spans="1:13">
      <c r="A110" s="830"/>
      <c r="B110" s="833"/>
      <c r="C110" s="855"/>
      <c r="D110" s="854"/>
      <c r="E110" s="832"/>
      <c r="F110" s="829"/>
      <c r="G110" s="854"/>
      <c r="H110" s="854"/>
      <c r="I110" s="854">
        <f>SUM(I98:I109)</f>
        <v>682.82</v>
      </c>
      <c r="J110" s="826"/>
      <c r="K110" s="827"/>
      <c r="L110" s="828"/>
      <c r="M110" s="829"/>
    </row>
    <row r="111" spans="1:13" ht="24" customHeight="1">
      <c r="A111" s="830"/>
      <c r="B111" s="840"/>
      <c r="C111" s="832"/>
      <c r="D111" s="829"/>
      <c r="E111" s="832"/>
      <c r="F111" s="829">
        <f>SUM(F98:F99)</f>
        <v>46.2</v>
      </c>
      <c r="G111" s="829"/>
      <c r="H111" s="829" t="s">
        <v>471</v>
      </c>
      <c r="I111" s="846">
        <f>I110</f>
        <v>682.82</v>
      </c>
      <c r="J111" s="826">
        <f>Datas!G983</f>
        <v>2032.3400000000001</v>
      </c>
      <c r="K111" s="836">
        <f>ROUND(J111*I111/10,0)</f>
        <v>138772</v>
      </c>
      <c r="L111" s="828"/>
      <c r="M111" s="829"/>
    </row>
    <row r="112" spans="1:13" ht="24" customHeight="1">
      <c r="A112" s="830"/>
      <c r="B112" s="840"/>
      <c r="C112" s="832"/>
      <c r="D112" s="829"/>
      <c r="E112" s="832"/>
      <c r="F112" s="829"/>
      <c r="G112" s="829"/>
      <c r="H112" s="829"/>
      <c r="I112" s="835" t="s">
        <v>1478</v>
      </c>
      <c r="J112" s="826" t="s">
        <v>37</v>
      </c>
      <c r="K112" s="836"/>
      <c r="L112" s="828"/>
      <c r="M112" s="829"/>
    </row>
    <row r="113" spans="1:13" ht="93" customHeight="1">
      <c r="A113" s="830">
        <v>12</v>
      </c>
      <c r="B113" s="2713" t="s">
        <v>1027</v>
      </c>
      <c r="C113" s="2714"/>
      <c r="D113" s="2714"/>
      <c r="E113" s="2714"/>
      <c r="F113" s="2714"/>
      <c r="G113" s="2714"/>
      <c r="H113" s="2714"/>
      <c r="I113" s="2714"/>
      <c r="J113" s="826"/>
      <c r="K113" s="827"/>
      <c r="L113" s="828"/>
      <c r="M113" s="829"/>
    </row>
    <row r="114" spans="1:13" ht="21.75" customHeight="1">
      <c r="A114" s="830"/>
      <c r="B114" s="858"/>
      <c r="C114" s="832">
        <v>15</v>
      </c>
      <c r="D114" s="829" t="s">
        <v>1472</v>
      </c>
      <c r="E114" s="860">
        <v>2.75</v>
      </c>
      <c r="F114" s="829">
        <v>1.5</v>
      </c>
      <c r="G114" s="829"/>
      <c r="H114" s="829">
        <v>1.35</v>
      </c>
      <c r="I114" s="829">
        <f>H114*F114*E114*C114</f>
        <v>83.531250000000028</v>
      </c>
      <c r="J114" s="826"/>
      <c r="K114" s="827"/>
      <c r="L114" s="828"/>
      <c r="M114" s="829"/>
    </row>
    <row r="115" spans="1:13" ht="21.75" customHeight="1">
      <c r="A115" s="830"/>
      <c r="B115" s="858"/>
      <c r="C115" s="832">
        <v>5</v>
      </c>
      <c r="D115" s="829" t="s">
        <v>1472</v>
      </c>
      <c r="E115" s="860">
        <v>2.25</v>
      </c>
      <c r="F115" s="829">
        <v>1.05</v>
      </c>
      <c r="G115" s="829"/>
      <c r="H115" s="829">
        <v>2.1</v>
      </c>
      <c r="I115" s="829">
        <f t="shared" ref="I115:I130" si="3">H115*F115*E115*C115</f>
        <v>24.806249999999999</v>
      </c>
      <c r="J115" s="826"/>
      <c r="K115" s="827"/>
      <c r="L115" s="828"/>
      <c r="M115" s="829"/>
    </row>
    <row r="116" spans="1:13" ht="21.75" customHeight="1">
      <c r="A116" s="830"/>
      <c r="B116" s="858" t="s">
        <v>1566</v>
      </c>
      <c r="C116" s="832">
        <v>1</v>
      </c>
      <c r="D116" s="829" t="s">
        <v>1472</v>
      </c>
      <c r="E116" s="832">
        <v>1</v>
      </c>
      <c r="F116" s="829">
        <v>3.65</v>
      </c>
      <c r="G116" s="829"/>
      <c r="H116" s="829">
        <v>1.1000000000000001</v>
      </c>
      <c r="I116" s="829">
        <f t="shared" si="3"/>
        <v>4.0150000000000006</v>
      </c>
      <c r="J116" s="826"/>
      <c r="K116" s="827"/>
      <c r="L116" s="828"/>
      <c r="M116" s="829"/>
    </row>
    <row r="117" spans="1:13" ht="21.75" customHeight="1">
      <c r="A117" s="830"/>
      <c r="B117" s="858"/>
      <c r="C117" s="832">
        <v>1</v>
      </c>
      <c r="D117" s="829" t="s">
        <v>1472</v>
      </c>
      <c r="E117" s="832">
        <v>1</v>
      </c>
      <c r="F117" s="829">
        <v>3.45</v>
      </c>
      <c r="G117" s="829"/>
      <c r="H117" s="829">
        <v>1.1000000000000001</v>
      </c>
      <c r="I117" s="829">
        <f t="shared" si="3"/>
        <v>3.7950000000000004</v>
      </c>
      <c r="J117" s="826"/>
      <c r="K117" s="827"/>
      <c r="L117" s="828"/>
      <c r="M117" s="829"/>
    </row>
    <row r="118" spans="1:13" ht="21.75" customHeight="1">
      <c r="A118" s="830"/>
      <c r="B118" s="858"/>
      <c r="C118" s="832">
        <v>1</v>
      </c>
      <c r="D118" s="829" t="s">
        <v>1472</v>
      </c>
      <c r="E118" s="832">
        <v>1</v>
      </c>
      <c r="F118" s="829">
        <v>1.2</v>
      </c>
      <c r="G118" s="829"/>
      <c r="H118" s="829">
        <v>2</v>
      </c>
      <c r="I118" s="829">
        <f t="shared" si="3"/>
        <v>2.4</v>
      </c>
      <c r="J118" s="826"/>
      <c r="K118" s="827"/>
      <c r="L118" s="828"/>
      <c r="M118" s="829"/>
    </row>
    <row r="119" spans="1:13" ht="21.75" customHeight="1">
      <c r="A119" s="830"/>
      <c r="B119" s="858"/>
      <c r="C119" s="832">
        <v>1</v>
      </c>
      <c r="D119" s="829" t="s">
        <v>1472</v>
      </c>
      <c r="E119" s="832">
        <v>1</v>
      </c>
      <c r="F119" s="829">
        <v>2.25</v>
      </c>
      <c r="G119" s="829"/>
      <c r="H119" s="829">
        <v>1.1000000000000001</v>
      </c>
      <c r="I119" s="829">
        <f t="shared" si="3"/>
        <v>2.4750000000000001</v>
      </c>
      <c r="J119" s="826"/>
      <c r="K119" s="827"/>
      <c r="L119" s="828"/>
      <c r="M119" s="829"/>
    </row>
    <row r="120" spans="1:13" ht="21.75" customHeight="1">
      <c r="A120" s="830"/>
      <c r="B120" s="858"/>
      <c r="C120" s="832">
        <v>1</v>
      </c>
      <c r="D120" s="829" t="s">
        <v>1472</v>
      </c>
      <c r="E120" s="832">
        <v>1</v>
      </c>
      <c r="F120" s="829">
        <v>3.45</v>
      </c>
      <c r="G120" s="829"/>
      <c r="H120" s="829">
        <v>1.1000000000000001</v>
      </c>
      <c r="I120" s="829">
        <f t="shared" si="3"/>
        <v>3.7950000000000004</v>
      </c>
      <c r="J120" s="826"/>
      <c r="K120" s="827"/>
      <c r="L120" s="828"/>
      <c r="M120" s="829"/>
    </row>
    <row r="121" spans="1:13" ht="21.75" customHeight="1">
      <c r="A121" s="830"/>
      <c r="B121" s="858"/>
      <c r="C121" s="832">
        <v>1</v>
      </c>
      <c r="D121" s="829" t="s">
        <v>1472</v>
      </c>
      <c r="E121" s="832">
        <v>1</v>
      </c>
      <c r="F121" s="829">
        <v>3.5</v>
      </c>
      <c r="G121" s="829"/>
      <c r="H121" s="829">
        <v>1.1000000000000001</v>
      </c>
      <c r="I121" s="829">
        <f t="shared" si="3"/>
        <v>3.8500000000000005</v>
      </c>
      <c r="J121" s="826"/>
      <c r="K121" s="827"/>
      <c r="L121" s="828"/>
      <c r="M121" s="829"/>
    </row>
    <row r="122" spans="1:13" ht="21.75" customHeight="1">
      <c r="A122" s="830"/>
      <c r="B122" s="858"/>
      <c r="C122" s="832">
        <v>1</v>
      </c>
      <c r="D122" s="829" t="s">
        <v>1472</v>
      </c>
      <c r="E122" s="832">
        <v>1</v>
      </c>
      <c r="F122" s="829">
        <v>3.7</v>
      </c>
      <c r="G122" s="829"/>
      <c r="H122" s="829">
        <v>1.1000000000000001</v>
      </c>
      <c r="I122" s="829">
        <f t="shared" si="3"/>
        <v>4.07</v>
      </c>
      <c r="J122" s="826"/>
      <c r="K122" s="827"/>
      <c r="L122" s="828"/>
      <c r="M122" s="829"/>
    </row>
    <row r="123" spans="1:13" ht="21.75" customHeight="1">
      <c r="A123" s="830"/>
      <c r="B123" s="858"/>
      <c r="C123" s="832">
        <v>1</v>
      </c>
      <c r="D123" s="829" t="s">
        <v>1472</v>
      </c>
      <c r="E123" s="832">
        <v>1</v>
      </c>
      <c r="F123" s="829">
        <v>2.9</v>
      </c>
      <c r="G123" s="829"/>
      <c r="H123" s="829">
        <v>1.1000000000000001</v>
      </c>
      <c r="I123" s="829">
        <f t="shared" si="3"/>
        <v>3.19</v>
      </c>
      <c r="J123" s="826"/>
      <c r="K123" s="827"/>
      <c r="L123" s="828"/>
      <c r="M123" s="829"/>
    </row>
    <row r="124" spans="1:13" ht="21.75" customHeight="1">
      <c r="A124" s="830"/>
      <c r="B124" s="858"/>
      <c r="C124" s="832">
        <v>1</v>
      </c>
      <c r="D124" s="829" t="s">
        <v>1472</v>
      </c>
      <c r="E124" s="832">
        <v>1</v>
      </c>
      <c r="F124" s="829">
        <v>1.75</v>
      </c>
      <c r="G124" s="829"/>
      <c r="H124" s="829">
        <v>1.1000000000000001</v>
      </c>
      <c r="I124" s="829">
        <f t="shared" si="3"/>
        <v>1.9250000000000003</v>
      </c>
      <c r="J124" s="826"/>
      <c r="K124" s="827"/>
      <c r="L124" s="828"/>
      <c r="M124" s="829"/>
    </row>
    <row r="125" spans="1:13" ht="21.75" customHeight="1">
      <c r="A125" s="830"/>
      <c r="B125" s="858"/>
      <c r="C125" s="832">
        <v>1</v>
      </c>
      <c r="D125" s="829" t="s">
        <v>1472</v>
      </c>
      <c r="E125" s="832">
        <v>1</v>
      </c>
      <c r="F125" s="829">
        <v>1.2</v>
      </c>
      <c r="G125" s="829"/>
      <c r="H125" s="829">
        <v>2</v>
      </c>
      <c r="I125" s="829">
        <f t="shared" si="3"/>
        <v>2.4</v>
      </c>
      <c r="J125" s="826"/>
      <c r="K125" s="827"/>
      <c r="L125" s="828"/>
      <c r="M125" s="829"/>
    </row>
    <row r="126" spans="1:13" ht="21.75" customHeight="1">
      <c r="A126" s="830"/>
      <c r="B126" s="858"/>
      <c r="C126" s="832">
        <v>1</v>
      </c>
      <c r="D126" s="829" t="s">
        <v>1472</v>
      </c>
      <c r="E126" s="832">
        <v>1</v>
      </c>
      <c r="F126" s="829">
        <v>2.9</v>
      </c>
      <c r="G126" s="829"/>
      <c r="H126" s="829">
        <v>1.1000000000000001</v>
      </c>
      <c r="I126" s="829">
        <f t="shared" si="3"/>
        <v>3.19</v>
      </c>
      <c r="J126" s="826"/>
      <c r="K126" s="827"/>
      <c r="L126" s="828"/>
      <c r="M126" s="829"/>
    </row>
    <row r="127" spans="1:13" ht="21.75" customHeight="1">
      <c r="A127" s="830"/>
      <c r="B127" s="858"/>
      <c r="C127" s="832">
        <v>1</v>
      </c>
      <c r="D127" s="829" t="s">
        <v>1472</v>
      </c>
      <c r="E127" s="832">
        <v>1</v>
      </c>
      <c r="F127" s="829">
        <v>3</v>
      </c>
      <c r="G127" s="829"/>
      <c r="H127" s="829">
        <v>1.1000000000000001</v>
      </c>
      <c r="I127" s="829">
        <f t="shared" si="3"/>
        <v>3.3000000000000003</v>
      </c>
      <c r="J127" s="826"/>
      <c r="K127" s="827"/>
      <c r="L127" s="828"/>
      <c r="M127" s="829"/>
    </row>
    <row r="128" spans="1:13" ht="21.75" customHeight="1">
      <c r="A128" s="830"/>
      <c r="B128" s="858"/>
      <c r="C128" s="832">
        <v>1</v>
      </c>
      <c r="D128" s="829" t="s">
        <v>1472</v>
      </c>
      <c r="E128" s="832">
        <v>1</v>
      </c>
      <c r="F128" s="829">
        <v>1.2</v>
      </c>
      <c r="G128" s="829"/>
      <c r="H128" s="829">
        <v>2</v>
      </c>
      <c r="I128" s="829">
        <f t="shared" si="3"/>
        <v>2.4</v>
      </c>
      <c r="J128" s="826"/>
      <c r="K128" s="827"/>
      <c r="L128" s="828"/>
      <c r="M128" s="829"/>
    </row>
    <row r="129" spans="1:18" ht="21.75" customHeight="1">
      <c r="A129" s="830"/>
      <c r="B129" s="858"/>
      <c r="C129" s="832">
        <v>1</v>
      </c>
      <c r="D129" s="829" t="s">
        <v>1472</v>
      </c>
      <c r="E129" s="832">
        <v>1</v>
      </c>
      <c r="F129" s="829">
        <v>1.75</v>
      </c>
      <c r="G129" s="829"/>
      <c r="H129" s="829">
        <v>1.1000000000000001</v>
      </c>
      <c r="I129" s="829">
        <f t="shared" si="3"/>
        <v>1.9250000000000003</v>
      </c>
      <c r="J129" s="826"/>
      <c r="K129" s="827"/>
      <c r="L129" s="828"/>
      <c r="M129" s="829"/>
    </row>
    <row r="130" spans="1:18" ht="21.75" customHeight="1">
      <c r="A130" s="830"/>
      <c r="B130" s="858"/>
      <c r="C130" s="832">
        <v>1</v>
      </c>
      <c r="D130" s="829" t="s">
        <v>1472</v>
      </c>
      <c r="E130" s="832">
        <v>1</v>
      </c>
      <c r="F130" s="829">
        <v>3</v>
      </c>
      <c r="G130" s="829"/>
      <c r="H130" s="829">
        <v>1.1000000000000001</v>
      </c>
      <c r="I130" s="829">
        <f t="shared" si="3"/>
        <v>3.3000000000000003</v>
      </c>
      <c r="J130" s="826"/>
      <c r="K130" s="827"/>
      <c r="L130" s="828"/>
      <c r="M130" s="829"/>
    </row>
    <row r="131" spans="1:18" ht="20.25" customHeight="1">
      <c r="A131" s="830"/>
      <c r="B131" s="840"/>
      <c r="C131" s="832"/>
      <c r="D131" s="829"/>
      <c r="E131" s="832"/>
      <c r="F131" s="829"/>
      <c r="G131" s="829"/>
      <c r="H131" s="829" t="s">
        <v>471</v>
      </c>
      <c r="I131" s="835">
        <f>SUM(I114:I130)</f>
        <v>154.36750000000009</v>
      </c>
      <c r="J131" s="826">
        <f>Datas!G925</f>
        <v>113.67999999999999</v>
      </c>
      <c r="K131" s="836">
        <f>ROUND(J131*I131/10,0)</f>
        <v>1755</v>
      </c>
      <c r="L131" s="828"/>
      <c r="M131" s="829"/>
    </row>
    <row r="132" spans="1:18" ht="20.25" customHeight="1">
      <c r="A132" s="830"/>
      <c r="B132" s="840"/>
      <c r="C132" s="832"/>
      <c r="D132" s="829"/>
      <c r="E132" s="832"/>
      <c r="F132" s="829"/>
      <c r="G132" s="829"/>
      <c r="H132" s="829"/>
      <c r="I132" s="835" t="s">
        <v>1478</v>
      </c>
      <c r="J132" s="826" t="s">
        <v>37</v>
      </c>
      <c r="K132" s="836"/>
      <c r="L132" s="828"/>
      <c r="M132" s="829"/>
    </row>
    <row r="133" spans="1:18" s="886" customFormat="1" ht="11.1">
      <c r="A133" s="863"/>
      <c r="B133" s="848"/>
      <c r="C133" s="864"/>
      <c r="D133" s="848"/>
      <c r="E133" s="864"/>
      <c r="F133" s="848"/>
      <c r="G133" s="848"/>
      <c r="H133" s="848"/>
      <c r="I133" s="865"/>
      <c r="J133" s="865"/>
      <c r="K133" s="866" t="e">
        <f>SUM(K6:K132)</f>
        <v>#REF!</v>
      </c>
      <c r="L133" s="867"/>
      <c r="M133" s="868">
        <f>ROUND(SUM(M6:M132),0)</f>
        <v>1629</v>
      </c>
      <c r="N133" s="884"/>
      <c r="O133" s="884"/>
      <c r="P133" s="884"/>
      <c r="Q133" s="885"/>
      <c r="R133" s="884"/>
    </row>
    <row r="134" spans="1:18" s="888" customFormat="1" ht="27.75" customHeight="1">
      <c r="A134" s="830">
        <v>13</v>
      </c>
      <c r="B134" s="2738" t="s">
        <v>7</v>
      </c>
      <c r="C134" s="2738"/>
      <c r="D134" s="2738"/>
      <c r="E134" s="2738"/>
      <c r="F134" s="2738"/>
      <c r="G134" s="2738"/>
      <c r="H134" s="2738"/>
      <c r="I134" s="869">
        <v>1</v>
      </c>
      <c r="J134" s="873"/>
      <c r="K134" s="870" t="e">
        <f>ROUND($K$133*5%,0)</f>
        <v>#REF!</v>
      </c>
      <c r="L134" s="871"/>
      <c r="M134" s="872"/>
      <c r="N134" s="872"/>
      <c r="O134" s="872"/>
      <c r="P134" s="872"/>
      <c r="Q134" s="887"/>
      <c r="R134" s="872"/>
    </row>
    <row r="135" spans="1:18" s="888" customFormat="1" ht="27.75" customHeight="1">
      <c r="A135" s="830">
        <v>14</v>
      </c>
      <c r="B135" s="2738" t="s">
        <v>697</v>
      </c>
      <c r="C135" s="2738"/>
      <c r="D135" s="2738"/>
      <c r="E135" s="2738"/>
      <c r="F135" s="2738"/>
      <c r="G135" s="2738"/>
      <c r="H135" s="2738"/>
      <c r="I135" s="869">
        <v>1</v>
      </c>
      <c r="J135" s="873"/>
      <c r="K135" s="870" t="e">
        <f>ROUND($K$133*0.505%,0)</f>
        <v>#REF!</v>
      </c>
      <c r="L135" s="871"/>
      <c r="M135" s="872"/>
      <c r="N135" s="872"/>
      <c r="O135" s="872"/>
      <c r="P135" s="872"/>
      <c r="Q135" s="887"/>
      <c r="R135" s="872"/>
    </row>
    <row r="136" spans="1:18" s="888" customFormat="1" ht="27.75" customHeight="1">
      <c r="A136" s="830">
        <v>15</v>
      </c>
      <c r="B136" s="2738" t="s">
        <v>1054</v>
      </c>
      <c r="C136" s="2738"/>
      <c r="D136" s="2738"/>
      <c r="E136" s="2738"/>
      <c r="F136" s="2738"/>
      <c r="G136" s="2738"/>
      <c r="H136" s="2738"/>
      <c r="I136" s="869"/>
      <c r="J136" s="865"/>
      <c r="K136" s="870">
        <v>975</v>
      </c>
      <c r="L136" s="871"/>
      <c r="M136" s="872"/>
      <c r="N136" s="872"/>
      <c r="O136" s="872"/>
      <c r="P136" s="872"/>
      <c r="Q136" s="887"/>
      <c r="R136" s="872"/>
    </row>
    <row r="137" spans="1:18" s="890" customFormat="1" ht="21.75" customHeight="1">
      <c r="A137" s="874"/>
      <c r="B137" s="875"/>
      <c r="C137" s="876"/>
      <c r="D137" s="875"/>
      <c r="E137" s="876"/>
      <c r="F137" s="875"/>
      <c r="G137" s="875"/>
      <c r="H137" s="875"/>
      <c r="I137" s="875"/>
      <c r="J137" s="877"/>
      <c r="K137" s="878" t="e">
        <f>SUM(K133:K136)</f>
        <v>#REF!</v>
      </c>
      <c r="L137" s="879" t="e">
        <f>K137-500000</f>
        <v>#REF!</v>
      </c>
      <c r="M137" s="880"/>
      <c r="N137" s="880"/>
      <c r="O137" s="880"/>
      <c r="P137" s="880"/>
      <c r="Q137" s="889"/>
      <c r="R137" s="880"/>
    </row>
    <row r="138" spans="1:18">
      <c r="A138" s="891"/>
      <c r="B138" s="892"/>
      <c r="J138" s="896"/>
    </row>
    <row r="139" spans="1:18">
      <c r="A139" s="897"/>
      <c r="J139" s="896"/>
    </row>
    <row r="140" spans="1:18" s="901" customFormat="1" ht="12.6">
      <c r="A140" s="898"/>
      <c r="B140" s="899" t="s">
        <v>2608</v>
      </c>
      <c r="C140" s="900"/>
      <c r="F140" s="902" t="str">
        <f>'Lead- Input sheet '!H44</f>
        <v>Deputy Executive Engineer</v>
      </c>
    </row>
    <row r="141" spans="1:18" s="901" customFormat="1" ht="12.6">
      <c r="A141" s="898"/>
      <c r="B141" s="899" t="s">
        <v>2609</v>
      </c>
      <c r="C141" s="900"/>
      <c r="F141" s="902" t="e">
        <f>'Lead- Input sheet '!#REF!</f>
        <v>#REF!</v>
      </c>
    </row>
    <row r="142" spans="1:18">
      <c r="A142" s="897"/>
      <c r="J142" s="896"/>
    </row>
    <row r="143" spans="1:18">
      <c r="A143" s="897"/>
      <c r="J143" s="896"/>
    </row>
    <row r="144" spans="1:18">
      <c r="A144" s="897"/>
      <c r="J144" s="896"/>
    </row>
    <row r="145" spans="1:10">
      <c r="A145" s="897"/>
      <c r="J145" s="896"/>
    </row>
    <row r="146" spans="1:10">
      <c r="A146" s="897"/>
      <c r="J146" s="896"/>
    </row>
    <row r="147" spans="1:10">
      <c r="A147" s="897"/>
      <c r="J147" s="896"/>
    </row>
    <row r="148" spans="1:10">
      <c r="A148" s="897"/>
      <c r="J148" s="896"/>
    </row>
    <row r="149" spans="1:10">
      <c r="A149" s="897"/>
      <c r="J149" s="896"/>
    </row>
    <row r="150" spans="1:10">
      <c r="A150" s="897"/>
      <c r="J150" s="896"/>
    </row>
    <row r="151" spans="1:10">
      <c r="A151" s="897"/>
      <c r="J151" s="896"/>
    </row>
    <row r="152" spans="1:10">
      <c r="A152" s="897"/>
      <c r="J152" s="896"/>
    </row>
    <row r="153" spans="1:10">
      <c r="A153" s="897"/>
      <c r="J153" s="896"/>
    </row>
    <row r="154" spans="1:10">
      <c r="A154" s="897"/>
      <c r="J154" s="896"/>
    </row>
    <row r="155" spans="1:10">
      <c r="A155" s="897"/>
      <c r="J155" s="896"/>
    </row>
    <row r="156" spans="1:10">
      <c r="A156" s="897"/>
      <c r="J156" s="896"/>
    </row>
    <row r="157" spans="1:10">
      <c r="J157" s="896"/>
    </row>
    <row r="158" spans="1:10">
      <c r="J158" s="896"/>
    </row>
    <row r="159" spans="1:10">
      <c r="J159" s="896"/>
    </row>
    <row r="160" spans="1:10">
      <c r="J160" s="896"/>
    </row>
    <row r="161" spans="10:10">
      <c r="J161" s="896"/>
    </row>
    <row r="162" spans="10:10">
      <c r="J162" s="896"/>
    </row>
    <row r="163" spans="10:10">
      <c r="J163" s="896"/>
    </row>
    <row r="164" spans="10:10">
      <c r="J164" s="896"/>
    </row>
    <row r="165" spans="10:10">
      <c r="J165" s="896"/>
    </row>
    <row r="166" spans="10:10">
      <c r="J166" s="896"/>
    </row>
    <row r="167" spans="10:10">
      <c r="J167" s="896"/>
    </row>
    <row r="168" spans="10:10">
      <c r="J168" s="896"/>
    </row>
    <row r="169" spans="10:10">
      <c r="J169" s="896"/>
    </row>
    <row r="170" spans="10:10">
      <c r="J170" s="896"/>
    </row>
    <row r="171" spans="10:10">
      <c r="J171" s="896"/>
    </row>
    <row r="172" spans="10:10">
      <c r="J172" s="896"/>
    </row>
    <row r="173" spans="10:10">
      <c r="J173" s="896"/>
    </row>
    <row r="174" spans="10:10">
      <c r="J174" s="896"/>
    </row>
    <row r="175" spans="10:10">
      <c r="J175" s="896"/>
    </row>
    <row r="176" spans="10:10">
      <c r="J176" s="896"/>
    </row>
    <row r="177" spans="10:10">
      <c r="J177" s="896"/>
    </row>
    <row r="178" spans="10:10">
      <c r="J178" s="896"/>
    </row>
    <row r="179" spans="10:10">
      <c r="J179" s="896"/>
    </row>
    <row r="180" spans="10:10">
      <c r="J180" s="896"/>
    </row>
    <row r="181" spans="10:10">
      <c r="J181" s="896"/>
    </row>
    <row r="182" spans="10:10">
      <c r="J182" s="896"/>
    </row>
    <row r="183" spans="10:10">
      <c r="J183" s="896"/>
    </row>
    <row r="184" spans="10:10">
      <c r="J184" s="896"/>
    </row>
    <row r="185" spans="10:10">
      <c r="J185" s="896"/>
    </row>
    <row r="186" spans="10:10">
      <c r="J186" s="896"/>
    </row>
    <row r="187" spans="10:10">
      <c r="J187" s="896"/>
    </row>
    <row r="188" spans="10:10">
      <c r="J188" s="896"/>
    </row>
    <row r="189" spans="10:10">
      <c r="J189" s="896"/>
    </row>
    <row r="190" spans="10:10">
      <c r="J190" s="896"/>
    </row>
    <row r="191" spans="10:10">
      <c r="J191" s="896"/>
    </row>
    <row r="192" spans="10:10">
      <c r="J192" s="896"/>
    </row>
    <row r="193" spans="10:10">
      <c r="J193" s="896"/>
    </row>
    <row r="194" spans="10:10">
      <c r="J194" s="896"/>
    </row>
    <row r="195" spans="10:10">
      <c r="J195" s="896"/>
    </row>
    <row r="196" spans="10:10">
      <c r="J196" s="896"/>
    </row>
    <row r="197" spans="10:10">
      <c r="J197" s="896"/>
    </row>
    <row r="198" spans="10:10">
      <c r="J198" s="896"/>
    </row>
    <row r="199" spans="10:10">
      <c r="J199" s="896"/>
    </row>
    <row r="200" spans="10:10">
      <c r="J200" s="896"/>
    </row>
    <row r="201" spans="10:10">
      <c r="J201" s="896"/>
    </row>
    <row r="202" spans="10:10">
      <c r="J202" s="896"/>
    </row>
    <row r="203" spans="10:10">
      <c r="J203" s="896"/>
    </row>
    <row r="204" spans="10:10">
      <c r="J204" s="896"/>
    </row>
    <row r="205" spans="10:10">
      <c r="J205" s="896"/>
    </row>
    <row r="206" spans="10:10">
      <c r="J206" s="896"/>
    </row>
    <row r="207" spans="10:10">
      <c r="J207" s="896"/>
    </row>
    <row r="208" spans="10:10">
      <c r="J208" s="896"/>
    </row>
    <row r="209" spans="10:10">
      <c r="J209" s="896"/>
    </row>
    <row r="210" spans="10:10">
      <c r="J210" s="896"/>
    </row>
    <row r="211" spans="10:10">
      <c r="J211" s="896"/>
    </row>
    <row r="212" spans="10:10">
      <c r="J212" s="896"/>
    </row>
    <row r="213" spans="10:10">
      <c r="J213" s="896"/>
    </row>
    <row r="214" spans="10:10">
      <c r="J214" s="896"/>
    </row>
    <row r="215" spans="10:10">
      <c r="J215" s="896"/>
    </row>
    <row r="216" spans="10:10">
      <c r="J216" s="896"/>
    </row>
    <row r="217" spans="10:10">
      <c r="J217" s="896"/>
    </row>
    <row r="218" spans="10:10">
      <c r="J218" s="896"/>
    </row>
    <row r="219" spans="10:10">
      <c r="J219" s="896"/>
    </row>
    <row r="220" spans="10:10">
      <c r="J220" s="896"/>
    </row>
    <row r="221" spans="10:10">
      <c r="J221" s="896"/>
    </row>
    <row r="222" spans="10:10">
      <c r="J222" s="896"/>
    </row>
    <row r="223" spans="10:10">
      <c r="J223" s="896"/>
    </row>
    <row r="224" spans="10:10">
      <c r="J224" s="896"/>
    </row>
    <row r="225" spans="10:10">
      <c r="J225" s="896"/>
    </row>
    <row r="226" spans="10:10">
      <c r="J226" s="896"/>
    </row>
    <row r="227" spans="10:10">
      <c r="J227" s="896"/>
    </row>
    <row r="228" spans="10:10">
      <c r="J228" s="896"/>
    </row>
    <row r="229" spans="10:10">
      <c r="J229" s="896"/>
    </row>
    <row r="230" spans="10:10">
      <c r="J230" s="896"/>
    </row>
    <row r="231" spans="10:10">
      <c r="J231" s="896"/>
    </row>
    <row r="232" spans="10:10">
      <c r="J232" s="896"/>
    </row>
    <row r="233" spans="10:10">
      <c r="J233" s="896"/>
    </row>
    <row r="234" spans="10:10">
      <c r="J234" s="896"/>
    </row>
    <row r="235" spans="10:10">
      <c r="J235" s="896"/>
    </row>
    <row r="236" spans="10:10">
      <c r="J236" s="896"/>
    </row>
    <row r="237" spans="10:10">
      <c r="J237" s="896"/>
    </row>
    <row r="238" spans="10:10">
      <c r="J238" s="896"/>
    </row>
    <row r="239" spans="10:10">
      <c r="J239" s="896"/>
    </row>
    <row r="240" spans="10:10">
      <c r="J240" s="896"/>
    </row>
    <row r="241" spans="10:10">
      <c r="J241" s="896"/>
    </row>
    <row r="242" spans="10:10">
      <c r="J242" s="896"/>
    </row>
    <row r="243" spans="10:10">
      <c r="J243" s="896"/>
    </row>
    <row r="244" spans="10:10">
      <c r="J244" s="896"/>
    </row>
    <row r="245" spans="10:10">
      <c r="J245" s="896"/>
    </row>
    <row r="246" spans="10:10">
      <c r="J246" s="896"/>
    </row>
  </sheetData>
  <mergeCells count="31">
    <mergeCell ref="B136:H136"/>
    <mergeCell ref="B64:H64"/>
    <mergeCell ref="B66:I66"/>
    <mergeCell ref="B135:H135"/>
    <mergeCell ref="B134:H134"/>
    <mergeCell ref="B113:I113"/>
    <mergeCell ref="B97:I97"/>
    <mergeCell ref="B62:I62"/>
    <mergeCell ref="B6:I6"/>
    <mergeCell ref="A3:A4"/>
    <mergeCell ref="B3:B4"/>
    <mergeCell ref="C3:E4"/>
    <mergeCell ref="B16:H16"/>
    <mergeCell ref="I3:I4"/>
    <mergeCell ref="F3:H3"/>
    <mergeCell ref="C5:E5"/>
    <mergeCell ref="B55:I55"/>
    <mergeCell ref="B58:I58"/>
    <mergeCell ref="B42:I42"/>
    <mergeCell ref="M3:M4"/>
    <mergeCell ref="B49:I49"/>
    <mergeCell ref="L3:L4"/>
    <mergeCell ref="B56:H56"/>
    <mergeCell ref="A1:K1"/>
    <mergeCell ref="A2:K2"/>
    <mergeCell ref="K3:K4"/>
    <mergeCell ref="B18:I18"/>
    <mergeCell ref="B27:I27"/>
    <mergeCell ref="B36:I36"/>
    <mergeCell ref="B25:H25"/>
    <mergeCell ref="J3:J4"/>
  </mergeCells>
  <printOptions gridLines="1"/>
  <pageMargins left="0.5" right="0.24" top="0.26" bottom="0.5" header="0.5" footer="0.5"/>
  <pageSetup paperSize="9" orientation="portrait" r:id="rId1"/>
  <headerFooter alignWithMargins="0">
    <oddFooter>Page &amp;P of &amp;N</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indexed="29"/>
  </sheetPr>
  <dimension ref="A1:IV152"/>
  <sheetViews>
    <sheetView zoomScaleNormal="115" zoomScaleSheetLayoutView="85" workbookViewId="0">
      <pane ySplit="5" topLeftCell="A6" activePane="bottomLeft" state="frozen"/>
      <selection pane="bottomLeft" sqref="A1:K1"/>
    </sheetView>
  </sheetViews>
  <sheetFormatPr defaultRowHeight="12.9"/>
  <cols>
    <col min="1" max="1" width="5.5546875" style="513" customWidth="1"/>
    <col min="2" max="2" width="31.88671875" style="3" customWidth="1"/>
    <col min="3" max="3" width="4.44140625" style="152" customWidth="1"/>
    <col min="4" max="4" width="2" style="3" customWidth="1"/>
    <col min="5" max="5" width="4.5546875" style="346" customWidth="1"/>
    <col min="6" max="6" width="7.5546875" style="153" customWidth="1"/>
    <col min="7" max="7" width="6.6640625" style="153" customWidth="1"/>
    <col min="8" max="8" width="6.6640625" style="123" customWidth="1"/>
    <col min="9" max="9" width="8.5546875" style="404" customWidth="1"/>
    <col min="10" max="10" width="9.44140625" style="404" customWidth="1"/>
    <col min="11" max="11" width="13.88671875" style="123" customWidth="1"/>
    <col min="12" max="12" width="9.109375" style="3"/>
    <col min="13" max="13" width="9.44140625" style="3" bestFit="1" customWidth="1"/>
    <col min="14" max="256" width="9.109375" style="3"/>
  </cols>
  <sheetData>
    <row r="1" spans="1:11">
      <c r="A1" s="2747" t="s">
        <v>165</v>
      </c>
      <c r="B1" s="2748"/>
      <c r="C1" s="2748"/>
      <c r="D1" s="2748"/>
      <c r="E1" s="2748"/>
      <c r="F1" s="2748"/>
      <c r="G1" s="2748"/>
      <c r="H1" s="2748"/>
      <c r="I1" s="2748"/>
      <c r="J1" s="2748"/>
      <c r="K1" s="2748"/>
    </row>
    <row r="2" spans="1:11" ht="36" customHeight="1">
      <c r="A2" s="2746" t="str">
        <f>'Lead- Input sheet '!A2</f>
        <v xml:space="preserve"> Construction of  Anganwadi Building at Jeedipally Thanda (V) of Kalwakurthy (M) of Nagarkurnool District </v>
      </c>
      <c r="B2" s="2746"/>
      <c r="C2" s="2746"/>
      <c r="D2" s="2746"/>
      <c r="E2" s="2746"/>
      <c r="F2" s="2746"/>
      <c r="G2" s="2746"/>
      <c r="H2" s="2746"/>
      <c r="I2" s="2746"/>
      <c r="J2" s="2746"/>
      <c r="K2" s="2746"/>
    </row>
    <row r="3" spans="1:11" ht="30" customHeight="1">
      <c r="A3" s="2752" t="s">
        <v>1200</v>
      </c>
      <c r="B3" s="2742" t="s">
        <v>1201</v>
      </c>
      <c r="C3" s="2742" t="s">
        <v>527</v>
      </c>
      <c r="D3" s="2742"/>
      <c r="E3" s="2742"/>
      <c r="F3" s="2749" t="s">
        <v>1202</v>
      </c>
      <c r="G3" s="2749"/>
      <c r="H3" s="2749"/>
      <c r="I3" s="2744" t="s">
        <v>786</v>
      </c>
      <c r="J3" s="2751" t="s">
        <v>1203</v>
      </c>
      <c r="K3" s="2750" t="s">
        <v>1115</v>
      </c>
    </row>
    <row r="4" spans="1:11" ht="12.75" customHeight="1">
      <c r="A4" s="2752"/>
      <c r="B4" s="2742"/>
      <c r="C4" s="2742"/>
      <c r="D4" s="2742"/>
      <c r="E4" s="2742"/>
      <c r="F4" s="67" t="s">
        <v>1417</v>
      </c>
      <c r="G4" s="67" t="s">
        <v>859</v>
      </c>
      <c r="H4" s="67" t="s">
        <v>785</v>
      </c>
      <c r="I4" s="2744"/>
      <c r="J4" s="2751"/>
      <c r="K4" s="2750"/>
    </row>
    <row r="5" spans="1:11" s="72" customFormat="1" ht="10.5" hidden="1" customHeight="1">
      <c r="A5" s="68">
        <v>1</v>
      </c>
      <c r="B5" s="69">
        <f>A5+1</f>
        <v>2</v>
      </c>
      <c r="C5" s="2745">
        <f>B5+1</f>
        <v>3</v>
      </c>
      <c r="D5" s="2745"/>
      <c r="E5" s="2745"/>
      <c r="F5" s="70">
        <f>C5+1</f>
        <v>4</v>
      </c>
      <c r="G5" s="70">
        <f>F5+1</f>
        <v>5</v>
      </c>
      <c r="H5" s="70">
        <f>G5+1</f>
        <v>6</v>
      </c>
      <c r="I5" s="475">
        <f>H5+1</f>
        <v>7</v>
      </c>
      <c r="J5" s="475">
        <f>I5+1</f>
        <v>8</v>
      </c>
      <c r="K5" s="70"/>
    </row>
    <row r="6" spans="1:11" s="128" customFormat="1" ht="26.25" customHeight="1">
      <c r="A6" s="509"/>
      <c r="B6" s="2743" t="s">
        <v>1165</v>
      </c>
      <c r="C6" s="2743"/>
      <c r="D6" s="2743"/>
      <c r="E6" s="2743"/>
      <c r="F6" s="2743"/>
      <c r="G6" s="2743"/>
      <c r="H6" s="2743"/>
      <c r="I6" s="2743"/>
      <c r="J6" s="488"/>
      <c r="K6" s="126"/>
    </row>
    <row r="7" spans="1:11" s="128" customFormat="1" ht="50.2" customHeight="1">
      <c r="A7" s="510">
        <v>1</v>
      </c>
      <c r="B7" s="2740" t="s">
        <v>1191</v>
      </c>
      <c r="C7" s="2741"/>
      <c r="D7" s="2741"/>
      <c r="E7" s="2741"/>
      <c r="F7" s="2741"/>
      <c r="G7" s="2741"/>
      <c r="H7" s="2741"/>
      <c r="I7" s="2741"/>
      <c r="J7" s="488"/>
      <c r="K7" s="126"/>
    </row>
    <row r="8" spans="1:11" s="128" customFormat="1" ht="14.4">
      <c r="A8" s="511"/>
      <c r="B8" s="20" t="s">
        <v>802</v>
      </c>
      <c r="C8" s="20"/>
      <c r="D8" s="20"/>
      <c r="E8" s="344"/>
      <c r="F8" s="129">
        <v>900</v>
      </c>
      <c r="G8" s="129"/>
      <c r="H8" s="130"/>
      <c r="I8" s="432">
        <f>F8</f>
        <v>900</v>
      </c>
      <c r="J8" s="488"/>
      <c r="K8" s="126"/>
    </row>
    <row r="9" spans="1:11" s="128" customFormat="1" ht="18.75" customHeight="1">
      <c r="A9" s="510"/>
      <c r="B9" s="20"/>
      <c r="C9" s="20"/>
      <c r="D9" s="20"/>
      <c r="E9" s="344"/>
      <c r="F9" s="129"/>
      <c r="G9" s="129"/>
      <c r="H9" s="130"/>
      <c r="I9" s="432" t="s">
        <v>495</v>
      </c>
      <c r="J9" s="488" t="s">
        <v>495</v>
      </c>
      <c r="K9" s="126"/>
    </row>
    <row r="10" spans="1:11" s="384" customFormat="1" ht="14.4">
      <c r="A10" s="201"/>
      <c r="B10" s="2739"/>
      <c r="C10" s="2739"/>
      <c r="D10" s="2739"/>
      <c r="E10" s="2739"/>
      <c r="F10" s="2739"/>
      <c r="G10" s="2739"/>
      <c r="H10" s="2739"/>
      <c r="I10" s="432">
        <f>I8</f>
        <v>900</v>
      </c>
      <c r="J10" s="489">
        <f>'data-Elec '!H60</f>
        <v>111.43</v>
      </c>
      <c r="K10" s="403">
        <f>ROUND(J10*I10,)</f>
        <v>100287</v>
      </c>
    </row>
    <row r="11" spans="1:11" s="128" customFormat="1" ht="50.2" customHeight="1">
      <c r="A11" s="510">
        <v>2</v>
      </c>
      <c r="B11" s="2740" t="s">
        <v>1190</v>
      </c>
      <c r="C11" s="2741"/>
      <c r="D11" s="2741"/>
      <c r="E11" s="2741"/>
      <c r="F11" s="2741"/>
      <c r="G11" s="2741"/>
      <c r="H11" s="2741"/>
      <c r="I11" s="2741"/>
      <c r="J11" s="488"/>
      <c r="K11" s="126"/>
    </row>
    <row r="12" spans="1:11" s="128" customFormat="1" ht="14.4">
      <c r="A12" s="510"/>
      <c r="B12" s="20" t="s">
        <v>801</v>
      </c>
      <c r="C12" s="20"/>
      <c r="D12" s="20"/>
      <c r="E12" s="344"/>
      <c r="F12" s="129">
        <v>800</v>
      </c>
      <c r="G12" s="129"/>
      <c r="H12" s="130"/>
      <c r="I12" s="432">
        <f>F12</f>
        <v>800</v>
      </c>
      <c r="J12" s="488"/>
      <c r="K12" s="126"/>
    </row>
    <row r="13" spans="1:11" s="128" customFormat="1" ht="18" customHeight="1">
      <c r="A13" s="510"/>
      <c r="B13" s="20"/>
      <c r="C13" s="20"/>
      <c r="D13" s="20"/>
      <c r="E13" s="344"/>
      <c r="F13" s="129"/>
      <c r="G13" s="129"/>
      <c r="H13" s="130"/>
      <c r="I13" s="432" t="s">
        <v>495</v>
      </c>
      <c r="J13" s="488" t="s">
        <v>495</v>
      </c>
      <c r="K13" s="126"/>
    </row>
    <row r="14" spans="1:11" s="384" customFormat="1" ht="14.4">
      <c r="A14" s="201"/>
      <c r="B14" s="2739"/>
      <c r="C14" s="2739"/>
      <c r="D14" s="2739"/>
      <c r="E14" s="2739"/>
      <c r="F14" s="2739"/>
      <c r="G14" s="2739"/>
      <c r="H14" s="2739"/>
      <c r="I14" s="432">
        <f>I12</f>
        <v>800</v>
      </c>
      <c r="J14" s="489">
        <f>'data-Elec '!H74</f>
        <v>94.5</v>
      </c>
      <c r="K14" s="403">
        <f>ROUND(J14*I14,)</f>
        <v>75600</v>
      </c>
    </row>
    <row r="15" spans="1:11" s="128" customFormat="1" ht="77.25" customHeight="1">
      <c r="A15" s="510">
        <v>3</v>
      </c>
      <c r="B15" s="2740" t="s">
        <v>805</v>
      </c>
      <c r="C15" s="2741"/>
      <c r="D15" s="2741"/>
      <c r="E15" s="2741"/>
      <c r="F15" s="2741"/>
      <c r="G15" s="2741"/>
      <c r="H15" s="2741"/>
      <c r="I15" s="2741"/>
      <c r="J15" s="488"/>
      <c r="K15" s="126"/>
    </row>
    <row r="16" spans="1:11" s="128" customFormat="1" ht="14.4">
      <c r="A16" s="510"/>
      <c r="B16" s="20"/>
      <c r="C16" s="20">
        <v>1</v>
      </c>
      <c r="D16" s="20" t="s">
        <v>1472</v>
      </c>
      <c r="E16" s="344">
        <v>1</v>
      </c>
      <c r="F16" s="129">
        <v>300</v>
      </c>
      <c r="G16" s="129"/>
      <c r="H16" s="130"/>
      <c r="I16" s="432">
        <f>F16</f>
        <v>300</v>
      </c>
      <c r="J16" s="488"/>
      <c r="K16" s="126"/>
    </row>
    <row r="17" spans="1:11" s="128" customFormat="1" ht="18.75" customHeight="1">
      <c r="A17" s="510"/>
      <c r="B17" s="20"/>
      <c r="C17" s="20"/>
      <c r="D17" s="20"/>
      <c r="E17" s="344"/>
      <c r="F17" s="129"/>
      <c r="G17" s="129"/>
      <c r="H17" s="130"/>
      <c r="I17" s="432" t="s">
        <v>1164</v>
      </c>
      <c r="J17" s="488" t="s">
        <v>1164</v>
      </c>
      <c r="K17" s="126"/>
    </row>
    <row r="18" spans="1:11" s="128" customFormat="1" ht="14.4">
      <c r="A18" s="201"/>
      <c r="B18" s="2739"/>
      <c r="C18" s="2739"/>
      <c r="D18" s="2739"/>
      <c r="E18" s="2739"/>
      <c r="F18" s="2739"/>
      <c r="G18" s="2739"/>
      <c r="H18" s="2739"/>
      <c r="I18" s="432">
        <f>I16</f>
        <v>300</v>
      </c>
      <c r="J18" s="489">
        <f>'data-Elec '!H92</f>
        <v>554.66999999999996</v>
      </c>
      <c r="K18" s="403">
        <f>ROUND(J18*I18,)</f>
        <v>166401</v>
      </c>
    </row>
    <row r="19" spans="1:11" s="128" customFormat="1" ht="50.2" customHeight="1">
      <c r="A19" s="510">
        <v>4</v>
      </c>
      <c r="B19" s="2740" t="s">
        <v>804</v>
      </c>
      <c r="C19" s="2741"/>
      <c r="D19" s="2741"/>
      <c r="E19" s="2741"/>
      <c r="F19" s="2741"/>
      <c r="G19" s="2741"/>
      <c r="H19" s="2741"/>
      <c r="I19" s="2741"/>
      <c r="J19" s="488"/>
      <c r="K19" s="126"/>
    </row>
    <row r="20" spans="1:11" s="128" customFormat="1" ht="20.25" customHeight="1">
      <c r="A20" s="510"/>
      <c r="B20" s="20"/>
      <c r="C20" s="20">
        <v>1</v>
      </c>
      <c r="D20" s="20" t="s">
        <v>1472</v>
      </c>
      <c r="E20" s="344">
        <v>1</v>
      </c>
      <c r="F20" s="129">
        <v>50</v>
      </c>
      <c r="G20" s="129"/>
      <c r="H20" s="130"/>
      <c r="I20" s="432">
        <v>20</v>
      </c>
      <c r="J20" s="488"/>
      <c r="K20" s="126"/>
    </row>
    <row r="21" spans="1:11" s="128" customFormat="1" ht="14.4">
      <c r="A21" s="510"/>
      <c r="B21" s="20"/>
      <c r="C21" s="20"/>
      <c r="D21" s="20"/>
      <c r="E21" s="344"/>
      <c r="F21" s="129"/>
      <c r="G21" s="129"/>
      <c r="H21" s="130"/>
      <c r="I21" s="432" t="s">
        <v>882</v>
      </c>
      <c r="J21" s="488" t="s">
        <v>882</v>
      </c>
      <c r="K21" s="126"/>
    </row>
    <row r="22" spans="1:11" s="128" customFormat="1" ht="14.4">
      <c r="A22" s="201"/>
      <c r="B22" s="2739"/>
      <c r="C22" s="2739"/>
      <c r="D22" s="2739"/>
      <c r="E22" s="2739"/>
      <c r="F22" s="2739"/>
      <c r="G22" s="2739"/>
      <c r="H22" s="2739"/>
      <c r="I22" s="432">
        <f>I20</f>
        <v>20</v>
      </c>
      <c r="J22" s="489">
        <f>'data-Elec '!H236</f>
        <v>144.47999999999999</v>
      </c>
      <c r="K22" s="403">
        <f>ROUND(J22*I22,)</f>
        <v>2890</v>
      </c>
    </row>
    <row r="23" spans="1:11" s="128" customFormat="1" ht="50.2" customHeight="1">
      <c r="A23" s="510">
        <v>5</v>
      </c>
      <c r="B23" s="2740" t="s">
        <v>803</v>
      </c>
      <c r="C23" s="2741"/>
      <c r="D23" s="2741"/>
      <c r="E23" s="2741"/>
      <c r="F23" s="2741"/>
      <c r="G23" s="2741"/>
      <c r="H23" s="2741"/>
      <c r="I23" s="2741"/>
      <c r="J23" s="488"/>
      <c r="K23" s="126"/>
    </row>
    <row r="24" spans="1:11" s="128" customFormat="1" ht="21.75" customHeight="1">
      <c r="A24" s="510"/>
      <c r="B24" s="20"/>
      <c r="C24" s="20">
        <v>1</v>
      </c>
      <c r="D24" s="20" t="s">
        <v>1472</v>
      </c>
      <c r="E24" s="344">
        <v>1</v>
      </c>
      <c r="F24" s="129">
        <v>70</v>
      </c>
      <c r="G24" s="129"/>
      <c r="H24" s="130"/>
      <c r="I24" s="432">
        <f>F24</f>
        <v>70</v>
      </c>
      <c r="J24" s="488"/>
      <c r="K24" s="126"/>
    </row>
    <row r="25" spans="1:11" s="128" customFormat="1" ht="14.4">
      <c r="A25" s="510"/>
      <c r="B25" s="20"/>
      <c r="C25" s="20"/>
      <c r="D25" s="20"/>
      <c r="E25" s="344"/>
      <c r="F25" s="129"/>
      <c r="G25" s="129"/>
      <c r="H25" s="130"/>
      <c r="I25" s="432" t="s">
        <v>882</v>
      </c>
      <c r="J25" s="488" t="s">
        <v>882</v>
      </c>
      <c r="K25" s="126"/>
    </row>
    <row r="26" spans="1:11" s="128" customFormat="1" ht="14.4">
      <c r="A26" s="201"/>
      <c r="B26" s="2739"/>
      <c r="C26" s="2739"/>
      <c r="D26" s="2739"/>
      <c r="E26" s="2739"/>
      <c r="F26" s="2739"/>
      <c r="G26" s="2739"/>
      <c r="H26" s="2739"/>
      <c r="I26" s="432">
        <f>I24</f>
        <v>70</v>
      </c>
      <c r="J26" s="489">
        <f>'data-Elec '!H250</f>
        <v>355.5</v>
      </c>
      <c r="K26" s="403">
        <f>ROUND(J26*I26,)</f>
        <v>24885</v>
      </c>
    </row>
    <row r="27" spans="1:11" s="128" customFormat="1" ht="50.2" customHeight="1">
      <c r="A27" s="510">
        <v>6</v>
      </c>
      <c r="B27" s="2740" t="s">
        <v>292</v>
      </c>
      <c r="C27" s="2741"/>
      <c r="D27" s="2741"/>
      <c r="E27" s="2741"/>
      <c r="F27" s="2741"/>
      <c r="G27" s="2741"/>
      <c r="H27" s="2741"/>
      <c r="I27" s="2741"/>
      <c r="J27" s="488"/>
      <c r="K27" s="126"/>
    </row>
    <row r="28" spans="1:11" s="128" customFormat="1" ht="14.4">
      <c r="A28" s="510"/>
      <c r="B28" s="272" t="s">
        <v>806</v>
      </c>
      <c r="C28" s="20">
        <v>1</v>
      </c>
      <c r="D28" s="20" t="s">
        <v>1472</v>
      </c>
      <c r="E28" s="344">
        <v>1</v>
      </c>
      <c r="F28" s="129">
        <v>1000</v>
      </c>
      <c r="G28" s="129"/>
      <c r="H28" s="130"/>
      <c r="I28" s="432">
        <f>F28</f>
        <v>1000</v>
      </c>
      <c r="J28" s="489">
        <f>'data-Elec '!H122</f>
        <v>11.46</v>
      </c>
      <c r="K28" s="403">
        <f>ROUND(J28*I28,)</f>
        <v>11460</v>
      </c>
    </row>
    <row r="29" spans="1:11" s="128" customFormat="1" ht="30" customHeight="1">
      <c r="A29" s="510">
        <v>7</v>
      </c>
      <c r="B29" s="2740" t="s">
        <v>1325</v>
      </c>
      <c r="C29" s="2741"/>
      <c r="D29" s="2741"/>
      <c r="E29" s="2741"/>
      <c r="F29" s="2741"/>
      <c r="G29" s="2741"/>
      <c r="H29" s="2741"/>
      <c r="I29" s="2741"/>
      <c r="J29" s="488"/>
      <c r="K29" s="126"/>
    </row>
    <row r="30" spans="1:11" s="128" customFormat="1" ht="14.4">
      <c r="A30" s="510"/>
      <c r="B30" s="272" t="s">
        <v>806</v>
      </c>
      <c r="C30" s="20">
        <v>1</v>
      </c>
      <c r="D30" s="20" t="s">
        <v>1472</v>
      </c>
      <c r="E30" s="344">
        <v>1</v>
      </c>
      <c r="F30" s="129">
        <v>1000</v>
      </c>
      <c r="G30" s="129"/>
      <c r="H30" s="130"/>
      <c r="I30" s="432">
        <f>F30</f>
        <v>1000</v>
      </c>
      <c r="J30" s="489">
        <f>'data-Elec '!H136</f>
        <v>60.25</v>
      </c>
      <c r="K30" s="403">
        <f>ROUND(J30*I30,)</f>
        <v>60250</v>
      </c>
    </row>
    <row r="31" spans="1:11" s="128" customFormat="1" ht="30" customHeight="1">
      <c r="A31" s="510">
        <v>8</v>
      </c>
      <c r="B31" s="2740" t="s">
        <v>1327</v>
      </c>
      <c r="C31" s="2741"/>
      <c r="D31" s="2741"/>
      <c r="E31" s="2741"/>
      <c r="F31" s="2741"/>
      <c r="G31" s="2741"/>
      <c r="H31" s="2741"/>
      <c r="I31" s="2741"/>
      <c r="J31" s="488"/>
      <c r="K31" s="126"/>
    </row>
    <row r="32" spans="1:11" s="128" customFormat="1" ht="14.4">
      <c r="A32" s="510"/>
      <c r="B32" s="272" t="s">
        <v>806</v>
      </c>
      <c r="C32" s="20">
        <v>1</v>
      </c>
      <c r="D32" s="20" t="s">
        <v>1472</v>
      </c>
      <c r="E32" s="344">
        <v>1</v>
      </c>
      <c r="F32" s="129">
        <v>1000</v>
      </c>
      <c r="G32" s="129"/>
      <c r="H32" s="130"/>
      <c r="I32" s="432">
        <f>F32</f>
        <v>1000</v>
      </c>
      <c r="J32" s="489">
        <f>'data-Elec '!H149</f>
        <v>100.55</v>
      </c>
      <c r="K32" s="403">
        <f>ROUND(J32*I32,)</f>
        <v>100550</v>
      </c>
    </row>
    <row r="33" spans="1:11" s="128" customFormat="1" ht="50.2" customHeight="1">
      <c r="A33" s="510">
        <v>8</v>
      </c>
      <c r="B33" s="2740" t="s">
        <v>748</v>
      </c>
      <c r="C33" s="2741"/>
      <c r="D33" s="2741"/>
      <c r="E33" s="2741"/>
      <c r="F33" s="2741"/>
      <c r="G33" s="2741"/>
      <c r="H33" s="2741"/>
      <c r="I33" s="2741"/>
      <c r="J33" s="488"/>
      <c r="K33" s="126"/>
    </row>
    <row r="34" spans="1:11" s="128" customFormat="1" ht="14.4">
      <c r="A34" s="510"/>
      <c r="B34" s="272" t="s">
        <v>806</v>
      </c>
      <c r="C34" s="20">
        <v>1</v>
      </c>
      <c r="D34" s="20" t="s">
        <v>1472</v>
      </c>
      <c r="E34" s="344">
        <v>1</v>
      </c>
      <c r="F34" s="129">
        <v>1000</v>
      </c>
      <c r="G34" s="129"/>
      <c r="H34" s="130"/>
      <c r="I34" s="432">
        <f>F34</f>
        <v>1000</v>
      </c>
      <c r="J34" s="489">
        <f>'data-Elec '!H162</f>
        <v>108.25</v>
      </c>
      <c r="K34" s="403">
        <f>ROUND(J34*I34,)</f>
        <v>108250</v>
      </c>
    </row>
    <row r="35" spans="1:11" s="128" customFormat="1" ht="50.2" customHeight="1">
      <c r="A35" s="510">
        <v>10</v>
      </c>
      <c r="B35" s="2740" t="s">
        <v>1248</v>
      </c>
      <c r="C35" s="2741"/>
      <c r="D35" s="2741"/>
      <c r="E35" s="2741"/>
      <c r="F35" s="2741"/>
      <c r="G35" s="2741"/>
      <c r="H35" s="2741"/>
      <c r="I35" s="2741"/>
      <c r="J35" s="488"/>
      <c r="K35" s="126"/>
    </row>
    <row r="36" spans="1:11" s="128" customFormat="1" ht="16.2">
      <c r="A36" s="510"/>
      <c r="B36" s="272" t="s">
        <v>754</v>
      </c>
      <c r="C36" s="20">
        <v>1</v>
      </c>
      <c r="D36" s="20" t="s">
        <v>1472</v>
      </c>
      <c r="E36" s="344">
        <v>1</v>
      </c>
      <c r="F36" s="129">
        <v>1000</v>
      </c>
      <c r="G36" s="129"/>
      <c r="H36" s="130"/>
      <c r="I36" s="432">
        <f>F36</f>
        <v>1000</v>
      </c>
      <c r="J36" s="489">
        <f>'data-Elec '!H136</f>
        <v>60.25</v>
      </c>
      <c r="K36" s="403">
        <f>ROUND(J36*I36,)</f>
        <v>60250</v>
      </c>
    </row>
    <row r="37" spans="1:11" s="128" customFormat="1" ht="14.4">
      <c r="A37" s="510"/>
      <c r="B37" s="272" t="s">
        <v>1328</v>
      </c>
      <c r="C37" s="20">
        <v>1</v>
      </c>
      <c r="D37" s="20" t="s">
        <v>1472</v>
      </c>
      <c r="E37" s="344">
        <v>1</v>
      </c>
      <c r="F37" s="129">
        <v>1000</v>
      </c>
      <c r="G37" s="129"/>
      <c r="H37" s="130"/>
      <c r="I37" s="432">
        <f>F37</f>
        <v>1000</v>
      </c>
      <c r="J37" s="489">
        <f>'data-Elec '!H149</f>
        <v>100.55</v>
      </c>
      <c r="K37" s="403">
        <f>ROUND(J37*I37,)</f>
        <v>100550</v>
      </c>
    </row>
    <row r="38" spans="1:11" s="128" customFormat="1">
      <c r="A38" s="201"/>
      <c r="B38" s="2739"/>
      <c r="C38" s="2739"/>
      <c r="D38" s="2739"/>
      <c r="E38" s="2739"/>
      <c r="F38" s="2739"/>
      <c r="G38" s="2739"/>
      <c r="H38" s="2739"/>
      <c r="I38" s="432"/>
      <c r="J38" s="490"/>
      <c r="K38" s="403"/>
    </row>
    <row r="39" spans="1:11" s="128" customFormat="1" ht="28.5" customHeight="1">
      <c r="A39" s="510">
        <v>11</v>
      </c>
      <c r="B39" s="2740" t="s">
        <v>1249</v>
      </c>
      <c r="C39" s="2741"/>
      <c r="D39" s="2741"/>
      <c r="E39" s="2741"/>
      <c r="F39" s="2741"/>
      <c r="G39" s="2741"/>
      <c r="H39" s="2741"/>
      <c r="I39" s="2741"/>
      <c r="J39" s="488"/>
      <c r="K39" s="126"/>
    </row>
    <row r="40" spans="1:11" s="128" customFormat="1" ht="16.5" customHeight="1">
      <c r="A40" s="510"/>
      <c r="B40" s="20"/>
      <c r="C40" s="20">
        <v>1</v>
      </c>
      <c r="D40" s="20" t="s">
        <v>1472</v>
      </c>
      <c r="E40" s="344">
        <v>1</v>
      </c>
      <c r="F40" s="129">
        <v>10</v>
      </c>
      <c r="G40" s="129"/>
      <c r="H40" s="130"/>
      <c r="I40" s="432">
        <f>F40</f>
        <v>10</v>
      </c>
      <c r="J40" s="488"/>
      <c r="K40" s="126"/>
    </row>
    <row r="41" spans="1:11" s="128" customFormat="1" ht="16.5" customHeight="1">
      <c r="A41" s="510"/>
      <c r="B41" s="20"/>
      <c r="C41" s="20"/>
      <c r="D41" s="20"/>
      <c r="E41" s="344"/>
      <c r="F41" s="129"/>
      <c r="G41" s="129"/>
      <c r="H41" s="130"/>
      <c r="I41" s="432" t="s">
        <v>882</v>
      </c>
      <c r="J41" s="488" t="s">
        <v>882</v>
      </c>
      <c r="K41" s="126"/>
    </row>
    <row r="42" spans="1:11" s="128" customFormat="1" ht="14.4">
      <c r="A42" s="201"/>
      <c r="B42" s="2739"/>
      <c r="C42" s="2739"/>
      <c r="D42" s="2739"/>
      <c r="E42" s="2739"/>
      <c r="F42" s="2739"/>
      <c r="G42" s="2739"/>
      <c r="H42" s="2739"/>
      <c r="I42" s="432">
        <v>0</v>
      </c>
      <c r="J42" s="489"/>
      <c r="K42" s="403">
        <f>ROUND(J42*I42,)</f>
        <v>0</v>
      </c>
    </row>
    <row r="43" spans="1:11" s="128" customFormat="1" ht="30" customHeight="1">
      <c r="A43" s="510">
        <v>12</v>
      </c>
      <c r="B43" s="2740" t="s">
        <v>1250</v>
      </c>
      <c r="C43" s="2741"/>
      <c r="D43" s="2741"/>
      <c r="E43" s="2741"/>
      <c r="F43" s="2741"/>
      <c r="G43" s="2741"/>
      <c r="H43" s="2741"/>
      <c r="I43" s="2741"/>
      <c r="J43" s="488"/>
      <c r="K43" s="126"/>
    </row>
    <row r="44" spans="1:11" s="128" customFormat="1" ht="18" customHeight="1">
      <c r="A44" s="510"/>
      <c r="B44" s="20"/>
      <c r="C44" s="20">
        <v>1</v>
      </c>
      <c r="D44" s="20" t="s">
        <v>1472</v>
      </c>
      <c r="E44" s="344">
        <v>1</v>
      </c>
      <c r="F44" s="129">
        <v>2</v>
      </c>
      <c r="G44" s="129"/>
      <c r="H44" s="130"/>
      <c r="I44" s="432">
        <f>F44</f>
        <v>2</v>
      </c>
      <c r="J44" s="488"/>
      <c r="K44" s="126"/>
    </row>
    <row r="45" spans="1:11" s="128" customFormat="1" ht="18" customHeight="1">
      <c r="A45" s="510"/>
      <c r="B45" s="20"/>
      <c r="C45" s="20"/>
      <c r="D45" s="20"/>
      <c r="E45" s="344"/>
      <c r="F45" s="129"/>
      <c r="G45" s="129"/>
      <c r="H45" s="130"/>
      <c r="I45" s="432" t="s">
        <v>882</v>
      </c>
      <c r="J45" s="488" t="s">
        <v>882</v>
      </c>
      <c r="K45" s="126"/>
    </row>
    <row r="46" spans="1:11" s="128" customFormat="1" ht="14.4">
      <c r="A46" s="201"/>
      <c r="B46" s="2739"/>
      <c r="C46" s="2739"/>
      <c r="D46" s="2739"/>
      <c r="E46" s="2739"/>
      <c r="F46" s="2739"/>
      <c r="G46" s="2739"/>
      <c r="H46" s="2739"/>
      <c r="I46" s="432">
        <f>I44</f>
        <v>2</v>
      </c>
      <c r="J46" s="489"/>
      <c r="K46" s="403">
        <f>ROUND(J46*I46,)</f>
        <v>0</v>
      </c>
    </row>
    <row r="47" spans="1:11" s="128" customFormat="1" ht="84" customHeight="1">
      <c r="A47" s="510">
        <v>13</v>
      </c>
      <c r="B47" s="2740" t="s">
        <v>48</v>
      </c>
      <c r="C47" s="2741"/>
      <c r="D47" s="2741"/>
      <c r="E47" s="2741"/>
      <c r="F47" s="2741"/>
      <c r="G47" s="2741"/>
      <c r="H47" s="2741"/>
      <c r="I47" s="2741"/>
      <c r="J47" s="488"/>
      <c r="K47" s="126"/>
    </row>
    <row r="48" spans="1:11" s="128" customFormat="1" ht="18" customHeight="1">
      <c r="A48" s="510"/>
      <c r="B48" s="20"/>
      <c r="C48" s="20">
        <v>1</v>
      </c>
      <c r="D48" s="20" t="s">
        <v>1472</v>
      </c>
      <c r="E48" s="344">
        <v>1</v>
      </c>
      <c r="F48" s="129">
        <v>4</v>
      </c>
      <c r="G48" s="129"/>
      <c r="H48" s="130"/>
      <c r="I48" s="432">
        <f>F48</f>
        <v>4</v>
      </c>
      <c r="J48" s="488"/>
      <c r="K48" s="126"/>
    </row>
    <row r="49" spans="1:11" s="128" customFormat="1" ht="18" customHeight="1">
      <c r="A49" s="510"/>
      <c r="B49" s="20"/>
      <c r="C49" s="20"/>
      <c r="D49" s="20"/>
      <c r="E49" s="344"/>
      <c r="F49" s="129"/>
      <c r="G49" s="129"/>
      <c r="H49" s="130"/>
      <c r="I49" s="432" t="s">
        <v>857</v>
      </c>
      <c r="J49" s="488" t="s">
        <v>882</v>
      </c>
      <c r="K49" s="126"/>
    </row>
    <row r="50" spans="1:11" s="128" customFormat="1">
      <c r="A50" s="272"/>
      <c r="B50" s="2739"/>
      <c r="C50" s="2739"/>
      <c r="D50" s="2739"/>
      <c r="E50" s="2739"/>
      <c r="F50" s="2739"/>
      <c r="G50" s="2739"/>
      <c r="H50" s="2739"/>
      <c r="I50" s="432">
        <f>I48</f>
        <v>4</v>
      </c>
      <c r="J50" s="491">
        <f>'data-Elec '!H438</f>
        <v>4622.5</v>
      </c>
      <c r="K50" s="403"/>
    </row>
    <row r="51" spans="1:11" s="128" customFormat="1" ht="110.25" customHeight="1">
      <c r="A51" s="510">
        <v>14</v>
      </c>
      <c r="B51" s="2740" t="s">
        <v>1078</v>
      </c>
      <c r="C51" s="2741"/>
      <c r="D51" s="2741"/>
      <c r="E51" s="2741"/>
      <c r="F51" s="2741"/>
      <c r="G51" s="2741"/>
      <c r="H51" s="2741"/>
      <c r="I51" s="2741"/>
      <c r="J51" s="488"/>
      <c r="K51" s="126"/>
    </row>
    <row r="52" spans="1:11" s="128" customFormat="1" ht="17.25" customHeight="1">
      <c r="A52" s="510"/>
      <c r="B52" s="20" t="s">
        <v>477</v>
      </c>
      <c r="C52" s="20">
        <v>1</v>
      </c>
      <c r="D52" s="20" t="s">
        <v>1472</v>
      </c>
      <c r="E52" s="344">
        <v>1</v>
      </c>
      <c r="F52" s="129">
        <v>4</v>
      </c>
      <c r="G52" s="129"/>
      <c r="H52" s="130"/>
      <c r="I52" s="432">
        <f>F52*C52*E52</f>
        <v>4</v>
      </c>
      <c r="J52" s="488"/>
      <c r="K52" s="136"/>
    </row>
    <row r="53" spans="1:11" s="128" customFormat="1" ht="17.25" customHeight="1">
      <c r="A53" s="510"/>
      <c r="B53" s="20"/>
      <c r="C53" s="20"/>
      <c r="D53" s="20"/>
      <c r="E53" s="344"/>
      <c r="F53" s="129"/>
      <c r="G53" s="129"/>
      <c r="H53" s="130"/>
      <c r="I53" s="432" t="s">
        <v>472</v>
      </c>
      <c r="J53" s="488"/>
      <c r="K53" s="136"/>
    </row>
    <row r="54" spans="1:11" s="128" customFormat="1">
      <c r="A54" s="272"/>
      <c r="B54" s="2739"/>
      <c r="C54" s="2739"/>
      <c r="D54" s="2739"/>
      <c r="E54" s="2739"/>
      <c r="F54" s="2739"/>
      <c r="G54" s="2739"/>
      <c r="H54" s="2739"/>
      <c r="I54" s="432">
        <f>I52</f>
        <v>4</v>
      </c>
      <c r="J54" s="491">
        <f>'data-Elec '!H458</f>
        <v>4910.21</v>
      </c>
      <c r="K54" s="403"/>
    </row>
    <row r="55" spans="1:11" s="128" customFormat="1" ht="39.9" customHeight="1">
      <c r="A55" s="510">
        <v>15</v>
      </c>
      <c r="B55" s="2740" t="s">
        <v>865</v>
      </c>
      <c r="C55" s="2741"/>
      <c r="D55" s="2741"/>
      <c r="E55" s="2741"/>
      <c r="F55" s="2741"/>
      <c r="G55" s="2741"/>
      <c r="H55" s="2741"/>
      <c r="I55" s="2741"/>
      <c r="J55" s="488"/>
      <c r="K55" s="136"/>
    </row>
    <row r="56" spans="1:11" s="128" customFormat="1" ht="14.4">
      <c r="A56" s="201"/>
      <c r="B56" s="20" t="s">
        <v>451</v>
      </c>
      <c r="C56" s="20">
        <v>1</v>
      </c>
      <c r="D56" s="20" t="s">
        <v>1472</v>
      </c>
      <c r="E56" s="344">
        <v>1</v>
      </c>
      <c r="F56" s="129">
        <v>100</v>
      </c>
      <c r="G56" s="129"/>
      <c r="H56" s="130"/>
      <c r="I56" s="432">
        <f>F56</f>
        <v>100</v>
      </c>
      <c r="J56" s="489">
        <f>'data-Elec '!H407</f>
        <v>485.96</v>
      </c>
      <c r="K56" s="403">
        <f>ROUND(J56*I56,)</f>
        <v>48596</v>
      </c>
    </row>
    <row r="57" spans="1:11" s="128" customFormat="1" ht="17.25" customHeight="1">
      <c r="A57" s="510"/>
      <c r="B57" s="20"/>
      <c r="C57" s="20"/>
      <c r="D57" s="20"/>
      <c r="E57" s="344"/>
      <c r="F57" s="129"/>
      <c r="G57" s="129"/>
      <c r="H57" s="130"/>
      <c r="I57" s="432" t="s">
        <v>472</v>
      </c>
      <c r="J57" s="488" t="s">
        <v>856</v>
      </c>
      <c r="K57" s="136"/>
    </row>
    <row r="58" spans="1:11" s="128" customFormat="1" ht="29.25" customHeight="1">
      <c r="A58" s="510">
        <v>16</v>
      </c>
      <c r="B58" s="2740" t="s">
        <v>1251</v>
      </c>
      <c r="C58" s="2740"/>
      <c r="D58" s="2740"/>
      <c r="E58" s="2740"/>
      <c r="F58" s="2740"/>
      <c r="G58" s="2740"/>
      <c r="H58" s="2740"/>
      <c r="I58" s="2740"/>
      <c r="J58" s="488"/>
      <c r="K58" s="126"/>
    </row>
    <row r="59" spans="1:11" s="128" customFormat="1" ht="17.25" customHeight="1">
      <c r="A59" s="510"/>
      <c r="B59" s="20" t="s">
        <v>450</v>
      </c>
      <c r="C59" s="20">
        <v>1</v>
      </c>
      <c r="D59" s="20" t="s">
        <v>1472</v>
      </c>
      <c r="E59" s="344">
        <v>1</v>
      </c>
      <c r="F59" s="129">
        <v>86</v>
      </c>
      <c r="G59" s="129"/>
      <c r="H59" s="130"/>
      <c r="I59" s="432">
        <f>F59*C59*E59</f>
        <v>86</v>
      </c>
      <c r="J59" s="133"/>
      <c r="K59" s="136"/>
    </row>
    <row r="60" spans="1:11" s="128" customFormat="1" ht="17.25" customHeight="1">
      <c r="A60" s="510"/>
      <c r="B60" s="20"/>
      <c r="C60" s="20"/>
      <c r="D60" s="20"/>
      <c r="E60" s="344"/>
      <c r="F60" s="129"/>
      <c r="G60" s="129"/>
      <c r="H60" s="130"/>
      <c r="I60" s="432" t="s">
        <v>472</v>
      </c>
      <c r="J60" s="488"/>
      <c r="K60" s="136"/>
    </row>
    <row r="61" spans="1:11" s="128" customFormat="1">
      <c r="A61" s="272"/>
      <c r="B61" s="2739"/>
      <c r="C61" s="2739"/>
      <c r="D61" s="2739"/>
      <c r="E61" s="2739"/>
      <c r="F61" s="2739"/>
      <c r="G61" s="2739"/>
      <c r="H61" s="2739"/>
      <c r="I61" s="432">
        <f>I59</f>
        <v>86</v>
      </c>
      <c r="J61" s="491">
        <f>'data-Elec '!H284</f>
        <v>2221.2800000000002</v>
      </c>
      <c r="K61" s="403">
        <f>ROUND(J61*I61,)</f>
        <v>191030</v>
      </c>
    </row>
    <row r="62" spans="1:11" s="128" customFormat="1" ht="50.2" customHeight="1">
      <c r="A62" s="510">
        <v>17</v>
      </c>
      <c r="B62" s="2740" t="s">
        <v>301</v>
      </c>
      <c r="C62" s="2740"/>
      <c r="D62" s="2740"/>
      <c r="E62" s="2740"/>
      <c r="F62" s="2740"/>
      <c r="G62" s="2740"/>
      <c r="H62" s="2740"/>
      <c r="I62" s="2740"/>
      <c r="J62" s="488"/>
      <c r="K62" s="126"/>
    </row>
    <row r="63" spans="1:11" s="128" customFormat="1" ht="17.25" customHeight="1">
      <c r="A63" s="510"/>
      <c r="B63" s="20" t="s">
        <v>807</v>
      </c>
      <c r="C63" s="20">
        <v>1</v>
      </c>
      <c r="D63" s="20" t="s">
        <v>1472</v>
      </c>
      <c r="E63" s="344">
        <v>1</v>
      </c>
      <c r="F63" s="129">
        <v>86</v>
      </c>
      <c r="G63" s="129"/>
      <c r="H63" s="130"/>
      <c r="I63" s="432">
        <f>F63*C63*E63</f>
        <v>86</v>
      </c>
      <c r="J63" s="133"/>
      <c r="K63" s="136"/>
    </row>
    <row r="64" spans="1:11" s="128" customFormat="1" ht="17.25" customHeight="1">
      <c r="A64" s="510"/>
      <c r="B64" s="20"/>
      <c r="C64" s="20"/>
      <c r="D64" s="20"/>
      <c r="E64" s="344"/>
      <c r="F64" s="129"/>
      <c r="G64" s="129"/>
      <c r="H64" s="130"/>
      <c r="I64" s="432" t="s">
        <v>472</v>
      </c>
      <c r="J64" s="488"/>
      <c r="K64" s="136"/>
    </row>
    <row r="65" spans="1:13" s="128" customFormat="1">
      <c r="A65" s="272"/>
      <c r="B65" s="2739"/>
      <c r="C65" s="2739"/>
      <c r="D65" s="2739"/>
      <c r="E65" s="2739"/>
      <c r="F65" s="2739"/>
      <c r="G65" s="2739"/>
      <c r="H65" s="2739"/>
      <c r="I65" s="432">
        <f>I63</f>
        <v>86</v>
      </c>
      <c r="J65" s="491">
        <f>'data-Elec '!H293</f>
        <v>285</v>
      </c>
      <c r="K65" s="403">
        <f>ROUND(J65*I65,)</f>
        <v>24510</v>
      </c>
    </row>
    <row r="66" spans="1:13" s="128" customFormat="1" ht="50.2" customHeight="1">
      <c r="A66" s="510">
        <v>18</v>
      </c>
      <c r="B66" s="2740" t="s">
        <v>302</v>
      </c>
      <c r="C66" s="2740"/>
      <c r="D66" s="2740"/>
      <c r="E66" s="2740"/>
      <c r="F66" s="2740"/>
      <c r="G66" s="2740"/>
      <c r="H66" s="2740"/>
      <c r="I66" s="2740"/>
      <c r="J66" s="488"/>
      <c r="K66" s="126"/>
    </row>
    <row r="67" spans="1:13" s="128" customFormat="1" ht="17.25" customHeight="1">
      <c r="A67" s="510"/>
      <c r="B67" s="20" t="s">
        <v>807</v>
      </c>
      <c r="C67" s="20">
        <v>1</v>
      </c>
      <c r="D67" s="20" t="s">
        <v>1472</v>
      </c>
      <c r="E67" s="344">
        <v>1</v>
      </c>
      <c r="F67" s="129">
        <v>10</v>
      </c>
      <c r="G67" s="129"/>
      <c r="H67" s="130"/>
      <c r="I67" s="432">
        <f>F67*C67*E67</f>
        <v>10</v>
      </c>
      <c r="J67" s="133"/>
      <c r="K67" s="136"/>
    </row>
    <row r="68" spans="1:13" s="128" customFormat="1" ht="17.25" customHeight="1">
      <c r="A68" s="510"/>
      <c r="B68" s="20"/>
      <c r="C68" s="20"/>
      <c r="D68" s="20"/>
      <c r="E68" s="344"/>
      <c r="F68" s="129"/>
      <c r="G68" s="129"/>
      <c r="H68" s="130"/>
      <c r="I68" s="432" t="s">
        <v>472</v>
      </c>
      <c r="J68" s="488"/>
      <c r="K68" s="136"/>
    </row>
    <row r="69" spans="1:13" s="128" customFormat="1">
      <c r="A69" s="272"/>
      <c r="B69" s="2739"/>
      <c r="C69" s="2739"/>
      <c r="D69" s="2739"/>
      <c r="E69" s="2739"/>
      <c r="F69" s="2739"/>
      <c r="G69" s="2739"/>
      <c r="H69" s="2739"/>
      <c r="I69" s="432">
        <f>I67</f>
        <v>10</v>
      </c>
      <c r="J69" s="491">
        <f>'data-Elec '!H302</f>
        <v>1598.83</v>
      </c>
      <c r="K69" s="403">
        <f>ROUND(J69*I69,)</f>
        <v>15988</v>
      </c>
    </row>
    <row r="70" spans="1:13" s="128" customFormat="1" ht="30" customHeight="1">
      <c r="A70" s="510">
        <v>19</v>
      </c>
      <c r="B70" s="2740" t="s">
        <v>303</v>
      </c>
      <c r="C70" s="2740"/>
      <c r="D70" s="2740"/>
      <c r="E70" s="2740"/>
      <c r="F70" s="2740"/>
      <c r="G70" s="2740"/>
      <c r="H70" s="2740"/>
      <c r="I70" s="2740"/>
      <c r="J70" s="488"/>
      <c r="K70" s="126"/>
    </row>
    <row r="71" spans="1:13" s="128" customFormat="1" ht="17.25" customHeight="1">
      <c r="A71" s="510"/>
      <c r="B71" s="20" t="s">
        <v>807</v>
      </c>
      <c r="C71" s="20">
        <v>1</v>
      </c>
      <c r="D71" s="20" t="s">
        <v>1472</v>
      </c>
      <c r="E71" s="344">
        <v>1</v>
      </c>
      <c r="F71" s="129">
        <v>10</v>
      </c>
      <c r="G71" s="129"/>
      <c r="H71" s="130"/>
      <c r="I71" s="432">
        <f>F71*C71*E71</f>
        <v>10</v>
      </c>
      <c r="J71" s="133"/>
      <c r="K71" s="136"/>
    </row>
    <row r="72" spans="1:13" s="128" customFormat="1" ht="17.25" customHeight="1">
      <c r="A72" s="510"/>
      <c r="B72" s="20"/>
      <c r="C72" s="20"/>
      <c r="D72" s="20"/>
      <c r="E72" s="344"/>
      <c r="F72" s="129"/>
      <c r="G72" s="129"/>
      <c r="H72" s="130"/>
      <c r="I72" s="432" t="s">
        <v>472</v>
      </c>
      <c r="J72" s="488"/>
      <c r="K72" s="136"/>
    </row>
    <row r="73" spans="1:13" s="128" customFormat="1">
      <c r="A73" s="272"/>
      <c r="B73" s="2739"/>
      <c r="C73" s="2739"/>
      <c r="D73" s="2739"/>
      <c r="E73" s="2739"/>
      <c r="F73" s="2739"/>
      <c r="G73" s="2739"/>
      <c r="H73" s="2739"/>
      <c r="I73" s="432">
        <f>I71</f>
        <v>10</v>
      </c>
      <c r="J73" s="491">
        <f>'data-Elec '!H314</f>
        <v>687.05</v>
      </c>
      <c r="K73" s="403">
        <f>ROUND(J73*I73,)</f>
        <v>6871</v>
      </c>
    </row>
    <row r="74" spans="1:13" s="128" customFormat="1" ht="83.25" customHeight="1">
      <c r="A74" s="510">
        <v>20</v>
      </c>
      <c r="B74" s="2740" t="s">
        <v>1175</v>
      </c>
      <c r="C74" s="2741"/>
      <c r="D74" s="2741"/>
      <c r="E74" s="2741"/>
      <c r="F74" s="2741"/>
      <c r="G74" s="2741"/>
      <c r="H74" s="2741"/>
      <c r="I74" s="2741"/>
      <c r="J74" s="488"/>
      <c r="K74" s="136"/>
    </row>
    <row r="75" spans="1:13" s="128" customFormat="1" ht="17.25" customHeight="1">
      <c r="A75" s="201"/>
      <c r="B75" s="20" t="s">
        <v>451</v>
      </c>
      <c r="C75" s="20">
        <v>1</v>
      </c>
      <c r="D75" s="20" t="s">
        <v>1472</v>
      </c>
      <c r="E75" s="344">
        <v>1</v>
      </c>
      <c r="F75" s="129">
        <v>8</v>
      </c>
      <c r="G75" s="129"/>
      <c r="H75" s="130"/>
      <c r="I75" s="432">
        <f>F75</f>
        <v>8</v>
      </c>
      <c r="J75" s="133">
        <f>'data-Elec '!H421</f>
        <v>2566.6</v>
      </c>
      <c r="K75" s="403">
        <f>ROUND(J75*I75,)</f>
        <v>20533</v>
      </c>
    </row>
    <row r="76" spans="1:13" s="128" customFormat="1" ht="17.25" customHeight="1">
      <c r="A76" s="510"/>
      <c r="B76" s="20"/>
      <c r="C76" s="20"/>
      <c r="D76" s="20"/>
      <c r="E76" s="344"/>
      <c r="F76" s="129"/>
      <c r="G76" s="129"/>
      <c r="H76" s="130"/>
      <c r="I76" s="432" t="s">
        <v>472</v>
      </c>
      <c r="J76" s="488"/>
      <c r="K76" s="136"/>
    </row>
    <row r="77" spans="1:13" s="128" customFormat="1" ht="125.2" customHeight="1">
      <c r="A77" s="510">
        <v>21</v>
      </c>
      <c r="B77" s="2740" t="s">
        <v>1064</v>
      </c>
      <c r="C77" s="2741"/>
      <c r="D77" s="2741"/>
      <c r="E77" s="2741"/>
      <c r="F77" s="2741"/>
      <c r="G77" s="2741"/>
      <c r="H77" s="2741"/>
      <c r="I77" s="2741"/>
      <c r="J77" s="488"/>
      <c r="K77" s="136"/>
    </row>
    <row r="78" spans="1:13" s="128" customFormat="1" ht="17.25" customHeight="1">
      <c r="A78" s="201"/>
      <c r="B78" s="20" t="s">
        <v>167</v>
      </c>
      <c r="C78" s="20">
        <v>1</v>
      </c>
      <c r="D78" s="20" t="s">
        <v>1472</v>
      </c>
      <c r="E78" s="344">
        <v>1</v>
      </c>
      <c r="F78" s="129">
        <v>1</v>
      </c>
      <c r="G78" s="129"/>
      <c r="H78" s="130"/>
      <c r="I78" s="432">
        <f>F78</f>
        <v>1</v>
      </c>
      <c r="J78" s="133">
        <v>200000</v>
      </c>
      <c r="K78" s="403">
        <f>ROUND(J78*I78,)</f>
        <v>200000</v>
      </c>
    </row>
    <row r="79" spans="1:13" s="128" customFormat="1" ht="14.4">
      <c r="A79" s="510">
        <v>21</v>
      </c>
      <c r="B79" s="2740" t="s">
        <v>168</v>
      </c>
      <c r="C79" s="2741"/>
      <c r="D79" s="2741"/>
      <c r="E79" s="2741"/>
      <c r="F79" s="2741"/>
      <c r="G79" s="2741"/>
      <c r="H79" s="2741"/>
      <c r="I79" s="2741"/>
      <c r="J79" s="488"/>
      <c r="K79" s="136"/>
    </row>
    <row r="80" spans="1:13" s="128" customFormat="1" ht="17.25" customHeight="1">
      <c r="A80" s="201"/>
      <c r="B80" s="20"/>
      <c r="C80" s="20"/>
      <c r="D80" s="20"/>
      <c r="E80" s="344"/>
      <c r="F80" s="129"/>
      <c r="G80" s="129"/>
      <c r="H80" s="130"/>
      <c r="I80" s="432"/>
      <c r="J80" s="133"/>
      <c r="K80" s="403">
        <v>70078</v>
      </c>
      <c r="M80" s="479">
        <f>K82-1100000</f>
        <v>288979</v>
      </c>
    </row>
    <row r="81" spans="1:16" s="128" customFormat="1" ht="17.25" customHeight="1">
      <c r="A81" s="582"/>
      <c r="B81" s="20"/>
      <c r="C81" s="20"/>
      <c r="D81" s="20"/>
      <c r="E81" s="344"/>
      <c r="F81" s="129"/>
      <c r="G81" s="129"/>
      <c r="H81" s="130"/>
      <c r="I81" s="432"/>
      <c r="J81" s="133"/>
      <c r="K81" s="504"/>
      <c r="M81" s="479"/>
    </row>
    <row r="82" spans="1:16" s="585" customFormat="1" ht="17.25" customHeight="1">
      <c r="A82" s="591"/>
      <c r="B82" s="426"/>
      <c r="C82" s="426"/>
      <c r="D82" s="426"/>
      <c r="E82" s="87"/>
      <c r="F82" s="592"/>
      <c r="G82" s="592"/>
      <c r="H82" s="593"/>
      <c r="I82" s="476"/>
      <c r="J82" s="474" t="s">
        <v>229</v>
      </c>
      <c r="K82" s="594">
        <f>SUM(K6:K80)</f>
        <v>1388979</v>
      </c>
    </row>
    <row r="83" spans="1:16" s="128" customFormat="1">
      <c r="A83" s="510"/>
      <c r="B83" s="2753"/>
      <c r="C83" s="2753"/>
      <c r="D83" s="2753"/>
      <c r="E83" s="2753"/>
      <c r="F83" s="2753"/>
      <c r="G83" s="2753"/>
      <c r="H83" s="2753"/>
      <c r="I83" s="476"/>
      <c r="J83" s="492"/>
      <c r="K83" s="277"/>
      <c r="L83" s="137"/>
      <c r="M83" s="137"/>
      <c r="N83" s="137"/>
      <c r="O83" s="138"/>
      <c r="P83" s="137"/>
    </row>
    <row r="84" spans="1:16" s="128" customFormat="1">
      <c r="A84" s="510"/>
      <c r="B84" s="2753"/>
      <c r="C84" s="2753"/>
      <c r="D84" s="2753"/>
      <c r="E84" s="2753"/>
      <c r="F84" s="2753"/>
      <c r="G84" s="2753"/>
      <c r="H84" s="2753"/>
      <c r="I84" s="476"/>
      <c r="J84" s="492"/>
      <c r="K84" s="277"/>
      <c r="L84" s="137"/>
      <c r="M84" s="137"/>
      <c r="N84" s="137"/>
      <c r="O84" s="138"/>
      <c r="P84" s="137"/>
    </row>
    <row r="85" spans="1:16" s="293" customFormat="1" ht="11.1">
      <c r="A85" s="46"/>
      <c r="B85" s="495" t="str">
        <f>'Lead- Input sheet '!B44</f>
        <v xml:space="preserve">  Assistant Exc.Engineer  </v>
      </c>
      <c r="C85" s="293">
        <f>'Lead- Input sheet '!F44</f>
        <v>0</v>
      </c>
      <c r="E85" s="495"/>
      <c r="G85" s="293" t="str">
        <f>'Lead- Input sheet '!H44</f>
        <v>Deputy Executive Engineer</v>
      </c>
      <c r="J85" s="293" t="s">
        <v>162</v>
      </c>
    </row>
    <row r="86" spans="1:16" s="293" customFormat="1" ht="11.1">
      <c r="A86" s="46"/>
      <c r="B86" s="495" t="str">
        <f>'Lead- Input sheet '!B45</f>
        <v>PR MPP Kalwakurthy</v>
      </c>
      <c r="C86" s="293">
        <f>'Lead- Input sheet '!F45</f>
        <v>0</v>
      </c>
      <c r="E86" s="495"/>
      <c r="G86" s="293" t="e">
        <f>'Lead- Input sheet '!#REF!</f>
        <v>#REF!</v>
      </c>
      <c r="J86" s="293" t="s">
        <v>163</v>
      </c>
    </row>
    <row r="87" spans="1:16" s="150" customFormat="1" ht="21.75" customHeight="1">
      <c r="A87" s="512"/>
      <c r="B87" s="2754"/>
      <c r="C87" s="2754"/>
      <c r="D87" s="2754"/>
      <c r="E87" s="2754"/>
      <c r="F87" s="2754"/>
      <c r="G87" s="2754"/>
      <c r="H87" s="2754"/>
      <c r="I87" s="477"/>
      <c r="J87" s="493"/>
      <c r="K87" s="279"/>
      <c r="L87" s="148"/>
      <c r="M87" s="148"/>
      <c r="N87" s="148"/>
      <c r="O87" s="149"/>
      <c r="P87" s="148"/>
    </row>
    <row r="88" spans="1:16">
      <c r="A88" s="14"/>
      <c r="B88" s="57"/>
      <c r="J88" s="494"/>
      <c r="K88" s="404"/>
    </row>
    <row r="89" spans="1:16">
      <c r="A89" s="14"/>
      <c r="J89" s="494"/>
      <c r="K89" s="404"/>
    </row>
    <row r="90" spans="1:16" s="320" customFormat="1" ht="11.7">
      <c r="A90" s="390"/>
      <c r="B90" s="390" t="str">
        <f>'Lead- Input sheet '!B44</f>
        <v xml:space="preserve">  Assistant Exc.Engineer  </v>
      </c>
      <c r="E90" s="398"/>
      <c r="G90" s="390">
        <f>'Lead- Input sheet '!F44</f>
        <v>0</v>
      </c>
      <c r="I90" s="478"/>
      <c r="J90" s="478"/>
      <c r="K90" s="405"/>
    </row>
    <row r="91" spans="1:16" s="320" customFormat="1" ht="11.7">
      <c r="A91" s="390"/>
      <c r="B91" s="390" t="str">
        <f>'Lead- Input sheet '!B45</f>
        <v>PR MPP Kalwakurthy</v>
      </c>
      <c r="E91" s="398"/>
      <c r="G91" s="390">
        <f>'Lead- Input sheet '!F45</f>
        <v>0</v>
      </c>
      <c r="I91" s="478"/>
      <c r="J91" s="478"/>
      <c r="K91" s="405"/>
    </row>
    <row r="92" spans="1:16">
      <c r="A92" s="14"/>
      <c r="J92" s="494"/>
      <c r="K92" s="404"/>
    </row>
    <row r="93" spans="1:16">
      <c r="K93" s="404"/>
    </row>
    <row r="94" spans="1:16">
      <c r="K94" s="404"/>
    </row>
    <row r="95" spans="1:16">
      <c r="K95" s="404"/>
    </row>
    <row r="96" spans="1:16">
      <c r="K96" s="404"/>
    </row>
    <row r="97" spans="11:11">
      <c r="K97" s="404"/>
    </row>
    <row r="98" spans="11:11">
      <c r="K98" s="404"/>
    </row>
    <row r="99" spans="11:11">
      <c r="K99" s="404"/>
    </row>
    <row r="100" spans="11:11">
      <c r="K100" s="404"/>
    </row>
    <row r="101" spans="11:11">
      <c r="K101" s="404"/>
    </row>
    <row r="102" spans="11:11">
      <c r="K102" s="404"/>
    </row>
    <row r="103" spans="11:11">
      <c r="K103" s="404"/>
    </row>
    <row r="104" spans="11:11">
      <c r="K104" s="404"/>
    </row>
    <row r="105" spans="11:11">
      <c r="K105" s="404"/>
    </row>
    <row r="106" spans="11:11">
      <c r="K106" s="404"/>
    </row>
    <row r="107" spans="11:11">
      <c r="K107" s="404"/>
    </row>
    <row r="108" spans="11:11">
      <c r="K108" s="404"/>
    </row>
    <row r="109" spans="11:11">
      <c r="K109" s="404"/>
    </row>
    <row r="110" spans="11:11">
      <c r="K110" s="404"/>
    </row>
    <row r="111" spans="11:11">
      <c r="K111" s="404"/>
    </row>
    <row r="112" spans="11:11">
      <c r="K112" s="404"/>
    </row>
    <row r="113" spans="11:11">
      <c r="K113" s="404"/>
    </row>
    <row r="114" spans="11:11">
      <c r="K114" s="404"/>
    </row>
    <row r="115" spans="11:11">
      <c r="K115" s="404"/>
    </row>
    <row r="116" spans="11:11">
      <c r="K116" s="404"/>
    </row>
    <row r="117" spans="11:11">
      <c r="K117" s="404"/>
    </row>
    <row r="118" spans="11:11">
      <c r="K118" s="404"/>
    </row>
    <row r="119" spans="11:11">
      <c r="K119" s="404"/>
    </row>
    <row r="120" spans="11:11">
      <c r="K120" s="404"/>
    </row>
    <row r="121" spans="11:11">
      <c r="K121" s="404"/>
    </row>
    <row r="122" spans="11:11">
      <c r="K122" s="404"/>
    </row>
    <row r="123" spans="11:11">
      <c r="K123" s="404"/>
    </row>
    <row r="124" spans="11:11">
      <c r="K124" s="404"/>
    </row>
    <row r="125" spans="11:11">
      <c r="K125" s="404"/>
    </row>
    <row r="126" spans="11:11">
      <c r="K126" s="404"/>
    </row>
    <row r="127" spans="11:11">
      <c r="K127" s="404"/>
    </row>
    <row r="128" spans="11:11">
      <c r="K128" s="404"/>
    </row>
    <row r="129" spans="11:11">
      <c r="K129" s="404"/>
    </row>
    <row r="130" spans="11:11">
      <c r="K130" s="404"/>
    </row>
    <row r="131" spans="11:11">
      <c r="K131" s="404"/>
    </row>
    <row r="132" spans="11:11">
      <c r="K132" s="404"/>
    </row>
    <row r="133" spans="11:11">
      <c r="K133" s="404"/>
    </row>
    <row r="134" spans="11:11">
      <c r="K134" s="404"/>
    </row>
    <row r="135" spans="11:11">
      <c r="K135" s="404"/>
    </row>
    <row r="136" spans="11:11">
      <c r="K136" s="404"/>
    </row>
    <row r="137" spans="11:11">
      <c r="K137" s="404"/>
    </row>
    <row r="138" spans="11:11">
      <c r="K138" s="404"/>
    </row>
    <row r="139" spans="11:11">
      <c r="K139" s="404"/>
    </row>
    <row r="140" spans="11:11">
      <c r="K140" s="404"/>
    </row>
    <row r="141" spans="11:11">
      <c r="K141" s="404"/>
    </row>
    <row r="142" spans="11:11">
      <c r="K142" s="404"/>
    </row>
    <row r="143" spans="11:11">
      <c r="K143" s="404"/>
    </row>
    <row r="144" spans="11:11">
      <c r="K144" s="404"/>
    </row>
    <row r="145" spans="11:11">
      <c r="K145" s="404"/>
    </row>
    <row r="146" spans="11:11">
      <c r="K146" s="404"/>
    </row>
    <row r="147" spans="11:11">
      <c r="K147" s="404"/>
    </row>
    <row r="148" spans="11:11">
      <c r="K148" s="404"/>
    </row>
    <row r="149" spans="11:11">
      <c r="K149" s="404"/>
    </row>
    <row r="150" spans="11:11">
      <c r="K150" s="404"/>
    </row>
    <row r="151" spans="11:11">
      <c r="K151" s="404"/>
    </row>
    <row r="152" spans="11:11">
      <c r="K152" s="404"/>
    </row>
  </sheetData>
  <mergeCells count="50">
    <mergeCell ref="B83:H83"/>
    <mergeCell ref="B87:H87"/>
    <mergeCell ref="B74:I74"/>
    <mergeCell ref="B84:H84"/>
    <mergeCell ref="B50:H50"/>
    <mergeCell ref="B79:I79"/>
    <mergeCell ref="B77:I77"/>
    <mergeCell ref="B73:H73"/>
    <mergeCell ref="B65:H65"/>
    <mergeCell ref="B66:I66"/>
    <mergeCell ref="B69:H69"/>
    <mergeCell ref="B70:I70"/>
    <mergeCell ref="B62:I62"/>
    <mergeCell ref="A2:K2"/>
    <mergeCell ref="A1:K1"/>
    <mergeCell ref="B10:H10"/>
    <mergeCell ref="B22:H22"/>
    <mergeCell ref="F3:H3"/>
    <mergeCell ref="B7:I7"/>
    <mergeCell ref="K3:K4"/>
    <mergeCell ref="J3:J4"/>
    <mergeCell ref="A3:A4"/>
    <mergeCell ref="B31:I31"/>
    <mergeCell ref="B3:B4"/>
    <mergeCell ref="B6:I6"/>
    <mergeCell ref="C3:E4"/>
    <mergeCell ref="B14:H14"/>
    <mergeCell ref="B11:I11"/>
    <mergeCell ref="I3:I4"/>
    <mergeCell ref="B26:H26"/>
    <mergeCell ref="B15:I15"/>
    <mergeCell ref="C5:E5"/>
    <mergeCell ref="B23:I23"/>
    <mergeCell ref="B18:H18"/>
    <mergeCell ref="B42:H42"/>
    <mergeCell ref="B19:I19"/>
    <mergeCell ref="B47:I47"/>
    <mergeCell ref="B58:I58"/>
    <mergeCell ref="B61:H61"/>
    <mergeCell ref="B54:H54"/>
    <mergeCell ref="B51:I51"/>
    <mergeCell ref="B39:I39"/>
    <mergeCell ref="B38:H38"/>
    <mergeCell ref="B33:I33"/>
    <mergeCell ref="B46:H46"/>
    <mergeCell ref="B55:I55"/>
    <mergeCell ref="B43:I43"/>
    <mergeCell ref="B35:I35"/>
    <mergeCell ref="B27:I27"/>
    <mergeCell ref="B29:I29"/>
  </mergeCells>
  <printOptions gridLines="1"/>
  <pageMargins left="0.75" right="0.15" top="0.26" bottom="0.5" header="0.5" footer="0.5"/>
  <pageSetup paperSize="9" scale="92" orientation="portrait" r:id="rId1"/>
  <headerFooter alignWithMargins="0">
    <oddFooter>Page &amp;P&amp;R&amp;A</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indexed="29"/>
  </sheetPr>
  <dimension ref="A1:IV147"/>
  <sheetViews>
    <sheetView zoomScale="85" zoomScaleSheetLayoutView="85" workbookViewId="0">
      <pane ySplit="5" topLeftCell="A6" activePane="bottomLeft" state="frozen"/>
      <selection pane="bottomLeft" sqref="A1:K1"/>
    </sheetView>
  </sheetViews>
  <sheetFormatPr defaultRowHeight="12.9"/>
  <cols>
    <col min="1" max="1" width="3.44140625" style="513" customWidth="1"/>
    <col min="2" max="2" width="33.33203125" style="3" customWidth="1"/>
    <col min="3" max="3" width="4.44140625" style="152" customWidth="1"/>
    <col min="4" max="4" width="2" style="3" customWidth="1"/>
    <col min="5" max="5" width="4.5546875" style="346" customWidth="1"/>
    <col min="6" max="6" width="9.33203125" style="153" customWidth="1"/>
    <col min="7" max="7" width="6.6640625" style="153" customWidth="1"/>
    <col min="8" max="8" width="6.6640625" style="123" customWidth="1"/>
    <col min="9" max="9" width="8.5546875" style="404" customWidth="1"/>
    <col min="10" max="10" width="8.109375" style="404" customWidth="1"/>
    <col min="11" max="11" width="15.5546875" style="123" customWidth="1"/>
    <col min="12" max="256" width="9.109375" style="3"/>
  </cols>
  <sheetData>
    <row r="1" spans="1:16">
      <c r="A1" s="2747" t="s">
        <v>165</v>
      </c>
      <c r="B1" s="2748"/>
      <c r="C1" s="2748"/>
      <c r="D1" s="2748"/>
      <c r="E1" s="2748"/>
      <c r="F1" s="2748"/>
      <c r="G1" s="2748"/>
      <c r="H1" s="2748"/>
      <c r="I1" s="2748"/>
      <c r="J1" s="2748"/>
      <c r="K1" s="2748"/>
    </row>
    <row r="2" spans="1:16" ht="36" customHeight="1">
      <c r="A2" s="2760" t="str">
        <f>'Lead- Input sheet '!A2</f>
        <v xml:space="preserve"> Construction of  Anganwadi Building at Jeedipally Thanda (V) of Kalwakurthy (M) of Nagarkurnool District </v>
      </c>
      <c r="B2" s="2760"/>
      <c r="C2" s="2760"/>
      <c r="D2" s="2760"/>
      <c r="E2" s="2760"/>
      <c r="F2" s="2760"/>
      <c r="G2" s="2760"/>
      <c r="H2" s="2760"/>
      <c r="I2" s="2760"/>
      <c r="J2" s="2760"/>
      <c r="K2" s="2760"/>
    </row>
    <row r="3" spans="1:16" ht="30" customHeight="1">
      <c r="A3" s="2756" t="s">
        <v>1200</v>
      </c>
      <c r="B3" s="2756" t="s">
        <v>1201</v>
      </c>
      <c r="C3" s="2756" t="s">
        <v>527</v>
      </c>
      <c r="D3" s="2756"/>
      <c r="E3" s="2756"/>
      <c r="F3" s="2762" t="s">
        <v>1202</v>
      </c>
      <c r="G3" s="2762"/>
      <c r="H3" s="2762"/>
      <c r="I3" s="2755" t="s">
        <v>786</v>
      </c>
      <c r="J3" s="2755" t="s">
        <v>1203</v>
      </c>
      <c r="K3" s="2750" t="s">
        <v>1115</v>
      </c>
    </row>
    <row r="4" spans="1:16" ht="12.75" customHeight="1">
      <c r="A4" s="2756"/>
      <c r="B4" s="2756"/>
      <c r="C4" s="2756"/>
      <c r="D4" s="2756"/>
      <c r="E4" s="2756"/>
      <c r="F4" s="336" t="s">
        <v>1417</v>
      </c>
      <c r="G4" s="336" t="s">
        <v>859</v>
      </c>
      <c r="H4" s="336" t="s">
        <v>785</v>
      </c>
      <c r="I4" s="2755"/>
      <c r="J4" s="2755"/>
      <c r="K4" s="2750"/>
    </row>
    <row r="5" spans="1:16" s="72" customFormat="1" ht="10.5" hidden="1" customHeight="1">
      <c r="A5" s="68">
        <v>1</v>
      </c>
      <c r="B5" s="68">
        <f>A5+1</f>
        <v>2</v>
      </c>
      <c r="C5" s="2745">
        <f>B5+1</f>
        <v>3</v>
      </c>
      <c r="D5" s="2745"/>
      <c r="E5" s="2745"/>
      <c r="F5" s="70">
        <f>C5+1</f>
        <v>4</v>
      </c>
      <c r="G5" s="70">
        <f>F5+1</f>
        <v>5</v>
      </c>
      <c r="H5" s="70">
        <f>G5+1</f>
        <v>6</v>
      </c>
      <c r="I5" s="475">
        <f>H5+1</f>
        <v>7</v>
      </c>
      <c r="J5" s="475">
        <f>I5+1</f>
        <v>8</v>
      </c>
      <c r="K5" s="70"/>
    </row>
    <row r="6" spans="1:16" s="128" customFormat="1" ht="27.75" customHeight="1">
      <c r="A6" s="510"/>
      <c r="B6" s="2761" t="s">
        <v>1163</v>
      </c>
      <c r="C6" s="2761"/>
      <c r="D6" s="2761"/>
      <c r="E6" s="2761"/>
      <c r="F6" s="2761"/>
      <c r="G6" s="2761"/>
      <c r="H6" s="2761"/>
      <c r="I6" s="432"/>
      <c r="J6" s="289"/>
      <c r="K6" s="182"/>
    </row>
    <row r="7" spans="1:16" s="128" customFormat="1" ht="57.75" customHeight="1">
      <c r="A7" s="510">
        <v>1</v>
      </c>
      <c r="B7" s="2740" t="s">
        <v>211</v>
      </c>
      <c r="C7" s="2741"/>
      <c r="D7" s="2741"/>
      <c r="E7" s="2741"/>
      <c r="F7" s="2741"/>
      <c r="G7" s="2741"/>
      <c r="H7" s="2741"/>
      <c r="I7" s="2741"/>
      <c r="J7" s="289"/>
      <c r="K7" s="182"/>
      <c r="L7" s="137"/>
      <c r="M7" s="137"/>
      <c r="N7" s="137"/>
      <c r="O7" s="138"/>
      <c r="P7" s="137"/>
    </row>
    <row r="8" spans="1:16" s="128" customFormat="1" ht="24.9" customHeight="1">
      <c r="A8" s="510"/>
      <c r="B8" s="22" t="s">
        <v>1065</v>
      </c>
      <c r="C8" s="135">
        <v>2</v>
      </c>
      <c r="D8" s="22" t="s">
        <v>1472</v>
      </c>
      <c r="E8" s="135">
        <v>5</v>
      </c>
      <c r="F8" s="135"/>
      <c r="G8" s="135"/>
      <c r="H8" s="135"/>
      <c r="I8" s="432">
        <v>10</v>
      </c>
      <c r="J8" s="289"/>
      <c r="K8" s="182"/>
      <c r="L8" s="137"/>
      <c r="M8" s="137"/>
      <c r="N8" s="137"/>
      <c r="O8" s="138"/>
      <c r="P8" s="137"/>
    </row>
    <row r="9" spans="1:16" s="128" customFormat="1" ht="24.9" customHeight="1">
      <c r="A9" s="20"/>
      <c r="B9" s="2740"/>
      <c r="C9" s="2741"/>
      <c r="D9" s="2741"/>
      <c r="E9" s="2741"/>
      <c r="F9" s="2741"/>
      <c r="G9" s="2741"/>
      <c r="H9" s="2741"/>
      <c r="I9" s="432">
        <f>I8</f>
        <v>10</v>
      </c>
      <c r="J9" s="577">
        <f>' DATA -Sanitary&amp;water supply'!G9</f>
        <v>3947</v>
      </c>
      <c r="K9" s="504">
        <f>ROUND(J9*I9,)</f>
        <v>39470</v>
      </c>
      <c r="L9" s="137"/>
      <c r="M9" s="137"/>
      <c r="N9" s="137"/>
      <c r="O9" s="138"/>
      <c r="P9" s="137"/>
    </row>
    <row r="10" spans="1:16" s="128" customFormat="1" ht="24.9" customHeight="1">
      <c r="A10" s="578"/>
      <c r="B10" s="63"/>
      <c r="C10" s="25"/>
      <c r="D10" s="25"/>
      <c r="E10" s="25"/>
      <c r="F10" s="25"/>
      <c r="G10" s="25"/>
      <c r="H10" s="25"/>
      <c r="I10" s="432" t="s">
        <v>472</v>
      </c>
      <c r="J10" s="577" t="s">
        <v>166</v>
      </c>
      <c r="K10" s="504"/>
      <c r="L10" s="137"/>
      <c r="M10" s="137"/>
      <c r="N10" s="137"/>
      <c r="O10" s="138"/>
      <c r="P10" s="137"/>
    </row>
    <row r="11" spans="1:16" s="128" customFormat="1" ht="37.5" customHeight="1">
      <c r="A11" s="510">
        <v>2</v>
      </c>
      <c r="B11" s="2740" t="s">
        <v>1066</v>
      </c>
      <c r="C11" s="2741"/>
      <c r="D11" s="2741"/>
      <c r="E11" s="2741"/>
      <c r="F11" s="2741"/>
      <c r="G11" s="2741"/>
      <c r="H11" s="2741"/>
      <c r="I11" s="2741"/>
      <c r="J11" s="289"/>
      <c r="K11" s="182"/>
      <c r="L11" s="137"/>
      <c r="M11" s="137"/>
      <c r="N11" s="137"/>
      <c r="O11" s="138"/>
      <c r="P11" s="137"/>
    </row>
    <row r="12" spans="1:16" s="128" customFormat="1" ht="24.9" customHeight="1">
      <c r="A12" s="510"/>
      <c r="B12" s="22" t="s">
        <v>1067</v>
      </c>
      <c r="C12" s="135">
        <v>2</v>
      </c>
      <c r="D12" s="22" t="s">
        <v>1472</v>
      </c>
      <c r="E12" s="135">
        <v>1</v>
      </c>
      <c r="F12" s="135"/>
      <c r="G12" s="135"/>
      <c r="H12" s="135"/>
      <c r="I12" s="432">
        <f>E12*C12</f>
        <v>2</v>
      </c>
      <c r="J12" s="289"/>
      <c r="K12" s="182"/>
      <c r="L12" s="137"/>
      <c r="M12" s="137"/>
      <c r="N12" s="137"/>
      <c r="O12" s="138"/>
      <c r="P12" s="137"/>
    </row>
    <row r="13" spans="1:16" s="128" customFormat="1" ht="24.9" customHeight="1">
      <c r="A13" s="20"/>
      <c r="B13" s="2740"/>
      <c r="C13" s="2741"/>
      <c r="D13" s="2741"/>
      <c r="E13" s="2741"/>
      <c r="F13" s="2741"/>
      <c r="G13" s="2741"/>
      <c r="H13" s="2741"/>
      <c r="I13" s="432">
        <f>I12</f>
        <v>2</v>
      </c>
      <c r="J13" s="577">
        <f>' DATA -Sanitary&amp;water supply'!G15</f>
        <v>3842</v>
      </c>
      <c r="K13" s="504">
        <f>ROUND(J13*I13,)</f>
        <v>7684</v>
      </c>
      <c r="L13" s="137"/>
      <c r="M13" s="137"/>
      <c r="N13" s="137"/>
      <c r="O13" s="138"/>
      <c r="P13" s="137"/>
    </row>
    <row r="14" spans="1:16" s="128" customFormat="1" ht="24.9" customHeight="1">
      <c r="A14" s="578"/>
      <c r="B14" s="63"/>
      <c r="C14" s="25"/>
      <c r="D14" s="25"/>
      <c r="E14" s="25"/>
      <c r="F14" s="25"/>
      <c r="G14" s="25"/>
      <c r="H14" s="25"/>
      <c r="I14" s="432" t="s">
        <v>472</v>
      </c>
      <c r="J14" s="577" t="s">
        <v>166</v>
      </c>
      <c r="K14" s="504"/>
      <c r="L14" s="137"/>
      <c r="M14" s="137"/>
      <c r="N14" s="137"/>
      <c r="O14" s="138"/>
      <c r="P14" s="137"/>
    </row>
    <row r="15" spans="1:16" s="128" customFormat="1" ht="35.25" customHeight="1">
      <c r="A15" s="510">
        <v>3</v>
      </c>
      <c r="B15" s="2740" t="s">
        <v>212</v>
      </c>
      <c r="C15" s="2741"/>
      <c r="D15" s="2741"/>
      <c r="E15" s="2741"/>
      <c r="F15" s="2741"/>
      <c r="G15" s="2741"/>
      <c r="H15" s="2741"/>
      <c r="I15" s="432"/>
      <c r="J15" s="289"/>
      <c r="K15" s="215"/>
      <c r="L15" s="138"/>
      <c r="M15" s="138"/>
      <c r="N15" s="138"/>
      <c r="O15" s="138"/>
      <c r="P15" s="137"/>
    </row>
    <row r="16" spans="1:16" s="128" customFormat="1" ht="24.9" customHeight="1">
      <c r="A16" s="20"/>
      <c r="B16" s="2739"/>
      <c r="C16" s="2739"/>
      <c r="D16" s="2739"/>
      <c r="E16" s="2739"/>
      <c r="F16" s="2739"/>
      <c r="G16" s="2739"/>
      <c r="H16" s="2739"/>
      <c r="I16" s="432">
        <v>4</v>
      </c>
      <c r="J16" s="577" t="e">
        <f>' DATA -Sanitary&amp;water supply'!#REF!</f>
        <v>#REF!</v>
      </c>
      <c r="K16" s="504" t="e">
        <f>ROUND(J16*I16,)</f>
        <v>#REF!</v>
      </c>
      <c r="L16" s="138"/>
      <c r="M16" s="138"/>
      <c r="N16" s="138"/>
      <c r="O16" s="138"/>
      <c r="P16" s="137"/>
    </row>
    <row r="17" spans="1:16" s="128" customFormat="1" ht="24.9" customHeight="1">
      <c r="A17" s="578"/>
      <c r="B17" s="63"/>
      <c r="C17" s="25"/>
      <c r="D17" s="25"/>
      <c r="E17" s="25"/>
      <c r="F17" s="25"/>
      <c r="G17" s="25"/>
      <c r="H17" s="25"/>
      <c r="I17" s="432" t="s">
        <v>472</v>
      </c>
      <c r="J17" s="577" t="s">
        <v>166</v>
      </c>
      <c r="K17" s="504"/>
      <c r="L17" s="137"/>
      <c r="M17" s="137"/>
      <c r="N17" s="137"/>
      <c r="O17" s="138"/>
      <c r="P17" s="137"/>
    </row>
    <row r="18" spans="1:16" s="128" customFormat="1" ht="39.9" customHeight="1">
      <c r="A18" s="510">
        <v>4</v>
      </c>
      <c r="B18" s="2740" t="s">
        <v>1068</v>
      </c>
      <c r="C18" s="2741"/>
      <c r="D18" s="2741"/>
      <c r="E18" s="2741"/>
      <c r="F18" s="2741"/>
      <c r="G18" s="2741"/>
      <c r="H18" s="2741"/>
      <c r="I18" s="432"/>
      <c r="J18" s="289"/>
      <c r="K18" s="215"/>
      <c r="L18" s="138"/>
      <c r="M18" s="138"/>
      <c r="N18" s="138"/>
      <c r="O18" s="138"/>
      <c r="P18" s="137"/>
    </row>
    <row r="19" spans="1:16" s="128" customFormat="1" ht="24.9" customHeight="1">
      <c r="A19" s="20"/>
      <c r="B19" s="341" t="s">
        <v>1069</v>
      </c>
      <c r="C19" s="79"/>
      <c r="D19" s="79"/>
      <c r="E19" s="351"/>
      <c r="F19" s="79"/>
      <c r="G19" s="79"/>
      <c r="H19" s="79"/>
      <c r="I19" s="432">
        <v>150</v>
      </c>
      <c r="J19" s="577">
        <f>' DATA -Sanitary&amp;water supply'!G130</f>
        <v>249</v>
      </c>
      <c r="K19" s="504">
        <f>ROUND(J19*I19,)</f>
        <v>37350</v>
      </c>
      <c r="L19" s="138"/>
      <c r="M19" s="138"/>
      <c r="N19" s="138"/>
      <c r="O19" s="138"/>
      <c r="P19" s="137"/>
    </row>
    <row r="20" spans="1:16" s="128" customFormat="1" ht="24.9" customHeight="1">
      <c r="A20" s="20"/>
      <c r="B20" s="341" t="s">
        <v>1070</v>
      </c>
      <c r="C20" s="79"/>
      <c r="D20" s="79"/>
      <c r="E20" s="351"/>
      <c r="F20" s="79"/>
      <c r="G20" s="79"/>
      <c r="H20" s="79"/>
      <c r="I20" s="432">
        <v>150</v>
      </c>
      <c r="J20" s="577">
        <f>' DATA -Sanitary&amp;water supply'!G133</f>
        <v>326</v>
      </c>
      <c r="K20" s="504">
        <f>ROUND(J20*I20,)</f>
        <v>48900</v>
      </c>
      <c r="L20" s="138"/>
      <c r="M20" s="138"/>
      <c r="N20" s="138"/>
      <c r="O20" s="138"/>
      <c r="P20" s="137"/>
    </row>
    <row r="21" spans="1:16" s="128" customFormat="1" ht="24.9" customHeight="1">
      <c r="A21" s="20"/>
      <c r="B21" s="341" t="s">
        <v>1073</v>
      </c>
      <c r="C21" s="79"/>
      <c r="D21" s="79"/>
      <c r="E21" s="351"/>
      <c r="F21" s="79"/>
      <c r="G21" s="79"/>
      <c r="H21" s="79"/>
      <c r="I21" s="432">
        <v>200</v>
      </c>
      <c r="J21" s="577">
        <f>' DATA -Sanitary&amp;water supply'!G136</f>
        <v>455</v>
      </c>
      <c r="K21" s="504">
        <f>ROUND(J21*I21,)</f>
        <v>91000</v>
      </c>
      <c r="L21" s="138"/>
      <c r="M21" s="138"/>
      <c r="N21" s="138"/>
      <c r="O21" s="138"/>
      <c r="P21" s="137"/>
    </row>
    <row r="22" spans="1:16" s="128" customFormat="1" ht="24.9" customHeight="1">
      <c r="A22" s="20"/>
      <c r="B22" s="341" t="s">
        <v>1071</v>
      </c>
      <c r="C22" s="79"/>
      <c r="D22" s="79"/>
      <c r="E22" s="351"/>
      <c r="F22" s="79"/>
      <c r="G22" s="79"/>
      <c r="H22" s="79"/>
      <c r="I22" s="432">
        <v>190</v>
      </c>
      <c r="J22" s="577" t="e">
        <f>' DATA -Sanitary&amp;water supply'!#REF!</f>
        <v>#REF!</v>
      </c>
      <c r="K22" s="504" t="e">
        <f>ROUND(J22*I22,)</f>
        <v>#REF!</v>
      </c>
      <c r="L22" s="138"/>
      <c r="M22" s="138"/>
      <c r="N22" s="138"/>
      <c r="O22" s="138"/>
      <c r="P22" s="137"/>
    </row>
    <row r="23" spans="1:16" s="128" customFormat="1" ht="24.9" customHeight="1">
      <c r="A23" s="20"/>
      <c r="B23" s="341" t="s">
        <v>1072</v>
      </c>
      <c r="C23" s="79"/>
      <c r="D23" s="79"/>
      <c r="E23" s="351"/>
      <c r="F23" s="79"/>
      <c r="G23" s="79"/>
      <c r="H23" s="79"/>
      <c r="I23" s="432">
        <v>90</v>
      </c>
      <c r="J23" s="577" t="e">
        <f>' DATA -Sanitary&amp;water supply'!#REF!</f>
        <v>#REF!</v>
      </c>
      <c r="K23" s="504" t="e">
        <f>ROUND(J23*I23,)</f>
        <v>#REF!</v>
      </c>
      <c r="L23" s="138"/>
      <c r="M23" s="138"/>
      <c r="N23" s="138"/>
      <c r="O23" s="138"/>
      <c r="P23" s="137"/>
    </row>
    <row r="24" spans="1:16" s="128" customFormat="1" ht="24.9" customHeight="1">
      <c r="A24" s="510"/>
      <c r="B24" s="79"/>
      <c r="C24" s="79"/>
      <c r="D24" s="79"/>
      <c r="E24" s="351"/>
      <c r="F24" s="79"/>
      <c r="G24" s="79"/>
      <c r="H24" s="79"/>
      <c r="I24" s="432" t="s">
        <v>452</v>
      </c>
      <c r="J24" s="289" t="s">
        <v>453</v>
      </c>
      <c r="K24" s="215"/>
      <c r="L24" s="138"/>
      <c r="M24" s="138"/>
      <c r="N24" s="138"/>
      <c r="O24" s="138"/>
      <c r="P24" s="137"/>
    </row>
    <row r="25" spans="1:16" s="128" customFormat="1" ht="27.75" customHeight="1">
      <c r="A25" s="510">
        <v>5</v>
      </c>
      <c r="B25" s="2740" t="s">
        <v>1074</v>
      </c>
      <c r="C25" s="2741"/>
      <c r="D25" s="2741"/>
      <c r="E25" s="2741"/>
      <c r="F25" s="2741"/>
      <c r="G25" s="2741"/>
      <c r="H25" s="2741"/>
      <c r="I25" s="432"/>
      <c r="J25" s="289"/>
      <c r="K25" s="215"/>
      <c r="L25" s="138"/>
      <c r="M25" s="138"/>
      <c r="N25" s="138"/>
      <c r="O25" s="138"/>
      <c r="P25" s="137"/>
    </row>
    <row r="26" spans="1:16" s="128" customFormat="1" ht="24.9" customHeight="1">
      <c r="A26" s="20"/>
      <c r="B26" s="341" t="s">
        <v>1069</v>
      </c>
      <c r="C26" s="79"/>
      <c r="D26" s="79"/>
      <c r="E26" s="351"/>
      <c r="F26" s="79"/>
      <c r="G26" s="79"/>
      <c r="H26" s="79"/>
      <c r="I26" s="432">
        <v>8</v>
      </c>
      <c r="J26" s="577">
        <f>' DATA -Sanitary&amp;water supply'!G63</f>
        <v>942</v>
      </c>
      <c r="K26" s="504">
        <f>ROUND(J26*I26,)</f>
        <v>7536</v>
      </c>
      <c r="L26" s="138"/>
      <c r="M26" s="138"/>
      <c r="N26" s="138"/>
      <c r="O26" s="138"/>
      <c r="P26" s="137"/>
    </row>
    <row r="27" spans="1:16" s="128" customFormat="1" ht="24.9" customHeight="1">
      <c r="A27" s="20"/>
      <c r="B27" s="341" t="s">
        <v>1070</v>
      </c>
      <c r="C27" s="79"/>
      <c r="D27" s="79"/>
      <c r="E27" s="351"/>
      <c r="F27" s="79"/>
      <c r="G27" s="79"/>
      <c r="H27" s="79"/>
      <c r="I27" s="432">
        <v>4</v>
      </c>
      <c r="J27" s="577">
        <f>' DATA -Sanitary&amp;water supply'!G59</f>
        <v>700</v>
      </c>
      <c r="K27" s="504">
        <f>ROUND(J27*I27,)</f>
        <v>2800</v>
      </c>
      <c r="L27" s="138"/>
      <c r="M27" s="138"/>
      <c r="N27" s="138"/>
      <c r="O27" s="138"/>
      <c r="P27" s="137"/>
    </row>
    <row r="28" spans="1:16" s="128" customFormat="1" ht="24.9" customHeight="1">
      <c r="A28" s="20"/>
      <c r="B28" s="341" t="s">
        <v>1073</v>
      </c>
      <c r="C28" s="79"/>
      <c r="D28" s="79"/>
      <c r="E28" s="351"/>
      <c r="F28" s="79"/>
      <c r="G28" s="79"/>
      <c r="H28" s="79"/>
      <c r="I28" s="432">
        <v>4</v>
      </c>
      <c r="J28" s="577" t="e">
        <f>' DATA -Sanitary&amp;water supply'!#REF!</f>
        <v>#REF!</v>
      </c>
      <c r="K28" s="504" t="e">
        <f>ROUND(J28*I28,)</f>
        <v>#REF!</v>
      </c>
      <c r="L28" s="138"/>
      <c r="M28" s="138"/>
      <c r="N28" s="138"/>
      <c r="O28" s="138"/>
      <c r="P28" s="137"/>
    </row>
    <row r="29" spans="1:16" s="128" customFormat="1" ht="24.9" customHeight="1">
      <c r="A29" s="20"/>
      <c r="B29" s="341" t="s">
        <v>1071</v>
      </c>
      <c r="C29" s="79"/>
      <c r="D29" s="79"/>
      <c r="E29" s="351"/>
      <c r="F29" s="79"/>
      <c r="G29" s="79"/>
      <c r="H29" s="79"/>
      <c r="I29" s="432">
        <v>4</v>
      </c>
      <c r="J29" s="577" t="e">
        <f>' DATA -Sanitary&amp;water supply'!#REF!</f>
        <v>#REF!</v>
      </c>
      <c r="K29" s="504" t="e">
        <f>ROUND(J29*I29,)</f>
        <v>#REF!</v>
      </c>
      <c r="L29" s="138"/>
      <c r="M29" s="138"/>
      <c r="N29" s="138"/>
      <c r="O29" s="138"/>
      <c r="P29" s="137"/>
    </row>
    <row r="30" spans="1:16" s="128" customFormat="1" ht="24.9" customHeight="1">
      <c r="A30" s="20"/>
      <c r="B30" s="341" t="s">
        <v>1072</v>
      </c>
      <c r="C30" s="79"/>
      <c r="D30" s="79"/>
      <c r="E30" s="351"/>
      <c r="F30" s="79"/>
      <c r="G30" s="79"/>
      <c r="H30" s="79"/>
      <c r="I30" s="432">
        <v>4</v>
      </c>
      <c r="J30" s="577" t="e">
        <f>' DATA -Sanitary&amp;water supply'!#REF!</f>
        <v>#REF!</v>
      </c>
      <c r="K30" s="504" t="e">
        <f>ROUND(J30*I30,)</f>
        <v>#REF!</v>
      </c>
      <c r="L30" s="138"/>
      <c r="M30" s="138"/>
      <c r="N30" s="138"/>
      <c r="O30" s="138"/>
      <c r="P30" s="137"/>
    </row>
    <row r="31" spans="1:16" s="128" customFormat="1" ht="24.9" customHeight="1">
      <c r="A31" s="510"/>
      <c r="B31" s="79"/>
      <c r="C31" s="79"/>
      <c r="D31" s="79"/>
      <c r="E31" s="351"/>
      <c r="F31" s="79"/>
      <c r="G31" s="79"/>
      <c r="H31" s="79"/>
      <c r="I31" s="432" t="s">
        <v>454</v>
      </c>
      <c r="J31" s="289" t="s">
        <v>1075</v>
      </c>
      <c r="K31" s="215"/>
      <c r="L31" s="138"/>
      <c r="M31" s="138"/>
      <c r="N31" s="138"/>
      <c r="O31" s="138"/>
      <c r="P31" s="137"/>
    </row>
    <row r="32" spans="1:16" s="128" customFormat="1" ht="27.75" customHeight="1">
      <c r="A32" s="510">
        <v>6</v>
      </c>
      <c r="B32" s="2740" t="s">
        <v>1091</v>
      </c>
      <c r="C32" s="2741"/>
      <c r="D32" s="2741"/>
      <c r="E32" s="2741"/>
      <c r="F32" s="2741"/>
      <c r="G32" s="2741"/>
      <c r="H32" s="2741"/>
      <c r="I32" s="432"/>
      <c r="J32" s="289"/>
      <c r="K32" s="215"/>
      <c r="L32" s="137"/>
      <c r="M32" s="137"/>
      <c r="N32" s="137"/>
      <c r="O32" s="138"/>
      <c r="P32" s="137"/>
    </row>
    <row r="33" spans="1:16" s="128" customFormat="1" ht="24.9" customHeight="1">
      <c r="A33" s="20"/>
      <c r="B33" s="2739"/>
      <c r="C33" s="2739"/>
      <c r="D33" s="2739"/>
      <c r="E33" s="2739"/>
      <c r="F33" s="2739"/>
      <c r="G33" s="2739"/>
      <c r="H33" s="2739"/>
      <c r="I33" s="432">
        <v>50</v>
      </c>
      <c r="J33" s="577">
        <f>' DATA -Sanitary&amp;water supply'!G39</f>
        <v>204.33</v>
      </c>
      <c r="K33" s="504">
        <f>ROUND(J33*I33,)</f>
        <v>10217</v>
      </c>
      <c r="L33" s="137"/>
      <c r="M33" s="137"/>
      <c r="N33" s="137"/>
      <c r="O33" s="138"/>
      <c r="P33" s="137"/>
    </row>
    <row r="34" spans="1:16" s="128" customFormat="1" ht="24.9" customHeight="1">
      <c r="A34" s="510"/>
      <c r="B34" s="79"/>
      <c r="C34" s="79"/>
      <c r="D34" s="79"/>
      <c r="E34" s="351"/>
      <c r="F34" s="79"/>
      <c r="G34" s="79"/>
      <c r="H34" s="79"/>
      <c r="I34" s="432" t="s">
        <v>452</v>
      </c>
      <c r="J34" s="289" t="s">
        <v>453</v>
      </c>
      <c r="K34" s="215"/>
      <c r="L34" s="138"/>
      <c r="M34" s="138"/>
      <c r="N34" s="138"/>
      <c r="O34" s="138"/>
      <c r="P34" s="137"/>
    </row>
    <row r="35" spans="1:16" s="128" customFormat="1" ht="36.75" customHeight="1">
      <c r="A35" s="510">
        <v>7</v>
      </c>
      <c r="B35" s="2740" t="s">
        <v>1090</v>
      </c>
      <c r="C35" s="2741"/>
      <c r="D35" s="2741"/>
      <c r="E35" s="2741"/>
      <c r="F35" s="2741"/>
      <c r="G35" s="2741"/>
      <c r="H35" s="2741"/>
      <c r="I35" s="432"/>
      <c r="J35" s="289"/>
      <c r="K35" s="215"/>
      <c r="L35" s="137"/>
      <c r="M35" s="137"/>
      <c r="N35" s="137"/>
      <c r="O35" s="138"/>
      <c r="P35" s="137"/>
    </row>
    <row r="36" spans="1:16" s="128" customFormat="1" ht="24.9" customHeight="1">
      <c r="A36" s="20"/>
      <c r="B36" s="2739"/>
      <c r="C36" s="2739"/>
      <c r="D36" s="2739"/>
      <c r="E36" s="2739"/>
      <c r="F36" s="2739"/>
      <c r="G36" s="2739"/>
      <c r="H36" s="2739"/>
      <c r="I36" s="432">
        <v>50</v>
      </c>
      <c r="J36" s="577">
        <f>' DATA -Sanitary&amp;water supply'!G33</f>
        <v>293.67</v>
      </c>
      <c r="K36" s="504">
        <f>ROUND(J36*I36,)</f>
        <v>14684</v>
      </c>
      <c r="L36" s="137"/>
      <c r="M36" s="137"/>
      <c r="N36" s="137"/>
      <c r="O36" s="138"/>
      <c r="P36" s="137"/>
    </row>
    <row r="37" spans="1:16" s="128" customFormat="1" ht="24.9" customHeight="1">
      <c r="A37" s="510"/>
      <c r="B37" s="79"/>
      <c r="C37" s="79"/>
      <c r="D37" s="79"/>
      <c r="E37" s="351"/>
      <c r="F37" s="79"/>
      <c r="G37" s="79"/>
      <c r="H37" s="79"/>
      <c r="I37" s="432" t="s">
        <v>452</v>
      </c>
      <c r="J37" s="289" t="s">
        <v>453</v>
      </c>
      <c r="K37" s="215"/>
      <c r="L37" s="138"/>
      <c r="M37" s="138"/>
      <c r="N37" s="138"/>
      <c r="O37" s="138"/>
      <c r="P37" s="137"/>
    </row>
    <row r="38" spans="1:16" s="128" customFormat="1" ht="63" customHeight="1">
      <c r="A38" s="510">
        <v>8</v>
      </c>
      <c r="B38" s="2740" t="s">
        <v>1252</v>
      </c>
      <c r="C38" s="2741"/>
      <c r="D38" s="2741"/>
      <c r="E38" s="2741"/>
      <c r="F38" s="2741"/>
      <c r="G38" s="2741"/>
      <c r="H38" s="2741"/>
      <c r="I38" s="432"/>
      <c r="J38" s="289"/>
      <c r="K38" s="215"/>
      <c r="L38" s="137"/>
      <c r="M38" s="137"/>
      <c r="N38" s="137"/>
      <c r="O38" s="138"/>
      <c r="P38" s="137"/>
    </row>
    <row r="39" spans="1:16" s="128" customFormat="1" ht="24.9" customHeight="1">
      <c r="A39" s="20"/>
      <c r="B39" s="2739"/>
      <c r="C39" s="2739"/>
      <c r="D39" s="2739"/>
      <c r="E39" s="2739"/>
      <c r="F39" s="2739"/>
      <c r="G39" s="2739"/>
      <c r="H39" s="2739"/>
      <c r="I39" s="432">
        <v>10</v>
      </c>
      <c r="J39" s="577">
        <f>' DATA -Sanitary&amp;water supply'!G26</f>
        <v>171</v>
      </c>
      <c r="K39" s="504">
        <f>ROUND(J39*I39,)</f>
        <v>1710</v>
      </c>
      <c r="L39" s="137"/>
      <c r="M39" s="137"/>
      <c r="N39" s="137"/>
      <c r="O39" s="138"/>
      <c r="P39" s="137"/>
    </row>
    <row r="40" spans="1:16" s="128" customFormat="1" ht="24.9" customHeight="1">
      <c r="A40" s="510"/>
      <c r="B40" s="79"/>
      <c r="C40" s="79"/>
      <c r="D40" s="79"/>
      <c r="E40" s="351"/>
      <c r="F40" s="79"/>
      <c r="G40" s="79"/>
      <c r="H40" s="79"/>
      <c r="I40" s="432" t="s">
        <v>472</v>
      </c>
      <c r="J40" s="289" t="s">
        <v>454</v>
      </c>
      <c r="K40" s="215"/>
      <c r="L40" s="138"/>
      <c r="M40" s="138"/>
      <c r="N40" s="138"/>
      <c r="O40" s="138"/>
      <c r="P40" s="137"/>
    </row>
    <row r="41" spans="1:16" s="128" customFormat="1" ht="54" customHeight="1">
      <c r="A41" s="510">
        <v>9</v>
      </c>
      <c r="B41" s="2740" t="s">
        <v>1031</v>
      </c>
      <c r="C41" s="2741"/>
      <c r="D41" s="2741"/>
      <c r="E41" s="2741"/>
      <c r="F41" s="2741"/>
      <c r="G41" s="2741"/>
      <c r="H41" s="2741"/>
      <c r="I41" s="432"/>
      <c r="J41" s="289"/>
      <c r="K41" s="215"/>
      <c r="L41" s="137"/>
      <c r="M41" s="137"/>
      <c r="N41" s="137"/>
      <c r="O41" s="138"/>
      <c r="P41" s="137"/>
    </row>
    <row r="42" spans="1:16" s="128" customFormat="1" ht="24.9" customHeight="1">
      <c r="A42" s="20"/>
      <c r="B42" s="2739"/>
      <c r="C42" s="2739"/>
      <c r="D42" s="2739"/>
      <c r="E42" s="2739"/>
      <c r="F42" s="2739"/>
      <c r="G42" s="2739"/>
      <c r="H42" s="2739"/>
      <c r="I42" s="432">
        <v>20</v>
      </c>
      <c r="J42" s="577">
        <f>' DATA -Sanitary&amp;water supply'!G140</f>
        <v>84</v>
      </c>
      <c r="K42" s="504">
        <f>ROUND(J42*I42,)</f>
        <v>1680</v>
      </c>
      <c r="L42" s="137"/>
      <c r="M42" s="137"/>
      <c r="N42" s="137"/>
      <c r="O42" s="138"/>
      <c r="P42" s="137"/>
    </row>
    <row r="43" spans="1:16" s="128" customFormat="1" ht="24.9" customHeight="1">
      <c r="A43" s="510"/>
      <c r="B43" s="79"/>
      <c r="C43" s="79"/>
      <c r="D43" s="79"/>
      <c r="E43" s="351"/>
      <c r="F43" s="79"/>
      <c r="G43" s="79"/>
      <c r="H43" s="79"/>
      <c r="I43" s="432" t="s">
        <v>472</v>
      </c>
      <c r="J43" s="289" t="s">
        <v>454</v>
      </c>
      <c r="K43" s="215"/>
      <c r="L43" s="138"/>
      <c r="M43" s="138"/>
      <c r="N43" s="138"/>
      <c r="O43" s="138"/>
      <c r="P43" s="137"/>
    </row>
    <row r="44" spans="1:16" s="128" customFormat="1" ht="57.75" customHeight="1">
      <c r="A44" s="510">
        <v>10</v>
      </c>
      <c r="B44" s="2740" t="s">
        <v>447</v>
      </c>
      <c r="C44" s="2740"/>
      <c r="D44" s="2740"/>
      <c r="E44" s="2740"/>
      <c r="F44" s="2740"/>
      <c r="G44" s="2740"/>
      <c r="H44" s="2740"/>
      <c r="I44" s="432"/>
      <c r="J44" s="289"/>
      <c r="K44" s="215"/>
      <c r="L44" s="137"/>
      <c r="M44" s="137"/>
      <c r="N44" s="137"/>
      <c r="O44" s="138"/>
      <c r="P44" s="137"/>
    </row>
    <row r="45" spans="1:16" s="128" customFormat="1" ht="24.9" customHeight="1">
      <c r="A45" s="20"/>
      <c r="B45" s="2739"/>
      <c r="C45" s="2739"/>
      <c r="D45" s="2739"/>
      <c r="E45" s="2739"/>
      <c r="F45" s="2739"/>
      <c r="G45" s="2739"/>
      <c r="H45" s="2739"/>
      <c r="I45" s="432">
        <v>20</v>
      </c>
      <c r="J45" s="577">
        <f>' DATA -Sanitary&amp;water supply'!G144</f>
        <v>47</v>
      </c>
      <c r="K45" s="504">
        <f>ROUND(J45*I45,)</f>
        <v>940</v>
      </c>
      <c r="L45" s="137"/>
      <c r="M45" s="137"/>
      <c r="N45" s="137"/>
      <c r="O45" s="138"/>
      <c r="P45" s="137"/>
    </row>
    <row r="46" spans="1:16" s="128" customFormat="1" ht="30" customHeight="1">
      <c r="A46" s="510">
        <v>11</v>
      </c>
      <c r="B46" s="2740" t="s">
        <v>448</v>
      </c>
      <c r="C46" s="2740"/>
      <c r="D46" s="2740"/>
      <c r="E46" s="2740"/>
      <c r="F46" s="2740"/>
      <c r="G46" s="2740"/>
      <c r="H46" s="2740"/>
      <c r="I46" s="432"/>
      <c r="J46" s="289"/>
      <c r="K46" s="215"/>
      <c r="L46" s="137"/>
      <c r="M46" s="137"/>
      <c r="N46" s="137"/>
      <c r="O46" s="138"/>
      <c r="P46" s="137"/>
    </row>
    <row r="47" spans="1:16" s="128" customFormat="1" ht="24.9" customHeight="1">
      <c r="A47" s="20"/>
      <c r="B47" s="2739"/>
      <c r="C47" s="2739"/>
      <c r="D47" s="2739"/>
      <c r="E47" s="2739"/>
      <c r="F47" s="2739"/>
      <c r="G47" s="2739"/>
      <c r="H47" s="2739"/>
      <c r="I47" s="432">
        <v>10</v>
      </c>
      <c r="J47" s="577">
        <f>' DATA -Sanitary&amp;water supply'!G148</f>
        <v>23</v>
      </c>
      <c r="K47" s="504">
        <f>ROUND(J47*I47,)</f>
        <v>230</v>
      </c>
      <c r="L47" s="137"/>
      <c r="M47" s="137"/>
      <c r="N47" s="137"/>
      <c r="O47" s="138"/>
      <c r="P47" s="137"/>
    </row>
    <row r="48" spans="1:16" s="128" customFormat="1" ht="24.9" customHeight="1">
      <c r="A48" s="510"/>
      <c r="B48" s="79"/>
      <c r="C48" s="79"/>
      <c r="D48" s="79"/>
      <c r="E48" s="351"/>
      <c r="F48" s="79"/>
      <c r="G48" s="79"/>
      <c r="H48" s="79"/>
      <c r="I48" s="432" t="s">
        <v>472</v>
      </c>
      <c r="J48" s="289" t="s">
        <v>454</v>
      </c>
      <c r="K48" s="215"/>
      <c r="L48" s="138"/>
      <c r="M48" s="138"/>
      <c r="N48" s="138"/>
      <c r="O48" s="138"/>
      <c r="P48" s="137"/>
    </row>
    <row r="49" spans="1:16" s="128" customFormat="1" ht="66.75" customHeight="1">
      <c r="A49" s="510">
        <v>13</v>
      </c>
      <c r="B49" s="2740" t="s">
        <v>1425</v>
      </c>
      <c r="C49" s="2740"/>
      <c r="D49" s="2740"/>
      <c r="E49" s="2740"/>
      <c r="F49" s="2740"/>
      <c r="G49" s="2740"/>
      <c r="H49" s="2740"/>
      <c r="I49" s="432"/>
      <c r="J49" s="289"/>
      <c r="K49" s="215"/>
      <c r="L49" s="137"/>
      <c r="M49" s="137"/>
      <c r="N49" s="137"/>
      <c r="O49" s="138"/>
      <c r="P49" s="137"/>
    </row>
    <row r="50" spans="1:16" s="128" customFormat="1" ht="24.9" customHeight="1">
      <c r="A50" s="20"/>
      <c r="B50" s="2739"/>
      <c r="C50" s="2739"/>
      <c r="D50" s="2739"/>
      <c r="E50" s="2739"/>
      <c r="F50" s="2739"/>
      <c r="G50" s="2739"/>
      <c r="H50" s="2739"/>
      <c r="I50" s="432">
        <v>20</v>
      </c>
      <c r="J50" s="577" t="e">
        <f>' DATA -Sanitary&amp;water supply'!#REF!</f>
        <v>#REF!</v>
      </c>
      <c r="K50" s="504" t="e">
        <f>ROUND(J50*I50,)</f>
        <v>#REF!</v>
      </c>
      <c r="L50" s="137"/>
      <c r="M50" s="137"/>
      <c r="N50" s="137"/>
      <c r="O50" s="138"/>
      <c r="P50" s="137"/>
    </row>
    <row r="51" spans="1:16" s="128" customFormat="1" ht="64.5" customHeight="1">
      <c r="A51" s="510">
        <v>14</v>
      </c>
      <c r="B51" s="2740" t="s">
        <v>698</v>
      </c>
      <c r="C51" s="2740"/>
      <c r="D51" s="2740"/>
      <c r="E51" s="2740"/>
      <c r="F51" s="2740"/>
      <c r="G51" s="2740"/>
      <c r="H51" s="2740"/>
      <c r="I51" s="432"/>
      <c r="J51" s="289"/>
      <c r="K51" s="215"/>
      <c r="L51" s="137"/>
      <c r="M51" s="137"/>
      <c r="N51" s="137"/>
      <c r="O51" s="138"/>
      <c r="P51" s="137"/>
    </row>
    <row r="52" spans="1:16" s="128" customFormat="1" ht="24.9" customHeight="1">
      <c r="A52" s="20"/>
      <c r="B52" s="2739"/>
      <c r="C52" s="2739"/>
      <c r="D52" s="2739"/>
      <c r="E52" s="2739"/>
      <c r="F52" s="2739"/>
      <c r="G52" s="2739"/>
      <c r="H52" s="2739"/>
      <c r="I52" s="432">
        <v>8000</v>
      </c>
      <c r="J52" s="577">
        <f>' DATA -Sanitary&amp;water supply'!G124</f>
        <v>10</v>
      </c>
      <c r="K52" s="504">
        <f>ROUND(J52*I52,)</f>
        <v>80000</v>
      </c>
      <c r="L52" s="137"/>
      <c r="M52" s="137"/>
      <c r="N52" s="137"/>
      <c r="O52" s="138"/>
      <c r="P52" s="137"/>
    </row>
    <row r="53" spans="1:16" s="128" customFormat="1" ht="24.9" customHeight="1">
      <c r="A53" s="510"/>
      <c r="B53" s="79"/>
      <c r="C53" s="79"/>
      <c r="D53" s="79"/>
      <c r="E53" s="351"/>
      <c r="F53" s="79"/>
      <c r="G53" s="79"/>
      <c r="H53" s="79"/>
      <c r="I53" s="432" t="s">
        <v>1426</v>
      </c>
      <c r="J53" s="289" t="s">
        <v>883</v>
      </c>
      <c r="K53" s="215"/>
      <c r="L53" s="138"/>
      <c r="M53" s="138"/>
      <c r="N53" s="138"/>
      <c r="O53" s="138"/>
      <c r="P53" s="137"/>
    </row>
    <row r="54" spans="1:16" s="128" customFormat="1" ht="99.9" customHeight="1">
      <c r="A54" s="510">
        <v>15</v>
      </c>
      <c r="B54" s="2740" t="s">
        <v>505</v>
      </c>
      <c r="C54" s="2740"/>
      <c r="D54" s="2740"/>
      <c r="E54" s="2740"/>
      <c r="F54" s="2740"/>
      <c r="G54" s="2740"/>
      <c r="H54" s="2740"/>
      <c r="I54" s="432"/>
      <c r="J54" s="289"/>
      <c r="K54" s="215"/>
      <c r="L54" s="137"/>
      <c r="M54" s="137"/>
      <c r="N54" s="137"/>
      <c r="O54" s="138"/>
      <c r="P54" s="137"/>
    </row>
    <row r="55" spans="1:16" s="321" customFormat="1" ht="24.9" customHeight="1">
      <c r="A55" s="426"/>
      <c r="B55" s="2757"/>
      <c r="C55" s="2757"/>
      <c r="D55" s="2757"/>
      <c r="E55" s="2757"/>
      <c r="F55" s="2757"/>
      <c r="G55" s="2757"/>
      <c r="H55" s="2757"/>
      <c r="I55" s="476">
        <v>15</v>
      </c>
      <c r="J55" s="577" t="e">
        <f>' DATA -Sanitary&amp;water supply'!#REF!</f>
        <v>#REF!</v>
      </c>
      <c r="K55" s="504" t="e">
        <f>ROUND(J55*I55,)</f>
        <v>#REF!</v>
      </c>
      <c r="O55" s="111"/>
    </row>
    <row r="56" spans="1:16" s="128" customFormat="1" ht="24.9" customHeight="1">
      <c r="A56" s="510"/>
      <c r="B56" s="63"/>
      <c r="C56" s="63"/>
      <c r="D56" s="63"/>
      <c r="E56" s="348"/>
      <c r="F56" s="63"/>
      <c r="G56" s="63"/>
      <c r="H56" s="63"/>
      <c r="I56" s="470" t="s">
        <v>1427</v>
      </c>
      <c r="J56" s="289" t="s">
        <v>1428</v>
      </c>
      <c r="K56" s="182"/>
      <c r="L56" s="137"/>
      <c r="M56" s="137"/>
      <c r="N56" s="137"/>
      <c r="O56" s="138"/>
      <c r="P56" s="137"/>
    </row>
    <row r="57" spans="1:16" s="128" customFormat="1" ht="99.9" customHeight="1">
      <c r="A57" s="510">
        <v>17</v>
      </c>
      <c r="B57" s="2740" t="s">
        <v>1354</v>
      </c>
      <c r="C57" s="2740"/>
      <c r="D57" s="2740"/>
      <c r="E57" s="2740"/>
      <c r="F57" s="2740"/>
      <c r="G57" s="2740"/>
      <c r="H57" s="2740"/>
      <c r="I57" s="432"/>
      <c r="J57" s="289"/>
      <c r="K57" s="215"/>
      <c r="L57" s="137"/>
      <c r="M57" s="137"/>
      <c r="N57" s="137"/>
      <c r="O57" s="138"/>
      <c r="P57" s="137"/>
    </row>
    <row r="58" spans="1:16" s="321" customFormat="1" ht="24.9" customHeight="1">
      <c r="A58" s="426"/>
      <c r="B58" s="2757"/>
      <c r="C58" s="2757"/>
      <c r="D58" s="2757"/>
      <c r="E58" s="2757"/>
      <c r="F58" s="2757"/>
      <c r="G58" s="2757"/>
      <c r="H58" s="2757"/>
      <c r="I58" s="476">
        <v>60</v>
      </c>
      <c r="J58" s="577">
        <f>' DATA -Sanitary&amp;water supply'!G75</f>
        <v>617</v>
      </c>
      <c r="K58" s="504">
        <f>ROUND(J58*I58,)</f>
        <v>37020</v>
      </c>
      <c r="O58" s="111"/>
    </row>
    <row r="59" spans="1:16" s="128" customFormat="1" ht="24.9" customHeight="1">
      <c r="A59" s="510"/>
      <c r="B59" s="63"/>
      <c r="C59" s="63"/>
      <c r="D59" s="63"/>
      <c r="E59" s="348"/>
      <c r="F59" s="63"/>
      <c r="G59" s="63"/>
      <c r="H59" s="63"/>
      <c r="I59" s="470" t="s">
        <v>452</v>
      </c>
      <c r="J59" s="289" t="s">
        <v>453</v>
      </c>
      <c r="K59" s="579"/>
      <c r="L59" s="137"/>
      <c r="M59" s="137"/>
      <c r="N59" s="137"/>
      <c r="O59" s="138"/>
      <c r="P59" s="137"/>
    </row>
    <row r="60" spans="1:16" s="128" customFormat="1" ht="99.9" customHeight="1">
      <c r="A60" s="510">
        <v>18</v>
      </c>
      <c r="B60" s="2740" t="s">
        <v>1353</v>
      </c>
      <c r="C60" s="2740"/>
      <c r="D60" s="2740"/>
      <c r="E60" s="2740"/>
      <c r="F60" s="2740"/>
      <c r="G60" s="2740"/>
      <c r="H60" s="2740"/>
      <c r="I60" s="432"/>
      <c r="J60" s="289"/>
      <c r="K60" s="215"/>
      <c r="L60" s="137"/>
      <c r="M60" s="137"/>
      <c r="N60" s="137"/>
      <c r="O60" s="138"/>
      <c r="P60" s="137"/>
    </row>
    <row r="61" spans="1:16" s="321" customFormat="1" ht="24.9" customHeight="1">
      <c r="A61" s="426"/>
      <c r="B61" s="2757"/>
      <c r="C61" s="2757"/>
      <c r="D61" s="2757"/>
      <c r="E61" s="2757"/>
      <c r="F61" s="2757"/>
      <c r="G61" s="2757"/>
      <c r="H61" s="2757"/>
      <c r="I61" s="476">
        <v>60</v>
      </c>
      <c r="J61" s="577">
        <f>' DATA -Sanitary&amp;water supply'!G79</f>
        <v>531</v>
      </c>
      <c r="K61" s="504">
        <f>ROUND(J61*I61,)</f>
        <v>31860</v>
      </c>
      <c r="O61" s="111"/>
    </row>
    <row r="62" spans="1:16" s="128" customFormat="1" ht="24.9" customHeight="1">
      <c r="A62" s="510"/>
      <c r="B62" s="63"/>
      <c r="C62" s="63"/>
      <c r="D62" s="63"/>
      <c r="E62" s="348"/>
      <c r="F62" s="63"/>
      <c r="G62" s="63"/>
      <c r="H62" s="63"/>
      <c r="I62" s="470" t="s">
        <v>452</v>
      </c>
      <c r="J62" s="289" t="s">
        <v>453</v>
      </c>
      <c r="K62" s="579"/>
      <c r="L62" s="137"/>
      <c r="M62" s="137"/>
      <c r="N62" s="137"/>
      <c r="O62" s="138"/>
      <c r="P62" s="137"/>
    </row>
    <row r="63" spans="1:16" s="128" customFormat="1" ht="90.75" customHeight="1">
      <c r="A63" s="510">
        <v>12</v>
      </c>
      <c r="B63" s="2740" t="s">
        <v>1441</v>
      </c>
      <c r="C63" s="2740"/>
      <c r="D63" s="2740"/>
      <c r="E63" s="2740"/>
      <c r="F63" s="2740"/>
      <c r="G63" s="2740"/>
      <c r="H63" s="2740"/>
      <c r="I63" s="432"/>
      <c r="J63" s="289"/>
      <c r="K63" s="215"/>
      <c r="L63" s="137"/>
      <c r="M63" s="137"/>
      <c r="N63" s="137"/>
      <c r="O63" s="138"/>
      <c r="P63" s="137"/>
    </row>
    <row r="64" spans="1:16" s="128" customFormat="1" ht="24.9" customHeight="1">
      <c r="A64" s="20"/>
      <c r="B64" s="2739" t="s">
        <v>755</v>
      </c>
      <c r="C64" s="2739"/>
      <c r="D64" s="2739"/>
      <c r="E64" s="2739"/>
      <c r="F64" s="2739"/>
      <c r="G64" s="2739"/>
      <c r="H64" s="2739"/>
      <c r="I64" s="432">
        <v>10</v>
      </c>
      <c r="J64" s="471" t="e">
        <f>' DATA -Sanitary&amp;water supply'!#REF!</f>
        <v>#REF!</v>
      </c>
      <c r="K64" s="504" t="e">
        <f>ROUND(J64*I64,)</f>
        <v>#REF!</v>
      </c>
      <c r="L64" s="137"/>
      <c r="M64" s="137"/>
      <c r="N64" s="137"/>
      <c r="O64" s="138"/>
      <c r="P64" s="137"/>
    </row>
    <row r="65" spans="1:16" s="128" customFormat="1" ht="24.9" customHeight="1">
      <c r="A65" s="510"/>
      <c r="B65" s="79"/>
      <c r="C65" s="79"/>
      <c r="D65" s="79"/>
      <c r="E65" s="351"/>
      <c r="F65" s="79"/>
      <c r="G65" s="79"/>
      <c r="H65" s="79"/>
      <c r="I65" s="432" t="s">
        <v>472</v>
      </c>
      <c r="J65" s="289" t="s">
        <v>454</v>
      </c>
      <c r="K65" s="215"/>
      <c r="L65" s="138"/>
      <c r="M65" s="138"/>
      <c r="N65" s="138"/>
      <c r="O65" s="138"/>
      <c r="P65" s="137"/>
    </row>
    <row r="66" spans="1:16" s="128" customFormat="1" ht="200.2" customHeight="1">
      <c r="A66" s="510">
        <v>19</v>
      </c>
      <c r="B66" s="2740" t="s">
        <v>676</v>
      </c>
      <c r="C66" s="2740"/>
      <c r="D66" s="2740"/>
      <c r="E66" s="2740"/>
      <c r="F66" s="2740"/>
      <c r="G66" s="2740"/>
      <c r="H66" s="2740"/>
      <c r="I66" s="432"/>
      <c r="J66" s="289"/>
      <c r="K66" s="215"/>
      <c r="L66" s="137"/>
      <c r="M66" s="137"/>
      <c r="N66" s="137"/>
      <c r="O66" s="138"/>
      <c r="P66" s="137"/>
    </row>
    <row r="67" spans="1:16" s="128" customFormat="1" ht="24.9" customHeight="1">
      <c r="A67" s="20"/>
      <c r="B67" s="2740"/>
      <c r="C67" s="2740"/>
      <c r="D67" s="2740"/>
      <c r="E67" s="2740"/>
      <c r="F67" s="2740"/>
      <c r="G67" s="2740"/>
      <c r="H67" s="2740"/>
      <c r="I67" s="432">
        <v>10</v>
      </c>
      <c r="J67" s="577">
        <f>' DATA -Sanitary&amp;water supply'!G18</f>
        <v>275</v>
      </c>
      <c r="K67" s="504">
        <f>ROUND(J67*I67,)</f>
        <v>2750</v>
      </c>
      <c r="L67" s="137"/>
      <c r="M67" s="137"/>
      <c r="N67" s="137"/>
      <c r="O67" s="138"/>
      <c r="P67" s="137"/>
    </row>
    <row r="68" spans="1:16" s="128" customFormat="1" ht="200.2" customHeight="1">
      <c r="A68" s="510">
        <v>19</v>
      </c>
      <c r="B68" s="2740" t="s">
        <v>676</v>
      </c>
      <c r="C68" s="2740"/>
      <c r="D68" s="2740"/>
      <c r="E68" s="2740"/>
      <c r="F68" s="2740"/>
      <c r="G68" s="2740"/>
      <c r="H68" s="2740"/>
      <c r="I68" s="432"/>
      <c r="J68" s="289"/>
      <c r="K68" s="215"/>
      <c r="L68" s="137"/>
      <c r="M68" s="137"/>
      <c r="N68" s="137"/>
      <c r="O68" s="138"/>
      <c r="P68" s="137"/>
    </row>
    <row r="69" spans="1:16" s="128" customFormat="1" ht="24.9" customHeight="1">
      <c r="A69" s="20"/>
      <c r="B69" s="2740"/>
      <c r="C69" s="2740"/>
      <c r="D69" s="2740"/>
      <c r="E69" s="2740"/>
      <c r="F69" s="2740"/>
      <c r="G69" s="2740"/>
      <c r="H69" s="2740"/>
      <c r="I69" s="432">
        <v>10</v>
      </c>
      <c r="J69" s="577" t="e">
        <f>' DATA -Sanitary&amp;water supply'!#REF!</f>
        <v>#REF!</v>
      </c>
      <c r="K69" s="504" t="e">
        <f>ROUND(J69*I69,)</f>
        <v>#REF!</v>
      </c>
      <c r="L69" s="137"/>
      <c r="M69" s="137"/>
      <c r="N69" s="137"/>
      <c r="O69" s="138"/>
      <c r="P69" s="137"/>
    </row>
    <row r="70" spans="1:16" s="128" customFormat="1" ht="114" customHeight="1">
      <c r="A70" s="510">
        <v>19</v>
      </c>
      <c r="B70" s="2740" t="s">
        <v>949</v>
      </c>
      <c r="C70" s="2740"/>
      <c r="D70" s="2740"/>
      <c r="E70" s="2740"/>
      <c r="F70" s="2740"/>
      <c r="G70" s="2740"/>
      <c r="H70" s="2740"/>
      <c r="I70" s="432"/>
      <c r="J70" s="289"/>
      <c r="K70" s="215"/>
      <c r="L70" s="137"/>
      <c r="M70" s="137"/>
      <c r="N70" s="137"/>
      <c r="O70" s="138"/>
      <c r="P70" s="137"/>
    </row>
    <row r="71" spans="1:16" s="128" customFormat="1" ht="24.9" customHeight="1">
      <c r="A71" s="20"/>
      <c r="B71" s="2740"/>
      <c r="C71" s="2740"/>
      <c r="D71" s="2740"/>
      <c r="E71" s="2740"/>
      <c r="F71" s="2740"/>
      <c r="G71" s="2740"/>
      <c r="H71" s="2740"/>
      <c r="I71" s="432">
        <v>10</v>
      </c>
      <c r="J71" s="577">
        <f>' DATA -Sanitary&amp;water supply'!G152</f>
        <v>2045</v>
      </c>
      <c r="K71" s="504">
        <f>ROUND(J71*I71,)</f>
        <v>20450</v>
      </c>
      <c r="L71" s="137"/>
      <c r="M71" s="137"/>
      <c r="N71" s="137"/>
      <c r="O71" s="138"/>
      <c r="P71" s="137"/>
    </row>
    <row r="72" spans="1:16" s="128" customFormat="1" ht="46.5" customHeight="1">
      <c r="A72" s="510">
        <v>19</v>
      </c>
      <c r="B72" s="2740" t="s">
        <v>948</v>
      </c>
      <c r="C72" s="2740"/>
      <c r="D72" s="2740"/>
      <c r="E72" s="2740"/>
      <c r="F72" s="2740"/>
      <c r="G72" s="2740"/>
      <c r="H72" s="2740"/>
      <c r="I72" s="432"/>
      <c r="J72" s="289"/>
      <c r="K72" s="215"/>
      <c r="L72" s="137"/>
      <c r="M72" s="137"/>
      <c r="N72" s="137"/>
      <c r="O72" s="138"/>
      <c r="P72" s="137"/>
    </row>
    <row r="73" spans="1:16" s="128" customFormat="1" ht="24.9" customHeight="1">
      <c r="A73" s="20"/>
      <c r="B73" s="2740"/>
      <c r="C73" s="2740"/>
      <c r="D73" s="2740"/>
      <c r="E73" s="2740"/>
      <c r="F73" s="2740"/>
      <c r="G73" s="2740"/>
      <c r="H73" s="2740"/>
      <c r="I73" s="432">
        <v>10</v>
      </c>
      <c r="J73" s="577" t="e">
        <f>' DATA -Sanitary&amp;water supply'!#REF!</f>
        <v>#REF!</v>
      </c>
      <c r="K73" s="504" t="e">
        <f>ROUND(J73*I73,)</f>
        <v>#REF!</v>
      </c>
      <c r="L73" s="137"/>
      <c r="M73" s="137"/>
      <c r="N73" s="137"/>
      <c r="O73" s="138"/>
      <c r="P73" s="137"/>
    </row>
    <row r="74" spans="1:16" s="128" customFormat="1" ht="24" customHeight="1">
      <c r="A74" s="510">
        <v>20</v>
      </c>
      <c r="B74" s="2740" t="s">
        <v>1489</v>
      </c>
      <c r="C74" s="2740"/>
      <c r="D74" s="2740"/>
      <c r="E74" s="2740"/>
      <c r="F74" s="2740"/>
      <c r="G74" s="2740"/>
      <c r="H74" s="2740"/>
      <c r="I74" s="432"/>
      <c r="J74" s="289"/>
      <c r="K74" s="215"/>
      <c r="L74" s="137"/>
      <c r="M74" s="137"/>
      <c r="N74" s="137"/>
      <c r="O74" s="138"/>
      <c r="P74" s="137"/>
    </row>
    <row r="75" spans="1:16" s="128" customFormat="1" ht="24.9" customHeight="1">
      <c r="A75" s="20"/>
      <c r="B75" s="2740"/>
      <c r="C75" s="2740"/>
      <c r="D75" s="2740"/>
      <c r="E75" s="2740"/>
      <c r="F75" s="2740"/>
      <c r="G75" s="2740"/>
      <c r="H75" s="2740"/>
      <c r="I75" s="432">
        <v>25</v>
      </c>
      <c r="J75" s="577">
        <f>' DATA -Sanitary&amp;water supply'!G20</f>
        <v>275</v>
      </c>
      <c r="K75" s="504">
        <f>ROUND(J75*I75,)</f>
        <v>6875</v>
      </c>
      <c r="L75" s="137"/>
      <c r="M75" s="137"/>
      <c r="N75" s="137"/>
      <c r="O75" s="138"/>
      <c r="P75" s="137"/>
    </row>
    <row r="76" spans="1:16" s="128" customFormat="1" ht="24.9" customHeight="1">
      <c r="A76" s="580">
        <v>21</v>
      </c>
      <c r="B76" s="2740" t="s">
        <v>228</v>
      </c>
      <c r="C76" s="2740"/>
      <c r="D76" s="2740"/>
      <c r="E76" s="2740"/>
      <c r="F76" s="2740"/>
      <c r="G76" s="2740"/>
      <c r="H76" s="2740"/>
      <c r="I76" s="432">
        <v>1</v>
      </c>
      <c r="J76" s="577"/>
      <c r="K76" s="504">
        <v>26464</v>
      </c>
      <c r="L76" s="137"/>
      <c r="M76" s="137"/>
      <c r="N76" s="137"/>
      <c r="O76" s="138"/>
      <c r="P76" s="137"/>
    </row>
    <row r="77" spans="1:16" s="128" customFormat="1">
      <c r="A77" s="580"/>
      <c r="B77" s="63"/>
      <c r="C77" s="63"/>
      <c r="D77" s="63"/>
      <c r="E77" s="63"/>
      <c r="F77" s="63"/>
      <c r="G77" s="63"/>
      <c r="H77" s="63"/>
      <c r="I77" s="432"/>
      <c r="J77" s="577"/>
      <c r="K77" s="504"/>
      <c r="L77" s="137"/>
      <c r="M77" s="137"/>
      <c r="N77" s="137"/>
      <c r="O77" s="138"/>
      <c r="P77" s="137"/>
    </row>
    <row r="78" spans="1:16" s="585" customFormat="1">
      <c r="A78" s="591"/>
      <c r="B78" s="254"/>
      <c r="C78" s="254"/>
      <c r="D78" s="254"/>
      <c r="E78" s="396"/>
      <c r="F78" s="254"/>
      <c r="G78" s="254"/>
      <c r="H78" s="254"/>
      <c r="I78" s="472"/>
      <c r="J78" s="473" t="s">
        <v>229</v>
      </c>
      <c r="K78" s="597" t="e">
        <f>SUM(K6:K76)</f>
        <v>#REF!</v>
      </c>
      <c r="L78" s="111" t="e">
        <f>600000-K78</f>
        <v>#REF!</v>
      </c>
      <c r="M78" s="111"/>
      <c r="N78" s="321"/>
      <c r="O78" s="111"/>
      <c r="P78" s="321"/>
    </row>
    <row r="79" spans="1:16" s="128" customFormat="1">
      <c r="A79" s="510"/>
      <c r="B79" s="2758"/>
      <c r="C79" s="2758"/>
      <c r="D79" s="2758"/>
      <c r="E79" s="2758"/>
      <c r="F79" s="2758"/>
      <c r="G79" s="2758"/>
      <c r="H79" s="2758"/>
      <c r="I79" s="476"/>
      <c r="J79" s="468"/>
      <c r="K79" s="598"/>
      <c r="L79" s="137"/>
      <c r="M79" s="137"/>
      <c r="N79" s="137"/>
      <c r="O79" s="138"/>
      <c r="P79" s="137"/>
    </row>
    <row r="80" spans="1:16" s="128" customFormat="1">
      <c r="A80" s="510"/>
      <c r="B80" s="581"/>
      <c r="C80" s="581"/>
      <c r="D80" s="581"/>
      <c r="E80" s="581"/>
      <c r="F80" s="581"/>
      <c r="G80" s="581"/>
      <c r="H80" s="581"/>
      <c r="I80" s="476"/>
      <c r="J80" s="468"/>
      <c r="K80" s="598"/>
      <c r="L80" s="137"/>
      <c r="M80" s="137"/>
      <c r="N80" s="137"/>
      <c r="O80" s="138"/>
      <c r="P80" s="137"/>
    </row>
    <row r="81" spans="1:16" s="128" customFormat="1">
      <c r="A81" s="510"/>
      <c r="B81" s="581"/>
      <c r="C81" s="581"/>
      <c r="D81" s="581"/>
      <c r="E81" s="581"/>
      <c r="F81" s="581"/>
      <c r="G81" s="581"/>
      <c r="H81" s="581"/>
      <c r="I81" s="476"/>
      <c r="J81" s="468"/>
      <c r="K81" s="598"/>
      <c r="L81" s="137"/>
      <c r="M81" s="137"/>
      <c r="N81" s="137"/>
      <c r="O81" s="138"/>
      <c r="P81" s="137"/>
    </row>
    <row r="82" spans="1:16" s="128" customFormat="1">
      <c r="A82" s="510"/>
      <c r="B82" s="581"/>
      <c r="C82" s="581"/>
      <c r="D82" s="581"/>
      <c r="E82" s="581"/>
      <c r="F82" s="581"/>
      <c r="G82" s="581"/>
      <c r="H82" s="581"/>
      <c r="I82" s="476"/>
      <c r="J82" s="468"/>
      <c r="K82" s="598"/>
      <c r="L82" s="137"/>
      <c r="M82" s="137"/>
      <c r="N82" s="137"/>
      <c r="O82" s="138"/>
      <c r="P82" s="137"/>
    </row>
    <row r="83" spans="1:16" s="128" customFormat="1">
      <c r="A83" s="510"/>
      <c r="B83" s="2758"/>
      <c r="C83" s="2758"/>
      <c r="D83" s="2758"/>
      <c r="E83" s="2758"/>
      <c r="F83" s="2758"/>
      <c r="G83" s="2758"/>
      <c r="H83" s="2758"/>
      <c r="I83" s="476"/>
      <c r="J83" s="468"/>
      <c r="K83" s="598"/>
      <c r="L83" s="137"/>
      <c r="M83" s="137"/>
      <c r="N83" s="137"/>
      <c r="O83" s="138"/>
      <c r="P83" s="137"/>
    </row>
    <row r="84" spans="1:16" s="600" customFormat="1" ht="9">
      <c r="A84" s="599"/>
      <c r="B84" s="600" t="str">
        <f>'Lead- Input sheet '!B44</f>
        <v xml:space="preserve">  Assistant Exc.Engineer  </v>
      </c>
      <c r="E84" s="600">
        <f>'Lead- Input sheet '!F44</f>
        <v>0</v>
      </c>
      <c r="H84" s="600" t="str">
        <f>'Lead- Input sheet '!H44</f>
        <v>Deputy Executive Engineer</v>
      </c>
      <c r="K84" s="600" t="s">
        <v>162</v>
      </c>
    </row>
    <row r="85" spans="1:16" s="600" customFormat="1" ht="9">
      <c r="A85" s="599"/>
      <c r="B85" s="600" t="str">
        <f>'Lead- Input sheet '!B45</f>
        <v>PR MPP Kalwakurthy</v>
      </c>
      <c r="E85" s="600">
        <f>'Lead- Input sheet '!F45</f>
        <v>0</v>
      </c>
      <c r="H85" s="600" t="e">
        <f>'Lead- Input sheet '!#REF!</f>
        <v>#REF!</v>
      </c>
      <c r="K85" s="600" t="s">
        <v>163</v>
      </c>
    </row>
    <row r="86" spans="1:16" s="128" customFormat="1" ht="21.75" customHeight="1">
      <c r="A86" s="595"/>
      <c r="B86" s="2759"/>
      <c r="C86" s="2759"/>
      <c r="D86" s="2759"/>
      <c r="E86" s="2759"/>
      <c r="F86" s="2759"/>
      <c r="G86" s="2759"/>
      <c r="H86" s="2759"/>
      <c r="I86" s="596"/>
      <c r="J86" s="589"/>
      <c r="K86" s="601"/>
      <c r="L86" s="137"/>
      <c r="M86" s="137"/>
      <c r="N86" s="137"/>
      <c r="O86" s="138"/>
      <c r="P86" s="137"/>
    </row>
    <row r="87" spans="1:16">
      <c r="A87" s="14"/>
      <c r="K87" s="404"/>
    </row>
    <row r="88" spans="1:16">
      <c r="K88" s="404"/>
    </row>
    <row r="89" spans="1:16">
      <c r="K89" s="404"/>
    </row>
    <row r="90" spans="1:16">
      <c r="K90" s="404"/>
    </row>
    <row r="91" spans="1:16">
      <c r="K91" s="404"/>
    </row>
    <row r="92" spans="1:16">
      <c r="K92" s="404"/>
    </row>
    <row r="93" spans="1:16">
      <c r="K93" s="404"/>
    </row>
    <row r="94" spans="1:16">
      <c r="K94" s="404"/>
    </row>
    <row r="95" spans="1:16">
      <c r="K95" s="404"/>
    </row>
    <row r="96" spans="1:16">
      <c r="K96" s="404"/>
    </row>
    <row r="97" spans="11:11">
      <c r="K97" s="404"/>
    </row>
    <row r="98" spans="11:11">
      <c r="K98" s="404"/>
    </row>
    <row r="99" spans="11:11">
      <c r="K99" s="404"/>
    </row>
    <row r="100" spans="11:11">
      <c r="K100" s="404"/>
    </row>
    <row r="101" spans="11:11">
      <c r="K101" s="404"/>
    </row>
    <row r="102" spans="11:11">
      <c r="K102" s="404"/>
    </row>
    <row r="103" spans="11:11">
      <c r="K103" s="404"/>
    </row>
    <row r="104" spans="11:11">
      <c r="K104" s="404"/>
    </row>
    <row r="105" spans="11:11">
      <c r="K105" s="404"/>
    </row>
    <row r="106" spans="11:11">
      <c r="K106" s="404"/>
    </row>
    <row r="107" spans="11:11">
      <c r="K107" s="404"/>
    </row>
    <row r="108" spans="11:11">
      <c r="K108" s="404"/>
    </row>
    <row r="109" spans="11:11">
      <c r="K109" s="404"/>
    </row>
    <row r="110" spans="11:11">
      <c r="K110" s="404"/>
    </row>
    <row r="111" spans="11:11">
      <c r="K111" s="404"/>
    </row>
    <row r="112" spans="11:11">
      <c r="K112" s="404"/>
    </row>
    <row r="113" spans="11:11">
      <c r="K113" s="404"/>
    </row>
    <row r="114" spans="11:11">
      <c r="K114" s="404"/>
    </row>
    <row r="115" spans="11:11">
      <c r="K115" s="404"/>
    </row>
    <row r="116" spans="11:11">
      <c r="K116" s="404"/>
    </row>
    <row r="117" spans="11:11">
      <c r="K117" s="404"/>
    </row>
    <row r="118" spans="11:11">
      <c r="K118" s="404"/>
    </row>
    <row r="119" spans="11:11">
      <c r="K119" s="404"/>
    </row>
    <row r="120" spans="11:11">
      <c r="K120" s="404"/>
    </row>
    <row r="121" spans="11:11">
      <c r="K121" s="404"/>
    </row>
    <row r="122" spans="11:11">
      <c r="K122" s="404"/>
    </row>
    <row r="123" spans="11:11">
      <c r="K123" s="404"/>
    </row>
    <row r="124" spans="11:11">
      <c r="K124" s="404"/>
    </row>
    <row r="125" spans="11:11">
      <c r="K125" s="404"/>
    </row>
    <row r="126" spans="11:11">
      <c r="K126" s="404"/>
    </row>
    <row r="127" spans="11:11">
      <c r="K127" s="404"/>
    </row>
    <row r="128" spans="11:11">
      <c r="K128" s="404"/>
    </row>
    <row r="129" spans="11:11">
      <c r="K129" s="404"/>
    </row>
    <row r="130" spans="11:11">
      <c r="K130" s="404"/>
    </row>
    <row r="131" spans="11:11">
      <c r="K131" s="404"/>
    </row>
    <row r="132" spans="11:11">
      <c r="K132" s="404"/>
    </row>
    <row r="133" spans="11:11">
      <c r="K133" s="404"/>
    </row>
    <row r="134" spans="11:11">
      <c r="K134" s="404"/>
    </row>
    <row r="135" spans="11:11">
      <c r="K135" s="404"/>
    </row>
    <row r="136" spans="11:11">
      <c r="K136" s="404"/>
    </row>
    <row r="137" spans="11:11">
      <c r="K137" s="404"/>
    </row>
    <row r="138" spans="11:11">
      <c r="K138" s="404"/>
    </row>
    <row r="139" spans="11:11">
      <c r="K139" s="404"/>
    </row>
    <row r="140" spans="11:11">
      <c r="K140" s="404"/>
    </row>
    <row r="141" spans="11:11">
      <c r="K141" s="404"/>
    </row>
    <row r="142" spans="11:11">
      <c r="K142" s="404"/>
    </row>
    <row r="143" spans="11:11">
      <c r="K143" s="404"/>
    </row>
    <row r="144" spans="11:11">
      <c r="K144" s="404"/>
    </row>
    <row r="145" spans="11:11">
      <c r="K145" s="404"/>
    </row>
    <row r="146" spans="11:11">
      <c r="K146" s="404"/>
    </row>
    <row r="147" spans="11:11">
      <c r="K147" s="404"/>
    </row>
  </sheetData>
  <mergeCells count="57">
    <mergeCell ref="A1:K1"/>
    <mergeCell ref="B15:H15"/>
    <mergeCell ref="B50:H50"/>
    <mergeCell ref="B72:H72"/>
    <mergeCell ref="B66:H66"/>
    <mergeCell ref="B39:H39"/>
    <mergeCell ref="A2:K2"/>
    <mergeCell ref="B58:H58"/>
    <mergeCell ref="B60:H60"/>
    <mergeCell ref="B61:H61"/>
    <mergeCell ref="K3:K4"/>
    <mergeCell ref="B6:H6"/>
    <mergeCell ref="C5:E5"/>
    <mergeCell ref="C3:E4"/>
    <mergeCell ref="F3:H3"/>
    <mergeCell ref="I3:I4"/>
    <mergeCell ref="B86:H86"/>
    <mergeCell ref="B42:H42"/>
    <mergeCell ref="B18:H18"/>
    <mergeCell ref="B41:H41"/>
    <mergeCell ref="B64:H64"/>
    <mergeCell ref="B47:H47"/>
    <mergeCell ref="B57:H57"/>
    <mergeCell ref="B83:H83"/>
    <mergeCell ref="B49:H49"/>
    <mergeCell ref="B11:I11"/>
    <mergeCell ref="B13:H13"/>
    <mergeCell ref="B9:H9"/>
    <mergeCell ref="B74:H74"/>
    <mergeCell ref="B79:H79"/>
    <mergeCell ref="B76:H76"/>
    <mergeCell ref="B75:H75"/>
    <mergeCell ref="B25:H25"/>
    <mergeCell ref="B32:H32"/>
    <mergeCell ref="B33:H33"/>
    <mergeCell ref="B36:H36"/>
    <mergeCell ref="B71:H71"/>
    <mergeCell ref="B38:H38"/>
    <mergeCell ref="B63:H63"/>
    <mergeCell ref="B46:H46"/>
    <mergeCell ref="B51:H51"/>
    <mergeCell ref="J3:J4"/>
    <mergeCell ref="A3:A4"/>
    <mergeCell ref="B73:H73"/>
    <mergeCell ref="B52:H52"/>
    <mergeCell ref="B70:H70"/>
    <mergeCell ref="B69:H69"/>
    <mergeCell ref="B55:H55"/>
    <mergeCell ref="B54:H54"/>
    <mergeCell ref="B67:H67"/>
    <mergeCell ref="B16:H16"/>
    <mergeCell ref="B45:H45"/>
    <mergeCell ref="B35:H35"/>
    <mergeCell ref="B68:H68"/>
    <mergeCell ref="B44:H44"/>
    <mergeCell ref="B3:B4"/>
    <mergeCell ref="B7:I7"/>
  </mergeCells>
  <printOptions gridLines="1"/>
  <pageMargins left="0.75" right="0.15" top="0.26" bottom="0.5" header="0.5" footer="0.5"/>
  <pageSetup paperSize="9" scale="92" orientation="portrait" r:id="rId1"/>
  <headerFooter alignWithMargins="0">
    <oddFooter>Page &amp;P&amp;R&amp;A</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indexed="29"/>
  </sheetPr>
  <dimension ref="A1:IV57"/>
  <sheetViews>
    <sheetView zoomScale="85" zoomScaleSheetLayoutView="85" workbookViewId="0">
      <pane ySplit="5" topLeftCell="A6" activePane="bottomLeft" state="frozen"/>
      <selection pane="bottomLeft" sqref="A1:K1"/>
    </sheetView>
  </sheetViews>
  <sheetFormatPr defaultRowHeight="12.9"/>
  <cols>
    <col min="1" max="1" width="5.5546875" style="513" customWidth="1"/>
    <col min="2" max="2" width="35.109375" style="3" customWidth="1"/>
    <col min="3" max="3" width="4.44140625" style="152" customWidth="1"/>
    <col min="4" max="4" width="2" style="3" customWidth="1"/>
    <col min="5" max="5" width="4.5546875" style="346" customWidth="1"/>
    <col min="6" max="6" width="7.5546875" style="153" customWidth="1"/>
    <col min="7" max="7" width="6.6640625" style="153" customWidth="1"/>
    <col min="8" max="8" width="9.44140625" style="123" customWidth="1"/>
    <col min="9" max="9" width="8.5546875" style="404" customWidth="1"/>
    <col min="10" max="10" width="9.44140625" style="404" customWidth="1"/>
    <col min="11" max="11" width="12.109375" style="123" customWidth="1"/>
    <col min="12" max="12" width="9.5546875" style="3" bestFit="1" customWidth="1"/>
    <col min="13" max="256" width="9.109375" style="3"/>
  </cols>
  <sheetData>
    <row r="1" spans="1:12" ht="15" customHeight="1">
      <c r="A1" s="2747" t="s">
        <v>180</v>
      </c>
      <c r="B1" s="2748"/>
      <c r="C1" s="2748"/>
      <c r="D1" s="2748"/>
      <c r="E1" s="2748"/>
      <c r="F1" s="2748"/>
      <c r="G1" s="2748"/>
      <c r="H1" s="2748"/>
      <c r="I1" s="2748"/>
      <c r="J1" s="2748"/>
      <c r="K1" s="2748"/>
    </row>
    <row r="2" spans="1:12" ht="36" customHeight="1">
      <c r="A2" s="2746" t="str">
        <f>'Lead- Input sheet '!A2</f>
        <v xml:space="preserve"> Construction of  Anganwadi Building at Jeedipally Thanda (V) of Kalwakurthy (M) of Nagarkurnool District </v>
      </c>
      <c r="B2" s="2746"/>
      <c r="C2" s="2746"/>
      <c r="D2" s="2746"/>
      <c r="E2" s="2746"/>
      <c r="F2" s="2746"/>
      <c r="G2" s="2746"/>
      <c r="H2" s="2746"/>
      <c r="I2" s="2746"/>
      <c r="J2" s="2746"/>
      <c r="K2" s="2746"/>
    </row>
    <row r="3" spans="1:12" ht="30" customHeight="1">
      <c r="A3" s="2752" t="s">
        <v>1200</v>
      </c>
      <c r="B3" s="2742" t="s">
        <v>1201</v>
      </c>
      <c r="C3" s="2742" t="s">
        <v>527</v>
      </c>
      <c r="D3" s="2742"/>
      <c r="E3" s="2742"/>
      <c r="F3" s="2749" t="s">
        <v>1202</v>
      </c>
      <c r="G3" s="2749"/>
      <c r="H3" s="2749"/>
      <c r="I3" s="2744" t="s">
        <v>786</v>
      </c>
      <c r="J3" s="2751" t="s">
        <v>1203</v>
      </c>
      <c r="K3" s="2750" t="s">
        <v>1115</v>
      </c>
    </row>
    <row r="4" spans="1:12" ht="12.75" customHeight="1">
      <c r="A4" s="2752"/>
      <c r="B4" s="2742"/>
      <c r="C4" s="2742"/>
      <c r="D4" s="2742"/>
      <c r="E4" s="2742"/>
      <c r="F4" s="67" t="s">
        <v>1417</v>
      </c>
      <c r="G4" s="67" t="s">
        <v>859</v>
      </c>
      <c r="H4" s="67" t="s">
        <v>785</v>
      </c>
      <c r="I4" s="2744"/>
      <c r="J4" s="2751"/>
      <c r="K4" s="2750"/>
    </row>
    <row r="5" spans="1:12" s="72" customFormat="1" ht="10.5" hidden="1" customHeight="1">
      <c r="A5" s="68">
        <v>1</v>
      </c>
      <c r="B5" s="69">
        <f>A5+1</f>
        <v>2</v>
      </c>
      <c r="C5" s="2745">
        <f>B5+1</f>
        <v>3</v>
      </c>
      <c r="D5" s="2745"/>
      <c r="E5" s="2745"/>
      <c r="F5" s="70">
        <f>C5+1</f>
        <v>4</v>
      </c>
      <c r="G5" s="70">
        <f>F5+1</f>
        <v>5</v>
      </c>
      <c r="H5" s="70">
        <f>G5+1</f>
        <v>6</v>
      </c>
      <c r="I5" s="475">
        <f>H5+1</f>
        <v>7</v>
      </c>
      <c r="J5" s="475">
        <f>I5+1</f>
        <v>8</v>
      </c>
      <c r="K5" s="70"/>
    </row>
    <row r="6" spans="1:12" ht="75" customHeight="1">
      <c r="A6" s="575">
        <v>1</v>
      </c>
      <c r="B6" s="2766" t="s">
        <v>886</v>
      </c>
      <c r="C6" s="2766"/>
      <c r="D6" s="2766"/>
      <c r="E6" s="2766"/>
      <c r="F6" s="2766"/>
      <c r="G6" s="2766"/>
      <c r="H6" s="2766"/>
      <c r="I6" s="2766"/>
      <c r="J6" s="480"/>
      <c r="K6" s="75"/>
    </row>
    <row r="7" spans="1:12" ht="30" customHeight="1">
      <c r="A7" s="510"/>
      <c r="B7" s="90" t="s">
        <v>478</v>
      </c>
      <c r="C7" s="87">
        <v>1</v>
      </c>
      <c r="D7" s="87" t="s">
        <v>1472</v>
      </c>
      <c r="E7" s="87">
        <v>1</v>
      </c>
      <c r="F7" s="88">
        <v>10.6</v>
      </c>
      <c r="G7" s="88">
        <v>3.6</v>
      </c>
      <c r="H7" s="88">
        <v>2.4</v>
      </c>
      <c r="I7" s="472">
        <f>ROUND(C7*E7*F7*G7*H7,2)</f>
        <v>91.58</v>
      </c>
      <c r="J7" s="481"/>
      <c r="K7" s="83"/>
      <c r="L7" s="3">
        <f>10*3*2</f>
        <v>60</v>
      </c>
    </row>
    <row r="8" spans="1:12">
      <c r="A8" s="510"/>
      <c r="B8" s="2764"/>
      <c r="C8" s="2764"/>
      <c r="D8" s="2764"/>
      <c r="E8" s="2764"/>
      <c r="F8" s="2764"/>
      <c r="G8" s="2764"/>
      <c r="H8" s="2764"/>
      <c r="I8" s="473">
        <f>I7</f>
        <v>91.58</v>
      </c>
      <c r="J8" s="482" t="e">
        <f>Datas!#REF!</f>
        <v>#REF!</v>
      </c>
      <c r="K8" s="403" t="e">
        <f>ROUND(J8*I8,0)</f>
        <v>#REF!</v>
      </c>
    </row>
    <row r="9" spans="1:12" ht="21.75" customHeight="1">
      <c r="A9" s="510"/>
      <c r="B9" s="94"/>
      <c r="C9" s="87"/>
      <c r="D9" s="87"/>
      <c r="E9" s="87"/>
      <c r="F9" s="88"/>
      <c r="G9" s="88"/>
      <c r="H9" s="88"/>
      <c r="I9" s="473" t="s">
        <v>656</v>
      </c>
      <c r="J9" s="481" t="s">
        <v>316</v>
      </c>
      <c r="K9" s="83"/>
    </row>
    <row r="10" spans="1:12" ht="90" customHeight="1">
      <c r="A10" s="510">
        <v>3</v>
      </c>
      <c r="B10" s="2765" t="s">
        <v>887</v>
      </c>
      <c r="C10" s="2740"/>
      <c r="D10" s="2740"/>
      <c r="E10" s="2740"/>
      <c r="F10" s="2740"/>
      <c r="G10" s="2740"/>
      <c r="H10" s="2740"/>
      <c r="I10" s="2740"/>
      <c r="J10" s="481"/>
      <c r="K10" s="83"/>
    </row>
    <row r="11" spans="1:12" ht="30" customHeight="1">
      <c r="A11" s="510"/>
      <c r="B11" s="90" t="s">
        <v>478</v>
      </c>
      <c r="C11" s="87">
        <v>1</v>
      </c>
      <c r="D11" s="87" t="s">
        <v>1472</v>
      </c>
      <c r="E11" s="87">
        <v>1</v>
      </c>
      <c r="F11" s="88">
        <v>10.6</v>
      </c>
      <c r="G11" s="88">
        <v>3.6</v>
      </c>
      <c r="H11" s="88">
        <v>0.2</v>
      </c>
      <c r="I11" s="472">
        <f>ROUND(C11*E11*F11*G11*H11,2)</f>
        <v>7.63</v>
      </c>
      <c r="J11" s="481"/>
      <c r="K11" s="83"/>
      <c r="L11" s="3">
        <f>10*3*2</f>
        <v>60</v>
      </c>
    </row>
    <row r="12" spans="1:12" s="378" customFormat="1">
      <c r="A12" s="201"/>
      <c r="B12" s="2763"/>
      <c r="C12" s="2763"/>
      <c r="D12" s="2763"/>
      <c r="E12" s="2763"/>
      <c r="F12" s="2763"/>
      <c r="G12" s="2763"/>
      <c r="H12" s="2763"/>
      <c r="I12" s="473">
        <f>I11</f>
        <v>7.63</v>
      </c>
      <c r="J12" s="483">
        <f>Datas!G154</f>
        <v>4371.4635670906127</v>
      </c>
      <c r="K12" s="403">
        <f>ROUND(J12*I12,0)</f>
        <v>33354</v>
      </c>
    </row>
    <row r="13" spans="1:12" ht="21.75" customHeight="1">
      <c r="A13" s="510"/>
      <c r="I13" s="473" t="s">
        <v>656</v>
      </c>
      <c r="J13" s="484" t="s">
        <v>656</v>
      </c>
      <c r="K13" s="93"/>
    </row>
    <row r="14" spans="1:12" ht="63" customHeight="1">
      <c r="A14" s="510">
        <v>10</v>
      </c>
      <c r="B14" s="2765" t="s">
        <v>181</v>
      </c>
      <c r="C14" s="2740"/>
      <c r="D14" s="2740"/>
      <c r="E14" s="2740"/>
      <c r="F14" s="2740"/>
      <c r="G14" s="2740"/>
      <c r="H14" s="2740"/>
      <c r="I14" s="2740"/>
      <c r="J14" s="481"/>
      <c r="K14" s="83"/>
    </row>
    <row r="15" spans="1:12" ht="21.75" customHeight="1">
      <c r="A15" s="510"/>
      <c r="B15" s="514" t="s">
        <v>182</v>
      </c>
      <c r="C15" s="87">
        <v>2</v>
      </c>
      <c r="D15" s="87" t="s">
        <v>1472</v>
      </c>
      <c r="E15" s="87">
        <v>1</v>
      </c>
      <c r="F15" s="88">
        <v>10</v>
      </c>
      <c r="G15" s="88">
        <v>0.35</v>
      </c>
      <c r="H15" s="248">
        <v>2.1</v>
      </c>
      <c r="I15" s="472">
        <f>ROUND(C15*E15*F15*G15*H15,2)</f>
        <v>14.7</v>
      </c>
      <c r="J15" s="481"/>
      <c r="K15" s="83"/>
    </row>
    <row r="16" spans="1:12" ht="21.75" customHeight="1">
      <c r="A16" s="510"/>
      <c r="B16" s="514" t="s">
        <v>183</v>
      </c>
      <c r="C16" s="87">
        <v>2</v>
      </c>
      <c r="D16" s="87" t="s">
        <v>1472</v>
      </c>
      <c r="E16" s="87">
        <v>1</v>
      </c>
      <c r="F16" s="88">
        <v>3</v>
      </c>
      <c r="G16" s="88">
        <v>0.35</v>
      </c>
      <c r="H16" s="248">
        <v>2.1</v>
      </c>
      <c r="I16" s="472">
        <f>ROUND(C16*E16*F16*G16*H16,2)</f>
        <v>4.41</v>
      </c>
      <c r="J16" s="481"/>
      <c r="K16" s="83"/>
    </row>
    <row r="17" spans="1:11" ht="21.75" customHeight="1">
      <c r="A17" s="510"/>
      <c r="B17" s="353" t="s">
        <v>184</v>
      </c>
      <c r="C17" s="87">
        <v>2</v>
      </c>
      <c r="D17" s="87" t="s">
        <v>1472</v>
      </c>
      <c r="E17" s="87">
        <v>1</v>
      </c>
      <c r="F17" s="88">
        <v>3</v>
      </c>
      <c r="G17" s="88">
        <v>0.115</v>
      </c>
      <c r="H17" s="248">
        <v>1.8</v>
      </c>
      <c r="I17" s="472">
        <f>ROUND(C17*E17*F17*G17*H17,2)</f>
        <v>1.24</v>
      </c>
      <c r="J17" s="481"/>
      <c r="K17" s="83"/>
    </row>
    <row r="18" spans="1:11">
      <c r="A18" s="510"/>
      <c r="B18" s="63"/>
      <c r="C18" s="87"/>
      <c r="D18" s="87"/>
      <c r="E18" s="87"/>
      <c r="F18" s="88"/>
      <c r="G18" s="88"/>
      <c r="H18" s="88"/>
      <c r="I18" s="472">
        <f>SUM(I15:I17)</f>
        <v>20.349999999999998</v>
      </c>
      <c r="J18" s="481"/>
      <c r="K18" s="83"/>
    </row>
    <row r="19" spans="1:11">
      <c r="A19" s="510"/>
      <c r="B19" s="255" t="s">
        <v>675</v>
      </c>
      <c r="C19" s="87"/>
      <c r="D19" s="87"/>
      <c r="E19" s="87"/>
      <c r="F19" s="88"/>
      <c r="G19" s="88"/>
      <c r="H19" s="88"/>
      <c r="I19" s="472"/>
      <c r="J19" s="481"/>
      <c r="K19" s="83"/>
    </row>
    <row r="20" spans="1:11" ht="21.75" customHeight="1">
      <c r="A20" s="510"/>
      <c r="B20" s="254" t="s">
        <v>185</v>
      </c>
      <c r="C20" s="87">
        <v>1</v>
      </c>
      <c r="D20" s="87" t="s">
        <v>1472</v>
      </c>
      <c r="E20" s="87">
        <v>1</v>
      </c>
      <c r="F20" s="88">
        <v>2</v>
      </c>
      <c r="G20" s="88">
        <v>0.115</v>
      </c>
      <c r="H20" s="88">
        <v>0.75</v>
      </c>
      <c r="I20" s="472">
        <f>ROUND(C20*E20*F20*G20*H20,2)</f>
        <v>0.17</v>
      </c>
      <c r="J20" s="481"/>
      <c r="K20" s="83"/>
    </row>
    <row r="21" spans="1:11">
      <c r="A21" s="510"/>
      <c r="B21" s="254"/>
      <c r="C21" s="87"/>
      <c r="D21" s="87"/>
      <c r="E21" s="87"/>
      <c r="F21" s="88"/>
      <c r="G21" s="88"/>
      <c r="H21" s="88"/>
      <c r="I21" s="472">
        <f>SUM(I20:I20)</f>
        <v>0.17</v>
      </c>
      <c r="J21" s="481"/>
      <c r="K21" s="83"/>
    </row>
    <row r="22" spans="1:11">
      <c r="A22" s="510"/>
      <c r="B22" s="254" t="s">
        <v>84</v>
      </c>
      <c r="C22" s="87"/>
      <c r="D22" s="87"/>
      <c r="E22" s="87"/>
      <c r="F22" s="88"/>
      <c r="G22" s="88"/>
      <c r="H22" s="88"/>
      <c r="I22" s="473">
        <f>I18-I21</f>
        <v>20.179999999999996</v>
      </c>
      <c r="J22" s="481"/>
      <c r="K22" s="83"/>
    </row>
    <row r="23" spans="1:11" s="378" customFormat="1">
      <c r="A23" s="201"/>
      <c r="B23" s="2763"/>
      <c r="C23" s="2763"/>
      <c r="D23" s="2763"/>
      <c r="E23" s="2763"/>
      <c r="F23" s="2763"/>
      <c r="G23" s="2763"/>
      <c r="H23" s="2763"/>
      <c r="I23" s="473">
        <f>CEILING(I22,0.05)</f>
        <v>20.200000000000003</v>
      </c>
      <c r="J23" s="486">
        <f>Datas!G601</f>
        <v>7013.85</v>
      </c>
      <c r="K23" s="403">
        <f>ROUND(J23*I23,0)</f>
        <v>141680</v>
      </c>
    </row>
    <row r="24" spans="1:11">
      <c r="A24" s="510"/>
      <c r="I24" s="473" t="s">
        <v>656</v>
      </c>
      <c r="J24" s="481" t="str">
        <f>CONCATENATE("per ",I24)</f>
        <v>per Cum.</v>
      </c>
      <c r="K24" s="83"/>
    </row>
    <row r="25" spans="1:11" ht="99.75" customHeight="1">
      <c r="A25" s="510">
        <v>6</v>
      </c>
      <c r="B25" s="2740" t="s">
        <v>194</v>
      </c>
      <c r="C25" s="2740"/>
      <c r="D25" s="2740"/>
      <c r="E25" s="2740"/>
      <c r="F25" s="2740"/>
      <c r="G25" s="2740"/>
      <c r="H25" s="2740"/>
      <c r="I25" s="2740"/>
      <c r="J25" s="481"/>
      <c r="K25" s="83"/>
    </row>
    <row r="26" spans="1:11" ht="24.9" customHeight="1">
      <c r="A26" s="510" t="s">
        <v>976</v>
      </c>
      <c r="B26" s="2767" t="s">
        <v>195</v>
      </c>
      <c r="C26" s="2768"/>
      <c r="D26" s="2768"/>
      <c r="E26" s="2768"/>
      <c r="F26" s="2768"/>
      <c r="G26" s="2768"/>
      <c r="H26" s="2769"/>
      <c r="I26" s="472"/>
      <c r="J26" s="481"/>
      <c r="K26" s="83"/>
    </row>
    <row r="27" spans="1:11" ht="24.9" customHeight="1">
      <c r="A27" s="510"/>
      <c r="B27" s="253" t="s">
        <v>186</v>
      </c>
      <c r="C27" s="87">
        <v>1</v>
      </c>
      <c r="D27" s="87" t="s">
        <v>1472</v>
      </c>
      <c r="E27" s="87">
        <v>1</v>
      </c>
      <c r="F27" s="88">
        <v>10</v>
      </c>
      <c r="G27" s="88">
        <v>3</v>
      </c>
      <c r="H27" s="517" t="s">
        <v>196</v>
      </c>
      <c r="I27" s="472">
        <f>ROUND(C27*E27*F27*(0.15+0.2)/2,2)</f>
        <v>1.75</v>
      </c>
      <c r="J27" s="485"/>
      <c r="K27" s="103"/>
    </row>
    <row r="28" spans="1:11" s="378" customFormat="1">
      <c r="A28" s="201"/>
      <c r="B28" s="2763"/>
      <c r="C28" s="2763"/>
      <c r="D28" s="2763"/>
      <c r="E28" s="2763"/>
      <c r="F28" s="2763"/>
      <c r="G28" s="2763"/>
      <c r="H28" s="2763"/>
      <c r="I28" s="473">
        <f>I27</f>
        <v>1.75</v>
      </c>
      <c r="J28" s="483">
        <f>Datas!G310</f>
        <v>7549.51</v>
      </c>
      <c r="K28" s="403">
        <f>ROUND(J28*I28,0)</f>
        <v>13212</v>
      </c>
    </row>
    <row r="29" spans="1:11" ht="21.75" customHeight="1">
      <c r="A29" s="510"/>
      <c r="I29" s="472" t="s">
        <v>198</v>
      </c>
      <c r="J29" s="481" t="s">
        <v>197</v>
      </c>
      <c r="K29" s="93"/>
    </row>
    <row r="30" spans="1:11" ht="99.75" customHeight="1">
      <c r="A30" s="510">
        <v>6</v>
      </c>
      <c r="B30" s="2740" t="s">
        <v>1059</v>
      </c>
      <c r="C30" s="2740"/>
      <c r="D30" s="2740"/>
      <c r="E30" s="2740"/>
      <c r="F30" s="2740"/>
      <c r="G30" s="2740"/>
      <c r="H30" s="2740"/>
      <c r="I30" s="2740"/>
      <c r="J30" s="481"/>
      <c r="K30" s="83"/>
    </row>
    <row r="31" spans="1:11" ht="24.9" customHeight="1">
      <c r="A31" s="510" t="s">
        <v>976</v>
      </c>
      <c r="B31" s="2767" t="s">
        <v>437</v>
      </c>
      <c r="C31" s="2768"/>
      <c r="D31" s="2768"/>
      <c r="E31" s="2768"/>
      <c r="F31" s="2768"/>
      <c r="G31" s="2768"/>
      <c r="H31" s="2769"/>
      <c r="I31" s="472"/>
      <c r="J31" s="481"/>
      <c r="K31" s="83"/>
    </row>
    <row r="32" spans="1:11" ht="24.9" customHeight="1">
      <c r="A32" s="510"/>
      <c r="B32" s="253" t="s">
        <v>186</v>
      </c>
      <c r="C32" s="87">
        <v>1</v>
      </c>
      <c r="D32" s="87" t="s">
        <v>1472</v>
      </c>
      <c r="E32" s="87">
        <v>1</v>
      </c>
      <c r="F32" s="88">
        <v>10.46</v>
      </c>
      <c r="G32" s="3"/>
      <c r="H32" s="248">
        <v>3.46</v>
      </c>
      <c r="I32" s="472">
        <f>ROUND(C32*E32*F32*H32,2)</f>
        <v>36.19</v>
      </c>
      <c r="J32" s="485"/>
      <c r="K32" s="103"/>
    </row>
    <row r="33" spans="1:11" ht="24.9" customHeight="1">
      <c r="A33" s="510"/>
      <c r="B33" s="253" t="s">
        <v>187</v>
      </c>
      <c r="C33" s="87">
        <v>1</v>
      </c>
      <c r="D33" s="87" t="s">
        <v>1472</v>
      </c>
      <c r="E33" s="87">
        <v>2</v>
      </c>
      <c r="F33" s="88">
        <v>0.75</v>
      </c>
      <c r="G33" s="3"/>
      <c r="H33" s="248">
        <v>0.75</v>
      </c>
      <c r="I33" s="472">
        <f>-ROUND(C33*E33*F33*H33,2)</f>
        <v>-1.1299999999999999</v>
      </c>
      <c r="J33" s="485"/>
      <c r="K33" s="103"/>
    </row>
    <row r="34" spans="1:11" ht="21.75" customHeight="1">
      <c r="A34" s="510"/>
      <c r="B34" s="100"/>
      <c r="C34" s="87"/>
      <c r="D34" s="87"/>
      <c r="E34" s="87"/>
      <c r="F34" s="88"/>
      <c r="G34" s="88"/>
      <c r="H34" s="88"/>
      <c r="I34" s="473">
        <f>SUM(I32:I33)</f>
        <v>35.059999999999995</v>
      </c>
      <c r="J34" s="481"/>
      <c r="K34" s="83"/>
    </row>
    <row r="35" spans="1:11" s="378" customFormat="1">
      <c r="A35" s="201"/>
      <c r="B35" s="2763"/>
      <c r="C35" s="2763"/>
      <c r="D35" s="2763"/>
      <c r="E35" s="2763"/>
      <c r="F35" s="2763"/>
      <c r="G35" s="2763"/>
      <c r="H35" s="2763"/>
      <c r="I35" s="473">
        <f>CEILING(I34,0.05)</f>
        <v>35.1</v>
      </c>
      <c r="J35" s="483">
        <f>Datas!E451</f>
        <v>12858.470000000001</v>
      </c>
      <c r="K35" s="403">
        <f>ROUND(J35*I35/10,0)</f>
        <v>45133</v>
      </c>
    </row>
    <row r="36" spans="1:11" ht="21.75" customHeight="1">
      <c r="A36" s="510"/>
      <c r="I36" s="472" t="s">
        <v>987</v>
      </c>
      <c r="J36" s="481" t="s">
        <v>672</v>
      </c>
      <c r="K36" s="93"/>
    </row>
    <row r="37" spans="1:11" ht="110.25" customHeight="1">
      <c r="A37" s="510">
        <v>14</v>
      </c>
      <c r="B37" s="2740" t="s">
        <v>188</v>
      </c>
      <c r="C37" s="2741"/>
      <c r="D37" s="2741"/>
      <c r="E37" s="2741"/>
      <c r="F37" s="2741"/>
      <c r="G37" s="2741"/>
      <c r="H37" s="2741"/>
      <c r="I37" s="2741"/>
      <c r="J37" s="481"/>
      <c r="K37" s="83"/>
    </row>
    <row r="38" spans="1:11" ht="24.9" customHeight="1">
      <c r="A38" s="510"/>
      <c r="B38" s="253" t="s">
        <v>189</v>
      </c>
      <c r="C38" s="87">
        <v>1</v>
      </c>
      <c r="D38" s="87" t="s">
        <v>1472</v>
      </c>
      <c r="E38" s="87">
        <v>1</v>
      </c>
      <c r="F38" s="88">
        <v>10</v>
      </c>
      <c r="G38" s="3"/>
      <c r="H38" s="248">
        <v>3</v>
      </c>
      <c r="I38" s="472">
        <f>ROUND(C38*E38*F38*H38,2)</f>
        <v>30</v>
      </c>
      <c r="J38" s="485"/>
      <c r="K38" s="103"/>
    </row>
    <row r="39" spans="1:11" ht="24.9" customHeight="1">
      <c r="A39" s="510"/>
      <c r="B39" s="253" t="s">
        <v>190</v>
      </c>
      <c r="C39" s="87">
        <v>1</v>
      </c>
      <c r="D39" s="87" t="s">
        <v>1472</v>
      </c>
      <c r="E39" s="87">
        <v>2</v>
      </c>
      <c r="F39" s="88">
        <v>10</v>
      </c>
      <c r="G39" s="3"/>
      <c r="H39" s="248">
        <v>2.1</v>
      </c>
      <c r="I39" s="472">
        <f>ROUND(C39*E39*F39*H39,2)</f>
        <v>42</v>
      </c>
      <c r="J39" s="485"/>
      <c r="K39" s="103"/>
    </row>
    <row r="40" spans="1:11" ht="24.9" customHeight="1">
      <c r="A40" s="510"/>
      <c r="B40" s="253" t="s">
        <v>191</v>
      </c>
      <c r="C40" s="87">
        <v>1</v>
      </c>
      <c r="D40" s="87" t="s">
        <v>1472</v>
      </c>
      <c r="E40" s="87">
        <v>2</v>
      </c>
      <c r="F40" s="88">
        <v>3</v>
      </c>
      <c r="G40" s="3"/>
      <c r="H40" s="248">
        <v>2.1</v>
      </c>
      <c r="I40" s="472">
        <f>ROUND(C40*E40*F40*H40,2)</f>
        <v>12.6</v>
      </c>
      <c r="J40" s="485"/>
      <c r="K40" s="103"/>
    </row>
    <row r="41" spans="1:11" ht="24.9" customHeight="1">
      <c r="A41" s="510"/>
      <c r="B41" s="253" t="s">
        <v>192</v>
      </c>
      <c r="C41" s="87">
        <v>2</v>
      </c>
      <c r="D41" s="87" t="s">
        <v>1472</v>
      </c>
      <c r="E41" s="87">
        <v>2</v>
      </c>
      <c r="F41" s="88">
        <v>3</v>
      </c>
      <c r="G41" s="3"/>
      <c r="H41" s="248">
        <v>1.8</v>
      </c>
      <c r="I41" s="472">
        <f>ROUND(C41*E41*F41*H41,2)</f>
        <v>21.6</v>
      </c>
      <c r="J41" s="485"/>
      <c r="K41" s="103"/>
    </row>
    <row r="42" spans="1:11" ht="24.9" customHeight="1">
      <c r="A42" s="510"/>
      <c r="B42" s="253" t="s">
        <v>193</v>
      </c>
      <c r="C42" s="87">
        <v>1</v>
      </c>
      <c r="D42" s="87" t="s">
        <v>1472</v>
      </c>
      <c r="E42" s="87">
        <v>1</v>
      </c>
      <c r="F42" s="88">
        <v>10.46</v>
      </c>
      <c r="G42" s="3"/>
      <c r="H42" s="248">
        <v>3.46</v>
      </c>
      <c r="I42" s="472">
        <f>ROUND(C42*E42*F42*H42,2)</f>
        <v>36.19</v>
      </c>
      <c r="J42" s="485"/>
      <c r="K42" s="103"/>
    </row>
    <row r="43" spans="1:11">
      <c r="A43" s="510"/>
      <c r="B43" s="63"/>
      <c r="C43" s="87"/>
      <c r="D43" s="87"/>
      <c r="E43" s="87"/>
      <c r="F43" s="88"/>
      <c r="G43" s="105"/>
      <c r="H43" s="88"/>
      <c r="I43" s="472">
        <f>SUM(I38:I42)</f>
        <v>142.38999999999999</v>
      </c>
      <c r="J43" s="481"/>
      <c r="K43" s="83"/>
    </row>
    <row r="44" spans="1:11" s="378" customFormat="1">
      <c r="A44" s="201"/>
      <c r="B44" s="2763"/>
      <c r="C44" s="2763"/>
      <c r="D44" s="2763"/>
      <c r="E44" s="2763"/>
      <c r="F44" s="2763"/>
      <c r="G44" s="2763"/>
      <c r="H44" s="2763"/>
      <c r="I44" s="473">
        <f>CEILING(I43,0.05)</f>
        <v>142.4</v>
      </c>
      <c r="J44" s="483">
        <f>Datas!G860</f>
        <v>4893.9799999999996</v>
      </c>
      <c r="K44" s="403">
        <f>ROUND(J44*I44/10,0)</f>
        <v>69690</v>
      </c>
    </row>
    <row r="45" spans="1:11" ht="24" customHeight="1">
      <c r="A45" s="510"/>
      <c r="B45" s="2763"/>
      <c r="C45" s="2763"/>
      <c r="D45" s="2763"/>
      <c r="E45" s="2763"/>
      <c r="F45" s="2763"/>
      <c r="G45" s="2763"/>
      <c r="H45" s="2763"/>
      <c r="I45" s="473" t="s">
        <v>464</v>
      </c>
      <c r="J45" s="487" t="s">
        <v>465</v>
      </c>
      <c r="K45" s="83"/>
    </row>
    <row r="46" spans="1:11" ht="135" customHeight="1">
      <c r="A46" s="510">
        <v>33</v>
      </c>
      <c r="B46" s="2740" t="s">
        <v>757</v>
      </c>
      <c r="C46" s="2741"/>
      <c r="D46" s="2741"/>
      <c r="E46" s="2741"/>
      <c r="F46" s="2741"/>
      <c r="G46" s="2741"/>
      <c r="H46" s="2741"/>
      <c r="I46" s="2741"/>
      <c r="J46" s="481"/>
      <c r="K46" s="83"/>
    </row>
    <row r="47" spans="1:11" s="3" customFormat="1" ht="20.25" customHeight="1">
      <c r="A47" s="201"/>
      <c r="B47" s="453" t="s">
        <v>1094</v>
      </c>
      <c r="C47" s="454"/>
      <c r="D47" s="454"/>
      <c r="E47" s="454"/>
      <c r="F47" s="456">
        <v>300</v>
      </c>
      <c r="G47" s="454">
        <v>1</v>
      </c>
      <c r="H47" s="455"/>
      <c r="I47" s="474">
        <f>G47*F47</f>
        <v>300</v>
      </c>
      <c r="J47" s="481"/>
      <c r="K47" s="83"/>
    </row>
    <row r="48" spans="1:11" s="378" customFormat="1">
      <c r="A48" s="201"/>
      <c r="B48" s="2739"/>
      <c r="C48" s="2739"/>
      <c r="D48" s="2739"/>
      <c r="E48" s="2739"/>
      <c r="F48" s="2739"/>
      <c r="G48" s="2739"/>
      <c r="H48" s="2739"/>
      <c r="I48" s="474">
        <f>SUM(I47:I47)</f>
        <v>300</v>
      </c>
      <c r="J48" s="481">
        <f>ROUND(Datas!G584/1000,2)</f>
        <v>77.8</v>
      </c>
      <c r="K48" s="504">
        <f>ROUND(J48*I48,)</f>
        <v>23340</v>
      </c>
    </row>
    <row r="49" spans="1:12" s="378" customFormat="1">
      <c r="A49" s="576"/>
      <c r="B49" s="505"/>
      <c r="C49" s="505"/>
      <c r="D49" s="505"/>
      <c r="E49" s="505"/>
      <c r="F49" s="505"/>
      <c r="G49" s="505"/>
      <c r="H49" s="505"/>
      <c r="I49" s="506"/>
      <c r="J49" s="507"/>
      <c r="K49" s="508">
        <v>17765</v>
      </c>
    </row>
    <row r="50" spans="1:12" s="585" customFormat="1">
      <c r="A50" s="321"/>
      <c r="C50" s="586"/>
      <c r="E50" s="556"/>
      <c r="F50" s="587"/>
      <c r="G50" s="587"/>
      <c r="H50" s="588"/>
      <c r="I50" s="589"/>
      <c r="J50" s="473" t="s">
        <v>229</v>
      </c>
      <c r="K50" s="590" t="e">
        <f>SUM(K6:K49)</f>
        <v>#REF!</v>
      </c>
      <c r="L50" s="588" t="e">
        <f>K50-250000</f>
        <v>#REF!</v>
      </c>
    </row>
    <row r="51" spans="1:12" s="585" customFormat="1">
      <c r="A51" s="321"/>
      <c r="C51" s="586"/>
      <c r="E51" s="556"/>
      <c r="F51" s="587"/>
      <c r="G51" s="587"/>
      <c r="H51" s="588"/>
      <c r="I51" s="589"/>
      <c r="J51" s="602"/>
      <c r="K51" s="590"/>
      <c r="L51" s="588"/>
    </row>
    <row r="52" spans="1:12" s="585" customFormat="1">
      <c r="A52" s="321"/>
      <c r="C52" s="586"/>
      <c r="E52" s="556"/>
      <c r="F52" s="587"/>
      <c r="G52" s="587"/>
      <c r="H52" s="588"/>
      <c r="I52" s="589"/>
      <c r="J52" s="602"/>
      <c r="K52" s="590"/>
      <c r="L52" s="588"/>
    </row>
    <row r="53" spans="1:12" s="585" customFormat="1">
      <c r="A53" s="321"/>
      <c r="C53" s="586"/>
      <c r="E53" s="556"/>
      <c r="F53" s="587"/>
      <c r="G53" s="587"/>
      <c r="H53" s="588"/>
      <c r="I53" s="589"/>
      <c r="J53" s="602"/>
      <c r="K53" s="590"/>
      <c r="L53" s="588"/>
    </row>
    <row r="54" spans="1:12" s="585" customFormat="1">
      <c r="A54" s="321"/>
      <c r="C54" s="586"/>
      <c r="E54" s="556"/>
      <c r="F54" s="587"/>
      <c r="G54" s="587"/>
      <c r="H54" s="588"/>
      <c r="I54" s="589"/>
      <c r="J54" s="602"/>
      <c r="K54" s="590"/>
      <c r="L54" s="588"/>
    </row>
    <row r="56" spans="1:12" s="293" customFormat="1" ht="11.1">
      <c r="A56" s="495"/>
      <c r="B56" s="293" t="s">
        <v>164</v>
      </c>
      <c r="C56" s="299" t="s">
        <v>1211</v>
      </c>
      <c r="E56" s="502"/>
      <c r="F56" s="503"/>
      <c r="G56" s="503"/>
      <c r="H56" s="503" t="s">
        <v>852</v>
      </c>
      <c r="I56" s="494"/>
      <c r="J56" s="494"/>
      <c r="K56" s="494" t="s">
        <v>162</v>
      </c>
    </row>
    <row r="57" spans="1:12" s="293" customFormat="1" ht="11.1">
      <c r="A57" s="495"/>
      <c r="B57" s="293" t="s">
        <v>1451</v>
      </c>
      <c r="C57" s="299" t="s">
        <v>1450</v>
      </c>
      <c r="E57" s="502"/>
      <c r="F57" s="503"/>
      <c r="G57" s="503"/>
      <c r="H57" s="503" t="s">
        <v>1452</v>
      </c>
      <c r="I57" s="494"/>
      <c r="J57" s="494"/>
      <c r="K57" s="494" t="s">
        <v>163</v>
      </c>
    </row>
  </sheetData>
  <mergeCells count="27">
    <mergeCell ref="B48:H48"/>
    <mergeCell ref="B30:I30"/>
    <mergeCell ref="A1:K1"/>
    <mergeCell ref="B6:I6"/>
    <mergeCell ref="F3:H3"/>
    <mergeCell ref="C5:E5"/>
    <mergeCell ref="C3:E4"/>
    <mergeCell ref="B25:I25"/>
    <mergeCell ref="B45:H45"/>
    <mergeCell ref="B28:H28"/>
    <mergeCell ref="B46:I46"/>
    <mergeCell ref="B26:H26"/>
    <mergeCell ref="B31:H31"/>
    <mergeCell ref="B37:I37"/>
    <mergeCell ref="B10:I10"/>
    <mergeCell ref="A2:K2"/>
    <mergeCell ref="B44:H44"/>
    <mergeCell ref="B35:H35"/>
    <mergeCell ref="B8:H8"/>
    <mergeCell ref="K3:K4"/>
    <mergeCell ref="A3:A4"/>
    <mergeCell ref="B3:B4"/>
    <mergeCell ref="I3:I4"/>
    <mergeCell ref="B12:H12"/>
    <mergeCell ref="J3:J4"/>
    <mergeCell ref="B14:I14"/>
    <mergeCell ref="B23:H23"/>
  </mergeCells>
  <printOptions gridLines="1"/>
  <pageMargins left="0.75" right="0.15" top="0.26" bottom="0.5" header="0.5" footer="0.5"/>
  <pageSetup paperSize="9" scale="89" orientation="portrait" r:id="rId1"/>
  <headerFooter alignWithMargins="0">
    <oddFooter>Page &amp;P of &amp;N</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92D050"/>
  </sheetPr>
  <dimension ref="A1:IV57"/>
  <sheetViews>
    <sheetView zoomScaleSheetLayoutView="85" workbookViewId="0">
      <selection sqref="A1:P1"/>
    </sheetView>
  </sheetViews>
  <sheetFormatPr defaultRowHeight="12.9"/>
  <cols>
    <col min="1" max="1" width="13.6640625" style="521" customWidth="1"/>
    <col min="2" max="2" width="38" style="519" customWidth="1"/>
    <col min="3" max="3" width="9.109375" style="519"/>
    <col min="4" max="4" width="17.5546875" style="519" customWidth="1"/>
    <col min="5" max="5" width="19" style="519" customWidth="1"/>
    <col min="6" max="256" width="9.109375" style="519"/>
  </cols>
  <sheetData>
    <row r="1" spans="1:12" ht="23.25" customHeight="1">
      <c r="A1" s="2770" t="s">
        <v>683</v>
      </c>
      <c r="B1" s="2771"/>
      <c r="C1" s="2771"/>
      <c r="D1" s="2771"/>
      <c r="E1" s="2771"/>
      <c r="F1" s="518"/>
      <c r="G1" s="518"/>
      <c r="H1" s="518"/>
      <c r="I1" s="518"/>
      <c r="J1" s="518"/>
      <c r="K1" s="518"/>
      <c r="L1" s="518"/>
    </row>
    <row r="2" spans="1:12" ht="39" customHeight="1">
      <c r="A2" s="2772" t="str">
        <f>'Lead- Input sheet '!A2</f>
        <v xml:space="preserve"> Construction of  Anganwadi Building at Jeedipally Thanda (V) of Kalwakurthy (M) of Nagarkurnool District </v>
      </c>
      <c r="B2" s="2773"/>
      <c r="C2" s="2773"/>
      <c r="D2" s="2773"/>
      <c r="E2" s="2774"/>
    </row>
    <row r="3" spans="1:12" s="521" customFormat="1" ht="32.25" customHeight="1">
      <c r="A3" s="520" t="s">
        <v>1355</v>
      </c>
      <c r="B3" s="520" t="s">
        <v>1356</v>
      </c>
      <c r="C3" s="520" t="s">
        <v>472</v>
      </c>
      <c r="D3" s="520" t="s">
        <v>679</v>
      </c>
      <c r="E3" s="520" t="s">
        <v>1115</v>
      </c>
    </row>
    <row r="4" spans="1:12" s="522" customFormat="1">
      <c r="A4" s="520">
        <v>1</v>
      </c>
      <c r="B4" s="520">
        <f>A4+1</f>
        <v>2</v>
      </c>
      <c r="C4" s="520">
        <f>B4+1</f>
        <v>3</v>
      </c>
      <c r="D4" s="520">
        <f>C4+1</f>
        <v>4</v>
      </c>
      <c r="E4" s="520">
        <f>D4+1</f>
        <v>5</v>
      </c>
    </row>
    <row r="5" spans="1:12" s="523" customFormat="1" ht="102.75" customHeight="1">
      <c r="A5" s="603">
        <v>1</v>
      </c>
      <c r="B5" s="604" t="s">
        <v>684</v>
      </c>
      <c r="C5" s="605" t="s">
        <v>688</v>
      </c>
      <c r="D5" s="606">
        <v>270</v>
      </c>
      <c r="E5" s="607">
        <f>ROUND(D5*270,)</f>
        <v>72900</v>
      </c>
    </row>
    <row r="6" spans="1:12" s="523" customFormat="1" ht="33" customHeight="1">
      <c r="A6" s="557">
        <v>2</v>
      </c>
      <c r="B6" s="558" t="s">
        <v>696</v>
      </c>
      <c r="C6" s="559" t="s">
        <v>691</v>
      </c>
      <c r="D6" s="560">
        <v>426</v>
      </c>
      <c r="E6" s="561">
        <f>ROUND(D6*50,0)</f>
        <v>21300</v>
      </c>
    </row>
    <row r="7" spans="1:12" s="523" customFormat="1" ht="15.3">
      <c r="A7" s="557">
        <f>A6+1</f>
        <v>3</v>
      </c>
      <c r="B7" s="558" t="s">
        <v>685</v>
      </c>
      <c r="C7" s="562">
        <v>2</v>
      </c>
      <c r="D7" s="560">
        <v>1000</v>
      </c>
      <c r="E7" s="561">
        <f>ROUND(D7*C7,0)</f>
        <v>2000</v>
      </c>
    </row>
    <row r="8" spans="1:12" s="523" customFormat="1" ht="64.5">
      <c r="A8" s="557">
        <v>4</v>
      </c>
      <c r="B8" s="558" t="s">
        <v>686</v>
      </c>
      <c r="C8" s="562">
        <v>1</v>
      </c>
      <c r="D8" s="560">
        <f>' DATA -Sanitary&amp;water supply'!G97</f>
        <v>28480</v>
      </c>
      <c r="E8" s="561">
        <f>ROUND(D8*C8,0)</f>
        <v>28480</v>
      </c>
    </row>
    <row r="9" spans="1:12" s="523" customFormat="1" ht="15.3">
      <c r="A9" s="557">
        <v>5</v>
      </c>
      <c r="B9" s="558" t="s">
        <v>692</v>
      </c>
      <c r="C9" s="562" t="s">
        <v>693</v>
      </c>
      <c r="D9" s="560">
        <v>35000</v>
      </c>
      <c r="E9" s="561">
        <f>ROUND(D9*1,0)</f>
        <v>35000</v>
      </c>
    </row>
    <row r="10" spans="1:12" s="523" customFormat="1" ht="90.3">
      <c r="A10" s="557">
        <v>6</v>
      </c>
      <c r="B10" s="558" t="s">
        <v>694</v>
      </c>
      <c r="C10" s="562">
        <v>200</v>
      </c>
      <c r="D10" s="560">
        <v>93</v>
      </c>
      <c r="E10" s="561">
        <f>ROUND(D10*C10,0)</f>
        <v>18600</v>
      </c>
    </row>
    <row r="11" spans="1:12" s="523" customFormat="1" ht="90.3">
      <c r="A11" s="557">
        <v>7</v>
      </c>
      <c r="B11" s="558" t="s">
        <v>695</v>
      </c>
      <c r="C11" s="562">
        <v>200</v>
      </c>
      <c r="D11" s="560">
        <v>64.400000000000006</v>
      </c>
      <c r="E11" s="561">
        <f>ROUND(D11*C11,0)</f>
        <v>12880</v>
      </c>
    </row>
    <row r="12" spans="1:12" s="523" customFormat="1" ht="15.3">
      <c r="A12" s="557">
        <v>8</v>
      </c>
      <c r="B12" s="558" t="s">
        <v>689</v>
      </c>
      <c r="C12" s="562">
        <v>1</v>
      </c>
      <c r="D12" s="560">
        <v>150000</v>
      </c>
      <c r="E12" s="561">
        <f>ROUND(D12*C12,0)</f>
        <v>150000</v>
      </c>
    </row>
    <row r="13" spans="1:12" s="523" customFormat="1" ht="30" customHeight="1">
      <c r="A13" s="557">
        <v>9</v>
      </c>
      <c r="B13" s="558" t="s">
        <v>690</v>
      </c>
      <c r="C13" s="562">
        <v>1</v>
      </c>
      <c r="D13" s="560">
        <v>15000</v>
      </c>
      <c r="E13" s="561">
        <f>ROUND(D13*C13,0)</f>
        <v>15000</v>
      </c>
    </row>
    <row r="14" spans="1:12" s="523" customFormat="1" ht="30" customHeight="1">
      <c r="A14" s="557"/>
      <c r="B14" s="558"/>
      <c r="C14" s="562"/>
      <c r="D14" s="560"/>
      <c r="E14" s="561">
        <v>9027</v>
      </c>
    </row>
    <row r="15" spans="1:12" s="583" customFormat="1" ht="32.25" customHeight="1">
      <c r="A15" s="563"/>
      <c r="B15" s="564"/>
      <c r="C15" s="564"/>
      <c r="D15" s="608" t="s">
        <v>229</v>
      </c>
      <c r="E15" s="565">
        <f>SUM(E5:E14)</f>
        <v>365187</v>
      </c>
      <c r="F15" s="584">
        <f>E15-375000</f>
        <v>-9813</v>
      </c>
    </row>
    <row r="16" spans="1:12" s="583" customFormat="1" ht="32.25" customHeight="1">
      <c r="A16" s="609"/>
      <c r="B16" s="571"/>
      <c r="C16" s="571"/>
      <c r="D16" s="602"/>
      <c r="E16" s="574"/>
      <c r="F16" s="584"/>
    </row>
    <row r="17" spans="1:11" s="583" customFormat="1" ht="32.25" customHeight="1">
      <c r="A17" s="609"/>
      <c r="B17" s="571"/>
      <c r="C17" s="571"/>
      <c r="D17" s="602"/>
      <c r="E17" s="574"/>
      <c r="F17" s="584"/>
    </row>
    <row r="18" spans="1:11" s="525" customFormat="1" ht="19.5" customHeight="1">
      <c r="A18" s="524"/>
      <c r="D18" s="526"/>
      <c r="E18" s="527"/>
    </row>
    <row r="19" spans="1:11" s="525" customFormat="1" ht="20.2" hidden="1" customHeight="1">
      <c r="A19" s="524"/>
      <c r="D19" s="526"/>
      <c r="E19" s="528"/>
    </row>
    <row r="20" spans="1:11" s="293" customFormat="1" ht="11.1">
      <c r="A20" s="47" t="s">
        <v>164</v>
      </c>
      <c r="B20" s="495" t="s">
        <v>1211</v>
      </c>
      <c r="C20" s="299"/>
      <c r="D20" s="503" t="s">
        <v>852</v>
      </c>
      <c r="E20" s="494" t="s">
        <v>162</v>
      </c>
      <c r="F20" s="502"/>
      <c r="G20" s="503"/>
      <c r="H20" s="503"/>
      <c r="J20" s="494"/>
      <c r="K20" s="494"/>
    </row>
    <row r="21" spans="1:11" s="293" customFormat="1" ht="11.1">
      <c r="A21" s="47" t="s">
        <v>1451</v>
      </c>
      <c r="B21" s="495" t="s">
        <v>1450</v>
      </c>
      <c r="C21" s="299"/>
      <c r="D21" s="503" t="s">
        <v>1452</v>
      </c>
      <c r="E21" s="494" t="s">
        <v>163</v>
      </c>
      <c r="F21" s="502"/>
      <c r="G21" s="503"/>
      <c r="H21" s="503"/>
      <c r="J21" s="494"/>
      <c r="K21" s="494"/>
    </row>
    <row r="22" spans="1:11" s="522" customFormat="1">
      <c r="A22" s="521"/>
    </row>
    <row r="23" spans="1:11" s="522" customFormat="1">
      <c r="A23" s="521"/>
    </row>
    <row r="24" spans="1:11" s="522" customFormat="1">
      <c r="A24" s="521"/>
    </row>
    <row r="25" spans="1:11" s="522" customFormat="1">
      <c r="A25" s="521"/>
    </row>
    <row r="26" spans="1:11" s="522" customFormat="1">
      <c r="A26" s="521"/>
    </row>
    <row r="27" spans="1:11" s="522" customFormat="1">
      <c r="A27" s="521"/>
    </row>
    <row r="28" spans="1:11" s="522" customFormat="1">
      <c r="A28" s="521"/>
    </row>
    <row r="29" spans="1:11" s="522" customFormat="1">
      <c r="A29" s="521"/>
    </row>
    <row r="30" spans="1:11" s="522" customFormat="1">
      <c r="A30" s="521"/>
    </row>
    <row r="31" spans="1:11" s="522" customFormat="1">
      <c r="A31" s="521"/>
    </row>
    <row r="32" spans="1:11" s="522" customFormat="1">
      <c r="A32" s="521"/>
    </row>
    <row r="33" spans="1:5" s="522" customFormat="1">
      <c r="A33" s="521"/>
    </row>
    <row r="34" spans="1:5" s="522" customFormat="1">
      <c r="A34" s="521"/>
      <c r="E34" s="522" t="s">
        <v>1480</v>
      </c>
    </row>
    <row r="35" spans="1:5" s="522" customFormat="1">
      <c r="A35" s="521"/>
      <c r="E35" s="522" t="s">
        <v>1480</v>
      </c>
    </row>
    <row r="36" spans="1:5" s="522" customFormat="1">
      <c r="A36" s="521"/>
    </row>
    <row r="37" spans="1:5" s="522" customFormat="1">
      <c r="A37" s="521"/>
    </row>
    <row r="38" spans="1:5" s="522" customFormat="1">
      <c r="A38" s="521"/>
    </row>
    <row r="39" spans="1:5" s="522" customFormat="1">
      <c r="A39" s="521"/>
    </row>
    <row r="40" spans="1:5" s="522" customFormat="1">
      <c r="A40" s="521"/>
    </row>
    <row r="41" spans="1:5" s="522" customFormat="1">
      <c r="A41" s="521"/>
    </row>
    <row r="42" spans="1:5" s="522" customFormat="1">
      <c r="A42" s="521"/>
    </row>
    <row r="43" spans="1:5" s="522" customFormat="1">
      <c r="A43" s="521"/>
    </row>
    <row r="44" spans="1:5" s="522" customFormat="1">
      <c r="A44" s="521"/>
    </row>
    <row r="45" spans="1:5" s="522" customFormat="1">
      <c r="A45" s="521"/>
    </row>
    <row r="46" spans="1:5" s="522" customFormat="1">
      <c r="A46" s="521"/>
    </row>
    <row r="47" spans="1:5" s="522" customFormat="1">
      <c r="A47" s="521"/>
    </row>
    <row r="48" spans="1:5" s="522" customFormat="1">
      <c r="A48" s="521"/>
    </row>
    <row r="49" spans="1:1" s="522" customFormat="1">
      <c r="A49" s="521"/>
    </row>
    <row r="50" spans="1:1" s="522" customFormat="1">
      <c r="A50" s="521"/>
    </row>
    <row r="51" spans="1:1" s="522" customFormat="1">
      <c r="A51" s="521"/>
    </row>
    <row r="52" spans="1:1" s="522" customFormat="1">
      <c r="A52" s="521"/>
    </row>
    <row r="53" spans="1:1" s="522" customFormat="1">
      <c r="A53" s="521"/>
    </row>
    <row r="54" spans="1:1" s="522" customFormat="1">
      <c r="A54" s="521"/>
    </row>
    <row r="55" spans="1:1" s="522" customFormat="1">
      <c r="A55" s="521"/>
    </row>
    <row r="56" spans="1:1" s="522" customFormat="1">
      <c r="A56" s="521"/>
    </row>
    <row r="57" spans="1:1" s="522" customFormat="1">
      <c r="A57" s="521"/>
    </row>
  </sheetData>
  <mergeCells count="2">
    <mergeCell ref="A1:E1"/>
    <mergeCell ref="A2:E2"/>
  </mergeCells>
  <pageMargins left="0.75" right="0.34" top="0.5" bottom="0.25" header="0.5" footer="0.42"/>
  <pageSetup paperSize="9" scale="94" orientation="portrait" r:id="rId1"/>
  <headerFooter alignWithMargins="0">
    <oddFooter>Page &amp;P&amp;R&amp;A</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92D050"/>
  </sheetPr>
  <dimension ref="A1:IV57"/>
  <sheetViews>
    <sheetView topLeftCell="A4" zoomScaleSheetLayoutView="85" workbookViewId="0">
      <selection sqref="A1:P1"/>
    </sheetView>
  </sheetViews>
  <sheetFormatPr defaultRowHeight="12.9"/>
  <cols>
    <col min="1" max="1" width="10.5546875" style="521" customWidth="1"/>
    <col min="2" max="2" width="35.44140625" style="519" customWidth="1"/>
    <col min="3" max="3" width="6.44140625" style="519" customWidth="1"/>
    <col min="4" max="4" width="19.33203125" style="519" customWidth="1"/>
    <col min="5" max="5" width="19" style="519" customWidth="1"/>
    <col min="6" max="256" width="9.109375" style="519"/>
  </cols>
  <sheetData>
    <row r="1" spans="1:12" s="615" customFormat="1" ht="45" customHeight="1">
      <c r="A1" s="2775" t="s">
        <v>677</v>
      </c>
      <c r="B1" s="2776"/>
      <c r="C1" s="2776"/>
      <c r="D1" s="2776"/>
      <c r="E1" s="2776"/>
      <c r="F1" s="614"/>
      <c r="G1" s="614"/>
      <c r="H1" s="614"/>
      <c r="I1" s="614"/>
      <c r="J1" s="614"/>
      <c r="K1" s="614"/>
      <c r="L1" s="614"/>
    </row>
    <row r="2" spans="1:12" ht="39" customHeight="1">
      <c r="A2" s="2772" t="str">
        <f>'Lead- Input sheet '!A2</f>
        <v xml:space="preserve"> Construction of  Anganwadi Building at Jeedipally Thanda (V) of Kalwakurthy (M) of Nagarkurnool District </v>
      </c>
      <c r="B2" s="2773"/>
      <c r="C2" s="2773"/>
      <c r="D2" s="2773"/>
      <c r="E2" s="2774"/>
    </row>
    <row r="3" spans="1:12" s="521" customFormat="1" ht="32.25" customHeight="1">
      <c r="A3" s="520" t="s">
        <v>1355</v>
      </c>
      <c r="B3" s="520" t="s">
        <v>1356</v>
      </c>
      <c r="C3" s="520" t="s">
        <v>472</v>
      </c>
      <c r="D3" s="520" t="s">
        <v>679</v>
      </c>
      <c r="E3" s="520" t="s">
        <v>1115</v>
      </c>
    </row>
    <row r="4" spans="1:12" s="522" customFormat="1">
      <c r="A4" s="520">
        <v>1</v>
      </c>
      <c r="B4" s="520">
        <f>A4+1</f>
        <v>2</v>
      </c>
      <c r="C4" s="520">
        <f>B4+1</f>
        <v>3</v>
      </c>
      <c r="D4" s="520">
        <f>C4+1</f>
        <v>4</v>
      </c>
      <c r="E4" s="520">
        <f>D4+1</f>
        <v>5</v>
      </c>
    </row>
    <row r="5" spans="1:12" s="523" customFormat="1" ht="70.5" customHeight="1">
      <c r="A5" s="566">
        <v>1</v>
      </c>
      <c r="B5" s="567" t="s">
        <v>678</v>
      </c>
      <c r="C5" s="612">
        <v>200</v>
      </c>
      <c r="D5" s="568">
        <v>2500</v>
      </c>
      <c r="E5" s="613">
        <f t="shared" ref="E5:E10" si="0">D5*C5</f>
        <v>500000</v>
      </c>
    </row>
    <row r="6" spans="1:12" s="523" customFormat="1" ht="51" customHeight="1">
      <c r="A6" s="557">
        <v>2</v>
      </c>
      <c r="B6" s="558" t="s">
        <v>681</v>
      </c>
      <c r="C6" s="562">
        <v>1</v>
      </c>
      <c r="D6" s="560">
        <v>200000</v>
      </c>
      <c r="E6" s="610">
        <f t="shared" si="0"/>
        <v>200000</v>
      </c>
    </row>
    <row r="7" spans="1:12" s="523" customFormat="1" ht="39.9" customHeight="1">
      <c r="A7" s="557">
        <v>3</v>
      </c>
      <c r="B7" s="558" t="s">
        <v>680</v>
      </c>
      <c r="C7" s="562">
        <v>1</v>
      </c>
      <c r="D7" s="560">
        <v>200000</v>
      </c>
      <c r="E7" s="610">
        <f t="shared" si="0"/>
        <v>200000</v>
      </c>
    </row>
    <row r="8" spans="1:12" s="523" customFormat="1" ht="42.75" customHeight="1">
      <c r="A8" s="557">
        <v>4</v>
      </c>
      <c r="B8" s="558" t="s">
        <v>47</v>
      </c>
      <c r="C8" s="562">
        <v>1</v>
      </c>
      <c r="D8" s="560">
        <v>100000</v>
      </c>
      <c r="E8" s="610">
        <f t="shared" si="0"/>
        <v>100000</v>
      </c>
    </row>
    <row r="9" spans="1:12" s="523" customFormat="1" ht="46.5" customHeight="1">
      <c r="A9" s="557">
        <v>5</v>
      </c>
      <c r="B9" s="558" t="s">
        <v>46</v>
      </c>
      <c r="C9" s="562">
        <v>1</v>
      </c>
      <c r="D9" s="560">
        <v>150000</v>
      </c>
      <c r="E9" s="610">
        <f t="shared" si="0"/>
        <v>150000</v>
      </c>
    </row>
    <row r="10" spans="1:12" s="523" customFormat="1" ht="39.9" customHeight="1">
      <c r="A10" s="557">
        <v>6</v>
      </c>
      <c r="B10" s="558" t="s">
        <v>682</v>
      </c>
      <c r="C10" s="562">
        <v>10</v>
      </c>
      <c r="D10" s="560">
        <v>50000</v>
      </c>
      <c r="E10" s="610">
        <f t="shared" si="0"/>
        <v>500000</v>
      </c>
    </row>
    <row r="11" spans="1:12" s="583" customFormat="1" ht="32.25" customHeight="1">
      <c r="A11" s="563"/>
      <c r="B11" s="564"/>
      <c r="C11" s="564"/>
      <c r="D11" s="608" t="s">
        <v>229</v>
      </c>
      <c r="E11" s="611">
        <f>SUM(E5:E10)</f>
        <v>1650000</v>
      </c>
    </row>
    <row r="12" spans="1:12" s="523" customFormat="1" ht="32.25" customHeight="1">
      <c r="A12" s="570"/>
      <c r="B12" s="571"/>
      <c r="C12" s="571"/>
      <c r="D12" s="572"/>
      <c r="E12" s="573"/>
    </row>
    <row r="13" spans="1:12" s="525" customFormat="1" ht="19.5" customHeight="1">
      <c r="A13" s="524"/>
      <c r="D13" s="526"/>
      <c r="E13" s="527"/>
    </row>
    <row r="14" spans="1:12" s="525" customFormat="1" ht="20.2" hidden="1" customHeight="1">
      <c r="A14" s="524"/>
      <c r="D14" s="526"/>
      <c r="E14" s="528"/>
    </row>
    <row r="15" spans="1:12" s="495" customFormat="1" ht="11.1">
      <c r="A15" s="495" t="s">
        <v>164</v>
      </c>
      <c r="B15" s="495" t="s">
        <v>1211</v>
      </c>
      <c r="D15" s="569" t="s">
        <v>852</v>
      </c>
      <c r="E15" s="569" t="s">
        <v>162</v>
      </c>
      <c r="F15" s="502"/>
      <c r="G15" s="569"/>
      <c r="H15" s="569"/>
      <c r="J15" s="569"/>
      <c r="K15" s="569"/>
    </row>
    <row r="16" spans="1:12" s="495" customFormat="1" ht="11.1">
      <c r="A16" s="495" t="s">
        <v>1451</v>
      </c>
      <c r="B16" s="495" t="s">
        <v>1450</v>
      </c>
      <c r="D16" s="569" t="s">
        <v>1452</v>
      </c>
      <c r="E16" s="569" t="s">
        <v>163</v>
      </c>
      <c r="F16" s="502"/>
      <c r="G16" s="569"/>
      <c r="H16" s="569"/>
      <c r="J16" s="569"/>
      <c r="K16" s="569"/>
    </row>
    <row r="17" spans="1:5" s="522" customFormat="1">
      <c r="A17" s="521"/>
      <c r="B17" s="529"/>
      <c r="C17" s="529"/>
      <c r="D17" s="529"/>
      <c r="E17" s="529"/>
    </row>
    <row r="18" spans="1:5" s="522" customFormat="1" ht="32.25" customHeight="1">
      <c r="A18" s="521"/>
      <c r="B18" s="530"/>
      <c r="C18" s="530"/>
      <c r="D18" s="530"/>
      <c r="E18" s="531"/>
    </row>
    <row r="19" spans="1:5" s="519" customFormat="1" ht="15" customHeight="1">
      <c r="A19" s="521"/>
      <c r="B19" s="532"/>
      <c r="C19" s="532"/>
      <c r="D19" s="533"/>
      <c r="E19" s="533"/>
    </row>
    <row r="20" spans="1:5" s="519" customFormat="1">
      <c r="A20" s="521"/>
      <c r="B20" s="534"/>
      <c r="C20" s="534"/>
      <c r="D20" s="533"/>
      <c r="E20" s="533"/>
    </row>
    <row r="21" spans="1:5" s="522" customFormat="1">
      <c r="A21" s="521"/>
    </row>
    <row r="22" spans="1:5" s="522" customFormat="1">
      <c r="A22" s="521"/>
    </row>
    <row r="23" spans="1:5" s="522" customFormat="1">
      <c r="A23" s="521"/>
    </row>
    <row r="24" spans="1:5" s="522" customFormat="1">
      <c r="A24" s="521"/>
    </row>
    <row r="25" spans="1:5" s="522" customFormat="1">
      <c r="A25" s="521"/>
    </row>
    <row r="26" spans="1:5" s="522" customFormat="1">
      <c r="A26" s="521"/>
    </row>
    <row r="27" spans="1:5" s="522" customFormat="1">
      <c r="A27" s="521"/>
    </row>
    <row r="28" spans="1:5" s="522" customFormat="1">
      <c r="A28" s="521"/>
    </row>
    <row r="29" spans="1:5" s="522" customFormat="1">
      <c r="A29" s="521"/>
    </row>
    <row r="30" spans="1:5" s="522" customFormat="1">
      <c r="A30" s="521"/>
    </row>
    <row r="31" spans="1:5" s="522" customFormat="1">
      <c r="A31" s="521"/>
    </row>
    <row r="32" spans="1:5" s="522" customFormat="1">
      <c r="A32" s="521"/>
    </row>
    <row r="33" spans="1:5" s="522" customFormat="1">
      <c r="A33" s="521"/>
    </row>
    <row r="34" spans="1:5" s="522" customFormat="1">
      <c r="A34" s="521"/>
      <c r="E34" s="522" t="s">
        <v>1480</v>
      </c>
    </row>
    <row r="35" spans="1:5" s="522" customFormat="1">
      <c r="A35" s="521"/>
      <c r="E35" s="522" t="s">
        <v>1480</v>
      </c>
    </row>
    <row r="36" spans="1:5" s="522" customFormat="1">
      <c r="A36" s="521"/>
    </row>
    <row r="37" spans="1:5" s="522" customFormat="1">
      <c r="A37" s="521"/>
    </row>
    <row r="38" spans="1:5" s="522" customFormat="1">
      <c r="A38" s="521"/>
    </row>
    <row r="39" spans="1:5" s="522" customFormat="1">
      <c r="A39" s="521"/>
    </row>
    <row r="40" spans="1:5" s="522" customFormat="1">
      <c r="A40" s="521"/>
    </row>
    <row r="41" spans="1:5" s="522" customFormat="1">
      <c r="A41" s="521"/>
    </row>
    <row r="42" spans="1:5" s="522" customFormat="1">
      <c r="A42" s="521"/>
    </row>
    <row r="43" spans="1:5" s="522" customFormat="1">
      <c r="A43" s="521"/>
    </row>
    <row r="44" spans="1:5" s="522" customFormat="1">
      <c r="A44" s="521"/>
    </row>
    <row r="45" spans="1:5" s="522" customFormat="1">
      <c r="A45" s="521"/>
    </row>
    <row r="46" spans="1:5" s="522" customFormat="1">
      <c r="A46" s="521"/>
    </row>
    <row r="47" spans="1:5" s="522" customFormat="1">
      <c r="A47" s="521"/>
    </row>
    <row r="48" spans="1:5" s="522" customFormat="1">
      <c r="A48" s="521"/>
    </row>
    <row r="49" spans="1:1" s="522" customFormat="1">
      <c r="A49" s="521"/>
    </row>
    <row r="50" spans="1:1" s="522" customFormat="1">
      <c r="A50" s="521"/>
    </row>
    <row r="51" spans="1:1" s="522" customFormat="1">
      <c r="A51" s="521"/>
    </row>
    <row r="52" spans="1:1" s="522" customFormat="1">
      <c r="A52" s="521"/>
    </row>
    <row r="53" spans="1:1" s="522" customFormat="1">
      <c r="A53" s="521"/>
    </row>
    <row r="54" spans="1:1" s="522" customFormat="1">
      <c r="A54" s="521"/>
    </row>
    <row r="55" spans="1:1" s="522" customFormat="1">
      <c r="A55" s="521"/>
    </row>
    <row r="56" spans="1:1" s="522" customFormat="1">
      <c r="A56" s="521"/>
    </row>
    <row r="57" spans="1:1" s="522" customFormat="1">
      <c r="A57" s="521"/>
    </row>
  </sheetData>
  <mergeCells count="2">
    <mergeCell ref="A1:E1"/>
    <mergeCell ref="A2:E2"/>
  </mergeCells>
  <pageMargins left="1.1200000000000001" right="0.34" top="0.5" bottom="0.25" header="0.5" footer="0.42"/>
  <pageSetup paperSize="9" scale="94"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indexed="29"/>
  </sheetPr>
  <dimension ref="A1:IV1010"/>
  <sheetViews>
    <sheetView zoomScaleNormal="115" zoomScaleSheetLayoutView="125" workbookViewId="0">
      <pane ySplit="5" topLeftCell="A145" activePane="bottomLeft" state="frozen"/>
      <selection pane="bottomLeft" activeCell="C409" sqref="A409:IV409"/>
    </sheetView>
  </sheetViews>
  <sheetFormatPr defaultRowHeight="12.9"/>
  <cols>
    <col min="1" max="1" width="3.109375" style="152" customWidth="1"/>
    <col min="2" max="2" width="6.6640625" style="152" customWidth="1"/>
    <col min="3" max="3" width="15.5546875" style="3" customWidth="1"/>
    <col min="4" max="4" width="2" style="152" customWidth="1"/>
    <col min="5" max="5" width="2" style="3" customWidth="1"/>
    <col min="6" max="6" width="3.6640625" style="346" customWidth="1"/>
    <col min="7" max="7" width="7.44140625" style="153" customWidth="1"/>
    <col min="8" max="8" width="7.33203125" style="153" customWidth="1"/>
    <col min="9" max="9" width="6.5546875" style="123" customWidth="1"/>
    <col min="10" max="10" width="7.44140625" style="123" customWidth="1"/>
    <col min="11" max="11" width="7.5546875" style="123" customWidth="1"/>
    <col min="12" max="12" width="9.33203125" style="123" customWidth="1"/>
    <col min="13" max="13" width="11.109375" style="123" customWidth="1"/>
    <col min="14" max="14" width="11.44140625" style="123" customWidth="1"/>
    <col min="15" max="16" width="9.6640625" style="123" customWidth="1"/>
    <col min="17" max="17" width="12.44140625" style="123" customWidth="1"/>
    <col min="18" max="256" width="9.109375" style="3"/>
  </cols>
  <sheetData>
    <row r="1" spans="1:17" ht="14.4">
      <c r="A1" s="2747" t="s">
        <v>1387</v>
      </c>
      <c r="B1" s="2747"/>
      <c r="C1" s="2748"/>
      <c r="D1" s="2748"/>
      <c r="E1" s="2748"/>
      <c r="F1" s="2748"/>
      <c r="G1" s="2748"/>
      <c r="H1" s="2748"/>
      <c r="I1" s="2748"/>
      <c r="J1" s="2748"/>
      <c r="K1" s="2748"/>
      <c r="L1" s="2748"/>
      <c r="M1" s="2748"/>
      <c r="N1" s="2748"/>
      <c r="O1" s="65"/>
      <c r="P1" s="65"/>
      <c r="Q1" s="65"/>
    </row>
    <row r="2" spans="1:17" ht="36" customHeight="1">
      <c r="A2" s="2746" t="str">
        <f>'Lead- Input sheet '!A2</f>
        <v xml:space="preserve"> Construction of  Anganwadi Building at Jeedipally Thanda (V) of Kalwakurthy (M) of Nagarkurnool District </v>
      </c>
      <c r="B2" s="2746"/>
      <c r="C2" s="2746"/>
      <c r="D2" s="2746"/>
      <c r="E2" s="2746"/>
      <c r="F2" s="2746"/>
      <c r="G2" s="2746"/>
      <c r="H2" s="2746"/>
      <c r="I2" s="2746"/>
      <c r="J2" s="2746"/>
      <c r="K2" s="2746"/>
      <c r="L2" s="2746"/>
      <c r="M2" s="2746"/>
      <c r="N2" s="2746"/>
      <c r="O2" s="66"/>
      <c r="P2" s="66"/>
      <c r="Q2" s="66"/>
    </row>
    <row r="3" spans="1:17" ht="30" customHeight="1">
      <c r="A3" s="2752" t="s">
        <v>1200</v>
      </c>
      <c r="B3" s="2796" t="s">
        <v>711</v>
      </c>
      <c r="C3" s="2742" t="s">
        <v>1201</v>
      </c>
      <c r="D3" s="2742" t="s">
        <v>527</v>
      </c>
      <c r="E3" s="2742"/>
      <c r="F3" s="2742"/>
      <c r="G3" s="2749" t="s">
        <v>1202</v>
      </c>
      <c r="H3" s="2749"/>
      <c r="I3" s="2749"/>
      <c r="J3" s="2804" t="s">
        <v>786</v>
      </c>
      <c r="K3" s="2807" t="s">
        <v>1203</v>
      </c>
      <c r="L3" s="2805" t="s">
        <v>642</v>
      </c>
      <c r="M3" s="2805" t="s">
        <v>641</v>
      </c>
      <c r="N3" s="2750" t="s">
        <v>1115</v>
      </c>
      <c r="O3" s="2806" t="s">
        <v>1204</v>
      </c>
      <c r="P3" s="2804" t="s">
        <v>1205</v>
      </c>
      <c r="Q3" s="2804"/>
    </row>
    <row r="4" spans="1:17" ht="30" customHeight="1">
      <c r="A4" s="2752"/>
      <c r="B4" s="2796"/>
      <c r="C4" s="2742"/>
      <c r="D4" s="2742"/>
      <c r="E4" s="2742"/>
      <c r="F4" s="2742"/>
      <c r="G4" s="67" t="s">
        <v>1417</v>
      </c>
      <c r="H4" s="67" t="s">
        <v>859</v>
      </c>
      <c r="I4" s="67" t="s">
        <v>785</v>
      </c>
      <c r="J4" s="2804"/>
      <c r="K4" s="2807"/>
      <c r="L4" s="2805"/>
      <c r="M4" s="2805"/>
      <c r="N4" s="2750"/>
      <c r="O4" s="2806"/>
      <c r="P4" s="2804"/>
      <c r="Q4" s="2804"/>
    </row>
    <row r="5" spans="1:17" s="72" customFormat="1" ht="10.5" customHeight="1">
      <c r="A5" s="68">
        <v>1</v>
      </c>
      <c r="B5" s="68" t="s">
        <v>1092</v>
      </c>
      <c r="C5" s="69">
        <f>A5+1</f>
        <v>2</v>
      </c>
      <c r="D5" s="2745">
        <f>C5+1</f>
        <v>3</v>
      </c>
      <c r="E5" s="2745"/>
      <c r="F5" s="2745"/>
      <c r="G5" s="70">
        <f>D5+1</f>
        <v>4</v>
      </c>
      <c r="H5" s="70">
        <f>G5+1</f>
        <v>5</v>
      </c>
      <c r="I5" s="70">
        <f t="shared" ref="I5:Q5" si="0">H5+1</f>
        <v>6</v>
      </c>
      <c r="J5" s="70">
        <f t="shared" si="0"/>
        <v>7</v>
      </c>
      <c r="K5" s="70">
        <f t="shared" si="0"/>
        <v>8</v>
      </c>
      <c r="L5" s="70">
        <f>K5+1</f>
        <v>9</v>
      </c>
      <c r="M5" s="70">
        <f t="shared" si="0"/>
        <v>10</v>
      </c>
      <c r="N5" s="70">
        <f t="shared" si="0"/>
        <v>11</v>
      </c>
      <c r="O5" s="71">
        <f t="shared" si="0"/>
        <v>12</v>
      </c>
      <c r="P5" s="70">
        <f t="shared" si="0"/>
        <v>13</v>
      </c>
      <c r="Q5" s="70">
        <f t="shared" si="0"/>
        <v>14</v>
      </c>
    </row>
    <row r="6" spans="1:17" ht="125.2" customHeight="1">
      <c r="A6" s="73">
        <v>1</v>
      </c>
      <c r="B6" s="220"/>
      <c r="C6" s="2766" t="s">
        <v>332</v>
      </c>
      <c r="D6" s="2766"/>
      <c r="E6" s="2766"/>
      <c r="F6" s="2766"/>
      <c r="G6" s="2766"/>
      <c r="H6" s="2766"/>
      <c r="I6" s="2766"/>
      <c r="J6" s="2766"/>
      <c r="K6" s="74"/>
      <c r="L6" s="74"/>
      <c r="M6" s="221"/>
      <c r="N6" s="75"/>
      <c r="O6" s="76"/>
      <c r="P6" s="77"/>
      <c r="Q6" s="77"/>
    </row>
    <row r="7" spans="1:17" ht="15.3">
      <c r="A7" s="78"/>
      <c r="B7" s="79"/>
      <c r="C7" s="80" t="s">
        <v>317</v>
      </c>
      <c r="D7" s="64"/>
      <c r="E7" s="64"/>
      <c r="F7" s="345"/>
      <c r="G7" s="81"/>
      <c r="H7" s="81"/>
      <c r="I7" s="81"/>
      <c r="J7" s="81"/>
      <c r="K7" s="82"/>
      <c r="L7" s="82"/>
      <c r="M7" s="222"/>
      <c r="N7" s="83"/>
      <c r="O7" s="84"/>
      <c r="P7" s="85"/>
      <c r="Q7" s="85"/>
    </row>
    <row r="8" spans="1:17" ht="21.75" customHeight="1">
      <c r="A8" s="78"/>
      <c r="B8" s="79"/>
      <c r="C8" s="86" t="s">
        <v>655</v>
      </c>
      <c r="D8" s="87">
        <v>1</v>
      </c>
      <c r="E8" s="87" t="s">
        <v>1472</v>
      </c>
      <c r="F8" s="87">
        <v>6</v>
      </c>
      <c r="G8" s="88">
        <v>2</v>
      </c>
      <c r="H8" s="88">
        <v>2</v>
      </c>
      <c r="I8" s="88">
        <v>1.65</v>
      </c>
      <c r="J8" s="88">
        <f t="shared" ref="J8:J16" si="1">ROUND(D8*F8*G8*H8*I8,2)</f>
        <v>39.6</v>
      </c>
      <c r="K8" s="82"/>
      <c r="L8" s="222"/>
      <c r="M8" s="222"/>
      <c r="N8" s="83"/>
      <c r="O8" s="89"/>
      <c r="P8" s="88"/>
      <c r="Q8" s="88"/>
    </row>
    <row r="9" spans="1:17" ht="21.75" customHeight="1">
      <c r="A9" s="78"/>
      <c r="B9" s="79"/>
      <c r="C9" s="86" t="s">
        <v>71</v>
      </c>
      <c r="D9" s="87">
        <v>1</v>
      </c>
      <c r="E9" s="87" t="s">
        <v>1472</v>
      </c>
      <c r="F9" s="87">
        <v>12</v>
      </c>
      <c r="G9" s="88">
        <v>1.8</v>
      </c>
      <c r="H9" s="88">
        <v>1.8</v>
      </c>
      <c r="I9" s="88">
        <v>1.65</v>
      </c>
      <c r="J9" s="88">
        <f>ROUND(D9*F9*G9*H9*I9,2)</f>
        <v>64.150000000000006</v>
      </c>
      <c r="K9" s="82"/>
      <c r="L9" s="222"/>
      <c r="M9" s="222"/>
      <c r="N9" s="83"/>
      <c r="O9" s="89"/>
      <c r="P9" s="88"/>
      <c r="Q9" s="88"/>
    </row>
    <row r="10" spans="1:17" ht="21.75" customHeight="1">
      <c r="A10" s="78"/>
      <c r="B10" s="79"/>
      <c r="C10" s="86" t="s">
        <v>444</v>
      </c>
      <c r="D10" s="87">
        <v>1</v>
      </c>
      <c r="E10" s="87" t="s">
        <v>1472</v>
      </c>
      <c r="F10" s="87">
        <v>1</v>
      </c>
      <c r="G10" s="88">
        <v>1.35</v>
      </c>
      <c r="H10" s="88">
        <v>1.35</v>
      </c>
      <c r="I10" s="88">
        <v>1.65</v>
      </c>
      <c r="J10" s="88">
        <f t="shared" si="1"/>
        <v>3.01</v>
      </c>
      <c r="K10" s="82"/>
      <c r="L10" s="222"/>
      <c r="M10" s="222"/>
      <c r="N10" s="83"/>
      <c r="O10" s="89"/>
      <c r="P10" s="88"/>
      <c r="Q10" s="88"/>
    </row>
    <row r="11" spans="1:17" ht="30" customHeight="1">
      <c r="A11" s="78"/>
      <c r="B11" s="79"/>
      <c r="C11" s="90" t="s">
        <v>318</v>
      </c>
      <c r="D11" s="87">
        <v>1</v>
      </c>
      <c r="E11" s="87" t="s">
        <v>1472</v>
      </c>
      <c r="F11" s="87">
        <v>1</v>
      </c>
      <c r="G11" s="88">
        <f>(20.4-4*1.8-2*2-0.3)</f>
        <v>8.8999999999999986</v>
      </c>
      <c r="H11" s="88">
        <v>0.6</v>
      </c>
      <c r="I11" s="88">
        <v>0.7</v>
      </c>
      <c r="J11" s="88">
        <f t="shared" si="1"/>
        <v>3.74</v>
      </c>
      <c r="K11" s="82"/>
      <c r="L11" s="222"/>
      <c r="M11" s="222"/>
      <c r="N11" s="83"/>
      <c r="O11" s="89"/>
      <c r="P11" s="88"/>
      <c r="Q11" s="88"/>
    </row>
    <row r="12" spans="1:17" ht="30" customHeight="1">
      <c r="A12" s="78"/>
      <c r="B12" s="79"/>
      <c r="C12" s="90" t="s">
        <v>319</v>
      </c>
      <c r="D12" s="87">
        <v>1</v>
      </c>
      <c r="E12" s="87" t="s">
        <v>1472</v>
      </c>
      <c r="F12" s="87">
        <v>1</v>
      </c>
      <c r="G12" s="88">
        <f>(20.4-3.5*1.8-2*2-0.5*1.35-0.3)</f>
        <v>9.1249999999999964</v>
      </c>
      <c r="H12" s="88">
        <v>0.6</v>
      </c>
      <c r="I12" s="88">
        <v>0.7</v>
      </c>
      <c r="J12" s="88">
        <f t="shared" si="1"/>
        <v>3.83</v>
      </c>
      <c r="K12" s="82"/>
      <c r="L12" s="222"/>
      <c r="M12" s="222"/>
      <c r="N12" s="83"/>
      <c r="O12" s="89"/>
      <c r="P12" s="88"/>
      <c r="Q12" s="88"/>
    </row>
    <row r="13" spans="1:17" ht="30" customHeight="1">
      <c r="A13" s="78"/>
      <c r="B13" s="79"/>
      <c r="C13" s="90" t="s">
        <v>320</v>
      </c>
      <c r="D13" s="87">
        <v>1</v>
      </c>
      <c r="E13" s="87" t="s">
        <v>1472</v>
      </c>
      <c r="F13" s="87">
        <v>1</v>
      </c>
      <c r="G13" s="88">
        <f>(8.175-1*1.8-1*2-0.3)</f>
        <v>4.0750000000000011</v>
      </c>
      <c r="H13" s="88">
        <v>0.6</v>
      </c>
      <c r="I13" s="88">
        <v>0.7</v>
      </c>
      <c r="J13" s="88">
        <f>ROUND(D13*F13*G13*H13*I13,2)</f>
        <v>1.71</v>
      </c>
      <c r="K13" s="82"/>
      <c r="L13" s="222"/>
      <c r="M13" s="222"/>
      <c r="N13" s="83"/>
      <c r="O13" s="89"/>
      <c r="P13" s="88"/>
      <c r="Q13" s="88"/>
    </row>
    <row r="14" spans="1:17" ht="30" customHeight="1">
      <c r="A14" s="78"/>
      <c r="B14" s="79"/>
      <c r="C14" s="90" t="s">
        <v>321</v>
      </c>
      <c r="D14" s="87">
        <v>1</v>
      </c>
      <c r="E14" s="87" t="s">
        <v>1472</v>
      </c>
      <c r="F14" s="87">
        <v>1</v>
      </c>
      <c r="G14" s="88">
        <f>(8.175-1.5*1.8-1*1.35-0.3)</f>
        <v>3.8250000000000002</v>
      </c>
      <c r="H14" s="88">
        <v>0.6</v>
      </c>
      <c r="I14" s="88">
        <v>0.7</v>
      </c>
      <c r="J14" s="88">
        <f>ROUND(D14*F14*G14*H14*I14,2)</f>
        <v>1.61</v>
      </c>
      <c r="K14" s="82"/>
      <c r="L14" s="222"/>
      <c r="M14" s="222"/>
      <c r="N14" s="83"/>
      <c r="O14" s="89"/>
      <c r="P14" s="88"/>
      <c r="Q14" s="88"/>
    </row>
    <row r="15" spans="1:17" ht="21.75" customHeight="1">
      <c r="A15" s="78"/>
      <c r="B15" s="79"/>
      <c r="C15" s="90" t="s">
        <v>506</v>
      </c>
      <c r="D15" s="87">
        <v>1</v>
      </c>
      <c r="E15" s="87" t="s">
        <v>1472</v>
      </c>
      <c r="F15" s="87">
        <v>2</v>
      </c>
      <c r="G15" s="88">
        <v>1.39</v>
      </c>
      <c r="H15" s="88">
        <v>0.6</v>
      </c>
      <c r="I15" s="88">
        <v>0.7</v>
      </c>
      <c r="J15" s="88">
        <f>ROUND(D15*F15*G15*H15*I15,2)</f>
        <v>1.17</v>
      </c>
      <c r="K15" s="82"/>
      <c r="L15" s="222"/>
      <c r="M15" s="222"/>
      <c r="N15" s="83"/>
      <c r="O15" s="89"/>
      <c r="P15" s="88"/>
      <c r="Q15" s="88"/>
    </row>
    <row r="16" spans="1:17" ht="21.75" customHeight="1">
      <c r="A16" s="78"/>
      <c r="B16" s="79"/>
      <c r="C16" s="91" t="s">
        <v>507</v>
      </c>
      <c r="D16" s="87">
        <v>1</v>
      </c>
      <c r="E16" s="87" t="s">
        <v>1472</v>
      </c>
      <c r="F16" s="87">
        <v>2</v>
      </c>
      <c r="G16" s="88">
        <v>1.8</v>
      </c>
      <c r="H16" s="88">
        <v>0.6</v>
      </c>
      <c r="I16" s="88">
        <v>0.7</v>
      </c>
      <c r="J16" s="88">
        <f t="shared" si="1"/>
        <v>1.51</v>
      </c>
      <c r="K16" s="82"/>
      <c r="L16" s="222"/>
      <c r="M16" s="222"/>
      <c r="N16" s="83"/>
      <c r="O16" s="89"/>
      <c r="P16" s="88"/>
      <c r="Q16" s="88"/>
    </row>
    <row r="17" spans="1:17" ht="21.75" customHeight="1">
      <c r="A17" s="78"/>
      <c r="B17" s="79"/>
      <c r="C17" s="91" t="s">
        <v>508</v>
      </c>
      <c r="D17" s="87">
        <v>1</v>
      </c>
      <c r="E17" s="87" t="s">
        <v>1472</v>
      </c>
      <c r="F17" s="87">
        <v>2</v>
      </c>
      <c r="G17" s="88">
        <v>1.8</v>
      </c>
      <c r="H17" s="88">
        <v>1.35</v>
      </c>
      <c r="I17" s="88">
        <v>0.3</v>
      </c>
      <c r="J17" s="88">
        <f>ROUND(D17*F17*G17*H17*I17,2)</f>
        <v>1.46</v>
      </c>
      <c r="K17" s="82"/>
      <c r="L17" s="222"/>
      <c r="M17" s="222"/>
      <c r="N17" s="83"/>
      <c r="O17" s="89"/>
      <c r="P17" s="88"/>
      <c r="Q17" s="88"/>
    </row>
    <row r="18" spans="1:17" ht="21.75" customHeight="1">
      <c r="A18" s="78"/>
      <c r="B18" s="79"/>
      <c r="C18" s="91" t="s">
        <v>508</v>
      </c>
      <c r="D18" s="87">
        <v>1</v>
      </c>
      <c r="E18" s="87" t="s">
        <v>1472</v>
      </c>
      <c r="F18" s="87">
        <v>1</v>
      </c>
      <c r="G18" s="88">
        <v>5.7</v>
      </c>
      <c r="H18" s="88">
        <v>1.35</v>
      </c>
      <c r="I18" s="88">
        <v>0.3</v>
      </c>
      <c r="J18" s="88">
        <f>ROUND(D18*F18*G18*H18*I18,2)</f>
        <v>2.31</v>
      </c>
      <c r="K18" s="82"/>
      <c r="L18" s="222"/>
      <c r="M18" s="222"/>
      <c r="N18" s="83"/>
      <c r="O18" s="89"/>
      <c r="P18" s="88"/>
      <c r="Q18" s="88"/>
    </row>
    <row r="19" spans="1:17" ht="21.75" customHeight="1">
      <c r="A19" s="78"/>
      <c r="B19" s="79"/>
      <c r="C19" s="91" t="s">
        <v>509</v>
      </c>
      <c r="D19" s="87">
        <v>1</v>
      </c>
      <c r="E19" s="87" t="s">
        <v>1472</v>
      </c>
      <c r="F19" s="87">
        <v>1</v>
      </c>
      <c r="G19" s="88">
        <v>4.5</v>
      </c>
      <c r="H19" s="88">
        <v>3.15</v>
      </c>
      <c r="I19" s="88">
        <v>0.3</v>
      </c>
      <c r="J19" s="88">
        <f>ROUND(D19*F19*G19*H19*I19,2)</f>
        <v>4.25</v>
      </c>
      <c r="K19" s="82"/>
      <c r="L19" s="222"/>
      <c r="M19" s="222"/>
      <c r="N19" s="83"/>
      <c r="O19" s="89"/>
      <c r="P19" s="88"/>
      <c r="Q19" s="88"/>
    </row>
    <row r="20" spans="1:17" ht="21.75" customHeight="1">
      <c r="A20" s="78"/>
      <c r="B20" s="79"/>
      <c r="C20" s="91" t="s">
        <v>643</v>
      </c>
      <c r="D20" s="87">
        <v>1</v>
      </c>
      <c r="E20" s="87" t="s">
        <v>1472</v>
      </c>
      <c r="F20" s="87">
        <v>1</v>
      </c>
      <c r="G20" s="88">
        <v>3.75</v>
      </c>
      <c r="H20" s="88">
        <v>1.95</v>
      </c>
      <c r="I20" s="88">
        <v>2.15</v>
      </c>
      <c r="J20" s="88">
        <f>FLOOR(D20*F20*G20*H20*I20,0.01)</f>
        <v>15.72</v>
      </c>
      <c r="K20" s="82"/>
      <c r="L20" s="222"/>
      <c r="M20" s="222"/>
      <c r="N20" s="83"/>
      <c r="O20" s="89"/>
      <c r="P20" s="88"/>
      <c r="Q20" s="88"/>
    </row>
    <row r="21" spans="1:17" ht="21.75" customHeight="1">
      <c r="A21" s="78"/>
      <c r="B21" s="79"/>
      <c r="C21" s="91"/>
      <c r="D21" s="87"/>
      <c r="E21" s="87"/>
      <c r="F21" s="87"/>
      <c r="G21" s="88"/>
      <c r="H21" s="88"/>
      <c r="I21" s="88"/>
      <c r="J21" s="88">
        <f>SUM(J8:J20)</f>
        <v>144.07</v>
      </c>
      <c r="K21" s="82"/>
      <c r="L21" s="222"/>
      <c r="M21" s="222"/>
      <c r="N21" s="83"/>
      <c r="O21" s="89"/>
      <c r="P21" s="88"/>
      <c r="Q21" s="88"/>
    </row>
    <row r="22" spans="1:17" ht="14.4">
      <c r="A22" s="78"/>
      <c r="B22" s="374" t="s">
        <v>310</v>
      </c>
      <c r="C22" s="2764" t="s">
        <v>644</v>
      </c>
      <c r="D22" s="2764"/>
      <c r="E22" s="2764"/>
      <c r="F22" s="2764"/>
      <c r="G22" s="2764"/>
      <c r="H22" s="2764"/>
      <c r="I22" s="2764"/>
      <c r="J22" s="92">
        <f>CEILING(J21,0.05)</f>
        <v>144.1</v>
      </c>
      <c r="K22" s="399">
        <f>Datas!G6</f>
        <v>0</v>
      </c>
      <c r="L22" s="222">
        <f>ROUND(K22*J22/1,0)</f>
        <v>0</v>
      </c>
      <c r="M22" s="400"/>
      <c r="N22" s="403">
        <f>SUM(L22:M22)</f>
        <v>0</v>
      </c>
      <c r="O22" s="242">
        <v>22</v>
      </c>
      <c r="P22" s="128">
        <f>ROUND(O22*J22,2)</f>
        <v>3170.2</v>
      </c>
      <c r="Q22" s="92"/>
    </row>
    <row r="23" spans="1:17" ht="21.75" customHeight="1">
      <c r="A23" s="78"/>
      <c r="B23" s="79"/>
      <c r="C23" s="94"/>
      <c r="D23" s="87"/>
      <c r="E23" s="87"/>
      <c r="F23" s="87"/>
      <c r="G23" s="88"/>
      <c r="H23" s="88"/>
      <c r="I23" s="88"/>
      <c r="J23" s="92" t="s">
        <v>656</v>
      </c>
      <c r="K23" s="82" t="s">
        <v>316</v>
      </c>
      <c r="L23" s="222"/>
      <c r="M23" s="222"/>
      <c r="N23" s="83"/>
      <c r="O23" s="89"/>
      <c r="P23" s="88"/>
      <c r="Q23" s="88"/>
    </row>
    <row r="24" spans="1:17" ht="125.2" hidden="1" customHeight="1">
      <c r="A24" s="73">
        <v>2</v>
      </c>
      <c r="B24" s="220"/>
      <c r="C24" s="2766" t="s">
        <v>1058</v>
      </c>
      <c r="D24" s="2766"/>
      <c r="E24" s="2766"/>
      <c r="F24" s="2766"/>
      <c r="G24" s="2766"/>
      <c r="H24" s="2766"/>
      <c r="I24" s="2766"/>
      <c r="J24" s="2766"/>
      <c r="K24" s="74"/>
      <c r="L24" s="74"/>
      <c r="M24" s="221"/>
      <c r="N24" s="75"/>
      <c r="O24" s="76"/>
      <c r="P24" s="77"/>
      <c r="Q24" s="77"/>
    </row>
    <row r="25" spans="1:17" ht="21.75" hidden="1" customHeight="1">
      <c r="A25" s="78"/>
      <c r="B25" s="79"/>
      <c r="C25" s="86" t="s">
        <v>655</v>
      </c>
      <c r="D25" s="87">
        <v>1</v>
      </c>
      <c r="E25" s="87" t="s">
        <v>1472</v>
      </c>
      <c r="F25" s="87">
        <v>6</v>
      </c>
      <c r="G25" s="88">
        <v>2.6</v>
      </c>
      <c r="H25" s="88">
        <v>2.6</v>
      </c>
      <c r="I25" s="88">
        <v>0.2</v>
      </c>
      <c r="J25" s="88">
        <f t="shared" ref="J25:J33" si="2">ROUND(D25*F25*G25*H25*I25,2)</f>
        <v>8.11</v>
      </c>
      <c r="K25" s="82"/>
      <c r="L25" s="222"/>
      <c r="M25" s="222"/>
      <c r="N25" s="83"/>
      <c r="O25" s="89"/>
      <c r="P25" s="88"/>
      <c r="Q25" s="88"/>
    </row>
    <row r="26" spans="1:17" ht="21.75" hidden="1" customHeight="1">
      <c r="A26" s="78"/>
      <c r="B26" s="79"/>
      <c r="C26" s="86" t="s">
        <v>71</v>
      </c>
      <c r="D26" s="87">
        <v>1</v>
      </c>
      <c r="E26" s="87" t="s">
        <v>1472</v>
      </c>
      <c r="F26" s="87">
        <v>12</v>
      </c>
      <c r="G26" s="88">
        <v>2</v>
      </c>
      <c r="H26" s="88">
        <v>2</v>
      </c>
      <c r="I26" s="88">
        <v>0.2</v>
      </c>
      <c r="J26" s="88">
        <f t="shared" si="2"/>
        <v>9.6</v>
      </c>
      <c r="K26" s="82"/>
      <c r="L26" s="222"/>
      <c r="M26" s="222"/>
      <c r="N26" s="83"/>
      <c r="O26" s="89"/>
      <c r="P26" s="88"/>
      <c r="Q26" s="88"/>
    </row>
    <row r="27" spans="1:17" ht="21.75" hidden="1" customHeight="1">
      <c r="A27" s="78"/>
      <c r="B27" s="79"/>
      <c r="C27" s="86" t="s">
        <v>444</v>
      </c>
      <c r="D27" s="87">
        <v>1</v>
      </c>
      <c r="E27" s="87" t="s">
        <v>1472</v>
      </c>
      <c r="F27" s="87">
        <v>1</v>
      </c>
      <c r="G27" s="88">
        <v>1.5</v>
      </c>
      <c r="H27" s="88">
        <v>1.5</v>
      </c>
      <c r="I27" s="88">
        <v>0.2</v>
      </c>
      <c r="J27" s="88">
        <f t="shared" si="2"/>
        <v>0.45</v>
      </c>
      <c r="K27" s="82"/>
      <c r="L27" s="222"/>
      <c r="M27" s="222"/>
      <c r="N27" s="83"/>
      <c r="O27" s="89"/>
      <c r="P27" s="88"/>
      <c r="Q27" s="88"/>
    </row>
    <row r="28" spans="1:17" ht="30" hidden="1" customHeight="1">
      <c r="A28" s="78"/>
      <c r="B28" s="79"/>
      <c r="C28" s="90" t="s">
        <v>767</v>
      </c>
      <c r="D28" s="87">
        <v>1</v>
      </c>
      <c r="E28" s="87" t="s">
        <v>1472</v>
      </c>
      <c r="F28" s="87">
        <v>1</v>
      </c>
      <c r="G28" s="88">
        <f>(20.4-4*1.8-2*2-0.3)</f>
        <v>8.8999999999999986</v>
      </c>
      <c r="H28" s="88">
        <v>0.6</v>
      </c>
      <c r="I28" s="88">
        <v>0.1</v>
      </c>
      <c r="J28" s="88">
        <f t="shared" si="2"/>
        <v>0.53</v>
      </c>
      <c r="K28" s="82"/>
      <c r="L28" s="222"/>
      <c r="M28" s="222"/>
      <c r="N28" s="83"/>
      <c r="O28" s="89"/>
      <c r="P28" s="88"/>
      <c r="Q28" s="88"/>
    </row>
    <row r="29" spans="1:17" ht="30" hidden="1" customHeight="1">
      <c r="A29" s="78"/>
      <c r="B29" s="79"/>
      <c r="C29" s="90" t="s">
        <v>768</v>
      </c>
      <c r="D29" s="87">
        <v>1</v>
      </c>
      <c r="E29" s="87" t="s">
        <v>1472</v>
      </c>
      <c r="F29" s="87">
        <v>1</v>
      </c>
      <c r="G29" s="88">
        <f>(20.4-3.5*1.8-2*2-0.5*1.35-0.3)</f>
        <v>9.1249999999999964</v>
      </c>
      <c r="H29" s="88">
        <v>0.6</v>
      </c>
      <c r="I29" s="88">
        <v>0.1</v>
      </c>
      <c r="J29" s="88">
        <f t="shared" si="2"/>
        <v>0.55000000000000004</v>
      </c>
      <c r="K29" s="82"/>
      <c r="L29" s="222"/>
      <c r="M29" s="222"/>
      <c r="N29" s="83"/>
      <c r="O29" s="89"/>
      <c r="P29" s="88"/>
      <c r="Q29" s="88"/>
    </row>
    <row r="30" spans="1:17" ht="30" hidden="1" customHeight="1">
      <c r="A30" s="78"/>
      <c r="B30" s="79"/>
      <c r="C30" s="90" t="s">
        <v>770</v>
      </c>
      <c r="D30" s="87">
        <v>1</v>
      </c>
      <c r="E30" s="87" t="s">
        <v>1472</v>
      </c>
      <c r="F30" s="87">
        <v>1</v>
      </c>
      <c r="G30" s="88">
        <f>(8.175-1*1.8-1*2-0.3)</f>
        <v>4.0750000000000011</v>
      </c>
      <c r="H30" s="88">
        <v>0.6</v>
      </c>
      <c r="I30" s="88">
        <v>0.1</v>
      </c>
      <c r="J30" s="88">
        <f>ROUND(D30*F30*G30*H30*I30,2)</f>
        <v>0.24</v>
      </c>
      <c r="K30" s="82"/>
      <c r="L30" s="222"/>
      <c r="M30" s="222"/>
      <c r="N30" s="83"/>
      <c r="O30" s="89"/>
      <c r="P30" s="88"/>
      <c r="Q30" s="88"/>
    </row>
    <row r="31" spans="1:17" ht="30" hidden="1" customHeight="1">
      <c r="A31" s="78"/>
      <c r="B31" s="79"/>
      <c r="C31" s="90" t="s">
        <v>769</v>
      </c>
      <c r="D31" s="87">
        <v>1</v>
      </c>
      <c r="E31" s="87" t="s">
        <v>1472</v>
      </c>
      <c r="F31" s="87">
        <v>1</v>
      </c>
      <c r="G31" s="88">
        <f>(8.175-1.5*1.8-1*1.35-0.3)</f>
        <v>3.8250000000000002</v>
      </c>
      <c r="H31" s="88">
        <v>0.6</v>
      </c>
      <c r="I31" s="88">
        <v>0.1</v>
      </c>
      <c r="J31" s="88">
        <f>ROUND(D31*F31*G31*H31*I31,2)</f>
        <v>0.23</v>
      </c>
      <c r="K31" s="82"/>
      <c r="L31" s="222"/>
      <c r="M31" s="222"/>
      <c r="N31" s="83"/>
      <c r="O31" s="89"/>
      <c r="P31" s="88"/>
      <c r="Q31" s="88"/>
    </row>
    <row r="32" spans="1:17" ht="21.75" hidden="1" customHeight="1">
      <c r="A32" s="78"/>
      <c r="B32" s="79"/>
      <c r="C32" s="90" t="s">
        <v>506</v>
      </c>
      <c r="D32" s="87">
        <v>1</v>
      </c>
      <c r="E32" s="87" t="s">
        <v>1472</v>
      </c>
      <c r="F32" s="87">
        <v>2</v>
      </c>
      <c r="G32" s="88">
        <v>0.51</v>
      </c>
      <c r="H32" s="88">
        <v>0.6</v>
      </c>
      <c r="I32" s="88">
        <v>0.1</v>
      </c>
      <c r="J32" s="88">
        <f t="shared" si="2"/>
        <v>0.06</v>
      </c>
      <c r="K32" s="82"/>
      <c r="L32" s="222"/>
      <c r="M32" s="222"/>
      <c r="N32" s="83"/>
      <c r="O32" s="89"/>
      <c r="P32" s="88"/>
      <c r="Q32" s="88"/>
    </row>
    <row r="33" spans="1:17" ht="21.75" hidden="1" customHeight="1">
      <c r="A33" s="78"/>
      <c r="B33" s="79"/>
      <c r="C33" s="91" t="s">
        <v>507</v>
      </c>
      <c r="D33" s="87">
        <v>1</v>
      </c>
      <c r="E33" s="87" t="s">
        <v>1472</v>
      </c>
      <c r="F33" s="87">
        <v>2</v>
      </c>
      <c r="G33" s="88">
        <v>1.8</v>
      </c>
      <c r="H33" s="88">
        <v>0.6</v>
      </c>
      <c r="I33" s="88">
        <v>0.1</v>
      </c>
      <c r="J33" s="88">
        <f t="shared" si="2"/>
        <v>0.22</v>
      </c>
      <c r="K33" s="82"/>
      <c r="L33" s="222"/>
      <c r="M33" s="222"/>
      <c r="N33" s="83"/>
      <c r="O33" s="89"/>
      <c r="P33" s="88"/>
      <c r="Q33" s="88"/>
    </row>
    <row r="34" spans="1:17" ht="21.75" hidden="1" customHeight="1">
      <c r="A34" s="78"/>
      <c r="B34" s="79"/>
      <c r="C34" s="91" t="s">
        <v>643</v>
      </c>
      <c r="D34" s="87">
        <v>1</v>
      </c>
      <c r="E34" s="87" t="s">
        <v>1472</v>
      </c>
      <c r="F34" s="87">
        <v>1</v>
      </c>
      <c r="G34" s="88">
        <v>3.75</v>
      </c>
      <c r="H34" s="88">
        <v>1.95</v>
      </c>
      <c r="I34" s="88">
        <v>0.15</v>
      </c>
      <c r="J34" s="88">
        <f>FLOOR(D34*F34*G34*H34*I34,0.01)</f>
        <v>1.0900000000000001</v>
      </c>
      <c r="K34" s="82"/>
      <c r="L34" s="222"/>
      <c r="M34" s="222"/>
      <c r="N34" s="83"/>
      <c r="O34" s="89"/>
      <c r="P34" s="88"/>
      <c r="Q34" s="88"/>
    </row>
    <row r="35" spans="1:17" ht="21.75" hidden="1" customHeight="1">
      <c r="A35" s="78"/>
      <c r="B35" s="79"/>
      <c r="C35" s="91"/>
      <c r="D35" s="87"/>
      <c r="E35" s="87"/>
      <c r="F35" s="87"/>
      <c r="G35" s="88"/>
      <c r="H35" s="88"/>
      <c r="I35" s="88"/>
      <c r="J35" s="88">
        <f>SUM(J25:J34)</f>
        <v>21.08</v>
      </c>
      <c r="K35" s="82"/>
      <c r="L35" s="222"/>
      <c r="M35" s="222"/>
      <c r="N35" s="83"/>
      <c r="O35" s="89"/>
      <c r="P35" s="88"/>
      <c r="Q35" s="88"/>
    </row>
    <row r="36" spans="1:17" s="378" customFormat="1" hidden="1">
      <c r="A36" s="196"/>
      <c r="B36" s="376" t="s">
        <v>1182</v>
      </c>
      <c r="C36" s="2763" t="s">
        <v>270</v>
      </c>
      <c r="D36" s="2763"/>
      <c r="E36" s="2763"/>
      <c r="F36" s="2763"/>
      <c r="G36" s="2763"/>
      <c r="H36" s="2763"/>
      <c r="I36" s="2763"/>
      <c r="J36" s="92">
        <v>0</v>
      </c>
      <c r="K36" s="338">
        <f>Datas!G42</f>
        <v>0</v>
      </c>
      <c r="L36" s="222"/>
      <c r="M36" s="375">
        <f>ROUND(K36*J36,0)</f>
        <v>0</v>
      </c>
      <c r="N36" s="403">
        <f>SUM(L36:M36)</f>
        <v>0</v>
      </c>
      <c r="O36" s="236">
        <f>ROUND(1*40,2)</f>
        <v>40</v>
      </c>
      <c r="P36" s="377">
        <f>ROUND(O36*J36,2)</f>
        <v>0</v>
      </c>
      <c r="Q36" s="236"/>
    </row>
    <row r="37" spans="1:17" ht="21.75" hidden="1" customHeight="1">
      <c r="A37" s="78"/>
      <c r="C37" s="2764"/>
      <c r="D37" s="2764"/>
      <c r="E37" s="2764"/>
      <c r="F37" s="2764"/>
      <c r="G37" s="2764"/>
      <c r="H37" s="2764"/>
      <c r="I37" s="2764"/>
      <c r="J37" s="92" t="s">
        <v>656</v>
      </c>
      <c r="K37" s="95" t="s">
        <v>656</v>
      </c>
      <c r="L37" s="225"/>
      <c r="M37" s="225"/>
      <c r="N37" s="93"/>
      <c r="O37" s="96"/>
      <c r="P37" s="92"/>
      <c r="Q37" s="88"/>
    </row>
    <row r="38" spans="1:17" s="378" customFormat="1" hidden="1">
      <c r="A38" s="152"/>
      <c r="B38" s="376" t="s">
        <v>1183</v>
      </c>
      <c r="C38" s="2764" t="s">
        <v>271</v>
      </c>
      <c r="D38" s="2764"/>
      <c r="E38" s="2764"/>
      <c r="F38" s="2764"/>
      <c r="G38" s="2764"/>
      <c r="H38" s="2764"/>
      <c r="I38" s="2764"/>
      <c r="J38" s="92">
        <f>J36</f>
        <v>0</v>
      </c>
      <c r="K38" s="338">
        <f>Datas!G33</f>
        <v>187.55</v>
      </c>
      <c r="L38" s="222">
        <f>ROUND(K38*J38,0)</f>
        <v>0</v>
      </c>
      <c r="M38" s="375"/>
      <c r="N38" s="403">
        <f>SUM(L38:M38)</f>
        <v>0</v>
      </c>
      <c r="O38" s="380"/>
      <c r="P38" s="259"/>
      <c r="Q38" s="236"/>
    </row>
    <row r="39" spans="1:17" ht="21.75" hidden="1" customHeight="1">
      <c r="A39" s="78"/>
      <c r="B39" s="79"/>
      <c r="C39" s="64"/>
      <c r="D39" s="87"/>
      <c r="E39" s="87"/>
      <c r="F39" s="87"/>
      <c r="G39" s="88"/>
      <c r="H39" s="88"/>
      <c r="I39" s="88"/>
      <c r="J39" s="92" t="s">
        <v>656</v>
      </c>
      <c r="K39" s="95" t="s">
        <v>656</v>
      </c>
      <c r="L39" s="225"/>
      <c r="M39" s="225"/>
      <c r="N39" s="93"/>
      <c r="O39" s="96"/>
      <c r="P39" s="92"/>
      <c r="Q39" s="88"/>
    </row>
    <row r="40" spans="1:17" ht="162" customHeight="1">
      <c r="A40" s="78">
        <v>3</v>
      </c>
      <c r="B40" s="79"/>
      <c r="C40" s="2765" t="s">
        <v>1469</v>
      </c>
      <c r="D40" s="2740"/>
      <c r="E40" s="2740"/>
      <c r="F40" s="2740"/>
      <c r="G40" s="2740"/>
      <c r="H40" s="2740"/>
      <c r="I40" s="2740"/>
      <c r="J40" s="2740"/>
      <c r="K40" s="82"/>
      <c r="L40" s="222"/>
      <c r="M40" s="222"/>
      <c r="N40" s="83"/>
      <c r="O40" s="89"/>
      <c r="P40" s="88"/>
      <c r="Q40" s="88"/>
    </row>
    <row r="41" spans="1:17" ht="30" customHeight="1">
      <c r="A41" s="78"/>
      <c r="B41" s="79"/>
      <c r="C41" s="90" t="s">
        <v>318</v>
      </c>
      <c r="D41" s="87">
        <v>1</v>
      </c>
      <c r="E41" s="87" t="s">
        <v>1472</v>
      </c>
      <c r="F41" s="87">
        <v>1</v>
      </c>
      <c r="G41" s="88">
        <f>(20.4-4*1.8-2*2-0.3)</f>
        <v>8.8999999999999986</v>
      </c>
      <c r="H41" s="88">
        <v>0.6</v>
      </c>
      <c r="I41" s="88">
        <v>0.1</v>
      </c>
      <c r="J41" s="88">
        <f t="shared" ref="J41:J49" si="3">ROUND(D41*F41*G41*H41*I41,2)</f>
        <v>0.53</v>
      </c>
      <c r="K41" s="82"/>
      <c r="L41" s="222"/>
      <c r="M41" s="222"/>
      <c r="N41" s="83"/>
      <c r="O41" s="89"/>
      <c r="P41" s="88"/>
      <c r="Q41" s="88"/>
    </row>
    <row r="42" spans="1:17" ht="30" customHeight="1">
      <c r="A42" s="78"/>
      <c r="B42" s="79"/>
      <c r="C42" s="90" t="s">
        <v>319</v>
      </c>
      <c r="D42" s="87">
        <v>1</v>
      </c>
      <c r="E42" s="87" t="s">
        <v>1472</v>
      </c>
      <c r="F42" s="87">
        <v>1</v>
      </c>
      <c r="G42" s="88">
        <f>(20.4-3.5*1.8-2*2-0.5*1.35-0.3)</f>
        <v>9.1249999999999964</v>
      </c>
      <c r="H42" s="88">
        <v>0.6</v>
      </c>
      <c r="I42" s="88">
        <v>0.1</v>
      </c>
      <c r="J42" s="88">
        <f t="shared" si="3"/>
        <v>0.55000000000000004</v>
      </c>
      <c r="K42" s="82"/>
      <c r="L42" s="222"/>
      <c r="M42" s="222"/>
      <c r="N42" s="83"/>
      <c r="O42" s="89"/>
      <c r="P42" s="88"/>
      <c r="Q42" s="88"/>
    </row>
    <row r="43" spans="1:17" ht="30" customHeight="1">
      <c r="A43" s="78"/>
      <c r="B43" s="79"/>
      <c r="C43" s="90" t="s">
        <v>320</v>
      </c>
      <c r="D43" s="87">
        <v>1</v>
      </c>
      <c r="E43" s="87" t="s">
        <v>1472</v>
      </c>
      <c r="F43" s="87">
        <v>1</v>
      </c>
      <c r="G43" s="88">
        <f>(8.175-1*1.8-1*2-0.3)</f>
        <v>4.0750000000000011</v>
      </c>
      <c r="H43" s="88">
        <v>0.6</v>
      </c>
      <c r="I43" s="88">
        <v>0.1</v>
      </c>
      <c r="J43" s="88">
        <f t="shared" si="3"/>
        <v>0.24</v>
      </c>
      <c r="K43" s="82"/>
      <c r="L43" s="222"/>
      <c r="M43" s="222"/>
      <c r="N43" s="83"/>
      <c r="O43" s="89"/>
      <c r="P43" s="88"/>
      <c r="Q43" s="88"/>
    </row>
    <row r="44" spans="1:17" ht="30" customHeight="1">
      <c r="A44" s="78"/>
      <c r="B44" s="79"/>
      <c r="C44" s="90" t="s">
        <v>321</v>
      </c>
      <c r="D44" s="87">
        <v>1</v>
      </c>
      <c r="E44" s="87" t="s">
        <v>1472</v>
      </c>
      <c r="F44" s="87">
        <v>1</v>
      </c>
      <c r="G44" s="88">
        <f>(8.175-1.5*1.8-1*1.35-0.3)</f>
        <v>3.8250000000000002</v>
      </c>
      <c r="H44" s="88">
        <v>0.6</v>
      </c>
      <c r="I44" s="88">
        <v>0.1</v>
      </c>
      <c r="J44" s="88">
        <f t="shared" si="3"/>
        <v>0.23</v>
      </c>
      <c r="K44" s="82"/>
      <c r="L44" s="222"/>
      <c r="M44" s="222"/>
      <c r="N44" s="83"/>
      <c r="O44" s="89"/>
      <c r="P44" s="88"/>
      <c r="Q44" s="88"/>
    </row>
    <row r="45" spans="1:17" ht="21.75" customHeight="1">
      <c r="A45" s="78"/>
      <c r="B45" s="79"/>
      <c r="C45" s="90" t="s">
        <v>506</v>
      </c>
      <c r="D45" s="87">
        <v>1</v>
      </c>
      <c r="E45" s="87" t="s">
        <v>1472</v>
      </c>
      <c r="F45" s="87">
        <v>2</v>
      </c>
      <c r="G45" s="88">
        <f>(1.275+0.115+0.3)</f>
        <v>1.69</v>
      </c>
      <c r="H45" s="88">
        <v>0.6</v>
      </c>
      <c r="I45" s="88">
        <v>0.1</v>
      </c>
      <c r="J45" s="88">
        <f t="shared" si="3"/>
        <v>0.2</v>
      </c>
      <c r="K45" s="82"/>
      <c r="L45" s="222"/>
      <c r="M45" s="222"/>
      <c r="N45" s="83"/>
      <c r="O45" s="89"/>
      <c r="P45" s="88"/>
      <c r="Q45" s="88"/>
    </row>
    <row r="46" spans="1:17" ht="21.75" customHeight="1">
      <c r="A46" s="78"/>
      <c r="B46" s="79"/>
      <c r="C46" s="91" t="s">
        <v>507</v>
      </c>
      <c r="D46" s="87">
        <v>1</v>
      </c>
      <c r="E46" s="87" t="s">
        <v>1472</v>
      </c>
      <c r="F46" s="87">
        <v>2</v>
      </c>
      <c r="G46" s="88">
        <v>1.8</v>
      </c>
      <c r="H46" s="88">
        <v>0.6</v>
      </c>
      <c r="I46" s="88">
        <v>0.1</v>
      </c>
      <c r="J46" s="88">
        <f t="shared" si="3"/>
        <v>0.22</v>
      </c>
      <c r="K46" s="82"/>
      <c r="L46" s="222"/>
      <c r="M46" s="222"/>
      <c r="N46" s="83"/>
      <c r="O46" s="89"/>
      <c r="P46" s="88"/>
      <c r="Q46" s="88"/>
    </row>
    <row r="47" spans="1:17" ht="21.75" customHeight="1">
      <c r="A47" s="78"/>
      <c r="B47" s="79"/>
      <c r="C47" s="91" t="s">
        <v>508</v>
      </c>
      <c r="D47" s="87">
        <v>1</v>
      </c>
      <c r="E47" s="87" t="s">
        <v>1472</v>
      </c>
      <c r="F47" s="87">
        <v>2</v>
      </c>
      <c r="G47" s="88">
        <v>1.8</v>
      </c>
      <c r="H47" s="88">
        <v>1.35</v>
      </c>
      <c r="I47" s="88">
        <v>0.1</v>
      </c>
      <c r="J47" s="88">
        <f t="shared" si="3"/>
        <v>0.49</v>
      </c>
      <c r="K47" s="82"/>
      <c r="L47" s="222"/>
      <c r="M47" s="222"/>
      <c r="N47" s="83"/>
      <c r="O47" s="89"/>
      <c r="P47" s="88"/>
      <c r="Q47" s="88"/>
    </row>
    <row r="48" spans="1:17" ht="21.75" customHeight="1">
      <c r="A48" s="78"/>
      <c r="B48" s="79"/>
      <c r="C48" s="91" t="s">
        <v>508</v>
      </c>
      <c r="D48" s="87">
        <v>1</v>
      </c>
      <c r="E48" s="87" t="s">
        <v>1472</v>
      </c>
      <c r="F48" s="87">
        <v>1</v>
      </c>
      <c r="G48" s="88">
        <v>5.7</v>
      </c>
      <c r="H48" s="88">
        <v>1.35</v>
      </c>
      <c r="I48" s="88">
        <v>0.1</v>
      </c>
      <c r="J48" s="88">
        <f t="shared" si="3"/>
        <v>0.77</v>
      </c>
      <c r="K48" s="82"/>
      <c r="L48" s="222"/>
      <c r="M48" s="222"/>
      <c r="N48" s="83"/>
      <c r="O48" s="89"/>
      <c r="P48" s="88"/>
      <c r="Q48" s="88"/>
    </row>
    <row r="49" spans="1:17" ht="21.75" customHeight="1">
      <c r="A49" s="78"/>
      <c r="B49" s="79"/>
      <c r="C49" s="91" t="s">
        <v>509</v>
      </c>
      <c r="D49" s="87">
        <v>1</v>
      </c>
      <c r="E49" s="87" t="s">
        <v>1472</v>
      </c>
      <c r="F49" s="87">
        <v>1</v>
      </c>
      <c r="G49" s="88">
        <v>4.5</v>
      </c>
      <c r="H49" s="88">
        <v>3.15</v>
      </c>
      <c r="I49" s="88">
        <v>0.1</v>
      </c>
      <c r="J49" s="88">
        <f t="shared" si="3"/>
        <v>1.42</v>
      </c>
      <c r="K49" s="82"/>
      <c r="L49" s="222"/>
      <c r="M49" s="222"/>
      <c r="N49" s="83"/>
      <c r="O49" s="89"/>
      <c r="P49" s="88"/>
      <c r="Q49" s="88"/>
    </row>
    <row r="50" spans="1:17" ht="21.75" customHeight="1">
      <c r="A50" s="78"/>
      <c r="B50" s="79"/>
      <c r="C50" s="246" t="s">
        <v>1499</v>
      </c>
      <c r="D50" s="247"/>
      <c r="E50" s="247"/>
      <c r="F50" s="247"/>
      <c r="G50" s="245"/>
      <c r="H50" s="88"/>
      <c r="I50" s="88"/>
      <c r="J50" s="236">
        <f>SUM(J41:J49)</f>
        <v>4.6500000000000004</v>
      </c>
      <c r="K50" s="82"/>
      <c r="L50" s="222"/>
      <c r="M50" s="222"/>
      <c r="N50" s="83"/>
      <c r="O50" s="89"/>
      <c r="P50" s="245"/>
      <c r="Q50" s="88"/>
    </row>
    <row r="51" spans="1:17">
      <c r="A51" s="78"/>
      <c r="B51" s="79"/>
      <c r="C51" s="86" t="s">
        <v>1507</v>
      </c>
      <c r="D51" s="87">
        <v>1</v>
      </c>
      <c r="E51" s="87" t="s">
        <v>1472</v>
      </c>
      <c r="F51" s="87">
        <v>1</v>
      </c>
      <c r="G51" s="88">
        <v>3</v>
      </c>
      <c r="H51" s="88">
        <v>4.6100000000000003</v>
      </c>
      <c r="I51" s="88">
        <v>0.1</v>
      </c>
      <c r="J51" s="88">
        <f t="shared" ref="J51:J57" si="4">D51*F51*G51*H51*I51</f>
        <v>1.3830000000000002</v>
      </c>
      <c r="K51" s="82"/>
      <c r="L51" s="222"/>
      <c r="M51" s="222"/>
      <c r="N51" s="83"/>
      <c r="O51" s="89"/>
      <c r="P51" s="88"/>
      <c r="Q51" s="88"/>
    </row>
    <row r="52" spans="1:17">
      <c r="A52" s="78"/>
      <c r="B52" s="79"/>
      <c r="C52" s="86" t="s">
        <v>1508</v>
      </c>
      <c r="D52" s="87">
        <v>1</v>
      </c>
      <c r="E52" s="87" t="s">
        <v>1472</v>
      </c>
      <c r="F52" s="87">
        <v>1</v>
      </c>
      <c r="G52" s="88">
        <v>3</v>
      </c>
      <c r="H52" s="88">
        <v>4.6100000000000003</v>
      </c>
      <c r="I52" s="88">
        <v>0.1</v>
      </c>
      <c r="J52" s="88">
        <f t="shared" si="4"/>
        <v>1.3830000000000002</v>
      </c>
      <c r="K52" s="82"/>
      <c r="L52" s="222"/>
      <c r="M52" s="222"/>
      <c r="N52" s="83"/>
      <c r="O52" s="89"/>
      <c r="P52" s="88"/>
      <c r="Q52" s="88"/>
    </row>
    <row r="53" spans="1:17">
      <c r="A53" s="78"/>
      <c r="B53" s="79"/>
      <c r="C53" s="86" t="s">
        <v>1509</v>
      </c>
      <c r="D53" s="87">
        <v>1</v>
      </c>
      <c r="E53" s="87" t="s">
        <v>1472</v>
      </c>
      <c r="F53" s="87">
        <v>1</v>
      </c>
      <c r="G53" s="88">
        <v>9.67</v>
      </c>
      <c r="H53" s="88">
        <v>7.72</v>
      </c>
      <c r="I53" s="88">
        <v>0.1</v>
      </c>
      <c r="J53" s="88">
        <f t="shared" si="4"/>
        <v>7.4652400000000005</v>
      </c>
      <c r="K53" s="82"/>
      <c r="L53" s="222"/>
      <c r="M53" s="222"/>
      <c r="N53" s="83"/>
      <c r="O53" s="89"/>
      <c r="P53" s="88"/>
      <c r="Q53" s="88"/>
    </row>
    <row r="54" spans="1:17">
      <c r="A54" s="78"/>
      <c r="B54" s="79"/>
      <c r="C54" s="86" t="s">
        <v>1510</v>
      </c>
      <c r="D54" s="87">
        <v>1</v>
      </c>
      <c r="E54" s="87" t="s">
        <v>1472</v>
      </c>
      <c r="F54" s="87">
        <v>1</v>
      </c>
      <c r="G54" s="88">
        <v>3.67</v>
      </c>
      <c r="H54" s="88">
        <v>4</v>
      </c>
      <c r="I54" s="88">
        <v>0.1</v>
      </c>
      <c r="J54" s="88">
        <f t="shared" si="4"/>
        <v>1.468</v>
      </c>
      <c r="K54" s="82"/>
      <c r="L54" s="222"/>
      <c r="M54" s="222"/>
      <c r="N54" s="83"/>
      <c r="O54" s="89"/>
      <c r="P54" s="88"/>
      <c r="Q54" s="88"/>
    </row>
    <row r="55" spans="1:17">
      <c r="A55" s="78"/>
      <c r="B55" s="79"/>
      <c r="C55" s="86" t="s">
        <v>1511</v>
      </c>
      <c r="D55" s="87">
        <v>1</v>
      </c>
      <c r="E55" s="87" t="s">
        <v>1472</v>
      </c>
      <c r="F55" s="87">
        <v>1</v>
      </c>
      <c r="G55" s="88">
        <v>2.4</v>
      </c>
      <c r="H55" s="88">
        <v>3.6</v>
      </c>
      <c r="I55" s="88">
        <v>0.1</v>
      </c>
      <c r="J55" s="88">
        <f t="shared" si="4"/>
        <v>0.8640000000000001</v>
      </c>
      <c r="K55" s="82"/>
      <c r="L55" s="222"/>
      <c r="M55" s="222"/>
      <c r="N55" s="83"/>
      <c r="O55" s="89"/>
      <c r="P55" s="88"/>
      <c r="Q55" s="88"/>
    </row>
    <row r="56" spans="1:17">
      <c r="A56" s="78"/>
      <c r="B56" s="79"/>
      <c r="C56" s="86" t="s">
        <v>1512</v>
      </c>
      <c r="D56" s="87">
        <v>1</v>
      </c>
      <c r="E56" s="87" t="s">
        <v>1472</v>
      </c>
      <c r="F56" s="87">
        <v>1</v>
      </c>
      <c r="G56" s="88">
        <v>3.07</v>
      </c>
      <c r="H56" s="88">
        <v>3.8</v>
      </c>
      <c r="I56" s="88">
        <v>0.1</v>
      </c>
      <c r="J56" s="88">
        <f t="shared" si="4"/>
        <v>1.1665999999999999</v>
      </c>
      <c r="K56" s="82"/>
      <c r="L56" s="222"/>
      <c r="M56" s="222"/>
      <c r="N56" s="83"/>
      <c r="O56" s="89"/>
      <c r="P56" s="88"/>
      <c r="Q56" s="88"/>
    </row>
    <row r="57" spans="1:17">
      <c r="A57" s="78"/>
      <c r="B57" s="79"/>
      <c r="C57" s="86" t="s">
        <v>1513</v>
      </c>
      <c r="D57" s="87">
        <v>1</v>
      </c>
      <c r="E57" s="87" t="s">
        <v>1472</v>
      </c>
      <c r="F57" s="87">
        <v>1</v>
      </c>
      <c r="G57" s="88">
        <v>3.07</v>
      </c>
      <c r="H57" s="88">
        <v>3.8</v>
      </c>
      <c r="I57" s="88">
        <v>0.1</v>
      </c>
      <c r="J57" s="88">
        <f t="shared" si="4"/>
        <v>1.1665999999999999</v>
      </c>
      <c r="K57" s="82"/>
      <c r="L57" s="222"/>
      <c r="M57" s="222"/>
      <c r="N57" s="83"/>
      <c r="O57" s="89"/>
      <c r="P57" s="88"/>
      <c r="Q57" s="88"/>
    </row>
    <row r="58" spans="1:17">
      <c r="A58" s="78"/>
      <c r="B58" s="79"/>
      <c r="C58" s="86" t="s">
        <v>1514</v>
      </c>
      <c r="D58" s="87">
        <v>1</v>
      </c>
      <c r="E58" s="87" t="s">
        <v>1472</v>
      </c>
      <c r="F58" s="87">
        <v>1</v>
      </c>
      <c r="G58" s="88">
        <v>1.1599999999999999</v>
      </c>
      <c r="H58" s="88">
        <v>3.8</v>
      </c>
      <c r="I58" s="88">
        <v>0.1</v>
      </c>
      <c r="J58" s="88">
        <f>D58*F58*G58*H58*I58</f>
        <v>0.44079999999999997</v>
      </c>
      <c r="K58" s="82"/>
      <c r="L58" s="222"/>
      <c r="M58" s="222"/>
      <c r="N58" s="83"/>
      <c r="O58" s="89"/>
      <c r="P58" s="88"/>
      <c r="Q58" s="88"/>
    </row>
    <row r="59" spans="1:17">
      <c r="A59" s="78"/>
      <c r="B59" s="79"/>
      <c r="C59" s="86" t="s">
        <v>1515</v>
      </c>
      <c r="D59" s="87">
        <v>1</v>
      </c>
      <c r="E59" s="87" t="s">
        <v>1472</v>
      </c>
      <c r="F59" s="87">
        <v>2</v>
      </c>
      <c r="G59" s="88">
        <v>1.8</v>
      </c>
      <c r="H59" s="88">
        <v>1.35</v>
      </c>
      <c r="I59" s="88">
        <v>0.15</v>
      </c>
      <c r="J59" s="88">
        <f>D59*F59*G59*H59*I59</f>
        <v>0.72899999999999998</v>
      </c>
      <c r="K59" s="82"/>
      <c r="L59" s="222"/>
      <c r="M59" s="222"/>
      <c r="N59" s="83"/>
      <c r="O59" s="89"/>
      <c r="P59" s="88"/>
      <c r="Q59" s="88"/>
    </row>
    <row r="60" spans="1:17">
      <c r="A60" s="78"/>
      <c r="B60" s="79"/>
      <c r="C60" s="86" t="s">
        <v>1515</v>
      </c>
      <c r="D60" s="87">
        <v>1</v>
      </c>
      <c r="E60" s="87" t="s">
        <v>1472</v>
      </c>
      <c r="F60" s="87">
        <v>1</v>
      </c>
      <c r="G60" s="88">
        <v>5.7</v>
      </c>
      <c r="H60" s="88">
        <v>1.35</v>
      </c>
      <c r="I60" s="88">
        <v>0.15</v>
      </c>
      <c r="J60" s="88">
        <f>D60*F60*G60*H60*I60</f>
        <v>1.1542500000000002</v>
      </c>
      <c r="K60" s="82"/>
      <c r="L60" s="222"/>
      <c r="M60" s="222"/>
      <c r="N60" s="83"/>
      <c r="O60" s="89"/>
      <c r="P60" s="88"/>
      <c r="Q60" s="88"/>
    </row>
    <row r="61" spans="1:17">
      <c r="A61" s="78"/>
      <c r="B61" s="79"/>
      <c r="C61" s="86" t="s">
        <v>1516</v>
      </c>
      <c r="D61" s="87">
        <v>1</v>
      </c>
      <c r="E61" s="87" t="s">
        <v>1472</v>
      </c>
      <c r="F61" s="87">
        <v>1</v>
      </c>
      <c r="G61" s="88">
        <v>4.5</v>
      </c>
      <c r="H61" s="88">
        <v>3.15</v>
      </c>
      <c r="I61" s="88">
        <v>0.15</v>
      </c>
      <c r="J61" s="88">
        <f>D61*F61*G61*H61*I61</f>
        <v>2.1262499999999998</v>
      </c>
      <c r="K61" s="82"/>
      <c r="L61" s="222"/>
      <c r="M61" s="222"/>
      <c r="N61" s="83"/>
      <c r="O61" s="89"/>
      <c r="P61" s="88"/>
      <c r="Q61" s="88"/>
    </row>
    <row r="62" spans="1:17">
      <c r="A62" s="78"/>
      <c r="B62" s="79"/>
      <c r="C62" s="249" t="s">
        <v>1517</v>
      </c>
      <c r="D62" s="87"/>
      <c r="E62" s="87"/>
      <c r="F62" s="87"/>
      <c r="G62" s="88"/>
      <c r="H62" s="88"/>
      <c r="I62" s="248"/>
      <c r="J62" s="236">
        <f>SUM(J51:J61)</f>
        <v>19.34674</v>
      </c>
      <c r="K62" s="82"/>
      <c r="L62" s="222"/>
      <c r="M62" s="222"/>
      <c r="N62" s="83"/>
      <c r="O62" s="89"/>
      <c r="P62" s="88"/>
      <c r="Q62" s="88"/>
    </row>
    <row r="63" spans="1:17" ht="21.75" customHeight="1">
      <c r="A63" s="78"/>
      <c r="B63" s="79"/>
      <c r="C63" s="224" t="s">
        <v>771</v>
      </c>
      <c r="D63" s="87">
        <v>1</v>
      </c>
      <c r="E63" s="87" t="s">
        <v>1472</v>
      </c>
      <c r="F63" s="87">
        <v>1</v>
      </c>
      <c r="G63" s="88">
        <v>3</v>
      </c>
      <c r="H63" s="88">
        <v>0.45</v>
      </c>
      <c r="I63" s="88">
        <v>0.1</v>
      </c>
      <c r="J63" s="88">
        <f t="shared" ref="J63:J71" si="5">ROUND(D63*F63*G63*H63*I63,2)</f>
        <v>0.14000000000000001</v>
      </c>
      <c r="K63" s="82"/>
      <c r="L63" s="222"/>
      <c r="M63" s="222"/>
      <c r="N63" s="83"/>
      <c r="O63" s="89"/>
      <c r="P63" s="88"/>
      <c r="Q63" s="88"/>
    </row>
    <row r="64" spans="1:17" s="3" customFormat="1" ht="21.75" customHeight="1">
      <c r="A64" s="78"/>
      <c r="B64" s="79"/>
      <c r="C64" s="224" t="s">
        <v>282</v>
      </c>
      <c r="D64" s="87">
        <v>1</v>
      </c>
      <c r="E64" s="87" t="s">
        <v>1472</v>
      </c>
      <c r="F64" s="87">
        <v>1</v>
      </c>
      <c r="G64" s="88">
        <f>8.175-0.38*3</f>
        <v>7.0350000000000001</v>
      </c>
      <c r="H64" s="88">
        <v>0.45</v>
      </c>
      <c r="I64" s="88">
        <v>0.1</v>
      </c>
      <c r="J64" s="88">
        <f>ROUND(D64*F64*G64*H64*I64,2)</f>
        <v>0.32</v>
      </c>
      <c r="K64" s="82"/>
      <c r="L64" s="222"/>
      <c r="M64" s="222"/>
      <c r="N64" s="83"/>
      <c r="O64" s="89"/>
      <c r="P64" s="88"/>
      <c r="Q64" s="88"/>
    </row>
    <row r="65" spans="1:17" ht="21.75" customHeight="1">
      <c r="A65" s="78"/>
      <c r="B65" s="79"/>
      <c r="C65" s="224" t="s">
        <v>283</v>
      </c>
      <c r="D65" s="87">
        <v>1</v>
      </c>
      <c r="E65" s="87" t="s">
        <v>1472</v>
      </c>
      <c r="F65" s="87">
        <v>1</v>
      </c>
      <c r="G65" s="88">
        <f>8.175-2*0.45</f>
        <v>7.2750000000000004</v>
      </c>
      <c r="H65" s="88">
        <v>0.45</v>
      </c>
      <c r="I65" s="88">
        <v>0.1</v>
      </c>
      <c r="J65" s="88">
        <f t="shared" si="5"/>
        <v>0.33</v>
      </c>
      <c r="K65" s="82"/>
      <c r="L65" s="222"/>
      <c r="M65" s="222"/>
      <c r="N65" s="83"/>
      <c r="O65" s="89"/>
      <c r="P65" s="88"/>
      <c r="Q65" s="88"/>
    </row>
    <row r="66" spans="1:17" ht="21.75" customHeight="1">
      <c r="A66" s="78"/>
      <c r="B66" s="79"/>
      <c r="C66" s="224" t="s">
        <v>284</v>
      </c>
      <c r="D66" s="87">
        <v>1</v>
      </c>
      <c r="E66" s="87" t="s">
        <v>1472</v>
      </c>
      <c r="F66" s="87">
        <v>1</v>
      </c>
      <c r="G66" s="88">
        <v>7.28</v>
      </c>
      <c r="H66" s="88">
        <v>0.45</v>
      </c>
      <c r="I66" s="88">
        <v>0.1</v>
      </c>
      <c r="J66" s="88">
        <f t="shared" si="5"/>
        <v>0.33</v>
      </c>
      <c r="K66" s="82"/>
      <c r="L66" s="222"/>
      <c r="M66" s="222"/>
      <c r="N66" s="83"/>
      <c r="O66" s="89"/>
      <c r="P66" s="88"/>
      <c r="Q66" s="88"/>
    </row>
    <row r="67" spans="1:17" ht="21.75" customHeight="1">
      <c r="A67" s="78"/>
      <c r="B67" s="79"/>
      <c r="C67" s="224" t="s">
        <v>285</v>
      </c>
      <c r="D67" s="87">
        <v>1</v>
      </c>
      <c r="E67" s="87" t="s">
        <v>1472</v>
      </c>
      <c r="F67" s="87">
        <v>1</v>
      </c>
      <c r="G67" s="88">
        <f>8.175-0.38*3</f>
        <v>7.0350000000000001</v>
      </c>
      <c r="H67" s="88">
        <v>0.45</v>
      </c>
      <c r="I67" s="88">
        <v>0.1</v>
      </c>
      <c r="J67" s="88">
        <f t="shared" si="5"/>
        <v>0.32</v>
      </c>
      <c r="K67" s="82"/>
      <c r="L67" s="222"/>
      <c r="M67" s="222"/>
      <c r="N67" s="83"/>
      <c r="O67" s="89"/>
      <c r="P67" s="88"/>
      <c r="Q67" s="88"/>
    </row>
    <row r="68" spans="1:17" ht="21.75" customHeight="1">
      <c r="A68" s="78"/>
      <c r="B68" s="79"/>
      <c r="C68" s="224" t="s">
        <v>286</v>
      </c>
      <c r="D68" s="87">
        <v>1</v>
      </c>
      <c r="E68" s="87" t="s">
        <v>1472</v>
      </c>
      <c r="F68" s="87">
        <v>1</v>
      </c>
      <c r="G68" s="88">
        <f>8.175-0.38*3</f>
        <v>7.0350000000000001</v>
      </c>
      <c r="H68" s="88">
        <v>0.45</v>
      </c>
      <c r="I68" s="88">
        <v>0.1</v>
      </c>
      <c r="J68" s="88">
        <f t="shared" si="5"/>
        <v>0.32</v>
      </c>
      <c r="K68" s="82"/>
      <c r="L68" s="222"/>
      <c r="M68" s="222"/>
      <c r="N68" s="83"/>
      <c r="O68" s="89"/>
      <c r="P68" s="88"/>
      <c r="Q68" s="88"/>
    </row>
    <row r="69" spans="1:17" ht="21.75" customHeight="1">
      <c r="A69" s="78"/>
      <c r="B69" s="79"/>
      <c r="C69" s="224" t="s">
        <v>772</v>
      </c>
      <c r="D69" s="87">
        <v>1</v>
      </c>
      <c r="E69" s="87" t="s">
        <v>1472</v>
      </c>
      <c r="F69" s="87">
        <v>1</v>
      </c>
      <c r="G69" s="88">
        <v>3</v>
      </c>
      <c r="H69" s="88">
        <v>0.45</v>
      </c>
      <c r="I69" s="88">
        <v>0.1</v>
      </c>
      <c r="J69" s="88">
        <f t="shared" si="5"/>
        <v>0.14000000000000001</v>
      </c>
      <c r="K69" s="82"/>
      <c r="L69" s="222"/>
      <c r="M69" s="222"/>
      <c r="N69" s="83"/>
      <c r="O69" s="89"/>
      <c r="P69" s="88"/>
      <c r="Q69" s="88"/>
    </row>
    <row r="70" spans="1:17" ht="21.75" customHeight="1">
      <c r="A70" s="78"/>
      <c r="B70" s="79"/>
      <c r="C70" s="224" t="s">
        <v>773</v>
      </c>
      <c r="D70" s="87">
        <v>1</v>
      </c>
      <c r="E70" s="87" t="s">
        <v>1472</v>
      </c>
      <c r="F70" s="87">
        <v>1</v>
      </c>
      <c r="G70" s="88">
        <v>3</v>
      </c>
      <c r="H70" s="88">
        <v>0.45</v>
      </c>
      <c r="I70" s="88">
        <v>0.1</v>
      </c>
      <c r="J70" s="88">
        <f>ROUND(D70*F70*G70*H70*I70,2)</f>
        <v>0.14000000000000001</v>
      </c>
      <c r="K70" s="82"/>
      <c r="L70" s="222"/>
      <c r="M70" s="222"/>
      <c r="N70" s="83"/>
      <c r="O70" s="89"/>
      <c r="P70" s="88"/>
      <c r="Q70" s="88"/>
    </row>
    <row r="71" spans="1:17" ht="21.75" customHeight="1">
      <c r="A71" s="78"/>
      <c r="B71" s="79"/>
      <c r="C71" s="250" t="s">
        <v>985</v>
      </c>
      <c r="D71" s="87">
        <v>1</v>
      </c>
      <c r="E71" s="87" t="s">
        <v>1472</v>
      </c>
      <c r="F71" s="87">
        <v>1</v>
      </c>
      <c r="G71" s="88">
        <v>3</v>
      </c>
      <c r="H71" s="88">
        <v>0.45</v>
      </c>
      <c r="I71" s="88">
        <v>0.1</v>
      </c>
      <c r="J71" s="88">
        <f t="shared" si="5"/>
        <v>0.14000000000000001</v>
      </c>
      <c r="K71" s="82"/>
      <c r="L71" s="222"/>
      <c r="M71" s="222"/>
      <c r="N71" s="83"/>
      <c r="O71" s="89"/>
      <c r="P71" s="88"/>
      <c r="Q71" s="88"/>
    </row>
    <row r="72" spans="1:17" ht="21.75" customHeight="1">
      <c r="A72" s="78"/>
      <c r="B72" s="79"/>
      <c r="C72" s="250" t="s">
        <v>985</v>
      </c>
      <c r="D72" s="87">
        <v>1</v>
      </c>
      <c r="E72" s="87" t="s">
        <v>1472</v>
      </c>
      <c r="F72" s="87">
        <v>1</v>
      </c>
      <c r="G72" s="88">
        <v>3.6</v>
      </c>
      <c r="H72" s="88">
        <v>0.45</v>
      </c>
      <c r="I72" s="88">
        <v>0.1</v>
      </c>
      <c r="J72" s="88">
        <f>ROUND(D72*F72*G72*H72*I72,2)</f>
        <v>0.16</v>
      </c>
      <c r="K72" s="82"/>
      <c r="L72" s="222"/>
      <c r="M72" s="222"/>
      <c r="N72" s="83"/>
      <c r="O72" s="89"/>
      <c r="P72" s="88"/>
      <c r="Q72" s="88"/>
    </row>
    <row r="73" spans="1:17" ht="21.75" customHeight="1">
      <c r="A73" s="78"/>
      <c r="B73" s="79"/>
      <c r="C73" s="250" t="s">
        <v>985</v>
      </c>
      <c r="D73" s="87">
        <v>1</v>
      </c>
      <c r="E73" s="87" t="s">
        <v>1472</v>
      </c>
      <c r="F73" s="87">
        <v>2</v>
      </c>
      <c r="G73" s="88">
        <v>1.1599999999999999</v>
      </c>
      <c r="H73" s="88">
        <v>0.45</v>
      </c>
      <c r="I73" s="88">
        <v>0.1</v>
      </c>
      <c r="J73" s="88">
        <f>ROUND(D73*F73*G73*H73*I73,2)</f>
        <v>0.1</v>
      </c>
      <c r="K73" s="82"/>
      <c r="L73" s="222"/>
      <c r="M73" s="222"/>
      <c r="N73" s="83"/>
      <c r="O73" s="89"/>
      <c r="P73" s="88"/>
      <c r="Q73" s="88"/>
    </row>
    <row r="74" spans="1:17" ht="21.75" customHeight="1">
      <c r="A74" s="78"/>
      <c r="B74" s="79"/>
      <c r="C74" s="63"/>
      <c r="D74" s="87"/>
      <c r="E74" s="87"/>
      <c r="F74" s="87"/>
      <c r="G74" s="88"/>
      <c r="H74" s="88"/>
      <c r="I74" s="88"/>
      <c r="J74" s="236">
        <f>SUM(J63:J73)</f>
        <v>2.4400000000000008</v>
      </c>
      <c r="K74" s="82"/>
      <c r="L74" s="222"/>
      <c r="M74" s="222"/>
      <c r="N74" s="83"/>
      <c r="O74" s="89"/>
      <c r="P74" s="88"/>
      <c r="Q74" s="88"/>
    </row>
    <row r="75" spans="1:17">
      <c r="A75" s="196"/>
      <c r="B75" s="374" t="s">
        <v>1468</v>
      </c>
      <c r="C75" s="2763"/>
      <c r="D75" s="2763"/>
      <c r="E75" s="2763"/>
      <c r="F75" s="2763"/>
      <c r="G75" s="2763"/>
      <c r="H75" s="2763"/>
      <c r="I75" s="2763"/>
      <c r="J75" s="92">
        <f>SUM(J74+J62+J50)</f>
        <v>26.43674</v>
      </c>
      <c r="K75" s="338">
        <f>Datas!G174</f>
        <v>4155.8100000000004</v>
      </c>
      <c r="L75" s="222"/>
      <c r="M75" s="375">
        <f>ROUND(K75*J75,0)</f>
        <v>109866</v>
      </c>
      <c r="N75" s="403">
        <f>SUM(L75:M75)</f>
        <v>109866</v>
      </c>
      <c r="O75" s="92">
        <f>ROUND(0.9*50+0.45*40,2)</f>
        <v>63</v>
      </c>
      <c r="P75" s="321">
        <f>ROUND(O75*J75,2)</f>
        <v>1665.51</v>
      </c>
      <c r="Q75" s="92"/>
    </row>
    <row r="76" spans="1:17" ht="21.75" customHeight="1">
      <c r="A76" s="78"/>
      <c r="J76" s="92" t="s">
        <v>656</v>
      </c>
      <c r="K76" s="95" t="s">
        <v>656</v>
      </c>
      <c r="L76" s="225"/>
      <c r="M76" s="225"/>
      <c r="N76" s="93"/>
      <c r="O76" s="96"/>
      <c r="P76" s="92"/>
      <c r="Q76" s="88"/>
    </row>
    <row r="77" spans="1:17" ht="21.75" customHeight="1">
      <c r="A77" s="78"/>
      <c r="B77" s="79"/>
      <c r="C77" s="64" t="s">
        <v>1115</v>
      </c>
      <c r="D77" s="87"/>
      <c r="E77" s="87"/>
      <c r="F77" s="87"/>
      <c r="G77" s="88"/>
      <c r="H77" s="88"/>
      <c r="I77" s="88"/>
      <c r="J77" s="92"/>
      <c r="K77" s="95"/>
      <c r="L77" s="225"/>
      <c r="M77" s="225"/>
      <c r="N77" s="93"/>
      <c r="O77" s="96"/>
      <c r="P77" s="92"/>
      <c r="Q77" s="88"/>
    </row>
    <row r="78" spans="1:17" ht="144" customHeight="1">
      <c r="A78" s="78">
        <v>4</v>
      </c>
      <c r="B78" s="79"/>
      <c r="C78" s="2765" t="s">
        <v>1412</v>
      </c>
      <c r="D78" s="2740"/>
      <c r="E78" s="2740"/>
      <c r="F78" s="2740"/>
      <c r="G78" s="2740"/>
      <c r="H78" s="2740"/>
      <c r="I78" s="2740"/>
      <c r="J78" s="2740"/>
      <c r="K78" s="82"/>
      <c r="L78" s="222"/>
      <c r="M78" s="222"/>
      <c r="N78" s="83"/>
      <c r="O78" s="89"/>
      <c r="P78" s="88"/>
      <c r="Q78" s="88"/>
    </row>
    <row r="79" spans="1:17" ht="21.75" customHeight="1">
      <c r="A79" s="78"/>
      <c r="B79" s="79"/>
      <c r="C79" s="86" t="s">
        <v>655</v>
      </c>
      <c r="D79" s="87">
        <v>1</v>
      </c>
      <c r="E79" s="87" t="s">
        <v>1472</v>
      </c>
      <c r="F79" s="87">
        <v>6</v>
      </c>
      <c r="G79" s="88">
        <v>2</v>
      </c>
      <c r="H79" s="88">
        <v>2</v>
      </c>
      <c r="I79" s="88">
        <v>0.15</v>
      </c>
      <c r="J79" s="88">
        <f>ROUND(D79*F79*G79*H79*I79,2)</f>
        <v>3.6</v>
      </c>
      <c r="K79" s="82"/>
      <c r="L79" s="222"/>
      <c r="M79" s="222"/>
      <c r="N79" s="83"/>
      <c r="O79" s="89"/>
      <c r="P79" s="88"/>
      <c r="Q79" s="88"/>
    </row>
    <row r="80" spans="1:17" ht="21.75" customHeight="1">
      <c r="A80" s="78"/>
      <c r="B80" s="79"/>
      <c r="C80" s="86" t="s">
        <v>71</v>
      </c>
      <c r="D80" s="87">
        <v>1</v>
      </c>
      <c r="E80" s="87" t="s">
        <v>1472</v>
      </c>
      <c r="F80" s="87">
        <v>12</v>
      </c>
      <c r="G80" s="88">
        <v>1.8</v>
      </c>
      <c r="H80" s="88">
        <v>1.8</v>
      </c>
      <c r="I80" s="88">
        <v>0.15</v>
      </c>
      <c r="J80" s="88">
        <f>ROUND(D80*F80*G80*H80*I80,2)</f>
        <v>5.83</v>
      </c>
      <c r="K80" s="82"/>
      <c r="L80" s="222"/>
      <c r="M80" s="222"/>
      <c r="N80" s="83"/>
      <c r="O80" s="89"/>
      <c r="P80" s="88"/>
      <c r="Q80" s="88"/>
    </row>
    <row r="81" spans="1:17" ht="21.75" customHeight="1">
      <c r="A81" s="78"/>
      <c r="B81" s="79"/>
      <c r="C81" s="86" t="s">
        <v>444</v>
      </c>
      <c r="D81" s="87">
        <v>1</v>
      </c>
      <c r="E81" s="87" t="s">
        <v>1472</v>
      </c>
      <c r="F81" s="87">
        <v>1</v>
      </c>
      <c r="G81" s="88">
        <v>1.35</v>
      </c>
      <c r="H81" s="88">
        <v>1.35</v>
      </c>
      <c r="I81" s="88">
        <v>0.15</v>
      </c>
      <c r="J81" s="88">
        <f>ROUND(D81*F81*G81*H81*I81,2)</f>
        <v>0.27</v>
      </c>
      <c r="K81" s="82"/>
      <c r="L81" s="222"/>
      <c r="M81" s="222"/>
      <c r="N81" s="83"/>
      <c r="O81" s="89"/>
      <c r="P81" s="88"/>
      <c r="Q81" s="88"/>
    </row>
    <row r="82" spans="1:17" ht="21.75" customHeight="1">
      <c r="A82" s="78"/>
      <c r="B82" s="79"/>
      <c r="C82" s="91" t="s">
        <v>643</v>
      </c>
      <c r="D82" s="87">
        <v>1</v>
      </c>
      <c r="E82" s="87" t="s">
        <v>1472</v>
      </c>
      <c r="F82" s="87">
        <v>1</v>
      </c>
      <c r="G82" s="88">
        <v>3.75</v>
      </c>
      <c r="H82" s="88">
        <v>1.95</v>
      </c>
      <c r="I82" s="88">
        <v>0.15</v>
      </c>
      <c r="J82" s="88">
        <f>FLOOR(D82*F82*G82*H82*I82,0.01)</f>
        <v>1.0900000000000001</v>
      </c>
      <c r="K82" s="82"/>
      <c r="L82" s="222"/>
      <c r="M82" s="222"/>
      <c r="N82" s="83"/>
      <c r="O82" s="89"/>
      <c r="P82" s="88"/>
      <c r="Q82" s="88"/>
    </row>
    <row r="83" spans="1:17" ht="21.75" customHeight="1">
      <c r="A83" s="78"/>
      <c r="B83" s="79"/>
      <c r="C83" s="97"/>
      <c r="D83" s="87"/>
      <c r="E83" s="87"/>
      <c r="F83" s="87"/>
      <c r="G83" s="88"/>
      <c r="H83" s="88"/>
      <c r="I83" s="88"/>
      <c r="J83" s="92">
        <f>SUM(J79:J82)</f>
        <v>10.79</v>
      </c>
      <c r="K83" s="82"/>
      <c r="L83" s="222"/>
      <c r="M83" s="222"/>
      <c r="N83" s="83"/>
      <c r="O83" s="89"/>
      <c r="P83" s="88"/>
      <c r="Q83" s="88"/>
    </row>
    <row r="84" spans="1:17" s="378" customFormat="1">
      <c r="A84" s="196"/>
      <c r="B84" s="376" t="s">
        <v>311</v>
      </c>
      <c r="C84" s="2763"/>
      <c r="D84" s="2763"/>
      <c r="E84" s="2763"/>
      <c r="F84" s="2763"/>
      <c r="G84" s="2763"/>
      <c r="H84" s="2763"/>
      <c r="I84" s="2763"/>
      <c r="J84" s="92">
        <f>CEILING(J83,0.05)</f>
        <v>10.8</v>
      </c>
      <c r="K84" s="338">
        <f>Datas!G154</f>
        <v>4371.4635670906127</v>
      </c>
      <c r="L84" s="222"/>
      <c r="M84" s="375">
        <f>ROUND(K84*J84,0)</f>
        <v>47212</v>
      </c>
      <c r="N84" s="403">
        <f>SUM(L84:M84)</f>
        <v>47212</v>
      </c>
      <c r="O84" s="236">
        <f>ROUND(0.9*50+0.45*40,2)</f>
        <v>63</v>
      </c>
      <c r="P84" s="377">
        <f>ROUND(O84*J84,2)</f>
        <v>680.4</v>
      </c>
      <c r="Q84" s="236"/>
    </row>
    <row r="85" spans="1:17" ht="21.75" customHeight="1">
      <c r="A85" s="78"/>
      <c r="J85" s="92" t="s">
        <v>656</v>
      </c>
      <c r="K85" s="95" t="s">
        <v>656</v>
      </c>
      <c r="L85" s="225"/>
      <c r="M85" s="225"/>
      <c r="N85" s="93"/>
      <c r="O85" s="96"/>
      <c r="P85" s="92"/>
      <c r="Q85" s="88"/>
    </row>
    <row r="86" spans="1:17" ht="139.5" customHeight="1">
      <c r="A86" s="78">
        <v>5</v>
      </c>
      <c r="B86" s="79"/>
      <c r="C86" s="2765" t="s">
        <v>1076</v>
      </c>
      <c r="D86" s="2740"/>
      <c r="E86" s="2740"/>
      <c r="F86" s="2740"/>
      <c r="G86" s="2740"/>
      <c r="H86" s="2740"/>
      <c r="I86" s="2740"/>
      <c r="J86" s="2740"/>
      <c r="K86" s="82"/>
      <c r="L86" s="222"/>
      <c r="M86" s="222"/>
      <c r="N86" s="83"/>
      <c r="O86" s="89"/>
      <c r="P86" s="88"/>
      <c r="Q86" s="88"/>
    </row>
    <row r="87" spans="1:17">
      <c r="A87" s="78"/>
      <c r="B87" s="79"/>
      <c r="C87" s="2786" t="s">
        <v>657</v>
      </c>
      <c r="D87" s="2787"/>
      <c r="E87" s="2787"/>
      <c r="F87" s="2787"/>
      <c r="G87" s="2787"/>
      <c r="H87" s="2787"/>
      <c r="I87" s="2787"/>
      <c r="J87" s="2788"/>
      <c r="K87" s="82"/>
      <c r="L87" s="222"/>
      <c r="M87" s="222"/>
      <c r="N87" s="83"/>
      <c r="O87" s="89"/>
      <c r="P87" s="88"/>
      <c r="Q87" s="88"/>
    </row>
    <row r="88" spans="1:17" ht="18">
      <c r="A88" s="78"/>
      <c r="B88" s="79"/>
      <c r="C88" s="90" t="s">
        <v>774</v>
      </c>
      <c r="D88" s="87">
        <v>1</v>
      </c>
      <c r="E88" s="87" t="s">
        <v>1472</v>
      </c>
      <c r="F88" s="87">
        <v>1</v>
      </c>
      <c r="G88" s="88">
        <f>(20.4-7*0.3)</f>
        <v>18.299999999999997</v>
      </c>
      <c r="H88" s="88">
        <v>0.45</v>
      </c>
      <c r="I88" s="88">
        <v>0.5</v>
      </c>
      <c r="J88" s="88">
        <f t="shared" ref="J88:J96" si="6">ROUND(D88*F88*G88*H88*I88,2)</f>
        <v>4.12</v>
      </c>
      <c r="K88" s="82"/>
      <c r="L88" s="222"/>
      <c r="M88" s="222"/>
      <c r="N88" s="83"/>
      <c r="O88" s="89"/>
      <c r="P88" s="88"/>
      <c r="Q88" s="88"/>
    </row>
    <row r="89" spans="1:17" ht="21.75" customHeight="1">
      <c r="A89" s="78"/>
      <c r="B89" s="79"/>
      <c r="C89" s="90" t="s">
        <v>775</v>
      </c>
      <c r="D89" s="87">
        <v>1</v>
      </c>
      <c r="E89" s="87" t="s">
        <v>1472</v>
      </c>
      <c r="F89" s="87">
        <v>1</v>
      </c>
      <c r="G89" s="88">
        <f>(20.4-7*0.3)</f>
        <v>18.299999999999997</v>
      </c>
      <c r="H89" s="88">
        <v>0.45</v>
      </c>
      <c r="I89" s="88">
        <v>0.5</v>
      </c>
      <c r="J89" s="88">
        <f t="shared" si="6"/>
        <v>4.12</v>
      </c>
      <c r="K89" s="82"/>
      <c r="L89" s="222"/>
      <c r="M89" s="222"/>
      <c r="N89" s="83"/>
      <c r="O89" s="89"/>
      <c r="P89" s="88"/>
      <c r="Q89" s="88"/>
    </row>
    <row r="90" spans="1:17" ht="30" customHeight="1">
      <c r="A90" s="78"/>
      <c r="B90" s="79"/>
      <c r="C90" s="90" t="s">
        <v>258</v>
      </c>
      <c r="D90" s="87">
        <v>1</v>
      </c>
      <c r="E90" s="87" t="s">
        <v>1472</v>
      </c>
      <c r="F90" s="87">
        <v>1</v>
      </c>
      <c r="G90" s="88">
        <f>(8.175-3*0.38)</f>
        <v>7.0350000000000001</v>
      </c>
      <c r="H90" s="88">
        <v>0.45</v>
      </c>
      <c r="I90" s="88">
        <v>0.5</v>
      </c>
      <c r="J90" s="88">
        <f t="shared" si="6"/>
        <v>1.58</v>
      </c>
      <c r="K90" s="82"/>
      <c r="L90" s="222"/>
      <c r="M90" s="222"/>
      <c r="N90" s="83"/>
      <c r="O90" s="89"/>
      <c r="P90" s="88"/>
      <c r="Q90" s="88"/>
    </row>
    <row r="91" spans="1:17" ht="30" customHeight="1">
      <c r="A91" s="78"/>
      <c r="B91" s="79"/>
      <c r="C91" s="90" t="s">
        <v>259</v>
      </c>
      <c r="D91" s="87">
        <v>1</v>
      </c>
      <c r="E91" s="87" t="s">
        <v>1472</v>
      </c>
      <c r="F91" s="87">
        <v>1</v>
      </c>
      <c r="G91" s="88">
        <f>(8.175-3*0.38)</f>
        <v>7.0350000000000001</v>
      </c>
      <c r="H91" s="88">
        <v>0.45</v>
      </c>
      <c r="I91" s="88">
        <v>0.5</v>
      </c>
      <c r="J91" s="88">
        <f>ROUND(D91*F91*G91*H91*I91,2)</f>
        <v>1.58</v>
      </c>
      <c r="K91" s="82"/>
      <c r="L91" s="222"/>
      <c r="M91" s="222"/>
      <c r="N91" s="83"/>
      <c r="O91" s="89"/>
      <c r="P91" s="88"/>
      <c r="Q91" s="88"/>
    </row>
    <row r="92" spans="1:17" ht="21.75" customHeight="1">
      <c r="A92" s="78"/>
      <c r="B92" s="79"/>
      <c r="C92" s="90" t="s">
        <v>260</v>
      </c>
      <c r="D92" s="87">
        <v>1</v>
      </c>
      <c r="E92" s="87" t="s">
        <v>1472</v>
      </c>
      <c r="F92" s="87">
        <v>2</v>
      </c>
      <c r="G92" s="88">
        <f>(1.5+0.115+0.45)</f>
        <v>2.0649999999999999</v>
      </c>
      <c r="H92" s="88">
        <v>0.45</v>
      </c>
      <c r="I92" s="88">
        <v>0.5</v>
      </c>
      <c r="J92" s="88">
        <f t="shared" si="6"/>
        <v>0.93</v>
      </c>
      <c r="K92" s="82"/>
      <c r="L92" s="222"/>
      <c r="M92" s="222"/>
      <c r="N92" s="83"/>
      <c r="O92" s="89"/>
      <c r="P92" s="88"/>
      <c r="Q92" s="88"/>
    </row>
    <row r="93" spans="1:17" ht="21.75" customHeight="1">
      <c r="A93" s="78"/>
      <c r="B93" s="79"/>
      <c r="C93" s="91" t="s">
        <v>507</v>
      </c>
      <c r="D93" s="87">
        <v>1</v>
      </c>
      <c r="E93" s="87" t="s">
        <v>1472</v>
      </c>
      <c r="F93" s="87">
        <v>2</v>
      </c>
      <c r="G93" s="88">
        <v>1.8</v>
      </c>
      <c r="H93" s="88">
        <v>0.45</v>
      </c>
      <c r="I93" s="88">
        <v>0.5</v>
      </c>
      <c r="J93" s="88">
        <f t="shared" si="6"/>
        <v>0.81</v>
      </c>
      <c r="K93" s="82"/>
      <c r="L93" s="222"/>
      <c r="M93" s="222"/>
      <c r="N93" s="83"/>
      <c r="O93" s="89"/>
      <c r="P93" s="88"/>
      <c r="Q93" s="88"/>
    </row>
    <row r="94" spans="1:17" ht="27.9" customHeight="1">
      <c r="A94" s="78"/>
      <c r="B94" s="79"/>
      <c r="C94" s="90" t="s">
        <v>438</v>
      </c>
      <c r="D94" s="87">
        <v>2</v>
      </c>
      <c r="E94" s="87" t="s">
        <v>1472</v>
      </c>
      <c r="F94" s="87">
        <v>2</v>
      </c>
      <c r="G94" s="88">
        <v>1.4</v>
      </c>
      <c r="H94" s="88">
        <v>0.45</v>
      </c>
      <c r="I94" s="88">
        <v>0.78</v>
      </c>
      <c r="J94" s="88">
        <f t="shared" si="6"/>
        <v>1.97</v>
      </c>
      <c r="K94" s="82"/>
      <c r="L94" s="222"/>
      <c r="M94" s="222"/>
      <c r="N94" s="83"/>
      <c r="O94" s="89"/>
      <c r="P94" s="88"/>
      <c r="Q94" s="88"/>
    </row>
    <row r="95" spans="1:17" ht="27.9" customHeight="1">
      <c r="A95" s="78"/>
      <c r="B95" s="79"/>
      <c r="C95" s="90" t="s">
        <v>439</v>
      </c>
      <c r="D95" s="87">
        <v>2</v>
      </c>
      <c r="E95" s="87" t="s">
        <v>1472</v>
      </c>
      <c r="F95" s="87">
        <v>5</v>
      </c>
      <c r="G95" s="88">
        <v>1.45</v>
      </c>
      <c r="H95" s="88">
        <v>0.45</v>
      </c>
      <c r="I95" s="88">
        <v>0.78</v>
      </c>
      <c r="J95" s="88">
        <f t="shared" si="6"/>
        <v>5.09</v>
      </c>
      <c r="K95" s="82"/>
      <c r="L95" s="222"/>
      <c r="M95" s="222"/>
      <c r="N95" s="83"/>
      <c r="O95" s="89"/>
      <c r="P95" s="88"/>
      <c r="Q95" s="88"/>
    </row>
    <row r="96" spans="1:17" ht="21.75" customHeight="1">
      <c r="A96" s="78"/>
      <c r="B96" s="79"/>
      <c r="C96" s="90" t="s">
        <v>727</v>
      </c>
      <c r="D96" s="87">
        <v>1</v>
      </c>
      <c r="E96" s="87" t="s">
        <v>1472</v>
      </c>
      <c r="F96" s="87">
        <v>2</v>
      </c>
      <c r="G96" s="88">
        <v>1.45</v>
      </c>
      <c r="H96" s="88">
        <v>0.45</v>
      </c>
      <c r="I96" s="88">
        <v>0.78</v>
      </c>
      <c r="J96" s="88">
        <f t="shared" si="6"/>
        <v>1.02</v>
      </c>
      <c r="K96" s="82"/>
      <c r="L96" s="222"/>
      <c r="M96" s="222"/>
      <c r="N96" s="83"/>
      <c r="O96" s="89"/>
      <c r="P96" s="88"/>
      <c r="Q96" s="88"/>
    </row>
    <row r="97" spans="1:17" ht="21.75" customHeight="1">
      <c r="A97" s="78"/>
      <c r="B97" s="79"/>
      <c r="C97" s="90"/>
      <c r="D97" s="87"/>
      <c r="E97" s="87"/>
      <c r="F97" s="87"/>
      <c r="G97" s="88"/>
      <c r="H97" s="88"/>
      <c r="I97" s="88"/>
      <c r="J97" s="236">
        <f>SUM(J88:J96)</f>
        <v>21.220000000000002</v>
      </c>
      <c r="K97" s="82"/>
      <c r="L97" s="222"/>
      <c r="M97" s="222"/>
      <c r="N97" s="83"/>
      <c r="O97" s="89"/>
      <c r="P97" s="88"/>
      <c r="Q97" s="88"/>
    </row>
    <row r="98" spans="1:17" ht="21.75" customHeight="1">
      <c r="A98" s="78"/>
      <c r="B98" s="79"/>
      <c r="C98" s="252" t="s">
        <v>726</v>
      </c>
      <c r="D98" s="87">
        <v>1</v>
      </c>
      <c r="E98" s="87" t="s">
        <v>1472</v>
      </c>
      <c r="F98" s="87">
        <v>1</v>
      </c>
      <c r="G98" s="88">
        <v>5.4</v>
      </c>
      <c r="H98" s="88">
        <v>3</v>
      </c>
      <c r="I98" s="88">
        <v>0.15</v>
      </c>
      <c r="J98" s="88">
        <f>ROUND(D98*F98*G98*H98*I98,2)</f>
        <v>2.4300000000000002</v>
      </c>
      <c r="K98" s="82"/>
      <c r="L98" s="222"/>
      <c r="M98" s="222"/>
      <c r="N98" s="83"/>
      <c r="O98" s="89"/>
      <c r="P98" s="88"/>
      <c r="Q98" s="88"/>
    </row>
    <row r="99" spans="1:17" ht="21.75" customHeight="1">
      <c r="A99" s="78"/>
      <c r="B99" s="79"/>
      <c r="C99" s="91"/>
      <c r="D99" s="87">
        <v>1</v>
      </c>
      <c r="E99" s="87" t="s">
        <v>1472</v>
      </c>
      <c r="F99" s="87">
        <v>1</v>
      </c>
      <c r="G99" s="88">
        <v>4.8</v>
      </c>
      <c r="H99" s="88">
        <v>2.7</v>
      </c>
      <c r="I99" s="88">
        <v>0.15</v>
      </c>
      <c r="J99" s="88">
        <f t="shared" ref="J99:J108" si="7">ROUND(D99*F99*G99*H99*I99,2)</f>
        <v>1.94</v>
      </c>
      <c r="K99" s="82"/>
      <c r="L99" s="222"/>
      <c r="M99" s="222"/>
      <c r="N99" s="83"/>
      <c r="O99" s="89"/>
      <c r="P99" s="88"/>
      <c r="Q99" s="88"/>
    </row>
    <row r="100" spans="1:17" ht="21.75" customHeight="1">
      <c r="A100" s="78"/>
      <c r="B100" s="79"/>
      <c r="C100" s="91"/>
      <c r="D100" s="87">
        <v>1</v>
      </c>
      <c r="E100" s="87" t="s">
        <v>1472</v>
      </c>
      <c r="F100" s="87">
        <v>1</v>
      </c>
      <c r="G100" s="88">
        <v>4.2</v>
      </c>
      <c r="H100" s="88">
        <v>2.4</v>
      </c>
      <c r="I100" s="88">
        <v>0.15</v>
      </c>
      <c r="J100" s="88">
        <f t="shared" si="7"/>
        <v>1.51</v>
      </c>
      <c r="K100" s="82"/>
      <c r="L100" s="222"/>
      <c r="M100" s="222"/>
      <c r="N100" s="83"/>
      <c r="O100" s="89"/>
      <c r="P100" s="88"/>
      <c r="Q100" s="88"/>
    </row>
    <row r="101" spans="1:17" ht="21.75" customHeight="1">
      <c r="A101" s="78"/>
      <c r="B101" s="79"/>
      <c r="C101" s="91"/>
      <c r="D101" s="87">
        <v>1</v>
      </c>
      <c r="E101" s="87" t="s">
        <v>1472</v>
      </c>
      <c r="F101" s="87">
        <v>1</v>
      </c>
      <c r="G101" s="88">
        <v>3.6</v>
      </c>
      <c r="H101" s="88">
        <v>2.1</v>
      </c>
      <c r="I101" s="88">
        <v>0.15</v>
      </c>
      <c r="J101" s="88">
        <f t="shared" si="7"/>
        <v>1.1299999999999999</v>
      </c>
      <c r="K101" s="82"/>
      <c r="L101" s="222"/>
      <c r="M101" s="222"/>
      <c r="N101" s="83"/>
      <c r="O101" s="89"/>
      <c r="P101" s="88"/>
      <c r="Q101" s="88"/>
    </row>
    <row r="102" spans="1:17" ht="21.75" customHeight="1">
      <c r="A102" s="78"/>
      <c r="B102" s="79"/>
      <c r="C102" s="91"/>
      <c r="D102" s="87">
        <v>1</v>
      </c>
      <c r="E102" s="87" t="s">
        <v>1472</v>
      </c>
      <c r="F102" s="87">
        <v>1</v>
      </c>
      <c r="G102" s="88">
        <v>3</v>
      </c>
      <c r="H102" s="88">
        <v>1.8</v>
      </c>
      <c r="I102" s="88">
        <v>0.15</v>
      </c>
      <c r="J102" s="88">
        <f t="shared" si="7"/>
        <v>0.81</v>
      </c>
      <c r="K102" s="82"/>
      <c r="L102" s="222"/>
      <c r="M102" s="222"/>
      <c r="N102" s="83"/>
      <c r="O102" s="89"/>
      <c r="P102" s="88"/>
      <c r="Q102" s="88"/>
    </row>
    <row r="103" spans="1:17" ht="21.75" customHeight="1">
      <c r="A103" s="78"/>
      <c r="B103" s="79"/>
      <c r="C103" s="91" t="s">
        <v>931</v>
      </c>
      <c r="D103" s="87">
        <v>-1</v>
      </c>
      <c r="E103" s="87" t="s">
        <v>1472</v>
      </c>
      <c r="F103" s="87">
        <v>1</v>
      </c>
      <c r="G103" s="88">
        <v>3</v>
      </c>
      <c r="H103" s="88">
        <v>1.8</v>
      </c>
      <c r="I103" s="88">
        <v>0.75</v>
      </c>
      <c r="J103" s="88">
        <f t="shared" si="7"/>
        <v>-4.05</v>
      </c>
      <c r="K103" s="82"/>
      <c r="L103" s="222"/>
      <c r="M103" s="222"/>
      <c r="N103" s="83"/>
      <c r="O103" s="89"/>
      <c r="P103" s="88"/>
      <c r="Q103" s="88"/>
    </row>
    <row r="104" spans="1:17" ht="21.75" customHeight="1">
      <c r="A104" s="78"/>
      <c r="B104" s="79"/>
      <c r="C104" s="252" t="s">
        <v>725</v>
      </c>
      <c r="D104" s="87">
        <v>1</v>
      </c>
      <c r="E104" s="87" t="s">
        <v>1472</v>
      </c>
      <c r="F104" s="87">
        <v>1</v>
      </c>
      <c r="G104" s="88">
        <f>4.5-0.3</f>
        <v>4.2</v>
      </c>
      <c r="H104" s="88">
        <v>3</v>
      </c>
      <c r="I104" s="88">
        <v>0.15</v>
      </c>
      <c r="J104" s="88">
        <f>ROUND(D104*F104*G104*H104*I104,2)</f>
        <v>1.89</v>
      </c>
      <c r="K104" s="82"/>
      <c r="L104" s="222"/>
      <c r="M104" s="222"/>
      <c r="N104" s="83"/>
      <c r="O104" s="89"/>
      <c r="P104" s="88"/>
      <c r="Q104" s="88"/>
    </row>
    <row r="105" spans="1:17" ht="21.75" customHeight="1">
      <c r="A105" s="78"/>
      <c r="B105" s="79"/>
      <c r="C105" s="91"/>
      <c r="D105" s="87">
        <v>1</v>
      </c>
      <c r="E105" s="87" t="s">
        <v>1472</v>
      </c>
      <c r="F105" s="87">
        <v>1</v>
      </c>
      <c r="G105" s="88">
        <f>4.2-0.6</f>
        <v>3.6</v>
      </c>
      <c r="H105" s="88">
        <v>2.7</v>
      </c>
      <c r="I105" s="88">
        <v>0.15</v>
      </c>
      <c r="J105" s="88">
        <f t="shared" si="7"/>
        <v>1.46</v>
      </c>
      <c r="K105" s="82"/>
      <c r="L105" s="222"/>
      <c r="M105" s="222"/>
      <c r="N105" s="83"/>
      <c r="O105" s="89"/>
      <c r="P105" s="88"/>
      <c r="Q105" s="88"/>
    </row>
    <row r="106" spans="1:17" ht="21.75" customHeight="1">
      <c r="A106" s="78"/>
      <c r="B106" s="79"/>
      <c r="C106" s="91"/>
      <c r="D106" s="87">
        <v>1</v>
      </c>
      <c r="E106" s="87" t="s">
        <v>1472</v>
      </c>
      <c r="F106" s="87">
        <v>1</v>
      </c>
      <c r="G106" s="88">
        <v>3</v>
      </c>
      <c r="H106" s="88">
        <v>2.4</v>
      </c>
      <c r="I106" s="88">
        <v>0.15</v>
      </c>
      <c r="J106" s="88">
        <f t="shared" si="7"/>
        <v>1.08</v>
      </c>
      <c r="K106" s="82"/>
      <c r="L106" s="222"/>
      <c r="M106" s="222"/>
      <c r="N106" s="83"/>
      <c r="O106" s="89"/>
      <c r="P106" s="88"/>
      <c r="Q106" s="88"/>
    </row>
    <row r="107" spans="1:17" ht="21.75" customHeight="1">
      <c r="A107" s="78"/>
      <c r="B107" s="79"/>
      <c r="C107" s="91"/>
      <c r="D107" s="87">
        <v>1</v>
      </c>
      <c r="E107" s="87" t="s">
        <v>1472</v>
      </c>
      <c r="F107" s="87">
        <v>1</v>
      </c>
      <c r="G107" s="88">
        <v>2.4</v>
      </c>
      <c r="H107" s="88">
        <v>2.1</v>
      </c>
      <c r="I107" s="88">
        <v>0.15</v>
      </c>
      <c r="J107" s="88">
        <f t="shared" si="7"/>
        <v>0.76</v>
      </c>
      <c r="K107" s="82"/>
      <c r="L107" s="222"/>
      <c r="M107" s="222"/>
      <c r="N107" s="83"/>
      <c r="O107" s="89"/>
      <c r="P107" s="88"/>
      <c r="Q107" s="88"/>
    </row>
    <row r="108" spans="1:17" ht="30" customHeight="1">
      <c r="A108" s="78"/>
      <c r="B108" s="79"/>
      <c r="C108" s="90"/>
      <c r="D108" s="87">
        <v>1</v>
      </c>
      <c r="E108" s="87" t="s">
        <v>1472</v>
      </c>
      <c r="F108" s="87">
        <v>1</v>
      </c>
      <c r="G108" s="88">
        <v>1.8</v>
      </c>
      <c r="H108" s="88">
        <v>1.8</v>
      </c>
      <c r="I108" s="88">
        <v>0.15</v>
      </c>
      <c r="J108" s="88">
        <f t="shared" si="7"/>
        <v>0.49</v>
      </c>
      <c r="K108" s="82"/>
      <c r="L108" s="222"/>
      <c r="M108" s="222"/>
      <c r="N108" s="83"/>
      <c r="O108" s="89"/>
      <c r="P108" s="88"/>
      <c r="Q108" s="88"/>
    </row>
    <row r="109" spans="1:17" ht="30" customHeight="1">
      <c r="A109" s="78"/>
      <c r="B109" s="79"/>
      <c r="C109" s="90"/>
      <c r="D109" s="87"/>
      <c r="E109" s="87"/>
      <c r="F109" s="87"/>
      <c r="G109" s="88"/>
      <c r="H109" s="88"/>
      <c r="I109" s="88"/>
      <c r="J109" s="236">
        <f>SUM(J98:J108)</f>
        <v>9.4499999999999993</v>
      </c>
      <c r="K109" s="82"/>
      <c r="L109" s="222"/>
      <c r="M109" s="222"/>
      <c r="N109" s="83"/>
      <c r="O109" s="89"/>
      <c r="P109" s="88"/>
      <c r="Q109" s="88"/>
    </row>
    <row r="110" spans="1:17">
      <c r="A110" s="78"/>
      <c r="B110" s="79"/>
      <c r="C110" s="2786" t="s">
        <v>1077</v>
      </c>
      <c r="D110" s="2787"/>
      <c r="E110" s="2787"/>
      <c r="F110" s="2787"/>
      <c r="G110" s="2787"/>
      <c r="H110" s="2787"/>
      <c r="I110" s="2787"/>
      <c r="J110" s="2788"/>
      <c r="K110" s="82"/>
      <c r="L110" s="222"/>
      <c r="M110" s="222"/>
      <c r="N110" s="83"/>
      <c r="O110" s="89"/>
      <c r="P110" s="88"/>
      <c r="Q110" s="88"/>
    </row>
    <row r="111" spans="1:17" ht="18">
      <c r="A111" s="78"/>
      <c r="B111" s="79"/>
      <c r="C111" s="90" t="s">
        <v>774</v>
      </c>
      <c r="D111" s="87">
        <v>1</v>
      </c>
      <c r="E111" s="87" t="s">
        <v>1472</v>
      </c>
      <c r="F111" s="87">
        <v>1</v>
      </c>
      <c r="G111" s="88">
        <f>(20.4-7*0.3)</f>
        <v>18.299999999999997</v>
      </c>
      <c r="H111" s="88">
        <v>0.45</v>
      </c>
      <c r="I111" s="88">
        <v>0.45</v>
      </c>
      <c r="J111" s="88">
        <f t="shared" ref="J111:J116" si="8">ROUND(D111*F111*G111*H111*I111,2)</f>
        <v>3.71</v>
      </c>
      <c r="K111" s="82"/>
      <c r="L111" s="222"/>
      <c r="M111" s="222"/>
      <c r="N111" s="83"/>
      <c r="O111" s="89"/>
      <c r="P111" s="88"/>
      <c r="Q111" s="88"/>
    </row>
    <row r="112" spans="1:17" ht="21.75" customHeight="1">
      <c r="A112" s="78"/>
      <c r="B112" s="79"/>
      <c r="C112" s="90" t="s">
        <v>775</v>
      </c>
      <c r="D112" s="87">
        <v>1</v>
      </c>
      <c r="E112" s="87" t="s">
        <v>1472</v>
      </c>
      <c r="F112" s="87">
        <v>1</v>
      </c>
      <c r="G112" s="88">
        <f>(20.4-7*0.3)</f>
        <v>18.299999999999997</v>
      </c>
      <c r="H112" s="88">
        <v>0.45</v>
      </c>
      <c r="I112" s="88">
        <v>0.45</v>
      </c>
      <c r="J112" s="88">
        <f t="shared" si="8"/>
        <v>3.71</v>
      </c>
      <c r="K112" s="82"/>
      <c r="L112" s="222"/>
      <c r="M112" s="222"/>
      <c r="N112" s="83"/>
      <c r="O112" s="89"/>
      <c r="P112" s="88"/>
      <c r="Q112" s="88"/>
    </row>
    <row r="113" spans="1:17" ht="30" customHeight="1">
      <c r="A113" s="78"/>
      <c r="B113" s="79"/>
      <c r="C113" s="90" t="s">
        <v>258</v>
      </c>
      <c r="D113" s="87">
        <v>1</v>
      </c>
      <c r="E113" s="87" t="s">
        <v>1472</v>
      </c>
      <c r="F113" s="87">
        <v>1</v>
      </c>
      <c r="G113" s="88">
        <f>(8.175-3*0.38)</f>
        <v>7.0350000000000001</v>
      </c>
      <c r="H113" s="88">
        <v>0.45</v>
      </c>
      <c r="I113" s="88">
        <v>0.45</v>
      </c>
      <c r="J113" s="88">
        <f t="shared" si="8"/>
        <v>1.42</v>
      </c>
      <c r="K113" s="82"/>
      <c r="L113" s="222"/>
      <c r="M113" s="222"/>
      <c r="N113" s="83"/>
      <c r="O113" s="89"/>
      <c r="P113" s="88"/>
      <c r="Q113" s="88"/>
    </row>
    <row r="114" spans="1:17" ht="30" customHeight="1">
      <c r="A114" s="78"/>
      <c r="B114" s="79"/>
      <c r="C114" s="90" t="s">
        <v>259</v>
      </c>
      <c r="D114" s="87">
        <v>1</v>
      </c>
      <c r="E114" s="87" t="s">
        <v>1472</v>
      </c>
      <c r="F114" s="87">
        <v>1</v>
      </c>
      <c r="G114" s="88">
        <f>(8.175-3*0.38)</f>
        <v>7.0350000000000001</v>
      </c>
      <c r="H114" s="88">
        <v>0.45</v>
      </c>
      <c r="I114" s="88">
        <v>0.45</v>
      </c>
      <c r="J114" s="88">
        <f t="shared" si="8"/>
        <v>1.42</v>
      </c>
      <c r="K114" s="82"/>
      <c r="L114" s="222"/>
      <c r="M114" s="222"/>
      <c r="N114" s="83"/>
      <c r="O114" s="89"/>
      <c r="P114" s="88"/>
      <c r="Q114" s="88"/>
    </row>
    <row r="115" spans="1:17" ht="21.75" customHeight="1">
      <c r="A115" s="78"/>
      <c r="B115" s="79"/>
      <c r="C115" s="90" t="s">
        <v>260</v>
      </c>
      <c r="D115" s="87">
        <v>1</v>
      </c>
      <c r="E115" s="87" t="s">
        <v>1472</v>
      </c>
      <c r="F115" s="87">
        <v>2</v>
      </c>
      <c r="G115" s="88">
        <f>(1.5+0.115+0.45)</f>
        <v>2.0649999999999999</v>
      </c>
      <c r="H115" s="88">
        <v>0.45</v>
      </c>
      <c r="I115" s="88">
        <v>0.45</v>
      </c>
      <c r="J115" s="88">
        <f t="shared" si="8"/>
        <v>0.84</v>
      </c>
      <c r="K115" s="82"/>
      <c r="L115" s="222"/>
      <c r="M115" s="222"/>
      <c r="N115" s="83"/>
      <c r="O115" s="89"/>
      <c r="P115" s="88"/>
      <c r="Q115" s="88"/>
    </row>
    <row r="116" spans="1:17" ht="21.75" customHeight="1">
      <c r="A116" s="78"/>
      <c r="B116" s="79"/>
      <c r="C116" s="91" t="s">
        <v>507</v>
      </c>
      <c r="D116" s="87">
        <v>1</v>
      </c>
      <c r="E116" s="87" t="s">
        <v>1472</v>
      </c>
      <c r="F116" s="87">
        <v>2</v>
      </c>
      <c r="G116" s="88">
        <v>1.8</v>
      </c>
      <c r="H116" s="88">
        <v>0.45</v>
      </c>
      <c r="I116" s="88">
        <v>0.45</v>
      </c>
      <c r="J116" s="88">
        <f t="shared" si="8"/>
        <v>0.73</v>
      </c>
      <c r="K116" s="82"/>
      <c r="L116" s="222"/>
      <c r="M116" s="222"/>
      <c r="N116" s="83"/>
      <c r="O116" s="89"/>
      <c r="P116" s="88"/>
      <c r="Q116" s="88"/>
    </row>
    <row r="117" spans="1:17" ht="21.75" customHeight="1">
      <c r="A117" s="78"/>
      <c r="B117" s="79"/>
      <c r="C117" s="100"/>
      <c r="D117" s="87"/>
      <c r="E117" s="87"/>
      <c r="F117" s="87"/>
      <c r="G117" s="88"/>
      <c r="H117" s="88"/>
      <c r="I117" s="88"/>
      <c r="J117" s="236">
        <f>SUM(J111:J116)</f>
        <v>11.83</v>
      </c>
      <c r="K117" s="82"/>
      <c r="L117" s="222"/>
      <c r="M117" s="222"/>
      <c r="N117" s="83"/>
      <c r="O117" s="89"/>
      <c r="P117" s="88"/>
      <c r="Q117" s="88"/>
    </row>
    <row r="118" spans="1:17" ht="21.75" customHeight="1">
      <c r="A118" s="78"/>
      <c r="B118" s="79"/>
      <c r="C118" s="91"/>
      <c r="D118" s="87"/>
      <c r="E118" s="87"/>
      <c r="F118" s="87"/>
      <c r="G118" s="88"/>
      <c r="H118" s="88"/>
      <c r="I118" s="88"/>
      <c r="J118" s="92">
        <f>J109+J97+J117</f>
        <v>42.5</v>
      </c>
      <c r="K118" s="82"/>
      <c r="L118" s="222"/>
      <c r="M118" s="222"/>
      <c r="N118" s="83"/>
      <c r="O118" s="89"/>
      <c r="P118" s="88"/>
      <c r="Q118" s="92"/>
    </row>
    <row r="119" spans="1:17" ht="21.75" customHeight="1">
      <c r="A119" s="78"/>
      <c r="B119" s="79"/>
      <c r="C119" s="91"/>
      <c r="D119" s="87"/>
      <c r="E119" s="87"/>
      <c r="F119" s="87"/>
      <c r="G119" s="88"/>
      <c r="H119" s="88"/>
      <c r="I119" s="88"/>
      <c r="J119" s="92" t="s">
        <v>656</v>
      </c>
      <c r="K119" s="82"/>
      <c r="L119" s="222"/>
      <c r="M119" s="222"/>
      <c r="N119" s="83"/>
      <c r="O119" s="89"/>
      <c r="P119" s="88"/>
      <c r="Q119" s="92"/>
    </row>
    <row r="120" spans="1:17" s="378" customFormat="1">
      <c r="A120" s="196"/>
      <c r="B120" s="376" t="s">
        <v>1358</v>
      </c>
      <c r="C120" s="2763"/>
      <c r="D120" s="2763"/>
      <c r="E120" s="2763"/>
      <c r="F120" s="2763"/>
      <c r="G120" s="2763"/>
      <c r="H120" s="2763"/>
      <c r="I120" s="2763"/>
      <c r="J120" s="92">
        <f>J118</f>
        <v>42.5</v>
      </c>
      <c r="K120" s="338">
        <f>Datas!G193</f>
        <v>3626.63</v>
      </c>
      <c r="L120" s="222"/>
      <c r="M120" s="375">
        <f>ROUND(K120*J120,0)</f>
        <v>154132</v>
      </c>
      <c r="N120" s="403">
        <f>SUM(L120:M120)</f>
        <v>154132</v>
      </c>
      <c r="O120" s="236">
        <f>ROUND(1.1*50+0.33*40,2)</f>
        <v>68.2</v>
      </c>
      <c r="P120" s="377">
        <f>ROUND(O120*J120,2)</f>
        <v>2898.5</v>
      </c>
      <c r="Q120" s="236"/>
    </row>
    <row r="121" spans="1:17" ht="150" customHeight="1">
      <c r="A121" s="78">
        <v>7</v>
      </c>
      <c r="B121" s="79"/>
      <c r="C121" s="2740" t="s">
        <v>1059</v>
      </c>
      <c r="D121" s="2740"/>
      <c r="E121" s="2740"/>
      <c r="F121" s="2740"/>
      <c r="G121" s="2740"/>
      <c r="H121" s="2740"/>
      <c r="I121" s="2740"/>
      <c r="J121" s="2740"/>
      <c r="K121" s="82"/>
      <c r="L121" s="222"/>
      <c r="M121" s="222"/>
      <c r="N121" s="83"/>
      <c r="O121" s="89"/>
      <c r="P121" s="88"/>
      <c r="Q121" s="88"/>
    </row>
    <row r="122" spans="1:17" ht="21.75" customHeight="1">
      <c r="A122" s="78" t="s">
        <v>659</v>
      </c>
      <c r="C122" s="2797" t="s">
        <v>660</v>
      </c>
      <c r="D122" s="2778"/>
      <c r="E122" s="2778"/>
      <c r="F122" s="2778"/>
      <c r="G122" s="2778"/>
      <c r="H122" s="2778"/>
      <c r="I122" s="2778"/>
      <c r="J122" s="2779"/>
      <c r="K122" s="82"/>
      <c r="L122" s="222"/>
      <c r="M122" s="222"/>
      <c r="N122" s="83"/>
      <c r="O122" s="89"/>
      <c r="P122" s="88"/>
      <c r="Q122" s="88"/>
    </row>
    <row r="123" spans="1:17" ht="21.75" customHeight="1">
      <c r="A123" s="78"/>
      <c r="B123" s="79"/>
      <c r="C123" s="86" t="s">
        <v>655</v>
      </c>
      <c r="D123" s="87">
        <v>1</v>
      </c>
      <c r="E123" s="87" t="s">
        <v>1472</v>
      </c>
      <c r="F123" s="87">
        <v>6</v>
      </c>
      <c r="G123" s="88">
        <v>1.85</v>
      </c>
      <c r="H123" s="88">
        <v>1.85</v>
      </c>
      <c r="I123" s="88">
        <v>0.4</v>
      </c>
      <c r="J123" s="88">
        <f>ROUND(D123*F123*G123*H123*I123,2)</f>
        <v>8.2100000000000009</v>
      </c>
      <c r="K123" s="82"/>
      <c r="L123" s="222"/>
      <c r="M123" s="222"/>
      <c r="N123" s="83"/>
      <c r="O123" s="89"/>
      <c r="P123" s="88"/>
      <c r="Q123" s="88"/>
    </row>
    <row r="124" spans="1:17" ht="21.75" customHeight="1">
      <c r="A124" s="78"/>
      <c r="B124" s="79"/>
      <c r="C124" s="86" t="s">
        <v>71</v>
      </c>
      <c r="D124" s="87">
        <v>1</v>
      </c>
      <c r="E124" s="87" t="s">
        <v>1472</v>
      </c>
      <c r="F124" s="87">
        <v>12</v>
      </c>
      <c r="G124" s="88">
        <v>1.65</v>
      </c>
      <c r="H124" s="88">
        <v>1.65</v>
      </c>
      <c r="I124" s="88">
        <v>0.375</v>
      </c>
      <c r="J124" s="88">
        <f>ROUND(D124*F124*G124*H124*I124,2)</f>
        <v>12.25</v>
      </c>
      <c r="K124" s="82"/>
      <c r="L124" s="222"/>
      <c r="M124" s="222"/>
      <c r="N124" s="83"/>
      <c r="O124" s="89"/>
      <c r="P124" s="88"/>
      <c r="Q124" s="88"/>
    </row>
    <row r="125" spans="1:17" ht="21.75" customHeight="1">
      <c r="A125" s="78"/>
      <c r="B125" s="79"/>
      <c r="C125" s="86" t="s">
        <v>444</v>
      </c>
      <c r="D125" s="87">
        <v>1</v>
      </c>
      <c r="E125" s="87" t="s">
        <v>1472</v>
      </c>
      <c r="F125" s="87">
        <v>1</v>
      </c>
      <c r="G125" s="88">
        <v>1.2</v>
      </c>
      <c r="H125" s="88">
        <v>1.2</v>
      </c>
      <c r="I125" s="88">
        <v>0.3</v>
      </c>
      <c r="J125" s="88">
        <f>ROUND(D125*F125*G125*H125*I125,2)</f>
        <v>0.43</v>
      </c>
      <c r="K125" s="82"/>
      <c r="L125" s="222"/>
      <c r="M125" s="222"/>
      <c r="N125" s="83"/>
      <c r="O125" s="89"/>
      <c r="P125" s="88"/>
      <c r="Q125" s="88"/>
    </row>
    <row r="126" spans="1:17" ht="21.75" customHeight="1">
      <c r="A126" s="78"/>
      <c r="B126" s="79"/>
      <c r="C126" s="100" t="s">
        <v>522</v>
      </c>
      <c r="D126" s="87"/>
      <c r="E126" s="87"/>
      <c r="F126" s="87"/>
      <c r="G126" s="88"/>
      <c r="H126" s="88"/>
      <c r="I126" s="88"/>
      <c r="J126" s="88">
        <f>SUM(J123:J125)</f>
        <v>20.89</v>
      </c>
      <c r="K126" s="82"/>
      <c r="L126" s="222"/>
      <c r="M126" s="222"/>
      <c r="N126" s="83"/>
      <c r="O126" s="89"/>
      <c r="P126" s="88"/>
      <c r="Q126" s="88"/>
    </row>
    <row r="127" spans="1:17" ht="21.75" customHeight="1">
      <c r="A127" s="78"/>
      <c r="B127" s="79"/>
      <c r="C127" s="100"/>
      <c r="D127" s="87"/>
      <c r="E127" s="87"/>
      <c r="F127" s="87"/>
      <c r="G127" s="88"/>
      <c r="H127" s="88"/>
      <c r="I127" s="88"/>
      <c r="J127" s="92">
        <f>CEILING(J126,0.05)</f>
        <v>20.900000000000002</v>
      </c>
      <c r="K127" s="82"/>
      <c r="L127" s="222"/>
      <c r="M127" s="222"/>
      <c r="N127" s="83"/>
      <c r="O127" s="89"/>
      <c r="P127" s="88"/>
      <c r="Q127" s="92"/>
    </row>
    <row r="128" spans="1:17" ht="21.75" customHeight="1">
      <c r="A128" s="78"/>
      <c r="B128" s="79"/>
      <c r="C128" s="100"/>
      <c r="D128" s="87"/>
      <c r="E128" s="87"/>
      <c r="F128" s="87"/>
      <c r="G128" s="88"/>
      <c r="H128" s="88"/>
      <c r="I128" s="88"/>
      <c r="J128" s="92" t="s">
        <v>656</v>
      </c>
      <c r="K128" s="82"/>
      <c r="L128" s="225"/>
      <c r="M128" s="225"/>
      <c r="N128" s="93"/>
      <c r="O128" s="96"/>
      <c r="P128" s="92"/>
      <c r="Q128" s="88"/>
    </row>
    <row r="129" spans="1:17" s="378" customFormat="1">
      <c r="A129" s="196"/>
      <c r="B129" s="376" t="s">
        <v>1357</v>
      </c>
      <c r="C129" s="2763"/>
      <c r="D129" s="2763"/>
      <c r="E129" s="2763"/>
      <c r="F129" s="2763"/>
      <c r="G129" s="2763"/>
      <c r="H129" s="2763"/>
      <c r="I129" s="2763"/>
      <c r="J129" s="92">
        <f>J127</f>
        <v>20.900000000000002</v>
      </c>
      <c r="K129" s="338">
        <f>Datas!G318</f>
        <v>8788.51</v>
      </c>
      <c r="L129" s="222"/>
      <c r="M129" s="375">
        <f>ROUND(K129*J129,0)</f>
        <v>183680</v>
      </c>
      <c r="N129" s="403">
        <f>SUM(L129:M129)</f>
        <v>183680</v>
      </c>
      <c r="O129" s="236">
        <f>ROUND(0.9*50+0.45*40,2)</f>
        <v>63</v>
      </c>
      <c r="P129" s="377">
        <f>ROUND(O129*J129,2)</f>
        <v>1316.7</v>
      </c>
      <c r="Q129" s="236"/>
    </row>
    <row r="130" spans="1:17" ht="21.75" customHeight="1">
      <c r="A130" s="78"/>
      <c r="J130" s="92" t="s">
        <v>656</v>
      </c>
      <c r="K130" s="82" t="s">
        <v>658</v>
      </c>
      <c r="L130" s="225"/>
      <c r="M130" s="225"/>
      <c r="N130" s="93"/>
      <c r="O130" s="96"/>
      <c r="P130" s="92"/>
      <c r="Q130" s="88"/>
    </row>
    <row r="131" spans="1:17" ht="21.75" customHeight="1">
      <c r="A131" s="78" t="s">
        <v>950</v>
      </c>
      <c r="B131" s="79"/>
      <c r="C131" s="251" t="s">
        <v>272</v>
      </c>
      <c r="D131" s="87"/>
      <c r="E131" s="87"/>
      <c r="F131" s="87"/>
      <c r="G131" s="88"/>
      <c r="H131" s="88"/>
      <c r="I131" s="88"/>
      <c r="J131" s="92"/>
      <c r="K131" s="82"/>
      <c r="L131" s="222"/>
      <c r="M131" s="222"/>
      <c r="N131" s="83"/>
      <c r="O131" s="89"/>
      <c r="P131" s="88"/>
      <c r="Q131" s="92"/>
    </row>
    <row r="132" spans="1:17" ht="21.75" customHeight="1">
      <c r="A132" s="78"/>
      <c r="B132" s="79"/>
      <c r="C132" s="86" t="s">
        <v>445</v>
      </c>
      <c r="D132" s="87">
        <v>1</v>
      </c>
      <c r="E132" s="87" t="s">
        <v>1472</v>
      </c>
      <c r="F132" s="87">
        <v>4</v>
      </c>
      <c r="G132" s="88">
        <v>0.6</v>
      </c>
      <c r="H132" s="88">
        <v>0.6</v>
      </c>
      <c r="I132" s="88">
        <v>0.6</v>
      </c>
      <c r="J132" s="88">
        <f>ROUND(D132*F132*G132*H132*I132,2)</f>
        <v>0.86</v>
      </c>
      <c r="K132" s="82"/>
      <c r="L132" s="222"/>
      <c r="M132" s="222"/>
      <c r="N132" s="83"/>
      <c r="O132" s="89"/>
      <c r="P132" s="88"/>
      <c r="Q132" s="88"/>
    </row>
    <row r="133" spans="1:17" ht="21.75" customHeight="1">
      <c r="A133" s="78"/>
      <c r="B133" s="79"/>
      <c r="C133" s="86" t="s">
        <v>446</v>
      </c>
      <c r="D133" s="87">
        <v>1</v>
      </c>
      <c r="E133" s="87" t="s">
        <v>1472</v>
      </c>
      <c r="F133" s="87">
        <v>15</v>
      </c>
      <c r="G133" s="88">
        <v>0.45</v>
      </c>
      <c r="H133" s="88">
        <v>0.45</v>
      </c>
      <c r="I133" s="88">
        <v>0.6</v>
      </c>
      <c r="J133" s="88">
        <f>ROUND(D133*F133*G133*H133*I133,2)</f>
        <v>1.82</v>
      </c>
      <c r="K133" s="82"/>
      <c r="L133" s="222"/>
      <c r="M133" s="222"/>
      <c r="N133" s="83"/>
      <c r="O133" s="89"/>
      <c r="P133" s="88"/>
      <c r="Q133" s="88"/>
    </row>
    <row r="134" spans="1:17" ht="21.75" customHeight="1">
      <c r="A134" s="78"/>
      <c r="B134" s="79"/>
      <c r="C134" s="86"/>
      <c r="D134" s="87"/>
      <c r="E134" s="87"/>
      <c r="F134" s="87"/>
      <c r="G134" s="88"/>
      <c r="H134" s="88"/>
      <c r="I134" s="88"/>
      <c r="J134" s="88">
        <f>SUM(J132:J133)</f>
        <v>2.68</v>
      </c>
      <c r="K134" s="82"/>
      <c r="L134" s="222"/>
      <c r="M134" s="222"/>
      <c r="N134" s="83"/>
      <c r="O134" s="89"/>
      <c r="P134" s="88"/>
      <c r="Q134" s="88"/>
    </row>
    <row r="135" spans="1:17" ht="21.75" customHeight="1">
      <c r="A135" s="78"/>
      <c r="B135" s="79"/>
      <c r="C135" s="64"/>
      <c r="D135" s="87"/>
      <c r="E135" s="87"/>
      <c r="F135" s="87"/>
      <c r="G135" s="88"/>
      <c r="H135" s="88"/>
      <c r="I135" s="88"/>
      <c r="J135" s="92" t="s">
        <v>656</v>
      </c>
      <c r="K135" s="82"/>
      <c r="L135" s="225"/>
      <c r="M135" s="225"/>
      <c r="N135" s="93"/>
      <c r="O135" s="96"/>
      <c r="P135" s="92"/>
      <c r="Q135" s="88"/>
    </row>
    <row r="136" spans="1:17" s="378" customFormat="1">
      <c r="A136" s="196"/>
      <c r="B136" s="376" t="s">
        <v>1359</v>
      </c>
      <c r="C136" s="2763"/>
      <c r="D136" s="2763"/>
      <c r="E136" s="2763"/>
      <c r="F136" s="2763"/>
      <c r="G136" s="2763"/>
      <c r="H136" s="2763"/>
      <c r="I136" s="2763"/>
      <c r="J136" s="92">
        <f>J134</f>
        <v>2.68</v>
      </c>
      <c r="K136" s="338">
        <f>Datas!G329</f>
        <v>9360.51</v>
      </c>
      <c r="L136" s="222"/>
      <c r="M136" s="375">
        <f>ROUND(K136*J136,0)</f>
        <v>25086</v>
      </c>
      <c r="N136" s="403">
        <f>SUM(L136:M136)</f>
        <v>25086</v>
      </c>
      <c r="O136" s="236">
        <f>ROUND(0.9*50+0.45*40,2)</f>
        <v>63</v>
      </c>
      <c r="P136" s="377">
        <f>ROUND(O136*J136,2)</f>
        <v>168.84</v>
      </c>
      <c r="Q136" s="236"/>
    </row>
    <row r="137" spans="1:17" ht="21.75" customHeight="1">
      <c r="A137" s="78"/>
      <c r="J137" s="92" t="s">
        <v>656</v>
      </c>
      <c r="K137" s="82" t="s">
        <v>658</v>
      </c>
      <c r="L137" s="225"/>
      <c r="M137" s="225"/>
      <c r="N137" s="93"/>
      <c r="O137" s="96"/>
      <c r="P137" s="92"/>
      <c r="Q137" s="88"/>
    </row>
    <row r="138" spans="1:17" ht="21.75" customHeight="1">
      <c r="A138" s="78" t="s">
        <v>661</v>
      </c>
      <c r="B138" s="79"/>
      <c r="C138" s="2803" t="s">
        <v>662</v>
      </c>
      <c r="D138" s="2781"/>
      <c r="E138" s="2781"/>
      <c r="F138" s="2781"/>
      <c r="G138" s="2781"/>
      <c r="H138" s="2781"/>
      <c r="I138" s="2781"/>
      <c r="J138" s="322"/>
      <c r="K138" s="82"/>
      <c r="L138" s="222"/>
      <c r="M138" s="222"/>
      <c r="N138" s="83"/>
      <c r="O138" s="89"/>
      <c r="P138" s="88"/>
      <c r="Q138" s="88"/>
    </row>
    <row r="139" spans="1:17" ht="21.75" customHeight="1">
      <c r="A139" s="78"/>
      <c r="B139" s="79"/>
      <c r="C139" s="100" t="s">
        <v>663</v>
      </c>
      <c r="D139" s="87">
        <v>1</v>
      </c>
      <c r="E139" s="87" t="s">
        <v>1472</v>
      </c>
      <c r="F139" s="87">
        <v>4</v>
      </c>
      <c r="G139" s="88">
        <v>0.3</v>
      </c>
      <c r="H139" s="88">
        <v>0.45</v>
      </c>
      <c r="I139" s="88">
        <f>(I8-I79-I132-I123)</f>
        <v>0.5</v>
      </c>
      <c r="J139" s="88">
        <f>ROUND(D139*F139*G139*H139*I139,2)</f>
        <v>0.27</v>
      </c>
      <c r="K139" s="82"/>
      <c r="L139" s="222"/>
      <c r="M139" s="222"/>
      <c r="N139" s="83"/>
      <c r="O139" s="89"/>
      <c r="P139" s="88"/>
      <c r="Q139" s="88"/>
    </row>
    <row r="140" spans="1:17" ht="21.75" customHeight="1">
      <c r="A140" s="78"/>
      <c r="B140" s="79"/>
      <c r="C140" s="100" t="s">
        <v>72</v>
      </c>
      <c r="D140" s="87">
        <v>1</v>
      </c>
      <c r="E140" s="87" t="s">
        <v>1472</v>
      </c>
      <c r="F140" s="87">
        <v>4</v>
      </c>
      <c r="G140" s="88">
        <v>0.3</v>
      </c>
      <c r="H140" s="88">
        <v>0.38</v>
      </c>
      <c r="I140" s="88">
        <f>(I9-I80-I132-I124)</f>
        <v>0.52500000000000002</v>
      </c>
      <c r="J140" s="88">
        <f>ROUND(D140*F140*G140*H140*I140,2)</f>
        <v>0.24</v>
      </c>
      <c r="K140" s="82"/>
      <c r="L140" s="222"/>
      <c r="M140" s="222"/>
      <c r="N140" s="83"/>
      <c r="O140" s="89"/>
      <c r="P140" s="88"/>
      <c r="Q140" s="88"/>
    </row>
    <row r="141" spans="1:17" ht="21.75" customHeight="1">
      <c r="A141" s="78"/>
      <c r="B141" s="79"/>
      <c r="C141" s="100" t="s">
        <v>145</v>
      </c>
      <c r="D141" s="87">
        <v>1</v>
      </c>
      <c r="E141" s="87" t="s">
        <v>1472</v>
      </c>
      <c r="F141" s="87">
        <v>11</v>
      </c>
      <c r="G141" s="88">
        <v>0.3</v>
      </c>
      <c r="H141" s="88">
        <v>0.38</v>
      </c>
      <c r="I141" s="88">
        <f>(I10-I81-I133-I125)</f>
        <v>0.60000000000000009</v>
      </c>
      <c r="J141" s="88">
        <f>ROUND(D141*F141*G141*H141*I141,2)</f>
        <v>0.75</v>
      </c>
      <c r="K141" s="82"/>
      <c r="L141" s="222"/>
      <c r="M141" s="222"/>
      <c r="N141" s="83"/>
      <c r="O141" s="89"/>
      <c r="P141" s="88"/>
      <c r="Q141" s="88"/>
    </row>
    <row r="142" spans="1:17" ht="21.75" customHeight="1">
      <c r="A142" s="78"/>
      <c r="B142" s="79"/>
      <c r="C142" s="2777" t="s">
        <v>664</v>
      </c>
      <c r="D142" s="2778"/>
      <c r="E142" s="2778"/>
      <c r="F142" s="2778"/>
      <c r="G142" s="2778"/>
      <c r="H142" s="2778"/>
      <c r="I142" s="2779"/>
      <c r="J142" s="92"/>
      <c r="K142" s="82"/>
      <c r="L142" s="222"/>
      <c r="M142" s="222"/>
      <c r="N142" s="83"/>
      <c r="O142" s="89"/>
      <c r="P142" s="88"/>
      <c r="Q142" s="88"/>
    </row>
    <row r="143" spans="1:17" ht="21.75" customHeight="1">
      <c r="A143" s="78"/>
      <c r="B143" s="79"/>
      <c r="C143" s="100" t="s">
        <v>663</v>
      </c>
      <c r="D143" s="87">
        <v>1</v>
      </c>
      <c r="E143" s="87" t="s">
        <v>1472</v>
      </c>
      <c r="F143" s="87">
        <v>4</v>
      </c>
      <c r="G143" s="88">
        <v>0.3</v>
      </c>
      <c r="H143" s="88">
        <v>0.45</v>
      </c>
      <c r="I143" s="88">
        <v>0.75</v>
      </c>
      <c r="J143" s="88">
        <f>ROUND(D143*F143*G143*H143*I143,2)</f>
        <v>0.41</v>
      </c>
      <c r="K143" s="82"/>
      <c r="L143" s="222"/>
      <c r="M143" s="222"/>
      <c r="N143" s="83"/>
      <c r="O143" s="89"/>
      <c r="P143" s="88"/>
      <c r="Q143" s="88"/>
    </row>
    <row r="144" spans="1:17" ht="21.75" customHeight="1">
      <c r="A144" s="78"/>
      <c r="B144" s="79"/>
      <c r="C144" s="100" t="s">
        <v>72</v>
      </c>
      <c r="D144" s="87">
        <v>1</v>
      </c>
      <c r="E144" s="87" t="s">
        <v>1472</v>
      </c>
      <c r="F144" s="87">
        <v>4</v>
      </c>
      <c r="G144" s="88">
        <v>0.3</v>
      </c>
      <c r="H144" s="88">
        <v>0.38</v>
      </c>
      <c r="I144" s="88">
        <v>0.75</v>
      </c>
      <c r="J144" s="88">
        <f>ROUND(D144*F144*G144*H144*I144,2)</f>
        <v>0.34</v>
      </c>
      <c r="K144" s="82"/>
      <c r="L144" s="222"/>
      <c r="M144" s="222"/>
      <c r="N144" s="83"/>
      <c r="O144" s="89"/>
      <c r="P144" s="88"/>
      <c r="Q144" s="88"/>
    </row>
    <row r="145" spans="1:17" ht="21.75" customHeight="1">
      <c r="A145" s="78"/>
      <c r="B145" s="79"/>
      <c r="C145" s="100" t="s">
        <v>145</v>
      </c>
      <c r="D145" s="87">
        <v>1</v>
      </c>
      <c r="E145" s="87" t="s">
        <v>1472</v>
      </c>
      <c r="F145" s="87">
        <v>11</v>
      </c>
      <c r="G145" s="88">
        <v>0.3</v>
      </c>
      <c r="H145" s="88">
        <v>0.38</v>
      </c>
      <c r="I145" s="88">
        <v>0.75</v>
      </c>
      <c r="J145" s="88">
        <f>ROUND(D145*F145*G145*H145*I145,2)</f>
        <v>0.94</v>
      </c>
      <c r="K145" s="82"/>
      <c r="L145" s="222"/>
      <c r="M145" s="222"/>
      <c r="N145" s="83"/>
      <c r="O145" s="89"/>
      <c r="P145" s="88"/>
      <c r="Q145" s="88"/>
    </row>
    <row r="146" spans="1:17">
      <c r="A146" s="78"/>
      <c r="B146" s="376" t="s">
        <v>1362</v>
      </c>
      <c r="C146" s="2763"/>
      <c r="D146" s="2763"/>
      <c r="E146" s="2763"/>
      <c r="F146" s="2763"/>
      <c r="G146" s="2763"/>
      <c r="H146" s="2763"/>
      <c r="I146" s="2763"/>
      <c r="J146" s="88">
        <f>SUM(J139:J145)</f>
        <v>2.9499999999999997</v>
      </c>
      <c r="K146" s="338">
        <f>Datas!E388</f>
        <v>11842.03</v>
      </c>
      <c r="L146" s="222"/>
      <c r="M146" s="375">
        <f>ROUND(K146*J146,0)</f>
        <v>34934</v>
      </c>
      <c r="N146" s="403">
        <f>SUM(L146:M146)</f>
        <v>34934</v>
      </c>
      <c r="O146" s="89"/>
      <c r="P146" s="88"/>
      <c r="Q146" s="88"/>
    </row>
    <row r="147" spans="1:17" ht="21.75" customHeight="1">
      <c r="A147" s="78"/>
      <c r="B147" s="79"/>
      <c r="C147" s="2803" t="s">
        <v>665</v>
      </c>
      <c r="D147" s="2781"/>
      <c r="E147" s="2781"/>
      <c r="F147" s="2781"/>
      <c r="G147" s="2781"/>
      <c r="H147" s="2781"/>
      <c r="I147" s="2782"/>
      <c r="J147" s="92"/>
      <c r="K147" s="82"/>
      <c r="L147" s="222"/>
      <c r="M147" s="222"/>
      <c r="N147" s="83"/>
      <c r="O147" s="89"/>
      <c r="P147" s="88"/>
      <c r="Q147" s="88"/>
    </row>
    <row r="148" spans="1:17" ht="21.75" customHeight="1">
      <c r="A148" s="78"/>
      <c r="B148" s="79"/>
      <c r="C148" s="90" t="s">
        <v>666</v>
      </c>
      <c r="D148" s="87">
        <v>1</v>
      </c>
      <c r="E148" s="87" t="s">
        <v>1472</v>
      </c>
      <c r="F148" s="87">
        <v>4</v>
      </c>
      <c r="G148" s="88">
        <v>0.3</v>
      </c>
      <c r="H148" s="88">
        <v>0.45</v>
      </c>
      <c r="I148" s="88">
        <v>2.9249999999999998</v>
      </c>
      <c r="J148" s="88">
        <f>ROUND(D148*F148*G148*H148*I148,2)</f>
        <v>1.58</v>
      </c>
      <c r="K148" s="337"/>
      <c r="L148" s="222"/>
      <c r="M148" s="222"/>
      <c r="N148" s="83"/>
      <c r="O148" s="89"/>
      <c r="P148" s="88"/>
      <c r="Q148" s="88"/>
    </row>
    <row r="149" spans="1:17" ht="21.75" customHeight="1">
      <c r="A149" s="78"/>
      <c r="B149" s="79"/>
      <c r="C149" s="90" t="s">
        <v>146</v>
      </c>
      <c r="D149" s="87">
        <v>1</v>
      </c>
      <c r="E149" s="87" t="s">
        <v>1472</v>
      </c>
      <c r="F149" s="87">
        <v>4</v>
      </c>
      <c r="G149" s="88">
        <v>0.3</v>
      </c>
      <c r="H149" s="88">
        <v>0.38</v>
      </c>
      <c r="I149" s="88">
        <v>2.9249999999999998</v>
      </c>
      <c r="J149" s="88">
        <f>ROUND(D149*F149*G149*H149*I149,2)</f>
        <v>1.33</v>
      </c>
      <c r="K149" s="82"/>
      <c r="L149" s="222"/>
      <c r="M149" s="222"/>
      <c r="N149" s="83"/>
      <c r="O149" s="89"/>
      <c r="P149" s="88"/>
      <c r="Q149" s="88"/>
    </row>
    <row r="150" spans="1:17" ht="21.75" customHeight="1">
      <c r="A150" s="78"/>
      <c r="B150" s="79"/>
      <c r="C150" s="90" t="s">
        <v>147</v>
      </c>
      <c r="D150" s="87">
        <v>1</v>
      </c>
      <c r="E150" s="87" t="s">
        <v>1472</v>
      </c>
      <c r="F150" s="87">
        <v>11</v>
      </c>
      <c r="G150" s="88">
        <v>0.3</v>
      </c>
      <c r="H150" s="88">
        <v>0.38</v>
      </c>
      <c r="I150" s="88">
        <v>2.9249999999999998</v>
      </c>
      <c r="J150" s="88">
        <f>ROUND(D150*F150*G150*H150*I150,2)</f>
        <v>3.67</v>
      </c>
      <c r="K150" s="82"/>
      <c r="L150" s="222"/>
      <c r="M150" s="222"/>
      <c r="N150" s="83"/>
      <c r="O150" s="89"/>
      <c r="P150" s="88"/>
      <c r="Q150" s="88"/>
    </row>
    <row r="151" spans="1:17" ht="21.75" customHeight="1">
      <c r="A151" s="78"/>
      <c r="B151" s="79"/>
      <c r="C151" s="100"/>
      <c r="D151" s="87"/>
      <c r="E151" s="87"/>
      <c r="F151" s="87"/>
      <c r="G151" s="88"/>
      <c r="H151" s="88"/>
      <c r="I151" s="88"/>
      <c r="J151" s="92">
        <f>SUM(J148:J150)</f>
        <v>6.58</v>
      </c>
      <c r="K151" s="82"/>
      <c r="L151" s="222"/>
      <c r="M151" s="222"/>
      <c r="N151" s="83"/>
      <c r="O151" s="89"/>
      <c r="P151" s="88"/>
      <c r="Q151" s="88"/>
    </row>
    <row r="152" spans="1:17" s="378" customFormat="1">
      <c r="A152" s="196"/>
      <c r="B152" s="376" t="s">
        <v>1361</v>
      </c>
      <c r="C152" s="2763"/>
      <c r="D152" s="2763"/>
      <c r="E152" s="2763"/>
      <c r="F152" s="2763"/>
      <c r="G152" s="2763"/>
      <c r="H152" s="2763"/>
      <c r="I152" s="2763"/>
      <c r="J152" s="92">
        <f>J151</f>
        <v>6.58</v>
      </c>
      <c r="K152" s="338">
        <f>Datas!E388</f>
        <v>11842.03</v>
      </c>
      <c r="L152" s="222"/>
      <c r="M152" s="375">
        <f>ROUND(K152*J152,0)</f>
        <v>77921</v>
      </c>
      <c r="N152" s="403">
        <f>SUM(L152:M152)</f>
        <v>77921</v>
      </c>
      <c r="O152" s="236">
        <f>ROUND(0.9*50+0.45*40,2)</f>
        <v>63</v>
      </c>
      <c r="P152" s="377">
        <f>ROUND(O152*J152,2)</f>
        <v>414.54</v>
      </c>
      <c r="Q152" s="236"/>
    </row>
    <row r="153" spans="1:17" ht="21.75" customHeight="1">
      <c r="A153" s="78"/>
      <c r="J153" s="92" t="s">
        <v>656</v>
      </c>
      <c r="K153" s="82" t="s">
        <v>668</v>
      </c>
      <c r="L153" s="225"/>
      <c r="M153" s="225"/>
      <c r="N153" s="93"/>
      <c r="O153" s="96"/>
      <c r="P153" s="92"/>
      <c r="Q153" s="88"/>
    </row>
    <row r="154" spans="1:17" ht="21.75" customHeight="1">
      <c r="A154" s="78"/>
      <c r="B154" s="79"/>
      <c r="C154" s="2803" t="s">
        <v>1079</v>
      </c>
      <c r="D154" s="2781"/>
      <c r="E154" s="2781"/>
      <c r="F154" s="2781"/>
      <c r="G154" s="2781"/>
      <c r="H154" s="2781"/>
      <c r="I154" s="2782"/>
      <c r="J154" s="92"/>
      <c r="K154" s="82"/>
      <c r="L154" s="222"/>
      <c r="M154" s="222"/>
      <c r="N154" s="83"/>
      <c r="O154" s="89"/>
      <c r="P154" s="88"/>
      <c r="Q154" s="88"/>
    </row>
    <row r="155" spans="1:17" ht="27.9" customHeight="1">
      <c r="A155" s="78"/>
      <c r="B155" s="79"/>
      <c r="C155" s="100" t="s">
        <v>663</v>
      </c>
      <c r="D155" s="87">
        <v>1</v>
      </c>
      <c r="E155" s="87" t="s">
        <v>1472</v>
      </c>
      <c r="F155" s="87">
        <v>4</v>
      </c>
      <c r="G155" s="88">
        <v>0.3</v>
      </c>
      <c r="H155" s="88">
        <v>0.45</v>
      </c>
      <c r="I155" s="88">
        <v>2.8250000000000002</v>
      </c>
      <c r="J155" s="88">
        <f>ROUND(D155*F155*G155*H155*I155,2)</f>
        <v>1.53</v>
      </c>
      <c r="K155" s="82"/>
      <c r="L155" s="222"/>
      <c r="M155" s="222"/>
      <c r="N155" s="83"/>
      <c r="O155" s="89"/>
      <c r="P155" s="88"/>
      <c r="Q155" s="88"/>
    </row>
    <row r="156" spans="1:17" ht="27.9" customHeight="1">
      <c r="A156" s="78"/>
      <c r="B156" s="79"/>
      <c r="C156" s="100" t="s">
        <v>72</v>
      </c>
      <c r="D156" s="87">
        <v>1</v>
      </c>
      <c r="E156" s="87" t="s">
        <v>1472</v>
      </c>
      <c r="F156" s="87">
        <v>4</v>
      </c>
      <c r="G156" s="88">
        <v>0.3</v>
      </c>
      <c r="H156" s="88">
        <v>0.38</v>
      </c>
      <c r="I156" s="88">
        <v>2.8250000000000002</v>
      </c>
      <c r="J156" s="88">
        <f>ROUND(D156*F156*G156*H156*I156,2)</f>
        <v>1.29</v>
      </c>
      <c r="K156" s="82"/>
      <c r="L156" s="222"/>
      <c r="M156" s="222"/>
      <c r="N156" s="83"/>
      <c r="O156" s="89"/>
      <c r="P156" s="88"/>
      <c r="Q156" s="88"/>
    </row>
    <row r="157" spans="1:17" ht="27.9" customHeight="1">
      <c r="A157" s="78"/>
      <c r="B157" s="79"/>
      <c r="C157" s="100" t="s">
        <v>145</v>
      </c>
      <c r="D157" s="87">
        <v>1</v>
      </c>
      <c r="E157" s="87" t="s">
        <v>1472</v>
      </c>
      <c r="F157" s="87">
        <v>5</v>
      </c>
      <c r="G157" s="88">
        <v>0.3</v>
      </c>
      <c r="H157" s="88">
        <v>0.38</v>
      </c>
      <c r="I157" s="88">
        <v>2.8250000000000002</v>
      </c>
      <c r="J157" s="88">
        <f>ROUND(D157*F157*G157*H157*I157,2)</f>
        <v>1.61</v>
      </c>
      <c r="K157" s="82"/>
      <c r="L157" s="222"/>
      <c r="M157" s="222"/>
      <c r="N157" s="83"/>
      <c r="O157" s="89"/>
      <c r="P157" s="88"/>
      <c r="Q157" s="88"/>
    </row>
    <row r="158" spans="1:17" ht="21.75" customHeight="1">
      <c r="A158" s="78"/>
      <c r="B158" s="79"/>
      <c r="C158" s="100"/>
      <c r="D158" s="87"/>
      <c r="E158" s="87"/>
      <c r="F158" s="87"/>
      <c r="G158" s="88"/>
      <c r="H158" s="88"/>
      <c r="I158" s="88"/>
      <c r="J158" s="92">
        <f>SUM(J155:J157)</f>
        <v>4.4300000000000006</v>
      </c>
      <c r="K158" s="82"/>
      <c r="L158" s="222"/>
      <c r="M158" s="222"/>
      <c r="N158" s="83"/>
      <c r="O158" s="89"/>
      <c r="P158" s="88"/>
      <c r="Q158" s="88"/>
    </row>
    <row r="159" spans="1:17" s="378" customFormat="1">
      <c r="A159" s="383"/>
      <c r="B159" s="376" t="s">
        <v>1363</v>
      </c>
      <c r="C159" s="2763"/>
      <c r="D159" s="2763"/>
      <c r="E159" s="2763"/>
      <c r="F159" s="2763"/>
      <c r="G159" s="2763"/>
      <c r="H159" s="2763"/>
      <c r="I159" s="2763"/>
      <c r="J159" s="92">
        <f>J158</f>
        <v>4.4300000000000006</v>
      </c>
      <c r="K159" s="338">
        <f>Datas!F388</f>
        <v>12467.791000000001</v>
      </c>
      <c r="L159" s="222"/>
      <c r="M159" s="375">
        <f>ROUND(K159*J159,0)</f>
        <v>55232</v>
      </c>
      <c r="N159" s="403">
        <f>SUM(L159:M159)</f>
        <v>55232</v>
      </c>
      <c r="O159" s="236">
        <f>ROUND(0.9*50+0.45*40,2)</f>
        <v>63</v>
      </c>
      <c r="P159" s="377">
        <f>ROUND(O159*J159,2)</f>
        <v>279.08999999999997</v>
      </c>
      <c r="Q159" s="236"/>
    </row>
    <row r="160" spans="1:17" ht="21.75" customHeight="1">
      <c r="A160" s="78"/>
      <c r="J160" s="92" t="s">
        <v>656</v>
      </c>
      <c r="K160" s="82" t="s">
        <v>668</v>
      </c>
      <c r="L160" s="225"/>
      <c r="M160" s="225"/>
      <c r="N160" s="93"/>
      <c r="O160" s="96"/>
      <c r="P160" s="92"/>
      <c r="Q160" s="88"/>
    </row>
    <row r="161" spans="1:17" ht="21.75" customHeight="1">
      <c r="A161" s="78"/>
      <c r="B161" s="79"/>
      <c r="C161" s="2803" t="s">
        <v>635</v>
      </c>
      <c r="D161" s="2781"/>
      <c r="E161" s="2781"/>
      <c r="F161" s="2781"/>
      <c r="G161" s="2781"/>
      <c r="H161" s="2781"/>
      <c r="I161" s="2782"/>
      <c r="J161" s="92"/>
      <c r="K161" s="82"/>
      <c r="L161" s="222"/>
      <c r="M161" s="222"/>
      <c r="N161" s="83"/>
      <c r="O161" s="89"/>
      <c r="P161" s="88"/>
      <c r="Q161" s="88"/>
    </row>
    <row r="162" spans="1:17" ht="27.9" customHeight="1">
      <c r="A162" s="78"/>
      <c r="B162" s="79"/>
      <c r="C162" s="100" t="s">
        <v>72</v>
      </c>
      <c r="D162" s="87">
        <v>1</v>
      </c>
      <c r="E162" s="87" t="s">
        <v>1472</v>
      </c>
      <c r="F162" s="87">
        <v>2</v>
      </c>
      <c r="G162" s="88">
        <v>0.3</v>
      </c>
      <c r="H162" s="88">
        <v>0.38</v>
      </c>
      <c r="I162" s="88">
        <v>2.8250000000000002</v>
      </c>
      <c r="J162" s="88">
        <f>ROUND(D162*F162*G162*H162*I162,2)</f>
        <v>0.64</v>
      </c>
      <c r="K162" s="82"/>
      <c r="L162" s="222"/>
      <c r="M162" s="222"/>
      <c r="N162" s="83"/>
      <c r="O162" s="89"/>
      <c r="P162" s="88"/>
      <c r="Q162" s="88"/>
    </row>
    <row r="163" spans="1:17" ht="27.9" customHeight="1">
      <c r="A163" s="78"/>
      <c r="B163" s="79"/>
      <c r="C163" s="100" t="s">
        <v>145</v>
      </c>
      <c r="D163" s="87">
        <v>1</v>
      </c>
      <c r="E163" s="87" t="s">
        <v>1472</v>
      </c>
      <c r="F163" s="87">
        <v>2</v>
      </c>
      <c r="G163" s="88">
        <v>0.3</v>
      </c>
      <c r="H163" s="88">
        <v>0.38</v>
      </c>
      <c r="I163" s="88">
        <v>2.8250000000000002</v>
      </c>
      <c r="J163" s="88">
        <f>ROUND(D163*F163*G163*H163*I163,2)</f>
        <v>0.64</v>
      </c>
      <c r="K163" s="82"/>
      <c r="L163" s="222"/>
      <c r="M163" s="222"/>
      <c r="N163" s="83"/>
      <c r="O163" s="89"/>
      <c r="P163" s="88"/>
      <c r="Q163" s="88"/>
    </row>
    <row r="164" spans="1:17" ht="21.75" customHeight="1">
      <c r="A164" s="78"/>
      <c r="B164" s="79"/>
      <c r="C164" s="100"/>
      <c r="D164" s="87"/>
      <c r="E164" s="87"/>
      <c r="F164" s="87"/>
      <c r="G164" s="88"/>
      <c r="H164" s="88"/>
      <c r="I164" s="88"/>
      <c r="J164" s="92">
        <f>SUM(J162:J163)</f>
        <v>1.28</v>
      </c>
      <c r="K164" s="82"/>
      <c r="L164" s="222"/>
      <c r="M164" s="222"/>
      <c r="N164" s="83"/>
      <c r="O164" s="89"/>
      <c r="P164" s="88"/>
      <c r="Q164" s="88"/>
    </row>
    <row r="165" spans="1:17" ht="21.75" customHeight="1">
      <c r="A165" s="78"/>
      <c r="B165" s="79"/>
      <c r="C165" s="100"/>
      <c r="D165" s="87"/>
      <c r="E165" s="87"/>
      <c r="F165" s="87"/>
      <c r="G165" s="88"/>
      <c r="H165" s="88" t="s">
        <v>667</v>
      </c>
      <c r="I165" s="88"/>
      <c r="J165" s="92">
        <f>J164</f>
        <v>1.28</v>
      </c>
      <c r="K165" s="82"/>
      <c r="L165" s="222"/>
      <c r="M165" s="222"/>
      <c r="N165" s="83"/>
      <c r="O165" s="89"/>
      <c r="P165" s="88"/>
      <c r="Q165" s="88"/>
    </row>
    <row r="166" spans="1:17" s="378" customFormat="1">
      <c r="A166" s="383"/>
      <c r="B166" s="376" t="s">
        <v>1364</v>
      </c>
      <c r="C166" s="2763"/>
      <c r="D166" s="2763"/>
      <c r="E166" s="2763"/>
      <c r="F166" s="2763"/>
      <c r="G166" s="2763"/>
      <c r="H166" s="2763"/>
      <c r="I166" s="2763"/>
      <c r="J166" s="92">
        <f>J164</f>
        <v>1.28</v>
      </c>
      <c r="K166" s="338">
        <f>Datas!G388</f>
        <v>13412.752000000002</v>
      </c>
      <c r="L166" s="222"/>
      <c r="M166" s="375">
        <f>ROUND(K166*J166,0)</f>
        <v>17168</v>
      </c>
      <c r="N166" s="403">
        <f>SUM(L166:M166)</f>
        <v>17168</v>
      </c>
      <c r="O166" s="236">
        <f>ROUND(0.9*50+0.45*40,2)</f>
        <v>63</v>
      </c>
      <c r="P166" s="377">
        <f>ROUND(O166*J166,2)</f>
        <v>80.64</v>
      </c>
      <c r="Q166" s="236"/>
    </row>
    <row r="167" spans="1:17" ht="21.75" customHeight="1">
      <c r="A167" s="78"/>
      <c r="J167" s="92" t="s">
        <v>656</v>
      </c>
      <c r="K167" s="82" t="s">
        <v>668</v>
      </c>
      <c r="L167" s="225"/>
      <c r="M167" s="225"/>
      <c r="N167" s="93"/>
      <c r="O167" s="96"/>
      <c r="P167" s="92"/>
      <c r="Q167" s="88"/>
    </row>
    <row r="168" spans="1:17" ht="21.75" customHeight="1">
      <c r="A168" s="78" t="s">
        <v>669</v>
      </c>
      <c r="B168" s="79"/>
      <c r="C168" s="2780" t="s">
        <v>154</v>
      </c>
      <c r="D168" s="2781"/>
      <c r="E168" s="2781"/>
      <c r="F168" s="2781"/>
      <c r="G168" s="2781"/>
      <c r="H168" s="2781"/>
      <c r="I168" s="2782"/>
      <c r="J168" s="88"/>
      <c r="K168" s="82"/>
      <c r="L168" s="222"/>
      <c r="M168" s="222"/>
      <c r="N168" s="93"/>
      <c r="O168" s="89"/>
      <c r="P168" s="88"/>
      <c r="Q168" s="88"/>
    </row>
    <row r="169" spans="1:17" s="3" customFormat="1">
      <c r="A169" s="78"/>
      <c r="B169" s="79"/>
      <c r="C169" s="260" t="s">
        <v>105</v>
      </c>
      <c r="D169" s="323"/>
      <c r="E169" s="323"/>
      <c r="F169" s="347"/>
      <c r="G169" s="323"/>
      <c r="H169" s="323"/>
      <c r="I169" s="324"/>
      <c r="J169" s="88"/>
      <c r="K169" s="82"/>
      <c r="L169" s="222"/>
      <c r="M169" s="222"/>
      <c r="N169" s="93"/>
      <c r="O169" s="89"/>
      <c r="P169" s="88"/>
      <c r="Q169" s="88"/>
    </row>
    <row r="170" spans="1:17" ht="21.75" customHeight="1">
      <c r="A170" s="78"/>
      <c r="B170" s="79"/>
      <c r="C170" s="250" t="s">
        <v>528</v>
      </c>
      <c r="D170" s="87">
        <v>1</v>
      </c>
      <c r="E170" s="87" t="s">
        <v>1472</v>
      </c>
      <c r="F170" s="87">
        <v>1</v>
      </c>
      <c r="G170" s="88">
        <f>(20.4-7*0.3)</f>
        <v>18.299999999999997</v>
      </c>
      <c r="H170" s="88">
        <v>0.3</v>
      </c>
      <c r="I170" s="88">
        <v>0.3</v>
      </c>
      <c r="J170" s="259">
        <f t="shared" ref="J170:J183" si="9">ROUND(D170*F170*G170*H170*I170,2)</f>
        <v>1.65</v>
      </c>
      <c r="K170" s="82"/>
      <c r="L170" s="222"/>
      <c r="M170" s="222"/>
      <c r="N170" s="83"/>
      <c r="O170" s="89"/>
      <c r="P170" s="88"/>
      <c r="Q170" s="88"/>
    </row>
    <row r="171" spans="1:17" ht="21.75" customHeight="1">
      <c r="A171" s="78"/>
      <c r="B171" s="79"/>
      <c r="C171" s="250" t="s">
        <v>529</v>
      </c>
      <c r="D171" s="87">
        <v>1</v>
      </c>
      <c r="E171" s="87" t="s">
        <v>1472</v>
      </c>
      <c r="F171" s="87">
        <v>1</v>
      </c>
      <c r="G171" s="88">
        <f>(20.4-7*0.3)</f>
        <v>18.299999999999997</v>
      </c>
      <c r="H171" s="88">
        <v>0.3</v>
      </c>
      <c r="I171" s="88">
        <v>0.3</v>
      </c>
      <c r="J171" s="259">
        <f t="shared" si="9"/>
        <v>1.65</v>
      </c>
      <c r="K171" s="82"/>
      <c r="L171" s="222"/>
      <c r="M171" s="222"/>
      <c r="N171" s="83"/>
      <c r="O171" s="89"/>
      <c r="P171" s="88"/>
      <c r="Q171" s="88"/>
    </row>
    <row r="172" spans="1:17" ht="21.75" customHeight="1">
      <c r="A172" s="78"/>
      <c r="B172" s="79"/>
      <c r="C172" s="250" t="s">
        <v>530</v>
      </c>
      <c r="D172" s="87">
        <v>1</v>
      </c>
      <c r="E172" s="87" t="s">
        <v>1472</v>
      </c>
      <c r="F172" s="87">
        <v>1</v>
      </c>
      <c r="G172" s="88">
        <f>(8.175-3*0.38)</f>
        <v>7.0350000000000001</v>
      </c>
      <c r="H172" s="88">
        <v>0.3</v>
      </c>
      <c r="I172" s="88">
        <v>0.3</v>
      </c>
      <c r="J172" s="259">
        <f t="shared" si="9"/>
        <v>0.63</v>
      </c>
      <c r="K172" s="82"/>
      <c r="L172" s="222"/>
      <c r="M172" s="222"/>
      <c r="N172" s="83"/>
      <c r="O172" s="89"/>
      <c r="P172" s="88"/>
      <c r="Q172" s="88"/>
    </row>
    <row r="173" spans="1:17" ht="21.75" customHeight="1">
      <c r="A173" s="78"/>
      <c r="B173" s="79"/>
      <c r="C173" s="250" t="s">
        <v>531</v>
      </c>
      <c r="D173" s="87">
        <v>1</v>
      </c>
      <c r="E173" s="87" t="s">
        <v>1472</v>
      </c>
      <c r="F173" s="87">
        <v>2</v>
      </c>
      <c r="G173" s="88">
        <v>1.5</v>
      </c>
      <c r="H173" s="88">
        <v>0.3</v>
      </c>
      <c r="I173" s="88">
        <v>0.3</v>
      </c>
      <c r="J173" s="259">
        <f t="shared" si="9"/>
        <v>0.27</v>
      </c>
      <c r="K173" s="82"/>
      <c r="L173" s="222"/>
      <c r="M173" s="222"/>
      <c r="N173" s="83"/>
      <c r="O173" s="89"/>
      <c r="P173" s="88"/>
      <c r="Q173" s="88"/>
    </row>
    <row r="174" spans="1:17" ht="21.75" customHeight="1">
      <c r="A174" s="78"/>
      <c r="B174" s="79"/>
      <c r="C174" s="250" t="s">
        <v>532</v>
      </c>
      <c r="D174" s="87">
        <v>1</v>
      </c>
      <c r="E174" s="87" t="s">
        <v>1472</v>
      </c>
      <c r="F174" s="87">
        <v>2</v>
      </c>
      <c r="G174" s="88">
        <v>1.5</v>
      </c>
      <c r="H174" s="88">
        <v>0.3</v>
      </c>
      <c r="I174" s="88">
        <v>0.3</v>
      </c>
      <c r="J174" s="259">
        <f t="shared" si="9"/>
        <v>0.27</v>
      </c>
      <c r="K174" s="82"/>
      <c r="L174" s="222"/>
      <c r="M174" s="222"/>
      <c r="N174" s="83"/>
      <c r="O174" s="89"/>
      <c r="P174" s="88"/>
      <c r="Q174" s="88"/>
    </row>
    <row r="175" spans="1:17" ht="21.75" customHeight="1">
      <c r="A175" s="78"/>
      <c r="B175" s="79"/>
      <c r="C175" s="250" t="s">
        <v>532</v>
      </c>
      <c r="D175" s="87">
        <v>1</v>
      </c>
      <c r="E175" s="87" t="s">
        <v>1472</v>
      </c>
      <c r="F175" s="87">
        <v>1</v>
      </c>
      <c r="G175" s="88">
        <v>3</v>
      </c>
      <c r="H175" s="88">
        <v>0.3</v>
      </c>
      <c r="I175" s="88">
        <v>0.3</v>
      </c>
      <c r="J175" s="259">
        <f t="shared" si="9"/>
        <v>0.27</v>
      </c>
      <c r="K175" s="82"/>
      <c r="L175" s="222"/>
      <c r="M175" s="222"/>
      <c r="N175" s="83"/>
      <c r="O175" s="89"/>
      <c r="P175" s="88"/>
      <c r="Q175" s="88"/>
    </row>
    <row r="176" spans="1:17" ht="21.75" customHeight="1">
      <c r="A176" s="78"/>
      <c r="B176" s="79"/>
      <c r="C176" s="250" t="s">
        <v>533</v>
      </c>
      <c r="D176" s="87">
        <v>1</v>
      </c>
      <c r="E176" s="87" t="s">
        <v>1472</v>
      </c>
      <c r="F176" s="87">
        <v>1</v>
      </c>
      <c r="G176" s="88">
        <f>(8.175-3*0.38)</f>
        <v>7.0350000000000001</v>
      </c>
      <c r="H176" s="88">
        <v>0.3</v>
      </c>
      <c r="I176" s="88">
        <v>0.3</v>
      </c>
      <c r="J176" s="259">
        <f t="shared" si="9"/>
        <v>0.63</v>
      </c>
      <c r="K176" s="82"/>
      <c r="L176" s="222"/>
      <c r="M176" s="222"/>
      <c r="N176" s="83"/>
      <c r="O176" s="89"/>
      <c r="P176" s="88"/>
      <c r="Q176" s="88"/>
    </row>
    <row r="177" spans="1:17" ht="21.75" customHeight="1">
      <c r="A177" s="78"/>
      <c r="B177" s="79"/>
      <c r="C177" s="260" t="s">
        <v>135</v>
      </c>
      <c r="D177" s="87"/>
      <c r="E177" s="87"/>
      <c r="F177" s="87"/>
      <c r="G177" s="88"/>
      <c r="H177" s="88"/>
      <c r="I177" s="88"/>
      <c r="J177" s="259">
        <f>SUM(J170:J176)</f>
        <v>5.3699999999999983</v>
      </c>
      <c r="K177" s="82"/>
      <c r="L177" s="222"/>
      <c r="M177" s="222"/>
      <c r="N177" s="83"/>
      <c r="O177" s="89"/>
      <c r="P177" s="88"/>
      <c r="Q177" s="88"/>
    </row>
    <row r="178" spans="1:17" ht="21.75" customHeight="1">
      <c r="A178" s="78"/>
      <c r="B178" s="79"/>
      <c r="C178" s="250" t="s">
        <v>714</v>
      </c>
      <c r="D178" s="87">
        <v>1</v>
      </c>
      <c r="E178" s="87" t="s">
        <v>1472</v>
      </c>
      <c r="F178" s="87">
        <v>1</v>
      </c>
      <c r="G178" s="88">
        <f>(3.3-0.3)</f>
        <v>3</v>
      </c>
      <c r="H178" s="88">
        <v>0.3</v>
      </c>
      <c r="I178" s="88">
        <v>0.3</v>
      </c>
      <c r="J178" s="88">
        <f t="shared" si="9"/>
        <v>0.27</v>
      </c>
      <c r="K178" s="82"/>
      <c r="L178" s="222"/>
      <c r="M178" s="222"/>
      <c r="N178" s="83"/>
      <c r="O178" s="89"/>
      <c r="P178" s="88"/>
      <c r="Q178" s="88"/>
    </row>
    <row r="179" spans="1:17" ht="21.75" customHeight="1">
      <c r="A179" s="78"/>
      <c r="B179" s="79"/>
      <c r="C179" s="250" t="s">
        <v>741</v>
      </c>
      <c r="D179" s="87">
        <v>1</v>
      </c>
      <c r="E179" s="87" t="s">
        <v>1472</v>
      </c>
      <c r="F179" s="87">
        <v>1</v>
      </c>
      <c r="G179" s="88">
        <f>(8.175-3*0.38)</f>
        <v>7.0350000000000001</v>
      </c>
      <c r="H179" s="88">
        <v>0.3</v>
      </c>
      <c r="I179" s="88">
        <v>0.3</v>
      </c>
      <c r="J179" s="88">
        <f t="shared" si="9"/>
        <v>0.63</v>
      </c>
      <c r="K179" s="82"/>
      <c r="L179" s="222"/>
      <c r="M179" s="222"/>
      <c r="N179" s="83"/>
      <c r="O179" s="89"/>
      <c r="P179" s="88"/>
      <c r="Q179" s="88"/>
    </row>
    <row r="180" spans="1:17" ht="21.75" customHeight="1">
      <c r="A180" s="78"/>
      <c r="B180" s="79"/>
      <c r="C180" s="250" t="s">
        <v>742</v>
      </c>
      <c r="D180" s="87">
        <v>1</v>
      </c>
      <c r="E180" s="87" t="s">
        <v>1472</v>
      </c>
      <c r="F180" s="87">
        <v>1</v>
      </c>
      <c r="G180" s="88">
        <f>(8.175-2*0.45)</f>
        <v>7.2750000000000004</v>
      </c>
      <c r="H180" s="88">
        <v>0.3</v>
      </c>
      <c r="I180" s="88">
        <v>0.3</v>
      </c>
      <c r="J180" s="88">
        <f t="shared" si="9"/>
        <v>0.65</v>
      </c>
      <c r="K180" s="82"/>
      <c r="L180" s="222"/>
      <c r="M180" s="222"/>
      <c r="N180" s="83"/>
      <c r="O180" s="89"/>
      <c r="P180" s="88"/>
      <c r="Q180" s="88"/>
    </row>
    <row r="181" spans="1:17" ht="21.75" customHeight="1">
      <c r="A181" s="78"/>
      <c r="B181" s="79"/>
      <c r="C181" s="250" t="s">
        <v>743</v>
      </c>
      <c r="D181" s="87">
        <v>1</v>
      </c>
      <c r="E181" s="87" t="s">
        <v>1472</v>
      </c>
      <c r="F181" s="87">
        <v>1</v>
      </c>
      <c r="G181" s="88">
        <f>(8.175-2*0.45)</f>
        <v>7.2750000000000004</v>
      </c>
      <c r="H181" s="88">
        <v>0.3</v>
      </c>
      <c r="I181" s="88">
        <v>0.3</v>
      </c>
      <c r="J181" s="88">
        <f t="shared" si="9"/>
        <v>0.65</v>
      </c>
      <c r="K181" s="82"/>
      <c r="L181" s="222"/>
      <c r="M181" s="222"/>
      <c r="N181" s="83"/>
      <c r="O181" s="89"/>
      <c r="P181" s="88"/>
      <c r="Q181" s="88"/>
    </row>
    <row r="182" spans="1:17" ht="21.75" customHeight="1">
      <c r="A182" s="78"/>
      <c r="B182" s="79"/>
      <c r="C182" s="250" t="s">
        <v>715</v>
      </c>
      <c r="D182" s="87">
        <v>1</v>
      </c>
      <c r="E182" s="87" t="s">
        <v>1472</v>
      </c>
      <c r="F182" s="87">
        <v>1</v>
      </c>
      <c r="G182" s="88">
        <f>(8.175-3*0.38)</f>
        <v>7.0350000000000001</v>
      </c>
      <c r="H182" s="88">
        <v>0.3</v>
      </c>
      <c r="I182" s="88">
        <v>0.3</v>
      </c>
      <c r="J182" s="88">
        <f t="shared" si="9"/>
        <v>0.63</v>
      </c>
      <c r="K182" s="82"/>
      <c r="L182" s="222"/>
      <c r="M182" s="222"/>
      <c r="N182" s="83"/>
      <c r="O182" s="89"/>
      <c r="P182" s="88"/>
      <c r="Q182" s="88"/>
    </row>
    <row r="183" spans="1:17" ht="21.75" customHeight="1">
      <c r="A183" s="78"/>
      <c r="B183" s="79"/>
      <c r="C183" s="250" t="s">
        <v>716</v>
      </c>
      <c r="D183" s="87">
        <v>1</v>
      </c>
      <c r="E183" s="87" t="s">
        <v>1472</v>
      </c>
      <c r="F183" s="87">
        <v>1</v>
      </c>
      <c r="G183" s="88">
        <f>(8.175-3*0.38)</f>
        <v>7.0350000000000001</v>
      </c>
      <c r="H183" s="88">
        <v>0.3</v>
      </c>
      <c r="I183" s="88">
        <v>0.3</v>
      </c>
      <c r="J183" s="88">
        <f t="shared" si="9"/>
        <v>0.63</v>
      </c>
      <c r="K183" s="82"/>
      <c r="L183" s="222"/>
      <c r="M183" s="222"/>
      <c r="N183" s="83"/>
      <c r="O183" s="89"/>
      <c r="P183" s="88"/>
      <c r="Q183" s="88"/>
    </row>
    <row r="184" spans="1:17" ht="21.75" customHeight="1">
      <c r="A184" s="78"/>
      <c r="B184" s="79"/>
      <c r="C184" s="250" t="s">
        <v>717</v>
      </c>
      <c r="D184" s="87">
        <v>1</v>
      </c>
      <c r="E184" s="87" t="s">
        <v>1472</v>
      </c>
      <c r="F184" s="87">
        <v>1</v>
      </c>
      <c r="G184" s="88">
        <f>(3.6+3.3-0.3/2-0.38)</f>
        <v>6.37</v>
      </c>
      <c r="H184" s="88">
        <v>0.3</v>
      </c>
      <c r="I184" s="88">
        <v>0.3</v>
      </c>
      <c r="J184" s="88">
        <f>ROUND(D184*F184*G184*H184*I184,2)</f>
        <v>0.56999999999999995</v>
      </c>
      <c r="K184" s="82"/>
      <c r="L184" s="222"/>
      <c r="M184" s="222"/>
      <c r="N184" s="83"/>
      <c r="O184" s="89"/>
      <c r="P184" s="88"/>
      <c r="Q184" s="88"/>
    </row>
    <row r="185" spans="1:17" ht="21.75" customHeight="1">
      <c r="A185" s="78"/>
      <c r="B185" s="79"/>
      <c r="C185" s="250" t="s">
        <v>718</v>
      </c>
      <c r="D185" s="87">
        <v>1</v>
      </c>
      <c r="E185" s="87" t="s">
        <v>1472</v>
      </c>
      <c r="F185" s="87">
        <v>1</v>
      </c>
      <c r="G185" s="88">
        <f>(3.915+0.23-2*0.38)</f>
        <v>3.3850000000000007</v>
      </c>
      <c r="H185" s="88">
        <v>0.15</v>
      </c>
      <c r="I185" s="88">
        <v>0.3</v>
      </c>
      <c r="J185" s="88">
        <f>ROUND(D185*F185*G185*H185*I185,2)</f>
        <v>0.15</v>
      </c>
      <c r="K185" s="82"/>
      <c r="L185" s="222"/>
      <c r="M185" s="222"/>
      <c r="N185" s="83"/>
      <c r="O185" s="89"/>
      <c r="P185" s="88"/>
      <c r="Q185" s="88"/>
    </row>
    <row r="186" spans="1:17" ht="21.75" customHeight="1">
      <c r="A186" s="78"/>
      <c r="B186" s="79"/>
      <c r="C186" s="250" t="s">
        <v>719</v>
      </c>
      <c r="D186" s="87">
        <v>1</v>
      </c>
      <c r="E186" s="87" t="s">
        <v>1472</v>
      </c>
      <c r="F186" s="87">
        <v>2</v>
      </c>
      <c r="G186" s="88">
        <v>0.97499999999999998</v>
      </c>
      <c r="H186" s="88">
        <v>0.15</v>
      </c>
      <c r="I186" s="88">
        <v>0.3</v>
      </c>
      <c r="J186" s="88">
        <f>ROUND(D186*F186*G186*H186*I186,2)</f>
        <v>0.09</v>
      </c>
      <c r="K186" s="82"/>
      <c r="L186" s="222"/>
      <c r="M186" s="222"/>
      <c r="N186" s="83"/>
      <c r="O186" s="89"/>
      <c r="P186" s="88"/>
      <c r="Q186" s="88"/>
    </row>
    <row r="187" spans="1:17" ht="21.75" customHeight="1">
      <c r="A187" s="78"/>
      <c r="B187" s="79"/>
      <c r="C187" s="100" t="s">
        <v>522</v>
      </c>
      <c r="D187" s="87"/>
      <c r="E187" s="87"/>
      <c r="F187" s="87"/>
      <c r="G187" s="88"/>
      <c r="H187" s="88"/>
      <c r="I187" s="88"/>
      <c r="J187" s="88">
        <f>SUM(J178:J186)</f>
        <v>4.2700000000000005</v>
      </c>
      <c r="K187" s="82"/>
      <c r="L187" s="222"/>
      <c r="M187" s="222"/>
      <c r="N187" s="83"/>
      <c r="O187" s="89"/>
      <c r="P187" s="88"/>
      <c r="Q187" s="88"/>
    </row>
    <row r="188" spans="1:17" ht="21.75" customHeight="1">
      <c r="A188" s="78"/>
      <c r="B188" s="79"/>
      <c r="D188" s="87"/>
      <c r="E188" s="87"/>
      <c r="F188" s="87"/>
      <c r="G188" s="88"/>
      <c r="H188" s="88"/>
      <c r="I188" s="88"/>
      <c r="J188" s="92">
        <f>J187+J177</f>
        <v>9.6399999999999988</v>
      </c>
      <c r="K188" s="82"/>
      <c r="L188" s="222"/>
      <c r="M188" s="222"/>
      <c r="N188" s="83"/>
      <c r="O188" s="89"/>
      <c r="P188" s="88"/>
      <c r="Q188" s="88"/>
    </row>
    <row r="189" spans="1:17" ht="21.75" customHeight="1">
      <c r="A189" s="78"/>
      <c r="B189" s="79"/>
      <c r="C189" s="100"/>
      <c r="D189" s="87"/>
      <c r="E189" s="87"/>
      <c r="F189" s="87"/>
      <c r="G189" s="88"/>
      <c r="H189" s="88"/>
      <c r="I189" s="88"/>
      <c r="J189" s="92" t="s">
        <v>656</v>
      </c>
      <c r="K189" s="95"/>
      <c r="L189" s="225"/>
      <c r="M189" s="225"/>
      <c r="N189" s="93"/>
      <c r="O189" s="96"/>
      <c r="P189" s="92"/>
      <c r="Q189" s="88"/>
    </row>
    <row r="190" spans="1:17" s="378" customFormat="1">
      <c r="A190" s="196"/>
      <c r="B190" s="376" t="s">
        <v>1360</v>
      </c>
      <c r="C190" s="2763"/>
      <c r="D190" s="2763"/>
      <c r="E190" s="2763"/>
      <c r="F190" s="2763"/>
      <c r="G190" s="2763"/>
      <c r="H190" s="2763"/>
      <c r="I190" s="2763"/>
      <c r="J190" s="92">
        <f>J188</f>
        <v>9.6399999999999988</v>
      </c>
      <c r="K190" s="338">
        <f>Datas!G340</f>
        <v>11378.51</v>
      </c>
      <c r="L190" s="222"/>
      <c r="M190" s="375">
        <f>ROUND(K190*J190,0)</f>
        <v>109689</v>
      </c>
      <c r="N190" s="403">
        <f>SUM(L190:M190)</f>
        <v>109689</v>
      </c>
      <c r="O190" s="236">
        <f>ROUND(0.9*50+0.45*40,2)</f>
        <v>63</v>
      </c>
      <c r="P190" s="377">
        <f>ROUND(O190*J190,2)</f>
        <v>607.32000000000005</v>
      </c>
      <c r="Q190" s="236"/>
    </row>
    <row r="191" spans="1:17" ht="21.75" customHeight="1">
      <c r="A191" s="78"/>
      <c r="J191" s="92" t="s">
        <v>656</v>
      </c>
      <c r="K191" s="95" t="s">
        <v>670</v>
      </c>
      <c r="L191" s="225"/>
      <c r="M191" s="225"/>
      <c r="N191" s="93"/>
      <c r="O191" s="96"/>
      <c r="P191" s="92"/>
      <c r="Q191" s="88"/>
    </row>
    <row r="192" spans="1:17" ht="21.75" customHeight="1">
      <c r="A192" s="78" t="s">
        <v>671</v>
      </c>
      <c r="B192" s="79"/>
      <c r="C192" s="2780" t="s">
        <v>720</v>
      </c>
      <c r="D192" s="2781"/>
      <c r="E192" s="2781"/>
      <c r="F192" s="2781"/>
      <c r="G192" s="2781"/>
      <c r="H192" s="2781"/>
      <c r="I192" s="2782"/>
      <c r="J192" s="88"/>
      <c r="K192" s="82"/>
      <c r="L192" s="222"/>
      <c r="M192" s="222"/>
      <c r="N192" s="83"/>
      <c r="O192" s="89"/>
      <c r="P192" s="88"/>
      <c r="Q192" s="88"/>
    </row>
    <row r="193" spans="1:17" ht="21.75" customHeight="1">
      <c r="A193" s="78"/>
      <c r="B193" s="79"/>
      <c r="C193" s="250" t="s">
        <v>274</v>
      </c>
      <c r="D193" s="87">
        <v>1</v>
      </c>
      <c r="E193" s="87" t="s">
        <v>1472</v>
      </c>
      <c r="F193" s="87">
        <v>1</v>
      </c>
      <c r="G193" s="88">
        <f>(3.3+0.3)</f>
        <v>3.5999999999999996</v>
      </c>
      <c r="H193" s="88">
        <v>0.23</v>
      </c>
      <c r="I193" s="88">
        <v>0.3</v>
      </c>
      <c r="J193" s="88">
        <f>ROUND(D193*F193*G193*H193*I193,2)</f>
        <v>0.25</v>
      </c>
      <c r="K193" s="82"/>
      <c r="L193" s="222"/>
      <c r="M193" s="222"/>
      <c r="N193" s="83"/>
      <c r="O193" s="89"/>
      <c r="P193" s="88"/>
      <c r="Q193" s="88"/>
    </row>
    <row r="194" spans="1:17" ht="21.75" customHeight="1">
      <c r="A194" s="78"/>
      <c r="B194" s="79"/>
      <c r="C194" s="250" t="s">
        <v>275</v>
      </c>
      <c r="D194" s="87">
        <v>1</v>
      </c>
      <c r="E194" s="87" t="s">
        <v>1472</v>
      </c>
      <c r="F194" s="87">
        <v>1</v>
      </c>
      <c r="G194" s="88">
        <f>(3.3*4+3.6+0.3)</f>
        <v>17.100000000000001</v>
      </c>
      <c r="H194" s="88">
        <v>0.23</v>
      </c>
      <c r="I194" s="88">
        <v>0.3</v>
      </c>
      <c r="J194" s="88">
        <f t="shared" ref="J194:J207" si="10">ROUND(D194*F194*G194*H194*I194,2)</f>
        <v>1.18</v>
      </c>
      <c r="K194" s="82"/>
      <c r="L194" s="222"/>
      <c r="M194" s="222"/>
      <c r="N194" s="83"/>
      <c r="O194" s="89"/>
      <c r="P194" s="88"/>
      <c r="Q194" s="88"/>
    </row>
    <row r="195" spans="1:17" ht="21.75" customHeight="1">
      <c r="A195" s="78"/>
      <c r="B195" s="79"/>
      <c r="C195" s="250" t="s">
        <v>276</v>
      </c>
      <c r="D195" s="87">
        <v>1</v>
      </c>
      <c r="E195" s="87" t="s">
        <v>1472</v>
      </c>
      <c r="F195" s="87">
        <v>1</v>
      </c>
      <c r="G195" s="88">
        <f>(3.3+0.3)</f>
        <v>3.5999999999999996</v>
      </c>
      <c r="H195" s="88">
        <v>0.23</v>
      </c>
      <c r="I195" s="88">
        <v>0.3</v>
      </c>
      <c r="J195" s="88">
        <f t="shared" si="10"/>
        <v>0.25</v>
      </c>
      <c r="K195" s="82"/>
      <c r="L195" s="222"/>
      <c r="M195" s="222"/>
      <c r="N195" s="83"/>
      <c r="O195" s="89"/>
      <c r="P195" s="88"/>
      <c r="Q195" s="88"/>
    </row>
    <row r="196" spans="1:17" ht="21.75" customHeight="1">
      <c r="A196" s="78"/>
      <c r="B196" s="79"/>
      <c r="C196" s="250" t="s">
        <v>277</v>
      </c>
      <c r="D196" s="87">
        <v>1</v>
      </c>
      <c r="E196" s="87" t="s">
        <v>1472</v>
      </c>
      <c r="F196" s="87">
        <v>1</v>
      </c>
      <c r="G196" s="88">
        <f>(3.6+3.3+0.3)</f>
        <v>7.2</v>
      </c>
      <c r="H196" s="88">
        <v>0.23</v>
      </c>
      <c r="I196" s="88">
        <v>0.3</v>
      </c>
      <c r="J196" s="88">
        <f t="shared" si="10"/>
        <v>0.5</v>
      </c>
      <c r="K196" s="82"/>
      <c r="L196" s="222"/>
      <c r="M196" s="222"/>
      <c r="N196" s="83"/>
      <c r="O196" s="89"/>
      <c r="P196" s="88"/>
      <c r="Q196" s="88"/>
    </row>
    <row r="197" spans="1:17" ht="30" customHeight="1">
      <c r="A197" s="78"/>
      <c r="B197" s="79"/>
      <c r="C197" s="250" t="s">
        <v>279</v>
      </c>
      <c r="D197" s="87">
        <v>1</v>
      </c>
      <c r="E197" s="87" t="s">
        <v>1472</v>
      </c>
      <c r="F197" s="87">
        <v>1</v>
      </c>
      <c r="G197" s="88">
        <f>(3.3*5+3.6+0.3)</f>
        <v>20.400000000000002</v>
      </c>
      <c r="H197" s="88">
        <v>0.23</v>
      </c>
      <c r="I197" s="88">
        <v>0.3</v>
      </c>
      <c r="J197" s="88">
        <f t="shared" si="10"/>
        <v>1.41</v>
      </c>
      <c r="K197" s="82"/>
      <c r="L197" s="222"/>
      <c r="M197" s="222"/>
      <c r="N197" s="83"/>
      <c r="O197" s="89"/>
      <c r="P197" s="88"/>
      <c r="Q197" s="88"/>
    </row>
    <row r="198" spans="1:17" ht="21.75" customHeight="1">
      <c r="A198" s="78"/>
      <c r="B198" s="79"/>
      <c r="C198" s="250" t="s">
        <v>278</v>
      </c>
      <c r="D198" s="87">
        <v>1</v>
      </c>
      <c r="E198" s="87" t="s">
        <v>1472</v>
      </c>
      <c r="F198" s="87">
        <v>1</v>
      </c>
      <c r="G198" s="88">
        <f>(3.6-0.3)</f>
        <v>3.3000000000000003</v>
      </c>
      <c r="H198" s="88">
        <v>0.23</v>
      </c>
      <c r="I198" s="88">
        <v>0.3</v>
      </c>
      <c r="J198" s="88">
        <f t="shared" si="10"/>
        <v>0.23</v>
      </c>
      <c r="K198" s="82"/>
      <c r="L198" s="222"/>
      <c r="M198" s="222"/>
      <c r="N198" s="83"/>
      <c r="O198" s="89"/>
      <c r="P198" s="88"/>
      <c r="Q198" s="88"/>
    </row>
    <row r="199" spans="1:17" ht="21.75" customHeight="1">
      <c r="A199" s="78"/>
      <c r="B199" s="79"/>
      <c r="C199" s="250" t="s">
        <v>566</v>
      </c>
      <c r="D199" s="87">
        <v>1</v>
      </c>
      <c r="E199" s="87" t="s">
        <v>1472</v>
      </c>
      <c r="F199" s="87">
        <v>1</v>
      </c>
      <c r="G199" s="88">
        <f>(8.175+0.23)</f>
        <v>8.4050000000000011</v>
      </c>
      <c r="H199" s="88">
        <v>0.23</v>
      </c>
      <c r="I199" s="88">
        <v>0.3</v>
      </c>
      <c r="J199" s="88">
        <f>ROUND(D199*F199*G199*H199*I199,2)</f>
        <v>0.57999999999999996</v>
      </c>
      <c r="K199" s="82"/>
      <c r="L199" s="222"/>
      <c r="M199" s="222"/>
      <c r="N199" s="83"/>
      <c r="O199" s="89"/>
      <c r="P199" s="88"/>
      <c r="Q199" s="88"/>
    </row>
    <row r="200" spans="1:17" ht="21.75" customHeight="1">
      <c r="A200" s="78"/>
      <c r="B200" s="79"/>
      <c r="C200" s="250" t="s">
        <v>571</v>
      </c>
      <c r="D200" s="87">
        <v>1</v>
      </c>
      <c r="E200" s="87" t="s">
        <v>1472</v>
      </c>
      <c r="F200" s="87">
        <v>1</v>
      </c>
      <c r="G200" s="88">
        <v>2.0299999999999998</v>
      </c>
      <c r="H200" s="88">
        <v>0.23</v>
      </c>
      <c r="I200" s="88">
        <f>0.5-0.125</f>
        <v>0.375</v>
      </c>
      <c r="J200" s="88">
        <f t="shared" si="10"/>
        <v>0.18</v>
      </c>
      <c r="K200" s="82"/>
      <c r="L200" s="222"/>
      <c r="M200" s="222"/>
      <c r="N200" s="83"/>
      <c r="O200" s="89"/>
      <c r="P200" s="88"/>
      <c r="Q200" s="88"/>
    </row>
    <row r="201" spans="1:17" ht="21.75" customHeight="1">
      <c r="A201" s="78"/>
      <c r="B201" s="79"/>
      <c r="C201" s="250" t="s">
        <v>567</v>
      </c>
      <c r="D201" s="87">
        <v>1</v>
      </c>
      <c r="E201" s="87" t="s">
        <v>1472</v>
      </c>
      <c r="F201" s="87">
        <v>1</v>
      </c>
      <c r="G201" s="88">
        <f>(8.175+0.23)</f>
        <v>8.4050000000000011</v>
      </c>
      <c r="H201" s="88">
        <v>0.23</v>
      </c>
      <c r="I201" s="88">
        <v>0.3</v>
      </c>
      <c r="J201" s="88">
        <f t="shared" si="10"/>
        <v>0.57999999999999996</v>
      </c>
      <c r="K201" s="82"/>
      <c r="L201" s="222"/>
      <c r="M201" s="222"/>
      <c r="N201" s="83"/>
      <c r="O201" s="89"/>
      <c r="P201" s="88"/>
      <c r="Q201" s="88"/>
    </row>
    <row r="202" spans="1:17" ht="21.75" customHeight="1">
      <c r="A202" s="78"/>
      <c r="B202" s="79"/>
      <c r="C202" s="250" t="s">
        <v>572</v>
      </c>
      <c r="D202" s="87">
        <v>1</v>
      </c>
      <c r="E202" s="87" t="s">
        <v>1472</v>
      </c>
      <c r="F202" s="87">
        <v>1</v>
      </c>
      <c r="G202" s="88">
        <v>2.0299999999999998</v>
      </c>
      <c r="H202" s="88">
        <v>0.23</v>
      </c>
      <c r="I202" s="88">
        <f>0.5-0.125</f>
        <v>0.375</v>
      </c>
      <c r="J202" s="88">
        <f t="shared" si="10"/>
        <v>0.18</v>
      </c>
      <c r="K202" s="82"/>
      <c r="L202" s="222"/>
      <c r="M202" s="222"/>
      <c r="N202" s="83"/>
      <c r="O202" s="89"/>
      <c r="P202" s="88"/>
      <c r="Q202" s="88"/>
    </row>
    <row r="203" spans="1:17" ht="21.75" customHeight="1">
      <c r="A203" s="78"/>
      <c r="B203" s="79"/>
      <c r="C203" s="250" t="s">
        <v>568</v>
      </c>
      <c r="D203" s="87">
        <v>1</v>
      </c>
      <c r="E203" s="87" t="s">
        <v>1472</v>
      </c>
      <c r="F203" s="87">
        <v>1</v>
      </c>
      <c r="G203" s="88">
        <f>(8.175+0.23)</f>
        <v>8.4050000000000011</v>
      </c>
      <c r="H203" s="88">
        <v>0.23</v>
      </c>
      <c r="I203" s="88">
        <v>0.45</v>
      </c>
      <c r="J203" s="88">
        <f t="shared" si="10"/>
        <v>0.87</v>
      </c>
      <c r="K203" s="82"/>
      <c r="L203" s="222"/>
      <c r="M203" s="222"/>
      <c r="N203" s="83"/>
      <c r="O203" s="89"/>
      <c r="P203" s="88"/>
      <c r="Q203" s="88"/>
    </row>
    <row r="204" spans="1:17" ht="21.75" customHeight="1">
      <c r="A204" s="78"/>
      <c r="B204" s="79"/>
      <c r="C204" s="250" t="s">
        <v>569</v>
      </c>
      <c r="D204" s="87">
        <v>1</v>
      </c>
      <c r="E204" s="87" t="s">
        <v>1472</v>
      </c>
      <c r="F204" s="87">
        <v>1</v>
      </c>
      <c r="G204" s="88">
        <f>(8.175+0.23)</f>
        <v>8.4050000000000011</v>
      </c>
      <c r="H204" s="88">
        <v>0.23</v>
      </c>
      <c r="I204" s="88">
        <v>0.45</v>
      </c>
      <c r="J204" s="88">
        <f t="shared" si="10"/>
        <v>0.87</v>
      </c>
      <c r="K204" s="82"/>
      <c r="L204" s="222"/>
      <c r="M204" s="222"/>
      <c r="N204" s="83"/>
      <c r="O204" s="89"/>
      <c r="P204" s="88"/>
      <c r="Q204" s="88"/>
    </row>
    <row r="205" spans="1:17" ht="21.75" customHeight="1">
      <c r="A205" s="78"/>
      <c r="B205" s="79"/>
      <c r="C205" s="250" t="s">
        <v>1463</v>
      </c>
      <c r="D205" s="87">
        <v>1</v>
      </c>
      <c r="E205" s="87" t="s">
        <v>1472</v>
      </c>
      <c r="F205" s="87">
        <v>1</v>
      </c>
      <c r="G205" s="88">
        <f>(8.175+0.23+1.43)</f>
        <v>9.8350000000000009</v>
      </c>
      <c r="H205" s="88">
        <v>0.23</v>
      </c>
      <c r="I205" s="88">
        <v>0.3</v>
      </c>
      <c r="J205" s="88">
        <f t="shared" si="10"/>
        <v>0.68</v>
      </c>
      <c r="K205" s="82"/>
      <c r="L205" s="222"/>
      <c r="M205" s="222"/>
      <c r="N205" s="83"/>
      <c r="O205" s="89"/>
      <c r="P205" s="88"/>
      <c r="Q205" s="88"/>
    </row>
    <row r="206" spans="1:17" ht="21.75" customHeight="1">
      <c r="A206" s="78"/>
      <c r="B206" s="79"/>
      <c r="C206" s="250" t="s">
        <v>570</v>
      </c>
      <c r="D206" s="87">
        <v>1</v>
      </c>
      <c r="E206" s="87" t="s">
        <v>1472</v>
      </c>
      <c r="F206" s="87">
        <v>1</v>
      </c>
      <c r="G206" s="88">
        <f>(8.175+0.23+1.43)</f>
        <v>9.8350000000000009</v>
      </c>
      <c r="H206" s="88">
        <v>0.23</v>
      </c>
      <c r="I206" s="88">
        <v>0.3</v>
      </c>
      <c r="J206" s="88">
        <f t="shared" si="10"/>
        <v>0.68</v>
      </c>
      <c r="K206" s="82"/>
      <c r="L206" s="222"/>
      <c r="M206" s="222"/>
      <c r="N206" s="83"/>
      <c r="O206" s="89"/>
      <c r="P206" s="88"/>
      <c r="Q206" s="88"/>
    </row>
    <row r="207" spans="1:17" ht="21.75" customHeight="1">
      <c r="A207" s="78"/>
      <c r="B207" s="79"/>
      <c r="C207" s="250" t="s">
        <v>1465</v>
      </c>
      <c r="D207" s="87">
        <v>1</v>
      </c>
      <c r="E207" s="87" t="s">
        <v>1472</v>
      </c>
      <c r="F207" s="87">
        <v>1</v>
      </c>
      <c r="G207" s="88">
        <f>(8.175+0.23)</f>
        <v>8.4050000000000011</v>
      </c>
      <c r="H207" s="88">
        <v>0.23</v>
      </c>
      <c r="I207" s="88">
        <v>0.3</v>
      </c>
      <c r="J207" s="88">
        <f t="shared" si="10"/>
        <v>0.57999999999999996</v>
      </c>
      <c r="K207" s="82"/>
      <c r="L207" s="222"/>
      <c r="M207" s="222"/>
      <c r="N207" s="83"/>
      <c r="O207" s="89"/>
      <c r="P207" s="88"/>
      <c r="Q207" s="88"/>
    </row>
    <row r="208" spans="1:17" ht="21.75" customHeight="1">
      <c r="A208" s="78"/>
      <c r="B208" s="79"/>
      <c r="C208" s="100" t="s">
        <v>522</v>
      </c>
      <c r="D208" s="87"/>
      <c r="E208" s="87"/>
      <c r="F208" s="87"/>
      <c r="G208" s="88"/>
      <c r="H208" s="88"/>
      <c r="I208" s="88"/>
      <c r="J208" s="88">
        <f>SUM(J193:J207)</f>
        <v>9.02</v>
      </c>
      <c r="K208" s="82"/>
      <c r="L208" s="222"/>
      <c r="M208" s="222"/>
      <c r="N208" s="83"/>
      <c r="O208" s="89"/>
      <c r="P208" s="88"/>
      <c r="Q208" s="88"/>
    </row>
    <row r="209" spans="1:17" s="378" customFormat="1">
      <c r="A209" s="196"/>
      <c r="B209" s="376" t="s">
        <v>1365</v>
      </c>
      <c r="C209" s="2763"/>
      <c r="D209" s="2763"/>
      <c r="E209" s="2763"/>
      <c r="F209" s="2763"/>
      <c r="G209" s="2763"/>
      <c r="H209" s="2763"/>
      <c r="I209" s="2763"/>
      <c r="J209" s="92">
        <f>CEILING(J208,0.05)</f>
        <v>9.0500000000000007</v>
      </c>
      <c r="K209" s="338">
        <f>Datas!E419</f>
        <v>11257.84</v>
      </c>
      <c r="L209" s="222"/>
      <c r="M209" s="375">
        <f>ROUND(K209*J209,0)</f>
        <v>101883</v>
      </c>
      <c r="N209" s="403">
        <f>SUM(L209:M209)</f>
        <v>101883</v>
      </c>
      <c r="O209" s="236">
        <f>ROUND(0.9*50+0.45*40,2)</f>
        <v>63</v>
      </c>
      <c r="P209" s="377">
        <f>ROUND(O209*J209,2)</f>
        <v>570.15</v>
      </c>
      <c r="Q209" s="236"/>
    </row>
    <row r="210" spans="1:17" ht="21.75" customHeight="1">
      <c r="A210" s="78"/>
      <c r="J210" s="92" t="s">
        <v>656</v>
      </c>
      <c r="K210" s="95" t="s">
        <v>670</v>
      </c>
      <c r="L210" s="225"/>
      <c r="M210" s="225"/>
      <c r="N210" s="93"/>
      <c r="O210" s="96"/>
      <c r="P210" s="92"/>
      <c r="Q210" s="88"/>
    </row>
    <row r="211" spans="1:17" ht="21.75" customHeight="1">
      <c r="A211" s="78"/>
      <c r="B211" s="79"/>
      <c r="C211" s="2780" t="s">
        <v>58</v>
      </c>
      <c r="D211" s="2781"/>
      <c r="E211" s="2781"/>
      <c r="F211" s="2781"/>
      <c r="G211" s="2781"/>
      <c r="H211" s="2781"/>
      <c r="I211" s="2782"/>
      <c r="J211" s="88"/>
      <c r="K211" s="82"/>
      <c r="L211" s="222"/>
      <c r="M211" s="222"/>
      <c r="N211" s="83"/>
      <c r="O211" s="89"/>
      <c r="P211" s="88"/>
      <c r="Q211" s="88"/>
    </row>
    <row r="212" spans="1:17" ht="21.75" customHeight="1">
      <c r="A212" s="78"/>
      <c r="B212" s="79"/>
      <c r="C212" s="250" t="s">
        <v>274</v>
      </c>
      <c r="D212" s="87">
        <v>1</v>
      </c>
      <c r="E212" s="87" t="s">
        <v>1472</v>
      </c>
      <c r="F212" s="87">
        <v>1</v>
      </c>
      <c r="G212" s="88">
        <f>(3.3+0.3)</f>
        <v>3.5999999999999996</v>
      </c>
      <c r="H212" s="88">
        <v>0.23</v>
      </c>
      <c r="I212" s="88">
        <v>0.3</v>
      </c>
      <c r="J212" s="88">
        <f t="shared" ref="J212:J218" si="11">ROUND(D212*F212*G212*H212*I212,2)</f>
        <v>0.25</v>
      </c>
      <c r="K212" s="82"/>
      <c r="L212" s="222"/>
      <c r="M212" s="222"/>
      <c r="N212" s="83"/>
      <c r="O212" s="89"/>
      <c r="P212" s="88"/>
      <c r="Q212" s="88"/>
    </row>
    <row r="213" spans="1:17" ht="21.75" customHeight="1">
      <c r="A213" s="78"/>
      <c r="B213" s="79"/>
      <c r="C213" s="250" t="s">
        <v>280</v>
      </c>
      <c r="D213" s="87">
        <v>1</v>
      </c>
      <c r="E213" s="87" t="s">
        <v>1472</v>
      </c>
      <c r="F213" s="87">
        <v>1</v>
      </c>
      <c r="G213" s="88">
        <f>(3.3*4+0.3)</f>
        <v>13.5</v>
      </c>
      <c r="H213" s="88">
        <v>0.23</v>
      </c>
      <c r="I213" s="88">
        <v>0.3</v>
      </c>
      <c r="J213" s="88">
        <f t="shared" si="11"/>
        <v>0.93</v>
      </c>
      <c r="K213" s="82"/>
      <c r="L213" s="222"/>
      <c r="M213" s="222"/>
      <c r="N213" s="83"/>
      <c r="O213" s="89"/>
      <c r="P213" s="88"/>
      <c r="Q213" s="88"/>
    </row>
    <row r="214" spans="1:17" ht="21.75" customHeight="1">
      <c r="A214" s="78"/>
      <c r="B214" s="79"/>
      <c r="C214" s="250" t="s">
        <v>276</v>
      </c>
      <c r="D214" s="87">
        <v>1</v>
      </c>
      <c r="E214" s="87" t="s">
        <v>1472</v>
      </c>
      <c r="F214" s="87">
        <v>1</v>
      </c>
      <c r="G214" s="88">
        <f>(3.3+0.3)</f>
        <v>3.5999999999999996</v>
      </c>
      <c r="H214" s="88">
        <v>0.23</v>
      </c>
      <c r="I214" s="88">
        <v>0.3</v>
      </c>
      <c r="J214" s="88">
        <f t="shared" si="11"/>
        <v>0.25</v>
      </c>
      <c r="K214" s="82"/>
      <c r="L214" s="222"/>
      <c r="M214" s="222"/>
      <c r="N214" s="83"/>
      <c r="O214" s="89"/>
      <c r="P214" s="88"/>
      <c r="Q214" s="88"/>
    </row>
    <row r="215" spans="1:17" ht="24.75" customHeight="1">
      <c r="A215" s="78"/>
      <c r="B215" s="79"/>
      <c r="C215" s="250" t="s">
        <v>281</v>
      </c>
      <c r="D215" s="87">
        <v>1</v>
      </c>
      <c r="E215" s="87" t="s">
        <v>1472</v>
      </c>
      <c r="F215" s="87">
        <v>1</v>
      </c>
      <c r="G215" s="88">
        <f>(3.3*5+3.6+0.3)</f>
        <v>20.400000000000002</v>
      </c>
      <c r="H215" s="88">
        <v>0.23</v>
      </c>
      <c r="I215" s="88">
        <v>0.3</v>
      </c>
      <c r="J215" s="88">
        <f t="shared" si="11"/>
        <v>1.41</v>
      </c>
      <c r="K215" s="82"/>
      <c r="L215" s="222"/>
      <c r="M215" s="222"/>
      <c r="N215" s="83"/>
      <c r="O215" s="89"/>
      <c r="P215" s="88"/>
      <c r="Q215" s="88"/>
    </row>
    <row r="216" spans="1:17" ht="21.75" customHeight="1">
      <c r="A216" s="78"/>
      <c r="B216" s="79"/>
      <c r="C216" s="250" t="s">
        <v>566</v>
      </c>
      <c r="D216" s="87">
        <v>1</v>
      </c>
      <c r="E216" s="87" t="s">
        <v>1472</v>
      </c>
      <c r="F216" s="87">
        <v>1</v>
      </c>
      <c r="G216" s="88">
        <f>(8.175+0.23)</f>
        <v>8.4050000000000011</v>
      </c>
      <c r="H216" s="88">
        <v>0.23</v>
      </c>
      <c r="I216" s="88">
        <v>0.3</v>
      </c>
      <c r="J216" s="88">
        <f t="shared" si="11"/>
        <v>0.57999999999999996</v>
      </c>
      <c r="K216" s="82"/>
      <c r="L216" s="222"/>
      <c r="M216" s="222"/>
      <c r="N216" s="83"/>
      <c r="O216" s="89"/>
      <c r="P216" s="88"/>
      <c r="Q216" s="88"/>
    </row>
    <row r="217" spans="1:17" ht="21.75" customHeight="1">
      <c r="A217" s="78"/>
      <c r="B217" s="79"/>
      <c r="C217" s="250" t="s">
        <v>567</v>
      </c>
      <c r="D217" s="87">
        <v>1</v>
      </c>
      <c r="E217" s="87" t="s">
        <v>1472</v>
      </c>
      <c r="F217" s="87">
        <v>1</v>
      </c>
      <c r="G217" s="88">
        <f>(8.175+0.23)</f>
        <v>8.4050000000000011</v>
      </c>
      <c r="H217" s="88">
        <v>0.23</v>
      </c>
      <c r="I217" s="88">
        <v>0.3</v>
      </c>
      <c r="J217" s="88">
        <f t="shared" si="11"/>
        <v>0.57999999999999996</v>
      </c>
      <c r="K217" s="82"/>
      <c r="L217" s="222"/>
      <c r="M217" s="222"/>
      <c r="N217" s="83"/>
      <c r="O217" s="89"/>
      <c r="P217" s="88"/>
      <c r="Q217" s="88"/>
    </row>
    <row r="218" spans="1:17" ht="21.75" customHeight="1">
      <c r="A218" s="78"/>
      <c r="B218" s="79"/>
      <c r="C218" s="250" t="s">
        <v>568</v>
      </c>
      <c r="D218" s="87">
        <v>1</v>
      </c>
      <c r="E218" s="87" t="s">
        <v>1472</v>
      </c>
      <c r="F218" s="87">
        <v>1</v>
      </c>
      <c r="G218" s="88">
        <f>(8.175+0.23)</f>
        <v>8.4050000000000011</v>
      </c>
      <c r="H218" s="88">
        <v>0.23</v>
      </c>
      <c r="I218" s="88">
        <v>0.45</v>
      </c>
      <c r="J218" s="88">
        <f t="shared" si="11"/>
        <v>0.87</v>
      </c>
      <c r="K218" s="82"/>
      <c r="L218" s="222"/>
      <c r="M218" s="222"/>
      <c r="N218" s="83"/>
      <c r="O218" s="89"/>
      <c r="P218" s="88"/>
      <c r="Q218" s="88"/>
    </row>
    <row r="219" spans="1:17" ht="21.75" customHeight="1">
      <c r="A219" s="78"/>
      <c r="B219" s="79"/>
      <c r="C219" s="250" t="s">
        <v>569</v>
      </c>
      <c r="D219" s="87">
        <v>1</v>
      </c>
      <c r="E219" s="87" t="s">
        <v>1472</v>
      </c>
      <c r="F219" s="87">
        <v>1</v>
      </c>
      <c r="G219" s="88">
        <f>(8.175+0.23)</f>
        <v>8.4050000000000011</v>
      </c>
      <c r="H219" s="88">
        <v>0.23</v>
      </c>
      <c r="I219" s="88">
        <v>0.45</v>
      </c>
      <c r="J219" s="88">
        <f>ROUND(D219*F219*G219*H219*I219,2)</f>
        <v>0.87</v>
      </c>
      <c r="K219" s="82"/>
      <c r="L219" s="222"/>
      <c r="M219" s="222"/>
      <c r="N219" s="83"/>
      <c r="O219" s="89"/>
      <c r="P219" s="88"/>
      <c r="Q219" s="88"/>
    </row>
    <row r="220" spans="1:17" ht="21.75" customHeight="1">
      <c r="A220" s="78"/>
      <c r="B220" s="79"/>
      <c r="C220" s="250" t="s">
        <v>1464</v>
      </c>
      <c r="D220" s="87">
        <v>1</v>
      </c>
      <c r="E220" s="87" t="s">
        <v>1472</v>
      </c>
      <c r="F220" s="87">
        <v>1</v>
      </c>
      <c r="G220" s="88">
        <f>(3.915+0.23)</f>
        <v>4.1450000000000005</v>
      </c>
      <c r="H220" s="88">
        <v>0.23</v>
      </c>
      <c r="I220" s="248">
        <v>0.3</v>
      </c>
      <c r="J220" s="88">
        <f>ROUND(D220*F220*G220*H220*I220,2)</f>
        <v>0.28999999999999998</v>
      </c>
      <c r="K220" s="82"/>
      <c r="L220" s="222"/>
      <c r="M220" s="222"/>
      <c r="N220" s="83"/>
      <c r="O220" s="89"/>
      <c r="P220" s="88"/>
      <c r="Q220" s="88"/>
    </row>
    <row r="221" spans="1:17" ht="21.75" customHeight="1">
      <c r="A221" s="78"/>
      <c r="B221" s="79"/>
      <c r="C221" s="250"/>
      <c r="D221" s="87"/>
      <c r="E221" s="87"/>
      <c r="F221" s="87"/>
      <c r="G221" s="88"/>
      <c r="H221" s="88"/>
      <c r="I221" s="88"/>
      <c r="J221" s="88">
        <f>SUM(J212:J220)</f>
        <v>6.03</v>
      </c>
      <c r="K221" s="82"/>
      <c r="L221" s="222"/>
      <c r="M221" s="222"/>
      <c r="N221" s="83"/>
      <c r="O221" s="89"/>
      <c r="P221" s="88"/>
      <c r="Q221" s="88"/>
    </row>
    <row r="222" spans="1:17" s="378" customFormat="1">
      <c r="A222" s="383"/>
      <c r="B222" s="376" t="s">
        <v>1366</v>
      </c>
      <c r="C222" s="2763"/>
      <c r="D222" s="2763"/>
      <c r="E222" s="2763"/>
      <c r="F222" s="2763"/>
      <c r="G222" s="2763"/>
      <c r="H222" s="2763"/>
      <c r="I222" s="2763"/>
      <c r="J222" s="92">
        <f>CEILING(J221,0.05)</f>
        <v>6.0500000000000007</v>
      </c>
      <c r="K222" s="338">
        <f>Datas!F419</f>
        <v>11689.891</v>
      </c>
      <c r="L222" s="222"/>
      <c r="M222" s="375">
        <f>ROUND(K222*J222,0)</f>
        <v>70724</v>
      </c>
      <c r="N222" s="403">
        <f>SUM(L222:M222)</f>
        <v>70724</v>
      </c>
      <c r="O222" s="236">
        <f>ROUND(0.9*50+0.45*40,2)</f>
        <v>63</v>
      </c>
      <c r="P222" s="377">
        <f>ROUND(O222*J222,2)</f>
        <v>381.15</v>
      </c>
      <c r="Q222" s="236"/>
    </row>
    <row r="223" spans="1:17" ht="21.75" customHeight="1">
      <c r="A223" s="115"/>
      <c r="J223" s="92" t="s">
        <v>656</v>
      </c>
      <c r="K223" s="95" t="s">
        <v>670</v>
      </c>
      <c r="L223" s="225"/>
      <c r="M223" s="225"/>
      <c r="N223" s="93"/>
      <c r="O223" s="96"/>
      <c r="P223" s="92"/>
      <c r="Q223" s="88"/>
    </row>
    <row r="224" spans="1:17" ht="21.75" customHeight="1">
      <c r="A224" s="78"/>
      <c r="B224" s="79"/>
      <c r="C224" s="2780" t="s">
        <v>59</v>
      </c>
      <c r="D224" s="2781"/>
      <c r="E224" s="2781"/>
      <c r="F224" s="2781"/>
      <c r="G224" s="2781"/>
      <c r="H224" s="2781"/>
      <c r="I224" s="2782"/>
      <c r="J224" s="88"/>
      <c r="K224" s="82"/>
      <c r="L224" s="222"/>
      <c r="M224" s="222"/>
      <c r="N224" s="83"/>
      <c r="O224" s="89"/>
      <c r="P224" s="88"/>
      <c r="Q224" s="88"/>
    </row>
    <row r="225" spans="1:17" ht="21.75" customHeight="1">
      <c r="A225" s="78"/>
      <c r="B225" s="79"/>
      <c r="C225" s="250" t="s">
        <v>274</v>
      </c>
      <c r="D225" s="87">
        <v>1</v>
      </c>
      <c r="E225" s="87" t="s">
        <v>1472</v>
      </c>
      <c r="F225" s="87">
        <v>1</v>
      </c>
      <c r="G225" s="88">
        <f>(3.3+0.3)</f>
        <v>3.5999999999999996</v>
      </c>
      <c r="H225" s="88">
        <v>0.23</v>
      </c>
      <c r="I225" s="88">
        <v>0.3</v>
      </c>
      <c r="J225" s="88">
        <f>ROUND(D225*F225*G225*H225*I225,2)</f>
        <v>0.25</v>
      </c>
      <c r="K225" s="82"/>
      <c r="L225" s="222"/>
      <c r="M225" s="222"/>
      <c r="N225" s="83"/>
      <c r="O225" s="89"/>
      <c r="P225" s="88"/>
      <c r="Q225" s="88"/>
    </row>
    <row r="226" spans="1:17" ht="21.75" customHeight="1">
      <c r="A226" s="78"/>
      <c r="B226" s="79"/>
      <c r="C226" s="250" t="s">
        <v>276</v>
      </c>
      <c r="D226" s="87">
        <v>1</v>
      </c>
      <c r="E226" s="87" t="s">
        <v>1472</v>
      </c>
      <c r="F226" s="87">
        <v>1</v>
      </c>
      <c r="G226" s="88">
        <f>(3.3+0.3)</f>
        <v>3.5999999999999996</v>
      </c>
      <c r="H226" s="88">
        <v>0.23</v>
      </c>
      <c r="I226" s="88">
        <v>0.3</v>
      </c>
      <c r="J226" s="88">
        <f>ROUND(D226*F226*G226*H226*I226,2)</f>
        <v>0.25</v>
      </c>
      <c r="K226" s="82"/>
      <c r="L226" s="222"/>
      <c r="M226" s="222"/>
      <c r="N226" s="83"/>
      <c r="O226" s="89"/>
      <c r="P226" s="88"/>
      <c r="Q226" s="88"/>
    </row>
    <row r="227" spans="1:17" ht="21.75" customHeight="1">
      <c r="A227" s="78"/>
      <c r="B227" s="79"/>
      <c r="C227" s="250" t="s">
        <v>60</v>
      </c>
      <c r="D227" s="87">
        <v>1</v>
      </c>
      <c r="E227" s="87" t="s">
        <v>1472</v>
      </c>
      <c r="F227" s="87">
        <v>1</v>
      </c>
      <c r="G227" s="88">
        <f>(3.108+1.5+0.23)</f>
        <v>4.838000000000001</v>
      </c>
      <c r="H227" s="88">
        <v>0.23</v>
      </c>
      <c r="I227" s="88">
        <v>0.3</v>
      </c>
      <c r="J227" s="88">
        <f>ROUND(D227*F227*G227*H227*I227,2)</f>
        <v>0.33</v>
      </c>
      <c r="K227" s="82"/>
      <c r="L227" s="222"/>
      <c r="M227" s="222"/>
      <c r="N227" s="83"/>
      <c r="O227" s="89"/>
      <c r="P227" s="88"/>
      <c r="Q227" s="88"/>
    </row>
    <row r="228" spans="1:17" ht="21.75" customHeight="1">
      <c r="A228" s="78"/>
      <c r="B228" s="79"/>
      <c r="C228" s="250" t="s">
        <v>60</v>
      </c>
      <c r="D228" s="87">
        <v>1</v>
      </c>
      <c r="E228" s="87" t="s">
        <v>1472</v>
      </c>
      <c r="F228" s="87">
        <v>1</v>
      </c>
      <c r="G228" s="88">
        <v>4.84</v>
      </c>
      <c r="H228" s="88">
        <v>0.23</v>
      </c>
      <c r="I228" s="88">
        <v>0.3</v>
      </c>
      <c r="J228" s="88">
        <f>ROUND(D228*F228*G228*H228*I228,2)</f>
        <v>0.33</v>
      </c>
      <c r="K228" s="82"/>
      <c r="L228" s="222"/>
      <c r="M228" s="222"/>
      <c r="N228" s="83"/>
      <c r="O228" s="89"/>
      <c r="P228" s="88"/>
      <c r="Q228" s="88"/>
    </row>
    <row r="229" spans="1:17" ht="21.75" customHeight="1">
      <c r="A229" s="78"/>
      <c r="B229" s="79"/>
      <c r="C229" s="250"/>
      <c r="D229" s="87"/>
      <c r="E229" s="87"/>
      <c r="F229" s="87"/>
      <c r="G229" s="88"/>
      <c r="H229" s="88"/>
      <c r="I229" s="88"/>
      <c r="J229" s="88">
        <f>SUM(J225:J228)</f>
        <v>1.1600000000000001</v>
      </c>
      <c r="K229" s="82"/>
      <c r="L229" s="222"/>
      <c r="M229" s="222"/>
      <c r="N229" s="83"/>
      <c r="O229" s="89"/>
      <c r="P229" s="88"/>
      <c r="Q229" s="88"/>
    </row>
    <row r="230" spans="1:17" s="378" customFormat="1">
      <c r="A230" s="383"/>
      <c r="B230" s="376" t="s">
        <v>1367</v>
      </c>
      <c r="C230" s="2763"/>
      <c r="D230" s="2763"/>
      <c r="E230" s="2763"/>
      <c r="F230" s="2763"/>
      <c r="G230" s="2763"/>
      <c r="H230" s="2763"/>
      <c r="I230" s="2763"/>
      <c r="J230" s="92">
        <f>CEILING(J229,0.05)</f>
        <v>1.2000000000000002</v>
      </c>
      <c r="K230" s="338">
        <f>Datas!G419</f>
        <v>12389.542000000001</v>
      </c>
      <c r="L230" s="222"/>
      <c r="M230" s="375">
        <f>ROUND(K230*J230,0)</f>
        <v>14867</v>
      </c>
      <c r="N230" s="403">
        <f>SUM(L230:M230)</f>
        <v>14867</v>
      </c>
      <c r="O230" s="236">
        <f>ROUND(0.9*50+0.45*40,2)</f>
        <v>63</v>
      </c>
      <c r="P230" s="377">
        <f>ROUND(O230*J230,2)</f>
        <v>75.599999999999994</v>
      </c>
      <c r="Q230" s="236"/>
    </row>
    <row r="231" spans="1:17" ht="21.75" customHeight="1">
      <c r="A231" s="115"/>
      <c r="J231" s="92" t="s">
        <v>656</v>
      </c>
      <c r="K231" s="95" t="s">
        <v>670</v>
      </c>
      <c r="L231" s="225"/>
      <c r="M231" s="225"/>
      <c r="N231" s="93"/>
      <c r="O231" s="96"/>
      <c r="P231" s="92"/>
      <c r="Q231" s="88"/>
    </row>
    <row r="232" spans="1:17" ht="24.9" customHeight="1">
      <c r="A232" s="78" t="s">
        <v>976</v>
      </c>
      <c r="B232" s="79"/>
      <c r="C232" s="2767" t="s">
        <v>437</v>
      </c>
      <c r="D232" s="2768"/>
      <c r="E232" s="2768"/>
      <c r="F232" s="2768"/>
      <c r="G232" s="2768"/>
      <c r="H232" s="2768"/>
      <c r="I232" s="2769"/>
      <c r="J232" s="88"/>
      <c r="K232" s="82"/>
      <c r="L232" s="222"/>
      <c r="M232" s="222"/>
      <c r="N232" s="83"/>
      <c r="O232" s="89"/>
      <c r="P232" s="88"/>
      <c r="Q232" s="88"/>
    </row>
    <row r="233" spans="1:17" ht="24.9" customHeight="1">
      <c r="A233" s="78"/>
      <c r="B233" s="79"/>
      <c r="C233" s="253" t="s">
        <v>435</v>
      </c>
      <c r="D233" s="87">
        <v>1</v>
      </c>
      <c r="E233" s="87" t="s">
        <v>1472</v>
      </c>
      <c r="F233" s="87">
        <v>1</v>
      </c>
      <c r="G233" s="88">
        <v>20.399999999999999</v>
      </c>
      <c r="H233" s="248">
        <f>8.175</f>
        <v>8.1750000000000007</v>
      </c>
      <c r="I233" s="88"/>
      <c r="J233" s="88">
        <f>ROUND(D233*F233*G233*H233,2)</f>
        <v>166.77</v>
      </c>
      <c r="K233" s="102"/>
      <c r="L233" s="39"/>
      <c r="M233" s="39"/>
      <c r="N233" s="103"/>
      <c r="O233" s="104"/>
      <c r="P233" s="105"/>
      <c r="Q233" s="105"/>
    </row>
    <row r="234" spans="1:17" ht="24.9" customHeight="1">
      <c r="A234" s="78"/>
      <c r="B234" s="79"/>
      <c r="C234" s="253" t="s">
        <v>721</v>
      </c>
      <c r="D234" s="87">
        <v>1</v>
      </c>
      <c r="E234" s="87" t="s">
        <v>1472</v>
      </c>
      <c r="F234" s="87">
        <v>1</v>
      </c>
      <c r="G234" s="88">
        <v>3.6</v>
      </c>
      <c r="H234" s="248">
        <v>2.0299999999999998</v>
      </c>
      <c r="I234" s="88"/>
      <c r="J234" s="88">
        <f>ROUND(D234*F234*G234*H234,2)</f>
        <v>7.31</v>
      </c>
      <c r="K234" s="102"/>
      <c r="L234" s="39"/>
      <c r="M234" s="39"/>
      <c r="N234" s="103"/>
      <c r="O234" s="104"/>
      <c r="P234" s="105"/>
      <c r="Q234" s="105"/>
    </row>
    <row r="235" spans="1:17" ht="24.9" customHeight="1">
      <c r="A235" s="78"/>
      <c r="B235" s="79"/>
      <c r="C235" s="253" t="s">
        <v>722</v>
      </c>
      <c r="D235" s="87">
        <v>1</v>
      </c>
      <c r="E235" s="87" t="s">
        <v>1472</v>
      </c>
      <c r="F235" s="87">
        <v>1</v>
      </c>
      <c r="G235" s="88">
        <v>3.6</v>
      </c>
      <c r="H235" s="248">
        <v>1.43</v>
      </c>
      <c r="I235" s="88"/>
      <c r="J235" s="88">
        <f>ROUND(D235*F235*G235*H235,2)</f>
        <v>5.15</v>
      </c>
      <c r="K235" s="102"/>
      <c r="L235" s="39"/>
      <c r="M235" s="39"/>
      <c r="N235" s="103"/>
      <c r="O235" s="104"/>
      <c r="P235" s="105"/>
      <c r="Q235" s="105"/>
    </row>
    <row r="236" spans="1:17" ht="24.9" customHeight="1">
      <c r="A236" s="78"/>
      <c r="B236" s="79"/>
      <c r="C236" s="253" t="s">
        <v>436</v>
      </c>
      <c r="D236" s="87">
        <v>1</v>
      </c>
      <c r="E236" s="87" t="s">
        <v>1472</v>
      </c>
      <c r="F236" s="87">
        <v>-1</v>
      </c>
      <c r="G236" s="88">
        <f>3.108</f>
        <v>3.1080000000000001</v>
      </c>
      <c r="H236" s="248">
        <v>3</v>
      </c>
      <c r="I236" s="88"/>
      <c r="J236" s="88">
        <f>ROUND(D236*F236*G236*H236,2)</f>
        <v>-9.32</v>
      </c>
      <c r="K236" s="102"/>
      <c r="L236" s="39"/>
      <c r="M236" s="39"/>
      <c r="N236" s="103"/>
      <c r="O236" s="104"/>
      <c r="P236" s="105"/>
      <c r="Q236" s="105"/>
    </row>
    <row r="237" spans="1:17" ht="21.75" customHeight="1">
      <c r="A237" s="78"/>
      <c r="B237" s="79"/>
      <c r="C237" s="100"/>
      <c r="D237" s="87"/>
      <c r="E237" s="87"/>
      <c r="F237" s="87"/>
      <c r="G237" s="88"/>
      <c r="H237" s="88"/>
      <c r="I237" s="88"/>
      <c r="J237" s="92">
        <f>SUM(J233:J236)</f>
        <v>169.91000000000003</v>
      </c>
      <c r="K237" s="82"/>
      <c r="L237" s="222"/>
      <c r="M237" s="222"/>
      <c r="N237" s="83"/>
      <c r="O237" s="89"/>
      <c r="P237" s="88"/>
      <c r="Q237" s="92"/>
    </row>
    <row r="238" spans="1:17" ht="21.75" customHeight="1">
      <c r="A238" s="78"/>
      <c r="B238" s="79"/>
      <c r="C238" s="100"/>
      <c r="D238" s="87"/>
      <c r="E238" s="87"/>
      <c r="F238" s="87"/>
      <c r="G238" s="88"/>
      <c r="H238" s="88"/>
      <c r="I238" s="88"/>
      <c r="J238" s="88" t="s">
        <v>987</v>
      </c>
      <c r="K238" s="82"/>
      <c r="L238" s="222"/>
      <c r="M238" s="222"/>
      <c r="N238" s="83"/>
      <c r="O238" s="89"/>
      <c r="P238" s="88"/>
      <c r="Q238" s="88"/>
    </row>
    <row r="239" spans="1:17" s="378" customFormat="1">
      <c r="A239" s="196"/>
      <c r="B239" s="376" t="s">
        <v>1368</v>
      </c>
      <c r="C239" s="2763"/>
      <c r="D239" s="2763"/>
      <c r="E239" s="2763"/>
      <c r="F239" s="2763"/>
      <c r="G239" s="2763"/>
      <c r="H239" s="2763"/>
      <c r="I239" s="2763"/>
      <c r="J239" s="92">
        <f>J237</f>
        <v>169.91000000000003</v>
      </c>
      <c r="K239" s="338">
        <f>Datas!E451</f>
        <v>12858.470000000001</v>
      </c>
      <c r="L239" s="222"/>
      <c r="M239" s="375">
        <f>ROUND(K239*J239/10,0)</f>
        <v>218478</v>
      </c>
      <c r="N239" s="403">
        <f>SUM(L239:M239)</f>
        <v>218478</v>
      </c>
      <c r="O239" s="236">
        <f>63*0.125</f>
        <v>7.875</v>
      </c>
      <c r="P239" s="377">
        <f>ROUND(O239*J239,2)</f>
        <v>1338.04</v>
      </c>
      <c r="Q239" s="236"/>
    </row>
    <row r="240" spans="1:17" ht="21.75" customHeight="1">
      <c r="A240" s="78"/>
      <c r="J240" s="88" t="str">
        <f>J238</f>
        <v>sqm</v>
      </c>
      <c r="K240" s="82" t="s">
        <v>672</v>
      </c>
      <c r="L240" s="222"/>
      <c r="M240" s="225"/>
      <c r="N240" s="93"/>
      <c r="O240" s="96"/>
      <c r="P240" s="92"/>
      <c r="Q240" s="88"/>
    </row>
    <row r="241" spans="1:17" ht="24.9" customHeight="1">
      <c r="A241" s="78" t="s">
        <v>1407</v>
      </c>
      <c r="B241" s="79"/>
      <c r="C241" s="2767" t="s">
        <v>636</v>
      </c>
      <c r="D241" s="2768"/>
      <c r="E241" s="2768"/>
      <c r="F241" s="2768"/>
      <c r="G241" s="2768"/>
      <c r="H241" s="2768"/>
      <c r="I241" s="2769"/>
      <c r="J241" s="88"/>
      <c r="K241" s="82"/>
      <c r="L241" s="222"/>
      <c r="M241" s="222"/>
      <c r="N241" s="83"/>
      <c r="O241" s="89"/>
      <c r="P241" s="88"/>
      <c r="Q241" s="88"/>
    </row>
    <row r="242" spans="1:17" ht="21.75" customHeight="1">
      <c r="A242" s="78"/>
      <c r="B242" s="79"/>
      <c r="C242" s="285" t="s">
        <v>1406</v>
      </c>
      <c r="D242" s="106">
        <v>1</v>
      </c>
      <c r="E242" s="106" t="s">
        <v>1472</v>
      </c>
      <c r="F242" s="344">
        <v>1</v>
      </c>
      <c r="G242" s="226">
        <v>3.6</v>
      </c>
      <c r="H242" s="226">
        <v>1.8</v>
      </c>
      <c r="I242" s="226"/>
      <c r="J242" s="226">
        <f>FLOOR(D242*F242*G242*H242,0.01)</f>
        <v>6.48</v>
      </c>
      <c r="K242" s="102"/>
      <c r="L242" s="39"/>
      <c r="M242" s="39"/>
      <c r="N242" s="103"/>
      <c r="O242" s="104"/>
      <c r="P242" s="105"/>
      <c r="Q242" s="105"/>
    </row>
    <row r="243" spans="1:17" ht="21.75" customHeight="1">
      <c r="A243" s="78"/>
      <c r="B243" s="79"/>
      <c r="C243" s="100"/>
      <c r="D243" s="87"/>
      <c r="E243" s="87"/>
      <c r="F243" s="87"/>
      <c r="G243" s="88"/>
      <c r="H243" s="88"/>
      <c r="I243" s="88"/>
      <c r="J243" s="92">
        <f>SUM(J242:J242)</f>
        <v>6.48</v>
      </c>
      <c r="K243" s="82"/>
      <c r="L243" s="222"/>
      <c r="M243" s="222"/>
      <c r="N243" s="83"/>
      <c r="O243" s="89"/>
      <c r="P243" s="88"/>
      <c r="Q243" s="92"/>
    </row>
    <row r="244" spans="1:17" ht="21.75" customHeight="1">
      <c r="A244" s="78"/>
      <c r="B244" s="79"/>
      <c r="C244" s="100"/>
      <c r="D244" s="87"/>
      <c r="E244" s="87"/>
      <c r="F244" s="87"/>
      <c r="G244" s="88"/>
      <c r="H244" s="88"/>
      <c r="I244" s="88"/>
      <c r="J244" s="88" t="s">
        <v>987</v>
      </c>
      <c r="K244" s="82"/>
      <c r="L244" s="222"/>
      <c r="M244" s="222"/>
      <c r="N244" s="83"/>
      <c r="O244" s="89"/>
      <c r="P244" s="88"/>
      <c r="Q244" s="88"/>
    </row>
    <row r="245" spans="1:17" s="378" customFormat="1">
      <c r="A245" s="383"/>
      <c r="B245" s="376" t="s">
        <v>1371</v>
      </c>
      <c r="C245" s="2763"/>
      <c r="D245" s="2763"/>
      <c r="E245" s="2763"/>
      <c r="F245" s="2763"/>
      <c r="G245" s="2763"/>
      <c r="H245" s="2763"/>
      <c r="I245" s="2763"/>
      <c r="J245" s="92">
        <f>J243</f>
        <v>6.48</v>
      </c>
      <c r="K245" s="338">
        <f>Datas!E483</f>
        <v>16798.97</v>
      </c>
      <c r="L245" s="222"/>
      <c r="M245" s="375">
        <f>ROUND(K245*J245/10,0)</f>
        <v>10886</v>
      </c>
      <c r="N245" s="403">
        <f>SUM(L245:M245)</f>
        <v>10886</v>
      </c>
      <c r="O245" s="236">
        <f>63*0.1</f>
        <v>6.3000000000000007</v>
      </c>
      <c r="P245" s="377">
        <f>ROUND(O245*J245,2)</f>
        <v>40.82</v>
      </c>
      <c r="Q245" s="236"/>
    </row>
    <row r="246" spans="1:17" ht="21.75" customHeight="1">
      <c r="A246" s="115"/>
      <c r="J246" s="88" t="str">
        <f>J244</f>
        <v>sqm</v>
      </c>
      <c r="K246" s="82" t="s">
        <v>672</v>
      </c>
      <c r="L246" s="222"/>
      <c r="M246" s="225"/>
      <c r="N246" s="93"/>
      <c r="O246" s="96"/>
      <c r="P246" s="92"/>
      <c r="Q246" s="88"/>
    </row>
    <row r="247" spans="1:17" ht="24.9" customHeight="1">
      <c r="A247" s="78" t="s">
        <v>1409</v>
      </c>
      <c r="B247" s="79"/>
      <c r="C247" s="2767" t="s">
        <v>449</v>
      </c>
      <c r="D247" s="2768"/>
      <c r="E247" s="2768"/>
      <c r="F247" s="2768"/>
      <c r="G247" s="2768"/>
      <c r="H247" s="2768"/>
      <c r="I247" s="2769"/>
      <c r="J247" s="88"/>
      <c r="K247" s="82"/>
      <c r="L247" s="222"/>
      <c r="M247" s="222"/>
      <c r="N247" s="83"/>
      <c r="O247" s="89"/>
      <c r="P247" s="88"/>
      <c r="Q247" s="88"/>
    </row>
    <row r="248" spans="1:17" ht="24.9" customHeight="1">
      <c r="A248" s="78"/>
      <c r="B248" s="79"/>
      <c r="C248" s="253" t="s">
        <v>137</v>
      </c>
      <c r="D248" s="87">
        <v>1</v>
      </c>
      <c r="E248" s="87" t="s">
        <v>1472</v>
      </c>
      <c r="F248" s="87">
        <v>1</v>
      </c>
      <c r="G248" s="88">
        <f>3.3*4+0.3</f>
        <v>13.5</v>
      </c>
      <c r="H248" s="248">
        <f>8.175</f>
        <v>8.1750000000000007</v>
      </c>
      <c r="I248" s="88"/>
      <c r="J248" s="88">
        <f>ROUND(D248*F248*G248*H248,2)</f>
        <v>110.36</v>
      </c>
      <c r="K248" s="102"/>
      <c r="L248" s="39"/>
      <c r="M248" s="39"/>
      <c r="N248" s="103"/>
      <c r="O248" s="104"/>
      <c r="P248" s="105"/>
      <c r="Q248" s="105"/>
    </row>
    <row r="249" spans="1:17" ht="24.9" customHeight="1">
      <c r="A249" s="78"/>
      <c r="B249" s="79"/>
      <c r="C249" s="253" t="s">
        <v>436</v>
      </c>
      <c r="D249" s="87">
        <v>1</v>
      </c>
      <c r="E249" s="87" t="s">
        <v>1472</v>
      </c>
      <c r="F249" s="87">
        <v>-1</v>
      </c>
      <c r="G249" s="88">
        <f>3.108</f>
        <v>3.1080000000000001</v>
      </c>
      <c r="H249" s="248">
        <v>3</v>
      </c>
      <c r="I249" s="88"/>
      <c r="J249" s="88">
        <f>ROUND(D249*F249*G249*H249,2)</f>
        <v>-9.32</v>
      </c>
      <c r="K249" s="102"/>
      <c r="L249" s="39"/>
      <c r="M249" s="39"/>
      <c r="N249" s="103"/>
      <c r="O249" s="104"/>
      <c r="P249" s="105"/>
      <c r="Q249" s="105"/>
    </row>
    <row r="250" spans="1:17" ht="24.9" customHeight="1">
      <c r="A250" s="78"/>
      <c r="B250" s="79"/>
      <c r="C250" s="253" t="s">
        <v>138</v>
      </c>
      <c r="D250" s="87">
        <v>1</v>
      </c>
      <c r="E250" s="87" t="s">
        <v>1472</v>
      </c>
      <c r="F250" s="87">
        <v>-1</v>
      </c>
      <c r="G250" s="88">
        <v>3.3</v>
      </c>
      <c r="H250" s="248">
        <v>3</v>
      </c>
      <c r="I250" s="88"/>
      <c r="J250" s="88">
        <f>ROUND(D250*F250*G250*H250,2)</f>
        <v>-9.9</v>
      </c>
      <c r="K250" s="102"/>
      <c r="L250" s="39"/>
      <c r="M250" s="39"/>
      <c r="N250" s="103"/>
      <c r="O250" s="104"/>
      <c r="P250" s="105"/>
      <c r="Q250" s="105"/>
    </row>
    <row r="251" spans="1:17" ht="21.75" customHeight="1">
      <c r="A251" s="78"/>
      <c r="B251" s="79"/>
      <c r="C251" s="100"/>
      <c r="D251" s="87"/>
      <c r="E251" s="87"/>
      <c r="F251" s="87"/>
      <c r="G251" s="88"/>
      <c r="H251" s="88"/>
      <c r="I251" s="88"/>
      <c r="J251" s="92">
        <f>SUM(J248:J250)</f>
        <v>91.139999999999986</v>
      </c>
      <c r="K251" s="82"/>
      <c r="L251" s="222"/>
      <c r="M251" s="222"/>
      <c r="N251" s="83"/>
      <c r="O251" s="89"/>
      <c r="P251" s="88"/>
      <c r="Q251" s="92"/>
    </row>
    <row r="252" spans="1:17" ht="21.75" customHeight="1">
      <c r="A252" s="78"/>
      <c r="B252" s="79"/>
      <c r="C252" s="100"/>
      <c r="D252" s="87"/>
      <c r="E252" s="87"/>
      <c r="F252" s="87"/>
      <c r="G252" s="88"/>
      <c r="H252" s="88"/>
      <c r="I252" s="88"/>
      <c r="J252" s="88" t="s">
        <v>987</v>
      </c>
      <c r="K252" s="82"/>
      <c r="L252" s="222"/>
      <c r="M252" s="222"/>
      <c r="N252" s="83"/>
      <c r="O252" s="89"/>
      <c r="P252" s="88"/>
      <c r="Q252" s="88"/>
    </row>
    <row r="253" spans="1:17" s="378" customFormat="1">
      <c r="A253" s="383"/>
      <c r="B253" s="376" t="s">
        <v>1369</v>
      </c>
      <c r="C253" s="2763"/>
      <c r="D253" s="2763"/>
      <c r="E253" s="2763"/>
      <c r="F253" s="2763"/>
      <c r="G253" s="2763"/>
      <c r="H253" s="2763"/>
      <c r="I253" s="2763"/>
      <c r="J253" s="92">
        <f>J251</f>
        <v>91.139999999999986</v>
      </c>
      <c r="K253" s="338">
        <f>Datas!F451</f>
        <v>13325.921000000002</v>
      </c>
      <c r="L253" s="222"/>
      <c r="M253" s="375">
        <f>ROUND(K253*J253/10,0)</f>
        <v>121452</v>
      </c>
      <c r="N253" s="403">
        <f>SUM(L253:M253)</f>
        <v>121452</v>
      </c>
      <c r="O253" s="236">
        <f>63*0.125</f>
        <v>7.875</v>
      </c>
      <c r="P253" s="377">
        <f>ROUND(O253*J253,2)</f>
        <v>717.73</v>
      </c>
      <c r="Q253" s="236"/>
    </row>
    <row r="254" spans="1:17" ht="21.75" customHeight="1">
      <c r="A254" s="115"/>
      <c r="J254" s="88" t="str">
        <f>J252</f>
        <v>sqm</v>
      </c>
      <c r="K254" s="82" t="s">
        <v>672</v>
      </c>
      <c r="L254" s="222"/>
      <c r="M254" s="225"/>
      <c r="N254" s="93"/>
      <c r="O254" s="96"/>
      <c r="P254" s="92"/>
      <c r="Q254" s="88"/>
    </row>
    <row r="255" spans="1:17" ht="24.9" customHeight="1">
      <c r="A255" s="78"/>
      <c r="B255" s="79"/>
      <c r="C255" s="2767" t="s">
        <v>1236</v>
      </c>
      <c r="D255" s="2768"/>
      <c r="E255" s="2768"/>
      <c r="F255" s="2768"/>
      <c r="G255" s="2768"/>
      <c r="H255" s="2768"/>
      <c r="I255" s="2769"/>
      <c r="J255" s="88"/>
      <c r="K255" s="82"/>
      <c r="L255" s="222"/>
      <c r="M255" s="222"/>
      <c r="N255" s="83"/>
      <c r="O255" s="89"/>
      <c r="P255" s="88"/>
      <c r="Q255" s="88"/>
    </row>
    <row r="256" spans="1:17" ht="21.75" customHeight="1">
      <c r="A256" s="78"/>
      <c r="B256" s="79"/>
      <c r="C256" s="285" t="s">
        <v>1408</v>
      </c>
      <c r="D256" s="106">
        <v>1</v>
      </c>
      <c r="E256" s="106" t="s">
        <v>1472</v>
      </c>
      <c r="F256" s="344">
        <v>1</v>
      </c>
      <c r="G256" s="226">
        <f>0.3+0.15+3+0.23+1.5+0.23</f>
        <v>5.41</v>
      </c>
      <c r="H256" s="226">
        <f>3.3+0.23+0.15</f>
        <v>3.6799999999999997</v>
      </c>
      <c r="I256" s="226"/>
      <c r="J256" s="226">
        <f>FLOOR(D256*F256*G256*H256,0.01)</f>
        <v>19.900000000000002</v>
      </c>
      <c r="K256" s="102"/>
      <c r="L256" s="39"/>
      <c r="M256" s="39"/>
      <c r="N256" s="103"/>
      <c r="O256" s="104"/>
      <c r="P256" s="105"/>
      <c r="Q256" s="105"/>
    </row>
    <row r="257" spans="1:17" ht="21.75" customHeight="1">
      <c r="A257" s="78"/>
      <c r="B257" s="79"/>
      <c r="C257" s="100"/>
      <c r="D257" s="87"/>
      <c r="E257" s="87"/>
      <c r="F257" s="87"/>
      <c r="G257" s="88"/>
      <c r="H257" s="88"/>
      <c r="I257" s="88"/>
      <c r="J257" s="92">
        <f>J256</f>
        <v>19.900000000000002</v>
      </c>
      <c r="K257" s="82"/>
      <c r="L257" s="222"/>
      <c r="M257" s="222"/>
      <c r="N257" s="83"/>
      <c r="O257" s="89"/>
      <c r="P257" s="88"/>
      <c r="Q257" s="92"/>
    </row>
    <row r="258" spans="1:17" ht="21.75" customHeight="1">
      <c r="A258" s="78"/>
      <c r="B258" s="79"/>
      <c r="C258" s="100"/>
      <c r="D258" s="87"/>
      <c r="E258" s="87"/>
      <c r="F258" s="87"/>
      <c r="G258" s="88"/>
      <c r="H258" s="88"/>
      <c r="I258" s="88"/>
      <c r="J258" s="88" t="s">
        <v>987</v>
      </c>
      <c r="K258" s="82"/>
      <c r="L258" s="222"/>
      <c r="M258" s="222"/>
      <c r="N258" s="83"/>
      <c r="O258" s="89"/>
      <c r="P258" s="88"/>
      <c r="Q258" s="88"/>
    </row>
    <row r="259" spans="1:17" s="378" customFormat="1">
      <c r="A259" s="383"/>
      <c r="B259" s="376" t="s">
        <v>1370</v>
      </c>
      <c r="C259" s="2763"/>
      <c r="D259" s="2763"/>
      <c r="E259" s="2763"/>
      <c r="F259" s="2763"/>
      <c r="G259" s="2763"/>
      <c r="H259" s="2763"/>
      <c r="I259" s="2763"/>
      <c r="J259" s="92">
        <f>J257</f>
        <v>19.900000000000002</v>
      </c>
      <c r="K259" s="338">
        <f>Datas!G483</f>
        <v>18063.872000000003</v>
      </c>
      <c r="L259" s="222"/>
      <c r="M259" s="375">
        <f>ROUND(K259*J259/10,0)</f>
        <v>35947</v>
      </c>
      <c r="N259" s="403">
        <f>SUM(L259:M259)</f>
        <v>35947</v>
      </c>
      <c r="O259" s="236">
        <f>63*0.1</f>
        <v>6.3000000000000007</v>
      </c>
      <c r="P259" s="377">
        <f>ROUND(O259*J259,2)</f>
        <v>125.37</v>
      </c>
      <c r="Q259" s="236"/>
    </row>
    <row r="260" spans="1:17" ht="21.75" customHeight="1">
      <c r="A260" s="115"/>
      <c r="J260" s="88" t="str">
        <f>J258</f>
        <v>sqm</v>
      </c>
      <c r="K260" s="82" t="s">
        <v>672</v>
      </c>
      <c r="L260" s="222"/>
      <c r="M260" s="225"/>
      <c r="N260" s="93"/>
      <c r="O260" s="96"/>
      <c r="P260" s="92"/>
      <c r="Q260" s="88"/>
    </row>
    <row r="261" spans="1:17" ht="24.9" customHeight="1">
      <c r="A261" s="78" t="s">
        <v>127</v>
      </c>
      <c r="B261" s="79"/>
      <c r="C261" s="2767" t="s">
        <v>128</v>
      </c>
      <c r="D261" s="2768"/>
      <c r="E261" s="2768"/>
      <c r="F261" s="2768"/>
      <c r="G261" s="2768"/>
      <c r="H261" s="2768"/>
      <c r="I261" s="2769"/>
      <c r="J261" s="88"/>
      <c r="K261" s="82"/>
      <c r="L261" s="222"/>
      <c r="M261" s="222"/>
      <c r="N261" s="83"/>
      <c r="O261" s="89"/>
      <c r="P261" s="88"/>
      <c r="Q261" s="88"/>
    </row>
    <row r="262" spans="1:17" ht="21.75" customHeight="1">
      <c r="A262" s="78"/>
      <c r="B262" s="79"/>
      <c r="C262" s="285" t="s">
        <v>124</v>
      </c>
      <c r="D262" s="106">
        <v>1</v>
      </c>
      <c r="E262" s="106" t="s">
        <v>1472</v>
      </c>
      <c r="F262" s="344">
        <v>1</v>
      </c>
      <c r="G262" s="226">
        <f>SQRT(3.108^2+1.65^2)</f>
        <v>3.5188299191634713</v>
      </c>
      <c r="H262" s="226">
        <v>1.2749999999999999</v>
      </c>
      <c r="I262" s="226"/>
      <c r="J262" s="226">
        <f>FLOOR(D262*F262*G262*H262,0.01)</f>
        <v>4.4800000000000004</v>
      </c>
      <c r="K262" s="102"/>
      <c r="L262" s="39"/>
      <c r="M262" s="39"/>
      <c r="N262" s="103"/>
      <c r="O262" s="104"/>
      <c r="P262" s="105"/>
      <c r="Q262" s="105"/>
    </row>
    <row r="263" spans="1:17" ht="21.75" customHeight="1">
      <c r="A263" s="78"/>
      <c r="B263" s="79"/>
      <c r="C263" s="285" t="s">
        <v>125</v>
      </c>
      <c r="D263" s="106">
        <v>1</v>
      </c>
      <c r="E263" s="106" t="s">
        <v>1472</v>
      </c>
      <c r="F263" s="344">
        <v>1</v>
      </c>
      <c r="G263" s="226">
        <f>3.3-0.3</f>
        <v>3</v>
      </c>
      <c r="H263" s="226">
        <v>1.5</v>
      </c>
      <c r="I263" s="226"/>
      <c r="J263" s="226">
        <f>FLOOR(D263*F263*G263*H263,0.01)</f>
        <v>4.5</v>
      </c>
      <c r="K263" s="102"/>
      <c r="L263" s="39"/>
      <c r="M263" s="39"/>
      <c r="N263" s="103"/>
      <c r="O263" s="104"/>
      <c r="P263" s="105"/>
      <c r="Q263" s="105"/>
    </row>
    <row r="264" spans="1:17" ht="21.75" customHeight="1">
      <c r="A264" s="78"/>
      <c r="B264" s="79"/>
      <c r="C264" s="285" t="s">
        <v>124</v>
      </c>
      <c r="D264" s="106">
        <v>1</v>
      </c>
      <c r="E264" s="106" t="s">
        <v>1472</v>
      </c>
      <c r="F264" s="344">
        <v>1</v>
      </c>
      <c r="G264" s="226">
        <v>3.52</v>
      </c>
      <c r="H264" s="226">
        <v>1.28</v>
      </c>
      <c r="I264" s="226"/>
      <c r="J264" s="226">
        <f>FLOOR(D264*F264*G264*H264,0.01)</f>
        <v>4.5</v>
      </c>
      <c r="K264" s="102"/>
      <c r="L264" s="39"/>
      <c r="M264" s="39"/>
      <c r="N264" s="103"/>
      <c r="O264" s="104"/>
      <c r="P264" s="105"/>
      <c r="Q264" s="105"/>
    </row>
    <row r="265" spans="1:17" ht="21.75" customHeight="1">
      <c r="A265" s="78"/>
      <c r="B265" s="79"/>
      <c r="C265" s="100"/>
      <c r="D265" s="87"/>
      <c r="E265" s="87"/>
      <c r="F265" s="87"/>
      <c r="G265" s="88"/>
      <c r="H265" s="88"/>
      <c r="I265" s="88"/>
      <c r="J265" s="92">
        <f>SUM(J262:J264)</f>
        <v>13.48</v>
      </c>
      <c r="K265" s="82"/>
      <c r="L265" s="222"/>
      <c r="M265" s="222"/>
      <c r="N265" s="83"/>
      <c r="O265" s="89"/>
      <c r="P265" s="88"/>
      <c r="Q265" s="92"/>
    </row>
    <row r="266" spans="1:17" ht="21.75" customHeight="1">
      <c r="A266" s="78"/>
      <c r="B266" s="79"/>
      <c r="C266" s="100"/>
      <c r="D266" s="87"/>
      <c r="E266" s="87"/>
      <c r="F266" s="87"/>
      <c r="G266" s="88"/>
      <c r="H266" s="88"/>
      <c r="I266" s="88"/>
      <c r="J266" s="88" t="s">
        <v>987</v>
      </c>
      <c r="K266" s="82"/>
      <c r="L266" s="222"/>
      <c r="M266" s="222"/>
      <c r="N266" s="83"/>
      <c r="O266" s="89"/>
      <c r="P266" s="88"/>
      <c r="Q266" s="88"/>
    </row>
    <row r="267" spans="1:17" s="378" customFormat="1">
      <c r="A267" s="383"/>
      <c r="B267" s="376" t="s">
        <v>1372</v>
      </c>
      <c r="C267" s="2763"/>
      <c r="D267" s="2763"/>
      <c r="E267" s="2763"/>
      <c r="F267" s="2763"/>
      <c r="G267" s="2763"/>
      <c r="H267" s="2763"/>
      <c r="I267" s="2763"/>
      <c r="J267" s="92">
        <f>J265</f>
        <v>13.48</v>
      </c>
      <c r="K267" s="338">
        <f>Datas!E467</f>
        <v>13463.55</v>
      </c>
      <c r="L267" s="222"/>
      <c r="M267" s="375">
        <f>ROUND(K267*J267/10,0)</f>
        <v>18149</v>
      </c>
      <c r="N267" s="403">
        <f>SUM(L267:M267)</f>
        <v>18149</v>
      </c>
      <c r="O267" s="236">
        <f>63*0.175</f>
        <v>11.024999999999999</v>
      </c>
      <c r="P267" s="377">
        <f>ROUND(O267*J267,2)</f>
        <v>148.62</v>
      </c>
      <c r="Q267" s="236"/>
    </row>
    <row r="268" spans="1:17" ht="21.75" customHeight="1">
      <c r="A268" s="115"/>
      <c r="J268" s="88" t="str">
        <f>J266</f>
        <v>sqm</v>
      </c>
      <c r="K268" s="82" t="s">
        <v>672</v>
      </c>
      <c r="L268" s="222"/>
      <c r="M268" s="225"/>
      <c r="N268" s="93"/>
      <c r="O268" s="96"/>
      <c r="P268" s="92"/>
      <c r="Q268" s="88"/>
    </row>
    <row r="269" spans="1:17" ht="24.9" customHeight="1">
      <c r="A269" s="78"/>
      <c r="B269" s="79"/>
      <c r="C269" s="2767" t="s">
        <v>637</v>
      </c>
      <c r="D269" s="2768"/>
      <c r="E269" s="2768"/>
      <c r="F269" s="2768"/>
      <c r="G269" s="2768"/>
      <c r="H269" s="2768"/>
      <c r="I269" s="2769"/>
      <c r="J269" s="88"/>
      <c r="K269" s="82"/>
      <c r="L269" s="222"/>
      <c r="M269" s="222"/>
      <c r="N269" s="83"/>
      <c r="O269" s="89"/>
      <c r="P269" s="88"/>
      <c r="Q269" s="88"/>
    </row>
    <row r="270" spans="1:17" ht="21.75" customHeight="1">
      <c r="A270" s="78"/>
      <c r="B270" s="79"/>
      <c r="C270" s="285" t="s">
        <v>124</v>
      </c>
      <c r="D270" s="106">
        <v>1</v>
      </c>
      <c r="E270" s="106" t="s">
        <v>1472</v>
      </c>
      <c r="F270" s="344">
        <v>1</v>
      </c>
      <c r="G270" s="226">
        <f>SQRT(3.108^2+1.65^2)</f>
        <v>3.5188299191634713</v>
      </c>
      <c r="H270" s="226">
        <v>1.2749999999999999</v>
      </c>
      <c r="I270" s="226"/>
      <c r="J270" s="226">
        <f>FLOOR(D270*F270*G270*H270,0.01)</f>
        <v>4.4800000000000004</v>
      </c>
      <c r="K270" s="102"/>
      <c r="L270" s="39"/>
      <c r="M270" s="39"/>
      <c r="N270" s="103"/>
      <c r="O270" s="104"/>
      <c r="P270" s="105"/>
      <c r="Q270" s="105"/>
    </row>
    <row r="271" spans="1:17" ht="21.75" customHeight="1">
      <c r="A271" s="78"/>
      <c r="B271" s="79"/>
      <c r="C271" s="285" t="s">
        <v>125</v>
      </c>
      <c r="D271" s="106">
        <v>1</v>
      </c>
      <c r="E271" s="106" t="s">
        <v>1472</v>
      </c>
      <c r="F271" s="344">
        <v>1</v>
      </c>
      <c r="G271" s="226">
        <f>3.3-0.3</f>
        <v>3</v>
      </c>
      <c r="H271" s="226">
        <v>1.5</v>
      </c>
      <c r="I271" s="226"/>
      <c r="J271" s="226">
        <f>FLOOR(D271*F271*G271*H271,0.01)</f>
        <v>4.5</v>
      </c>
      <c r="K271" s="102"/>
      <c r="L271" s="39"/>
      <c r="M271" s="39"/>
      <c r="N271" s="103"/>
      <c r="O271" s="104"/>
      <c r="P271" s="105"/>
      <c r="Q271" s="105"/>
    </row>
    <row r="272" spans="1:17" ht="21.75" customHeight="1">
      <c r="A272" s="78"/>
      <c r="B272" s="79"/>
      <c r="C272" s="285" t="s">
        <v>124</v>
      </c>
      <c r="D272" s="106">
        <v>1</v>
      </c>
      <c r="E272" s="106" t="s">
        <v>1472</v>
      </c>
      <c r="F272" s="344">
        <v>1</v>
      </c>
      <c r="G272" s="226">
        <v>3.52</v>
      </c>
      <c r="H272" s="226">
        <v>1.28</v>
      </c>
      <c r="I272" s="226"/>
      <c r="J272" s="226">
        <f>FLOOR(D272*F272*G272*H272,0.01)</f>
        <v>4.5</v>
      </c>
      <c r="K272" s="102"/>
      <c r="L272" s="39"/>
      <c r="M272" s="39"/>
      <c r="N272" s="103"/>
      <c r="O272" s="104"/>
      <c r="P272" s="105"/>
      <c r="Q272" s="105"/>
    </row>
    <row r="273" spans="1:17" ht="21.75" customHeight="1">
      <c r="A273" s="78"/>
      <c r="B273" s="79"/>
      <c r="C273" s="100"/>
      <c r="D273" s="87"/>
      <c r="E273" s="87"/>
      <c r="F273" s="87"/>
      <c r="G273" s="88"/>
      <c r="H273" s="88"/>
      <c r="I273" s="88"/>
      <c r="J273" s="92">
        <f>SUM(J270:J272)</f>
        <v>13.48</v>
      </c>
      <c r="K273" s="82"/>
      <c r="L273" s="222"/>
      <c r="M273" s="222"/>
      <c r="N273" s="83"/>
      <c r="O273" s="89"/>
      <c r="P273" s="88"/>
      <c r="Q273" s="92"/>
    </row>
    <row r="274" spans="1:17" ht="21.75" customHeight="1">
      <c r="A274" s="78"/>
      <c r="B274" s="79"/>
      <c r="C274" s="100"/>
      <c r="D274" s="87"/>
      <c r="E274" s="87"/>
      <c r="F274" s="87"/>
      <c r="G274" s="88"/>
      <c r="H274" s="88"/>
      <c r="I274" s="88"/>
      <c r="J274" s="88" t="s">
        <v>987</v>
      </c>
      <c r="K274" s="82"/>
      <c r="L274" s="222"/>
      <c r="M274" s="222"/>
      <c r="N274" s="83"/>
      <c r="O274" s="89"/>
      <c r="P274" s="88"/>
      <c r="Q274" s="88"/>
    </row>
    <row r="275" spans="1:17" s="378" customFormat="1">
      <c r="A275" s="383"/>
      <c r="B275" s="376" t="s">
        <v>1373</v>
      </c>
      <c r="C275" s="2763"/>
      <c r="D275" s="2763"/>
      <c r="E275" s="2763"/>
      <c r="F275" s="2763"/>
      <c r="G275" s="2763"/>
      <c r="H275" s="2763"/>
      <c r="I275" s="2763"/>
      <c r="J275" s="92">
        <f>J273</f>
        <v>13.48</v>
      </c>
      <c r="K275" s="338">
        <f>Datas!F467</f>
        <v>13931.001</v>
      </c>
      <c r="L275" s="222"/>
      <c r="M275" s="375">
        <f>ROUND(K275*J275/10,0)</f>
        <v>18779</v>
      </c>
      <c r="N275" s="403">
        <f>SUM(L275:M275)</f>
        <v>18779</v>
      </c>
      <c r="O275" s="236">
        <f>63*0.175</f>
        <v>11.024999999999999</v>
      </c>
      <c r="P275" s="377">
        <f>ROUND(O275*J275,2)</f>
        <v>148.62</v>
      </c>
      <c r="Q275" s="236"/>
    </row>
    <row r="276" spans="1:17" ht="21.75" customHeight="1">
      <c r="A276" s="115"/>
      <c r="J276" s="88" t="str">
        <f>J274</f>
        <v>sqm</v>
      </c>
      <c r="K276" s="82" t="s">
        <v>672</v>
      </c>
      <c r="L276" s="222"/>
      <c r="M276" s="225"/>
      <c r="N276" s="93"/>
      <c r="O276" s="96"/>
      <c r="P276" s="92"/>
      <c r="Q276" s="88"/>
    </row>
    <row r="277" spans="1:17" ht="165" customHeight="1">
      <c r="A277" s="78">
        <v>8</v>
      </c>
      <c r="B277" s="79"/>
      <c r="C277" s="2783" t="s">
        <v>257</v>
      </c>
      <c r="D277" s="2784"/>
      <c r="E277" s="2784"/>
      <c r="F277" s="2784"/>
      <c r="G277" s="2784"/>
      <c r="H277" s="2784"/>
      <c r="I277" s="2784"/>
      <c r="J277" s="2785"/>
      <c r="K277" s="82"/>
      <c r="L277" s="222"/>
      <c r="M277" s="222"/>
      <c r="N277" s="83"/>
      <c r="O277" s="89"/>
      <c r="P277" s="88"/>
      <c r="Q277" s="88"/>
    </row>
    <row r="278" spans="1:17" ht="21.75" customHeight="1">
      <c r="A278" s="78"/>
      <c r="B278" s="79"/>
      <c r="C278" s="256" t="s">
        <v>673</v>
      </c>
      <c r="D278" s="87"/>
      <c r="E278" s="87"/>
      <c r="F278" s="87"/>
      <c r="G278" s="88"/>
      <c r="H278" s="88"/>
      <c r="I278" s="88"/>
      <c r="J278" s="88"/>
      <c r="K278" s="82"/>
      <c r="L278" s="222"/>
      <c r="M278" s="222"/>
      <c r="N278" s="83"/>
      <c r="O278" s="89"/>
      <c r="P278" s="88"/>
      <c r="Q278" s="88"/>
    </row>
    <row r="279" spans="1:17" ht="21.75" customHeight="1">
      <c r="A279" s="78"/>
      <c r="B279" s="79"/>
      <c r="C279" s="254" t="s">
        <v>247</v>
      </c>
      <c r="D279" s="87">
        <v>1</v>
      </c>
      <c r="E279" s="87" t="s">
        <v>1472</v>
      </c>
      <c r="F279" s="87">
        <f>1+1</f>
        <v>2</v>
      </c>
      <c r="G279" s="88">
        <v>1.6</v>
      </c>
      <c r="H279" s="88">
        <v>0.23</v>
      </c>
      <c r="I279" s="88">
        <v>0.15</v>
      </c>
      <c r="J279" s="88">
        <f t="shared" ref="J279:J287" si="12">ROUND(D279*F279*G279*H279*I279,2)</f>
        <v>0.11</v>
      </c>
      <c r="K279" s="82"/>
      <c r="L279" s="222"/>
      <c r="M279" s="222"/>
      <c r="N279" s="83"/>
      <c r="O279" s="89"/>
      <c r="P279" s="88"/>
      <c r="Q279" s="88"/>
    </row>
    <row r="280" spans="1:17" ht="21.75" customHeight="1">
      <c r="A280" s="78"/>
      <c r="B280" s="79"/>
      <c r="C280" s="254" t="s">
        <v>250</v>
      </c>
      <c r="D280" s="87">
        <v>1</v>
      </c>
      <c r="E280" s="87" t="s">
        <v>1472</v>
      </c>
      <c r="F280" s="87">
        <v>1</v>
      </c>
      <c r="G280" s="88">
        <v>1.6</v>
      </c>
      <c r="H280" s="88">
        <v>0.23</v>
      </c>
      <c r="I280" s="88">
        <v>0.15</v>
      </c>
      <c r="J280" s="88">
        <f t="shared" si="12"/>
        <v>0.06</v>
      </c>
      <c r="K280" s="82"/>
      <c r="L280" s="222"/>
      <c r="M280" s="222"/>
      <c r="N280" s="83"/>
      <c r="O280" s="89"/>
      <c r="P280" s="88"/>
      <c r="Q280" s="88"/>
    </row>
    <row r="281" spans="1:17" ht="21.75" customHeight="1">
      <c r="A281" s="78"/>
      <c r="B281" s="79"/>
      <c r="C281" s="254" t="s">
        <v>248</v>
      </c>
      <c r="D281" s="87">
        <v>1</v>
      </c>
      <c r="E281" s="87" t="s">
        <v>1472</v>
      </c>
      <c r="F281" s="87">
        <v>4</v>
      </c>
      <c r="G281" s="88">
        <v>1.3</v>
      </c>
      <c r="H281" s="88">
        <v>0.23</v>
      </c>
      <c r="I281" s="88">
        <v>0.15</v>
      </c>
      <c r="J281" s="88">
        <f t="shared" si="12"/>
        <v>0.18</v>
      </c>
      <c r="K281" s="82"/>
      <c r="L281" s="222"/>
      <c r="M281" s="222"/>
      <c r="N281" s="83"/>
      <c r="O281" s="89"/>
      <c r="P281" s="88"/>
      <c r="Q281" s="88"/>
    </row>
    <row r="282" spans="1:17" ht="21.75" customHeight="1">
      <c r="A282" s="78"/>
      <c r="B282" s="79"/>
      <c r="C282" s="254" t="s">
        <v>249</v>
      </c>
      <c r="D282" s="87">
        <v>1</v>
      </c>
      <c r="E282" s="87" t="s">
        <v>1472</v>
      </c>
      <c r="F282" s="87">
        <v>4</v>
      </c>
      <c r="G282" s="88">
        <f>0.75+0.4</f>
        <v>1.1499999999999999</v>
      </c>
      <c r="H282" s="88">
        <v>0.23</v>
      </c>
      <c r="I282" s="88">
        <v>0.15</v>
      </c>
      <c r="J282" s="88">
        <f t="shared" si="12"/>
        <v>0.16</v>
      </c>
      <c r="K282" s="82"/>
      <c r="L282" s="222"/>
      <c r="M282" s="222"/>
      <c r="N282" s="83"/>
      <c r="O282" s="89"/>
      <c r="P282" s="88"/>
      <c r="Q282" s="88"/>
    </row>
    <row r="283" spans="1:17" ht="24.9" customHeight="1">
      <c r="A283" s="78"/>
      <c r="B283" s="79"/>
      <c r="C283" s="254" t="s">
        <v>251</v>
      </c>
      <c r="D283" s="87">
        <v>1</v>
      </c>
      <c r="E283" s="87" t="s">
        <v>1472</v>
      </c>
      <c r="F283" s="87">
        <v>12</v>
      </c>
      <c r="G283" s="88">
        <f>1.75</f>
        <v>1.75</v>
      </c>
      <c r="H283" s="88">
        <v>0.23</v>
      </c>
      <c r="I283" s="88">
        <v>0.15</v>
      </c>
      <c r="J283" s="88">
        <f t="shared" si="12"/>
        <v>0.72</v>
      </c>
      <c r="K283" s="82"/>
      <c r="L283" s="222"/>
      <c r="M283" s="222"/>
      <c r="N283" s="83"/>
      <c r="O283" s="89"/>
      <c r="P283" s="88"/>
      <c r="Q283" s="88"/>
    </row>
    <row r="284" spans="1:17" ht="24.9" customHeight="1">
      <c r="A284" s="78"/>
      <c r="B284" s="79"/>
      <c r="C284" s="254" t="s">
        <v>1237</v>
      </c>
      <c r="D284" s="87">
        <v>1</v>
      </c>
      <c r="E284" s="87" t="s">
        <v>1472</v>
      </c>
      <c r="F284" s="87">
        <v>1</v>
      </c>
      <c r="G284" s="88">
        <v>2.2000000000000002</v>
      </c>
      <c r="H284" s="88">
        <v>0.23</v>
      </c>
      <c r="I284" s="88">
        <v>0.15</v>
      </c>
      <c r="J284" s="88">
        <f t="shared" si="12"/>
        <v>0.08</v>
      </c>
      <c r="K284" s="82"/>
      <c r="L284" s="222"/>
      <c r="M284" s="222"/>
      <c r="N284" s="83"/>
      <c r="O284" s="89"/>
      <c r="P284" s="88"/>
      <c r="Q284" s="88"/>
    </row>
    <row r="285" spans="1:17" ht="24.9" customHeight="1">
      <c r="A285" s="78"/>
      <c r="B285" s="79"/>
      <c r="C285" s="254" t="s">
        <v>1238</v>
      </c>
      <c r="D285" s="87">
        <v>1</v>
      </c>
      <c r="E285" s="87" t="s">
        <v>1472</v>
      </c>
      <c r="F285" s="87">
        <v>0</v>
      </c>
      <c r="G285" s="88">
        <v>1.3</v>
      </c>
      <c r="H285" s="88">
        <v>0.23</v>
      </c>
      <c r="I285" s="88">
        <v>0.15</v>
      </c>
      <c r="J285" s="88">
        <f t="shared" si="12"/>
        <v>0</v>
      </c>
      <c r="K285" s="82"/>
      <c r="L285" s="222"/>
      <c r="M285" s="222"/>
      <c r="N285" s="83"/>
      <c r="O285" s="89"/>
      <c r="P285" s="88"/>
      <c r="Q285" s="88"/>
    </row>
    <row r="286" spans="1:17" ht="24.9" customHeight="1">
      <c r="A286" s="78"/>
      <c r="B286" s="79"/>
      <c r="C286" s="254" t="s">
        <v>1239</v>
      </c>
      <c r="D286" s="87">
        <v>1</v>
      </c>
      <c r="E286" s="87" t="s">
        <v>1472</v>
      </c>
      <c r="F286" s="87">
        <v>2</v>
      </c>
      <c r="G286" s="88">
        <v>1</v>
      </c>
      <c r="H286" s="88">
        <v>0.23</v>
      </c>
      <c r="I286" s="88">
        <v>0.1</v>
      </c>
      <c r="J286" s="88">
        <f t="shared" si="12"/>
        <v>0.05</v>
      </c>
      <c r="K286" s="82"/>
      <c r="L286" s="222"/>
      <c r="M286" s="222"/>
      <c r="N286" s="83"/>
      <c r="O286" s="89"/>
      <c r="P286" s="88"/>
      <c r="Q286" s="88"/>
    </row>
    <row r="287" spans="1:17" ht="24.9" customHeight="1">
      <c r="A287" s="78"/>
      <c r="B287" s="79"/>
      <c r="C287" s="254" t="s">
        <v>1240</v>
      </c>
      <c r="D287" s="87">
        <v>1</v>
      </c>
      <c r="E287" s="87" t="s">
        <v>1472</v>
      </c>
      <c r="F287" s="87">
        <v>2</v>
      </c>
      <c r="G287" s="88">
        <v>1</v>
      </c>
      <c r="H287" s="88">
        <v>0.23</v>
      </c>
      <c r="I287" s="88">
        <v>0.1</v>
      </c>
      <c r="J287" s="88">
        <f t="shared" si="12"/>
        <v>0.05</v>
      </c>
      <c r="K287" s="82"/>
      <c r="L287" s="222"/>
      <c r="M287" s="222"/>
      <c r="N287" s="83"/>
      <c r="O287" s="89"/>
      <c r="P287" s="88"/>
      <c r="Q287" s="88"/>
    </row>
    <row r="288" spans="1:17" ht="21.75" customHeight="1">
      <c r="A288" s="78"/>
      <c r="B288" s="79"/>
      <c r="C288" s="63"/>
      <c r="D288" s="87"/>
      <c r="E288" s="87"/>
      <c r="F288" s="87"/>
      <c r="G288" s="88"/>
      <c r="H288" s="88"/>
      <c r="I288" s="88"/>
      <c r="J288" s="92">
        <f>SUM(J279:J287)</f>
        <v>1.4100000000000001</v>
      </c>
      <c r="K288" s="82"/>
      <c r="L288" s="222"/>
      <c r="M288" s="222"/>
      <c r="N288" s="83"/>
      <c r="O288" s="89"/>
      <c r="P288" s="88"/>
      <c r="Q288" s="88"/>
    </row>
    <row r="289" spans="1:17" s="378" customFormat="1">
      <c r="A289" s="196"/>
      <c r="B289" s="376" t="s">
        <v>1466</v>
      </c>
      <c r="C289" s="2763"/>
      <c r="D289" s="2763"/>
      <c r="E289" s="2763"/>
      <c r="F289" s="2763"/>
      <c r="G289" s="2763"/>
      <c r="H289" s="2763"/>
      <c r="I289" s="2763"/>
      <c r="J289" s="92">
        <f>CEILING(J288,0.05)</f>
        <v>1.4500000000000002</v>
      </c>
      <c r="K289" s="338">
        <f>Datas!E372</f>
        <v>11905.03</v>
      </c>
      <c r="L289" s="222"/>
      <c r="M289" s="375">
        <f>ROUND(K289*J289,0)</f>
        <v>17262</v>
      </c>
      <c r="N289" s="403">
        <f>SUM(L289:M289)</f>
        <v>17262</v>
      </c>
      <c r="O289" s="236">
        <f>ROUND(0.9*50+0.45*40,2)</f>
        <v>63</v>
      </c>
      <c r="P289" s="377">
        <f>ROUND(O289*J289,2)</f>
        <v>91.35</v>
      </c>
      <c r="Q289" s="236"/>
    </row>
    <row r="290" spans="1:17" ht="21.75" customHeight="1">
      <c r="A290" s="78"/>
      <c r="B290" s="3"/>
      <c r="D290" s="3"/>
      <c r="G290" s="3"/>
      <c r="H290" s="3"/>
      <c r="I290" s="3"/>
      <c r="J290" s="92" t="s">
        <v>656</v>
      </c>
      <c r="K290" s="82" t="str">
        <f>CONCATENATE("per ",J290)</f>
        <v>per Cum.</v>
      </c>
      <c r="L290" s="222"/>
      <c r="M290" s="222"/>
      <c r="N290" s="83"/>
      <c r="O290" s="89"/>
      <c r="P290" s="88"/>
      <c r="Q290" s="88"/>
    </row>
    <row r="291" spans="1:17" ht="21.75" customHeight="1">
      <c r="A291" s="78"/>
      <c r="B291" s="79"/>
      <c r="C291" s="286" t="s">
        <v>1080</v>
      </c>
      <c r="D291" s="87"/>
      <c r="E291" s="87"/>
      <c r="F291" s="87"/>
      <c r="G291" s="88"/>
      <c r="H291" s="88"/>
      <c r="I291" s="88"/>
      <c r="J291" s="88"/>
      <c r="K291" s="82"/>
      <c r="L291" s="222"/>
      <c r="M291" s="222"/>
      <c r="N291" s="83"/>
      <c r="O291" s="89"/>
      <c r="P291" s="88"/>
      <c r="Q291" s="88"/>
    </row>
    <row r="292" spans="1:17" ht="21.75" customHeight="1">
      <c r="A292" s="78"/>
      <c r="B292" s="79"/>
      <c r="C292" s="254" t="s">
        <v>248</v>
      </c>
      <c r="D292" s="87">
        <v>1</v>
      </c>
      <c r="E292" s="87" t="s">
        <v>1472</v>
      </c>
      <c r="F292" s="87">
        <v>7</v>
      </c>
      <c r="G292" s="88">
        <v>1.3</v>
      </c>
      <c r="H292" s="88">
        <v>0.23</v>
      </c>
      <c r="I292" s="88">
        <v>0.15</v>
      </c>
      <c r="J292" s="88">
        <f t="shared" ref="J292:J297" si="13">ROUND(D292*F292*G292*H292*I292,2)</f>
        <v>0.31</v>
      </c>
      <c r="K292" s="82"/>
      <c r="L292" s="222"/>
      <c r="M292" s="222"/>
      <c r="N292" s="83"/>
      <c r="O292" s="89"/>
      <c r="P292" s="88"/>
      <c r="Q292" s="88"/>
    </row>
    <row r="293" spans="1:17" ht="21.75" customHeight="1">
      <c r="A293" s="78"/>
      <c r="B293" s="79"/>
      <c r="C293" s="254" t="s">
        <v>249</v>
      </c>
      <c r="D293" s="87">
        <v>1</v>
      </c>
      <c r="E293" s="87" t="s">
        <v>1472</v>
      </c>
      <c r="F293" s="87">
        <v>3</v>
      </c>
      <c r="G293" s="88">
        <f>0.75+0.4</f>
        <v>1.1499999999999999</v>
      </c>
      <c r="H293" s="88">
        <v>0.23</v>
      </c>
      <c r="I293" s="88">
        <v>0.15</v>
      </c>
      <c r="J293" s="88">
        <f t="shared" si="13"/>
        <v>0.12</v>
      </c>
      <c r="K293" s="82"/>
      <c r="L293" s="222"/>
      <c r="M293" s="222"/>
      <c r="N293" s="83"/>
      <c r="O293" s="89"/>
      <c r="P293" s="88"/>
      <c r="Q293" s="88"/>
    </row>
    <row r="294" spans="1:17" ht="24.9" customHeight="1">
      <c r="A294" s="78"/>
      <c r="B294" s="79"/>
      <c r="C294" s="254" t="s">
        <v>251</v>
      </c>
      <c r="D294" s="87">
        <v>1</v>
      </c>
      <c r="E294" s="87" t="s">
        <v>1472</v>
      </c>
      <c r="F294" s="87">
        <v>6</v>
      </c>
      <c r="G294" s="88">
        <f>1.75</f>
        <v>1.75</v>
      </c>
      <c r="H294" s="88">
        <v>0.23</v>
      </c>
      <c r="I294" s="88">
        <v>0.15</v>
      </c>
      <c r="J294" s="88">
        <f t="shared" si="13"/>
        <v>0.36</v>
      </c>
      <c r="K294" s="82"/>
      <c r="L294" s="222"/>
      <c r="M294" s="222"/>
      <c r="N294" s="83"/>
      <c r="O294" s="89"/>
      <c r="P294" s="88"/>
      <c r="Q294" s="88"/>
    </row>
    <row r="295" spans="1:17" ht="24.9" customHeight="1">
      <c r="A295" s="78"/>
      <c r="B295" s="79"/>
      <c r="C295" s="254" t="s">
        <v>1237</v>
      </c>
      <c r="D295" s="87">
        <v>1</v>
      </c>
      <c r="E295" s="87" t="s">
        <v>1472</v>
      </c>
      <c r="F295" s="87">
        <v>1</v>
      </c>
      <c r="G295" s="88">
        <v>2.2000000000000002</v>
      </c>
      <c r="H295" s="88">
        <v>0.23</v>
      </c>
      <c r="I295" s="88">
        <v>0.15</v>
      </c>
      <c r="J295" s="88">
        <f t="shared" si="13"/>
        <v>0.08</v>
      </c>
      <c r="K295" s="82"/>
      <c r="L295" s="222"/>
      <c r="M295" s="222"/>
      <c r="N295" s="83"/>
      <c r="O295" s="89"/>
      <c r="P295" s="88"/>
      <c r="Q295" s="88"/>
    </row>
    <row r="296" spans="1:17" ht="24.9" customHeight="1">
      <c r="A296" s="78"/>
      <c r="B296" s="79"/>
      <c r="C296" s="254" t="s">
        <v>1238</v>
      </c>
      <c r="D296" s="87">
        <v>1</v>
      </c>
      <c r="E296" s="87" t="s">
        <v>1472</v>
      </c>
      <c r="F296" s="87">
        <v>2</v>
      </c>
      <c r="G296" s="88">
        <v>1.3</v>
      </c>
      <c r="H296" s="88">
        <v>0.23</v>
      </c>
      <c r="I296" s="88">
        <v>0.15</v>
      </c>
      <c r="J296" s="88">
        <f t="shared" si="13"/>
        <v>0.09</v>
      </c>
      <c r="K296" s="82"/>
      <c r="L296" s="222"/>
      <c r="M296" s="222"/>
      <c r="N296" s="83"/>
      <c r="O296" s="89"/>
      <c r="P296" s="88"/>
      <c r="Q296" s="88"/>
    </row>
    <row r="297" spans="1:17" ht="24.9" customHeight="1">
      <c r="A297" s="78"/>
      <c r="B297" s="79"/>
      <c r="C297" s="254" t="s">
        <v>1240</v>
      </c>
      <c r="D297" s="87">
        <v>1</v>
      </c>
      <c r="E297" s="87" t="s">
        <v>1472</v>
      </c>
      <c r="F297" s="87">
        <v>2</v>
      </c>
      <c r="G297" s="88">
        <v>1</v>
      </c>
      <c r="H297" s="88">
        <v>0.23</v>
      </c>
      <c r="I297" s="88">
        <v>0.1</v>
      </c>
      <c r="J297" s="88">
        <f t="shared" si="13"/>
        <v>0.05</v>
      </c>
      <c r="K297" s="82"/>
      <c r="L297" s="222"/>
      <c r="M297" s="222"/>
      <c r="N297" s="83"/>
      <c r="O297" s="89"/>
      <c r="P297" s="88"/>
      <c r="Q297" s="88"/>
    </row>
    <row r="298" spans="1:17" ht="21.75" customHeight="1">
      <c r="A298" s="78"/>
      <c r="B298" s="79"/>
      <c r="C298" s="63"/>
      <c r="D298" s="87"/>
      <c r="E298" s="87"/>
      <c r="F298" s="87"/>
      <c r="G298" s="88"/>
      <c r="H298" s="88"/>
      <c r="I298" s="88" t="s">
        <v>667</v>
      </c>
      <c r="J298" s="92">
        <f>SUM(J292:J297)</f>
        <v>1.01</v>
      </c>
      <c r="K298" s="82"/>
      <c r="L298" s="222"/>
      <c r="M298" s="222"/>
      <c r="N298" s="83"/>
      <c r="O298" s="89"/>
      <c r="P298" s="88"/>
      <c r="Q298" s="92"/>
    </row>
    <row r="299" spans="1:17" ht="21.75" customHeight="1">
      <c r="A299" s="78"/>
      <c r="B299" s="79"/>
      <c r="C299" s="63"/>
      <c r="D299" s="87"/>
      <c r="E299" s="87"/>
      <c r="F299" s="87"/>
      <c r="G299" s="88"/>
      <c r="H299" s="88"/>
      <c r="I299" s="88"/>
      <c r="J299" s="92" t="s">
        <v>656</v>
      </c>
      <c r="K299" s="82"/>
      <c r="L299" s="222"/>
      <c r="M299" s="222"/>
      <c r="N299" s="83"/>
      <c r="O299" s="89"/>
      <c r="P299" s="88"/>
      <c r="Q299" s="88"/>
    </row>
    <row r="300" spans="1:17" s="378" customFormat="1">
      <c r="A300" s="383"/>
      <c r="B300" s="376" t="s">
        <v>1467</v>
      </c>
      <c r="C300" s="2763"/>
      <c r="D300" s="2763"/>
      <c r="E300" s="2763"/>
      <c r="F300" s="2763"/>
      <c r="G300" s="2763"/>
      <c r="H300" s="2763"/>
      <c r="I300" s="2763"/>
      <c r="J300" s="92">
        <f>J298</f>
        <v>1.01</v>
      </c>
      <c r="K300" s="338">
        <f>Datas!F372</f>
        <v>12438.891000000001</v>
      </c>
      <c r="L300" s="222"/>
      <c r="M300" s="375">
        <f>ROUND(K300*J300,0)</f>
        <v>12563</v>
      </c>
      <c r="N300" s="403">
        <f>SUM(L300:M300)</f>
        <v>12563</v>
      </c>
      <c r="O300" s="236">
        <f>ROUND(0.9*50+0.45*40,2)</f>
        <v>63</v>
      </c>
      <c r="P300" s="377">
        <f>ROUND(O300*J300,2)</f>
        <v>63.63</v>
      </c>
      <c r="Q300" s="236"/>
    </row>
    <row r="301" spans="1:17" ht="21.75" customHeight="1">
      <c r="A301" s="78"/>
      <c r="B301" s="3"/>
      <c r="D301" s="3"/>
      <c r="G301" s="3"/>
      <c r="H301" s="3"/>
      <c r="I301" s="3"/>
      <c r="J301" s="92" t="s">
        <v>656</v>
      </c>
      <c r="K301" s="82" t="str">
        <f>CONCATENATE("per ",J301)</f>
        <v>per Cum.</v>
      </c>
      <c r="L301" s="222"/>
      <c r="M301" s="222"/>
      <c r="N301" s="83"/>
      <c r="O301" s="89"/>
      <c r="P301" s="88"/>
      <c r="Q301" s="88"/>
    </row>
    <row r="302" spans="1:17" ht="144" customHeight="1">
      <c r="A302" s="78">
        <v>9</v>
      </c>
      <c r="B302" s="79"/>
      <c r="C302" s="2740" t="s">
        <v>1061</v>
      </c>
      <c r="D302" s="2740"/>
      <c r="E302" s="2740"/>
      <c r="F302" s="2740"/>
      <c r="G302" s="2740"/>
      <c r="H302" s="2740"/>
      <c r="I302" s="2740"/>
      <c r="J302" s="2740"/>
      <c r="K302" s="82"/>
      <c r="L302" s="222"/>
      <c r="M302" s="222"/>
      <c r="N302" s="83"/>
      <c r="O302" s="89"/>
      <c r="P302" s="88"/>
      <c r="Q302" s="88"/>
    </row>
    <row r="303" spans="1:17">
      <c r="A303" s="78"/>
      <c r="B303" s="79"/>
      <c r="C303" s="286" t="s">
        <v>1081</v>
      </c>
      <c r="D303" s="63"/>
      <c r="E303" s="63"/>
      <c r="F303" s="348"/>
      <c r="G303" s="63"/>
      <c r="H303" s="63"/>
      <c r="I303" s="63"/>
      <c r="J303" s="63"/>
      <c r="K303" s="82"/>
      <c r="L303" s="222"/>
      <c r="M303" s="222"/>
      <c r="N303" s="83"/>
      <c r="O303" s="89"/>
      <c r="P303" s="88"/>
      <c r="Q303" s="88"/>
    </row>
    <row r="304" spans="1:17" ht="24.9" customHeight="1">
      <c r="A304" s="78"/>
      <c r="B304" s="79"/>
      <c r="C304" s="254" t="s">
        <v>251</v>
      </c>
      <c r="D304" s="87">
        <v>1</v>
      </c>
      <c r="E304" s="87" t="s">
        <v>1472</v>
      </c>
      <c r="F304" s="87">
        <v>12</v>
      </c>
      <c r="G304" s="88">
        <f>1.75</f>
        <v>1.75</v>
      </c>
      <c r="H304" s="88"/>
      <c r="I304" s="88"/>
      <c r="J304" s="88">
        <f>ROUND(D304*F304*G304,2)</f>
        <v>21</v>
      </c>
      <c r="K304" s="82"/>
      <c r="L304" s="222"/>
      <c r="M304" s="222"/>
      <c r="N304" s="83"/>
      <c r="O304" s="89"/>
      <c r="P304" s="88"/>
      <c r="Q304" s="88"/>
    </row>
    <row r="305" spans="1:17" ht="24.9" customHeight="1">
      <c r="A305" s="78"/>
      <c r="B305" s="79"/>
      <c r="C305" s="254" t="s">
        <v>1237</v>
      </c>
      <c r="D305" s="87">
        <v>1</v>
      </c>
      <c r="E305" s="87" t="s">
        <v>1472</v>
      </c>
      <c r="F305" s="87">
        <v>1</v>
      </c>
      <c r="G305" s="88">
        <v>2.2000000000000002</v>
      </c>
      <c r="H305" s="88"/>
      <c r="I305" s="88"/>
      <c r="J305" s="88">
        <f>ROUND(D305*F305*G305,2)</f>
        <v>2.2000000000000002</v>
      </c>
      <c r="K305" s="82"/>
      <c r="L305" s="222"/>
      <c r="M305" s="222"/>
      <c r="N305" s="83"/>
      <c r="O305" s="89"/>
      <c r="P305" s="88"/>
      <c r="Q305" s="88"/>
    </row>
    <row r="306" spans="1:17" ht="24.9" customHeight="1">
      <c r="A306" s="78"/>
      <c r="B306" s="79"/>
      <c r="C306" s="254" t="s">
        <v>1238</v>
      </c>
      <c r="D306" s="87">
        <v>1</v>
      </c>
      <c r="E306" s="87" t="s">
        <v>1472</v>
      </c>
      <c r="F306" s="87">
        <v>0</v>
      </c>
      <c r="G306" s="88">
        <v>1.3</v>
      </c>
      <c r="H306" s="88"/>
      <c r="I306" s="88"/>
      <c r="J306" s="88">
        <f>ROUND(D306*F306*G306,2)</f>
        <v>0</v>
      </c>
      <c r="K306" s="82"/>
      <c r="L306" s="222"/>
      <c r="M306" s="222"/>
      <c r="N306" s="83"/>
      <c r="O306" s="89"/>
      <c r="P306" s="88"/>
      <c r="Q306" s="88"/>
    </row>
    <row r="307" spans="1:17" ht="24.9" customHeight="1">
      <c r="A307" s="78"/>
      <c r="B307" s="79"/>
      <c r="C307" s="254" t="s">
        <v>1239</v>
      </c>
      <c r="D307" s="87">
        <v>1</v>
      </c>
      <c r="E307" s="87" t="s">
        <v>1472</v>
      </c>
      <c r="F307" s="87">
        <v>2</v>
      </c>
      <c r="G307" s="88">
        <v>1</v>
      </c>
      <c r="H307" s="88"/>
      <c r="I307" s="88"/>
      <c r="J307" s="88">
        <f>ROUND(D307*F307*G307,2)</f>
        <v>2</v>
      </c>
      <c r="K307" s="82"/>
      <c r="L307" s="222"/>
      <c r="M307" s="222"/>
      <c r="N307" s="83"/>
      <c r="O307" s="89"/>
      <c r="P307" s="88"/>
      <c r="Q307" s="88"/>
    </row>
    <row r="308" spans="1:17" ht="21.75" customHeight="1">
      <c r="A308" s="78"/>
      <c r="B308" s="79"/>
      <c r="C308" s="63" t="s">
        <v>522</v>
      </c>
      <c r="D308" s="87"/>
      <c r="E308" s="87"/>
      <c r="F308" s="87"/>
      <c r="G308" s="88"/>
      <c r="H308" s="88"/>
      <c r="I308" s="88"/>
      <c r="J308" s="92">
        <f>SUM(J304:J307)</f>
        <v>25.2</v>
      </c>
      <c r="K308" s="82"/>
      <c r="L308" s="222"/>
      <c r="M308" s="222"/>
      <c r="N308" s="83"/>
      <c r="O308" s="89"/>
      <c r="P308" s="88"/>
      <c r="Q308" s="92"/>
    </row>
    <row r="309" spans="1:17">
      <c r="A309" s="78"/>
      <c r="B309" s="79"/>
      <c r="C309" s="63"/>
      <c r="D309" s="87"/>
      <c r="E309" s="87"/>
      <c r="F309" s="87"/>
      <c r="G309" s="88"/>
      <c r="H309" s="88"/>
      <c r="I309" s="88"/>
      <c r="J309" s="92" t="s">
        <v>495</v>
      </c>
      <c r="K309" s="82"/>
      <c r="L309" s="222"/>
      <c r="M309" s="222"/>
      <c r="N309" s="83"/>
      <c r="O309" s="92"/>
      <c r="P309" s="321"/>
      <c r="Q309" s="88"/>
    </row>
    <row r="310" spans="1:17" s="378" customFormat="1">
      <c r="A310" s="196"/>
      <c r="B310" s="376" t="s">
        <v>1374</v>
      </c>
      <c r="C310" s="2763"/>
      <c r="D310" s="2763"/>
      <c r="E310" s="2763"/>
      <c r="F310" s="2763"/>
      <c r="G310" s="2763"/>
      <c r="H310" s="2763"/>
      <c r="I310" s="2763"/>
      <c r="J310" s="92">
        <f>J308</f>
        <v>25.2</v>
      </c>
      <c r="K310" s="338">
        <f>Datas!E500</f>
        <v>606.11</v>
      </c>
      <c r="L310" s="222"/>
      <c r="M310" s="375">
        <f>ROUND(K310*J310,0)</f>
        <v>15274</v>
      </c>
      <c r="N310" s="403">
        <f>SUM(L310:M310)</f>
        <v>15274</v>
      </c>
      <c r="O310" s="236">
        <f>0.0375*(0.9*50+0.45*40)</f>
        <v>2.3624999999999998</v>
      </c>
      <c r="P310" s="377">
        <f>ROUND(O310*J310,2)</f>
        <v>59.54</v>
      </c>
      <c r="Q310" s="236"/>
    </row>
    <row r="311" spans="1:17">
      <c r="A311" s="78"/>
      <c r="B311" s="3"/>
      <c r="D311" s="3"/>
      <c r="G311" s="3"/>
      <c r="H311" s="3"/>
      <c r="I311" s="3"/>
      <c r="J311" s="92" t="s">
        <v>495</v>
      </c>
      <c r="K311" s="82" t="str">
        <f>CONCATENATE("per ",J311)</f>
        <v>per Rmt</v>
      </c>
      <c r="L311" s="222"/>
      <c r="M311" s="222"/>
      <c r="N311" s="83"/>
      <c r="O311" s="89"/>
      <c r="P311" s="88"/>
      <c r="Q311" s="88"/>
    </row>
    <row r="312" spans="1:17">
      <c r="A312" s="78"/>
      <c r="B312" s="79"/>
      <c r="C312" s="286" t="s">
        <v>1080</v>
      </c>
      <c r="D312" s="63"/>
      <c r="E312" s="63"/>
      <c r="F312" s="348"/>
      <c r="G312" s="63"/>
      <c r="H312" s="63"/>
      <c r="I312" s="63"/>
      <c r="J312" s="63"/>
      <c r="K312" s="82"/>
      <c r="L312" s="222"/>
      <c r="M312" s="222"/>
      <c r="N312" s="83"/>
      <c r="O312" s="89"/>
      <c r="P312" s="88"/>
      <c r="Q312" s="88"/>
    </row>
    <row r="313" spans="1:17" ht="24.9" customHeight="1">
      <c r="A313" s="78"/>
      <c r="B313" s="79"/>
      <c r="C313" s="254" t="s">
        <v>251</v>
      </c>
      <c r="D313" s="87">
        <v>1</v>
      </c>
      <c r="E313" s="87" t="s">
        <v>1472</v>
      </c>
      <c r="F313" s="87">
        <v>6</v>
      </c>
      <c r="G313" s="88">
        <f>1.75</f>
        <v>1.75</v>
      </c>
      <c r="H313" s="88"/>
      <c r="I313" s="88"/>
      <c r="J313" s="88">
        <f>ROUND(D313*F313*G313,2)</f>
        <v>10.5</v>
      </c>
      <c r="K313" s="82"/>
      <c r="L313" s="222"/>
      <c r="M313" s="222"/>
      <c r="N313" s="83"/>
      <c r="O313" s="89"/>
      <c r="P313" s="88"/>
      <c r="Q313" s="88"/>
    </row>
    <row r="314" spans="1:17" ht="24.9" customHeight="1">
      <c r="A314" s="78"/>
      <c r="B314" s="79"/>
      <c r="C314" s="254" t="s">
        <v>1237</v>
      </c>
      <c r="D314" s="87">
        <v>1</v>
      </c>
      <c r="E314" s="87" t="s">
        <v>1472</v>
      </c>
      <c r="F314" s="87">
        <v>1</v>
      </c>
      <c r="G314" s="88">
        <v>2.2000000000000002</v>
      </c>
      <c r="H314" s="88"/>
      <c r="I314" s="88"/>
      <c r="J314" s="88">
        <f>ROUND(D314*F314*G314,2)</f>
        <v>2.2000000000000002</v>
      </c>
      <c r="K314" s="82"/>
      <c r="L314" s="222"/>
      <c r="M314" s="222"/>
      <c r="N314" s="83"/>
      <c r="O314" s="89"/>
      <c r="P314" s="88"/>
      <c r="Q314" s="88"/>
    </row>
    <row r="315" spans="1:17" ht="24.9" customHeight="1">
      <c r="A315" s="78"/>
      <c r="B315" s="79"/>
      <c r="C315" s="254" t="s">
        <v>1238</v>
      </c>
      <c r="D315" s="87">
        <v>1</v>
      </c>
      <c r="E315" s="87" t="s">
        <v>1472</v>
      </c>
      <c r="F315" s="87">
        <v>2</v>
      </c>
      <c r="G315" s="88">
        <v>1.3</v>
      </c>
      <c r="H315" s="88"/>
      <c r="I315" s="88"/>
      <c r="J315" s="88">
        <f>ROUND(D315*F315*G315,2)</f>
        <v>2.6</v>
      </c>
      <c r="K315" s="82"/>
      <c r="L315" s="222"/>
      <c r="M315" s="222"/>
      <c r="N315" s="83"/>
      <c r="O315" s="89"/>
      <c r="P315" s="88"/>
      <c r="Q315" s="88"/>
    </row>
    <row r="316" spans="1:17" ht="24.9" customHeight="1">
      <c r="A316" s="78"/>
      <c r="B316" s="79"/>
      <c r="C316" s="254" t="s">
        <v>1239</v>
      </c>
      <c r="D316" s="87">
        <v>1</v>
      </c>
      <c r="E316" s="87" t="s">
        <v>1472</v>
      </c>
      <c r="F316" s="87">
        <v>2</v>
      </c>
      <c r="G316" s="88">
        <v>1</v>
      </c>
      <c r="H316" s="88"/>
      <c r="I316" s="88"/>
      <c r="J316" s="88">
        <f>ROUND(D316*F316*G316,2)</f>
        <v>2</v>
      </c>
      <c r="K316" s="82"/>
      <c r="L316" s="222"/>
      <c r="M316" s="222"/>
      <c r="N316" s="83"/>
      <c r="O316" s="89"/>
      <c r="P316" s="88"/>
      <c r="Q316" s="88"/>
    </row>
    <row r="317" spans="1:17" ht="24.9" customHeight="1">
      <c r="A317" s="78"/>
      <c r="B317" s="79"/>
      <c r="C317" s="254" t="s">
        <v>1082</v>
      </c>
      <c r="D317" s="87">
        <v>1</v>
      </c>
      <c r="E317" s="87" t="s">
        <v>1472</v>
      </c>
      <c r="F317" s="87">
        <v>1</v>
      </c>
      <c r="G317" s="88">
        <v>1.6</v>
      </c>
      <c r="H317" s="88"/>
      <c r="I317" s="88"/>
      <c r="J317" s="88">
        <f>ROUND(D317*F317*G317,2)</f>
        <v>1.6</v>
      </c>
      <c r="K317" s="82"/>
      <c r="L317" s="222"/>
      <c r="M317" s="222"/>
      <c r="N317" s="83"/>
      <c r="O317" s="89"/>
      <c r="P317" s="88"/>
      <c r="Q317" s="88"/>
    </row>
    <row r="318" spans="1:17" ht="21.75" customHeight="1">
      <c r="A318" s="78"/>
      <c r="B318" s="79"/>
      <c r="C318" s="63" t="s">
        <v>522</v>
      </c>
      <c r="D318" s="87"/>
      <c r="E318" s="87"/>
      <c r="F318" s="87"/>
      <c r="G318" s="88"/>
      <c r="H318" s="88"/>
      <c r="I318" s="88"/>
      <c r="J318" s="92">
        <f>SUM(J313:J317)</f>
        <v>18.899999999999999</v>
      </c>
      <c r="K318" s="82"/>
      <c r="L318" s="222"/>
      <c r="M318" s="222"/>
      <c r="N318" s="83"/>
      <c r="O318" s="89"/>
      <c r="P318" s="88"/>
      <c r="Q318" s="92"/>
    </row>
    <row r="319" spans="1:17" s="378" customFormat="1">
      <c r="A319" s="383"/>
      <c r="B319" s="376" t="s">
        <v>1375</v>
      </c>
      <c r="C319" s="2763"/>
      <c r="D319" s="2763"/>
      <c r="E319" s="2763"/>
      <c r="F319" s="2763"/>
      <c r="G319" s="2763"/>
      <c r="H319" s="2763"/>
      <c r="I319" s="2763"/>
      <c r="J319" s="92">
        <f>J318</f>
        <v>18.899999999999999</v>
      </c>
      <c r="K319" s="338">
        <f>Datas!F500</f>
        <v>668.56437500000004</v>
      </c>
      <c r="L319" s="222"/>
      <c r="M319" s="375">
        <f>ROUND(K319*J319,0)</f>
        <v>12636</v>
      </c>
      <c r="N319" s="403">
        <f>SUM(L319:M319)</f>
        <v>12636</v>
      </c>
      <c r="O319" s="236">
        <f>0.0375*(0.9*50+0.45*40)</f>
        <v>2.3624999999999998</v>
      </c>
      <c r="P319" s="377">
        <f>ROUND(O319*J319,2)</f>
        <v>44.65</v>
      </c>
      <c r="Q319" s="236"/>
    </row>
    <row r="320" spans="1:17">
      <c r="A320" s="115"/>
      <c r="B320" s="3"/>
      <c r="D320" s="3"/>
      <c r="G320" s="3"/>
      <c r="H320" s="3"/>
      <c r="I320" s="3"/>
      <c r="J320" s="92" t="s">
        <v>495</v>
      </c>
      <c r="K320" s="82" t="str">
        <f>CONCATENATE("per ",J320)</f>
        <v>per Rmt</v>
      </c>
      <c r="L320" s="222"/>
      <c r="M320" s="222"/>
      <c r="N320" s="83"/>
      <c r="O320" s="89"/>
      <c r="P320" s="88"/>
      <c r="Q320" s="88"/>
    </row>
    <row r="321" spans="1:17" ht="174.9" customHeight="1">
      <c r="A321" s="78">
        <v>10</v>
      </c>
      <c r="B321" s="79"/>
      <c r="C321" s="2765" t="s">
        <v>1453</v>
      </c>
      <c r="D321" s="2740"/>
      <c r="E321" s="2740"/>
      <c r="F321" s="2740"/>
      <c r="G321" s="2740"/>
      <c r="H321" s="2740"/>
      <c r="I321" s="2740"/>
      <c r="J321" s="2740"/>
      <c r="K321" s="82"/>
      <c r="L321" s="222"/>
      <c r="M321" s="222"/>
      <c r="N321" s="83"/>
      <c r="O321" s="89"/>
      <c r="P321" s="88"/>
      <c r="Q321" s="88"/>
    </row>
    <row r="322" spans="1:17">
      <c r="A322" s="78"/>
      <c r="B322" s="79"/>
      <c r="C322" s="339" t="s">
        <v>638</v>
      </c>
      <c r="D322" s="63"/>
      <c r="E322" s="63"/>
      <c r="F322" s="348"/>
      <c r="G322" s="63"/>
      <c r="H322" s="63"/>
      <c r="I322" s="63"/>
      <c r="J322" s="63"/>
      <c r="K322" s="82"/>
      <c r="L322" s="222"/>
      <c r="M322" s="222"/>
      <c r="N322" s="83"/>
      <c r="O322" s="89"/>
      <c r="P322" s="88"/>
      <c r="Q322" s="88"/>
    </row>
    <row r="323" spans="1:17">
      <c r="A323" s="78"/>
      <c r="B323" s="79"/>
      <c r="C323" s="254" t="s">
        <v>1241</v>
      </c>
      <c r="D323" s="87">
        <v>4</v>
      </c>
      <c r="E323" s="87" t="s">
        <v>1472</v>
      </c>
      <c r="F323" s="87">
        <v>11</v>
      </c>
      <c r="G323" s="88">
        <v>0.23</v>
      </c>
      <c r="H323" s="88">
        <v>0.2</v>
      </c>
      <c r="I323" s="88">
        <v>0.125</v>
      </c>
      <c r="J323" s="88">
        <f>ROUND(D323*F323*G323*H323*I323,2)</f>
        <v>0.25</v>
      </c>
      <c r="K323" s="82"/>
      <c r="L323" s="222"/>
      <c r="M323" s="222"/>
      <c r="N323" s="83"/>
      <c r="O323" s="89"/>
      <c r="P323" s="88"/>
      <c r="Q323" s="88"/>
    </row>
    <row r="324" spans="1:17">
      <c r="A324" s="78"/>
      <c r="B324" s="79"/>
      <c r="C324" s="254" t="s">
        <v>1242</v>
      </c>
      <c r="D324" s="87">
        <v>4</v>
      </c>
      <c r="E324" s="87" t="s">
        <v>1472</v>
      </c>
      <c r="F324" s="87">
        <v>15</v>
      </c>
      <c r="G324" s="88">
        <v>0.23</v>
      </c>
      <c r="H324" s="88">
        <v>0.2</v>
      </c>
      <c r="I324" s="88">
        <v>0.125</v>
      </c>
      <c r="J324" s="88">
        <f>ROUND(D324*F324*G324*H324*I324,2)</f>
        <v>0.35</v>
      </c>
      <c r="K324" s="82"/>
      <c r="L324" s="222"/>
      <c r="M324" s="222"/>
      <c r="N324" s="83"/>
      <c r="O324" s="89"/>
      <c r="P324" s="88"/>
      <c r="Q324" s="88"/>
    </row>
    <row r="325" spans="1:17">
      <c r="A325" s="78"/>
      <c r="B325" s="79"/>
      <c r="C325" s="254" t="s">
        <v>1243</v>
      </c>
      <c r="D325" s="87">
        <v>2</v>
      </c>
      <c r="E325" s="87" t="s">
        <v>1472</v>
      </c>
      <c r="F325" s="87">
        <v>2</v>
      </c>
      <c r="G325" s="88">
        <v>0.23</v>
      </c>
      <c r="H325" s="88">
        <v>0.2</v>
      </c>
      <c r="I325" s="88">
        <v>0.125</v>
      </c>
      <c r="J325" s="88">
        <f>ROUND(D325*F325*G325*H325*I325,2)</f>
        <v>0.02</v>
      </c>
      <c r="K325" s="82"/>
      <c r="L325" s="222"/>
      <c r="M325" s="222"/>
      <c r="N325" s="83"/>
      <c r="O325" s="89"/>
      <c r="P325" s="88"/>
      <c r="Q325" s="88"/>
    </row>
    <row r="326" spans="1:17">
      <c r="A326" s="78"/>
      <c r="B326" s="79"/>
      <c r="C326" s="254" t="s">
        <v>674</v>
      </c>
      <c r="D326" s="87"/>
      <c r="E326" s="87"/>
      <c r="F326" s="87"/>
      <c r="G326" s="88"/>
      <c r="H326" s="88"/>
      <c r="I326" s="88"/>
      <c r="J326" s="88">
        <f>SUM(J323:J325)</f>
        <v>0.62</v>
      </c>
      <c r="K326" s="82"/>
      <c r="L326" s="222"/>
      <c r="M326" s="222"/>
      <c r="N326" s="83"/>
      <c r="O326" s="89"/>
      <c r="P326" s="88"/>
      <c r="Q326" s="88"/>
    </row>
    <row r="327" spans="1:17" ht="21.75" customHeight="1">
      <c r="A327" s="359"/>
      <c r="B327" s="288"/>
      <c r="C327" s="2763" t="s">
        <v>270</v>
      </c>
      <c r="D327" s="2763"/>
      <c r="E327" s="2763"/>
      <c r="F327" s="2763"/>
      <c r="G327" s="2763"/>
      <c r="H327" s="2763"/>
      <c r="I327" s="2763"/>
      <c r="J327" s="92">
        <f>SUM(J324:J326)</f>
        <v>0.99</v>
      </c>
      <c r="K327" s="338">
        <f>Datas!G536</f>
        <v>5340.5599999999995</v>
      </c>
      <c r="L327" s="222"/>
      <c r="M327" s="222"/>
      <c r="N327" s="83">
        <f>SUM(L327:M327)</f>
        <v>0</v>
      </c>
      <c r="O327" s="92">
        <f>ROUND(0.9*50+0.45*40,2)</f>
        <v>63</v>
      </c>
      <c r="P327" s="321">
        <f>ROUND(O327*J327,2)</f>
        <v>62.37</v>
      </c>
      <c r="Q327" s="92"/>
    </row>
    <row r="328" spans="1:17">
      <c r="A328" s="115"/>
      <c r="B328" s="3"/>
      <c r="D328" s="3"/>
      <c r="G328" s="3"/>
      <c r="H328" s="3"/>
      <c r="I328" s="3"/>
      <c r="J328" s="92" t="s">
        <v>656</v>
      </c>
      <c r="K328" s="82" t="str">
        <f>CONCATENATE("per ",J328)</f>
        <v>per Cum.</v>
      </c>
      <c r="L328" s="222"/>
      <c r="M328" s="222"/>
      <c r="N328" s="83"/>
      <c r="O328" s="89"/>
      <c r="P328" s="88"/>
      <c r="Q328" s="88"/>
    </row>
    <row r="329" spans="1:17">
      <c r="A329" s="78"/>
      <c r="B329" s="79"/>
      <c r="C329" s="339" t="s">
        <v>1439</v>
      </c>
      <c r="D329" s="63"/>
      <c r="E329" s="63"/>
      <c r="F329" s="348"/>
      <c r="G329" s="63"/>
      <c r="H329" s="63"/>
      <c r="I329" s="63"/>
      <c r="J329" s="63"/>
      <c r="K329" s="82"/>
      <c r="L329" s="222"/>
      <c r="M329" s="222"/>
      <c r="N329" s="83"/>
      <c r="O329" s="89"/>
      <c r="P329" s="88"/>
      <c r="Q329" s="88"/>
    </row>
    <row r="330" spans="1:17">
      <c r="A330" s="78"/>
      <c r="B330" s="79"/>
      <c r="C330" s="254" t="s">
        <v>1241</v>
      </c>
      <c r="D330" s="87">
        <v>4</v>
      </c>
      <c r="E330" s="87" t="s">
        <v>1472</v>
      </c>
      <c r="F330" s="87">
        <v>10</v>
      </c>
      <c r="G330" s="88">
        <v>0.23</v>
      </c>
      <c r="H330" s="88">
        <v>0.2</v>
      </c>
      <c r="I330" s="88">
        <v>0.125</v>
      </c>
      <c r="J330" s="88">
        <f>ROUND(D330*F330*G330*H330*I330,2)</f>
        <v>0.23</v>
      </c>
      <c r="K330" s="82"/>
      <c r="L330" s="222"/>
      <c r="M330" s="222"/>
      <c r="N330" s="83"/>
      <c r="O330" s="89"/>
      <c r="P330" s="88"/>
      <c r="Q330" s="88"/>
    </row>
    <row r="331" spans="1:17">
      <c r="A331" s="78"/>
      <c r="B331" s="79"/>
      <c r="C331" s="254" t="s">
        <v>1242</v>
      </c>
      <c r="D331" s="87">
        <v>4</v>
      </c>
      <c r="E331" s="87" t="s">
        <v>1472</v>
      </c>
      <c r="F331" s="87">
        <v>9</v>
      </c>
      <c r="G331" s="88">
        <v>0.23</v>
      </c>
      <c r="H331" s="88">
        <v>0.2</v>
      </c>
      <c r="I331" s="88">
        <v>0.125</v>
      </c>
      <c r="J331" s="88">
        <f>ROUND(D331*F331*G331*H331*I331,2)</f>
        <v>0.21</v>
      </c>
      <c r="K331" s="82"/>
      <c r="L331" s="222"/>
      <c r="M331" s="222"/>
      <c r="N331" s="83"/>
      <c r="O331" s="89"/>
      <c r="P331" s="88"/>
      <c r="Q331" s="88"/>
    </row>
    <row r="332" spans="1:17">
      <c r="A332" s="78"/>
      <c r="B332" s="79"/>
      <c r="C332" s="254" t="s">
        <v>1243</v>
      </c>
      <c r="D332" s="87">
        <v>2</v>
      </c>
      <c r="E332" s="87" t="s">
        <v>1472</v>
      </c>
      <c r="F332" s="87">
        <v>2</v>
      </c>
      <c r="G332" s="88">
        <v>0.23</v>
      </c>
      <c r="H332" s="88">
        <v>0.2</v>
      </c>
      <c r="I332" s="88">
        <v>0.125</v>
      </c>
      <c r="J332" s="88">
        <f>ROUND(D332*F332*G332*H332*I332,2)</f>
        <v>0.02</v>
      </c>
      <c r="K332" s="82"/>
      <c r="L332" s="222"/>
      <c r="M332" s="222"/>
      <c r="N332" s="83"/>
      <c r="O332" s="89"/>
      <c r="P332" s="88"/>
      <c r="Q332" s="88"/>
    </row>
    <row r="333" spans="1:17">
      <c r="A333" s="78"/>
      <c r="B333" s="79"/>
      <c r="C333" s="254" t="s">
        <v>674</v>
      </c>
      <c r="D333" s="87"/>
      <c r="E333" s="87"/>
      <c r="F333" s="87"/>
      <c r="G333" s="88"/>
      <c r="H333" s="88"/>
      <c r="I333" s="88"/>
      <c r="J333" s="88">
        <f>SUM(J330:J332)</f>
        <v>0.46</v>
      </c>
      <c r="K333" s="82"/>
      <c r="L333" s="222"/>
      <c r="M333" s="222"/>
      <c r="N333" s="83"/>
      <c r="O333" s="89"/>
      <c r="P333" s="88"/>
      <c r="Q333" s="88"/>
    </row>
    <row r="334" spans="1:17" ht="21.75" customHeight="1">
      <c r="A334" s="359"/>
      <c r="B334" s="288"/>
      <c r="C334" s="2763" t="s">
        <v>270</v>
      </c>
      <c r="D334" s="2763"/>
      <c r="E334" s="2763"/>
      <c r="F334" s="2763"/>
      <c r="G334" s="2763"/>
      <c r="H334" s="2763"/>
      <c r="I334" s="2763"/>
      <c r="J334" s="92">
        <f>CEILING(J333,0.05)</f>
        <v>0.5</v>
      </c>
      <c r="K334" s="338">
        <f>Datas!G536</f>
        <v>5340.5599999999995</v>
      </c>
      <c r="L334" s="222"/>
      <c r="M334" s="222"/>
      <c r="N334" s="83">
        <f>SUM(L334:M334)</f>
        <v>0</v>
      </c>
      <c r="O334" s="92">
        <f>ROUND(0.9*50+0.45*40,2)</f>
        <v>63</v>
      </c>
      <c r="P334" s="321">
        <f>ROUND(O334*J334,2)</f>
        <v>31.5</v>
      </c>
      <c r="Q334" s="92"/>
    </row>
    <row r="335" spans="1:17">
      <c r="A335" s="115"/>
      <c r="B335" s="3"/>
      <c r="D335" s="3"/>
      <c r="G335" s="3"/>
      <c r="H335" s="3"/>
      <c r="I335" s="3"/>
      <c r="J335" s="92" t="s">
        <v>656</v>
      </c>
      <c r="K335" s="82" t="str">
        <f>CONCATENATE("per ",J335)</f>
        <v>per Cum.</v>
      </c>
      <c r="L335" s="222"/>
      <c r="M335" s="222"/>
      <c r="N335" s="83"/>
      <c r="O335" s="89"/>
      <c r="P335" s="88"/>
      <c r="Q335" s="88"/>
    </row>
    <row r="336" spans="1:17" ht="93" customHeight="1">
      <c r="A336" s="78">
        <v>11</v>
      </c>
      <c r="B336" s="79"/>
      <c r="C336" s="2765" t="s">
        <v>1184</v>
      </c>
      <c r="D336" s="2740"/>
      <c r="E336" s="2740"/>
      <c r="F336" s="2740"/>
      <c r="G336" s="2740"/>
      <c r="H336" s="2740"/>
      <c r="I336" s="2740"/>
      <c r="J336" s="2740"/>
      <c r="K336" s="82"/>
      <c r="L336" s="222"/>
      <c r="M336" s="222"/>
      <c r="N336" s="83"/>
      <c r="O336" s="89"/>
      <c r="P336" s="88"/>
      <c r="Q336" s="88"/>
    </row>
    <row r="337" spans="1:17">
      <c r="A337" s="78"/>
      <c r="B337" s="79"/>
      <c r="C337" s="287" t="s">
        <v>847</v>
      </c>
      <c r="D337" s="63"/>
      <c r="E337" s="63"/>
      <c r="F337" s="348"/>
      <c r="G337" s="99"/>
      <c r="H337" s="99"/>
      <c r="I337" s="99"/>
      <c r="J337" s="99"/>
      <c r="K337" s="82"/>
      <c r="L337" s="222"/>
      <c r="M337" s="222"/>
      <c r="N337" s="83"/>
      <c r="O337" s="89"/>
      <c r="P337" s="88"/>
      <c r="Q337" s="88"/>
    </row>
    <row r="338" spans="1:17" ht="21.75" customHeight="1">
      <c r="A338" s="78"/>
      <c r="B338" s="79"/>
      <c r="C338" s="224" t="s">
        <v>639</v>
      </c>
      <c r="D338" s="87">
        <v>1</v>
      </c>
      <c r="E338" s="87" t="s">
        <v>1472</v>
      </c>
      <c r="F338" s="87">
        <v>1</v>
      </c>
      <c r="G338" s="88">
        <f>(20.4-7*0.3)</f>
        <v>18.299999999999997</v>
      </c>
      <c r="H338" s="88">
        <v>0.23</v>
      </c>
      <c r="I338" s="248">
        <v>2.9249999999999998</v>
      </c>
      <c r="J338" s="88">
        <f t="shared" ref="J338:J345" si="14">ROUND(D338*F338*G338*H338*I338,2)</f>
        <v>12.31</v>
      </c>
      <c r="K338" s="257"/>
      <c r="L338" s="222"/>
      <c r="M338" s="222"/>
      <c r="N338" s="83"/>
      <c r="O338" s="89"/>
      <c r="P338" s="88"/>
      <c r="Q338" s="88"/>
    </row>
    <row r="339" spans="1:17" ht="21.75" customHeight="1">
      <c r="A339" s="78"/>
      <c r="B339" s="79"/>
      <c r="C339" s="224" t="s">
        <v>640</v>
      </c>
      <c r="D339" s="87">
        <v>1</v>
      </c>
      <c r="E339" s="87" t="s">
        <v>1472</v>
      </c>
      <c r="F339" s="87">
        <v>1</v>
      </c>
      <c r="G339" s="88">
        <v>18.3</v>
      </c>
      <c r="H339" s="88">
        <v>0.23</v>
      </c>
      <c r="I339" s="248">
        <v>2.9249999999999998</v>
      </c>
      <c r="J339" s="88">
        <f>ROUND(D339*F339*G339*H339*I339,2)</f>
        <v>12.31</v>
      </c>
      <c r="K339" s="82"/>
      <c r="L339" s="222"/>
      <c r="M339" s="222"/>
      <c r="N339" s="83"/>
      <c r="O339" s="89"/>
      <c r="P339" s="88"/>
      <c r="Q339" s="88"/>
    </row>
    <row r="340" spans="1:17" ht="21.75" customHeight="1">
      <c r="A340" s="78"/>
      <c r="B340" s="79"/>
      <c r="C340" s="250" t="s">
        <v>761</v>
      </c>
      <c r="D340" s="87">
        <v>1</v>
      </c>
      <c r="E340" s="87" t="s">
        <v>1472</v>
      </c>
      <c r="F340" s="87">
        <v>1</v>
      </c>
      <c r="G340" s="88">
        <f>(8.175+0.3-3*0.38)</f>
        <v>7.3350000000000009</v>
      </c>
      <c r="H340" s="88">
        <v>0.23</v>
      </c>
      <c r="I340" s="248">
        <v>2.9249999999999998</v>
      </c>
      <c r="J340" s="88">
        <f t="shared" si="14"/>
        <v>4.93</v>
      </c>
      <c r="K340" s="82"/>
      <c r="L340" s="222"/>
      <c r="M340" s="222"/>
      <c r="N340" s="83"/>
      <c r="O340" s="89"/>
      <c r="P340" s="88"/>
      <c r="Q340" s="88"/>
    </row>
    <row r="341" spans="1:17" ht="21.75" customHeight="1">
      <c r="A341" s="78"/>
      <c r="B341" s="79"/>
      <c r="C341" s="250" t="s">
        <v>760</v>
      </c>
      <c r="D341" s="87">
        <v>1</v>
      </c>
      <c r="E341" s="87" t="s">
        <v>1472</v>
      </c>
      <c r="F341" s="87">
        <v>1</v>
      </c>
      <c r="G341" s="88">
        <f>(8.175+0.3-3*0.38)</f>
        <v>7.3350000000000009</v>
      </c>
      <c r="H341" s="88">
        <v>0.23</v>
      </c>
      <c r="I341" s="248">
        <v>2.9249999999999998</v>
      </c>
      <c r="J341" s="88">
        <f>ROUND(D341*F341*G341*H341*I341,2)</f>
        <v>4.93</v>
      </c>
      <c r="K341" s="82"/>
      <c r="L341" s="222"/>
      <c r="M341" s="222"/>
      <c r="N341" s="83"/>
      <c r="O341" s="89"/>
      <c r="P341" s="88"/>
      <c r="Q341" s="88"/>
    </row>
    <row r="342" spans="1:17" ht="21.75" customHeight="1">
      <c r="A342" s="78"/>
      <c r="B342" s="79"/>
      <c r="C342" s="250" t="s">
        <v>1261</v>
      </c>
      <c r="D342" s="87">
        <v>1</v>
      </c>
      <c r="E342" s="87" t="s">
        <v>1472</v>
      </c>
      <c r="F342" s="87">
        <v>2</v>
      </c>
      <c r="G342" s="88">
        <v>1.5</v>
      </c>
      <c r="H342" s="88">
        <v>0.23</v>
      </c>
      <c r="I342" s="248">
        <v>3.3</v>
      </c>
      <c r="J342" s="88">
        <f>ROUND(D342*F342*G342*H342*I342,2)</f>
        <v>2.2799999999999998</v>
      </c>
      <c r="K342" s="82"/>
      <c r="L342" s="222"/>
      <c r="M342" s="222"/>
      <c r="N342" s="83"/>
      <c r="O342" s="89"/>
      <c r="P342" s="88"/>
      <c r="Q342" s="88"/>
    </row>
    <row r="343" spans="1:17">
      <c r="A343" s="78"/>
      <c r="B343" s="79"/>
      <c r="C343" s="107" t="s">
        <v>978</v>
      </c>
      <c r="D343" s="87">
        <v>1</v>
      </c>
      <c r="E343" s="87" t="s">
        <v>1472</v>
      </c>
      <c r="F343" s="87">
        <v>2</v>
      </c>
      <c r="G343" s="88">
        <v>3.6</v>
      </c>
      <c r="H343" s="88">
        <v>0.23</v>
      </c>
      <c r="I343" s="88">
        <v>1.85</v>
      </c>
      <c r="J343" s="88">
        <f t="shared" si="14"/>
        <v>3.06</v>
      </c>
      <c r="K343" s="82"/>
      <c r="L343" s="222"/>
      <c r="M343" s="222"/>
      <c r="N343" s="83"/>
      <c r="O343" s="89"/>
      <c r="P343" s="88"/>
      <c r="Q343" s="88"/>
    </row>
    <row r="344" spans="1:17">
      <c r="A344" s="78"/>
      <c r="B344" s="79"/>
      <c r="C344" s="107" t="s">
        <v>978</v>
      </c>
      <c r="D344" s="87">
        <v>1</v>
      </c>
      <c r="E344" s="87" t="s">
        <v>1472</v>
      </c>
      <c r="F344" s="87">
        <v>2</v>
      </c>
      <c r="G344" s="88">
        <f>1.8-0.46</f>
        <v>1.34</v>
      </c>
      <c r="H344" s="88">
        <v>0.23</v>
      </c>
      <c r="I344" s="88">
        <v>1.85</v>
      </c>
      <c r="J344" s="88">
        <f t="shared" si="14"/>
        <v>1.1399999999999999</v>
      </c>
      <c r="K344" s="82"/>
      <c r="L344" s="222"/>
      <c r="M344" s="222"/>
      <c r="N344" s="83"/>
      <c r="O344" s="89"/>
      <c r="P344" s="88"/>
      <c r="Q344" s="88"/>
    </row>
    <row r="345" spans="1:17">
      <c r="A345" s="78"/>
      <c r="B345" s="79"/>
      <c r="C345" s="107" t="s">
        <v>979</v>
      </c>
      <c r="D345" s="87">
        <v>1</v>
      </c>
      <c r="E345" s="87" t="s">
        <v>1472</v>
      </c>
      <c r="F345" s="87">
        <v>1</v>
      </c>
      <c r="G345" s="88">
        <v>1</v>
      </c>
      <c r="H345" s="88">
        <v>0.23</v>
      </c>
      <c r="I345" s="88">
        <v>1.5</v>
      </c>
      <c r="J345" s="88">
        <f t="shared" si="14"/>
        <v>0.35</v>
      </c>
      <c r="K345" s="82"/>
      <c r="L345" s="222"/>
      <c r="M345" s="222"/>
      <c r="N345" s="83"/>
      <c r="O345" s="89"/>
      <c r="P345" s="88"/>
      <c r="Q345" s="88"/>
    </row>
    <row r="346" spans="1:17">
      <c r="A346" s="78"/>
      <c r="B346" s="79"/>
      <c r="C346" s="63"/>
      <c r="D346" s="87"/>
      <c r="E346" s="87"/>
      <c r="F346" s="87"/>
      <c r="G346" s="88"/>
      <c r="H346" s="88"/>
      <c r="I346" s="88"/>
      <c r="J346" s="88">
        <f>SUM(J338:J345)</f>
        <v>41.310000000000009</v>
      </c>
      <c r="K346" s="82"/>
      <c r="L346" s="222"/>
      <c r="M346" s="222"/>
      <c r="N346" s="83"/>
      <c r="O346" s="89"/>
      <c r="P346" s="88"/>
      <c r="Q346" s="88"/>
    </row>
    <row r="347" spans="1:17">
      <c r="A347" s="78"/>
      <c r="B347" s="79"/>
      <c r="C347" s="255" t="s">
        <v>675</v>
      </c>
      <c r="D347" s="87"/>
      <c r="E347" s="87"/>
      <c r="F347" s="87"/>
      <c r="G347" s="88"/>
      <c r="H347" s="88"/>
      <c r="I347" s="88"/>
      <c r="J347" s="88"/>
      <c r="K347" s="82"/>
      <c r="L347" s="222"/>
      <c r="M347" s="222"/>
      <c r="N347" s="83"/>
      <c r="O347" s="89"/>
      <c r="P347" s="88"/>
      <c r="Q347" s="88"/>
    </row>
    <row r="348" spans="1:17" ht="21.75" customHeight="1">
      <c r="A348" s="78"/>
      <c r="B348" s="79"/>
      <c r="C348" s="254" t="s">
        <v>980</v>
      </c>
      <c r="D348" s="87">
        <v>1</v>
      </c>
      <c r="E348" s="87" t="s">
        <v>1472</v>
      </c>
      <c r="F348" s="87">
        <v>2</v>
      </c>
      <c r="G348" s="88">
        <v>1.2</v>
      </c>
      <c r="H348" s="88">
        <v>0.23</v>
      </c>
      <c r="I348" s="88">
        <v>2.1</v>
      </c>
      <c r="J348" s="88">
        <f t="shared" ref="J348:J353" si="15">ROUND(D348*F348*G348*H348*I348,2)</f>
        <v>1.1599999999999999</v>
      </c>
      <c r="K348" s="82"/>
      <c r="L348" s="222"/>
      <c r="M348" s="222"/>
      <c r="N348" s="83"/>
      <c r="O348" s="89"/>
      <c r="P348" s="88"/>
      <c r="Q348" s="88"/>
    </row>
    <row r="349" spans="1:17" ht="24.9" customHeight="1">
      <c r="A349" s="78"/>
      <c r="B349" s="79"/>
      <c r="C349" s="254" t="s">
        <v>251</v>
      </c>
      <c r="D349" s="87">
        <v>1</v>
      </c>
      <c r="E349" s="87" t="s">
        <v>1472</v>
      </c>
      <c r="F349" s="87">
        <v>12</v>
      </c>
      <c r="G349" s="88">
        <v>1.35</v>
      </c>
      <c r="H349" s="88">
        <v>0.23</v>
      </c>
      <c r="I349" s="88">
        <v>1.3</v>
      </c>
      <c r="J349" s="88">
        <f t="shared" si="15"/>
        <v>4.84</v>
      </c>
      <c r="K349" s="82"/>
      <c r="L349" s="222"/>
      <c r="M349" s="222"/>
      <c r="N349" s="83"/>
      <c r="O349" s="89"/>
      <c r="P349" s="88"/>
      <c r="Q349" s="88"/>
    </row>
    <row r="350" spans="1:17" ht="24.9" customHeight="1">
      <c r="A350" s="78"/>
      <c r="B350" s="79"/>
      <c r="C350" s="254" t="s">
        <v>1237</v>
      </c>
      <c r="D350" s="87">
        <v>1</v>
      </c>
      <c r="E350" s="87" t="s">
        <v>1472</v>
      </c>
      <c r="F350" s="87">
        <v>1</v>
      </c>
      <c r="G350" s="88">
        <v>1.8</v>
      </c>
      <c r="H350" s="88">
        <v>0.23</v>
      </c>
      <c r="I350" s="88">
        <v>1.3</v>
      </c>
      <c r="J350" s="88">
        <f t="shared" si="15"/>
        <v>0.54</v>
      </c>
      <c r="K350" s="82"/>
      <c r="L350" s="222"/>
      <c r="M350" s="222"/>
      <c r="N350" s="83"/>
      <c r="O350" s="89"/>
      <c r="P350" s="88"/>
      <c r="Q350" s="88"/>
    </row>
    <row r="351" spans="1:17" ht="24.9" customHeight="1">
      <c r="A351" s="78"/>
      <c r="B351" s="79"/>
      <c r="C351" s="254" t="s">
        <v>1238</v>
      </c>
      <c r="D351" s="87">
        <v>1</v>
      </c>
      <c r="E351" s="87" t="s">
        <v>1472</v>
      </c>
      <c r="F351" s="87">
        <v>0</v>
      </c>
      <c r="G351" s="88">
        <v>0.9</v>
      </c>
      <c r="H351" s="88">
        <v>0.23</v>
      </c>
      <c r="I351" s="88">
        <v>1.3</v>
      </c>
      <c r="J351" s="88">
        <f t="shared" si="15"/>
        <v>0</v>
      </c>
      <c r="K351" s="82"/>
      <c r="L351" s="222"/>
      <c r="M351" s="222"/>
      <c r="N351" s="83"/>
      <c r="O351" s="89"/>
      <c r="P351" s="88"/>
      <c r="Q351" s="88"/>
    </row>
    <row r="352" spans="1:17" ht="24.9" customHeight="1">
      <c r="A352" s="78"/>
      <c r="B352" s="79"/>
      <c r="C352" s="254" t="s">
        <v>1239</v>
      </c>
      <c r="D352" s="87">
        <v>1</v>
      </c>
      <c r="E352" s="87" t="s">
        <v>1472</v>
      </c>
      <c r="F352" s="87">
        <v>2</v>
      </c>
      <c r="G352" s="88">
        <v>0.6</v>
      </c>
      <c r="H352" s="88">
        <v>0.23</v>
      </c>
      <c r="I352" s="88">
        <v>1.3</v>
      </c>
      <c r="J352" s="88">
        <f t="shared" si="15"/>
        <v>0.36</v>
      </c>
      <c r="K352" s="82"/>
      <c r="L352" s="222"/>
      <c r="M352" s="222"/>
      <c r="N352" s="83"/>
      <c r="O352" s="89"/>
      <c r="P352" s="88"/>
      <c r="Q352" s="88"/>
    </row>
    <row r="353" spans="1:17">
      <c r="A353" s="78"/>
      <c r="B353" s="79"/>
      <c r="C353" s="254" t="s">
        <v>83</v>
      </c>
      <c r="D353" s="87">
        <v>1</v>
      </c>
      <c r="E353" s="87" t="s">
        <v>1472</v>
      </c>
      <c r="F353" s="87">
        <v>2</v>
      </c>
      <c r="G353" s="88">
        <v>0.6</v>
      </c>
      <c r="H353" s="88">
        <v>0.23</v>
      </c>
      <c r="I353" s="88">
        <v>0.6</v>
      </c>
      <c r="J353" s="88">
        <f t="shared" si="15"/>
        <v>0.17</v>
      </c>
      <c r="K353" s="82"/>
      <c r="L353" s="222"/>
      <c r="M353" s="222"/>
      <c r="N353" s="83"/>
      <c r="O353" s="89"/>
      <c r="P353" s="88"/>
      <c r="Q353" s="88"/>
    </row>
    <row r="354" spans="1:17" ht="25.8">
      <c r="A354" s="78"/>
      <c r="B354" s="79"/>
      <c r="C354" s="256" t="s">
        <v>1335</v>
      </c>
      <c r="D354" s="87"/>
      <c r="E354" s="87"/>
      <c r="F354" s="87"/>
      <c r="G354" s="88"/>
      <c r="H354" s="88"/>
      <c r="I354" s="88"/>
      <c r="J354" s="88"/>
      <c r="K354" s="82"/>
      <c r="L354" s="222"/>
      <c r="M354" s="222"/>
      <c r="N354" s="83"/>
      <c r="O354" s="89"/>
      <c r="P354" s="88"/>
      <c r="Q354" s="88"/>
    </row>
    <row r="355" spans="1:17">
      <c r="A355" s="78"/>
      <c r="B355" s="79"/>
      <c r="C355" s="254" t="s">
        <v>980</v>
      </c>
      <c r="D355" s="87">
        <v>1</v>
      </c>
      <c r="E355" s="87" t="s">
        <v>1472</v>
      </c>
      <c r="F355" s="87">
        <v>2</v>
      </c>
      <c r="G355" s="88">
        <v>1.6</v>
      </c>
      <c r="H355" s="88">
        <v>0.23</v>
      </c>
      <c r="I355" s="88">
        <v>0.15</v>
      </c>
      <c r="J355" s="88">
        <f t="shared" ref="J355:J361" si="16">ROUND(D355*F355*G355*H355*I355,2)</f>
        <v>0.11</v>
      </c>
      <c r="K355" s="82"/>
      <c r="L355" s="222"/>
      <c r="M355" s="222"/>
      <c r="N355" s="83"/>
      <c r="O355" s="89"/>
      <c r="P355" s="88"/>
      <c r="Q355" s="88"/>
    </row>
    <row r="356" spans="1:17">
      <c r="A356" s="78"/>
      <c r="B356" s="79"/>
      <c r="C356" s="254" t="s">
        <v>981</v>
      </c>
      <c r="D356" s="87">
        <v>1</v>
      </c>
      <c r="E356" s="87" t="s">
        <v>1472</v>
      </c>
      <c r="F356" s="87">
        <v>0</v>
      </c>
      <c r="G356" s="88">
        <v>1.6</v>
      </c>
      <c r="H356" s="88">
        <v>0.23</v>
      </c>
      <c r="I356" s="88">
        <v>0.15</v>
      </c>
      <c r="J356" s="88">
        <f>ROUND(D356*F356*G356*H356*I356,2)</f>
        <v>0</v>
      </c>
      <c r="K356" s="82"/>
      <c r="L356" s="222"/>
      <c r="M356" s="222"/>
      <c r="N356" s="83"/>
      <c r="O356" s="89"/>
      <c r="P356" s="88"/>
      <c r="Q356" s="88"/>
    </row>
    <row r="357" spans="1:17">
      <c r="A357" s="78"/>
      <c r="B357" s="79"/>
      <c r="C357" s="254" t="s">
        <v>251</v>
      </c>
      <c r="D357" s="87">
        <v>1</v>
      </c>
      <c r="E357" s="87" t="s">
        <v>1472</v>
      </c>
      <c r="F357" s="87">
        <v>12</v>
      </c>
      <c r="G357" s="88">
        <v>1.75</v>
      </c>
      <c r="H357" s="88">
        <v>0.23</v>
      </c>
      <c r="I357" s="88">
        <v>0.15</v>
      </c>
      <c r="J357" s="88">
        <f t="shared" si="16"/>
        <v>0.72</v>
      </c>
      <c r="K357" s="88"/>
      <c r="L357" s="222"/>
      <c r="M357" s="222"/>
      <c r="N357" s="83"/>
      <c r="O357" s="89"/>
      <c r="P357" s="88"/>
      <c r="Q357" s="88"/>
    </row>
    <row r="358" spans="1:17">
      <c r="A358" s="78"/>
      <c r="B358" s="79"/>
      <c r="C358" s="254" t="s">
        <v>1237</v>
      </c>
      <c r="D358" s="87">
        <v>1</v>
      </c>
      <c r="E358" s="87" t="s">
        <v>1472</v>
      </c>
      <c r="F358" s="87">
        <v>1</v>
      </c>
      <c r="G358" s="88">
        <v>2.2000000000000002</v>
      </c>
      <c r="H358" s="88">
        <v>0.23</v>
      </c>
      <c r="I358" s="88">
        <v>0.15</v>
      </c>
      <c r="J358" s="88">
        <f t="shared" si="16"/>
        <v>0.08</v>
      </c>
      <c r="K358" s="88"/>
      <c r="L358" s="222"/>
      <c r="M358" s="222"/>
      <c r="N358" s="83"/>
      <c r="O358" s="89"/>
      <c r="P358" s="88"/>
      <c r="Q358" s="88"/>
    </row>
    <row r="359" spans="1:17">
      <c r="A359" s="78"/>
      <c r="B359" s="79"/>
      <c r="C359" s="254" t="s">
        <v>1238</v>
      </c>
      <c r="D359" s="87">
        <v>1</v>
      </c>
      <c r="E359" s="87" t="s">
        <v>1472</v>
      </c>
      <c r="F359" s="87">
        <v>0</v>
      </c>
      <c r="G359" s="88">
        <v>1.3</v>
      </c>
      <c r="H359" s="88">
        <v>0.23</v>
      </c>
      <c r="I359" s="88">
        <v>0.15</v>
      </c>
      <c r="J359" s="88">
        <f t="shared" si="16"/>
        <v>0</v>
      </c>
      <c r="K359" s="88"/>
      <c r="L359" s="222"/>
      <c r="M359" s="222"/>
      <c r="N359" s="83"/>
      <c r="O359" s="89"/>
      <c r="P359" s="88"/>
      <c r="Q359" s="88"/>
    </row>
    <row r="360" spans="1:17">
      <c r="A360" s="78"/>
      <c r="B360" s="79"/>
      <c r="C360" s="254" t="s">
        <v>1239</v>
      </c>
      <c r="D360" s="87">
        <v>1</v>
      </c>
      <c r="E360" s="87" t="s">
        <v>1472</v>
      </c>
      <c r="F360" s="87">
        <v>2</v>
      </c>
      <c r="G360" s="88">
        <v>1</v>
      </c>
      <c r="H360" s="88">
        <v>0.23</v>
      </c>
      <c r="I360" s="88">
        <v>0.15</v>
      </c>
      <c r="J360" s="88">
        <f t="shared" si="16"/>
        <v>7.0000000000000007E-2</v>
      </c>
      <c r="K360" s="88"/>
      <c r="L360" s="222"/>
      <c r="M360" s="222"/>
      <c r="N360" s="83"/>
      <c r="O360" s="89"/>
      <c r="P360" s="88"/>
      <c r="Q360" s="88"/>
    </row>
    <row r="361" spans="1:17">
      <c r="A361" s="78"/>
      <c r="B361" s="79"/>
      <c r="C361" s="254" t="s">
        <v>83</v>
      </c>
      <c r="D361" s="87">
        <v>1</v>
      </c>
      <c r="E361" s="87" t="s">
        <v>1472</v>
      </c>
      <c r="F361" s="87">
        <v>2</v>
      </c>
      <c r="G361" s="88">
        <v>1</v>
      </c>
      <c r="H361" s="88">
        <v>0.23</v>
      </c>
      <c r="I361" s="88">
        <v>0.15</v>
      </c>
      <c r="J361" s="88">
        <f t="shared" si="16"/>
        <v>7.0000000000000007E-2</v>
      </c>
      <c r="K361" s="82"/>
      <c r="L361" s="222"/>
      <c r="M361" s="222"/>
      <c r="N361" s="83"/>
      <c r="O361" s="89"/>
      <c r="P361" s="88"/>
      <c r="Q361" s="88"/>
    </row>
    <row r="362" spans="1:17" ht="25.8">
      <c r="A362" s="78"/>
      <c r="B362" s="79"/>
      <c r="C362" s="256" t="s">
        <v>1336</v>
      </c>
      <c r="D362" s="87"/>
      <c r="E362" s="87"/>
      <c r="F362" s="87"/>
      <c r="G362" s="88"/>
      <c r="H362" s="88"/>
      <c r="I362" s="88"/>
      <c r="J362" s="88"/>
      <c r="K362" s="82"/>
      <c r="L362" s="222"/>
      <c r="M362" s="222"/>
      <c r="N362" s="83"/>
      <c r="O362" s="89"/>
      <c r="P362" s="88"/>
      <c r="Q362" s="88"/>
    </row>
    <row r="363" spans="1:17">
      <c r="A363" s="78"/>
      <c r="B363" s="79"/>
      <c r="C363" s="254" t="s">
        <v>980</v>
      </c>
      <c r="D363" s="87">
        <v>4</v>
      </c>
      <c r="E363" s="87" t="s">
        <v>1472</v>
      </c>
      <c r="F363" s="87">
        <v>2</v>
      </c>
      <c r="G363" s="88">
        <v>0.23</v>
      </c>
      <c r="H363" s="88">
        <v>0.2</v>
      </c>
      <c r="I363" s="88">
        <v>0.125</v>
      </c>
      <c r="J363" s="88">
        <f t="shared" ref="J363:J369" si="17">ROUND(D363*F363*G363*H363*I363,2)</f>
        <v>0.05</v>
      </c>
      <c r="K363" s="82"/>
      <c r="L363" s="222"/>
      <c r="M363" s="222"/>
      <c r="N363" s="83"/>
      <c r="O363" s="89"/>
      <c r="P363" s="88"/>
      <c r="Q363" s="88"/>
    </row>
    <row r="364" spans="1:17">
      <c r="A364" s="78"/>
      <c r="B364" s="79"/>
      <c r="C364" s="254" t="s">
        <v>981</v>
      </c>
      <c r="D364" s="87">
        <v>4</v>
      </c>
      <c r="E364" s="87" t="s">
        <v>1472</v>
      </c>
      <c r="F364" s="87">
        <v>0</v>
      </c>
      <c r="G364" s="88">
        <v>0.23</v>
      </c>
      <c r="H364" s="88">
        <v>0.2</v>
      </c>
      <c r="I364" s="88">
        <v>0.125</v>
      </c>
      <c r="J364" s="88">
        <f>ROUND(D364*F364*G364*H364*I364,2)</f>
        <v>0</v>
      </c>
      <c r="K364" s="82"/>
      <c r="L364" s="222"/>
      <c r="M364" s="222"/>
      <c r="N364" s="83"/>
      <c r="O364" s="89"/>
      <c r="P364" s="88"/>
      <c r="Q364" s="88"/>
    </row>
    <row r="365" spans="1:17">
      <c r="A365" s="78"/>
      <c r="B365" s="79"/>
      <c r="C365" s="254" t="s">
        <v>251</v>
      </c>
      <c r="D365" s="87">
        <v>4</v>
      </c>
      <c r="E365" s="87" t="s">
        <v>1472</v>
      </c>
      <c r="F365" s="87">
        <v>12</v>
      </c>
      <c r="G365" s="88">
        <v>0.23</v>
      </c>
      <c r="H365" s="88">
        <v>0.2</v>
      </c>
      <c r="I365" s="88">
        <v>0.125</v>
      </c>
      <c r="J365" s="88">
        <f t="shared" si="17"/>
        <v>0.28000000000000003</v>
      </c>
      <c r="K365" s="82"/>
      <c r="L365" s="222"/>
      <c r="M365" s="222"/>
      <c r="N365" s="83"/>
      <c r="O365" s="89"/>
      <c r="P365" s="88"/>
      <c r="Q365" s="88"/>
    </row>
    <row r="366" spans="1:17">
      <c r="A366" s="78"/>
      <c r="B366" s="79"/>
      <c r="C366" s="254" t="s">
        <v>1237</v>
      </c>
      <c r="D366" s="87">
        <v>4</v>
      </c>
      <c r="E366" s="87" t="s">
        <v>1472</v>
      </c>
      <c r="F366" s="87">
        <v>1</v>
      </c>
      <c r="G366" s="88">
        <v>0.23</v>
      </c>
      <c r="H366" s="88">
        <v>0.2</v>
      </c>
      <c r="I366" s="88">
        <v>0.125</v>
      </c>
      <c r="J366" s="88">
        <f t="shared" si="17"/>
        <v>0.02</v>
      </c>
      <c r="K366" s="82"/>
      <c r="L366" s="222"/>
      <c r="M366" s="222"/>
      <c r="N366" s="83"/>
      <c r="O366" s="89"/>
      <c r="P366" s="88"/>
      <c r="Q366" s="88"/>
    </row>
    <row r="367" spans="1:17">
      <c r="A367" s="78"/>
      <c r="B367" s="79"/>
      <c r="C367" s="254" t="s">
        <v>1238</v>
      </c>
      <c r="D367" s="87">
        <v>4</v>
      </c>
      <c r="E367" s="87" t="s">
        <v>1472</v>
      </c>
      <c r="F367" s="87">
        <v>0</v>
      </c>
      <c r="G367" s="88">
        <v>0.23</v>
      </c>
      <c r="H367" s="88">
        <v>0.2</v>
      </c>
      <c r="I367" s="88">
        <v>0.125</v>
      </c>
      <c r="J367" s="88">
        <f t="shared" si="17"/>
        <v>0</v>
      </c>
      <c r="K367" s="82"/>
      <c r="L367" s="222"/>
      <c r="M367" s="222"/>
      <c r="N367" s="83"/>
      <c r="O367" s="89"/>
      <c r="P367" s="88"/>
      <c r="Q367" s="88"/>
    </row>
    <row r="368" spans="1:17">
      <c r="A368" s="78"/>
      <c r="B368" s="79"/>
      <c r="C368" s="254" t="s">
        <v>1239</v>
      </c>
      <c r="D368" s="87">
        <v>4</v>
      </c>
      <c r="E368" s="87" t="s">
        <v>1472</v>
      </c>
      <c r="F368" s="87">
        <v>2</v>
      </c>
      <c r="G368" s="88">
        <v>0.23</v>
      </c>
      <c r="H368" s="88">
        <v>0.2</v>
      </c>
      <c r="I368" s="88">
        <v>0.125</v>
      </c>
      <c r="J368" s="88">
        <f t="shared" si="17"/>
        <v>0.05</v>
      </c>
      <c r="K368" s="82"/>
      <c r="L368" s="222"/>
      <c r="M368" s="222"/>
      <c r="N368" s="83"/>
      <c r="O368" s="89"/>
      <c r="P368" s="88"/>
      <c r="Q368" s="88"/>
    </row>
    <row r="369" spans="1:17">
      <c r="A369" s="78"/>
      <c r="B369" s="79"/>
      <c r="C369" s="254" t="s">
        <v>83</v>
      </c>
      <c r="D369" s="87">
        <v>2</v>
      </c>
      <c r="E369" s="87" t="s">
        <v>1472</v>
      </c>
      <c r="F369" s="87">
        <v>2</v>
      </c>
      <c r="G369" s="88">
        <v>0.23</v>
      </c>
      <c r="H369" s="88">
        <v>0.2</v>
      </c>
      <c r="I369" s="88">
        <v>0.125</v>
      </c>
      <c r="J369" s="88">
        <f t="shared" si="17"/>
        <v>0.02</v>
      </c>
      <c r="K369" s="82"/>
      <c r="L369" s="222"/>
      <c r="M369" s="222"/>
      <c r="N369" s="83"/>
      <c r="O369" s="89"/>
      <c r="P369" s="88"/>
      <c r="Q369" s="88"/>
    </row>
    <row r="370" spans="1:17">
      <c r="A370" s="78"/>
      <c r="B370" s="79"/>
      <c r="C370" s="254"/>
      <c r="D370" s="87"/>
      <c r="E370" s="87"/>
      <c r="F370" s="87"/>
      <c r="G370" s="88"/>
      <c r="H370" s="88"/>
      <c r="I370" s="88"/>
      <c r="J370" s="88">
        <f>SUM(J348:J369)</f>
        <v>8.5400000000000009</v>
      </c>
      <c r="K370" s="82"/>
      <c r="L370" s="222"/>
      <c r="M370" s="222"/>
      <c r="N370" s="83"/>
      <c r="O370" s="89"/>
      <c r="P370" s="88"/>
      <c r="Q370" s="88"/>
    </row>
    <row r="371" spans="1:17">
      <c r="A371" s="78"/>
      <c r="B371" s="79"/>
      <c r="C371" s="254" t="s">
        <v>84</v>
      </c>
      <c r="D371" s="87"/>
      <c r="E371" s="87"/>
      <c r="F371" s="87"/>
      <c r="G371" s="88"/>
      <c r="H371" s="88"/>
      <c r="I371" s="88"/>
      <c r="J371" s="92">
        <f>J346-J370</f>
        <v>32.77000000000001</v>
      </c>
      <c r="K371" s="82"/>
      <c r="L371" s="222"/>
      <c r="M371" s="222"/>
      <c r="N371" s="83"/>
      <c r="O371" s="89"/>
      <c r="P371" s="88"/>
      <c r="Q371" s="88"/>
    </row>
    <row r="372" spans="1:17" s="378" customFormat="1">
      <c r="A372" s="196"/>
      <c r="B372" s="376" t="s">
        <v>1185</v>
      </c>
      <c r="C372" s="2763"/>
      <c r="D372" s="2763"/>
      <c r="E372" s="2763"/>
      <c r="F372" s="2763"/>
      <c r="G372" s="2763"/>
      <c r="H372" s="2763"/>
      <c r="I372" s="2763"/>
      <c r="J372" s="92">
        <f>CEILING(J371,0.05)</f>
        <v>32.800000000000004</v>
      </c>
      <c r="K372" s="379">
        <f>Datas!E632</f>
        <v>6936.09</v>
      </c>
      <c r="L372" s="222"/>
      <c r="M372" s="375">
        <f>ROUND(K372*J372,0)</f>
        <v>227504</v>
      </c>
      <c r="N372" s="403">
        <f>SUM(L372:M372)</f>
        <v>227504</v>
      </c>
      <c r="O372" s="380">
        <f>(38.5*512/1000+0.2*40)</f>
        <v>27.712</v>
      </c>
      <c r="P372" s="377">
        <f>ROUND(O372*J372,2)</f>
        <v>908.95</v>
      </c>
      <c r="Q372" s="236"/>
    </row>
    <row r="373" spans="1:17">
      <c r="A373" s="78"/>
      <c r="J373" s="92" t="s">
        <v>656</v>
      </c>
      <c r="K373" s="82" t="str">
        <f>CONCATENATE("per ",J373)</f>
        <v>per Cum.</v>
      </c>
      <c r="L373" s="222"/>
      <c r="M373" s="222"/>
      <c r="N373" s="83"/>
      <c r="O373" s="89"/>
      <c r="P373" s="88"/>
      <c r="Q373" s="88"/>
    </row>
    <row r="374" spans="1:17">
      <c r="A374" s="78"/>
      <c r="B374" s="79"/>
      <c r="C374" s="360" t="s">
        <v>1337</v>
      </c>
      <c r="D374" s="63"/>
      <c r="E374" s="63"/>
      <c r="F374" s="348"/>
      <c r="G374" s="99"/>
      <c r="H374" s="99"/>
      <c r="I374" s="99"/>
      <c r="J374" s="99"/>
      <c r="K374" s="82"/>
      <c r="L374" s="222"/>
      <c r="M374" s="222"/>
      <c r="N374" s="83"/>
      <c r="O374" s="89"/>
      <c r="P374" s="88"/>
      <c r="Q374" s="88"/>
    </row>
    <row r="375" spans="1:17" ht="21.75" customHeight="1">
      <c r="A375" s="78"/>
      <c r="B375" s="79"/>
      <c r="C375" s="250" t="s">
        <v>1264</v>
      </c>
      <c r="D375" s="87">
        <v>1</v>
      </c>
      <c r="E375" s="87" t="s">
        <v>1472</v>
      </c>
      <c r="F375" s="87">
        <v>1</v>
      </c>
      <c r="G375" s="88">
        <f>(3.3*4+0.3-5*0.3)</f>
        <v>12</v>
      </c>
      <c r="H375" s="88">
        <v>0.23</v>
      </c>
      <c r="I375" s="88">
        <v>2.7</v>
      </c>
      <c r="J375" s="88">
        <f t="shared" ref="J375:J382" si="18">ROUND(D375*F375*G375*H375*I375,2)</f>
        <v>7.45</v>
      </c>
      <c r="K375" s="82"/>
      <c r="L375" s="222"/>
      <c r="M375" s="222"/>
      <c r="N375" s="83"/>
      <c r="O375" s="89"/>
      <c r="P375" s="88"/>
      <c r="Q375" s="88"/>
    </row>
    <row r="376" spans="1:17" ht="21.75" customHeight="1">
      <c r="A376" s="78"/>
      <c r="B376" s="79"/>
      <c r="C376" s="250" t="s">
        <v>1265</v>
      </c>
      <c r="D376" s="87">
        <v>1</v>
      </c>
      <c r="E376" s="87" t="s">
        <v>1472</v>
      </c>
      <c r="F376" s="87">
        <v>1</v>
      </c>
      <c r="G376" s="88">
        <f>(3.3*3+0.3-4*0.3)</f>
        <v>9</v>
      </c>
      <c r="H376" s="88">
        <v>0.23</v>
      </c>
      <c r="I376" s="88">
        <v>2.7</v>
      </c>
      <c r="J376" s="88">
        <f>ROUND(D376*F376*G376*H376*I376,2)</f>
        <v>5.59</v>
      </c>
      <c r="K376" s="82"/>
      <c r="L376" s="222"/>
      <c r="M376" s="222"/>
      <c r="N376" s="83"/>
      <c r="O376" s="89"/>
      <c r="P376" s="88"/>
      <c r="Q376" s="88"/>
    </row>
    <row r="377" spans="1:17" ht="21.75" customHeight="1">
      <c r="A377" s="78"/>
      <c r="B377" s="79"/>
      <c r="C377" s="250" t="s">
        <v>1262</v>
      </c>
      <c r="D377" s="87">
        <v>1</v>
      </c>
      <c r="E377" s="87" t="s">
        <v>1472</v>
      </c>
      <c r="F377" s="87">
        <v>1</v>
      </c>
      <c r="G377" s="88">
        <f>(8.175+0.3-3*0.38)</f>
        <v>7.3350000000000009</v>
      </c>
      <c r="H377" s="88">
        <v>0.23</v>
      </c>
      <c r="I377" s="88">
        <v>2.7</v>
      </c>
      <c r="J377" s="88">
        <f>ROUND(D377*F377*G377*H377*I377,2)</f>
        <v>4.5599999999999996</v>
      </c>
      <c r="K377" s="82"/>
      <c r="L377" s="222"/>
      <c r="M377" s="222"/>
      <c r="N377" s="83"/>
      <c r="O377" s="89"/>
      <c r="P377" s="88"/>
      <c r="Q377" s="88"/>
    </row>
    <row r="378" spans="1:17" ht="21.75" customHeight="1">
      <c r="A378" s="78"/>
      <c r="B378" s="79"/>
      <c r="C378" s="250" t="s">
        <v>1263</v>
      </c>
      <c r="D378" s="87">
        <v>1</v>
      </c>
      <c r="E378" s="87" t="s">
        <v>1472</v>
      </c>
      <c r="F378" s="87">
        <v>1</v>
      </c>
      <c r="G378" s="88">
        <f>(3.108+0.3+0.2*0.38)</f>
        <v>3.484</v>
      </c>
      <c r="H378" s="88">
        <v>0.23</v>
      </c>
      <c r="I378" s="88">
        <v>2.7</v>
      </c>
      <c r="J378" s="88">
        <f t="shared" si="18"/>
        <v>2.16</v>
      </c>
      <c r="K378" s="82"/>
      <c r="L378" s="222"/>
      <c r="M378" s="222"/>
      <c r="N378" s="83"/>
      <c r="O378" s="89"/>
      <c r="P378" s="88"/>
      <c r="Q378" s="88"/>
    </row>
    <row r="379" spans="1:17" ht="21.75" customHeight="1">
      <c r="A379" s="78"/>
      <c r="B379" s="79"/>
      <c r="C379" s="250" t="s">
        <v>1266</v>
      </c>
      <c r="D379" s="87">
        <v>1</v>
      </c>
      <c r="E379" s="87" t="s">
        <v>1472</v>
      </c>
      <c r="F379" s="87">
        <v>2</v>
      </c>
      <c r="G379" s="88">
        <v>1.5</v>
      </c>
      <c r="H379" s="88">
        <v>0.23</v>
      </c>
      <c r="I379" s="88">
        <v>2.7</v>
      </c>
      <c r="J379" s="88">
        <f t="shared" si="18"/>
        <v>1.86</v>
      </c>
      <c r="K379" s="82"/>
      <c r="L379" s="222"/>
      <c r="M379" s="222"/>
      <c r="N379" s="83"/>
      <c r="O379" s="89"/>
      <c r="P379" s="88"/>
      <c r="Q379" s="88"/>
    </row>
    <row r="380" spans="1:17" s="3" customFormat="1" ht="16.2">
      <c r="A380" s="78"/>
      <c r="B380" s="79"/>
      <c r="C380" s="112" t="s">
        <v>1267</v>
      </c>
      <c r="D380" s="87">
        <v>1</v>
      </c>
      <c r="E380" s="87" t="s">
        <v>1472</v>
      </c>
      <c r="F380" s="87">
        <v>1</v>
      </c>
      <c r="G380" s="88">
        <f xml:space="preserve"> (3.6+3.3)</f>
        <v>6.9</v>
      </c>
      <c r="H380" s="88">
        <v>0.23</v>
      </c>
      <c r="I380" s="88">
        <v>1.2</v>
      </c>
      <c r="J380" s="88">
        <f t="shared" si="18"/>
        <v>1.9</v>
      </c>
      <c r="K380" s="82"/>
      <c r="L380" s="222"/>
      <c r="M380" s="222"/>
      <c r="N380" s="83"/>
      <c r="O380" s="89"/>
      <c r="P380" s="88"/>
      <c r="Q380" s="88"/>
    </row>
    <row r="381" spans="1:17" s="3" customFormat="1" ht="16.2">
      <c r="A381" s="78"/>
      <c r="B381" s="79"/>
      <c r="C381" s="112" t="s">
        <v>1268</v>
      </c>
      <c r="D381" s="87">
        <v>1</v>
      </c>
      <c r="E381" s="87" t="s">
        <v>1472</v>
      </c>
      <c r="F381" s="87">
        <v>1</v>
      </c>
      <c r="G381" s="88">
        <f>(3.6+3.3+3.3)</f>
        <v>10.199999999999999</v>
      </c>
      <c r="H381" s="88">
        <v>0.23</v>
      </c>
      <c r="I381" s="88">
        <v>1.2</v>
      </c>
      <c r="J381" s="88">
        <f t="shared" si="18"/>
        <v>2.82</v>
      </c>
      <c r="K381" s="82"/>
      <c r="L381" s="222"/>
      <c r="M381" s="222"/>
      <c r="N381" s="83"/>
      <c r="O381" s="89"/>
      <c r="P381" s="88"/>
      <c r="Q381" s="88"/>
    </row>
    <row r="382" spans="1:17" s="3" customFormat="1" ht="16.2">
      <c r="A382" s="78"/>
      <c r="B382" s="79"/>
      <c r="C382" s="250" t="s">
        <v>1269</v>
      </c>
      <c r="D382" s="87">
        <v>1</v>
      </c>
      <c r="E382" s="87" t="s">
        <v>1472</v>
      </c>
      <c r="F382" s="87">
        <v>1</v>
      </c>
      <c r="G382" s="88">
        <f>(8.175+0.3-3*0.38)</f>
        <v>7.3350000000000009</v>
      </c>
      <c r="H382" s="88">
        <v>0.23</v>
      </c>
      <c r="I382" s="88">
        <v>1.2</v>
      </c>
      <c r="J382" s="88">
        <f t="shared" si="18"/>
        <v>2.02</v>
      </c>
      <c r="K382" s="82"/>
      <c r="L382" s="222"/>
      <c r="M382" s="222"/>
      <c r="N382" s="83"/>
      <c r="O382" s="89"/>
      <c r="P382" s="88"/>
      <c r="Q382" s="88"/>
    </row>
    <row r="383" spans="1:17">
      <c r="A383" s="78"/>
      <c r="B383" s="79"/>
      <c r="C383" s="63"/>
      <c r="D383" s="87"/>
      <c r="E383" s="87"/>
      <c r="F383" s="87"/>
      <c r="G383" s="88"/>
      <c r="H383" s="88"/>
      <c r="I383" s="88"/>
      <c r="J383" s="88">
        <f>SUM(J375:J382)</f>
        <v>28.359999999999996</v>
      </c>
      <c r="K383" s="82"/>
      <c r="L383" s="222"/>
      <c r="M383" s="222"/>
      <c r="N383" s="83"/>
      <c r="O383" s="89"/>
      <c r="P383" s="88"/>
      <c r="Q383" s="88"/>
    </row>
    <row r="384" spans="1:17">
      <c r="A384" s="78"/>
      <c r="B384" s="79"/>
      <c r="C384" s="255" t="s">
        <v>675</v>
      </c>
      <c r="D384" s="87"/>
      <c r="E384" s="87"/>
      <c r="F384" s="87"/>
      <c r="G384" s="88"/>
      <c r="H384" s="88"/>
      <c r="I384" s="88"/>
      <c r="J384" s="88"/>
      <c r="K384" s="82"/>
      <c r="L384" s="222"/>
      <c r="M384" s="222"/>
      <c r="N384" s="83"/>
      <c r="O384" s="89"/>
      <c r="P384" s="88"/>
      <c r="Q384" s="88"/>
    </row>
    <row r="385" spans="1:17" ht="21.75" customHeight="1">
      <c r="A385" s="78"/>
      <c r="B385" s="79"/>
      <c r="C385" s="254" t="s">
        <v>1271</v>
      </c>
      <c r="D385" s="87">
        <v>1</v>
      </c>
      <c r="E385" s="87" t="s">
        <v>1472</v>
      </c>
      <c r="F385" s="87">
        <v>6</v>
      </c>
      <c r="G385" s="88">
        <v>1.35</v>
      </c>
      <c r="H385" s="88">
        <v>0.23</v>
      </c>
      <c r="I385" s="88">
        <v>1.3</v>
      </c>
      <c r="J385" s="88">
        <f>ROUND(D385*F385*G385*H385*I385,2)</f>
        <v>2.42</v>
      </c>
      <c r="K385" s="82"/>
      <c r="L385" s="222"/>
      <c r="M385" s="222"/>
      <c r="N385" s="83"/>
      <c r="O385" s="89"/>
      <c r="P385" s="88"/>
      <c r="Q385" s="88"/>
    </row>
    <row r="386" spans="1:17" ht="21.75" customHeight="1">
      <c r="A386" s="78"/>
      <c r="B386" s="79"/>
      <c r="C386" s="254" t="s">
        <v>1273</v>
      </c>
      <c r="D386" s="87">
        <v>1</v>
      </c>
      <c r="E386" s="87" t="s">
        <v>1472</v>
      </c>
      <c r="F386" s="87">
        <v>1</v>
      </c>
      <c r="G386" s="88">
        <v>1.8</v>
      </c>
      <c r="H386" s="88">
        <v>0.23</v>
      </c>
      <c r="I386" s="88">
        <v>1.3</v>
      </c>
      <c r="J386" s="88">
        <f>ROUND(D386*F386*G386*H386*I386,2)</f>
        <v>0.54</v>
      </c>
      <c r="K386" s="82"/>
      <c r="L386" s="222"/>
      <c r="M386" s="222"/>
      <c r="N386" s="83"/>
      <c r="O386" s="89"/>
      <c r="P386" s="88"/>
      <c r="Q386" s="88"/>
    </row>
    <row r="387" spans="1:17" ht="21.75" customHeight="1">
      <c r="A387" s="78"/>
      <c r="B387" s="79"/>
      <c r="C387" s="254" t="s">
        <v>1272</v>
      </c>
      <c r="D387" s="87">
        <v>1</v>
      </c>
      <c r="E387" s="87" t="s">
        <v>1472</v>
      </c>
      <c r="F387" s="87">
        <v>2</v>
      </c>
      <c r="G387" s="88">
        <v>0.9</v>
      </c>
      <c r="H387" s="88">
        <v>0.23</v>
      </c>
      <c r="I387" s="88">
        <v>1.3</v>
      </c>
      <c r="J387" s="88">
        <f>ROUND(D387*F387*G387*H387*I387,2)</f>
        <v>0.54</v>
      </c>
      <c r="K387" s="82"/>
      <c r="L387" s="222"/>
      <c r="M387" s="222"/>
      <c r="N387" s="83"/>
      <c r="O387" s="89"/>
      <c r="P387" s="88"/>
      <c r="Q387" s="88"/>
    </row>
    <row r="388" spans="1:17" ht="21.75" customHeight="1">
      <c r="A388" s="78"/>
      <c r="B388" s="79"/>
      <c r="C388" s="254" t="s">
        <v>1274</v>
      </c>
      <c r="D388" s="87">
        <v>1</v>
      </c>
      <c r="E388" s="87" t="s">
        <v>1472</v>
      </c>
      <c r="F388" s="87">
        <v>3</v>
      </c>
      <c r="G388" s="88">
        <v>0.6</v>
      </c>
      <c r="H388" s="88">
        <v>0.23</v>
      </c>
      <c r="I388" s="88">
        <v>0.6</v>
      </c>
      <c r="J388" s="88">
        <f>ROUND(D388*F388*G388*H388*I388,2)</f>
        <v>0.25</v>
      </c>
      <c r="K388" s="82"/>
      <c r="L388" s="222"/>
      <c r="M388" s="222"/>
      <c r="N388" s="83"/>
      <c r="O388" s="89"/>
      <c r="P388" s="88"/>
      <c r="Q388" s="88"/>
    </row>
    <row r="389" spans="1:17" ht="25.8">
      <c r="A389" s="78"/>
      <c r="B389" s="79"/>
      <c r="C389" s="256" t="s">
        <v>1335</v>
      </c>
      <c r="D389" s="87"/>
      <c r="E389" s="87"/>
      <c r="F389" s="87"/>
      <c r="G389" s="88"/>
      <c r="H389" s="88"/>
      <c r="I389" s="88"/>
      <c r="J389" s="88"/>
      <c r="K389" s="82"/>
      <c r="L389" s="222"/>
      <c r="M389" s="222"/>
      <c r="N389" s="83"/>
      <c r="O389" s="89"/>
      <c r="P389" s="88"/>
      <c r="Q389" s="88"/>
    </row>
    <row r="390" spans="1:17" s="3" customFormat="1" ht="21.75" customHeight="1">
      <c r="A390" s="78"/>
      <c r="B390" s="79"/>
      <c r="C390" s="254" t="s">
        <v>248</v>
      </c>
      <c r="D390" s="87">
        <v>1</v>
      </c>
      <c r="E390" s="87" t="s">
        <v>1472</v>
      </c>
      <c r="F390" s="87">
        <v>7</v>
      </c>
      <c r="G390" s="88">
        <v>1.3</v>
      </c>
      <c r="H390" s="88">
        <v>0.23</v>
      </c>
      <c r="I390" s="88">
        <v>0.15</v>
      </c>
      <c r="J390" s="88">
        <f t="shared" ref="J390:J395" si="19">ROUND(D390*F390*G390*H390*I390,2)</f>
        <v>0.31</v>
      </c>
      <c r="K390" s="82"/>
      <c r="L390" s="222"/>
      <c r="M390" s="222"/>
      <c r="N390" s="83"/>
      <c r="O390" s="89"/>
      <c r="P390" s="88"/>
      <c r="Q390" s="88"/>
    </row>
    <row r="391" spans="1:17" s="3" customFormat="1" ht="21.75" customHeight="1">
      <c r="A391" s="78"/>
      <c r="B391" s="79"/>
      <c r="C391" s="254" t="s">
        <v>249</v>
      </c>
      <c r="D391" s="87">
        <v>1</v>
      </c>
      <c r="E391" s="87" t="s">
        <v>1472</v>
      </c>
      <c r="F391" s="87">
        <v>3</v>
      </c>
      <c r="G391" s="88">
        <f>0.75+0.4</f>
        <v>1.1499999999999999</v>
      </c>
      <c r="H391" s="88">
        <v>0.23</v>
      </c>
      <c r="I391" s="88">
        <v>0.15</v>
      </c>
      <c r="J391" s="88">
        <f t="shared" si="19"/>
        <v>0.12</v>
      </c>
      <c r="K391" s="82"/>
      <c r="L391" s="222"/>
      <c r="M391" s="222"/>
      <c r="N391" s="83"/>
      <c r="O391" s="89"/>
      <c r="P391" s="88"/>
      <c r="Q391" s="88"/>
    </row>
    <row r="392" spans="1:17" ht="24.9" customHeight="1">
      <c r="A392" s="78"/>
      <c r="B392" s="79"/>
      <c r="C392" s="254" t="s">
        <v>251</v>
      </c>
      <c r="D392" s="87">
        <v>1</v>
      </c>
      <c r="E392" s="87" t="s">
        <v>1472</v>
      </c>
      <c r="F392" s="87">
        <v>6</v>
      </c>
      <c r="G392" s="88">
        <f>1.75</f>
        <v>1.75</v>
      </c>
      <c r="H392" s="88">
        <v>0.23</v>
      </c>
      <c r="I392" s="88">
        <v>0.15</v>
      </c>
      <c r="J392" s="88">
        <f t="shared" si="19"/>
        <v>0.36</v>
      </c>
      <c r="K392" s="82"/>
      <c r="L392" s="222"/>
      <c r="M392" s="222"/>
      <c r="N392" s="83"/>
      <c r="O392" s="89"/>
      <c r="P392" s="88"/>
      <c r="Q392" s="88"/>
    </row>
    <row r="393" spans="1:17" ht="24.9" customHeight="1">
      <c r="A393" s="78"/>
      <c r="B393" s="79"/>
      <c r="C393" s="254" t="s">
        <v>1237</v>
      </c>
      <c r="D393" s="87">
        <v>1</v>
      </c>
      <c r="E393" s="87" t="s">
        <v>1472</v>
      </c>
      <c r="F393" s="87">
        <v>1</v>
      </c>
      <c r="G393" s="88">
        <v>2.2000000000000002</v>
      </c>
      <c r="H393" s="88">
        <v>0.23</v>
      </c>
      <c r="I393" s="88">
        <v>0.15</v>
      </c>
      <c r="J393" s="88">
        <f t="shared" si="19"/>
        <v>0.08</v>
      </c>
      <c r="K393" s="82"/>
      <c r="L393" s="222"/>
      <c r="M393" s="222"/>
      <c r="N393" s="83"/>
      <c r="O393" s="89"/>
      <c r="P393" s="88"/>
      <c r="Q393" s="88"/>
    </row>
    <row r="394" spans="1:17" ht="24.9" customHeight="1">
      <c r="A394" s="78"/>
      <c r="B394" s="79"/>
      <c r="C394" s="254" t="s">
        <v>1238</v>
      </c>
      <c r="D394" s="87">
        <v>1</v>
      </c>
      <c r="E394" s="87" t="s">
        <v>1472</v>
      </c>
      <c r="F394" s="87">
        <v>2</v>
      </c>
      <c r="G394" s="88">
        <v>1.3</v>
      </c>
      <c r="H394" s="88">
        <v>0.23</v>
      </c>
      <c r="I394" s="88">
        <v>0.15</v>
      </c>
      <c r="J394" s="88">
        <f t="shared" si="19"/>
        <v>0.09</v>
      </c>
      <c r="K394" s="82"/>
      <c r="L394" s="222"/>
      <c r="M394" s="222"/>
      <c r="N394" s="83"/>
      <c r="O394" s="89"/>
      <c r="P394" s="88"/>
      <c r="Q394" s="88"/>
    </row>
    <row r="395" spans="1:17" ht="24.9" customHeight="1">
      <c r="A395" s="78"/>
      <c r="B395" s="79"/>
      <c r="C395" s="254" t="s">
        <v>1240</v>
      </c>
      <c r="D395" s="87">
        <v>1</v>
      </c>
      <c r="E395" s="87" t="s">
        <v>1472</v>
      </c>
      <c r="F395" s="87">
        <v>2</v>
      </c>
      <c r="G395" s="88">
        <v>1</v>
      </c>
      <c r="H395" s="88">
        <v>0.23</v>
      </c>
      <c r="I395" s="88">
        <v>0.1</v>
      </c>
      <c r="J395" s="88">
        <f t="shared" si="19"/>
        <v>0.05</v>
      </c>
      <c r="K395" s="82"/>
      <c r="L395" s="222"/>
      <c r="M395" s="222"/>
      <c r="N395" s="83"/>
      <c r="O395" s="89"/>
      <c r="P395" s="88"/>
      <c r="Q395" s="88"/>
    </row>
    <row r="396" spans="1:17" ht="25.8">
      <c r="A396" s="78"/>
      <c r="B396" s="79"/>
      <c r="C396" s="256" t="s">
        <v>1336</v>
      </c>
      <c r="D396" s="87"/>
      <c r="E396" s="87"/>
      <c r="F396" s="87"/>
      <c r="G396" s="88"/>
      <c r="H396" s="88"/>
      <c r="I396" s="88"/>
      <c r="J396" s="88"/>
      <c r="K396" s="82"/>
      <c r="L396" s="222"/>
      <c r="M396" s="222"/>
      <c r="N396" s="83"/>
      <c r="O396" s="89"/>
      <c r="P396" s="88"/>
      <c r="Q396" s="88"/>
    </row>
    <row r="397" spans="1:17">
      <c r="A397" s="78"/>
      <c r="B397" s="79"/>
      <c r="C397" s="254" t="s">
        <v>1270</v>
      </c>
      <c r="D397" s="87">
        <v>4</v>
      </c>
      <c r="E397" s="87" t="s">
        <v>1472</v>
      </c>
      <c r="F397" s="87">
        <v>9</v>
      </c>
      <c r="G397" s="88">
        <v>0.23</v>
      </c>
      <c r="H397" s="88">
        <v>0.2</v>
      </c>
      <c r="I397" s="88">
        <v>0.125</v>
      </c>
      <c r="J397" s="88">
        <f>ROUND(D397*F397*G397*H397*I397,2)</f>
        <v>0.21</v>
      </c>
      <c r="K397" s="82"/>
      <c r="L397" s="222"/>
      <c r="M397" s="222"/>
      <c r="N397" s="83"/>
      <c r="O397" s="89"/>
      <c r="P397" s="88"/>
      <c r="Q397" s="88"/>
    </row>
    <row r="398" spans="1:17">
      <c r="A398" s="78"/>
      <c r="B398" s="79"/>
      <c r="C398" s="254" t="s">
        <v>1243</v>
      </c>
      <c r="D398" s="87">
        <v>2</v>
      </c>
      <c r="E398" s="87" t="s">
        <v>1472</v>
      </c>
      <c r="F398" s="87">
        <v>2</v>
      </c>
      <c r="G398" s="88">
        <v>0.23</v>
      </c>
      <c r="H398" s="88">
        <v>0.2</v>
      </c>
      <c r="I398" s="88">
        <v>0.125</v>
      </c>
      <c r="J398" s="88">
        <f>ROUND(D398*F398*G398*H398*I398,2)</f>
        <v>0.02</v>
      </c>
      <c r="K398" s="82"/>
      <c r="L398" s="222"/>
      <c r="M398" s="222"/>
      <c r="N398" s="83"/>
      <c r="O398" s="89"/>
      <c r="P398" s="88"/>
      <c r="Q398" s="88"/>
    </row>
    <row r="399" spans="1:17">
      <c r="A399" s="78"/>
      <c r="B399" s="79"/>
      <c r="C399" s="254"/>
      <c r="D399" s="87"/>
      <c r="E399" s="87"/>
      <c r="F399" s="87"/>
      <c r="G399" s="88"/>
      <c r="H399" s="88"/>
      <c r="I399" s="88"/>
      <c r="J399" s="88">
        <f>SUM(J385:J398)</f>
        <v>4.9899999999999993</v>
      </c>
      <c r="K399" s="82"/>
      <c r="L399" s="222"/>
      <c r="M399" s="222"/>
      <c r="N399" s="83"/>
      <c r="O399" s="89"/>
      <c r="P399" s="88"/>
      <c r="Q399" s="88"/>
    </row>
    <row r="400" spans="1:17">
      <c r="A400" s="78"/>
      <c r="B400" s="79"/>
      <c r="C400" s="254" t="s">
        <v>84</v>
      </c>
      <c r="D400" s="87"/>
      <c r="E400" s="87"/>
      <c r="F400" s="87"/>
      <c r="G400" s="88"/>
      <c r="H400" s="88"/>
      <c r="I400" s="88"/>
      <c r="J400" s="92">
        <f>J383-J399</f>
        <v>23.369999999999997</v>
      </c>
      <c r="K400" s="82"/>
      <c r="L400" s="222"/>
      <c r="M400" s="222"/>
      <c r="N400" s="83"/>
      <c r="O400" s="89"/>
      <c r="P400" s="88"/>
      <c r="Q400" s="88"/>
    </row>
    <row r="401" spans="1:17" s="378" customFormat="1">
      <c r="A401" s="196"/>
      <c r="B401" s="376" t="s">
        <v>1186</v>
      </c>
      <c r="C401" s="2763"/>
      <c r="D401" s="2763"/>
      <c r="E401" s="2763"/>
      <c r="F401" s="2763"/>
      <c r="G401" s="2763"/>
      <c r="H401" s="2763"/>
      <c r="I401" s="2763"/>
      <c r="J401" s="92">
        <f>CEILING(J400,0.05)</f>
        <v>23.400000000000002</v>
      </c>
      <c r="K401" s="379">
        <f>Datas!F632</f>
        <v>7343.7150000000001</v>
      </c>
      <c r="L401" s="222"/>
      <c r="M401" s="375">
        <f>ROUND(K401*J401,0)</f>
        <v>171843</v>
      </c>
      <c r="N401" s="403">
        <f>SUM(L401:M401)</f>
        <v>171843</v>
      </c>
      <c r="O401" s="380">
        <f>(38.5*512/1000+0.2*40)</f>
        <v>27.712</v>
      </c>
      <c r="P401" s="377">
        <f>ROUND(O401*J401,2)</f>
        <v>648.46</v>
      </c>
      <c r="Q401" s="236"/>
    </row>
    <row r="402" spans="1:17">
      <c r="A402" s="115"/>
      <c r="J402" s="92" t="s">
        <v>656</v>
      </c>
      <c r="K402" s="82" t="str">
        <f>CONCATENATE("per ",J402)</f>
        <v>per Cum.</v>
      </c>
      <c r="L402" s="222"/>
      <c r="M402" s="222"/>
      <c r="N402" s="83"/>
      <c r="O402" s="89"/>
      <c r="P402" s="88"/>
      <c r="Q402" s="88"/>
    </row>
    <row r="403" spans="1:17">
      <c r="A403" s="78"/>
      <c r="B403" s="79"/>
      <c r="C403" s="360" t="s">
        <v>64</v>
      </c>
      <c r="D403" s="63"/>
      <c r="E403" s="63"/>
      <c r="F403" s="348"/>
      <c r="G403" s="99"/>
      <c r="H403" s="99"/>
      <c r="I403" s="99"/>
      <c r="J403" s="99"/>
      <c r="K403" s="82"/>
      <c r="L403" s="222"/>
      <c r="M403" s="222"/>
      <c r="N403" s="83"/>
      <c r="O403" s="89"/>
      <c r="P403" s="88"/>
      <c r="Q403" s="88"/>
    </row>
    <row r="404" spans="1:17" ht="21.75" customHeight="1">
      <c r="A404" s="78"/>
      <c r="B404" s="79"/>
      <c r="C404" s="250" t="s">
        <v>65</v>
      </c>
      <c r="D404" s="87">
        <v>1</v>
      </c>
      <c r="E404" s="87" t="s">
        <v>1472</v>
      </c>
      <c r="F404" s="87">
        <v>1</v>
      </c>
      <c r="G404" s="88">
        <v>3</v>
      </c>
      <c r="H404" s="88">
        <v>0.23</v>
      </c>
      <c r="I404" s="88">
        <v>2.7</v>
      </c>
      <c r="J404" s="88">
        <f t="shared" ref="J404:J409" si="20">ROUND(D404*F404*G404*H404*I404,2)</f>
        <v>1.86</v>
      </c>
      <c r="K404" s="82"/>
      <c r="L404" s="222"/>
      <c r="M404" s="222"/>
      <c r="N404" s="83"/>
      <c r="O404" s="89"/>
      <c r="P404" s="88"/>
      <c r="Q404" s="88"/>
    </row>
    <row r="405" spans="1:17" ht="21.75" customHeight="1">
      <c r="A405" s="78"/>
      <c r="B405" s="79"/>
      <c r="C405" s="250" t="s">
        <v>66</v>
      </c>
      <c r="D405" s="87">
        <v>1</v>
      </c>
      <c r="E405" s="87" t="s">
        <v>1472</v>
      </c>
      <c r="F405" s="87">
        <v>1</v>
      </c>
      <c r="G405" s="88">
        <v>3</v>
      </c>
      <c r="H405" s="88">
        <v>0.23</v>
      </c>
      <c r="I405" s="88">
        <v>2.7</v>
      </c>
      <c r="J405" s="88">
        <f t="shared" si="20"/>
        <v>1.86</v>
      </c>
      <c r="K405" s="82"/>
      <c r="L405" s="222"/>
      <c r="M405" s="222"/>
      <c r="N405" s="83"/>
      <c r="O405" s="89"/>
      <c r="P405" s="88"/>
      <c r="Q405" s="88"/>
    </row>
    <row r="406" spans="1:17" ht="21.75" customHeight="1">
      <c r="A406" s="78"/>
      <c r="B406" s="79"/>
      <c r="C406" s="250" t="s">
        <v>67</v>
      </c>
      <c r="D406" s="87">
        <v>1</v>
      </c>
      <c r="E406" s="87" t="s">
        <v>1472</v>
      </c>
      <c r="F406" s="87">
        <v>1</v>
      </c>
      <c r="G406" s="88">
        <f>(3.108+0.23-0.38*2)</f>
        <v>2.5780000000000003</v>
      </c>
      <c r="H406" s="88">
        <v>0.23</v>
      </c>
      <c r="I406" s="88">
        <v>2.7</v>
      </c>
      <c r="J406" s="88">
        <f t="shared" si="20"/>
        <v>1.6</v>
      </c>
      <c r="K406" s="82"/>
      <c r="L406" s="222"/>
      <c r="M406" s="222"/>
      <c r="N406" s="83"/>
      <c r="O406" s="89"/>
      <c r="P406" s="88"/>
      <c r="Q406" s="88"/>
    </row>
    <row r="407" spans="1:17" ht="21.75" customHeight="1">
      <c r="A407" s="78"/>
      <c r="B407" s="79"/>
      <c r="C407" s="250" t="s">
        <v>68</v>
      </c>
      <c r="D407" s="87">
        <v>1</v>
      </c>
      <c r="E407" s="87" t="s">
        <v>1472</v>
      </c>
      <c r="F407" s="87">
        <v>1</v>
      </c>
      <c r="G407" s="88">
        <v>2.58</v>
      </c>
      <c r="H407" s="88">
        <v>0.23</v>
      </c>
      <c r="I407" s="88">
        <v>2.7</v>
      </c>
      <c r="J407" s="88">
        <f t="shared" si="20"/>
        <v>1.6</v>
      </c>
      <c r="K407" s="82"/>
      <c r="L407" s="222"/>
      <c r="M407" s="222"/>
      <c r="N407" s="83"/>
      <c r="O407" s="89"/>
      <c r="P407" s="88"/>
      <c r="Q407" s="88"/>
    </row>
    <row r="408" spans="1:17" ht="21.75" customHeight="1">
      <c r="A408" s="78"/>
      <c r="B408" s="79"/>
      <c r="C408" s="250" t="s">
        <v>1266</v>
      </c>
      <c r="D408" s="87">
        <v>1</v>
      </c>
      <c r="E408" s="87" t="s">
        <v>1472</v>
      </c>
      <c r="F408" s="87">
        <v>2</v>
      </c>
      <c r="G408" s="88">
        <v>1.5</v>
      </c>
      <c r="H408" s="88">
        <v>0.23</v>
      </c>
      <c r="I408" s="88">
        <v>2.7</v>
      </c>
      <c r="J408" s="88">
        <f t="shared" si="20"/>
        <v>1.86</v>
      </c>
      <c r="K408" s="82"/>
      <c r="L408" s="222"/>
      <c r="M408" s="222"/>
      <c r="N408" s="83"/>
      <c r="O408" s="89"/>
      <c r="P408" s="88"/>
      <c r="Q408" s="88"/>
    </row>
    <row r="409" spans="1:17" ht="21">
      <c r="A409" s="78"/>
      <c r="B409" s="79"/>
      <c r="C409" s="63" t="s">
        <v>756</v>
      </c>
      <c r="D409" s="87">
        <v>1</v>
      </c>
      <c r="E409" s="87" t="s">
        <v>1472</v>
      </c>
      <c r="F409" s="87">
        <v>1</v>
      </c>
      <c r="G409" s="88">
        <f>(3.3*4+3.1+4.84)*2</f>
        <v>42.28</v>
      </c>
      <c r="H409" s="88">
        <v>0.23</v>
      </c>
      <c r="I409" s="88">
        <v>0.9</v>
      </c>
      <c r="J409" s="88">
        <f t="shared" si="20"/>
        <v>8.75</v>
      </c>
      <c r="K409" s="82"/>
      <c r="L409" s="222"/>
      <c r="M409" s="222"/>
      <c r="N409" s="83"/>
      <c r="O409" s="89"/>
      <c r="P409" s="88"/>
      <c r="Q409" s="88"/>
    </row>
    <row r="410" spans="1:17">
      <c r="A410" s="78"/>
      <c r="B410" s="79"/>
      <c r="C410" s="255" t="s">
        <v>675</v>
      </c>
      <c r="D410" s="87"/>
      <c r="E410" s="87"/>
      <c r="F410" s="87"/>
      <c r="G410" s="88"/>
      <c r="H410" s="88"/>
      <c r="I410" s="88"/>
      <c r="J410" s="88">
        <f>SUM(J404:J409)</f>
        <v>17.53</v>
      </c>
      <c r="K410" s="82"/>
      <c r="L410" s="222"/>
      <c r="M410" s="222"/>
      <c r="N410" s="83"/>
      <c r="O410" s="89"/>
      <c r="P410" s="88"/>
      <c r="Q410" s="88"/>
    </row>
    <row r="411" spans="1:17" ht="21.75" customHeight="1">
      <c r="A411" s="78"/>
      <c r="B411" s="79"/>
      <c r="C411" s="254" t="s">
        <v>69</v>
      </c>
      <c r="D411" s="87">
        <v>1</v>
      </c>
      <c r="E411" s="87" t="s">
        <v>1472</v>
      </c>
      <c r="F411" s="87">
        <v>1</v>
      </c>
      <c r="G411" s="88">
        <v>0.9</v>
      </c>
      <c r="H411" s="88">
        <v>0.23</v>
      </c>
      <c r="I411" s="88">
        <v>2.1</v>
      </c>
      <c r="J411" s="88">
        <f>ROUND(D411*F411*G411*H411*I411,2)</f>
        <v>0.43</v>
      </c>
      <c r="K411" s="82"/>
      <c r="L411" s="222"/>
      <c r="M411" s="222"/>
      <c r="N411" s="83"/>
      <c r="O411" s="89"/>
      <c r="P411" s="88"/>
      <c r="Q411" s="88"/>
    </row>
    <row r="412" spans="1:17" ht="25.8">
      <c r="A412" s="78"/>
      <c r="B412" s="79"/>
      <c r="C412" s="256" t="s">
        <v>1335</v>
      </c>
      <c r="D412" s="87"/>
      <c r="E412" s="87"/>
      <c r="F412" s="87"/>
      <c r="G412" s="88"/>
      <c r="H412" s="88"/>
      <c r="I412" s="88"/>
      <c r="J412" s="88"/>
      <c r="K412" s="82"/>
      <c r="L412" s="222"/>
      <c r="M412" s="222"/>
      <c r="N412" s="83"/>
      <c r="O412" s="89"/>
      <c r="P412" s="88"/>
      <c r="Q412" s="88"/>
    </row>
    <row r="413" spans="1:17" s="3" customFormat="1" ht="21.75" customHeight="1">
      <c r="A413" s="78"/>
      <c r="B413" s="79"/>
      <c r="C413" s="254" t="s">
        <v>69</v>
      </c>
      <c r="D413" s="87">
        <v>1</v>
      </c>
      <c r="E413" s="87" t="s">
        <v>1472</v>
      </c>
      <c r="F413" s="87">
        <v>1</v>
      </c>
      <c r="G413" s="88">
        <v>1.3</v>
      </c>
      <c r="H413" s="88">
        <v>0.23</v>
      </c>
      <c r="I413" s="88">
        <v>0.15</v>
      </c>
      <c r="J413" s="88">
        <f>ROUND(D413*F413*G413*H413*I413,2)</f>
        <v>0.04</v>
      </c>
      <c r="K413" s="82"/>
      <c r="L413" s="222"/>
      <c r="M413" s="222"/>
      <c r="N413" s="83"/>
      <c r="O413" s="89"/>
      <c r="P413" s="88"/>
      <c r="Q413" s="88"/>
    </row>
    <row r="414" spans="1:17" ht="25.8">
      <c r="A414" s="78"/>
      <c r="B414" s="79"/>
      <c r="C414" s="256" t="s">
        <v>1336</v>
      </c>
      <c r="D414" s="87"/>
      <c r="E414" s="87"/>
      <c r="F414" s="87"/>
      <c r="G414" s="88"/>
      <c r="H414" s="88"/>
      <c r="I414" s="88"/>
      <c r="J414" s="88"/>
      <c r="K414" s="82"/>
      <c r="L414" s="222"/>
      <c r="M414" s="222"/>
      <c r="N414" s="83"/>
      <c r="O414" s="89"/>
      <c r="P414" s="88"/>
      <c r="Q414" s="88"/>
    </row>
    <row r="415" spans="1:17">
      <c r="A415" s="78"/>
      <c r="B415" s="79"/>
      <c r="C415" s="254" t="s">
        <v>69</v>
      </c>
      <c r="D415" s="87">
        <v>4</v>
      </c>
      <c r="E415" s="87" t="s">
        <v>1472</v>
      </c>
      <c r="F415" s="87">
        <v>1</v>
      </c>
      <c r="G415" s="88">
        <v>0.23</v>
      </c>
      <c r="H415" s="88">
        <v>0.2</v>
      </c>
      <c r="I415" s="88">
        <v>0.125</v>
      </c>
      <c r="J415" s="88">
        <f>ROUND(D415*F415*G415*H415*I415,2)</f>
        <v>0.02</v>
      </c>
      <c r="K415" s="82"/>
      <c r="L415" s="222"/>
      <c r="M415" s="222"/>
      <c r="N415" s="83"/>
      <c r="O415" s="89"/>
      <c r="P415" s="88"/>
      <c r="Q415" s="88"/>
    </row>
    <row r="416" spans="1:17">
      <c r="A416" s="78"/>
      <c r="B416" s="79"/>
      <c r="C416" s="254"/>
      <c r="D416" s="87"/>
      <c r="E416" s="87"/>
      <c r="F416" s="87"/>
      <c r="G416" s="88"/>
      <c r="H416" s="88"/>
      <c r="I416" s="88"/>
      <c r="J416" s="88">
        <f>SUM(J411:J415)</f>
        <v>0.49</v>
      </c>
      <c r="K416" s="82"/>
      <c r="L416" s="222"/>
      <c r="M416" s="222"/>
      <c r="N416" s="83"/>
      <c r="O416" s="89"/>
      <c r="P416" s="88"/>
      <c r="Q416" s="88"/>
    </row>
    <row r="417" spans="1:17">
      <c r="A417" s="78"/>
      <c r="B417" s="79"/>
      <c r="C417" s="254" t="s">
        <v>84</v>
      </c>
      <c r="D417" s="87"/>
      <c r="E417" s="87"/>
      <c r="F417" s="87"/>
      <c r="G417" s="88"/>
      <c r="H417" s="88"/>
      <c r="I417" s="88"/>
      <c r="J417" s="92">
        <f>J410-J416</f>
        <v>17.040000000000003</v>
      </c>
      <c r="K417" s="82"/>
      <c r="L417" s="222"/>
      <c r="M417" s="222"/>
      <c r="N417" s="83"/>
      <c r="O417" s="89"/>
      <c r="P417" s="88"/>
      <c r="Q417" s="88"/>
    </row>
    <row r="418" spans="1:17" s="378" customFormat="1">
      <c r="A418" s="196"/>
      <c r="B418" s="376" t="s">
        <v>1187</v>
      </c>
      <c r="C418" s="2763"/>
      <c r="D418" s="2763"/>
      <c r="E418" s="2763"/>
      <c r="F418" s="2763"/>
      <c r="G418" s="2763"/>
      <c r="H418" s="2763"/>
      <c r="I418" s="2763"/>
      <c r="J418" s="92">
        <f>CEILING(J417,0.05)</f>
        <v>17.05</v>
      </c>
      <c r="K418" s="379">
        <f>Datas!G632</f>
        <v>7805.0182800000002</v>
      </c>
      <c r="L418" s="222"/>
      <c r="M418" s="375">
        <f>ROUND(K418*J418,0)</f>
        <v>133076</v>
      </c>
      <c r="N418" s="403">
        <f>SUM(L418:M418)</f>
        <v>133076</v>
      </c>
      <c r="O418" s="380">
        <f>(38.5*512/1000+0.2*40)</f>
        <v>27.712</v>
      </c>
      <c r="P418" s="377">
        <f>ROUND(O418*J418,2)</f>
        <v>472.49</v>
      </c>
      <c r="Q418" s="236"/>
    </row>
    <row r="419" spans="1:17">
      <c r="A419" s="115"/>
      <c r="J419" s="92" t="s">
        <v>656</v>
      </c>
      <c r="K419" s="82" t="str">
        <f>CONCATENATE("per ",J419)</f>
        <v>per Cum.</v>
      </c>
      <c r="L419" s="222"/>
      <c r="M419" s="222"/>
      <c r="N419" s="83"/>
      <c r="O419" s="89"/>
      <c r="P419" s="88"/>
      <c r="Q419" s="88"/>
    </row>
    <row r="420" spans="1:17" ht="174.9" customHeight="1">
      <c r="A420" s="78">
        <v>12</v>
      </c>
      <c r="B420" s="79"/>
      <c r="C420" s="2765" t="s">
        <v>612</v>
      </c>
      <c r="D420" s="2740"/>
      <c r="E420" s="2740"/>
      <c r="F420" s="2740"/>
      <c r="G420" s="2740"/>
      <c r="H420" s="2740"/>
      <c r="I420" s="2740"/>
      <c r="J420" s="2740"/>
      <c r="K420" s="82"/>
      <c r="L420" s="222"/>
      <c r="M420" s="222"/>
      <c r="N420" s="83"/>
      <c r="O420" s="89"/>
      <c r="P420" s="88"/>
      <c r="Q420" s="88"/>
    </row>
    <row r="421" spans="1:17">
      <c r="A421" s="78"/>
      <c r="B421" s="79"/>
      <c r="C421" s="287" t="s">
        <v>847</v>
      </c>
      <c r="D421" s="63"/>
      <c r="E421" s="63"/>
      <c r="F421" s="348"/>
      <c r="G421" s="99"/>
      <c r="H421" s="99"/>
      <c r="I421" s="99"/>
      <c r="J421" s="99"/>
      <c r="K421" s="82"/>
      <c r="L421" s="222"/>
      <c r="M421" s="222"/>
      <c r="N421" s="83"/>
      <c r="O421" s="89"/>
      <c r="P421" s="88"/>
      <c r="Q421" s="88"/>
    </row>
    <row r="422" spans="1:17" ht="21.75" customHeight="1">
      <c r="A422" s="78"/>
      <c r="B422" s="79"/>
      <c r="C422" s="250" t="s">
        <v>1275</v>
      </c>
      <c r="D422" s="87">
        <v>1</v>
      </c>
      <c r="E422" s="87" t="s">
        <v>1472</v>
      </c>
      <c r="F422" s="87">
        <v>1</v>
      </c>
      <c r="G422" s="88">
        <f>(8.175+0.3-3*0.38)</f>
        <v>7.3350000000000009</v>
      </c>
      <c r="H422" s="248">
        <v>0.115</v>
      </c>
      <c r="I422" s="248">
        <v>2.875</v>
      </c>
      <c r="J422" s="88">
        <f t="shared" ref="J422:J428" si="21">ROUND(D422*F422*G422*H422*I422,2)</f>
        <v>2.4300000000000002</v>
      </c>
      <c r="K422" s="257"/>
      <c r="L422" s="222"/>
      <c r="M422" s="222"/>
      <c r="N422" s="83"/>
      <c r="O422" s="89"/>
      <c r="P422" s="88"/>
      <c r="Q422" s="88"/>
    </row>
    <row r="423" spans="1:17" ht="21.75" customHeight="1">
      <c r="A423" s="78"/>
      <c r="B423" s="79"/>
      <c r="C423" s="250" t="s">
        <v>1276</v>
      </c>
      <c r="D423" s="87">
        <v>1</v>
      </c>
      <c r="E423" s="87" t="s">
        <v>1472</v>
      </c>
      <c r="F423" s="87">
        <v>1</v>
      </c>
      <c r="G423" s="88">
        <f>(8.175+0.3-3*0.38)</f>
        <v>7.3350000000000009</v>
      </c>
      <c r="H423" s="248">
        <v>0.115</v>
      </c>
      <c r="I423" s="248">
        <v>2.875</v>
      </c>
      <c r="J423" s="88">
        <f t="shared" si="21"/>
        <v>2.4300000000000002</v>
      </c>
      <c r="K423" s="257"/>
      <c r="L423" s="222"/>
      <c r="M423" s="222"/>
      <c r="N423" s="83"/>
      <c r="O423" s="89"/>
      <c r="P423" s="88"/>
      <c r="Q423" s="88"/>
    </row>
    <row r="424" spans="1:17" ht="21.75" customHeight="1">
      <c r="A424" s="78"/>
      <c r="B424" s="79"/>
      <c r="C424" s="250" t="s">
        <v>1277</v>
      </c>
      <c r="D424" s="87">
        <v>1</v>
      </c>
      <c r="E424" s="87" t="s">
        <v>1472</v>
      </c>
      <c r="F424" s="87">
        <v>1</v>
      </c>
      <c r="G424" s="88">
        <f>(8.175+0.3-3*0.38)</f>
        <v>7.3350000000000009</v>
      </c>
      <c r="H424" s="248">
        <v>0.115</v>
      </c>
      <c r="I424" s="248">
        <v>2.875</v>
      </c>
      <c r="J424" s="88">
        <f>ROUND(D424*F424*G424*H424*I424,2)</f>
        <v>2.4300000000000002</v>
      </c>
      <c r="K424" s="257"/>
      <c r="L424" s="222"/>
      <c r="M424" s="222"/>
      <c r="N424" s="83"/>
      <c r="O424" s="89"/>
      <c r="P424" s="88"/>
      <c r="Q424" s="88"/>
    </row>
    <row r="425" spans="1:17" ht="21.75" customHeight="1">
      <c r="A425" s="78"/>
      <c r="B425" s="79"/>
      <c r="C425" s="250" t="s">
        <v>1278</v>
      </c>
      <c r="D425" s="87">
        <v>1</v>
      </c>
      <c r="E425" s="87" t="s">
        <v>1472</v>
      </c>
      <c r="F425" s="87">
        <v>1</v>
      </c>
      <c r="G425" s="88">
        <f>(8.175+0.3-3*0.38)</f>
        <v>7.3350000000000009</v>
      </c>
      <c r="H425" s="248">
        <v>0.115</v>
      </c>
      <c r="I425" s="248">
        <v>2.875</v>
      </c>
      <c r="J425" s="88">
        <f>ROUND(D425*F425*G425*H425*I425,2)</f>
        <v>2.4300000000000002</v>
      </c>
      <c r="K425" s="257"/>
      <c r="L425" s="222"/>
      <c r="M425" s="222"/>
      <c r="N425" s="83"/>
      <c r="O425" s="89"/>
      <c r="P425" s="88"/>
      <c r="Q425" s="88"/>
    </row>
    <row r="426" spans="1:17" ht="21.75" customHeight="1">
      <c r="A426" s="78"/>
      <c r="B426" s="79"/>
      <c r="C426" s="250" t="s">
        <v>1280</v>
      </c>
      <c r="D426" s="87">
        <v>1</v>
      </c>
      <c r="E426" s="87" t="s">
        <v>1472</v>
      </c>
      <c r="F426" s="87">
        <v>1</v>
      </c>
      <c r="G426" s="88">
        <v>3.8</v>
      </c>
      <c r="H426" s="248">
        <v>0.115</v>
      </c>
      <c r="I426" s="248">
        <v>3.1749999999999998</v>
      </c>
      <c r="J426" s="88">
        <f t="shared" si="21"/>
        <v>1.39</v>
      </c>
      <c r="K426" s="82"/>
      <c r="L426" s="222"/>
      <c r="M426" s="222"/>
      <c r="N426" s="83"/>
      <c r="O426" s="89"/>
      <c r="P426" s="88"/>
      <c r="Q426" s="88"/>
    </row>
    <row r="427" spans="1:17" ht="21.75" customHeight="1">
      <c r="A427" s="78"/>
      <c r="B427" s="79"/>
      <c r="C427" s="250" t="s">
        <v>1279</v>
      </c>
      <c r="D427" s="87">
        <v>1</v>
      </c>
      <c r="E427" s="87" t="s">
        <v>1472</v>
      </c>
      <c r="F427" s="87">
        <v>2</v>
      </c>
      <c r="G427" s="88">
        <v>1.2</v>
      </c>
      <c r="H427" s="248">
        <v>0.115</v>
      </c>
      <c r="I427" s="248">
        <v>3.1749999999999998</v>
      </c>
      <c r="J427" s="88">
        <f t="shared" si="21"/>
        <v>0.88</v>
      </c>
      <c r="K427" s="82"/>
      <c r="L427" s="222"/>
      <c r="M427" s="222"/>
      <c r="N427" s="83"/>
      <c r="O427" s="89"/>
      <c r="P427" s="88"/>
      <c r="Q427" s="88"/>
    </row>
    <row r="428" spans="1:17" ht="21.75" customHeight="1">
      <c r="A428" s="78"/>
      <c r="B428" s="79"/>
      <c r="C428" s="250" t="s">
        <v>1281</v>
      </c>
      <c r="D428" s="87">
        <v>1</v>
      </c>
      <c r="E428" s="87" t="s">
        <v>1472</v>
      </c>
      <c r="F428" s="87">
        <v>1</v>
      </c>
      <c r="G428" s="88">
        <f>(3.108+0.23-2*0.38)+0.3</f>
        <v>2.8780000000000001</v>
      </c>
      <c r="H428" s="248">
        <v>0.115</v>
      </c>
      <c r="I428" s="248">
        <v>1.5</v>
      </c>
      <c r="J428" s="88">
        <f t="shared" si="21"/>
        <v>0.5</v>
      </c>
      <c r="K428" s="82"/>
      <c r="L428" s="222"/>
      <c r="M428" s="222"/>
      <c r="N428" s="83"/>
      <c r="O428" s="89"/>
      <c r="P428" s="88"/>
      <c r="Q428" s="88"/>
    </row>
    <row r="429" spans="1:17">
      <c r="A429" s="78"/>
      <c r="B429" s="79"/>
      <c r="C429" s="63"/>
      <c r="D429" s="87"/>
      <c r="E429" s="87"/>
      <c r="F429" s="87"/>
      <c r="G429" s="88"/>
      <c r="H429" s="88"/>
      <c r="I429" s="88"/>
      <c r="J429" s="88">
        <f>SUM(J422:J428)</f>
        <v>12.490000000000002</v>
      </c>
      <c r="K429" s="82"/>
      <c r="L429" s="222"/>
      <c r="M429" s="222"/>
      <c r="N429" s="83"/>
      <c r="O429" s="89"/>
      <c r="P429" s="88"/>
      <c r="Q429" s="88"/>
    </row>
    <row r="430" spans="1:17">
      <c r="A430" s="78"/>
      <c r="B430" s="79"/>
      <c r="C430" s="255" t="s">
        <v>675</v>
      </c>
      <c r="D430" s="87"/>
      <c r="E430" s="87"/>
      <c r="F430" s="87"/>
      <c r="G430" s="88"/>
      <c r="H430" s="88"/>
      <c r="I430" s="88"/>
      <c r="J430" s="88"/>
      <c r="K430" s="82"/>
      <c r="L430" s="222"/>
      <c r="M430" s="222"/>
      <c r="N430" s="83"/>
      <c r="O430" s="89"/>
      <c r="P430" s="88"/>
      <c r="Q430" s="88"/>
    </row>
    <row r="431" spans="1:17" ht="21.75" customHeight="1">
      <c r="A431" s="78"/>
      <c r="B431" s="79"/>
      <c r="C431" s="254" t="s">
        <v>101</v>
      </c>
      <c r="D431" s="87">
        <v>1</v>
      </c>
      <c r="E431" s="87" t="s">
        <v>1472</v>
      </c>
      <c r="F431" s="87">
        <v>6</v>
      </c>
      <c r="G431" s="88">
        <v>0.9</v>
      </c>
      <c r="H431" s="248">
        <v>0.115</v>
      </c>
      <c r="I431" s="88">
        <v>2.1</v>
      </c>
      <c r="J431" s="88">
        <f>ROUND(D431*F431*G431*H431*I431,2)</f>
        <v>1.3</v>
      </c>
      <c r="K431" s="82"/>
      <c r="L431" s="222"/>
      <c r="M431" s="222"/>
      <c r="N431" s="83"/>
      <c r="O431" s="89"/>
      <c r="P431" s="88"/>
      <c r="Q431" s="88"/>
    </row>
    <row r="432" spans="1:17" ht="21.75" customHeight="1">
      <c r="A432" s="78"/>
      <c r="B432" s="79"/>
      <c r="C432" s="254" t="s">
        <v>102</v>
      </c>
      <c r="D432" s="87">
        <v>1</v>
      </c>
      <c r="E432" s="87" t="s">
        <v>1472</v>
      </c>
      <c r="F432" s="87">
        <v>3</v>
      </c>
      <c r="G432" s="88">
        <v>0.75</v>
      </c>
      <c r="H432" s="248">
        <v>0.115</v>
      </c>
      <c r="I432" s="88">
        <v>2.1</v>
      </c>
      <c r="J432" s="88">
        <f>ROUND(D432*F432*G432*H432*I432,2)</f>
        <v>0.54</v>
      </c>
      <c r="K432" s="82"/>
      <c r="L432" s="222"/>
      <c r="M432" s="222"/>
      <c r="N432" s="83"/>
      <c r="O432" s="89"/>
      <c r="P432" s="88"/>
      <c r="Q432" s="88"/>
    </row>
    <row r="433" spans="1:17" ht="25.8">
      <c r="A433" s="78"/>
      <c r="B433" s="79"/>
      <c r="C433" s="256" t="s">
        <v>1335</v>
      </c>
      <c r="D433" s="87"/>
      <c r="E433" s="87"/>
      <c r="F433" s="87"/>
      <c r="G433" s="88"/>
      <c r="H433" s="88"/>
      <c r="I433" s="88"/>
      <c r="J433" s="88"/>
      <c r="K433" s="82"/>
      <c r="L433" s="222"/>
      <c r="M433" s="222"/>
      <c r="N433" s="83"/>
      <c r="O433" s="89"/>
      <c r="P433" s="88"/>
      <c r="Q433" s="88"/>
    </row>
    <row r="434" spans="1:17" ht="21.75" customHeight="1">
      <c r="A434" s="78"/>
      <c r="B434" s="79"/>
      <c r="C434" s="254" t="s">
        <v>101</v>
      </c>
      <c r="D434" s="87">
        <v>1</v>
      </c>
      <c r="E434" s="87" t="s">
        <v>1472</v>
      </c>
      <c r="F434" s="87">
        <v>6</v>
      </c>
      <c r="G434" s="88">
        <v>1.3</v>
      </c>
      <c r="H434" s="248">
        <v>0.115</v>
      </c>
      <c r="I434" s="88">
        <v>0.15</v>
      </c>
      <c r="J434" s="88">
        <f>ROUND(D434*F434*G434*H434*I434,2)</f>
        <v>0.13</v>
      </c>
      <c r="K434" s="82"/>
      <c r="L434" s="222"/>
      <c r="M434" s="222"/>
      <c r="N434" s="83"/>
      <c r="O434" s="89"/>
      <c r="P434" s="88"/>
      <c r="Q434" s="88"/>
    </row>
    <row r="435" spans="1:17" ht="21.75" customHeight="1">
      <c r="A435" s="78"/>
      <c r="B435" s="79"/>
      <c r="C435" s="254" t="s">
        <v>102</v>
      </c>
      <c r="D435" s="87">
        <v>1</v>
      </c>
      <c r="E435" s="87" t="s">
        <v>1472</v>
      </c>
      <c r="F435" s="87">
        <v>3</v>
      </c>
      <c r="G435" s="88">
        <f>0.75+0.4</f>
        <v>1.1499999999999999</v>
      </c>
      <c r="H435" s="248">
        <v>0.115</v>
      </c>
      <c r="I435" s="88">
        <v>0.15</v>
      </c>
      <c r="J435" s="88">
        <f>ROUND(D435*F435*G435*H435*I435,2)</f>
        <v>0.06</v>
      </c>
      <c r="K435" s="82"/>
      <c r="L435" s="222"/>
      <c r="M435" s="222"/>
      <c r="N435" s="83"/>
      <c r="O435" s="89"/>
      <c r="P435" s="88"/>
      <c r="Q435" s="88"/>
    </row>
    <row r="436" spans="1:17" ht="25.8">
      <c r="A436" s="78"/>
      <c r="B436" s="79"/>
      <c r="C436" s="256" t="s">
        <v>1336</v>
      </c>
      <c r="D436" s="87"/>
      <c r="E436" s="87"/>
      <c r="F436" s="87"/>
      <c r="G436" s="88"/>
      <c r="H436" s="88"/>
      <c r="I436" s="88"/>
      <c r="J436" s="88"/>
      <c r="K436" s="82"/>
      <c r="L436" s="222"/>
      <c r="M436" s="222"/>
      <c r="N436" s="83"/>
      <c r="O436" s="89"/>
      <c r="P436" s="88"/>
      <c r="Q436" s="88"/>
    </row>
    <row r="437" spans="1:17" ht="21.75" customHeight="1">
      <c r="A437" s="78"/>
      <c r="B437" s="79"/>
      <c r="C437" s="254" t="s">
        <v>101</v>
      </c>
      <c r="D437" s="87">
        <v>1</v>
      </c>
      <c r="E437" s="87" t="s">
        <v>1472</v>
      </c>
      <c r="F437" s="87">
        <v>6</v>
      </c>
      <c r="G437" s="248">
        <v>0.115</v>
      </c>
      <c r="H437" s="88">
        <v>0.2</v>
      </c>
      <c r="I437" s="88">
        <v>0.125</v>
      </c>
      <c r="J437" s="88">
        <f>ROUND(D437*F437*G437*H437*I437,2)</f>
        <v>0.02</v>
      </c>
      <c r="K437" s="82"/>
      <c r="L437" s="222"/>
      <c r="M437" s="222"/>
      <c r="N437" s="83"/>
      <c r="O437" s="89"/>
      <c r="P437" s="88"/>
      <c r="Q437" s="88"/>
    </row>
    <row r="438" spans="1:17" ht="21.75" customHeight="1">
      <c r="A438" s="78"/>
      <c r="B438" s="79"/>
      <c r="C438" s="254" t="s">
        <v>102</v>
      </c>
      <c r="D438" s="87">
        <v>1</v>
      </c>
      <c r="E438" s="87" t="s">
        <v>1472</v>
      </c>
      <c r="F438" s="87">
        <v>3</v>
      </c>
      <c r="G438" s="248">
        <v>0.115</v>
      </c>
      <c r="H438" s="88">
        <v>0.2</v>
      </c>
      <c r="I438" s="88">
        <v>0.125</v>
      </c>
      <c r="J438" s="88">
        <f>ROUND(D438*F438*G438*H438*I438,2)</f>
        <v>0.01</v>
      </c>
      <c r="K438" s="82"/>
      <c r="L438" s="222"/>
      <c r="M438" s="222"/>
      <c r="N438" s="83"/>
      <c r="O438" s="89"/>
      <c r="P438" s="88"/>
      <c r="Q438" s="88"/>
    </row>
    <row r="439" spans="1:17">
      <c r="A439" s="78"/>
      <c r="B439" s="79"/>
      <c r="C439" s="254"/>
      <c r="D439" s="87"/>
      <c r="E439" s="87"/>
      <c r="F439" s="87"/>
      <c r="G439" s="88"/>
      <c r="H439" s="88"/>
      <c r="I439" s="88"/>
      <c r="J439" s="88">
        <f>SUM(J431:J438)</f>
        <v>2.06</v>
      </c>
      <c r="K439" s="82"/>
      <c r="L439" s="222"/>
      <c r="M439" s="222"/>
      <c r="N439" s="83"/>
      <c r="O439" s="89"/>
      <c r="P439" s="88"/>
      <c r="Q439" s="88"/>
    </row>
    <row r="440" spans="1:17">
      <c r="A440" s="78"/>
      <c r="B440" s="79"/>
      <c r="C440" s="254" t="s">
        <v>84</v>
      </c>
      <c r="D440" s="87"/>
      <c r="E440" s="87"/>
      <c r="F440" s="87"/>
      <c r="G440" s="88"/>
      <c r="H440" s="88"/>
      <c r="I440" s="88"/>
      <c r="J440" s="92">
        <f>J429-J439</f>
        <v>10.430000000000001</v>
      </c>
      <c r="K440" s="82"/>
      <c r="L440" s="222"/>
      <c r="M440" s="222"/>
      <c r="N440" s="83"/>
      <c r="O440" s="89"/>
      <c r="P440" s="88"/>
      <c r="Q440" s="88"/>
    </row>
    <row r="441" spans="1:17" s="378" customFormat="1">
      <c r="A441" s="196"/>
      <c r="B441" s="376" t="s">
        <v>613</v>
      </c>
      <c r="C441" s="2763"/>
      <c r="D441" s="2763"/>
      <c r="E441" s="2763"/>
      <c r="F441" s="2763"/>
      <c r="G441" s="2763"/>
      <c r="H441" s="2763"/>
      <c r="I441" s="2763"/>
      <c r="J441" s="92">
        <f>CEILING(J440,0.05)</f>
        <v>10.450000000000001</v>
      </c>
      <c r="K441" s="379">
        <f>Datas!E957</f>
        <v>8003.4000000000005</v>
      </c>
      <c r="L441" s="222"/>
      <c r="M441" s="375">
        <f>ROUND(K441*J441,0)</f>
        <v>83636</v>
      </c>
      <c r="N441" s="403">
        <f>SUM(L441:M441)</f>
        <v>83636</v>
      </c>
      <c r="O441" s="380">
        <f>(38.5*512/1000+0.2*40)</f>
        <v>27.712</v>
      </c>
      <c r="P441" s="377">
        <f>ROUND(O441*J441,2)</f>
        <v>289.58999999999997</v>
      </c>
      <c r="Q441" s="236"/>
    </row>
    <row r="442" spans="1:17">
      <c r="A442" s="115"/>
      <c r="J442" s="92" t="s">
        <v>656</v>
      </c>
      <c r="K442" s="82" t="str">
        <f>CONCATENATE("per ",J442)</f>
        <v>per Cum.</v>
      </c>
      <c r="L442" s="222"/>
      <c r="M442" s="222"/>
      <c r="N442" s="83"/>
      <c r="O442" s="89"/>
      <c r="P442" s="88"/>
      <c r="Q442" s="88"/>
    </row>
    <row r="443" spans="1:17">
      <c r="A443" s="78"/>
      <c r="B443" s="79"/>
      <c r="C443" s="287" t="s">
        <v>1084</v>
      </c>
      <c r="D443" s="63"/>
      <c r="E443" s="63"/>
      <c r="F443" s="348"/>
      <c r="G443" s="99"/>
      <c r="H443" s="99"/>
      <c r="I443" s="99"/>
      <c r="J443" s="99"/>
      <c r="K443" s="82"/>
      <c r="L443" s="222"/>
      <c r="M443" s="222"/>
      <c r="N443" s="83"/>
      <c r="O443" s="89"/>
      <c r="P443" s="88"/>
      <c r="Q443" s="88"/>
    </row>
    <row r="444" spans="1:17" ht="16.2">
      <c r="A444" s="78"/>
      <c r="B444" s="79"/>
      <c r="C444" s="112" t="s">
        <v>1282</v>
      </c>
      <c r="D444" s="87">
        <v>1</v>
      </c>
      <c r="E444" s="87" t="s">
        <v>1472</v>
      </c>
      <c r="F444" s="87">
        <v>1</v>
      </c>
      <c r="G444" s="88">
        <f>(3.3*3+0.3-4*0.3)</f>
        <v>9</v>
      </c>
      <c r="H444" s="248">
        <v>0.115</v>
      </c>
      <c r="I444" s="248">
        <v>2.875</v>
      </c>
      <c r="J444" s="88">
        <f t="shared" ref="J444:J450" si="22">ROUND(D444*F444*G444*H444*I444,2)</f>
        <v>2.98</v>
      </c>
      <c r="K444" s="82"/>
      <c r="L444" s="222"/>
      <c r="M444" s="222"/>
      <c r="N444" s="83"/>
      <c r="O444" s="89"/>
      <c r="P444" s="88"/>
      <c r="Q444" s="88"/>
    </row>
    <row r="445" spans="1:17" ht="16.2">
      <c r="A445" s="78"/>
      <c r="B445" s="79"/>
      <c r="C445" s="112" t="s">
        <v>1283</v>
      </c>
      <c r="D445" s="87">
        <v>1</v>
      </c>
      <c r="E445" s="87" t="s">
        <v>1472</v>
      </c>
      <c r="F445" s="87">
        <v>1</v>
      </c>
      <c r="G445" s="88">
        <f>(3.3*4+0.3-5*0.3)</f>
        <v>12</v>
      </c>
      <c r="H445" s="248">
        <v>0.115</v>
      </c>
      <c r="I445" s="248">
        <f>3.3-0.125</f>
        <v>3.1749999999999998</v>
      </c>
      <c r="J445" s="88">
        <f t="shared" si="22"/>
        <v>4.38</v>
      </c>
      <c r="K445" s="82"/>
      <c r="L445" s="222"/>
      <c r="M445" s="222"/>
      <c r="N445" s="83"/>
      <c r="O445" s="89"/>
      <c r="P445" s="88"/>
      <c r="Q445" s="88"/>
    </row>
    <row r="446" spans="1:17" ht="16.2">
      <c r="A446" s="78"/>
      <c r="B446" s="79"/>
      <c r="C446" s="112" t="s">
        <v>1135</v>
      </c>
      <c r="D446" s="87">
        <v>1</v>
      </c>
      <c r="E446" s="87" t="s">
        <v>1472</v>
      </c>
      <c r="F446" s="87">
        <v>1</v>
      </c>
      <c r="G446" s="88">
        <f>(3.108-0.23-2*0.038)</f>
        <v>2.802</v>
      </c>
      <c r="H446" s="248">
        <v>0.115</v>
      </c>
      <c r="I446" s="248">
        <v>2.875</v>
      </c>
      <c r="J446" s="88">
        <f t="shared" si="22"/>
        <v>0.93</v>
      </c>
      <c r="K446" s="82"/>
      <c r="L446" s="222"/>
      <c r="M446" s="222"/>
      <c r="N446" s="83"/>
      <c r="O446" s="89"/>
      <c r="P446" s="88"/>
      <c r="Q446" s="88"/>
    </row>
    <row r="447" spans="1:17" ht="16.2">
      <c r="A447" s="78"/>
      <c r="B447" s="79"/>
      <c r="C447" s="112" t="s">
        <v>1136</v>
      </c>
      <c r="D447" s="87">
        <v>1</v>
      </c>
      <c r="E447" s="87" t="s">
        <v>1472</v>
      </c>
      <c r="F447" s="87">
        <v>1</v>
      </c>
      <c r="G447" s="88">
        <f>(3.108-0.23-2*0.038)</f>
        <v>2.802</v>
      </c>
      <c r="H447" s="248">
        <v>0.115</v>
      </c>
      <c r="I447" s="248">
        <f>3.3-0.125-0.45</f>
        <v>2.7249999999999996</v>
      </c>
      <c r="J447" s="88">
        <f t="shared" si="22"/>
        <v>0.88</v>
      </c>
      <c r="K447" s="82"/>
      <c r="L447" s="222"/>
      <c r="M447" s="222"/>
      <c r="N447" s="83"/>
      <c r="O447" s="89"/>
      <c r="P447" s="88"/>
      <c r="Q447" s="88"/>
    </row>
    <row r="448" spans="1:17" ht="16.2">
      <c r="A448" s="78"/>
      <c r="B448" s="79"/>
      <c r="C448" s="112" t="s">
        <v>1137</v>
      </c>
      <c r="D448" s="87">
        <v>1</v>
      </c>
      <c r="E448" s="87" t="s">
        <v>1472</v>
      </c>
      <c r="F448" s="87">
        <v>1</v>
      </c>
      <c r="G448" s="88">
        <f>(3.108-0.23-2*0.038)</f>
        <v>2.802</v>
      </c>
      <c r="H448" s="248">
        <v>0.115</v>
      </c>
      <c r="I448" s="248">
        <f>3.3-0.125-0.45</f>
        <v>2.7249999999999996</v>
      </c>
      <c r="J448" s="88">
        <f t="shared" si="22"/>
        <v>0.88</v>
      </c>
      <c r="K448" s="82"/>
      <c r="L448" s="222"/>
      <c r="M448" s="222"/>
      <c r="N448" s="83"/>
      <c r="O448" s="89"/>
      <c r="P448" s="88"/>
      <c r="Q448" s="88"/>
    </row>
    <row r="449" spans="1:17" ht="16.2">
      <c r="A449" s="78"/>
      <c r="B449" s="79"/>
      <c r="C449" s="112" t="s">
        <v>1138</v>
      </c>
      <c r="D449" s="87">
        <v>1</v>
      </c>
      <c r="E449" s="87" t="s">
        <v>1472</v>
      </c>
      <c r="F449" s="87">
        <v>1</v>
      </c>
      <c r="G449" s="88">
        <f>(3.108-0.23-2*0.038)</f>
        <v>2.802</v>
      </c>
      <c r="H449" s="248">
        <v>0.115</v>
      </c>
      <c r="I449" s="248">
        <f>3.3-0.125-0.45</f>
        <v>2.7249999999999996</v>
      </c>
      <c r="J449" s="88">
        <f t="shared" si="22"/>
        <v>0.88</v>
      </c>
      <c r="K449" s="82"/>
      <c r="L449" s="222"/>
      <c r="M449" s="222"/>
      <c r="N449" s="83"/>
      <c r="O449" s="89"/>
      <c r="P449" s="88"/>
      <c r="Q449" s="88"/>
    </row>
    <row r="450" spans="1:17" ht="16.2">
      <c r="A450" s="78"/>
      <c r="B450" s="79"/>
      <c r="C450" s="112" t="s">
        <v>1139</v>
      </c>
      <c r="D450" s="87">
        <v>1</v>
      </c>
      <c r="E450" s="87" t="s">
        <v>1472</v>
      </c>
      <c r="F450" s="87">
        <v>1</v>
      </c>
      <c r="G450" s="88">
        <f>(3.108-0.23-2*0.038)</f>
        <v>2.802</v>
      </c>
      <c r="H450" s="248">
        <v>0.115</v>
      </c>
      <c r="I450" s="248">
        <f>3.3-0.125-0.45</f>
        <v>2.7249999999999996</v>
      </c>
      <c r="J450" s="88">
        <f t="shared" si="22"/>
        <v>0.88</v>
      </c>
      <c r="K450" s="82"/>
      <c r="L450" s="222"/>
      <c r="M450" s="222"/>
      <c r="N450" s="83"/>
      <c r="O450" s="89"/>
      <c r="P450" s="88"/>
      <c r="Q450" s="88"/>
    </row>
    <row r="451" spans="1:17">
      <c r="A451" s="78"/>
      <c r="B451" s="79"/>
      <c r="C451" s="255" t="s">
        <v>675</v>
      </c>
      <c r="D451" s="87"/>
      <c r="E451" s="87"/>
      <c r="F451" s="87"/>
      <c r="G451" s="88"/>
      <c r="H451" s="88"/>
      <c r="I451" s="88"/>
      <c r="J451" s="88">
        <f>SUM(J444:J450)</f>
        <v>11.810000000000002</v>
      </c>
      <c r="K451" s="82"/>
      <c r="L451" s="222"/>
      <c r="M451" s="222"/>
      <c r="N451" s="83"/>
      <c r="O451" s="89"/>
      <c r="P451" s="88"/>
      <c r="Q451" s="88"/>
    </row>
    <row r="452" spans="1:17" ht="21.75" customHeight="1">
      <c r="A452" s="78"/>
      <c r="B452" s="79"/>
      <c r="C452" s="254" t="s">
        <v>101</v>
      </c>
      <c r="D452" s="87">
        <v>1</v>
      </c>
      <c r="E452" s="87" t="s">
        <v>1472</v>
      </c>
      <c r="F452" s="87">
        <v>6</v>
      </c>
      <c r="G452" s="88">
        <v>0.9</v>
      </c>
      <c r="H452" s="248">
        <v>0.115</v>
      </c>
      <c r="I452" s="88">
        <v>2.1</v>
      </c>
      <c r="J452" s="88">
        <f>ROUND(D452*F452*G452*H452*I452,2)</f>
        <v>1.3</v>
      </c>
      <c r="K452" s="82"/>
      <c r="L452" s="222"/>
      <c r="M452" s="222"/>
      <c r="N452" s="83"/>
      <c r="O452" s="89"/>
      <c r="P452" s="88"/>
      <c r="Q452" s="88"/>
    </row>
    <row r="453" spans="1:17" ht="21.75" customHeight="1">
      <c r="A453" s="78"/>
      <c r="B453" s="79"/>
      <c r="C453" s="254" t="s">
        <v>102</v>
      </c>
      <c r="D453" s="87">
        <v>1</v>
      </c>
      <c r="E453" s="87" t="s">
        <v>1472</v>
      </c>
      <c r="F453" s="87">
        <v>3</v>
      </c>
      <c r="G453" s="88">
        <v>0.75</v>
      </c>
      <c r="H453" s="248">
        <v>0.115</v>
      </c>
      <c r="I453" s="88">
        <v>2.1</v>
      </c>
      <c r="J453" s="88">
        <f>ROUND(D453*F453*G453*H453*I453,2)</f>
        <v>0.54</v>
      </c>
      <c r="K453" s="82"/>
      <c r="L453" s="222"/>
      <c r="M453" s="222"/>
      <c r="N453" s="83"/>
      <c r="O453" s="89"/>
      <c r="P453" s="88"/>
      <c r="Q453" s="88"/>
    </row>
    <row r="454" spans="1:17" ht="25.8">
      <c r="A454" s="78"/>
      <c r="B454" s="79"/>
      <c r="C454" s="256" t="s">
        <v>1335</v>
      </c>
      <c r="D454" s="87"/>
      <c r="E454" s="87"/>
      <c r="F454" s="87"/>
      <c r="G454" s="88"/>
      <c r="H454" s="88"/>
      <c r="I454" s="88"/>
      <c r="J454" s="88"/>
      <c r="K454" s="82"/>
      <c r="L454" s="222"/>
      <c r="M454" s="222"/>
      <c r="N454" s="83"/>
      <c r="O454" s="89"/>
      <c r="P454" s="88"/>
      <c r="Q454" s="88"/>
    </row>
    <row r="455" spans="1:17" ht="21.75" customHeight="1">
      <c r="A455" s="78"/>
      <c r="B455" s="79"/>
      <c r="C455" s="254" t="s">
        <v>101</v>
      </c>
      <c r="D455" s="87">
        <v>1</v>
      </c>
      <c r="E455" s="87" t="s">
        <v>1472</v>
      </c>
      <c r="F455" s="87">
        <v>6</v>
      </c>
      <c r="G455" s="88">
        <v>1.3</v>
      </c>
      <c r="H455" s="248">
        <v>0.115</v>
      </c>
      <c r="I455" s="88">
        <v>0.15</v>
      </c>
      <c r="J455" s="88">
        <f>ROUND(D455*F455*G455*H455*I455,2)</f>
        <v>0.13</v>
      </c>
      <c r="K455" s="82"/>
      <c r="L455" s="222"/>
      <c r="M455" s="222"/>
      <c r="N455" s="83"/>
      <c r="O455" s="89"/>
      <c r="P455" s="88"/>
      <c r="Q455" s="88"/>
    </row>
    <row r="456" spans="1:17" ht="21.75" customHeight="1">
      <c r="A456" s="78"/>
      <c r="B456" s="79"/>
      <c r="C456" s="254" t="s">
        <v>102</v>
      </c>
      <c r="D456" s="87">
        <v>1</v>
      </c>
      <c r="E456" s="87" t="s">
        <v>1472</v>
      </c>
      <c r="F456" s="87">
        <v>3</v>
      </c>
      <c r="G456" s="88">
        <f>0.75+0.4</f>
        <v>1.1499999999999999</v>
      </c>
      <c r="H456" s="248">
        <v>0.115</v>
      </c>
      <c r="I456" s="88">
        <v>0.15</v>
      </c>
      <c r="J456" s="88">
        <f>ROUND(D456*F456*G456*H456*I456,2)</f>
        <v>0.06</v>
      </c>
      <c r="K456" s="82"/>
      <c r="L456" s="222"/>
      <c r="M456" s="222"/>
      <c r="N456" s="83"/>
      <c r="O456" s="89"/>
      <c r="P456" s="88"/>
      <c r="Q456" s="88"/>
    </row>
    <row r="457" spans="1:17" ht="25.8">
      <c r="A457" s="78"/>
      <c r="B457" s="79"/>
      <c r="C457" s="256" t="s">
        <v>1336</v>
      </c>
      <c r="D457" s="87"/>
      <c r="E457" s="87"/>
      <c r="F457" s="87"/>
      <c r="G457" s="88"/>
      <c r="H457" s="88"/>
      <c r="I457" s="88"/>
      <c r="J457" s="88"/>
      <c r="K457" s="82"/>
      <c r="L457" s="222"/>
      <c r="M457" s="222"/>
      <c r="N457" s="83"/>
      <c r="O457" s="89"/>
      <c r="P457" s="88"/>
      <c r="Q457" s="88"/>
    </row>
    <row r="458" spans="1:17" ht="21.75" customHeight="1">
      <c r="A458" s="78"/>
      <c r="B458" s="79"/>
      <c r="C458" s="254" t="s">
        <v>101</v>
      </c>
      <c r="D458" s="87">
        <v>1</v>
      </c>
      <c r="E458" s="87" t="s">
        <v>1472</v>
      </c>
      <c r="F458" s="87">
        <v>6</v>
      </c>
      <c r="G458" s="248">
        <v>0.115</v>
      </c>
      <c r="H458" s="88">
        <v>0.2</v>
      </c>
      <c r="I458" s="88">
        <v>0.125</v>
      </c>
      <c r="J458" s="88">
        <f>ROUND(D458*F458*G458*H458*I458,2)</f>
        <v>0.02</v>
      </c>
      <c r="K458" s="82"/>
      <c r="L458" s="222"/>
      <c r="M458" s="222"/>
      <c r="N458" s="83"/>
      <c r="O458" s="89"/>
      <c r="P458" s="88"/>
      <c r="Q458" s="88"/>
    </row>
    <row r="459" spans="1:17" ht="21.75" customHeight="1">
      <c r="A459" s="78"/>
      <c r="B459" s="79"/>
      <c r="C459" s="254" t="s">
        <v>102</v>
      </c>
      <c r="D459" s="87">
        <v>1</v>
      </c>
      <c r="E459" s="87" t="s">
        <v>1472</v>
      </c>
      <c r="F459" s="87">
        <v>3</v>
      </c>
      <c r="G459" s="248">
        <v>0.115</v>
      </c>
      <c r="H459" s="88">
        <v>0.2</v>
      </c>
      <c r="I459" s="88">
        <v>0.125</v>
      </c>
      <c r="J459" s="88">
        <f>ROUND(D459*F459*G459*H459*I459,2)</f>
        <v>0.01</v>
      </c>
      <c r="K459" s="82"/>
      <c r="L459" s="222"/>
      <c r="M459" s="222"/>
      <c r="N459" s="83"/>
      <c r="O459" s="89"/>
      <c r="P459" s="88"/>
      <c r="Q459" s="88"/>
    </row>
    <row r="460" spans="1:17">
      <c r="A460" s="78"/>
      <c r="B460" s="79"/>
      <c r="C460" s="254"/>
      <c r="D460" s="87"/>
      <c r="E460" s="87"/>
      <c r="F460" s="87"/>
      <c r="G460" s="88"/>
      <c r="H460" s="88"/>
      <c r="I460" s="88"/>
      <c r="J460" s="88">
        <f>SUM(J452:J459)</f>
        <v>2.06</v>
      </c>
      <c r="K460" s="82"/>
      <c r="L460" s="222"/>
      <c r="M460" s="222"/>
      <c r="N460" s="83"/>
      <c r="O460" s="89"/>
      <c r="P460" s="88"/>
      <c r="Q460" s="88"/>
    </row>
    <row r="461" spans="1:17">
      <c r="A461" s="78"/>
      <c r="B461" s="79"/>
      <c r="C461" s="254"/>
      <c r="D461" s="87"/>
      <c r="E461" s="87"/>
      <c r="F461" s="87"/>
      <c r="G461" s="88"/>
      <c r="H461" s="88"/>
      <c r="I461" s="88"/>
      <c r="J461" s="92">
        <f>J451-J460</f>
        <v>9.7500000000000018</v>
      </c>
      <c r="K461" s="82"/>
      <c r="L461" s="222"/>
      <c r="M461" s="222"/>
      <c r="N461" s="83"/>
      <c r="O461" s="89"/>
      <c r="P461" s="88"/>
      <c r="Q461" s="88"/>
    </row>
    <row r="462" spans="1:17" s="378" customFormat="1">
      <c r="A462" s="383"/>
      <c r="B462" s="376" t="s">
        <v>614</v>
      </c>
      <c r="C462" s="2763"/>
      <c r="D462" s="2763"/>
      <c r="E462" s="2763"/>
      <c r="F462" s="2763"/>
      <c r="G462" s="2763"/>
      <c r="H462" s="2763"/>
      <c r="I462" s="2763"/>
      <c r="J462" s="92">
        <f>J461</f>
        <v>9.7500000000000018</v>
      </c>
      <c r="K462" s="379">
        <f>Datas!F957</f>
        <v>8818.0875000000015</v>
      </c>
      <c r="L462" s="222"/>
      <c r="M462" s="375">
        <f>ROUND(K462*J462,0)</f>
        <v>85976</v>
      </c>
      <c r="N462" s="403">
        <f>SUM(L462:M462)</f>
        <v>85976</v>
      </c>
      <c r="O462" s="380">
        <v>27.71</v>
      </c>
      <c r="P462" s="377">
        <f>ROUND(O462*J462,2)</f>
        <v>270.17</v>
      </c>
      <c r="Q462" s="236"/>
    </row>
    <row r="463" spans="1:17">
      <c r="A463" s="115"/>
      <c r="J463" s="92" t="s">
        <v>656</v>
      </c>
      <c r="K463" s="82" t="str">
        <f>CONCATENATE("per ",J463)</f>
        <v>per Cum.</v>
      </c>
      <c r="L463" s="222"/>
      <c r="M463" s="222"/>
      <c r="N463" s="83"/>
      <c r="O463" s="89"/>
      <c r="P463" s="88"/>
      <c r="Q463" s="88"/>
    </row>
    <row r="464" spans="1:17">
      <c r="A464" s="78"/>
      <c r="B464" s="79"/>
      <c r="C464" s="287" t="s">
        <v>1140</v>
      </c>
      <c r="D464" s="63"/>
      <c r="E464" s="63"/>
      <c r="F464" s="348"/>
      <c r="G464" s="99"/>
      <c r="H464" s="99"/>
      <c r="I464" s="99"/>
      <c r="J464" s="99"/>
      <c r="K464" s="82"/>
      <c r="L464" s="222"/>
      <c r="M464" s="222"/>
      <c r="N464" s="83"/>
      <c r="O464" s="89"/>
      <c r="P464" s="88"/>
      <c r="Q464" s="88"/>
    </row>
    <row r="465" spans="1:17" ht="16.2">
      <c r="A465" s="78"/>
      <c r="B465" s="79"/>
      <c r="C465" s="112" t="s">
        <v>1141</v>
      </c>
      <c r="D465" s="87">
        <v>1</v>
      </c>
      <c r="E465" s="87" t="s">
        <v>1472</v>
      </c>
      <c r="F465" s="87">
        <v>1</v>
      </c>
      <c r="G465" s="88">
        <f>(3.3*4+0.3-5*0.3)</f>
        <v>12</v>
      </c>
      <c r="H465" s="248">
        <v>0.115</v>
      </c>
      <c r="I465" s="248">
        <v>1.2</v>
      </c>
      <c r="J465" s="88">
        <f t="shared" ref="J465:J470" si="23">ROUND(D465*F465*G465*H465*I465,2)</f>
        <v>1.66</v>
      </c>
      <c r="K465" s="82"/>
      <c r="L465" s="222"/>
      <c r="M465" s="222"/>
      <c r="N465" s="83"/>
      <c r="O465" s="89"/>
      <c r="P465" s="88"/>
      <c r="Q465" s="88"/>
    </row>
    <row r="466" spans="1:17" ht="16.2">
      <c r="A466" s="78"/>
      <c r="B466" s="79"/>
      <c r="C466" s="112" t="s">
        <v>1142</v>
      </c>
      <c r="D466" s="87">
        <v>1</v>
      </c>
      <c r="E466" s="87" t="s">
        <v>1472</v>
      </c>
      <c r="F466" s="87">
        <v>1</v>
      </c>
      <c r="G466" s="88">
        <f>(3.3*4+0.3-5*0.3)</f>
        <v>12</v>
      </c>
      <c r="H466" s="248">
        <v>0.115</v>
      </c>
      <c r="I466" s="248">
        <v>1.2</v>
      </c>
      <c r="J466" s="88">
        <f t="shared" si="23"/>
        <v>1.66</v>
      </c>
      <c r="K466" s="82"/>
      <c r="L466" s="222"/>
      <c r="M466" s="222"/>
      <c r="N466" s="83"/>
      <c r="O466" s="89"/>
      <c r="P466" s="88"/>
      <c r="Q466" s="88"/>
    </row>
    <row r="467" spans="1:17" ht="16.2">
      <c r="A467" s="78"/>
      <c r="B467" s="79"/>
      <c r="C467" s="112" t="s">
        <v>1143</v>
      </c>
      <c r="D467" s="87">
        <v>1</v>
      </c>
      <c r="E467" s="87" t="s">
        <v>1472</v>
      </c>
      <c r="F467" s="87">
        <v>1</v>
      </c>
      <c r="G467" s="88">
        <f>(8.175+0.3-3*0.38)</f>
        <v>7.3350000000000009</v>
      </c>
      <c r="H467" s="248">
        <v>0.115</v>
      </c>
      <c r="I467" s="248">
        <v>1.2</v>
      </c>
      <c r="J467" s="88">
        <f t="shared" si="23"/>
        <v>1.01</v>
      </c>
      <c r="K467" s="82"/>
      <c r="L467" s="222"/>
      <c r="M467" s="222"/>
      <c r="N467" s="83"/>
      <c r="O467" s="89"/>
      <c r="P467" s="88"/>
      <c r="Q467" s="88"/>
    </row>
    <row r="468" spans="1:17" ht="16.2">
      <c r="A468" s="78"/>
      <c r="B468" s="79"/>
      <c r="C468" s="112" t="s">
        <v>43</v>
      </c>
      <c r="D468" s="87">
        <v>1</v>
      </c>
      <c r="E468" s="87" t="s">
        <v>1472</v>
      </c>
      <c r="F468" s="87">
        <v>1</v>
      </c>
      <c r="G468" s="88">
        <f>(8.175+0.3-3*0.38)</f>
        <v>7.3350000000000009</v>
      </c>
      <c r="H468" s="248">
        <v>0.115</v>
      </c>
      <c r="I468" s="248">
        <v>1.2</v>
      </c>
      <c r="J468" s="88">
        <f t="shared" si="23"/>
        <v>1.01</v>
      </c>
      <c r="K468" s="82"/>
      <c r="L468" s="222"/>
      <c r="M468" s="222"/>
      <c r="N468" s="83"/>
      <c r="O468" s="89"/>
      <c r="P468" s="88"/>
      <c r="Q468" s="88"/>
    </row>
    <row r="469" spans="1:17" ht="16.2">
      <c r="A469" s="78"/>
      <c r="B469" s="79"/>
      <c r="C469" s="112" t="s">
        <v>44</v>
      </c>
      <c r="D469" s="87">
        <v>1</v>
      </c>
      <c r="E469" s="87" t="s">
        <v>1472</v>
      </c>
      <c r="F469" s="87">
        <v>2</v>
      </c>
      <c r="G469" s="88">
        <v>1.2</v>
      </c>
      <c r="H469" s="248">
        <v>0.115</v>
      </c>
      <c r="I469" s="248">
        <v>1.2</v>
      </c>
      <c r="J469" s="88">
        <f t="shared" si="23"/>
        <v>0.33</v>
      </c>
      <c r="K469" s="82"/>
      <c r="L469" s="222"/>
      <c r="M469" s="222"/>
      <c r="N469" s="83"/>
      <c r="O469" s="89"/>
      <c r="P469" s="88"/>
      <c r="Q469" s="88"/>
    </row>
    <row r="470" spans="1:17">
      <c r="A470" s="78"/>
      <c r="B470" s="79"/>
      <c r="C470" s="112" t="s">
        <v>45</v>
      </c>
      <c r="D470" s="87">
        <v>1</v>
      </c>
      <c r="E470" s="87" t="s">
        <v>1472</v>
      </c>
      <c r="F470" s="87">
        <v>1</v>
      </c>
      <c r="G470" s="88">
        <v>1.5</v>
      </c>
      <c r="H470" s="248">
        <v>0.115</v>
      </c>
      <c r="I470" s="248">
        <v>1.2</v>
      </c>
      <c r="J470" s="88">
        <f t="shared" si="23"/>
        <v>0.21</v>
      </c>
      <c r="K470" s="82"/>
      <c r="L470" s="222"/>
      <c r="M470" s="222"/>
      <c r="N470" s="83"/>
      <c r="O470" s="89"/>
      <c r="P470" s="88"/>
      <c r="Q470" s="88"/>
    </row>
    <row r="471" spans="1:17">
      <c r="A471" s="78"/>
      <c r="B471" s="79"/>
      <c r="C471" s="254"/>
      <c r="D471" s="87"/>
      <c r="E471" s="87"/>
      <c r="F471" s="87"/>
      <c r="G471" s="88"/>
      <c r="H471" s="88"/>
      <c r="I471" s="88"/>
      <c r="J471" s="92">
        <f>SUM(J465:J470)</f>
        <v>5.88</v>
      </c>
      <c r="K471" s="82"/>
      <c r="L471" s="222"/>
      <c r="M471" s="222"/>
      <c r="N471" s="83"/>
      <c r="O471" s="89"/>
      <c r="P471" s="88"/>
      <c r="Q471" s="88"/>
    </row>
    <row r="472" spans="1:17" s="378" customFormat="1">
      <c r="A472" s="383"/>
      <c r="B472" s="376" t="s">
        <v>615</v>
      </c>
      <c r="C472" s="2763"/>
      <c r="D472" s="2763"/>
      <c r="E472" s="2763"/>
      <c r="F472" s="2763"/>
      <c r="G472" s="2763"/>
      <c r="H472" s="2763"/>
      <c r="I472" s="2763"/>
      <c r="J472" s="92">
        <f>J471</f>
        <v>5.88</v>
      </c>
      <c r="K472" s="379">
        <f>Datas!G957</f>
        <v>9740.0559000000012</v>
      </c>
      <c r="L472" s="222"/>
      <c r="M472" s="375">
        <f>ROUND(K472*J472,0)</f>
        <v>57272</v>
      </c>
      <c r="N472" s="403">
        <f>SUM(L472:M472)</f>
        <v>57272</v>
      </c>
      <c r="O472" s="380">
        <v>27.71</v>
      </c>
      <c r="P472" s="377">
        <f>ROUND(O472*J472,2)</f>
        <v>162.93</v>
      </c>
      <c r="Q472" s="236"/>
    </row>
    <row r="473" spans="1:17">
      <c r="A473" s="115"/>
      <c r="J473" s="92" t="s">
        <v>656</v>
      </c>
      <c r="K473" s="82" t="str">
        <f>CONCATENATE("per ",J473)</f>
        <v>per Cum.</v>
      </c>
      <c r="L473" s="222"/>
      <c r="M473" s="222"/>
      <c r="N473" s="83"/>
      <c r="O473" s="89"/>
      <c r="P473" s="88"/>
      <c r="Q473" s="88"/>
    </row>
    <row r="474" spans="1:17" ht="150" customHeight="1">
      <c r="A474" s="78">
        <v>13</v>
      </c>
      <c r="B474" s="79"/>
      <c r="C474" s="2765" t="s">
        <v>616</v>
      </c>
      <c r="D474" s="2740"/>
      <c r="E474" s="2740"/>
      <c r="F474" s="2740"/>
      <c r="G474" s="2740"/>
      <c r="H474" s="2740"/>
      <c r="I474" s="2740"/>
      <c r="J474" s="2740"/>
      <c r="K474" s="82"/>
      <c r="L474" s="222"/>
      <c r="M474" s="222"/>
      <c r="N474" s="83"/>
      <c r="O474" s="89"/>
      <c r="P474" s="88"/>
      <c r="Q474" s="88"/>
    </row>
    <row r="475" spans="1:17">
      <c r="A475" s="78"/>
      <c r="B475" s="79"/>
      <c r="C475" s="258" t="s">
        <v>1063</v>
      </c>
      <c r="D475" s="64"/>
      <c r="E475" s="64"/>
      <c r="F475" s="345"/>
      <c r="G475" s="81"/>
      <c r="H475" s="81"/>
      <c r="I475" s="81"/>
      <c r="J475" s="81"/>
      <c r="K475" s="82"/>
      <c r="L475" s="222"/>
      <c r="M475" s="222"/>
      <c r="N475" s="83"/>
      <c r="O475" s="84"/>
      <c r="P475" s="85"/>
      <c r="Q475" s="85"/>
    </row>
    <row r="476" spans="1:17" ht="21.75" customHeight="1">
      <c r="A476" s="78"/>
      <c r="B476" s="79"/>
      <c r="C476" s="86" t="s">
        <v>655</v>
      </c>
      <c r="D476" s="87">
        <v>1</v>
      </c>
      <c r="E476" s="87" t="s">
        <v>1472</v>
      </c>
      <c r="F476" s="87">
        <v>6</v>
      </c>
      <c r="G476" s="88">
        <v>2</v>
      </c>
      <c r="H476" s="88">
        <v>2</v>
      </c>
      <c r="I476" s="88">
        <v>1.65</v>
      </c>
      <c r="J476" s="88">
        <f t="shared" ref="J476:J487" si="24">ROUND(D476*F476*G476*H476*I476,2)</f>
        <v>39.6</v>
      </c>
      <c r="K476" s="82"/>
      <c r="L476" s="222"/>
      <c r="M476" s="222"/>
      <c r="N476" s="83"/>
      <c r="O476" s="89"/>
      <c r="P476" s="88"/>
      <c r="Q476" s="88"/>
    </row>
    <row r="477" spans="1:17" ht="21.75" customHeight="1">
      <c r="A477" s="78"/>
      <c r="B477" s="79"/>
      <c r="C477" s="86" t="s">
        <v>71</v>
      </c>
      <c r="D477" s="87">
        <v>1</v>
      </c>
      <c r="E477" s="87" t="s">
        <v>1472</v>
      </c>
      <c r="F477" s="87">
        <v>12</v>
      </c>
      <c r="G477" s="88">
        <v>1.8</v>
      </c>
      <c r="H477" s="88">
        <v>1.8</v>
      </c>
      <c r="I477" s="88">
        <v>1.65</v>
      </c>
      <c r="J477" s="88">
        <f t="shared" si="24"/>
        <v>64.150000000000006</v>
      </c>
      <c r="K477" s="82"/>
      <c r="L477" s="222"/>
      <c r="M477" s="222"/>
      <c r="N477" s="83"/>
      <c r="O477" s="89"/>
      <c r="P477" s="88"/>
      <c r="Q477" s="88"/>
    </row>
    <row r="478" spans="1:17" ht="21.75" customHeight="1">
      <c r="A478" s="78"/>
      <c r="B478" s="79"/>
      <c r="C478" s="86" t="s">
        <v>444</v>
      </c>
      <c r="D478" s="87">
        <v>1</v>
      </c>
      <c r="E478" s="87" t="s">
        <v>1472</v>
      </c>
      <c r="F478" s="87">
        <v>1</v>
      </c>
      <c r="G478" s="88">
        <v>1.35</v>
      </c>
      <c r="H478" s="88">
        <v>1.35</v>
      </c>
      <c r="I478" s="88">
        <v>1.65</v>
      </c>
      <c r="J478" s="88">
        <f t="shared" si="24"/>
        <v>3.01</v>
      </c>
      <c r="K478" s="82"/>
      <c r="L478" s="222"/>
      <c r="M478" s="222"/>
      <c r="N478" s="83"/>
      <c r="O478" s="89"/>
      <c r="P478" s="88"/>
      <c r="Q478" s="88"/>
    </row>
    <row r="479" spans="1:17" ht="18">
      <c r="A479" s="78"/>
      <c r="B479" s="79"/>
      <c r="C479" s="90" t="s">
        <v>318</v>
      </c>
      <c r="D479" s="87">
        <v>1</v>
      </c>
      <c r="E479" s="87" t="s">
        <v>1472</v>
      </c>
      <c r="F479" s="87">
        <v>1</v>
      </c>
      <c r="G479" s="88">
        <f>(20.4-4*1.8-2*2-0.3)</f>
        <v>8.8999999999999986</v>
      </c>
      <c r="H479" s="88">
        <v>0.6</v>
      </c>
      <c r="I479" s="88">
        <v>0.7</v>
      </c>
      <c r="J479" s="88">
        <f t="shared" si="24"/>
        <v>3.74</v>
      </c>
      <c r="K479" s="82"/>
      <c r="L479" s="222"/>
      <c r="M479" s="222"/>
      <c r="N479" s="83"/>
      <c r="O479" s="89"/>
      <c r="P479" s="88"/>
      <c r="Q479" s="88"/>
    </row>
    <row r="480" spans="1:17" ht="21.75" customHeight="1">
      <c r="A480" s="78"/>
      <c r="B480" s="79"/>
      <c r="C480" s="90" t="s">
        <v>319</v>
      </c>
      <c r="D480" s="87">
        <v>1</v>
      </c>
      <c r="E480" s="87" t="s">
        <v>1472</v>
      </c>
      <c r="F480" s="87">
        <v>1</v>
      </c>
      <c r="G480" s="88">
        <f>(20.4-3.5*1.8-2*2-0.5*1.35-0.3)</f>
        <v>9.1249999999999964</v>
      </c>
      <c r="H480" s="88">
        <v>0.6</v>
      </c>
      <c r="I480" s="88">
        <v>0.7</v>
      </c>
      <c r="J480" s="88">
        <f t="shared" si="24"/>
        <v>3.83</v>
      </c>
      <c r="K480" s="82"/>
      <c r="L480" s="222"/>
      <c r="M480" s="222"/>
      <c r="N480" s="83"/>
      <c r="O480" s="89"/>
      <c r="P480" s="88"/>
      <c r="Q480" s="88"/>
    </row>
    <row r="481" spans="1:17" ht="30" customHeight="1">
      <c r="A481" s="78"/>
      <c r="B481" s="79"/>
      <c r="C481" s="90" t="s">
        <v>320</v>
      </c>
      <c r="D481" s="87">
        <v>1</v>
      </c>
      <c r="E481" s="87" t="s">
        <v>1472</v>
      </c>
      <c r="F481" s="87">
        <v>1</v>
      </c>
      <c r="G481" s="88">
        <f>(8.175-1*1.8-1*2-0.3)</f>
        <v>4.0750000000000011</v>
      </c>
      <c r="H481" s="88">
        <v>0.6</v>
      </c>
      <c r="I481" s="88">
        <v>0.7</v>
      </c>
      <c r="J481" s="88">
        <f t="shared" si="24"/>
        <v>1.71</v>
      </c>
      <c r="K481" s="82"/>
      <c r="L481" s="222"/>
      <c r="M481" s="222"/>
      <c r="N481" s="83"/>
      <c r="O481" s="89"/>
      <c r="P481" s="88"/>
      <c r="Q481" s="88"/>
    </row>
    <row r="482" spans="1:17" ht="21.75" customHeight="1">
      <c r="A482" s="78"/>
      <c r="B482" s="79"/>
      <c r="C482" s="90" t="s">
        <v>321</v>
      </c>
      <c r="D482" s="87">
        <v>1</v>
      </c>
      <c r="E482" s="87" t="s">
        <v>1472</v>
      </c>
      <c r="F482" s="87">
        <v>1</v>
      </c>
      <c r="G482" s="88">
        <f>(8.175-1.5*1.8-1*1.35-0.3)</f>
        <v>3.8250000000000002</v>
      </c>
      <c r="H482" s="88">
        <v>0.6</v>
      </c>
      <c r="I482" s="88">
        <v>0.7</v>
      </c>
      <c r="J482" s="88">
        <f t="shared" si="24"/>
        <v>1.61</v>
      </c>
      <c r="K482" s="82"/>
      <c r="L482" s="222"/>
      <c r="M482" s="222"/>
      <c r="N482" s="83"/>
      <c r="O482" s="89"/>
      <c r="P482" s="88"/>
      <c r="Q482" s="88"/>
    </row>
    <row r="483" spans="1:17" ht="21.75" customHeight="1">
      <c r="A483" s="78"/>
      <c r="B483" s="79"/>
      <c r="C483" s="90" t="s">
        <v>506</v>
      </c>
      <c r="D483" s="87">
        <v>1</v>
      </c>
      <c r="E483" s="87" t="s">
        <v>1472</v>
      </c>
      <c r="F483" s="87">
        <v>2</v>
      </c>
      <c r="G483" s="88">
        <v>1.39</v>
      </c>
      <c r="H483" s="88">
        <v>0.6</v>
      </c>
      <c r="I483" s="88">
        <v>0.7</v>
      </c>
      <c r="J483" s="88">
        <f t="shared" si="24"/>
        <v>1.17</v>
      </c>
      <c r="K483" s="82"/>
      <c r="L483" s="222"/>
      <c r="M483" s="222"/>
      <c r="N483" s="83"/>
      <c r="O483" s="89"/>
      <c r="P483" s="88"/>
      <c r="Q483" s="88"/>
    </row>
    <row r="484" spans="1:17" ht="21.75" customHeight="1">
      <c r="A484" s="78"/>
      <c r="B484" s="79"/>
      <c r="C484" s="91" t="s">
        <v>507</v>
      </c>
      <c r="D484" s="87">
        <v>1</v>
      </c>
      <c r="E484" s="87" t="s">
        <v>1472</v>
      </c>
      <c r="F484" s="87">
        <v>2</v>
      </c>
      <c r="G484" s="88">
        <v>1.8</v>
      </c>
      <c r="H484" s="88">
        <v>0.6</v>
      </c>
      <c r="I484" s="88">
        <v>0.7</v>
      </c>
      <c r="J484" s="88">
        <f t="shared" si="24"/>
        <v>1.51</v>
      </c>
      <c r="K484" s="82"/>
      <c r="L484" s="222"/>
      <c r="M484" s="222"/>
      <c r="N484" s="83"/>
      <c r="O484" s="89"/>
      <c r="P484" s="88"/>
      <c r="Q484" s="88"/>
    </row>
    <row r="485" spans="1:17" ht="21.75" customHeight="1">
      <c r="A485" s="78"/>
      <c r="B485" s="79"/>
      <c r="C485" s="91" t="s">
        <v>508</v>
      </c>
      <c r="D485" s="87">
        <v>1</v>
      </c>
      <c r="E485" s="87" t="s">
        <v>1472</v>
      </c>
      <c r="F485" s="87">
        <v>2</v>
      </c>
      <c r="G485" s="88">
        <v>1.8</v>
      </c>
      <c r="H485" s="88">
        <v>1.35</v>
      </c>
      <c r="I485" s="88">
        <v>0.3</v>
      </c>
      <c r="J485" s="88">
        <f t="shared" si="24"/>
        <v>1.46</v>
      </c>
      <c r="K485" s="82"/>
      <c r="L485" s="222"/>
      <c r="M485" s="222"/>
      <c r="N485" s="83"/>
      <c r="O485" s="89"/>
      <c r="P485" s="88"/>
      <c r="Q485" s="88"/>
    </row>
    <row r="486" spans="1:17" ht="21.75" customHeight="1">
      <c r="A486" s="78"/>
      <c r="B486" s="79"/>
      <c r="C486" s="91" t="s">
        <v>508</v>
      </c>
      <c r="D486" s="87">
        <v>1</v>
      </c>
      <c r="E486" s="87" t="s">
        <v>1472</v>
      </c>
      <c r="F486" s="87">
        <v>1</v>
      </c>
      <c r="G486" s="88">
        <v>5.7</v>
      </c>
      <c r="H486" s="88">
        <v>1.35</v>
      </c>
      <c r="I486" s="88">
        <v>0.3</v>
      </c>
      <c r="J486" s="88">
        <f t="shared" si="24"/>
        <v>2.31</v>
      </c>
      <c r="K486" s="82"/>
      <c r="L486" s="222"/>
      <c r="M486" s="222"/>
      <c r="N486" s="83"/>
      <c r="O486" s="89"/>
      <c r="P486" s="88"/>
      <c r="Q486" s="88"/>
    </row>
    <row r="487" spans="1:17" ht="21.75" customHeight="1">
      <c r="A487" s="78"/>
      <c r="B487" s="79"/>
      <c r="C487" s="91" t="s">
        <v>509</v>
      </c>
      <c r="D487" s="87">
        <v>1</v>
      </c>
      <c r="E487" s="87" t="s">
        <v>1472</v>
      </c>
      <c r="F487" s="87">
        <v>1</v>
      </c>
      <c r="G487" s="88">
        <v>4.5</v>
      </c>
      <c r="H487" s="88">
        <v>3.15</v>
      </c>
      <c r="I487" s="88">
        <v>0.3</v>
      </c>
      <c r="J487" s="88">
        <f t="shared" si="24"/>
        <v>4.25</v>
      </c>
      <c r="K487" s="82"/>
      <c r="L487" s="222"/>
      <c r="M487" s="222"/>
      <c r="N487" s="83"/>
      <c r="O487" s="89"/>
      <c r="P487" s="88"/>
      <c r="Q487" s="88"/>
    </row>
    <row r="488" spans="1:17">
      <c r="A488" s="78"/>
      <c r="B488" s="79"/>
      <c r="C488" s="91" t="s">
        <v>643</v>
      </c>
      <c r="D488" s="87">
        <v>1</v>
      </c>
      <c r="E488" s="87" t="s">
        <v>1472</v>
      </c>
      <c r="F488" s="87">
        <v>1</v>
      </c>
      <c r="G488" s="88">
        <v>3.75</v>
      </c>
      <c r="H488" s="88">
        <v>1.95</v>
      </c>
      <c r="I488" s="88">
        <v>2.15</v>
      </c>
      <c r="J488" s="88">
        <f>FLOOR(D488*F488*G488*H488*I488,0.01)</f>
        <v>15.72</v>
      </c>
      <c r="K488" s="82"/>
      <c r="L488" s="222"/>
      <c r="M488" s="222"/>
      <c r="N488" s="83"/>
      <c r="O488" s="89"/>
      <c r="P488" s="88"/>
      <c r="Q488" s="88"/>
    </row>
    <row r="489" spans="1:17">
      <c r="A489" s="78"/>
      <c r="B489" s="79"/>
      <c r="C489" s="258" t="s">
        <v>85</v>
      </c>
      <c r="D489" s="63"/>
      <c r="E489" s="63"/>
      <c r="F489" s="348"/>
      <c r="G489" s="99"/>
      <c r="H489" s="99"/>
      <c r="I489" s="99"/>
      <c r="J489" s="99">
        <f>SUM(J476:J488)</f>
        <v>144.07</v>
      </c>
      <c r="K489" s="82"/>
      <c r="L489" s="222"/>
      <c r="M489" s="222"/>
      <c r="N489" s="83"/>
      <c r="O489" s="89"/>
      <c r="P489" s="88"/>
      <c r="Q489" s="88"/>
    </row>
    <row r="490" spans="1:17" ht="21">
      <c r="A490" s="78"/>
      <c r="B490" s="79"/>
      <c r="C490" s="63" t="s">
        <v>479</v>
      </c>
      <c r="D490" s="87">
        <v>1</v>
      </c>
      <c r="E490" s="87" t="s">
        <v>1472</v>
      </c>
      <c r="F490" s="87">
        <v>1</v>
      </c>
      <c r="G490" s="88">
        <f>20.7-2*0.45</f>
        <v>19.8</v>
      </c>
      <c r="H490" s="88">
        <f>8.375-2*0.45</f>
        <v>7.4749999999999996</v>
      </c>
      <c r="I490" s="88">
        <v>0.75</v>
      </c>
      <c r="J490" s="88">
        <f>ROUND(D490*F490*G490*H490*I490,2)</f>
        <v>111</v>
      </c>
      <c r="K490" s="82"/>
      <c r="L490" s="222"/>
      <c r="M490" s="222"/>
      <c r="N490" s="83"/>
      <c r="O490" s="89"/>
      <c r="P490" s="88"/>
      <c r="Q490" s="88"/>
    </row>
    <row r="491" spans="1:17">
      <c r="A491" s="78"/>
      <c r="B491" s="79"/>
      <c r="C491" s="63"/>
      <c r="D491" s="87"/>
      <c r="E491" s="87"/>
      <c r="F491" s="87"/>
      <c r="G491" s="88"/>
      <c r="H491" s="88"/>
      <c r="I491" s="88"/>
      <c r="J491" s="92">
        <f>SUM(J489:J490)</f>
        <v>255.07</v>
      </c>
      <c r="K491" s="82"/>
      <c r="L491" s="222"/>
      <c r="M491" s="222"/>
      <c r="N491" s="83"/>
      <c r="O491" s="89"/>
      <c r="P491" s="88"/>
      <c r="Q491" s="88"/>
    </row>
    <row r="492" spans="1:17">
      <c r="A492" s="78"/>
      <c r="B492" s="79"/>
      <c r="C492" s="63" t="s">
        <v>1036</v>
      </c>
      <c r="D492" s="63"/>
      <c r="E492" s="63"/>
      <c r="F492" s="348"/>
      <c r="G492" s="99"/>
      <c r="H492" s="99"/>
      <c r="I492" s="99"/>
      <c r="J492" s="99"/>
      <c r="K492" s="82"/>
      <c r="L492" s="222"/>
      <c r="M492" s="222"/>
      <c r="N492" s="83"/>
      <c r="O492" s="89"/>
      <c r="P492" s="88"/>
      <c r="Q492" s="88"/>
    </row>
    <row r="493" spans="1:17">
      <c r="A493" s="78"/>
      <c r="B493" s="79"/>
      <c r="C493" s="97" t="s">
        <v>103</v>
      </c>
      <c r="D493" s="63"/>
      <c r="E493" s="63"/>
      <c r="F493" s="348"/>
      <c r="G493" s="99">
        <f>J75</f>
        <v>26.43674</v>
      </c>
      <c r="H493" s="99"/>
      <c r="I493" s="99"/>
      <c r="J493" s="99"/>
      <c r="K493" s="82"/>
      <c r="L493" s="222"/>
      <c r="M493" s="222"/>
      <c r="N493" s="83"/>
      <c r="O493" s="89"/>
      <c r="P493" s="88"/>
      <c r="Q493" s="88"/>
    </row>
    <row r="494" spans="1:17">
      <c r="A494" s="78"/>
      <c r="B494" s="79"/>
      <c r="C494" s="97" t="s">
        <v>104</v>
      </c>
      <c r="D494" s="63"/>
      <c r="E494" s="63"/>
      <c r="F494" s="348"/>
      <c r="G494" s="99">
        <f>J83</f>
        <v>10.79</v>
      </c>
      <c r="H494" s="99"/>
      <c r="I494" s="99"/>
      <c r="J494" s="99"/>
      <c r="K494" s="82"/>
      <c r="L494" s="222"/>
      <c r="M494" s="222"/>
      <c r="N494" s="83"/>
      <c r="O494" s="89"/>
      <c r="P494" s="88"/>
      <c r="Q494" s="88"/>
    </row>
    <row r="495" spans="1:17">
      <c r="A495" s="78"/>
      <c r="B495" s="79"/>
      <c r="C495" s="97" t="s">
        <v>86</v>
      </c>
      <c r="D495" s="63"/>
      <c r="E495" s="63"/>
      <c r="F495" s="348"/>
      <c r="G495" s="99">
        <f>SUM(J97+J98+J104)</f>
        <v>25.540000000000003</v>
      </c>
      <c r="H495" s="99"/>
      <c r="I495" s="99"/>
      <c r="J495" s="99"/>
      <c r="K495" s="82"/>
      <c r="L495" s="222"/>
      <c r="M495" s="222"/>
      <c r="N495" s="83"/>
      <c r="O495" s="89"/>
      <c r="P495" s="88"/>
      <c r="Q495" s="88"/>
    </row>
    <row r="496" spans="1:17">
      <c r="A496" s="78"/>
      <c r="B496" s="79"/>
      <c r="C496" s="97" t="s">
        <v>983</v>
      </c>
      <c r="D496" s="63"/>
      <c r="E496" s="63"/>
      <c r="F496" s="348"/>
      <c r="G496" s="99">
        <f>SUM(J126+J134)</f>
        <v>23.57</v>
      </c>
      <c r="H496" s="99"/>
      <c r="I496" s="99"/>
      <c r="J496" s="99"/>
      <c r="K496" s="82"/>
      <c r="L496" s="222"/>
      <c r="M496" s="222"/>
      <c r="N496" s="83"/>
      <c r="O496" s="89"/>
      <c r="P496" s="88"/>
      <c r="Q496" s="88"/>
    </row>
    <row r="497" spans="1:17">
      <c r="A497" s="78"/>
      <c r="B497" s="79"/>
      <c r="C497" s="97" t="s">
        <v>87</v>
      </c>
      <c r="D497" s="63"/>
      <c r="E497" s="63"/>
      <c r="F497" s="348"/>
      <c r="G497" s="99">
        <f>SUM(J139:J141)</f>
        <v>1.26</v>
      </c>
      <c r="H497" s="99"/>
      <c r="I497" s="99"/>
      <c r="J497" s="99"/>
      <c r="K497" s="82"/>
      <c r="L497" s="222"/>
      <c r="M497" s="222"/>
      <c r="N497" s="83"/>
      <c r="O497" s="89"/>
      <c r="P497" s="88"/>
      <c r="Q497" s="88"/>
    </row>
    <row r="498" spans="1:17">
      <c r="A498" s="78"/>
      <c r="B498" s="79"/>
      <c r="C498" s="97" t="s">
        <v>88</v>
      </c>
      <c r="D498" s="63"/>
      <c r="E498" s="63"/>
      <c r="F498" s="348"/>
      <c r="G498" s="99">
        <f>J187</f>
        <v>4.2700000000000005</v>
      </c>
      <c r="H498" s="99"/>
      <c r="I498" s="99"/>
      <c r="J498" s="99"/>
      <c r="K498" s="82"/>
      <c r="L498" s="222"/>
      <c r="M498" s="222"/>
      <c r="N498" s="83"/>
      <c r="O498" s="89"/>
      <c r="P498" s="88"/>
      <c r="Q498" s="88"/>
    </row>
    <row r="499" spans="1:17" ht="18">
      <c r="A499" s="78"/>
      <c r="B499" s="79"/>
      <c r="C499" s="97" t="s">
        <v>136</v>
      </c>
      <c r="D499" s="63"/>
      <c r="E499" s="63"/>
      <c r="F499" s="348"/>
      <c r="G499" s="99">
        <f>3.7*2.75*1.7</f>
        <v>17.297499999999999</v>
      </c>
      <c r="H499" s="99"/>
      <c r="I499" s="99"/>
      <c r="J499" s="99"/>
      <c r="K499" s="82"/>
      <c r="L499" s="222"/>
      <c r="M499" s="222"/>
      <c r="N499" s="83"/>
      <c r="O499" s="89"/>
      <c r="P499" s="88"/>
      <c r="Q499" s="88"/>
    </row>
    <row r="500" spans="1:17">
      <c r="B500" s="79"/>
      <c r="C500" s="63"/>
      <c r="D500" s="63"/>
      <c r="E500" s="63"/>
      <c r="F500" s="348"/>
      <c r="G500" s="99">
        <f>SUM(G493:G499)</f>
        <v>109.16423999999999</v>
      </c>
      <c r="H500" s="99"/>
      <c r="I500" s="99"/>
      <c r="J500" s="99"/>
      <c r="K500" s="82"/>
      <c r="L500" s="222"/>
      <c r="M500" s="222"/>
      <c r="N500" s="83"/>
      <c r="O500" s="89"/>
      <c r="P500" s="88"/>
      <c r="Q500" s="88"/>
    </row>
    <row r="501" spans="1:17">
      <c r="A501" s="78"/>
      <c r="B501" s="79"/>
      <c r="C501" s="109" t="s">
        <v>89</v>
      </c>
      <c r="D501" s="87"/>
      <c r="E501" s="87"/>
      <c r="F501" s="87"/>
      <c r="G501" s="110">
        <f>J491</f>
        <v>255.07</v>
      </c>
      <c r="H501" s="88" t="s">
        <v>524</v>
      </c>
      <c r="I501" s="110">
        <f>G500</f>
        <v>109.16423999999999</v>
      </c>
      <c r="J501" s="92">
        <f>G501-I501</f>
        <v>145.90575999999999</v>
      </c>
      <c r="K501" s="82"/>
      <c r="L501" s="222"/>
      <c r="M501" s="222"/>
      <c r="N501" s="83"/>
      <c r="O501" s="89"/>
      <c r="P501" s="88"/>
      <c r="Q501" s="88"/>
    </row>
    <row r="502" spans="1:17" s="378" customFormat="1">
      <c r="A502" s="196"/>
      <c r="B502" s="376" t="s">
        <v>1180</v>
      </c>
      <c r="C502" s="2808" t="s">
        <v>463</v>
      </c>
      <c r="D502" s="2809"/>
      <c r="E502" s="2809"/>
      <c r="F502" s="2809"/>
      <c r="G502" s="2809"/>
      <c r="H502" s="2809"/>
      <c r="I502" s="2809"/>
      <c r="J502" s="92">
        <f>J22*0.7</f>
        <v>100.86999999999999</v>
      </c>
      <c r="K502" s="379">
        <f>Datas!G1021</f>
        <v>323.36</v>
      </c>
      <c r="L502" s="222"/>
      <c r="M502" s="375">
        <f>ROUND(K502*J502,0)</f>
        <v>32617</v>
      </c>
      <c r="N502" s="403">
        <f>SUM(L502:M502)</f>
        <v>32617</v>
      </c>
      <c r="O502" s="380"/>
      <c r="P502" s="259"/>
      <c r="Q502" s="236"/>
    </row>
    <row r="503" spans="1:17">
      <c r="A503" s="78"/>
      <c r="B503" s="79"/>
      <c r="C503" s="63"/>
      <c r="D503" s="87"/>
      <c r="E503" s="87"/>
      <c r="F503" s="87"/>
      <c r="G503" s="88"/>
      <c r="H503" s="88"/>
      <c r="I503" s="88"/>
      <c r="J503" s="92" t="s">
        <v>656</v>
      </c>
      <c r="K503" s="82" t="str">
        <f>CONCATENATE( "per ",J503)</f>
        <v>per Cum.</v>
      </c>
      <c r="L503" s="222"/>
      <c r="M503" s="222"/>
      <c r="N503" s="83"/>
      <c r="O503" s="89"/>
      <c r="P503" s="88"/>
      <c r="Q503" s="88"/>
    </row>
    <row r="504" spans="1:17" ht="124.5" customHeight="1">
      <c r="A504" s="78">
        <v>14</v>
      </c>
      <c r="B504" s="79"/>
      <c r="C504" s="2740" t="s">
        <v>455</v>
      </c>
      <c r="D504" s="2740"/>
      <c r="E504" s="2740"/>
      <c r="F504" s="2740"/>
      <c r="G504" s="2740"/>
      <c r="H504" s="2740"/>
      <c r="I504" s="2740"/>
      <c r="J504" s="2740"/>
      <c r="K504" s="82"/>
      <c r="L504" s="222"/>
      <c r="M504" s="222"/>
      <c r="N504" s="83"/>
      <c r="O504" s="89"/>
      <c r="P504" s="88"/>
      <c r="Q504" s="88"/>
    </row>
    <row r="505" spans="1:17">
      <c r="A505" s="78"/>
      <c r="B505" s="79"/>
      <c r="C505" s="81"/>
      <c r="D505" s="101"/>
      <c r="E505" s="101"/>
      <c r="F505" s="87"/>
      <c r="G505" s="110">
        <f>J501</f>
        <v>145.90575999999999</v>
      </c>
      <c r="H505" s="88" t="s">
        <v>524</v>
      </c>
      <c r="I505" s="110">
        <f>J502</f>
        <v>100.86999999999999</v>
      </c>
      <c r="J505" s="92">
        <f>G505-I505</f>
        <v>45.035759999999996</v>
      </c>
      <c r="K505" s="82"/>
      <c r="L505" s="222"/>
      <c r="M505" s="222"/>
      <c r="N505" s="83"/>
      <c r="O505" s="89"/>
      <c r="P505" s="88"/>
      <c r="Q505" s="92"/>
    </row>
    <row r="506" spans="1:17" s="378" customFormat="1">
      <c r="A506" s="196"/>
      <c r="B506" s="376" t="s">
        <v>1181</v>
      </c>
      <c r="C506" s="2795" t="s">
        <v>314</v>
      </c>
      <c r="D506" s="2795"/>
      <c r="E506" s="2795"/>
      <c r="F506" s="2795"/>
      <c r="G506" s="2795"/>
      <c r="H506" s="2795"/>
      <c r="I506" s="2795"/>
      <c r="J506" s="92">
        <f>J505</f>
        <v>45.035759999999996</v>
      </c>
      <c r="K506" s="338">
        <f>Datas!G67</f>
        <v>0</v>
      </c>
      <c r="L506" s="222"/>
      <c r="M506" s="375">
        <f>ROUND(K506*J506,0)</f>
        <v>0</v>
      </c>
      <c r="N506" s="403">
        <f>SUM(L506:M506)</f>
        <v>0</v>
      </c>
      <c r="O506" s="380">
        <v>22</v>
      </c>
      <c r="P506" s="377">
        <f>ROUND(O506*J506,2)</f>
        <v>990.79</v>
      </c>
      <c r="Q506" s="236"/>
    </row>
    <row r="507" spans="1:17">
      <c r="A507" s="78"/>
      <c r="B507" s="79"/>
      <c r="C507" s="64"/>
      <c r="D507" s="87"/>
      <c r="E507" s="87"/>
      <c r="F507" s="87"/>
      <c r="G507" s="88"/>
      <c r="H507" s="88"/>
      <c r="I507" s="88"/>
      <c r="J507" s="92" t="s">
        <v>1473</v>
      </c>
      <c r="K507" s="82" t="str">
        <f>CONCATENATE( "per ",J507)</f>
        <v>per cum</v>
      </c>
      <c r="L507" s="222"/>
      <c r="M507" s="222"/>
      <c r="N507" s="83"/>
      <c r="O507" s="89"/>
      <c r="P507" s="88"/>
      <c r="Q507" s="88"/>
    </row>
    <row r="508" spans="1:17" s="378" customFormat="1">
      <c r="A508" s="196"/>
      <c r="B508" s="376" t="s">
        <v>313</v>
      </c>
      <c r="C508" s="2795" t="s">
        <v>315</v>
      </c>
      <c r="D508" s="2795"/>
      <c r="E508" s="2795"/>
      <c r="F508" s="2795"/>
      <c r="G508" s="2795"/>
      <c r="H508" s="2795"/>
      <c r="I508" s="2795"/>
      <c r="J508" s="92">
        <f>J506</f>
        <v>45.035759999999996</v>
      </c>
      <c r="K508" s="338">
        <f>Datas!F67</f>
        <v>0</v>
      </c>
      <c r="L508" s="375">
        <f>ROUND(K508*J508,0)</f>
        <v>0</v>
      </c>
      <c r="M508" s="377"/>
      <c r="N508" s="403">
        <f>SUM(L508:M508)</f>
        <v>0</v>
      </c>
      <c r="O508" s="380">
        <v>22</v>
      </c>
      <c r="P508" s="377">
        <f>ROUND(O508*J508,2)</f>
        <v>990.79</v>
      </c>
      <c r="Q508" s="236"/>
    </row>
    <row r="509" spans="1:17">
      <c r="A509" s="78"/>
      <c r="B509" s="79"/>
      <c r="C509" s="64"/>
      <c r="D509" s="87"/>
      <c r="E509" s="87"/>
      <c r="F509" s="87"/>
      <c r="G509" s="88"/>
      <c r="H509" s="88"/>
      <c r="I509" s="88"/>
      <c r="J509" s="92" t="s">
        <v>1473</v>
      </c>
      <c r="K509" s="82" t="str">
        <f>CONCATENATE( "per ",J509)</f>
        <v>per cum</v>
      </c>
      <c r="L509" s="222"/>
      <c r="M509" s="222"/>
      <c r="N509" s="83"/>
      <c r="O509" s="89"/>
      <c r="P509" s="88"/>
      <c r="Q509" s="88"/>
    </row>
    <row r="510" spans="1:17" ht="144.75" customHeight="1">
      <c r="A510" s="78">
        <v>15</v>
      </c>
      <c r="B510" s="79"/>
      <c r="C510" s="2740" t="s">
        <v>456</v>
      </c>
      <c r="D510" s="2741"/>
      <c r="E510" s="2741"/>
      <c r="F510" s="2741"/>
      <c r="G510" s="2741"/>
      <c r="H510" s="2741"/>
      <c r="I510" s="2741"/>
      <c r="J510" s="2741"/>
      <c r="K510" s="82"/>
      <c r="L510" s="222"/>
      <c r="M510" s="222"/>
      <c r="N510" s="83"/>
      <c r="O510" s="111"/>
      <c r="P510" s="111"/>
      <c r="Q510" s="111"/>
    </row>
    <row r="511" spans="1:17">
      <c r="A511" s="78"/>
      <c r="B511" s="79"/>
      <c r="C511" s="340" t="s">
        <v>482</v>
      </c>
      <c r="D511" s="25"/>
      <c r="E511" s="25"/>
      <c r="F511" s="349"/>
      <c r="G511" s="25"/>
      <c r="H511" s="25"/>
      <c r="I511" s="25"/>
      <c r="J511" s="25"/>
      <c r="K511" s="82"/>
      <c r="L511" s="222"/>
      <c r="M511" s="222"/>
      <c r="N511" s="83"/>
      <c r="O511" s="111"/>
      <c r="P511" s="111"/>
      <c r="Q511" s="111"/>
    </row>
    <row r="512" spans="1:17" ht="24.9" customHeight="1">
      <c r="A512" s="78"/>
      <c r="B512" s="79"/>
      <c r="C512" s="253" t="s">
        <v>480</v>
      </c>
      <c r="D512" s="87">
        <v>1</v>
      </c>
      <c r="E512" s="87" t="s">
        <v>1472</v>
      </c>
      <c r="F512" s="87">
        <v>1</v>
      </c>
      <c r="G512" s="88">
        <f>3.6+3.3</f>
        <v>6.9</v>
      </c>
      <c r="H512" s="248">
        <f>8.175</f>
        <v>8.1750000000000007</v>
      </c>
      <c r="I512" s="88"/>
      <c r="J512" s="88">
        <f t="shared" ref="J512:J519" si="25">ROUND(D512*F512*G512*H512,2)</f>
        <v>56.41</v>
      </c>
      <c r="K512" s="102"/>
      <c r="L512" s="39"/>
      <c r="M512" s="39"/>
      <c r="N512" s="103"/>
      <c r="O512" s="104"/>
      <c r="P512" s="105"/>
      <c r="Q512" s="105"/>
    </row>
    <row r="513" spans="1:17" ht="24.9" customHeight="1">
      <c r="A513" s="78"/>
      <c r="B513" s="79"/>
      <c r="C513" s="253" t="s">
        <v>481</v>
      </c>
      <c r="D513" s="87">
        <v>1</v>
      </c>
      <c r="E513" s="87" t="s">
        <v>1472</v>
      </c>
      <c r="F513" s="87">
        <v>1</v>
      </c>
      <c r="G513" s="88">
        <v>3.3</v>
      </c>
      <c r="H513" s="248">
        <v>3</v>
      </c>
      <c r="I513" s="88"/>
      <c r="J513" s="88">
        <f t="shared" si="25"/>
        <v>9.9</v>
      </c>
      <c r="K513" s="102"/>
      <c r="L513" s="39"/>
      <c r="M513" s="39"/>
      <c r="N513" s="103"/>
      <c r="O513" s="104"/>
      <c r="P513" s="105"/>
      <c r="Q513" s="105"/>
    </row>
    <row r="514" spans="1:17" ht="24.9" customHeight="1">
      <c r="A514" s="78"/>
      <c r="B514" s="79"/>
      <c r="C514" s="253" t="s">
        <v>721</v>
      </c>
      <c r="D514" s="87">
        <v>1</v>
      </c>
      <c r="E514" s="87" t="s">
        <v>1472</v>
      </c>
      <c r="F514" s="87">
        <v>1</v>
      </c>
      <c r="G514" s="88">
        <v>3.6</v>
      </c>
      <c r="H514" s="248">
        <v>2.0299999999999998</v>
      </c>
      <c r="I514" s="88"/>
      <c r="J514" s="88">
        <f t="shared" si="25"/>
        <v>7.31</v>
      </c>
      <c r="K514" s="102"/>
      <c r="L514" s="39"/>
      <c r="M514" s="39"/>
      <c r="N514" s="103"/>
      <c r="O514" s="104"/>
      <c r="P514" s="105"/>
      <c r="Q514" s="105"/>
    </row>
    <row r="515" spans="1:17" ht="24.9" customHeight="1">
      <c r="A515" s="78"/>
      <c r="B515" s="79"/>
      <c r="C515" s="253" t="s">
        <v>722</v>
      </c>
      <c r="D515" s="87">
        <v>1</v>
      </c>
      <c r="E515" s="87" t="s">
        <v>1472</v>
      </c>
      <c r="F515" s="87">
        <v>1</v>
      </c>
      <c r="G515" s="88">
        <v>3.6</v>
      </c>
      <c r="H515" s="248">
        <v>1.43</v>
      </c>
      <c r="I515" s="88"/>
      <c r="J515" s="88">
        <f t="shared" si="25"/>
        <v>5.15</v>
      </c>
      <c r="K515" s="102"/>
      <c r="L515" s="39"/>
      <c r="M515" s="39"/>
      <c r="N515" s="103"/>
      <c r="O515" s="104"/>
      <c r="P515" s="105"/>
      <c r="Q515" s="105"/>
    </row>
    <row r="516" spans="1:17" ht="24" customHeight="1">
      <c r="A516" s="78"/>
      <c r="B516" s="79"/>
      <c r="C516" s="112" t="s">
        <v>214</v>
      </c>
      <c r="D516" s="87">
        <v>1</v>
      </c>
      <c r="E516" s="87" t="s">
        <v>1472</v>
      </c>
      <c r="F516" s="87">
        <v>2</v>
      </c>
      <c r="G516" s="88">
        <v>3.6</v>
      </c>
      <c r="H516" s="248">
        <v>1.85</v>
      </c>
      <c r="I516" s="88"/>
      <c r="J516" s="88">
        <f t="shared" si="25"/>
        <v>13.32</v>
      </c>
      <c r="K516" s="82"/>
      <c r="L516" s="222"/>
      <c r="M516" s="222"/>
      <c r="N516" s="83"/>
      <c r="O516" s="111"/>
      <c r="P516" s="111"/>
      <c r="Q516" s="111"/>
    </row>
    <row r="517" spans="1:17" ht="24" customHeight="1">
      <c r="A517" s="78"/>
      <c r="B517" s="79"/>
      <c r="C517" s="112" t="s">
        <v>215</v>
      </c>
      <c r="D517" s="87">
        <v>1</v>
      </c>
      <c r="E517" s="87" t="s">
        <v>1472</v>
      </c>
      <c r="F517" s="87">
        <v>2</v>
      </c>
      <c r="G517" s="88">
        <f>1.8-2*0.23</f>
        <v>1.34</v>
      </c>
      <c r="H517" s="248">
        <v>2.2999999999999998</v>
      </c>
      <c r="I517" s="88"/>
      <c r="J517" s="88">
        <f t="shared" si="25"/>
        <v>6.16</v>
      </c>
      <c r="K517" s="82"/>
      <c r="L517" s="222"/>
      <c r="M517" s="222"/>
      <c r="N517" s="83"/>
      <c r="O517" s="111"/>
      <c r="P517" s="111"/>
      <c r="Q517" s="111"/>
    </row>
    <row r="518" spans="1:17" ht="24" customHeight="1">
      <c r="A518" s="78"/>
      <c r="B518" s="79"/>
      <c r="C518" s="112" t="s">
        <v>216</v>
      </c>
      <c r="D518" s="87">
        <v>1</v>
      </c>
      <c r="E518" s="87" t="s">
        <v>1472</v>
      </c>
      <c r="F518" s="87">
        <v>2</v>
      </c>
      <c r="G518" s="88">
        <v>1.34</v>
      </c>
      <c r="H518" s="248">
        <v>1.8</v>
      </c>
      <c r="I518" s="88"/>
      <c r="J518" s="88">
        <f t="shared" si="25"/>
        <v>4.82</v>
      </c>
      <c r="K518" s="82"/>
      <c r="L518" s="222"/>
      <c r="M518" s="222"/>
      <c r="N518" s="83"/>
      <c r="O518" s="111"/>
      <c r="P518" s="111"/>
      <c r="Q518" s="111"/>
    </row>
    <row r="519" spans="1:17" ht="24" customHeight="1">
      <c r="A519" s="78"/>
      <c r="B519" s="79"/>
      <c r="C519" s="112" t="s">
        <v>217</v>
      </c>
      <c r="D519" s="87">
        <v>1</v>
      </c>
      <c r="E519" s="87" t="s">
        <v>1472</v>
      </c>
      <c r="F519" s="87">
        <v>1</v>
      </c>
      <c r="G519" s="88">
        <v>3.6</v>
      </c>
      <c r="H519" s="248">
        <v>1.34</v>
      </c>
      <c r="I519" s="88"/>
      <c r="J519" s="88">
        <f t="shared" si="25"/>
        <v>4.82</v>
      </c>
      <c r="K519" s="82"/>
      <c r="L519" s="222"/>
      <c r="M519" s="222"/>
      <c r="N519" s="83"/>
      <c r="O519" s="111"/>
      <c r="P519" s="111"/>
      <c r="Q519" s="111"/>
    </row>
    <row r="520" spans="1:17">
      <c r="A520" s="78"/>
      <c r="B520" s="79"/>
      <c r="C520" s="340" t="s">
        <v>483</v>
      </c>
      <c r="D520" s="25"/>
      <c r="E520" s="25"/>
      <c r="F520" s="349"/>
      <c r="G520" s="25"/>
      <c r="H520" s="25"/>
      <c r="I520" s="25"/>
      <c r="J520" s="25"/>
      <c r="K520" s="82"/>
      <c r="L520" s="222"/>
      <c r="M520" s="222"/>
      <c r="N520" s="83"/>
      <c r="O520" s="111"/>
      <c r="P520" s="111"/>
      <c r="Q520" s="111"/>
    </row>
    <row r="521" spans="1:17" ht="24.9" customHeight="1">
      <c r="A521" s="78"/>
      <c r="B521" s="79"/>
      <c r="C521" s="253" t="s">
        <v>1379</v>
      </c>
      <c r="D521" s="87">
        <v>1</v>
      </c>
      <c r="E521" s="87" t="s">
        <v>1472</v>
      </c>
      <c r="F521" s="87">
        <v>1</v>
      </c>
      <c r="G521" s="88">
        <f>(3.3*4+0.3)</f>
        <v>13.5</v>
      </c>
      <c r="H521" s="248">
        <v>8.4749999999999996</v>
      </c>
      <c r="I521" s="88"/>
      <c r="J521" s="88">
        <f>ROUND(D521*F521*G521*H521,2)</f>
        <v>114.41</v>
      </c>
      <c r="K521" s="102"/>
      <c r="L521" s="39"/>
      <c r="M521" s="39"/>
      <c r="N521" s="103"/>
      <c r="O521" s="104"/>
      <c r="P521" s="105"/>
      <c r="Q521" s="105"/>
    </row>
    <row r="522" spans="1:17" ht="24.9" customHeight="1">
      <c r="A522" s="78"/>
      <c r="B522" s="79"/>
      <c r="C522" s="253" t="s">
        <v>1380</v>
      </c>
      <c r="D522" s="87">
        <v>1</v>
      </c>
      <c r="E522" s="87" t="s">
        <v>1472</v>
      </c>
      <c r="F522" s="87">
        <v>1</v>
      </c>
      <c r="G522" s="88">
        <f>-(3.3*1)</f>
        <v>-3.3</v>
      </c>
      <c r="H522" s="248">
        <v>8.4749999999999996</v>
      </c>
      <c r="I522" s="88"/>
      <c r="J522" s="88">
        <f>ROUND(D522*F522*G522*H522,2)</f>
        <v>-27.97</v>
      </c>
      <c r="K522" s="102"/>
      <c r="L522" s="39"/>
      <c r="M522" s="39"/>
      <c r="N522" s="103"/>
    </row>
    <row r="523" spans="1:17" ht="24.9" customHeight="1">
      <c r="A523" s="78"/>
      <c r="B523" s="79"/>
      <c r="C523" s="253" t="s">
        <v>1408</v>
      </c>
      <c r="D523" s="87">
        <v>1</v>
      </c>
      <c r="E523" s="87" t="s">
        <v>1472</v>
      </c>
      <c r="F523" s="87">
        <v>1</v>
      </c>
      <c r="G523" s="88">
        <f>0.15+3.108+0.15+1.5+0.23</f>
        <v>5.1379999999999999</v>
      </c>
      <c r="H523" s="248">
        <f>3.3+0.23+0.15</f>
        <v>3.6799999999999997</v>
      </c>
      <c r="I523" s="88"/>
      <c r="J523" s="88">
        <f>ROUND(D523*F523*G523*H523,2)</f>
        <v>18.91</v>
      </c>
      <c r="K523" s="102"/>
      <c r="L523" s="39"/>
      <c r="M523" s="39"/>
      <c r="N523" s="103"/>
    </row>
    <row r="524" spans="1:17">
      <c r="A524" s="78"/>
      <c r="B524" s="79"/>
      <c r="C524" s="63"/>
      <c r="D524" s="87"/>
      <c r="E524" s="87"/>
      <c r="F524" s="87"/>
      <c r="G524" s="88"/>
      <c r="H524" s="105"/>
      <c r="I524" s="88"/>
      <c r="J524" s="88">
        <f>SUM(J512:J523)</f>
        <v>213.23999999999998</v>
      </c>
      <c r="K524" s="82"/>
      <c r="L524" s="222"/>
      <c r="M524" s="222"/>
      <c r="N524" s="83"/>
      <c r="O524" s="111"/>
      <c r="P524" s="111"/>
      <c r="Q524" s="111"/>
    </row>
    <row r="525" spans="1:17" s="378" customFormat="1">
      <c r="A525" s="196"/>
      <c r="B525" s="376" t="s">
        <v>312</v>
      </c>
      <c r="C525" s="2763"/>
      <c r="D525" s="2763"/>
      <c r="E525" s="2763"/>
      <c r="F525" s="2763"/>
      <c r="G525" s="2763"/>
      <c r="H525" s="2763"/>
      <c r="I525" s="2763"/>
      <c r="J525" s="92">
        <f>CEILING(J524,0.05)</f>
        <v>213.25</v>
      </c>
      <c r="K525" s="338">
        <f>Datas!G860</f>
        <v>4893.9799999999996</v>
      </c>
      <c r="L525" s="222"/>
      <c r="M525" s="375">
        <f>ROUND(K525*J525/10,0)</f>
        <v>104364</v>
      </c>
      <c r="N525" s="403">
        <f>SUM(L525:M525)</f>
        <v>104364</v>
      </c>
      <c r="O525" s="380">
        <f>0.21/10*40</f>
        <v>0.83999999999999986</v>
      </c>
      <c r="P525" s="377">
        <f>ROUND(O525*J525,2)</f>
        <v>179.13</v>
      </c>
      <c r="Q525" s="236"/>
    </row>
    <row r="526" spans="1:17" ht="24" customHeight="1">
      <c r="A526" s="78"/>
      <c r="B526" s="223"/>
      <c r="C526" s="2763"/>
      <c r="D526" s="2763"/>
      <c r="E526" s="2763"/>
      <c r="F526" s="2763"/>
      <c r="G526" s="2763"/>
      <c r="H526" s="2763"/>
      <c r="I526" s="2763"/>
      <c r="J526" s="92" t="s">
        <v>464</v>
      </c>
      <c r="K526" s="108" t="s">
        <v>465</v>
      </c>
      <c r="L526" s="222"/>
      <c r="M526" s="222"/>
      <c r="N526" s="83"/>
      <c r="O526" s="111"/>
      <c r="P526" s="111"/>
      <c r="Q526" s="113"/>
    </row>
    <row r="527" spans="1:17" ht="170.2" customHeight="1">
      <c r="A527" s="78">
        <v>16</v>
      </c>
      <c r="B527" s="79"/>
      <c r="C527" s="2765" t="s">
        <v>252</v>
      </c>
      <c r="D527" s="2741"/>
      <c r="E527" s="2741"/>
      <c r="F527" s="2741"/>
      <c r="G527" s="2741"/>
      <c r="H527" s="2741"/>
      <c r="I527" s="2741"/>
      <c r="J527" s="2741"/>
      <c r="K527" s="82"/>
      <c r="L527" s="222"/>
      <c r="M527" s="222"/>
      <c r="N527" s="83"/>
      <c r="O527" s="89"/>
      <c r="P527" s="88"/>
      <c r="Q527" s="88"/>
    </row>
    <row r="528" spans="1:17">
      <c r="A528" s="78"/>
      <c r="B528" s="79"/>
      <c r="C528" s="287" t="s">
        <v>847</v>
      </c>
      <c r="D528" s="25"/>
      <c r="E528" s="25"/>
      <c r="F528" s="349"/>
      <c r="G528" s="25"/>
      <c r="H528" s="25"/>
      <c r="I528" s="3"/>
      <c r="J528" s="25"/>
      <c r="K528" s="82"/>
      <c r="L528" s="222"/>
      <c r="M528" s="222"/>
      <c r="N528" s="83"/>
      <c r="O528" s="89"/>
      <c r="P528" s="88"/>
      <c r="Q528" s="88"/>
    </row>
    <row r="529" spans="1:17" s="3" customFormat="1" ht="24" customHeight="1">
      <c r="A529" s="78"/>
      <c r="B529" s="79"/>
      <c r="C529" s="90" t="s">
        <v>305</v>
      </c>
      <c r="D529" s="87">
        <v>1</v>
      </c>
      <c r="E529" s="87" t="s">
        <v>1472</v>
      </c>
      <c r="F529" s="87">
        <v>1</v>
      </c>
      <c r="G529" s="88">
        <f>7.72-3.108</f>
        <v>4.6120000000000001</v>
      </c>
      <c r="H529" s="88">
        <v>3</v>
      </c>
      <c r="I529" s="123"/>
      <c r="J529" s="88">
        <f t="shared" ref="J529:J540" si="26">ROUND(D529*F529*G529*H529,2)</f>
        <v>13.84</v>
      </c>
      <c r="K529" s="82"/>
      <c r="L529" s="222"/>
      <c r="M529" s="222"/>
      <c r="N529" s="83"/>
      <c r="O529" s="89"/>
      <c r="P529" s="88"/>
      <c r="Q529" s="88"/>
    </row>
    <row r="530" spans="1:17" s="3" customFormat="1" ht="24" customHeight="1">
      <c r="A530" s="78"/>
      <c r="B530" s="79"/>
      <c r="C530" s="90" t="s">
        <v>306</v>
      </c>
      <c r="D530" s="87">
        <v>1</v>
      </c>
      <c r="E530" s="87" t="s">
        <v>1472</v>
      </c>
      <c r="F530" s="87">
        <v>1</v>
      </c>
      <c r="G530" s="88">
        <v>9.7799999999999994</v>
      </c>
      <c r="H530" s="88">
        <v>7.72</v>
      </c>
      <c r="I530" s="123"/>
      <c r="J530" s="88">
        <f t="shared" si="26"/>
        <v>75.5</v>
      </c>
      <c r="K530" s="82"/>
      <c r="L530" s="222"/>
      <c r="M530" s="222"/>
      <c r="N530" s="83"/>
      <c r="O530" s="89"/>
      <c r="P530" s="88"/>
      <c r="Q530" s="88"/>
    </row>
    <row r="531" spans="1:17" s="3" customFormat="1" ht="24" customHeight="1">
      <c r="A531" s="78"/>
      <c r="B531" s="79"/>
      <c r="C531" s="90" t="s">
        <v>1507</v>
      </c>
      <c r="D531" s="87">
        <v>1</v>
      </c>
      <c r="E531" s="87" t="s">
        <v>1472</v>
      </c>
      <c r="F531" s="87">
        <v>1</v>
      </c>
      <c r="G531" s="88">
        <v>3.67</v>
      </c>
      <c r="H531" s="88">
        <v>4</v>
      </c>
      <c r="I531" s="123"/>
      <c r="J531" s="88">
        <f t="shared" si="26"/>
        <v>14.68</v>
      </c>
      <c r="K531" s="82"/>
      <c r="L531" s="222"/>
      <c r="M531" s="222"/>
      <c r="N531" s="83"/>
      <c r="O531" s="89"/>
      <c r="P531" s="88"/>
      <c r="Q531" s="88"/>
    </row>
    <row r="532" spans="1:17" s="3" customFormat="1" ht="24" customHeight="1">
      <c r="A532" s="78"/>
      <c r="B532" s="79"/>
      <c r="C532" s="90" t="s">
        <v>307</v>
      </c>
      <c r="D532" s="87">
        <v>1</v>
      </c>
      <c r="E532" s="87" t="s">
        <v>1472</v>
      </c>
      <c r="F532" s="87">
        <v>1</v>
      </c>
      <c r="G532" s="88">
        <v>2.4</v>
      </c>
      <c r="H532" s="88">
        <v>3.6</v>
      </c>
      <c r="I532" s="123"/>
      <c r="J532" s="88">
        <f t="shared" si="26"/>
        <v>8.64</v>
      </c>
      <c r="K532" s="82"/>
      <c r="L532" s="222"/>
      <c r="M532" s="222"/>
      <c r="N532" s="83"/>
      <c r="O532" s="89"/>
      <c r="P532" s="88"/>
      <c r="Q532" s="88"/>
    </row>
    <row r="533" spans="1:17" s="3" customFormat="1" ht="24" customHeight="1">
      <c r="A533" s="78"/>
      <c r="B533" s="79"/>
      <c r="C533" s="90" t="s">
        <v>1512</v>
      </c>
      <c r="D533" s="87">
        <v>1</v>
      </c>
      <c r="E533" s="87" t="s">
        <v>1472</v>
      </c>
      <c r="F533" s="87">
        <v>1</v>
      </c>
      <c r="G533" s="88">
        <v>3.07</v>
      </c>
      <c r="H533" s="88">
        <v>3.8</v>
      </c>
      <c r="I533" s="123"/>
      <c r="J533" s="88">
        <f t="shared" si="26"/>
        <v>11.67</v>
      </c>
      <c r="K533" s="82"/>
      <c r="L533" s="222"/>
      <c r="M533" s="222"/>
      <c r="N533" s="83"/>
      <c r="O533" s="89"/>
      <c r="P533" s="88"/>
      <c r="Q533" s="88"/>
    </row>
    <row r="534" spans="1:17" s="3" customFormat="1" ht="24" customHeight="1">
      <c r="A534" s="78"/>
      <c r="B534" s="79"/>
      <c r="C534" s="90" t="s">
        <v>308</v>
      </c>
      <c r="D534" s="87">
        <v>1</v>
      </c>
      <c r="E534" s="87" t="s">
        <v>1472</v>
      </c>
      <c r="F534" s="87">
        <v>1</v>
      </c>
      <c r="G534" s="88">
        <v>3.07</v>
      </c>
      <c r="H534" s="88">
        <v>3.8</v>
      </c>
      <c r="I534" s="123"/>
      <c r="J534" s="88">
        <f t="shared" si="26"/>
        <v>11.67</v>
      </c>
      <c r="K534" s="82"/>
      <c r="L534" s="222"/>
      <c r="M534" s="222"/>
      <c r="N534" s="83"/>
      <c r="O534" s="89"/>
      <c r="P534" s="88"/>
      <c r="Q534" s="88"/>
    </row>
    <row r="535" spans="1:17" s="3" customFormat="1" ht="24" customHeight="1">
      <c r="A535" s="78"/>
      <c r="B535" s="79"/>
      <c r="C535" s="90" t="s">
        <v>309</v>
      </c>
      <c r="D535" s="87">
        <v>1</v>
      </c>
      <c r="E535" s="87" t="s">
        <v>1472</v>
      </c>
      <c r="F535" s="87">
        <v>1</v>
      </c>
      <c r="G535" s="88">
        <v>1.1599999999999999</v>
      </c>
      <c r="H535" s="88">
        <v>3.6</v>
      </c>
      <c r="I535" s="123"/>
      <c r="J535" s="88">
        <f t="shared" si="26"/>
        <v>4.18</v>
      </c>
      <c r="K535" s="82"/>
      <c r="L535" s="222"/>
      <c r="M535" s="222"/>
      <c r="N535" s="83"/>
      <c r="O535" s="89"/>
      <c r="P535" s="88"/>
      <c r="Q535" s="88"/>
    </row>
    <row r="536" spans="1:17" ht="21.75" customHeight="1">
      <c r="A536" s="265"/>
      <c r="B536" s="341"/>
      <c r="C536" s="100" t="s">
        <v>124</v>
      </c>
      <c r="D536" s="106">
        <v>1</v>
      </c>
      <c r="E536" s="106" t="s">
        <v>1472</v>
      </c>
      <c r="F536" s="344">
        <v>1</v>
      </c>
      <c r="G536" s="226">
        <f>SQRT(3.108^2+1.65^2)</f>
        <v>3.5188299191634713</v>
      </c>
      <c r="H536" s="226">
        <v>1.2749999999999999</v>
      </c>
      <c r="I536" s="226"/>
      <c r="J536" s="226">
        <f>FLOOR(D536*F536*G536*H536,0.01)</f>
        <v>4.4800000000000004</v>
      </c>
      <c r="K536" s="102"/>
      <c r="L536" s="39"/>
      <c r="M536" s="39"/>
      <c r="N536" s="103"/>
      <c r="O536" s="104"/>
      <c r="P536" s="105"/>
      <c r="Q536" s="105"/>
    </row>
    <row r="537" spans="1:17" ht="21.75" customHeight="1">
      <c r="A537" s="265"/>
      <c r="B537" s="341"/>
      <c r="C537" s="100" t="s">
        <v>125</v>
      </c>
      <c r="D537" s="106">
        <v>1</v>
      </c>
      <c r="E537" s="106" t="s">
        <v>1472</v>
      </c>
      <c r="F537" s="344">
        <v>1</v>
      </c>
      <c r="G537" s="226">
        <f>3.3-0.3</f>
        <v>3</v>
      </c>
      <c r="H537" s="226">
        <v>1.5</v>
      </c>
      <c r="I537" s="226"/>
      <c r="J537" s="226">
        <f>FLOOR(D537*F537*G537*H537,0.01)</f>
        <v>4.5</v>
      </c>
      <c r="K537" s="102"/>
      <c r="L537" s="39"/>
      <c r="M537" s="39"/>
      <c r="N537" s="103"/>
      <c r="O537" s="104"/>
      <c r="P537" s="105"/>
      <c r="Q537" s="105"/>
    </row>
    <row r="538" spans="1:17" ht="21.75" customHeight="1">
      <c r="A538" s="265"/>
      <c r="B538" s="341"/>
      <c r="C538" s="100" t="s">
        <v>124</v>
      </c>
      <c r="D538" s="106">
        <v>1</v>
      </c>
      <c r="E538" s="106" t="s">
        <v>1472</v>
      </c>
      <c r="F538" s="344">
        <v>1</v>
      </c>
      <c r="G538" s="226">
        <v>3.52</v>
      </c>
      <c r="H538" s="226">
        <v>1.28</v>
      </c>
      <c r="I538" s="226"/>
      <c r="J538" s="226">
        <f>FLOOR(D538*F538*G538*H538,0.01)</f>
        <v>4.5</v>
      </c>
      <c r="K538" s="102"/>
      <c r="L538" s="39"/>
      <c r="M538" s="39"/>
      <c r="N538" s="103"/>
      <c r="O538" s="104"/>
      <c r="P538" s="105"/>
      <c r="Q538" s="105"/>
    </row>
    <row r="539" spans="1:17" ht="24" customHeight="1">
      <c r="A539" s="78"/>
      <c r="B539" s="79"/>
      <c r="C539" s="90" t="s">
        <v>1381</v>
      </c>
      <c r="D539" s="87">
        <v>1</v>
      </c>
      <c r="E539" s="87" t="s">
        <v>1472</v>
      </c>
      <c r="F539" s="87">
        <v>1</v>
      </c>
      <c r="G539" s="88">
        <v>3.9</v>
      </c>
      <c r="H539" s="88">
        <v>2.0299999999999998</v>
      </c>
      <c r="I539" s="105"/>
      <c r="J539" s="88">
        <f t="shared" si="26"/>
        <v>7.92</v>
      </c>
      <c r="K539" s="82"/>
      <c r="L539" s="222"/>
      <c r="M539" s="222"/>
      <c r="N539" s="83"/>
      <c r="O539" s="89"/>
      <c r="P539" s="88"/>
      <c r="Q539" s="88"/>
    </row>
    <row r="540" spans="1:17" ht="24" customHeight="1">
      <c r="A540" s="78"/>
      <c r="B540" s="79"/>
      <c r="C540" s="90" t="s">
        <v>273</v>
      </c>
      <c r="D540" s="87">
        <v>1</v>
      </c>
      <c r="E540" s="87" t="s">
        <v>1472</v>
      </c>
      <c r="F540" s="87">
        <v>1</v>
      </c>
      <c r="G540" s="88">
        <v>3.9</v>
      </c>
      <c r="H540" s="88">
        <v>1.43</v>
      </c>
      <c r="I540" s="105"/>
      <c r="J540" s="88">
        <f t="shared" si="26"/>
        <v>5.58</v>
      </c>
      <c r="K540" s="82"/>
      <c r="L540" s="222"/>
      <c r="M540" s="222"/>
      <c r="N540" s="83"/>
      <c r="O540" s="89"/>
      <c r="P540" s="88"/>
      <c r="Q540" s="88"/>
    </row>
    <row r="541" spans="1:17" ht="24" customHeight="1">
      <c r="A541" s="78"/>
      <c r="B541" s="79"/>
      <c r="C541" s="90" t="s">
        <v>1382</v>
      </c>
      <c r="D541" s="87">
        <v>1</v>
      </c>
      <c r="E541" s="87" t="s">
        <v>1472</v>
      </c>
      <c r="F541" s="87">
        <v>2</v>
      </c>
      <c r="G541" s="88">
        <v>2.0299999999999998</v>
      </c>
      <c r="H541" s="3"/>
      <c r="I541" s="88">
        <v>0.3</v>
      </c>
      <c r="J541" s="88">
        <f>ROUND(D541*F541*G541*I541,2)</f>
        <v>1.22</v>
      </c>
      <c r="K541" s="82"/>
      <c r="L541" s="222"/>
      <c r="M541" s="222"/>
      <c r="N541" s="83"/>
      <c r="O541" s="89"/>
      <c r="P541" s="88"/>
      <c r="Q541" s="88"/>
    </row>
    <row r="542" spans="1:17" ht="24" customHeight="1">
      <c r="A542" s="78"/>
      <c r="B542" s="79"/>
      <c r="C542" s="90" t="s">
        <v>1383</v>
      </c>
      <c r="D542" s="87">
        <v>1</v>
      </c>
      <c r="E542" s="87" t="s">
        <v>1472</v>
      </c>
      <c r="F542" s="87">
        <v>2</v>
      </c>
      <c r="G542" s="88">
        <v>2.0299999999999998</v>
      </c>
      <c r="H542" s="3"/>
      <c r="I542" s="88">
        <v>0.3</v>
      </c>
      <c r="J542" s="88">
        <f>ROUND(D542*F542*G542*I542,2)</f>
        <v>1.22</v>
      </c>
      <c r="K542" s="82"/>
      <c r="L542" s="222"/>
      <c r="M542" s="222"/>
      <c r="N542" s="83"/>
      <c r="O542" s="89"/>
      <c r="P542" s="88"/>
      <c r="Q542" s="88"/>
    </row>
    <row r="543" spans="1:17" ht="24" customHeight="1">
      <c r="A543" s="78"/>
      <c r="B543" s="79"/>
      <c r="C543" s="90" t="s">
        <v>1384</v>
      </c>
      <c r="D543" s="87">
        <v>2</v>
      </c>
      <c r="E543" s="87" t="s">
        <v>1472</v>
      </c>
      <c r="F543" s="87">
        <v>2</v>
      </c>
      <c r="G543" s="88">
        <v>7.72</v>
      </c>
      <c r="H543" s="3"/>
      <c r="I543" s="88">
        <v>0.45</v>
      </c>
      <c r="J543" s="88">
        <f>ROUND(D543*F543*G543*I543,2)</f>
        <v>13.9</v>
      </c>
      <c r="K543" s="82"/>
      <c r="L543" s="222"/>
      <c r="M543" s="222"/>
      <c r="N543" s="83"/>
      <c r="O543" s="89"/>
      <c r="P543" s="88"/>
      <c r="Q543" s="88"/>
    </row>
    <row r="544" spans="1:17" ht="24" customHeight="1">
      <c r="A544" s="78"/>
      <c r="B544" s="79"/>
      <c r="C544" s="90" t="s">
        <v>261</v>
      </c>
      <c r="D544" s="87">
        <v>1</v>
      </c>
      <c r="E544" s="87" t="s">
        <v>1472</v>
      </c>
      <c r="F544" s="87">
        <v>2</v>
      </c>
      <c r="G544" s="88">
        <v>3</v>
      </c>
      <c r="H544" s="3"/>
      <c r="I544" s="88">
        <v>0.3</v>
      </c>
      <c r="J544" s="88">
        <f>ROUND(D544*F544*G544*I544,2)</f>
        <v>1.8</v>
      </c>
      <c r="K544" s="82"/>
      <c r="L544" s="222"/>
      <c r="M544" s="222"/>
      <c r="N544" s="83"/>
      <c r="O544" s="89"/>
      <c r="P544" s="88"/>
      <c r="Q544" s="88"/>
    </row>
    <row r="545" spans="1:17" ht="24" customHeight="1">
      <c r="A545" s="78"/>
      <c r="B545" s="79"/>
      <c r="C545" s="90" t="s">
        <v>1385</v>
      </c>
      <c r="D545" s="87">
        <v>1</v>
      </c>
      <c r="E545" s="87" t="s">
        <v>1472</v>
      </c>
      <c r="F545" s="87">
        <v>2</v>
      </c>
      <c r="G545" s="88">
        <v>1.43</v>
      </c>
      <c r="H545" s="3"/>
      <c r="I545" s="88">
        <v>0.45</v>
      </c>
      <c r="J545" s="88">
        <f>ROUND(D545*F545*G545*I545,2)</f>
        <v>1.29</v>
      </c>
      <c r="K545" s="82"/>
      <c r="L545" s="222"/>
      <c r="M545" s="222"/>
      <c r="N545" s="83"/>
      <c r="O545" s="89"/>
      <c r="P545" s="88"/>
      <c r="Q545" s="88"/>
    </row>
    <row r="546" spans="1:17" ht="24.9" customHeight="1">
      <c r="A546" s="78"/>
      <c r="B546" s="79"/>
      <c r="C546" s="261" t="s">
        <v>262</v>
      </c>
      <c r="D546" s="87">
        <v>2</v>
      </c>
      <c r="E546" s="87" t="s">
        <v>1472</v>
      </c>
      <c r="F546" s="87">
        <v>12</v>
      </c>
      <c r="G546" s="88">
        <f>1.75</f>
        <v>1.75</v>
      </c>
      <c r="H546" s="88">
        <v>0.6</v>
      </c>
      <c r="I546" s="88"/>
      <c r="J546" s="88">
        <f>ROUND(D546*F546*G546*H546,2)</f>
        <v>25.2</v>
      </c>
      <c r="K546" s="82"/>
      <c r="L546" s="222"/>
      <c r="M546" s="222"/>
      <c r="N546" s="83"/>
      <c r="O546" s="89"/>
      <c r="P546" s="88"/>
      <c r="Q546" s="88"/>
    </row>
    <row r="547" spans="1:17" ht="24.9" customHeight="1">
      <c r="A547" s="78"/>
      <c r="B547" s="79"/>
      <c r="C547" s="261" t="s">
        <v>263</v>
      </c>
      <c r="D547" s="87">
        <v>2</v>
      </c>
      <c r="E547" s="87" t="s">
        <v>1472</v>
      </c>
      <c r="F547" s="87">
        <v>1</v>
      </c>
      <c r="G547" s="88">
        <v>2.2000000000000002</v>
      </c>
      <c r="H547" s="88">
        <v>0.6</v>
      </c>
      <c r="I547" s="88"/>
      <c r="J547" s="88">
        <f>ROUND(D547*F547*G547*H547,2)</f>
        <v>2.64</v>
      </c>
      <c r="K547" s="82"/>
      <c r="L547" s="222"/>
      <c r="M547" s="222"/>
      <c r="N547" s="83"/>
      <c r="O547" s="89"/>
      <c r="P547" s="88"/>
      <c r="Q547" s="88"/>
    </row>
    <row r="548" spans="1:17" ht="24.9" customHeight="1">
      <c r="A548" s="78"/>
      <c r="B548" s="79"/>
      <c r="C548" s="261" t="s">
        <v>1318</v>
      </c>
      <c r="D548" s="87">
        <v>2</v>
      </c>
      <c r="E548" s="87" t="s">
        <v>1472</v>
      </c>
      <c r="F548" s="87">
        <v>0</v>
      </c>
      <c r="G548" s="88">
        <v>1.3</v>
      </c>
      <c r="H548" s="88">
        <v>0.6</v>
      </c>
      <c r="I548" s="88"/>
      <c r="J548" s="88">
        <f>ROUND(D548*F548*G548*H548,2)</f>
        <v>0</v>
      </c>
      <c r="K548" s="82"/>
      <c r="L548" s="222"/>
      <c r="M548" s="222"/>
      <c r="N548" s="83"/>
      <c r="O548" s="89"/>
      <c r="P548" s="88"/>
      <c r="Q548" s="88"/>
    </row>
    <row r="549" spans="1:17" ht="24.9" customHeight="1">
      <c r="A549" s="78"/>
      <c r="B549" s="79"/>
      <c r="C549" s="261" t="s">
        <v>1319</v>
      </c>
      <c r="D549" s="87">
        <v>2</v>
      </c>
      <c r="E549" s="87" t="s">
        <v>1472</v>
      </c>
      <c r="F549" s="87">
        <v>2</v>
      </c>
      <c r="G549" s="88">
        <v>1</v>
      </c>
      <c r="H549" s="88">
        <v>0.6</v>
      </c>
      <c r="I549" s="88"/>
      <c r="J549" s="88">
        <f>ROUND(D549*F549*G549*H549,2)</f>
        <v>2.4</v>
      </c>
      <c r="K549" s="82"/>
      <c r="L549" s="222"/>
      <c r="M549" s="222"/>
      <c r="N549" s="83"/>
      <c r="O549" s="89"/>
      <c r="P549" s="88"/>
      <c r="Q549" s="88"/>
    </row>
    <row r="550" spans="1:17" ht="24" customHeight="1">
      <c r="A550" s="78"/>
      <c r="B550" s="79"/>
      <c r="C550" s="97"/>
      <c r="D550" s="87"/>
      <c r="E550" s="87"/>
      <c r="F550" s="87"/>
      <c r="G550" s="88"/>
      <c r="H550" s="88"/>
      <c r="I550" s="88"/>
      <c r="J550" s="88">
        <f>SUM(J529:J549)</f>
        <v>216.82999999999998</v>
      </c>
      <c r="K550" s="82"/>
      <c r="L550" s="222"/>
      <c r="M550" s="222"/>
      <c r="N550" s="83"/>
      <c r="O550" s="89"/>
      <c r="P550" s="88"/>
      <c r="Q550" s="88"/>
    </row>
    <row r="551" spans="1:17">
      <c r="A551" s="196"/>
      <c r="B551" s="376" t="s">
        <v>107</v>
      </c>
      <c r="C551" s="2763"/>
      <c r="D551" s="2763"/>
      <c r="E551" s="2763"/>
      <c r="F551" s="2763"/>
      <c r="G551" s="2763"/>
      <c r="H551" s="2763"/>
      <c r="I551" s="2763"/>
      <c r="J551" s="92">
        <f>CEILING(J550,0.05)</f>
        <v>216.85000000000002</v>
      </c>
      <c r="K551" s="338">
        <f>Datas!E652</f>
        <v>1489.73</v>
      </c>
      <c r="L551" s="222"/>
      <c r="M551" s="375">
        <f>ROUND(K551*J551/10,0)</f>
        <v>32305</v>
      </c>
      <c r="N551" s="403">
        <f>SUM(L551:M551)</f>
        <v>32305</v>
      </c>
      <c r="O551" s="89">
        <f>0.15*40/10</f>
        <v>0.6</v>
      </c>
      <c r="P551" s="321">
        <f>ROUND(O551*J551,2)</f>
        <v>130.11000000000001</v>
      </c>
      <c r="Q551" s="92"/>
    </row>
    <row r="552" spans="1:17">
      <c r="A552" s="78"/>
      <c r="B552" s="3"/>
      <c r="D552" s="3"/>
      <c r="G552" s="3"/>
      <c r="H552" s="3"/>
      <c r="I552" s="3"/>
      <c r="J552" s="92" t="s">
        <v>1478</v>
      </c>
      <c r="K552" s="82" t="s">
        <v>672</v>
      </c>
      <c r="L552" s="222"/>
      <c r="M552" s="222"/>
      <c r="N552" s="83"/>
      <c r="O552" s="89"/>
      <c r="P552" s="88"/>
      <c r="Q552" s="88"/>
    </row>
    <row r="553" spans="1:17">
      <c r="A553" s="78"/>
      <c r="B553" s="79"/>
      <c r="C553" s="287" t="s">
        <v>1085</v>
      </c>
      <c r="D553" s="25"/>
      <c r="E553" s="25"/>
      <c r="F553" s="349"/>
      <c r="G553" s="25"/>
      <c r="H553" s="25"/>
      <c r="I553" s="3"/>
      <c r="J553" s="25"/>
      <c r="K553" s="82"/>
      <c r="L553" s="222"/>
      <c r="M553" s="222"/>
      <c r="N553" s="83"/>
      <c r="O553" s="89"/>
      <c r="P553" s="88"/>
      <c r="Q553" s="88"/>
    </row>
    <row r="554" spans="1:17" s="3" customFormat="1" ht="24" customHeight="1">
      <c r="A554" s="78"/>
      <c r="B554" s="79"/>
      <c r="C554" s="90" t="s">
        <v>1508</v>
      </c>
      <c r="D554" s="87">
        <v>1</v>
      </c>
      <c r="E554" s="87" t="s">
        <v>1472</v>
      </c>
      <c r="F554" s="87">
        <v>1</v>
      </c>
      <c r="G554" s="88">
        <f>3+1.5+0.23</f>
        <v>4.7300000000000004</v>
      </c>
      <c r="H554" s="88">
        <v>3</v>
      </c>
      <c r="I554" s="123"/>
      <c r="J554" s="88">
        <f t="shared" ref="J554:J562" si="27">ROUND(D554*F554*G554*H554,2)</f>
        <v>14.19</v>
      </c>
      <c r="K554" s="82"/>
      <c r="L554" s="222"/>
      <c r="M554" s="222"/>
      <c r="N554" s="83"/>
      <c r="O554" s="89"/>
      <c r="P554" s="88"/>
      <c r="Q554" s="88"/>
    </row>
    <row r="555" spans="1:17" ht="24" customHeight="1">
      <c r="A555" s="78"/>
      <c r="B555" s="79"/>
      <c r="C555" s="90" t="s">
        <v>1500</v>
      </c>
      <c r="D555" s="87">
        <v>1</v>
      </c>
      <c r="E555" s="87" t="s">
        <v>1472</v>
      </c>
      <c r="F555" s="87">
        <v>1</v>
      </c>
      <c r="G555" s="88">
        <v>3.18</v>
      </c>
      <c r="H555" s="88">
        <v>3</v>
      </c>
      <c r="J555" s="88">
        <f t="shared" si="27"/>
        <v>9.5399999999999991</v>
      </c>
      <c r="K555" s="82"/>
      <c r="L555" s="222"/>
      <c r="M555" s="222"/>
      <c r="N555" s="83"/>
      <c r="O555" s="89"/>
      <c r="P555" s="88"/>
      <c r="Q555" s="88"/>
    </row>
    <row r="556" spans="1:17" ht="24" customHeight="1">
      <c r="A556" s="78"/>
      <c r="B556" s="79"/>
      <c r="C556" s="90" t="s">
        <v>218</v>
      </c>
      <c r="D556" s="87">
        <v>1</v>
      </c>
      <c r="E556" s="87" t="s">
        <v>1472</v>
      </c>
      <c r="F556" s="87">
        <v>1</v>
      </c>
      <c r="G556" s="88">
        <v>6.8</v>
      </c>
      <c r="H556" s="88">
        <v>3</v>
      </c>
      <c r="J556" s="88">
        <f t="shared" si="27"/>
        <v>20.399999999999999</v>
      </c>
      <c r="K556" s="82"/>
      <c r="L556" s="222"/>
      <c r="M556" s="222"/>
      <c r="N556" s="83"/>
      <c r="O556" s="89"/>
      <c r="P556" s="88"/>
      <c r="Q556" s="88"/>
    </row>
    <row r="557" spans="1:17" ht="24" customHeight="1">
      <c r="A557" s="78"/>
      <c r="B557" s="79"/>
      <c r="C557" s="90" t="s">
        <v>219</v>
      </c>
      <c r="D557" s="87">
        <v>1</v>
      </c>
      <c r="E557" s="87" t="s">
        <v>1472</v>
      </c>
      <c r="F557" s="87">
        <v>1</v>
      </c>
      <c r="G557" s="88">
        <v>3.07</v>
      </c>
      <c r="H557" s="88">
        <v>3</v>
      </c>
      <c r="J557" s="88">
        <f t="shared" si="27"/>
        <v>9.2100000000000009</v>
      </c>
      <c r="K557" s="82"/>
      <c r="L557" s="222"/>
      <c r="M557" s="222"/>
      <c r="N557" s="83"/>
      <c r="O557" s="89"/>
      <c r="P557" s="88"/>
      <c r="Q557" s="88"/>
    </row>
    <row r="558" spans="1:17" ht="24" customHeight="1">
      <c r="A558" s="78"/>
      <c r="B558" s="79"/>
      <c r="C558" s="90" t="s">
        <v>220</v>
      </c>
      <c r="D558" s="87">
        <v>1</v>
      </c>
      <c r="E558" s="87" t="s">
        <v>1472</v>
      </c>
      <c r="F558" s="87">
        <v>1</v>
      </c>
      <c r="G558" s="88">
        <v>3.18</v>
      </c>
      <c r="H558" s="88">
        <v>3</v>
      </c>
      <c r="J558" s="88">
        <f t="shared" si="27"/>
        <v>9.5399999999999991</v>
      </c>
      <c r="K558" s="82"/>
      <c r="L558" s="222"/>
      <c r="M558" s="222"/>
      <c r="N558" s="83"/>
      <c r="O558" s="89"/>
      <c r="P558" s="88"/>
      <c r="Q558" s="88"/>
    </row>
    <row r="559" spans="1:17" ht="24" customHeight="1">
      <c r="A559" s="78"/>
      <c r="B559" s="79"/>
      <c r="C559" s="90" t="s">
        <v>221</v>
      </c>
      <c r="D559" s="87">
        <v>1</v>
      </c>
      <c r="E559" s="87" t="s">
        <v>1472</v>
      </c>
      <c r="F559" s="87">
        <v>1</v>
      </c>
      <c r="G559" s="88">
        <v>1.39</v>
      </c>
      <c r="H559" s="88">
        <v>3</v>
      </c>
      <c r="J559" s="88">
        <f t="shared" si="27"/>
        <v>4.17</v>
      </c>
      <c r="K559" s="82"/>
      <c r="L559" s="222"/>
      <c r="M559" s="222"/>
      <c r="N559" s="83"/>
      <c r="O559" s="89"/>
      <c r="P559" s="88"/>
      <c r="Q559" s="88"/>
    </row>
    <row r="560" spans="1:17" ht="24" customHeight="1">
      <c r="A560" s="78"/>
      <c r="B560" s="79"/>
      <c r="C560" s="90" t="s">
        <v>222</v>
      </c>
      <c r="D560" s="87">
        <v>1</v>
      </c>
      <c r="E560" s="87" t="s">
        <v>1472</v>
      </c>
      <c r="F560" s="87">
        <v>1</v>
      </c>
      <c r="G560" s="88">
        <v>2.06</v>
      </c>
      <c r="H560" s="88">
        <v>3</v>
      </c>
      <c r="J560" s="88">
        <f t="shared" si="27"/>
        <v>6.18</v>
      </c>
      <c r="K560" s="82"/>
      <c r="L560" s="222"/>
      <c r="M560" s="222"/>
      <c r="N560" s="83"/>
      <c r="O560" s="89"/>
      <c r="P560" s="88"/>
      <c r="Q560" s="88"/>
    </row>
    <row r="561" spans="1:17" ht="24" customHeight="1">
      <c r="A561" s="78"/>
      <c r="B561" s="79"/>
      <c r="C561" s="90" t="s">
        <v>304</v>
      </c>
      <c r="D561" s="87">
        <v>1</v>
      </c>
      <c r="E561" s="87" t="s">
        <v>1472</v>
      </c>
      <c r="F561" s="87">
        <v>1</v>
      </c>
      <c r="G561" s="88">
        <f>3.3*4-0.23</f>
        <v>12.969999999999999</v>
      </c>
      <c r="H561" s="88">
        <v>1.5</v>
      </c>
      <c r="J561" s="88">
        <f t="shared" si="27"/>
        <v>19.46</v>
      </c>
      <c r="K561" s="82"/>
      <c r="L561" s="222"/>
      <c r="M561" s="222"/>
      <c r="N561" s="83"/>
      <c r="O561" s="89"/>
      <c r="P561" s="88"/>
      <c r="Q561" s="88"/>
    </row>
    <row r="562" spans="1:17" ht="24.9" customHeight="1">
      <c r="A562" s="78"/>
      <c r="B562" s="79"/>
      <c r="C562" s="261" t="s">
        <v>822</v>
      </c>
      <c r="D562" s="87">
        <v>2</v>
      </c>
      <c r="E562" s="87" t="s">
        <v>1472</v>
      </c>
      <c r="F562" s="87">
        <v>1</v>
      </c>
      <c r="G562" s="88">
        <v>1.6</v>
      </c>
      <c r="H562" s="88">
        <v>0.6</v>
      </c>
      <c r="I562" s="88"/>
      <c r="J562" s="88">
        <f t="shared" si="27"/>
        <v>1.92</v>
      </c>
      <c r="K562" s="82"/>
      <c r="L562" s="222"/>
      <c r="M562" s="222"/>
      <c r="N562" s="83"/>
      <c r="O562" s="89"/>
      <c r="P562" s="88"/>
      <c r="Q562" s="88"/>
    </row>
    <row r="563" spans="1:17" ht="24.9" customHeight="1">
      <c r="A563" s="78"/>
      <c r="B563" s="79"/>
      <c r="C563" s="261" t="s">
        <v>823</v>
      </c>
      <c r="D563" s="87">
        <v>2</v>
      </c>
      <c r="E563" s="87" t="s">
        <v>1472</v>
      </c>
      <c r="F563" s="87">
        <v>3</v>
      </c>
      <c r="G563" s="88">
        <v>1.5</v>
      </c>
      <c r="H563" s="3"/>
      <c r="I563" s="88">
        <v>0.45</v>
      </c>
      <c r="J563" s="88">
        <f>ROUND(D563*F563*G563*I563,2)</f>
        <v>4.05</v>
      </c>
      <c r="K563" s="82"/>
      <c r="L563" s="222"/>
      <c r="M563" s="222"/>
      <c r="N563" s="83"/>
      <c r="O563" s="89"/>
      <c r="P563" s="88"/>
      <c r="Q563" s="88"/>
    </row>
    <row r="564" spans="1:17" ht="24.9" customHeight="1">
      <c r="A564" s="78"/>
      <c r="B564" s="79"/>
      <c r="C564" s="261" t="s">
        <v>824</v>
      </c>
      <c r="D564" s="87">
        <v>2</v>
      </c>
      <c r="E564" s="87" t="s">
        <v>1472</v>
      </c>
      <c r="F564" s="87">
        <v>1</v>
      </c>
      <c r="G564" s="88">
        <v>3</v>
      </c>
      <c r="H564" s="3"/>
      <c r="I564" s="88">
        <v>0.45</v>
      </c>
      <c r="J564" s="88">
        <f>ROUND(D564*F564*G564*I564,2)</f>
        <v>2.7</v>
      </c>
      <c r="K564" s="82"/>
      <c r="L564" s="222"/>
      <c r="M564" s="222"/>
      <c r="N564" s="83"/>
      <c r="O564" s="89"/>
      <c r="P564" s="88"/>
      <c r="Q564" s="88"/>
    </row>
    <row r="565" spans="1:17" ht="24.9" customHeight="1">
      <c r="A565" s="78"/>
      <c r="B565" s="79"/>
      <c r="C565" s="261" t="s">
        <v>825</v>
      </c>
      <c r="D565" s="87">
        <v>2</v>
      </c>
      <c r="E565" s="87" t="s">
        <v>1472</v>
      </c>
      <c r="F565" s="87">
        <v>1</v>
      </c>
      <c r="G565" s="88">
        <v>3</v>
      </c>
      <c r="H565" s="3"/>
      <c r="I565" s="88">
        <v>0.3</v>
      </c>
      <c r="J565" s="88">
        <f>ROUND(D565*F565*G565*I565,2)</f>
        <v>1.8</v>
      </c>
      <c r="K565" s="82"/>
      <c r="L565" s="222"/>
      <c r="M565" s="222"/>
      <c r="N565" s="83"/>
      <c r="O565" s="89"/>
      <c r="P565" s="88"/>
      <c r="Q565" s="88"/>
    </row>
    <row r="566" spans="1:17" ht="24" customHeight="1">
      <c r="A566" s="78"/>
      <c r="B566" s="79"/>
      <c r="C566" s="97"/>
      <c r="D566" s="87"/>
      <c r="E566" s="87"/>
      <c r="F566" s="87"/>
      <c r="G566" s="88"/>
      <c r="H566" s="88"/>
      <c r="I566" s="88"/>
      <c r="J566" s="88">
        <f>SUM(J554:J565)</f>
        <v>103.16</v>
      </c>
      <c r="K566" s="82"/>
      <c r="L566" s="222"/>
      <c r="M566" s="222"/>
      <c r="N566" s="83"/>
      <c r="O566" s="89"/>
      <c r="P566" s="88"/>
      <c r="Q566" s="88"/>
    </row>
    <row r="567" spans="1:17" s="378" customFormat="1">
      <c r="A567" s="196"/>
      <c r="B567" s="376" t="s">
        <v>108</v>
      </c>
      <c r="C567" s="2763"/>
      <c r="D567" s="2763"/>
      <c r="E567" s="2763"/>
      <c r="F567" s="2763"/>
      <c r="G567" s="2763"/>
      <c r="H567" s="2763"/>
      <c r="I567" s="2763"/>
      <c r="J567" s="92">
        <f>CEILING(J566,0.05)</f>
        <v>103.2</v>
      </c>
      <c r="K567" s="338">
        <f>Datas!F652</f>
        <v>1681.4299999999998</v>
      </c>
      <c r="L567" s="222"/>
      <c r="M567" s="375">
        <f>ROUND(K567*J567/10,0)</f>
        <v>17352</v>
      </c>
      <c r="N567" s="403">
        <f>SUM(L567:M567)</f>
        <v>17352</v>
      </c>
      <c r="O567" s="380">
        <f>0.15*40/10</f>
        <v>0.6</v>
      </c>
      <c r="P567" s="377">
        <f>ROUND(O567*J567,2)</f>
        <v>61.92</v>
      </c>
      <c r="Q567" s="236"/>
    </row>
    <row r="568" spans="1:17" ht="24" customHeight="1">
      <c r="A568" s="78"/>
      <c r="B568" s="3"/>
      <c r="D568" s="3"/>
      <c r="G568" s="3"/>
      <c r="H568" s="3"/>
      <c r="I568" s="3"/>
      <c r="J568" s="92" t="s">
        <v>1478</v>
      </c>
      <c r="K568" s="82" t="s">
        <v>672</v>
      </c>
      <c r="L568" s="222"/>
      <c r="M568" s="222"/>
      <c r="N568" s="83"/>
      <c r="O568" s="89"/>
      <c r="P568" s="88"/>
      <c r="Q568" s="88"/>
    </row>
    <row r="569" spans="1:17">
      <c r="A569" s="78"/>
      <c r="B569" s="79"/>
      <c r="C569" s="287" t="s">
        <v>826</v>
      </c>
      <c r="D569" s="25"/>
      <c r="E569" s="25"/>
      <c r="F569" s="349"/>
      <c r="G569" s="25"/>
      <c r="H569" s="25"/>
      <c r="I569" s="3"/>
      <c r="J569" s="25"/>
      <c r="K569" s="82"/>
      <c r="L569" s="222"/>
      <c r="M569" s="222"/>
      <c r="N569" s="83"/>
      <c r="O569" s="89"/>
      <c r="P569" s="88"/>
      <c r="Q569" s="88"/>
    </row>
    <row r="570" spans="1:17" s="3" customFormat="1" ht="24" customHeight="1">
      <c r="A570" s="78"/>
      <c r="B570" s="79"/>
      <c r="C570" s="90" t="s">
        <v>1508</v>
      </c>
      <c r="D570" s="87">
        <v>1</v>
      </c>
      <c r="E570" s="87" t="s">
        <v>1472</v>
      </c>
      <c r="F570" s="87">
        <v>1</v>
      </c>
      <c r="G570" s="88">
        <f>3+1.5+0.23</f>
        <v>4.7300000000000004</v>
      </c>
      <c r="H570" s="88">
        <v>3</v>
      </c>
      <c r="I570" s="123"/>
      <c r="J570" s="88">
        <f>ROUND(D570*F570*G570*H570,2)</f>
        <v>14.19</v>
      </c>
      <c r="K570" s="82"/>
      <c r="L570" s="222"/>
      <c r="M570" s="222"/>
      <c r="N570" s="83"/>
      <c r="O570" s="89"/>
      <c r="P570" s="88"/>
      <c r="Q570" s="88"/>
    </row>
    <row r="571" spans="1:17" ht="24.9" customHeight="1">
      <c r="A571" s="78"/>
      <c r="B571" s="79"/>
      <c r="C571" s="261" t="s">
        <v>822</v>
      </c>
      <c r="D571" s="87">
        <v>2</v>
      </c>
      <c r="E571" s="87" t="s">
        <v>1472</v>
      </c>
      <c r="F571" s="87">
        <v>1</v>
      </c>
      <c r="G571" s="88">
        <v>1.6</v>
      </c>
      <c r="H571" s="88">
        <v>0.6</v>
      </c>
      <c r="I571" s="88"/>
      <c r="J571" s="88">
        <f>ROUND(D571*F571*G571*H571,2)</f>
        <v>1.92</v>
      </c>
      <c r="K571" s="82"/>
      <c r="L571" s="222"/>
      <c r="M571" s="222"/>
      <c r="N571" s="83"/>
      <c r="O571" s="89"/>
      <c r="P571" s="88"/>
      <c r="Q571" s="88"/>
    </row>
    <row r="572" spans="1:17" ht="24" customHeight="1">
      <c r="A572" s="78"/>
      <c r="B572" s="79"/>
      <c r="C572" s="97"/>
      <c r="D572" s="87"/>
      <c r="E572" s="87"/>
      <c r="F572" s="87"/>
      <c r="G572" s="88"/>
      <c r="H572" s="88"/>
      <c r="I572" s="88"/>
      <c r="J572" s="88">
        <f>SUM(J570:J571)</f>
        <v>16.11</v>
      </c>
      <c r="K572" s="82"/>
      <c r="L572" s="222"/>
      <c r="M572" s="222"/>
      <c r="N572" s="83"/>
      <c r="O572" s="89"/>
      <c r="P572" s="88"/>
      <c r="Q572" s="88"/>
    </row>
    <row r="573" spans="1:17" s="378" customFormat="1">
      <c r="A573" s="196"/>
      <c r="B573" s="376" t="s">
        <v>109</v>
      </c>
      <c r="C573" s="2763"/>
      <c r="D573" s="2763"/>
      <c r="E573" s="2763"/>
      <c r="F573" s="2763"/>
      <c r="G573" s="2763"/>
      <c r="H573" s="2763"/>
      <c r="I573" s="2763"/>
      <c r="J573" s="92">
        <f>CEILING(J572,0.05)</f>
        <v>16.150000000000002</v>
      </c>
      <c r="K573" s="338">
        <f>Datas!G652</f>
        <v>1894.43</v>
      </c>
      <c r="L573" s="222"/>
      <c r="M573" s="375">
        <f>ROUND(K573*J573/10,0)</f>
        <v>3060</v>
      </c>
      <c r="N573" s="403">
        <f>SUM(L573:M573)</f>
        <v>3060</v>
      </c>
      <c r="O573" s="380">
        <f>0.15*40/10</f>
        <v>0.6</v>
      </c>
      <c r="P573" s="377">
        <f>ROUND(O573*J573,2)</f>
        <v>9.69</v>
      </c>
      <c r="Q573" s="236"/>
    </row>
    <row r="574" spans="1:17" ht="24" customHeight="1">
      <c r="A574" s="78"/>
      <c r="B574" s="3"/>
      <c r="D574" s="3"/>
      <c r="G574" s="3"/>
      <c r="H574" s="3"/>
      <c r="I574" s="3"/>
      <c r="J574" s="92" t="s">
        <v>1478</v>
      </c>
      <c r="K574" s="82" t="s">
        <v>672</v>
      </c>
      <c r="L574" s="222"/>
      <c r="M574" s="222"/>
      <c r="N574" s="83"/>
      <c r="O574" s="89"/>
      <c r="P574" s="88"/>
      <c r="Q574" s="88"/>
    </row>
    <row r="575" spans="1:17" ht="141.75" customHeight="1">
      <c r="A575" s="78">
        <v>17</v>
      </c>
      <c r="B575" s="79"/>
      <c r="C575" s="2765" t="s">
        <v>255</v>
      </c>
      <c r="D575" s="2741"/>
      <c r="E575" s="2741"/>
      <c r="F575" s="2741"/>
      <c r="G575" s="2741"/>
      <c r="H575" s="2741"/>
      <c r="I575" s="2741"/>
      <c r="J575" s="2741"/>
      <c r="K575" s="82"/>
      <c r="L575" s="222"/>
      <c r="M575" s="222"/>
      <c r="N575" s="83"/>
      <c r="O575" s="89"/>
      <c r="P575" s="88"/>
      <c r="Q575" s="88"/>
    </row>
    <row r="576" spans="1:17">
      <c r="A576" s="78"/>
      <c r="B576" s="79"/>
      <c r="C576" s="255" t="s">
        <v>466</v>
      </c>
      <c r="D576" s="25"/>
      <c r="E576" s="25"/>
      <c r="F576" s="349"/>
      <c r="G576" s="105"/>
      <c r="H576" s="105"/>
      <c r="I576" s="105"/>
      <c r="J576" s="105"/>
      <c r="K576" s="82"/>
      <c r="L576" s="222"/>
      <c r="M576" s="222"/>
      <c r="N576" s="83"/>
      <c r="O576" s="89"/>
      <c r="P576" s="88"/>
      <c r="Q576" s="88"/>
    </row>
    <row r="577" spans="1:17" ht="18">
      <c r="A577" s="78"/>
      <c r="C577" s="97" t="s">
        <v>827</v>
      </c>
      <c r="D577" s="87">
        <v>1</v>
      </c>
      <c r="E577" s="87" t="s">
        <v>1472</v>
      </c>
      <c r="F577" s="87">
        <v>1</v>
      </c>
      <c r="G577" s="88">
        <f>(4.73*2+3)</f>
        <v>12.46</v>
      </c>
      <c r="H577" s="3"/>
      <c r="I577" s="248">
        <f t="shared" ref="I577:I584" si="28">3.3-0.125</f>
        <v>3.1749999999999998</v>
      </c>
      <c r="J577" s="88">
        <f t="shared" ref="J577:J584" si="29">ROUND(D577*F577*G577*I577,2)</f>
        <v>39.56</v>
      </c>
      <c r="K577" s="342"/>
      <c r="L577" s="222"/>
      <c r="M577" s="222"/>
      <c r="N577" s="83"/>
      <c r="O577" s="89"/>
      <c r="P577" s="88"/>
      <c r="Q577" s="88"/>
    </row>
    <row r="578" spans="1:17" ht="27">
      <c r="A578" s="78"/>
      <c r="B578" s="79"/>
      <c r="C578" s="97" t="s">
        <v>828</v>
      </c>
      <c r="D578" s="87">
        <v>1</v>
      </c>
      <c r="E578" s="87" t="s">
        <v>1472</v>
      </c>
      <c r="F578" s="87">
        <v>1</v>
      </c>
      <c r="G578" s="88">
        <f>(0.115+3+1.275+3+1.275+3+0.115)</f>
        <v>11.780000000000001</v>
      </c>
      <c r="H578" s="3"/>
      <c r="I578" s="248">
        <f t="shared" si="28"/>
        <v>3.1749999999999998</v>
      </c>
      <c r="J578" s="88">
        <f t="shared" si="29"/>
        <v>37.4</v>
      </c>
      <c r="K578" s="82"/>
      <c r="L578" s="222"/>
      <c r="M578" s="222"/>
      <c r="N578" s="83"/>
      <c r="O578" s="89"/>
      <c r="P578" s="88"/>
      <c r="Q578" s="88"/>
    </row>
    <row r="579" spans="1:17" ht="27">
      <c r="A579" s="78"/>
      <c r="B579" s="79"/>
      <c r="C579" s="97" t="s">
        <v>829</v>
      </c>
      <c r="D579" s="87">
        <v>1</v>
      </c>
      <c r="E579" s="87" t="s">
        <v>1472</v>
      </c>
      <c r="F579" s="87">
        <v>1</v>
      </c>
      <c r="G579" s="88">
        <f>(9.78*2+7.72*2+2*(0.22+0.22+0.3))</f>
        <v>36.479999999999997</v>
      </c>
      <c r="H579" s="3"/>
      <c r="I579" s="248">
        <f t="shared" si="28"/>
        <v>3.1749999999999998</v>
      </c>
      <c r="J579" s="88">
        <f t="shared" si="29"/>
        <v>115.82</v>
      </c>
      <c r="K579" s="82"/>
      <c r="L579" s="222"/>
      <c r="M579" s="222"/>
      <c r="N579" s="83"/>
      <c r="O579" s="89"/>
      <c r="P579" s="88"/>
      <c r="Q579" s="88"/>
    </row>
    <row r="580" spans="1:17" ht="27">
      <c r="A580" s="78"/>
      <c r="B580" s="79"/>
      <c r="C580" s="97" t="s">
        <v>830</v>
      </c>
      <c r="D580" s="87">
        <v>1</v>
      </c>
      <c r="E580" s="87" t="s">
        <v>1472</v>
      </c>
      <c r="F580" s="87">
        <v>1</v>
      </c>
      <c r="G580" s="88">
        <f>(3.67*2+4*2)</f>
        <v>15.34</v>
      </c>
      <c r="H580" s="3"/>
      <c r="I580" s="248">
        <f t="shared" si="28"/>
        <v>3.1749999999999998</v>
      </c>
      <c r="J580" s="88">
        <f t="shared" si="29"/>
        <v>48.7</v>
      </c>
      <c r="K580" s="82"/>
      <c r="L580" s="222"/>
      <c r="M580" s="222"/>
      <c r="N580" s="83"/>
      <c r="O580" s="89"/>
      <c r="P580" s="88"/>
      <c r="Q580" s="88"/>
    </row>
    <row r="581" spans="1:17" ht="18">
      <c r="A581" s="78"/>
      <c r="B581" s="79"/>
      <c r="C581" s="97" t="s">
        <v>831</v>
      </c>
      <c r="D581" s="87">
        <v>1</v>
      </c>
      <c r="E581" s="87" t="s">
        <v>1472</v>
      </c>
      <c r="F581" s="87">
        <v>1</v>
      </c>
      <c r="G581" s="88">
        <f>(2.4*2+3.6*2)</f>
        <v>12</v>
      </c>
      <c r="H581" s="3"/>
      <c r="I581" s="248">
        <f t="shared" si="28"/>
        <v>3.1749999999999998</v>
      </c>
      <c r="J581" s="88">
        <f t="shared" si="29"/>
        <v>38.1</v>
      </c>
      <c r="K581" s="82"/>
      <c r="L581" s="222"/>
      <c r="M581" s="222"/>
      <c r="N581" s="83"/>
      <c r="O581" s="89"/>
      <c r="P581" s="88"/>
      <c r="Q581" s="88"/>
    </row>
    <row r="582" spans="1:17" ht="18">
      <c r="A582" s="78"/>
      <c r="B582" s="79"/>
      <c r="C582" s="97" t="s">
        <v>1014</v>
      </c>
      <c r="D582" s="87">
        <v>1</v>
      </c>
      <c r="E582" s="87" t="s">
        <v>1472</v>
      </c>
      <c r="F582" s="87">
        <v>1</v>
      </c>
      <c r="G582" s="88">
        <f>(3.07*2+3.8*2)</f>
        <v>13.739999999999998</v>
      </c>
      <c r="H582" s="3"/>
      <c r="I582" s="248">
        <f t="shared" si="28"/>
        <v>3.1749999999999998</v>
      </c>
      <c r="J582" s="88">
        <f t="shared" si="29"/>
        <v>43.62</v>
      </c>
      <c r="K582" s="82"/>
      <c r="L582" s="222"/>
      <c r="M582" s="222"/>
      <c r="N582" s="83"/>
      <c r="O582" s="89"/>
      <c r="P582" s="88"/>
      <c r="Q582" s="88"/>
    </row>
    <row r="583" spans="1:17" ht="18">
      <c r="A583" s="78"/>
      <c r="B583" s="79"/>
      <c r="C583" s="97" t="s">
        <v>1015</v>
      </c>
      <c r="D583" s="87">
        <v>1</v>
      </c>
      <c r="E583" s="87" t="s">
        <v>1472</v>
      </c>
      <c r="F583" s="87">
        <v>1</v>
      </c>
      <c r="G583" s="88">
        <f>(3.07*2+3.8*2)</f>
        <v>13.739999999999998</v>
      </c>
      <c r="H583" s="3"/>
      <c r="I583" s="248">
        <f t="shared" si="28"/>
        <v>3.1749999999999998</v>
      </c>
      <c r="J583" s="88">
        <f t="shared" si="29"/>
        <v>43.62</v>
      </c>
      <c r="K583" s="82"/>
      <c r="L583" s="222"/>
      <c r="M583" s="222"/>
      <c r="N583" s="83"/>
      <c r="O583" s="89"/>
      <c r="P583" s="88"/>
      <c r="Q583" s="88"/>
    </row>
    <row r="584" spans="1:17" ht="18">
      <c r="A584" s="78"/>
      <c r="B584" s="79"/>
      <c r="C584" s="97" t="s">
        <v>832</v>
      </c>
      <c r="D584" s="87">
        <v>1</v>
      </c>
      <c r="E584" s="87" t="s">
        <v>1472</v>
      </c>
      <c r="F584" s="87">
        <v>1</v>
      </c>
      <c r="G584" s="88">
        <f>(3*2+1.16*2)</f>
        <v>8.32</v>
      </c>
      <c r="H584" s="3"/>
      <c r="I584" s="248">
        <f t="shared" si="28"/>
        <v>3.1749999999999998</v>
      </c>
      <c r="J584" s="88">
        <f t="shared" si="29"/>
        <v>26.42</v>
      </c>
      <c r="K584" s="82"/>
      <c r="L584" s="222"/>
      <c r="M584" s="222"/>
      <c r="N584" s="83"/>
      <c r="O584" s="89"/>
      <c r="P584" s="88"/>
      <c r="Q584" s="88"/>
    </row>
    <row r="585" spans="1:17" ht="21.75" customHeight="1">
      <c r="A585" s="78"/>
      <c r="B585" s="79"/>
      <c r="C585" s="98"/>
      <c r="D585" s="87"/>
      <c r="E585" s="87"/>
      <c r="F585" s="87"/>
      <c r="G585" s="88"/>
      <c r="H585" s="88"/>
      <c r="I585" s="88"/>
      <c r="J585" s="88">
        <f>SUM(J577:J584)</f>
        <v>393.24000000000007</v>
      </c>
      <c r="K585" s="82"/>
      <c r="L585" s="222"/>
      <c r="M585" s="222"/>
      <c r="N585" s="83"/>
      <c r="O585" s="89"/>
      <c r="P585" s="88"/>
      <c r="Q585" s="88"/>
    </row>
    <row r="586" spans="1:17">
      <c r="A586" s="78"/>
      <c r="B586" s="79"/>
      <c r="C586" s="64" t="s">
        <v>675</v>
      </c>
      <c r="D586" s="87"/>
      <c r="E586" s="87"/>
      <c r="F586" s="87"/>
      <c r="G586" s="88"/>
      <c r="H586" s="88"/>
      <c r="I586" s="88"/>
      <c r="J586" s="88"/>
      <c r="K586" s="82"/>
      <c r="L586" s="222"/>
      <c r="M586" s="222"/>
      <c r="N586" s="83"/>
      <c r="O586" s="89"/>
      <c r="P586" s="88"/>
      <c r="Q586" s="88"/>
    </row>
    <row r="587" spans="1:17">
      <c r="A587" s="78"/>
      <c r="B587" s="79"/>
      <c r="C587" s="254" t="s">
        <v>980</v>
      </c>
      <c r="D587" s="87">
        <v>1</v>
      </c>
      <c r="E587" s="87" t="s">
        <v>1472</v>
      </c>
      <c r="F587" s="87">
        <v>2</v>
      </c>
      <c r="G587" s="88">
        <v>1.2</v>
      </c>
      <c r="H587" s="88"/>
      <c r="I587" s="88">
        <v>2.1</v>
      </c>
      <c r="J587" s="88">
        <f t="shared" ref="J587:J595" si="30">ROUND(D587*F587*G587*I587,2)</f>
        <v>5.04</v>
      </c>
      <c r="K587" s="82"/>
      <c r="L587" s="222"/>
      <c r="M587" s="222"/>
      <c r="N587" s="83"/>
      <c r="O587" s="89"/>
      <c r="P587" s="88"/>
      <c r="Q587" s="88"/>
    </row>
    <row r="588" spans="1:17">
      <c r="A588" s="78"/>
      <c r="B588" s="79"/>
      <c r="C588" s="254" t="s">
        <v>981</v>
      </c>
      <c r="D588" s="87">
        <v>1</v>
      </c>
      <c r="E588" s="87" t="s">
        <v>1472</v>
      </c>
      <c r="F588" s="87">
        <v>1</v>
      </c>
      <c r="G588" s="88">
        <v>1.2</v>
      </c>
      <c r="H588" s="88"/>
      <c r="I588" s="88">
        <v>2.1</v>
      </c>
      <c r="J588" s="88">
        <f t="shared" si="30"/>
        <v>2.52</v>
      </c>
      <c r="K588" s="82"/>
      <c r="L588" s="222"/>
      <c r="M588" s="222"/>
      <c r="N588" s="83"/>
      <c r="O588" s="89"/>
      <c r="P588" s="88"/>
      <c r="Q588" s="88"/>
    </row>
    <row r="589" spans="1:17" ht="21.75" customHeight="1">
      <c r="A589" s="78"/>
      <c r="B589" s="79"/>
      <c r="C589" s="254" t="s">
        <v>101</v>
      </c>
      <c r="D589" s="87">
        <v>1</v>
      </c>
      <c r="E589" s="87" t="s">
        <v>1472</v>
      </c>
      <c r="F589" s="87">
        <v>5</v>
      </c>
      <c r="G589" s="88">
        <v>0.9</v>
      </c>
      <c r="H589" s="248"/>
      <c r="I589" s="88">
        <v>2.1</v>
      </c>
      <c r="J589" s="88">
        <f t="shared" si="30"/>
        <v>9.4499999999999993</v>
      </c>
      <c r="K589" s="82"/>
      <c r="L589" s="222"/>
      <c r="M589" s="222"/>
      <c r="N589" s="83"/>
      <c r="O589" s="89"/>
      <c r="P589" s="88"/>
      <c r="Q589" s="88"/>
    </row>
    <row r="590" spans="1:17" ht="21.75" customHeight="1">
      <c r="A590" s="78"/>
      <c r="B590" s="79"/>
      <c r="C590" s="254" t="s">
        <v>102</v>
      </c>
      <c r="D590" s="87">
        <v>1</v>
      </c>
      <c r="E590" s="87" t="s">
        <v>1472</v>
      </c>
      <c r="F590" s="87">
        <v>3</v>
      </c>
      <c r="G590" s="88">
        <v>0.75</v>
      </c>
      <c r="H590" s="248"/>
      <c r="I590" s="88">
        <v>2.1</v>
      </c>
      <c r="J590" s="88">
        <f t="shared" si="30"/>
        <v>4.7300000000000004</v>
      </c>
      <c r="K590" s="82"/>
      <c r="L590" s="222"/>
      <c r="M590" s="222"/>
      <c r="N590" s="83"/>
      <c r="O590" s="89"/>
      <c r="P590" s="88"/>
      <c r="Q590" s="88"/>
    </row>
    <row r="591" spans="1:17">
      <c r="A591" s="78"/>
      <c r="B591" s="79"/>
      <c r="C591" s="254" t="s">
        <v>251</v>
      </c>
      <c r="D591" s="87">
        <v>1</v>
      </c>
      <c r="E591" s="87" t="s">
        <v>1472</v>
      </c>
      <c r="F591" s="87">
        <v>12</v>
      </c>
      <c r="G591" s="88">
        <v>1.35</v>
      </c>
      <c r="H591" s="88"/>
      <c r="I591" s="88">
        <v>1.3</v>
      </c>
      <c r="J591" s="88">
        <f t="shared" si="30"/>
        <v>21.06</v>
      </c>
      <c r="K591" s="82"/>
      <c r="L591" s="222"/>
      <c r="M591" s="222"/>
      <c r="N591" s="83"/>
      <c r="O591" s="89"/>
      <c r="P591" s="88"/>
      <c r="Q591" s="88"/>
    </row>
    <row r="592" spans="1:17">
      <c r="A592" s="78"/>
      <c r="B592" s="79"/>
      <c r="C592" s="254" t="s">
        <v>1237</v>
      </c>
      <c r="D592" s="87">
        <v>1</v>
      </c>
      <c r="E592" s="87" t="s">
        <v>1472</v>
      </c>
      <c r="F592" s="87">
        <v>1</v>
      </c>
      <c r="G592" s="88">
        <v>1.8</v>
      </c>
      <c r="H592" s="88"/>
      <c r="I592" s="88">
        <v>1.3</v>
      </c>
      <c r="J592" s="88">
        <f t="shared" si="30"/>
        <v>2.34</v>
      </c>
      <c r="K592" s="82"/>
      <c r="L592" s="222"/>
      <c r="M592" s="222"/>
      <c r="N592" s="83"/>
      <c r="O592" s="89"/>
      <c r="P592" s="88"/>
      <c r="Q592" s="88"/>
    </row>
    <row r="593" spans="1:17">
      <c r="A593" s="78"/>
      <c r="B593" s="79"/>
      <c r="C593" s="254" t="s">
        <v>1238</v>
      </c>
      <c r="D593" s="87">
        <v>1</v>
      </c>
      <c r="E593" s="87" t="s">
        <v>1472</v>
      </c>
      <c r="F593" s="87">
        <v>0</v>
      </c>
      <c r="G593" s="88">
        <v>0.9</v>
      </c>
      <c r="H593" s="88"/>
      <c r="I593" s="88">
        <v>1.3</v>
      </c>
      <c r="J593" s="88">
        <f t="shared" si="30"/>
        <v>0</v>
      </c>
      <c r="K593" s="82"/>
      <c r="L593" s="222"/>
      <c r="M593" s="222"/>
      <c r="N593" s="83"/>
      <c r="O593" s="89"/>
      <c r="P593" s="88"/>
      <c r="Q593" s="88"/>
    </row>
    <row r="594" spans="1:17">
      <c r="A594" s="78"/>
      <c r="B594" s="79"/>
      <c r="C594" s="254" t="s">
        <v>1239</v>
      </c>
      <c r="D594" s="87">
        <v>1</v>
      </c>
      <c r="E594" s="87" t="s">
        <v>1472</v>
      </c>
      <c r="F594" s="87">
        <v>2</v>
      </c>
      <c r="G594" s="88">
        <v>0.6</v>
      </c>
      <c r="H594" s="88"/>
      <c r="I594" s="88">
        <v>1.3</v>
      </c>
      <c r="J594" s="88">
        <f t="shared" si="30"/>
        <v>1.56</v>
      </c>
      <c r="K594" s="82"/>
      <c r="L594" s="222"/>
      <c r="M594" s="222"/>
      <c r="N594" s="83"/>
      <c r="O594" s="89"/>
      <c r="P594" s="88"/>
      <c r="Q594" s="88"/>
    </row>
    <row r="595" spans="1:17">
      <c r="A595" s="78"/>
      <c r="B595" s="79"/>
      <c r="C595" s="254" t="s">
        <v>83</v>
      </c>
      <c r="D595" s="87">
        <v>1</v>
      </c>
      <c r="E595" s="87" t="s">
        <v>1472</v>
      </c>
      <c r="F595" s="87">
        <v>2</v>
      </c>
      <c r="G595" s="88">
        <v>0.6</v>
      </c>
      <c r="H595" s="88"/>
      <c r="I595" s="88">
        <v>0.6</v>
      </c>
      <c r="J595" s="88">
        <f t="shared" si="30"/>
        <v>0.72</v>
      </c>
      <c r="K595" s="82"/>
      <c r="L595" s="222"/>
      <c r="M595" s="222"/>
      <c r="N595" s="83"/>
      <c r="O595" s="89"/>
      <c r="P595" s="88"/>
      <c r="Q595" s="88"/>
    </row>
    <row r="596" spans="1:17" ht="24" customHeight="1">
      <c r="A596" s="78"/>
      <c r="B596" s="79"/>
      <c r="C596" s="98"/>
      <c r="D596" s="87"/>
      <c r="E596" s="87"/>
      <c r="F596" s="87"/>
      <c r="G596" s="88"/>
      <c r="H596" s="88"/>
      <c r="I596" s="88"/>
      <c r="J596" s="88">
        <f>SUM(J587:J595)</f>
        <v>47.42</v>
      </c>
      <c r="K596" s="82"/>
      <c r="L596" s="222"/>
      <c r="M596" s="222"/>
      <c r="N596" s="83"/>
      <c r="O596" s="89"/>
      <c r="P596" s="88"/>
      <c r="Q596" s="88"/>
    </row>
    <row r="597" spans="1:17" ht="24" customHeight="1">
      <c r="A597" s="78"/>
      <c r="B597" s="79"/>
      <c r="C597" s="98"/>
      <c r="D597" s="87"/>
      <c r="E597" s="87"/>
      <c r="F597" s="87"/>
      <c r="G597" s="88"/>
      <c r="H597" s="88"/>
      <c r="I597" s="88"/>
      <c r="J597" s="88">
        <f>J585-J596</f>
        <v>345.82000000000005</v>
      </c>
      <c r="K597" s="82"/>
      <c r="L597" s="222"/>
      <c r="M597" s="222"/>
      <c r="N597" s="83"/>
      <c r="O597" s="89"/>
      <c r="P597" s="88"/>
      <c r="Q597" s="88"/>
    </row>
    <row r="598" spans="1:17" s="378" customFormat="1">
      <c r="A598" s="196"/>
      <c r="B598" s="376" t="s">
        <v>737</v>
      </c>
      <c r="C598" s="2763"/>
      <c r="D598" s="2763"/>
      <c r="E598" s="2763"/>
      <c r="F598" s="2763"/>
      <c r="G598" s="2763"/>
      <c r="H598" s="2763"/>
      <c r="I598" s="2763"/>
      <c r="J598" s="92">
        <f>CEILING(J597,0.05)</f>
        <v>345.85</v>
      </c>
      <c r="K598" s="338">
        <f>Datas!E679</f>
        <v>4266.8500000000004</v>
      </c>
      <c r="L598" s="222"/>
      <c r="M598" s="375">
        <f>ROUND(K598*J598/10,0)</f>
        <v>147569</v>
      </c>
      <c r="N598" s="403">
        <f>SUM(L598:M598)</f>
        <v>147569</v>
      </c>
      <c r="O598" s="380">
        <v>0.6</v>
      </c>
      <c r="P598" s="377">
        <f>O598*J598</f>
        <v>207.51000000000002</v>
      </c>
      <c r="Q598" s="236"/>
    </row>
    <row r="599" spans="1:17" ht="24" customHeight="1">
      <c r="A599" s="78"/>
      <c r="B599" s="3"/>
      <c r="D599" s="3"/>
      <c r="G599" s="3"/>
      <c r="H599" s="3"/>
      <c r="I599" s="3"/>
      <c r="J599" s="92" t="s">
        <v>1478</v>
      </c>
      <c r="K599" s="82" t="s">
        <v>672</v>
      </c>
      <c r="L599" s="222"/>
      <c r="M599" s="222"/>
      <c r="N599" s="83"/>
      <c r="O599" s="89"/>
      <c r="P599" s="88"/>
      <c r="Q599" s="88"/>
    </row>
    <row r="600" spans="1:17">
      <c r="A600" s="78"/>
      <c r="B600" s="79"/>
      <c r="C600" s="255" t="s">
        <v>1439</v>
      </c>
      <c r="D600" s="25"/>
      <c r="E600" s="25"/>
      <c r="F600" s="349"/>
      <c r="G600" s="105"/>
      <c r="H600" s="105"/>
      <c r="I600" s="105"/>
      <c r="J600" s="105"/>
      <c r="K600" s="82"/>
      <c r="L600" s="222"/>
      <c r="M600" s="222"/>
      <c r="N600" s="83"/>
      <c r="O600" s="89"/>
      <c r="P600" s="88"/>
      <c r="Q600" s="88"/>
    </row>
    <row r="601" spans="1:17" s="3" customFormat="1" ht="24" customHeight="1">
      <c r="A601" s="78"/>
      <c r="B601" s="79"/>
      <c r="C601" s="261" t="s">
        <v>833</v>
      </c>
      <c r="D601" s="87">
        <v>1</v>
      </c>
      <c r="E601" s="87" t="s">
        <v>1472</v>
      </c>
      <c r="F601" s="87">
        <v>1</v>
      </c>
      <c r="G601" s="88">
        <f>(2*3.18+2*3)</f>
        <v>12.36</v>
      </c>
      <c r="I601" s="248">
        <f>3.3-0.125</f>
        <v>3.1749999999999998</v>
      </c>
      <c r="J601" s="88">
        <f t="shared" ref="J601:J610" si="31">ROUND(D601*F601*G601*I601,2)</f>
        <v>39.24</v>
      </c>
      <c r="K601" s="82"/>
      <c r="L601" s="222"/>
      <c r="M601" s="222"/>
      <c r="N601" s="83"/>
      <c r="O601" s="89"/>
      <c r="P601" s="88"/>
      <c r="Q601" s="88"/>
    </row>
    <row r="602" spans="1:17" s="3" customFormat="1" ht="24" customHeight="1">
      <c r="A602" s="78"/>
      <c r="B602" s="79"/>
      <c r="C602" s="261" t="s">
        <v>834</v>
      </c>
      <c r="D602" s="87">
        <v>1</v>
      </c>
      <c r="E602" s="87" t="s">
        <v>1472</v>
      </c>
      <c r="F602" s="87">
        <v>1</v>
      </c>
      <c r="G602" s="88">
        <f>(2*6.8+2*3)</f>
        <v>19.600000000000001</v>
      </c>
      <c r="I602" s="248">
        <f t="shared" ref="I602:I610" si="32">3.3-0.125</f>
        <v>3.1749999999999998</v>
      </c>
      <c r="J602" s="88">
        <f t="shared" si="31"/>
        <v>62.23</v>
      </c>
      <c r="K602" s="82"/>
      <c r="L602" s="222"/>
      <c r="M602" s="222"/>
      <c r="N602" s="83"/>
      <c r="O602" s="89"/>
      <c r="P602" s="88"/>
      <c r="Q602" s="88"/>
    </row>
    <row r="603" spans="1:17" s="3" customFormat="1" ht="24" customHeight="1">
      <c r="A603" s="78"/>
      <c r="B603" s="79"/>
      <c r="C603" s="261" t="s">
        <v>835</v>
      </c>
      <c r="D603" s="87">
        <v>1</v>
      </c>
      <c r="E603" s="87" t="s">
        <v>1472</v>
      </c>
      <c r="F603" s="87">
        <v>1</v>
      </c>
      <c r="G603" s="88">
        <f>(2*3.07+2*3)</f>
        <v>12.14</v>
      </c>
      <c r="I603" s="248">
        <f t="shared" si="32"/>
        <v>3.1749999999999998</v>
      </c>
      <c r="J603" s="88">
        <f t="shared" si="31"/>
        <v>38.54</v>
      </c>
      <c r="K603" s="82"/>
      <c r="L603" s="222"/>
      <c r="M603" s="222"/>
      <c r="N603" s="83"/>
      <c r="O603" s="89"/>
      <c r="P603" s="88"/>
      <c r="Q603" s="88"/>
    </row>
    <row r="604" spans="1:17" s="3" customFormat="1" ht="24" customHeight="1">
      <c r="A604" s="78"/>
      <c r="B604" s="79"/>
      <c r="C604" s="261" t="s">
        <v>836</v>
      </c>
      <c r="D604" s="87">
        <v>1</v>
      </c>
      <c r="E604" s="87" t="s">
        <v>1472</v>
      </c>
      <c r="F604" s="87">
        <v>1</v>
      </c>
      <c r="G604" s="88">
        <f>(2*3.18+2*3)</f>
        <v>12.36</v>
      </c>
      <c r="I604" s="248">
        <f t="shared" si="32"/>
        <v>3.1749999999999998</v>
      </c>
      <c r="J604" s="88">
        <f t="shared" si="31"/>
        <v>39.24</v>
      </c>
      <c r="K604" s="82"/>
      <c r="L604" s="222"/>
      <c r="M604" s="222"/>
      <c r="N604" s="83"/>
      <c r="O604" s="89"/>
      <c r="P604" s="88"/>
      <c r="Q604" s="88"/>
    </row>
    <row r="605" spans="1:17" s="3" customFormat="1" ht="24" customHeight="1">
      <c r="A605" s="78"/>
      <c r="B605" s="79"/>
      <c r="C605" s="261" t="s">
        <v>1011</v>
      </c>
      <c r="D605" s="87">
        <v>1</v>
      </c>
      <c r="E605" s="87" t="s">
        <v>1472</v>
      </c>
      <c r="F605" s="87">
        <v>1</v>
      </c>
      <c r="G605" s="88">
        <f>(2*1.39+2*3)</f>
        <v>8.7799999999999994</v>
      </c>
      <c r="I605" s="248">
        <f t="shared" si="32"/>
        <v>3.1749999999999998</v>
      </c>
      <c r="J605" s="88">
        <f t="shared" si="31"/>
        <v>27.88</v>
      </c>
      <c r="K605" s="82"/>
      <c r="L605" s="222"/>
      <c r="M605" s="222"/>
      <c r="N605" s="83"/>
      <c r="O605" s="89"/>
      <c r="P605" s="88"/>
      <c r="Q605" s="88"/>
    </row>
    <row r="606" spans="1:17" s="3" customFormat="1" ht="24" customHeight="1">
      <c r="A606" s="78"/>
      <c r="B606" s="79"/>
      <c r="C606" s="261" t="s">
        <v>1016</v>
      </c>
      <c r="D606" s="87">
        <v>2</v>
      </c>
      <c r="E606" s="87" t="s">
        <v>1472</v>
      </c>
      <c r="F606" s="87">
        <v>2</v>
      </c>
      <c r="G606" s="88">
        <v>1.39</v>
      </c>
      <c r="I606" s="248">
        <f t="shared" si="32"/>
        <v>3.1749999999999998</v>
      </c>
      <c r="J606" s="88">
        <f t="shared" si="31"/>
        <v>17.649999999999999</v>
      </c>
      <c r="K606" s="82"/>
      <c r="L606" s="222"/>
      <c r="M606" s="222"/>
      <c r="N606" s="83"/>
      <c r="O606" s="89"/>
      <c r="P606" s="88"/>
      <c r="Q606" s="88"/>
    </row>
    <row r="607" spans="1:17" s="3" customFormat="1" ht="24" customHeight="1">
      <c r="A607" s="78"/>
      <c r="B607" s="79"/>
      <c r="C607" s="261" t="s">
        <v>1012</v>
      </c>
      <c r="D607" s="87">
        <v>1</v>
      </c>
      <c r="E607" s="87" t="s">
        <v>1472</v>
      </c>
      <c r="F607" s="87">
        <v>1</v>
      </c>
      <c r="G607" s="88">
        <f>(2*2.06+2*3)</f>
        <v>10.120000000000001</v>
      </c>
      <c r="I607" s="248">
        <f t="shared" si="32"/>
        <v>3.1749999999999998</v>
      </c>
      <c r="J607" s="88">
        <f t="shared" si="31"/>
        <v>32.130000000000003</v>
      </c>
      <c r="K607" s="82"/>
      <c r="L607" s="222"/>
      <c r="M607" s="222"/>
      <c r="N607" s="83"/>
      <c r="O607" s="89"/>
      <c r="P607" s="88"/>
      <c r="Q607" s="88"/>
    </row>
    <row r="608" spans="1:17" s="3" customFormat="1" ht="24" customHeight="1">
      <c r="A608" s="78"/>
      <c r="B608" s="79"/>
      <c r="C608" s="261" t="s">
        <v>1017</v>
      </c>
      <c r="D608" s="87">
        <v>1</v>
      </c>
      <c r="E608" s="87" t="s">
        <v>1472</v>
      </c>
      <c r="F608" s="87">
        <v>2</v>
      </c>
      <c r="G608" s="88">
        <v>1.2</v>
      </c>
      <c r="I608" s="248">
        <f t="shared" si="32"/>
        <v>3.1749999999999998</v>
      </c>
      <c r="J608" s="88">
        <f t="shared" si="31"/>
        <v>7.62</v>
      </c>
      <c r="K608" s="82"/>
      <c r="L608" s="222"/>
      <c r="M608" s="222"/>
      <c r="N608" s="83"/>
      <c r="O608" s="89"/>
      <c r="P608" s="88"/>
      <c r="Q608" s="88"/>
    </row>
    <row r="609" spans="1:17" s="3" customFormat="1" ht="24" customHeight="1">
      <c r="A609" s="78"/>
      <c r="B609" s="79"/>
      <c r="C609" s="261" t="s">
        <v>1017</v>
      </c>
      <c r="D609" s="87">
        <v>1</v>
      </c>
      <c r="E609" s="87" t="s">
        <v>1472</v>
      </c>
      <c r="F609" s="87">
        <v>2</v>
      </c>
      <c r="G609" s="88">
        <v>2.06</v>
      </c>
      <c r="I609" s="248">
        <f t="shared" si="32"/>
        <v>3.1749999999999998</v>
      </c>
      <c r="J609" s="88">
        <f t="shared" si="31"/>
        <v>13.08</v>
      </c>
      <c r="K609" s="82"/>
      <c r="L609" s="222"/>
      <c r="M609" s="222"/>
      <c r="N609" s="83"/>
      <c r="O609" s="89"/>
      <c r="P609" s="88"/>
      <c r="Q609" s="88"/>
    </row>
    <row r="610" spans="1:17" s="3" customFormat="1" ht="30.75" customHeight="1">
      <c r="A610" s="78"/>
      <c r="B610" s="79"/>
      <c r="C610" s="261" t="s">
        <v>837</v>
      </c>
      <c r="D610" s="87">
        <v>1</v>
      </c>
      <c r="E610" s="87" t="s">
        <v>1472</v>
      </c>
      <c r="F610" s="87">
        <v>1</v>
      </c>
      <c r="G610" s="88">
        <f>2*(3.3*4)+2*1.5</f>
        <v>29.4</v>
      </c>
      <c r="I610" s="248">
        <f t="shared" si="32"/>
        <v>3.1749999999999998</v>
      </c>
      <c r="J610" s="88">
        <f t="shared" si="31"/>
        <v>93.35</v>
      </c>
      <c r="K610" s="82"/>
      <c r="L610" s="222"/>
      <c r="M610" s="222"/>
      <c r="N610" s="83"/>
      <c r="O610" s="89"/>
      <c r="P610" s="88"/>
      <c r="Q610" s="88"/>
    </row>
    <row r="611" spans="1:17" ht="27">
      <c r="A611" s="78"/>
      <c r="B611" s="79"/>
      <c r="C611" s="97" t="s">
        <v>1013</v>
      </c>
      <c r="D611" s="87">
        <v>1</v>
      </c>
      <c r="E611" s="87" t="s">
        <v>1472</v>
      </c>
      <c r="F611" s="87">
        <v>1</v>
      </c>
      <c r="G611" s="88">
        <f>(0.15+3+1.5+3+1.5+3+0.15)</f>
        <v>12.3</v>
      </c>
      <c r="H611" s="3"/>
      <c r="I611" s="262" t="s">
        <v>1440</v>
      </c>
      <c r="J611" s="88">
        <f>ROUND(D611*F611*G611*(3+2.7)/2,2)</f>
        <v>35.06</v>
      </c>
      <c r="K611" s="82"/>
      <c r="L611" s="222"/>
      <c r="M611" s="222"/>
      <c r="N611" s="83"/>
      <c r="O611" s="89"/>
      <c r="P611" s="88"/>
      <c r="Q611" s="88"/>
    </row>
    <row r="612" spans="1:17">
      <c r="A612" s="78"/>
      <c r="B612" s="79"/>
      <c r="C612" s="64" t="s">
        <v>675</v>
      </c>
      <c r="D612" s="87"/>
      <c r="E612" s="87"/>
      <c r="F612" s="87"/>
      <c r="G612" s="88"/>
      <c r="H612" s="88"/>
      <c r="I612" s="88"/>
      <c r="J612" s="88">
        <f>SUM(J601:J611)</f>
        <v>406.02000000000004</v>
      </c>
      <c r="K612" s="82"/>
      <c r="L612" s="222"/>
      <c r="M612" s="222"/>
      <c r="N612" s="83"/>
      <c r="O612" s="89"/>
      <c r="P612" s="88"/>
      <c r="Q612" s="88"/>
    </row>
    <row r="613" spans="1:17" ht="21.75" customHeight="1">
      <c r="A613" s="78"/>
      <c r="B613" s="79"/>
      <c r="C613" s="254" t="s">
        <v>101</v>
      </c>
      <c r="D613" s="87">
        <v>1</v>
      </c>
      <c r="E613" s="87" t="s">
        <v>1472</v>
      </c>
      <c r="F613" s="87">
        <v>7</v>
      </c>
      <c r="G613" s="88">
        <v>0.9</v>
      </c>
      <c r="H613" s="248"/>
      <c r="I613" s="88">
        <v>2.1</v>
      </c>
      <c r="J613" s="88">
        <f t="shared" ref="J613:J618" si="33">ROUND(D613*F613*G613*I613,2)</f>
        <v>13.23</v>
      </c>
      <c r="K613" s="82"/>
      <c r="L613" s="222"/>
      <c r="M613" s="222"/>
      <c r="N613" s="83"/>
      <c r="O613" s="89"/>
      <c r="P613" s="88"/>
      <c r="Q613" s="88"/>
    </row>
    <row r="614" spans="1:17" ht="21.75" customHeight="1">
      <c r="A614" s="78"/>
      <c r="B614" s="79"/>
      <c r="C614" s="254" t="s">
        <v>102</v>
      </c>
      <c r="D614" s="87">
        <v>1</v>
      </c>
      <c r="E614" s="87" t="s">
        <v>1472</v>
      </c>
      <c r="F614" s="87">
        <v>3</v>
      </c>
      <c r="G614" s="88">
        <v>0.75</v>
      </c>
      <c r="H614" s="248"/>
      <c r="I614" s="88">
        <v>2.1</v>
      </c>
      <c r="J614" s="88">
        <f t="shared" si="33"/>
        <v>4.7300000000000004</v>
      </c>
      <c r="K614" s="82"/>
      <c r="L614" s="222"/>
      <c r="M614" s="222"/>
      <c r="N614" s="83"/>
      <c r="O614" s="89"/>
      <c r="P614" s="88"/>
      <c r="Q614" s="88"/>
    </row>
    <row r="615" spans="1:17">
      <c r="A615" s="78"/>
      <c r="B615" s="79"/>
      <c r="C615" s="254" t="s">
        <v>251</v>
      </c>
      <c r="D615" s="87">
        <v>1</v>
      </c>
      <c r="E615" s="87" t="s">
        <v>1472</v>
      </c>
      <c r="F615" s="87">
        <v>6</v>
      </c>
      <c r="G615" s="88">
        <v>1.35</v>
      </c>
      <c r="H615" s="88"/>
      <c r="I615" s="88">
        <v>1.3</v>
      </c>
      <c r="J615" s="88">
        <f t="shared" si="33"/>
        <v>10.53</v>
      </c>
      <c r="K615" s="82"/>
      <c r="L615" s="222"/>
      <c r="M615" s="222"/>
      <c r="N615" s="83"/>
      <c r="O615" s="89"/>
      <c r="P615" s="88"/>
      <c r="Q615" s="88"/>
    </row>
    <row r="616" spans="1:17">
      <c r="A616" s="78"/>
      <c r="B616" s="79"/>
      <c r="C616" s="254" t="s">
        <v>1237</v>
      </c>
      <c r="D616" s="87">
        <v>1</v>
      </c>
      <c r="E616" s="87" t="s">
        <v>1472</v>
      </c>
      <c r="F616" s="87">
        <v>1</v>
      </c>
      <c r="G616" s="88">
        <v>1.8</v>
      </c>
      <c r="H616" s="88"/>
      <c r="I616" s="88">
        <v>1.3</v>
      </c>
      <c r="J616" s="88">
        <f t="shared" si="33"/>
        <v>2.34</v>
      </c>
      <c r="K616" s="82"/>
      <c r="L616" s="222"/>
      <c r="M616" s="222"/>
      <c r="N616" s="83"/>
      <c r="O616" s="89"/>
      <c r="P616" s="88"/>
      <c r="Q616" s="88"/>
    </row>
    <row r="617" spans="1:17">
      <c r="A617" s="78"/>
      <c r="B617" s="79"/>
      <c r="C617" s="254" t="s">
        <v>1238</v>
      </c>
      <c r="D617" s="87">
        <v>1</v>
      </c>
      <c r="E617" s="87" t="s">
        <v>1472</v>
      </c>
      <c r="F617" s="87">
        <v>2</v>
      </c>
      <c r="G617" s="88">
        <v>0.9</v>
      </c>
      <c r="H617" s="88"/>
      <c r="I617" s="88">
        <v>1.3</v>
      </c>
      <c r="J617" s="88">
        <f t="shared" si="33"/>
        <v>2.34</v>
      </c>
      <c r="K617" s="82"/>
      <c r="L617" s="222"/>
      <c r="M617" s="222"/>
      <c r="N617" s="83"/>
      <c r="O617" s="89"/>
      <c r="P617" s="88"/>
      <c r="Q617" s="88"/>
    </row>
    <row r="618" spans="1:17">
      <c r="A618" s="78"/>
      <c r="B618" s="79"/>
      <c r="C618" s="254" t="s">
        <v>83</v>
      </c>
      <c r="D618" s="87">
        <v>1</v>
      </c>
      <c r="E618" s="87" t="s">
        <v>1472</v>
      </c>
      <c r="F618" s="87">
        <v>3</v>
      </c>
      <c r="G618" s="88">
        <v>0.6</v>
      </c>
      <c r="H618" s="88"/>
      <c r="I618" s="88">
        <v>0.6</v>
      </c>
      <c r="J618" s="88">
        <f t="shared" si="33"/>
        <v>1.08</v>
      </c>
      <c r="K618" s="82"/>
      <c r="L618" s="222"/>
      <c r="M618" s="222"/>
      <c r="N618" s="83"/>
      <c r="O618" s="89"/>
      <c r="P618" s="88"/>
      <c r="Q618" s="88"/>
    </row>
    <row r="619" spans="1:17" ht="21.75" customHeight="1">
      <c r="A619" s="78"/>
      <c r="B619" s="79"/>
      <c r="C619" s="254"/>
      <c r="D619" s="87"/>
      <c r="E619" s="87"/>
      <c r="F619" s="87"/>
      <c r="G619" s="88"/>
      <c r="H619" s="248"/>
      <c r="I619" s="88"/>
      <c r="J619" s="88">
        <f>SUM(J613:J618)</f>
        <v>34.25</v>
      </c>
      <c r="K619" s="82"/>
      <c r="L619" s="222"/>
      <c r="M619" s="222"/>
      <c r="N619" s="83"/>
      <c r="O619" s="89"/>
      <c r="P619" s="88"/>
      <c r="Q619" s="88"/>
    </row>
    <row r="620" spans="1:17" ht="24" customHeight="1">
      <c r="A620" s="78"/>
      <c r="B620" s="79"/>
      <c r="C620" s="98"/>
      <c r="D620" s="87"/>
      <c r="E620" s="87"/>
      <c r="F620" s="87"/>
      <c r="G620" s="88"/>
      <c r="H620" s="88"/>
      <c r="I620" s="88"/>
      <c r="J620" s="88">
        <f>J612-J619</f>
        <v>371.77000000000004</v>
      </c>
      <c r="K620" s="82"/>
      <c r="L620" s="222"/>
      <c r="M620" s="222"/>
      <c r="N620" s="83"/>
      <c r="O620" s="89"/>
      <c r="P620" s="88"/>
      <c r="Q620" s="88"/>
    </row>
    <row r="621" spans="1:17" s="378" customFormat="1">
      <c r="A621" s="196"/>
      <c r="B621" s="376" t="s">
        <v>738</v>
      </c>
      <c r="C621" s="2763"/>
      <c r="D621" s="2763"/>
      <c r="E621" s="2763"/>
      <c r="F621" s="2763"/>
      <c r="G621" s="2763"/>
      <c r="H621" s="2763"/>
      <c r="I621" s="2763"/>
      <c r="J621" s="92">
        <f>CEILING(J620,0.05)</f>
        <v>371.8</v>
      </c>
      <c r="K621" s="338">
        <f>Datas!F679</f>
        <v>4388.5500000000011</v>
      </c>
      <c r="L621" s="222"/>
      <c r="M621" s="375">
        <f>ROUND(K621*J621/10,0)</f>
        <v>163166</v>
      </c>
      <c r="N621" s="403">
        <f>SUM(L621:M621)</f>
        <v>163166</v>
      </c>
      <c r="O621" s="380">
        <v>0.6</v>
      </c>
      <c r="P621" s="377">
        <f>O621*J621</f>
        <v>223.08</v>
      </c>
      <c r="Q621" s="236"/>
    </row>
    <row r="622" spans="1:17" ht="24" customHeight="1">
      <c r="A622" s="78"/>
      <c r="B622" s="3"/>
      <c r="D622" s="3"/>
      <c r="G622" s="3"/>
      <c r="H622" s="3"/>
      <c r="I622" s="3"/>
      <c r="J622" s="92" t="s">
        <v>1478</v>
      </c>
      <c r="K622" s="82" t="s">
        <v>672</v>
      </c>
      <c r="L622" s="222"/>
      <c r="M622" s="222"/>
      <c r="N622" s="83"/>
      <c r="O622" s="89"/>
      <c r="P622" s="88"/>
      <c r="Q622" s="88"/>
    </row>
    <row r="623" spans="1:17">
      <c r="A623" s="78"/>
      <c r="B623" s="79"/>
      <c r="C623" s="255" t="s">
        <v>838</v>
      </c>
      <c r="D623" s="25"/>
      <c r="E623" s="25"/>
      <c r="F623" s="349"/>
      <c r="G623" s="105"/>
      <c r="H623" s="105"/>
      <c r="I623" s="105"/>
      <c r="J623" s="105"/>
      <c r="K623" s="82"/>
      <c r="L623" s="222"/>
      <c r="M623" s="222"/>
      <c r="N623" s="83"/>
      <c r="O623" s="89"/>
      <c r="P623" s="88"/>
      <c r="Q623" s="88"/>
    </row>
    <row r="624" spans="1:17" ht="27">
      <c r="A624" s="78"/>
      <c r="B624" s="79"/>
      <c r="C624" s="97" t="s">
        <v>1013</v>
      </c>
      <c r="D624" s="87">
        <v>1</v>
      </c>
      <c r="E624" s="87" t="s">
        <v>1472</v>
      </c>
      <c r="F624" s="87">
        <v>1</v>
      </c>
      <c r="G624" s="88">
        <f>(0.15+3+1.5+3+1.5+3+0.15)</f>
        <v>12.3</v>
      </c>
      <c r="H624" s="3"/>
      <c r="I624" s="262" t="s">
        <v>1440</v>
      </c>
      <c r="J624" s="88">
        <f>ROUND(D624*F624*G624*(3+2.7)/2,2)</f>
        <v>35.06</v>
      </c>
      <c r="K624" s="82"/>
      <c r="L624" s="222"/>
      <c r="M624" s="222"/>
      <c r="N624" s="83"/>
      <c r="O624" s="89"/>
      <c r="P624" s="88"/>
      <c r="Q624" s="88"/>
    </row>
    <row r="625" spans="1:17">
      <c r="A625" s="78"/>
      <c r="B625" s="79"/>
      <c r="C625" s="64" t="s">
        <v>675</v>
      </c>
      <c r="D625" s="87"/>
      <c r="E625" s="87"/>
      <c r="F625" s="87"/>
      <c r="G625" s="88"/>
      <c r="H625" s="88"/>
      <c r="I625" s="88"/>
      <c r="J625" s="88">
        <f>SUM(J624:J624)</f>
        <v>35.06</v>
      </c>
      <c r="K625" s="82"/>
      <c r="L625" s="222"/>
      <c r="M625" s="222"/>
      <c r="N625" s="83"/>
      <c r="O625" s="89"/>
      <c r="P625" s="88"/>
      <c r="Q625" s="88"/>
    </row>
    <row r="626" spans="1:17" ht="21.75" customHeight="1">
      <c r="A626" s="78"/>
      <c r="B626" s="79"/>
      <c r="C626" s="254" t="s">
        <v>101</v>
      </c>
      <c r="D626" s="87">
        <v>1</v>
      </c>
      <c r="E626" s="87" t="s">
        <v>1472</v>
      </c>
      <c r="F626" s="87">
        <v>1</v>
      </c>
      <c r="G626" s="88">
        <v>0.9</v>
      </c>
      <c r="H626" s="248"/>
      <c r="I626" s="88">
        <v>2.1</v>
      </c>
      <c r="J626" s="88">
        <f>ROUND(D626*F626*G626*I626,2)</f>
        <v>1.89</v>
      </c>
      <c r="K626" s="82"/>
      <c r="L626" s="222"/>
      <c r="M626" s="222"/>
      <c r="N626" s="83"/>
      <c r="O626" s="89"/>
      <c r="P626" s="88"/>
      <c r="Q626" s="88"/>
    </row>
    <row r="627" spans="1:17">
      <c r="A627" s="78"/>
      <c r="B627" s="79"/>
      <c r="C627" s="254" t="s">
        <v>1237</v>
      </c>
      <c r="D627" s="87">
        <v>1</v>
      </c>
      <c r="E627" s="87" t="s">
        <v>1472</v>
      </c>
      <c r="F627" s="87">
        <v>1</v>
      </c>
      <c r="G627" s="88">
        <v>1.8</v>
      </c>
      <c r="H627" s="88"/>
      <c r="I627" s="88">
        <v>1.3</v>
      </c>
      <c r="J627" s="88">
        <f>ROUND(D627*F627*G627*I627,2)</f>
        <v>2.34</v>
      </c>
      <c r="K627" s="82"/>
      <c r="L627" s="222"/>
      <c r="M627" s="222"/>
      <c r="N627" s="83"/>
      <c r="O627" s="89"/>
      <c r="P627" s="88"/>
      <c r="Q627" s="88"/>
    </row>
    <row r="628" spans="1:17" ht="21.75" customHeight="1">
      <c r="A628" s="78"/>
      <c r="B628" s="79"/>
      <c r="C628" s="254"/>
      <c r="D628" s="87"/>
      <c r="E628" s="87"/>
      <c r="F628" s="87"/>
      <c r="G628" s="88"/>
      <c r="H628" s="248"/>
      <c r="I628" s="88"/>
      <c r="J628" s="88">
        <f>SUM(J626:J627)</f>
        <v>4.2299999999999995</v>
      </c>
      <c r="K628" s="82"/>
      <c r="L628" s="222"/>
      <c r="M628" s="222"/>
      <c r="N628" s="83"/>
      <c r="O628" s="89"/>
      <c r="P628" s="88"/>
      <c r="Q628" s="88"/>
    </row>
    <row r="629" spans="1:17" ht="24" customHeight="1">
      <c r="A629" s="78"/>
      <c r="B629" s="79"/>
      <c r="C629" s="98"/>
      <c r="D629" s="87"/>
      <c r="E629" s="87"/>
      <c r="F629" s="87"/>
      <c r="G629" s="88"/>
      <c r="H629" s="88"/>
      <c r="I629" s="88"/>
      <c r="J629" s="88">
        <f>J625-J628</f>
        <v>30.830000000000002</v>
      </c>
      <c r="K629" s="82"/>
      <c r="L629" s="222"/>
      <c r="M629" s="222"/>
      <c r="N629" s="83"/>
      <c r="O629" s="89"/>
      <c r="P629" s="88"/>
      <c r="Q629" s="88"/>
    </row>
    <row r="630" spans="1:17" s="378" customFormat="1">
      <c r="A630" s="196"/>
      <c r="B630" s="376" t="s">
        <v>739</v>
      </c>
      <c r="C630" s="2763"/>
      <c r="D630" s="2763"/>
      <c r="E630" s="2763"/>
      <c r="F630" s="2763"/>
      <c r="G630" s="2763"/>
      <c r="H630" s="2763"/>
      <c r="I630" s="2763"/>
      <c r="J630" s="92">
        <f>CEILING(J629,0.05)</f>
        <v>30.85</v>
      </c>
      <c r="K630" s="338">
        <f>Datas!G679</f>
        <v>4528</v>
      </c>
      <c r="L630" s="222"/>
      <c r="M630" s="375">
        <f>ROUND(K630*J630/10,0)</f>
        <v>13969</v>
      </c>
      <c r="N630" s="403">
        <f>SUM(L630:M630)</f>
        <v>13969</v>
      </c>
      <c r="O630" s="380">
        <v>0.6</v>
      </c>
      <c r="P630" s="377">
        <f>O630*J630</f>
        <v>18.510000000000002</v>
      </c>
      <c r="Q630" s="236"/>
    </row>
    <row r="631" spans="1:17" ht="24" customHeight="1">
      <c r="A631" s="78"/>
      <c r="B631" s="3"/>
      <c r="D631" s="3"/>
      <c r="G631" s="3"/>
      <c r="H631" s="3"/>
      <c r="I631" s="3"/>
      <c r="J631" s="92" t="s">
        <v>1478</v>
      </c>
      <c r="K631" s="82" t="s">
        <v>672</v>
      </c>
      <c r="L631" s="222"/>
      <c r="M631" s="222"/>
      <c r="N631" s="83"/>
      <c r="O631" s="89"/>
      <c r="P631" s="88"/>
      <c r="Q631" s="88"/>
    </row>
    <row r="632" spans="1:17" ht="144" customHeight="1">
      <c r="A632" s="78">
        <v>18</v>
      </c>
      <c r="B632" s="79"/>
      <c r="C632" s="2765" t="s">
        <v>808</v>
      </c>
      <c r="D632" s="2741"/>
      <c r="E632" s="2741"/>
      <c r="F632" s="2741"/>
      <c r="G632" s="2741"/>
      <c r="H632" s="2741"/>
      <c r="I632" s="2741"/>
      <c r="J632" s="2741"/>
      <c r="K632" s="82"/>
      <c r="L632" s="222"/>
      <c r="M632" s="222"/>
      <c r="N632" s="83"/>
      <c r="O632" s="89"/>
      <c r="P632" s="88"/>
      <c r="Q632" s="88"/>
    </row>
    <row r="633" spans="1:17">
      <c r="A633" s="78"/>
      <c r="B633" s="79"/>
      <c r="C633" s="263" t="s">
        <v>557</v>
      </c>
      <c r="D633" s="264"/>
      <c r="E633" s="264"/>
      <c r="F633" s="350"/>
      <c r="G633" s="105"/>
      <c r="H633" s="105"/>
      <c r="I633" s="105"/>
      <c r="J633" s="105"/>
      <c r="K633" s="82"/>
      <c r="L633" s="222"/>
      <c r="M633" s="222"/>
      <c r="N633" s="83"/>
      <c r="O633" s="89"/>
      <c r="P633" s="88"/>
      <c r="Q633" s="88"/>
    </row>
    <row r="634" spans="1:17" ht="24" customHeight="1">
      <c r="A634" s="78"/>
      <c r="B634" s="79"/>
      <c r="C634" s="261" t="s">
        <v>1438</v>
      </c>
      <c r="D634" s="87">
        <v>1</v>
      </c>
      <c r="E634" s="87" t="s">
        <v>1472</v>
      </c>
      <c r="F634" s="87">
        <v>1</v>
      </c>
      <c r="G634" s="88">
        <f>3.3*5+3.6+0.3</f>
        <v>20.400000000000002</v>
      </c>
      <c r="I634" s="88">
        <f>(3.3)</f>
        <v>3.3</v>
      </c>
      <c r="J634" s="88">
        <f>ROUND(D634*F634*G634*I634,2)</f>
        <v>67.319999999999993</v>
      </c>
      <c r="K634" s="82"/>
      <c r="L634" s="222"/>
      <c r="M634" s="222"/>
      <c r="N634" s="83"/>
      <c r="O634" s="89"/>
      <c r="P634" s="88"/>
      <c r="Q634" s="88"/>
    </row>
    <row r="635" spans="1:17" ht="24" customHeight="1">
      <c r="A635" s="78"/>
      <c r="B635" s="79"/>
      <c r="C635" s="261" t="s">
        <v>554</v>
      </c>
      <c r="D635" s="87">
        <v>1</v>
      </c>
      <c r="E635" s="87" t="s">
        <v>1472</v>
      </c>
      <c r="F635" s="87">
        <v>2</v>
      </c>
      <c r="G635" s="88">
        <v>1.73</v>
      </c>
      <c r="I635" s="88">
        <f>(3.3)</f>
        <v>3.3</v>
      </c>
      <c r="J635" s="88">
        <f>ROUND(D635*F635*G635*I635,2)</f>
        <v>11.42</v>
      </c>
      <c r="K635" s="82"/>
      <c r="L635" s="222"/>
      <c r="M635" s="222"/>
      <c r="N635" s="83"/>
      <c r="O635" s="89"/>
      <c r="P635" s="88"/>
      <c r="Q635" s="88"/>
    </row>
    <row r="636" spans="1:17" ht="24" customHeight="1">
      <c r="A636" s="78"/>
      <c r="B636" s="79"/>
      <c r="C636" s="261" t="s">
        <v>555</v>
      </c>
      <c r="D636" s="87">
        <v>1</v>
      </c>
      <c r="E636" s="87" t="s">
        <v>1472</v>
      </c>
      <c r="F636" s="87">
        <v>1</v>
      </c>
      <c r="G636" s="88">
        <v>20.399999999999999</v>
      </c>
      <c r="I636" s="88">
        <v>3.3</v>
      </c>
      <c r="J636" s="88">
        <f>ROUND(D636*F636*G636*I636,2)</f>
        <v>67.319999999999993</v>
      </c>
      <c r="K636" s="82"/>
      <c r="L636" s="222"/>
      <c r="M636" s="222"/>
      <c r="N636" s="83"/>
      <c r="O636" s="89"/>
      <c r="P636" s="88"/>
      <c r="Q636" s="88"/>
    </row>
    <row r="637" spans="1:17" ht="24" customHeight="1">
      <c r="A637" s="78"/>
      <c r="B637" s="79"/>
      <c r="C637" s="261" t="s">
        <v>556</v>
      </c>
      <c r="D637" s="87">
        <v>1</v>
      </c>
      <c r="E637" s="87" t="s">
        <v>1472</v>
      </c>
      <c r="F637" s="87">
        <v>2</v>
      </c>
      <c r="G637" s="88">
        <v>8.1750000000000007</v>
      </c>
      <c r="I637" s="88">
        <v>3.3</v>
      </c>
      <c r="J637" s="88">
        <f>ROUND(D637*F637*G637*I637,2)</f>
        <v>53.96</v>
      </c>
      <c r="K637" s="82"/>
      <c r="L637" s="222"/>
      <c r="M637" s="222"/>
      <c r="N637" s="83"/>
      <c r="O637" s="89"/>
      <c r="P637" s="88"/>
      <c r="Q637" s="88"/>
    </row>
    <row r="638" spans="1:17" s="3" customFormat="1" ht="24" customHeight="1">
      <c r="A638" s="78"/>
      <c r="B638" s="79"/>
      <c r="C638" s="254" t="s">
        <v>467</v>
      </c>
      <c r="D638" s="87"/>
      <c r="E638" s="87"/>
      <c r="F638" s="87"/>
      <c r="G638" s="88"/>
      <c r="H638" s="88"/>
      <c r="I638" s="88"/>
      <c r="J638" s="88">
        <f>SUM(J634:J637)</f>
        <v>200.02</v>
      </c>
      <c r="K638" s="82"/>
      <c r="L638" s="222"/>
      <c r="M638" s="222"/>
      <c r="N638" s="83"/>
      <c r="O638" s="89"/>
      <c r="P638" s="88"/>
      <c r="Q638" s="88"/>
    </row>
    <row r="639" spans="1:17" s="378" customFormat="1">
      <c r="A639" s="196"/>
      <c r="B639" s="376" t="s">
        <v>812</v>
      </c>
      <c r="C639" s="2763"/>
      <c r="D639" s="2763"/>
      <c r="E639" s="2763"/>
      <c r="F639" s="2763"/>
      <c r="G639" s="2763"/>
      <c r="H639" s="2763"/>
      <c r="I639" s="2763"/>
      <c r="J639" s="92">
        <f>+CEILING(J638,0.05)</f>
        <v>200.05</v>
      </c>
      <c r="K639" s="338">
        <f>Datas!E704</f>
        <v>4397.62</v>
      </c>
      <c r="L639" s="222"/>
      <c r="M639" s="375">
        <f>ROUND(K639*J639/10,0)</f>
        <v>87974</v>
      </c>
      <c r="N639" s="403">
        <f>SUM(L639:M639)</f>
        <v>87974</v>
      </c>
      <c r="O639" s="380">
        <f>(0.18+0.04)*40/10</f>
        <v>0.88000000000000012</v>
      </c>
      <c r="P639" s="377">
        <f>ROUND(O639*J639,2)</f>
        <v>176.04</v>
      </c>
      <c r="Q639" s="236"/>
    </row>
    <row r="640" spans="1:17" ht="24" customHeight="1">
      <c r="A640" s="78"/>
      <c r="B640" s="3"/>
      <c r="D640" s="3"/>
      <c r="G640" s="3"/>
      <c r="H640" s="3"/>
      <c r="I640" s="3"/>
      <c r="J640" s="92" t="s">
        <v>1478</v>
      </c>
      <c r="K640" s="95" t="s">
        <v>468</v>
      </c>
      <c r="L640" s="225"/>
      <c r="M640" s="225"/>
      <c r="N640" s="93"/>
      <c r="O640" s="96"/>
      <c r="P640" s="92"/>
      <c r="Q640" s="88"/>
    </row>
    <row r="641" spans="1:17">
      <c r="A641" s="78"/>
      <c r="B641" s="79"/>
      <c r="C641" s="263" t="s">
        <v>558</v>
      </c>
      <c r="D641" s="264"/>
      <c r="E641" s="264"/>
      <c r="F641" s="350"/>
      <c r="G641" s="105"/>
      <c r="H641" s="105"/>
      <c r="I641" s="105"/>
      <c r="J641" s="105"/>
      <c r="K641" s="82"/>
      <c r="L641" s="222"/>
      <c r="M641" s="222"/>
      <c r="N641" s="83"/>
      <c r="O641" s="89"/>
      <c r="P641" s="88"/>
      <c r="Q641" s="88"/>
    </row>
    <row r="642" spans="1:17" ht="24" customHeight="1">
      <c r="A642" s="78"/>
      <c r="B642" s="79"/>
      <c r="C642" s="261" t="s">
        <v>1438</v>
      </c>
      <c r="D642" s="87">
        <v>1</v>
      </c>
      <c r="E642" s="87" t="s">
        <v>1472</v>
      </c>
      <c r="F642" s="87">
        <v>1</v>
      </c>
      <c r="G642" s="88">
        <f>3.3*4+0.3</f>
        <v>13.5</v>
      </c>
      <c r="I642" s="88">
        <v>3.3</v>
      </c>
      <c r="J642" s="88">
        <f t="shared" ref="J642:J648" si="34">ROUND(D642*F642*G642*I642,2)</f>
        <v>44.55</v>
      </c>
      <c r="K642" s="82"/>
      <c r="L642" s="222"/>
      <c r="M642" s="222"/>
      <c r="N642" s="83"/>
      <c r="O642" s="89"/>
      <c r="P642" s="88"/>
      <c r="Q642" s="88"/>
    </row>
    <row r="643" spans="1:17" ht="24" customHeight="1">
      <c r="A643" s="78"/>
      <c r="B643" s="79"/>
      <c r="C643" s="261" t="s">
        <v>554</v>
      </c>
      <c r="D643" s="87">
        <v>1</v>
      </c>
      <c r="E643" s="87" t="s">
        <v>1472</v>
      </c>
      <c r="F643" s="87">
        <v>2</v>
      </c>
      <c r="G643" s="88">
        <v>1.73</v>
      </c>
      <c r="I643" s="88">
        <v>3.3</v>
      </c>
      <c r="J643" s="88">
        <f t="shared" si="34"/>
        <v>11.42</v>
      </c>
      <c r="K643" s="82"/>
      <c r="L643" s="222"/>
      <c r="M643" s="222"/>
      <c r="N643" s="83"/>
      <c r="O643" s="89"/>
      <c r="P643" s="88"/>
      <c r="Q643" s="88"/>
    </row>
    <row r="644" spans="1:17" ht="24" customHeight="1">
      <c r="A644" s="78"/>
      <c r="B644" s="79"/>
      <c r="C644" s="261" t="s">
        <v>555</v>
      </c>
      <c r="D644" s="87">
        <v>1</v>
      </c>
      <c r="E644" s="87" t="s">
        <v>1472</v>
      </c>
      <c r="F644" s="87">
        <v>1</v>
      </c>
      <c r="G644" s="88">
        <v>13.5</v>
      </c>
      <c r="I644" s="88">
        <v>3.3</v>
      </c>
      <c r="J644" s="88">
        <f t="shared" si="34"/>
        <v>44.55</v>
      </c>
      <c r="K644" s="82"/>
      <c r="L644" s="222"/>
      <c r="M644" s="222"/>
      <c r="N644" s="83"/>
      <c r="O644" s="89"/>
      <c r="P644" s="88"/>
      <c r="Q644" s="88"/>
    </row>
    <row r="645" spans="1:17" ht="24" customHeight="1">
      <c r="A645" s="78"/>
      <c r="B645" s="79"/>
      <c r="C645" s="261" t="s">
        <v>556</v>
      </c>
      <c r="D645" s="87">
        <v>1</v>
      </c>
      <c r="E645" s="87" t="s">
        <v>1472</v>
      </c>
      <c r="F645" s="87">
        <v>2</v>
      </c>
      <c r="G645" s="88">
        <v>8.1750000000000007</v>
      </c>
      <c r="I645" s="88">
        <v>1.2</v>
      </c>
      <c r="J645" s="88">
        <f t="shared" si="34"/>
        <v>19.62</v>
      </c>
      <c r="K645" s="82"/>
      <c r="L645" s="222"/>
      <c r="M645" s="222"/>
      <c r="N645" s="83"/>
      <c r="O645" s="89"/>
      <c r="P645" s="88"/>
      <c r="Q645" s="88"/>
    </row>
    <row r="646" spans="1:17" ht="24" customHeight="1">
      <c r="A646" s="78"/>
      <c r="B646" s="79"/>
      <c r="C646" s="261" t="s">
        <v>839</v>
      </c>
      <c r="D646" s="87">
        <v>1</v>
      </c>
      <c r="E646" s="87" t="s">
        <v>1472</v>
      </c>
      <c r="F646" s="87">
        <v>1</v>
      </c>
      <c r="G646" s="88">
        <f>(3.6*2+3.3*3+8.175-0.3*2)</f>
        <v>24.674999999999997</v>
      </c>
      <c r="I646" s="88">
        <v>1.2</v>
      </c>
      <c r="J646" s="88">
        <f t="shared" si="34"/>
        <v>29.61</v>
      </c>
      <c r="K646" s="82"/>
      <c r="L646" s="222"/>
      <c r="M646" s="222"/>
      <c r="N646" s="83"/>
      <c r="O646" s="89"/>
      <c r="P646" s="88"/>
      <c r="Q646" s="88"/>
    </row>
    <row r="647" spans="1:17" ht="24" customHeight="1">
      <c r="A647" s="78"/>
      <c r="B647" s="79"/>
      <c r="C647" s="261" t="s">
        <v>844</v>
      </c>
      <c r="D647" s="87">
        <v>1</v>
      </c>
      <c r="E647" s="87" t="s">
        <v>1472</v>
      </c>
      <c r="F647" s="87">
        <v>1</v>
      </c>
      <c r="G647" s="88">
        <f>(3.6*2+3.3*3+8.175)</f>
        <v>25.274999999999999</v>
      </c>
      <c r="I647" s="88">
        <v>1.2</v>
      </c>
      <c r="J647" s="88">
        <f t="shared" si="34"/>
        <v>30.33</v>
      </c>
      <c r="K647" s="82"/>
      <c r="L647" s="222"/>
      <c r="M647" s="222"/>
      <c r="N647" s="83"/>
      <c r="O647" s="89"/>
      <c r="P647" s="88"/>
      <c r="Q647" s="88"/>
    </row>
    <row r="648" spans="1:17" ht="24" customHeight="1">
      <c r="A648" s="78"/>
      <c r="B648" s="79"/>
      <c r="C648" s="261" t="s">
        <v>845</v>
      </c>
      <c r="D648" s="87">
        <v>1</v>
      </c>
      <c r="E648" s="87" t="s">
        <v>1472</v>
      </c>
      <c r="F648" s="87">
        <v>1</v>
      </c>
      <c r="G648" s="88">
        <f>(3.6*2+3.3*3+8.175+0.3)</f>
        <v>25.574999999999999</v>
      </c>
      <c r="I648" s="88">
        <v>1.2</v>
      </c>
      <c r="J648" s="88">
        <f t="shared" si="34"/>
        <v>30.69</v>
      </c>
      <c r="K648" s="82"/>
      <c r="L648" s="222"/>
      <c r="M648" s="222"/>
      <c r="N648" s="83"/>
      <c r="O648" s="89"/>
      <c r="P648" s="88"/>
      <c r="Q648" s="88"/>
    </row>
    <row r="649" spans="1:17" s="3" customFormat="1" ht="24" customHeight="1">
      <c r="A649" s="78"/>
      <c r="B649" s="79"/>
      <c r="C649" s="254" t="s">
        <v>467</v>
      </c>
      <c r="D649" s="87"/>
      <c r="E649" s="87"/>
      <c r="F649" s="87"/>
      <c r="G649" s="88"/>
      <c r="H649" s="88"/>
      <c r="I649" s="88"/>
      <c r="J649" s="88">
        <f>SUM(J642:J648)</f>
        <v>210.76999999999998</v>
      </c>
      <c r="K649" s="82"/>
      <c r="L649" s="222"/>
      <c r="M649" s="222"/>
      <c r="N649" s="83"/>
      <c r="O649" s="89"/>
      <c r="P649" s="88"/>
      <c r="Q649" s="88"/>
    </row>
    <row r="650" spans="1:17" s="378" customFormat="1">
      <c r="A650" s="196"/>
      <c r="B650" s="376" t="s">
        <v>813</v>
      </c>
      <c r="C650" s="2763"/>
      <c r="D650" s="2763"/>
      <c r="E650" s="2763"/>
      <c r="F650" s="2763"/>
      <c r="G650" s="2763"/>
      <c r="H650" s="2763"/>
      <c r="I650" s="2763"/>
      <c r="J650" s="92">
        <f>+CEILING(J649,0.05)</f>
        <v>210.8</v>
      </c>
      <c r="K650" s="338">
        <f>Datas!F704</f>
        <v>4519.3200000000006</v>
      </c>
      <c r="L650" s="222"/>
      <c r="M650" s="375">
        <f>ROUND(K650*J650/10,0)</f>
        <v>95267</v>
      </c>
      <c r="N650" s="403">
        <f>SUM(L650:M650)</f>
        <v>95267</v>
      </c>
      <c r="O650" s="380">
        <f>(0.18+0.04)*40/10</f>
        <v>0.88000000000000012</v>
      </c>
      <c r="P650" s="377">
        <f>ROUND(O650*J650,2)</f>
        <v>185.5</v>
      </c>
      <c r="Q650" s="236"/>
    </row>
    <row r="651" spans="1:17" ht="24" customHeight="1">
      <c r="A651" s="78"/>
      <c r="B651" s="79"/>
      <c r="C651" s="63"/>
      <c r="D651" s="87"/>
      <c r="E651" s="87"/>
      <c r="F651" s="87"/>
      <c r="G651" s="88"/>
      <c r="H651" s="88"/>
      <c r="I651" s="88"/>
      <c r="J651" s="92" t="s">
        <v>1478</v>
      </c>
      <c r="K651" s="95" t="s">
        <v>468</v>
      </c>
      <c r="L651" s="225"/>
      <c r="M651" s="225"/>
      <c r="N651" s="93"/>
      <c r="O651" s="96"/>
      <c r="P651" s="92"/>
      <c r="Q651" s="88"/>
    </row>
    <row r="652" spans="1:17">
      <c r="A652" s="78"/>
      <c r="B652" s="79"/>
      <c r="C652" s="263" t="s">
        <v>840</v>
      </c>
      <c r="D652" s="264"/>
      <c r="E652" s="264"/>
      <c r="F652" s="350"/>
      <c r="G652" s="105"/>
      <c r="H652" s="105"/>
      <c r="I652" s="105"/>
      <c r="J652" s="105"/>
      <c r="K652" s="82"/>
      <c r="L652" s="222"/>
      <c r="M652" s="222"/>
      <c r="N652" s="83"/>
      <c r="O652" s="89"/>
      <c r="P652" s="88"/>
      <c r="Q652" s="88"/>
    </row>
    <row r="653" spans="1:17" ht="24" customHeight="1">
      <c r="A653" s="78"/>
      <c r="B653" s="79"/>
      <c r="C653" s="261" t="s">
        <v>841</v>
      </c>
      <c r="D653" s="87">
        <v>1</v>
      </c>
      <c r="E653" s="87" t="s">
        <v>1472</v>
      </c>
      <c r="F653" s="87">
        <v>1</v>
      </c>
      <c r="G653" s="88">
        <f>(3.3*3+8.175+0.3+3.3*3+0.3+4.375+0.115)</f>
        <v>33.065000000000005</v>
      </c>
      <c r="I653" s="88">
        <v>1.2</v>
      </c>
      <c r="J653" s="88">
        <f t="shared" ref="J653:J658" si="35">ROUND(D653*F653*G653*I653,2)</f>
        <v>39.68</v>
      </c>
      <c r="K653" s="82"/>
      <c r="L653" s="222"/>
      <c r="M653" s="222"/>
      <c r="N653" s="83"/>
      <c r="O653" s="89"/>
      <c r="P653" s="88"/>
      <c r="Q653" s="88"/>
    </row>
    <row r="654" spans="1:17" ht="24" customHeight="1">
      <c r="A654" s="78"/>
      <c r="B654" s="79"/>
      <c r="C654" s="261" t="s">
        <v>842</v>
      </c>
      <c r="D654" s="87">
        <v>1</v>
      </c>
      <c r="E654" s="87" t="s">
        <v>1472</v>
      </c>
      <c r="F654" s="87">
        <v>1</v>
      </c>
      <c r="G654" s="88">
        <f>(3.3*3+8.175+3.3*3+4.375)</f>
        <v>32.349999999999994</v>
      </c>
      <c r="I654" s="88">
        <v>1.2</v>
      </c>
      <c r="J654" s="88">
        <f t="shared" si="35"/>
        <v>38.82</v>
      </c>
      <c r="K654" s="82"/>
      <c r="L654" s="222"/>
      <c r="M654" s="222"/>
      <c r="N654" s="83"/>
      <c r="O654" s="89"/>
      <c r="P654" s="88"/>
      <c r="Q654" s="88"/>
    </row>
    <row r="655" spans="1:17" ht="24" customHeight="1">
      <c r="A655" s="78"/>
      <c r="B655" s="79"/>
      <c r="C655" s="261" t="s">
        <v>843</v>
      </c>
      <c r="D655" s="87">
        <v>1</v>
      </c>
      <c r="E655" s="87" t="s">
        <v>1472</v>
      </c>
      <c r="F655" s="87">
        <v>1</v>
      </c>
      <c r="G655" s="88">
        <f>((3.3*3+8.175+3.3*3+4.375))</f>
        <v>32.349999999999994</v>
      </c>
      <c r="I655" s="88">
        <v>0.23</v>
      </c>
      <c r="J655" s="88">
        <f t="shared" si="35"/>
        <v>7.44</v>
      </c>
      <c r="K655" s="82"/>
      <c r="L655" s="222"/>
      <c r="M655" s="222"/>
      <c r="N655" s="83"/>
      <c r="O655" s="89"/>
      <c r="P655" s="88"/>
      <c r="Q655" s="88"/>
    </row>
    <row r="656" spans="1:17" s="3" customFormat="1" ht="24" customHeight="1">
      <c r="A656" s="78"/>
      <c r="B656" s="79"/>
      <c r="C656" s="261" t="s">
        <v>559</v>
      </c>
      <c r="D656" s="87">
        <v>1</v>
      </c>
      <c r="E656" s="87" t="s">
        <v>1472</v>
      </c>
      <c r="F656" s="87">
        <v>2</v>
      </c>
      <c r="G656" s="88">
        <f>0.15+3+0.23+1.5+0.23</f>
        <v>5.1100000000000003</v>
      </c>
      <c r="H656" s="153"/>
      <c r="I656" s="88">
        <v>3</v>
      </c>
      <c r="J656" s="88">
        <f t="shared" si="35"/>
        <v>30.66</v>
      </c>
      <c r="K656" s="82"/>
      <c r="L656" s="222"/>
      <c r="M656" s="222"/>
      <c r="N656" s="83"/>
      <c r="O656" s="89"/>
      <c r="P656" s="88"/>
      <c r="Q656" s="88"/>
    </row>
    <row r="657" spans="1:17" s="3" customFormat="1" ht="24" customHeight="1">
      <c r="A657" s="78"/>
      <c r="B657" s="79"/>
      <c r="C657" s="261" t="s">
        <v>560</v>
      </c>
      <c r="D657" s="87">
        <v>1</v>
      </c>
      <c r="E657" s="87" t="s">
        <v>1472</v>
      </c>
      <c r="F657" s="87">
        <v>1</v>
      </c>
      <c r="G657" s="88">
        <v>3.46</v>
      </c>
      <c r="H657" s="153"/>
      <c r="I657" s="88">
        <v>3</v>
      </c>
      <c r="J657" s="88">
        <f t="shared" si="35"/>
        <v>10.38</v>
      </c>
      <c r="K657" s="82"/>
      <c r="L657" s="222"/>
      <c r="M657" s="222"/>
      <c r="N657" s="83"/>
      <c r="O657" s="89"/>
      <c r="P657" s="88"/>
      <c r="Q657" s="88"/>
    </row>
    <row r="658" spans="1:17" s="3" customFormat="1" ht="24" customHeight="1">
      <c r="A658" s="78"/>
      <c r="B658" s="79"/>
      <c r="C658" s="261" t="s">
        <v>561</v>
      </c>
      <c r="D658" s="87">
        <v>1</v>
      </c>
      <c r="E658" s="87" t="s">
        <v>1472</v>
      </c>
      <c r="F658" s="87">
        <v>1</v>
      </c>
      <c r="G658" s="88">
        <v>3.46</v>
      </c>
      <c r="H658" s="153"/>
      <c r="I658" s="88">
        <v>2.7</v>
      </c>
      <c r="J658" s="88">
        <f t="shared" si="35"/>
        <v>9.34</v>
      </c>
      <c r="K658" s="82"/>
      <c r="L658" s="222"/>
      <c r="M658" s="222"/>
      <c r="N658" s="83"/>
      <c r="O658" s="89"/>
      <c r="P658" s="88"/>
      <c r="Q658" s="88"/>
    </row>
    <row r="659" spans="1:17" s="3" customFormat="1" ht="24" customHeight="1">
      <c r="A659" s="78"/>
      <c r="B659" s="79"/>
      <c r="C659" s="254" t="s">
        <v>467</v>
      </c>
      <c r="D659" s="87"/>
      <c r="E659" s="87"/>
      <c r="F659" s="87"/>
      <c r="G659" s="88"/>
      <c r="H659" s="88"/>
      <c r="I659" s="88"/>
      <c r="J659" s="88">
        <f>SUM(J653:J658)</f>
        <v>136.32</v>
      </c>
      <c r="K659" s="82"/>
      <c r="L659" s="222"/>
      <c r="M659" s="222"/>
      <c r="N659" s="83"/>
      <c r="O659" s="89"/>
      <c r="P659" s="88"/>
      <c r="Q659" s="88"/>
    </row>
    <row r="660" spans="1:17" s="378" customFormat="1">
      <c r="A660" s="196"/>
      <c r="B660" s="376" t="s">
        <v>814</v>
      </c>
      <c r="C660" s="2763"/>
      <c r="D660" s="2763"/>
      <c r="E660" s="2763"/>
      <c r="F660" s="2763"/>
      <c r="G660" s="2763"/>
      <c r="H660" s="2763"/>
      <c r="I660" s="2763"/>
      <c r="J660" s="92">
        <f>+CEILING(J659,0.05)</f>
        <v>136.35</v>
      </c>
      <c r="K660" s="338">
        <f>Datas!G704</f>
        <v>4602.07</v>
      </c>
      <c r="L660" s="222"/>
      <c r="M660" s="375">
        <f>ROUND(K660*J660/10,0)</f>
        <v>62749</v>
      </c>
      <c r="N660" s="403">
        <f>SUM(L660:M660)</f>
        <v>62749</v>
      </c>
      <c r="O660" s="380">
        <f>(0.18+0.04)*40/10</f>
        <v>0.88000000000000012</v>
      </c>
      <c r="P660" s="377">
        <f>ROUND(O660*J660,2)</f>
        <v>119.99</v>
      </c>
      <c r="Q660" s="236"/>
    </row>
    <row r="661" spans="1:17" ht="24" customHeight="1">
      <c r="A661" s="78"/>
      <c r="B661" s="79"/>
      <c r="C661" s="63"/>
      <c r="D661" s="87"/>
      <c r="E661" s="87"/>
      <c r="F661" s="87"/>
      <c r="G661" s="88"/>
      <c r="H661" s="88"/>
      <c r="I661" s="88"/>
      <c r="J661" s="92" t="s">
        <v>1478</v>
      </c>
      <c r="K661" s="95" t="s">
        <v>468</v>
      </c>
      <c r="L661" s="225"/>
      <c r="M661" s="225"/>
      <c r="N661" s="93"/>
      <c r="O661" s="96"/>
      <c r="P661" s="92"/>
      <c r="Q661" s="88"/>
    </row>
    <row r="662" spans="1:17" ht="215.2" customHeight="1">
      <c r="A662" s="78">
        <v>19</v>
      </c>
      <c r="B662" s="79"/>
      <c r="C662" s="2765" t="s">
        <v>79</v>
      </c>
      <c r="D662" s="2741"/>
      <c r="E662" s="2741"/>
      <c r="F662" s="2741"/>
      <c r="G662" s="2741"/>
      <c r="H662" s="2741"/>
      <c r="I662" s="2741"/>
      <c r="J662" s="2741"/>
      <c r="K662" s="82"/>
      <c r="L662" s="222"/>
      <c r="M662" s="222"/>
      <c r="N662" s="83"/>
      <c r="O662" s="89"/>
      <c r="P662" s="88"/>
      <c r="Q662" s="88"/>
    </row>
    <row r="663" spans="1:17">
      <c r="A663" s="78"/>
      <c r="B663" s="79"/>
      <c r="C663" s="263" t="s">
        <v>846</v>
      </c>
      <c r="D663" s="25"/>
      <c r="E663" s="25"/>
      <c r="F663" s="349"/>
      <c r="G663" s="25"/>
      <c r="H663" s="25"/>
      <c r="I663" s="25"/>
      <c r="J663" s="25"/>
      <c r="K663" s="82"/>
      <c r="L663" s="222"/>
      <c r="M663" s="222"/>
      <c r="N663" s="83"/>
      <c r="O663" s="89"/>
      <c r="P663" s="88"/>
      <c r="Q663" s="88"/>
    </row>
    <row r="664" spans="1:17">
      <c r="A664" s="78"/>
      <c r="B664" s="79"/>
      <c r="C664" s="86" t="s">
        <v>1507</v>
      </c>
      <c r="D664" s="87">
        <v>1</v>
      </c>
      <c r="E664" s="87" t="s">
        <v>1472</v>
      </c>
      <c r="F664" s="87">
        <v>1</v>
      </c>
      <c r="G664" s="88">
        <v>3</v>
      </c>
      <c r="H664" s="88">
        <v>4.6100000000000003</v>
      </c>
      <c r="I664" s="88"/>
      <c r="J664" s="88">
        <f t="shared" ref="J664:J677" si="36">ROUND(D664*F664*G664*H664,2)</f>
        <v>13.83</v>
      </c>
      <c r="K664" s="82"/>
      <c r="L664" s="222"/>
      <c r="M664" s="222"/>
      <c r="N664" s="83"/>
      <c r="O664" s="89"/>
      <c r="P664" s="88"/>
      <c r="Q664" s="88"/>
    </row>
    <row r="665" spans="1:17">
      <c r="A665" s="78"/>
      <c r="B665" s="79"/>
      <c r="C665" s="86" t="s">
        <v>1508</v>
      </c>
      <c r="D665" s="87">
        <v>1</v>
      </c>
      <c r="E665" s="87" t="s">
        <v>1472</v>
      </c>
      <c r="F665" s="87">
        <v>1</v>
      </c>
      <c r="G665" s="88">
        <v>3</v>
      </c>
      <c r="H665" s="88">
        <v>4.6100000000000003</v>
      </c>
      <c r="I665" s="88"/>
      <c r="J665" s="88">
        <f t="shared" si="36"/>
        <v>13.83</v>
      </c>
      <c r="K665" s="82"/>
      <c r="L665" s="222"/>
      <c r="M665" s="222"/>
      <c r="N665" s="83"/>
      <c r="O665" s="89"/>
      <c r="P665" s="88"/>
      <c r="Q665" s="88"/>
    </row>
    <row r="666" spans="1:17">
      <c r="A666" s="78"/>
      <c r="B666" s="79"/>
      <c r="C666" s="86" t="s">
        <v>1509</v>
      </c>
      <c r="D666" s="87">
        <v>1</v>
      </c>
      <c r="E666" s="87" t="s">
        <v>1472</v>
      </c>
      <c r="F666" s="87">
        <v>1</v>
      </c>
      <c r="G666" s="88">
        <v>9.7799999999999994</v>
      </c>
      <c r="H666" s="88">
        <v>7.72</v>
      </c>
      <c r="I666" s="88"/>
      <c r="J666" s="88">
        <f t="shared" si="36"/>
        <v>75.5</v>
      </c>
      <c r="K666" s="82"/>
      <c r="L666" s="222"/>
      <c r="M666" s="222"/>
      <c r="N666" s="83"/>
      <c r="O666" s="89"/>
      <c r="P666" s="88"/>
      <c r="Q666" s="88"/>
    </row>
    <row r="667" spans="1:17">
      <c r="A667" s="78"/>
      <c r="B667" s="79"/>
      <c r="C667" s="86" t="s">
        <v>1510</v>
      </c>
      <c r="D667" s="87">
        <v>1</v>
      </c>
      <c r="E667" s="87" t="s">
        <v>1472</v>
      </c>
      <c r="F667" s="87">
        <v>1</v>
      </c>
      <c r="G667" s="88">
        <v>3.67</v>
      </c>
      <c r="H667" s="88">
        <v>4</v>
      </c>
      <c r="I667" s="88"/>
      <c r="J667" s="88">
        <f t="shared" si="36"/>
        <v>14.68</v>
      </c>
      <c r="K667" s="82"/>
      <c r="L667" s="222"/>
      <c r="M667" s="222"/>
      <c r="N667" s="83"/>
      <c r="O667" s="89"/>
      <c r="P667" s="88"/>
      <c r="Q667" s="88"/>
    </row>
    <row r="668" spans="1:17">
      <c r="A668" s="78"/>
      <c r="B668" s="79"/>
      <c r="C668" s="86" t="s">
        <v>1511</v>
      </c>
      <c r="D668" s="87">
        <v>1</v>
      </c>
      <c r="E668" s="87" t="s">
        <v>1472</v>
      </c>
      <c r="F668" s="87">
        <v>1</v>
      </c>
      <c r="G668" s="88">
        <v>2.4</v>
      </c>
      <c r="H668" s="88">
        <v>3.6</v>
      </c>
      <c r="I668" s="88"/>
      <c r="J668" s="88">
        <f t="shared" si="36"/>
        <v>8.64</v>
      </c>
      <c r="K668" s="82"/>
      <c r="L668" s="222"/>
      <c r="M668" s="222"/>
      <c r="N668" s="83"/>
      <c r="O668" s="89"/>
      <c r="P668" s="88"/>
      <c r="Q668" s="88"/>
    </row>
    <row r="669" spans="1:17">
      <c r="A669" s="78"/>
      <c r="B669" s="79"/>
      <c r="C669" s="86" t="s">
        <v>1512</v>
      </c>
      <c r="D669" s="87">
        <v>1</v>
      </c>
      <c r="E669" s="87" t="s">
        <v>1472</v>
      </c>
      <c r="F669" s="87">
        <v>1</v>
      </c>
      <c r="G669" s="88">
        <v>3.07</v>
      </c>
      <c r="H669" s="88">
        <v>3.8</v>
      </c>
      <c r="I669" s="88"/>
      <c r="J669" s="88">
        <f t="shared" si="36"/>
        <v>11.67</v>
      </c>
      <c r="K669" s="82"/>
      <c r="L669" s="222"/>
      <c r="M669" s="222"/>
      <c r="N669" s="83"/>
      <c r="O669" s="89"/>
      <c r="P669" s="88"/>
      <c r="Q669" s="88"/>
    </row>
    <row r="670" spans="1:17">
      <c r="A670" s="78"/>
      <c r="B670" s="79"/>
      <c r="C670" s="86" t="s">
        <v>1513</v>
      </c>
      <c r="D670" s="87">
        <v>1</v>
      </c>
      <c r="E670" s="87" t="s">
        <v>1472</v>
      </c>
      <c r="F670" s="87">
        <v>1</v>
      </c>
      <c r="G670" s="88">
        <v>3.07</v>
      </c>
      <c r="H670" s="88">
        <v>3</v>
      </c>
      <c r="I670" s="88"/>
      <c r="J670" s="88">
        <f t="shared" si="36"/>
        <v>9.2100000000000009</v>
      </c>
      <c r="K670" s="82"/>
      <c r="L670" s="222"/>
      <c r="M670" s="222"/>
      <c r="N670" s="83"/>
      <c r="O670" s="89"/>
      <c r="P670" s="88"/>
      <c r="Q670" s="88"/>
    </row>
    <row r="671" spans="1:17">
      <c r="A671" s="78"/>
      <c r="B671" s="79"/>
      <c r="C671" s="86" t="s">
        <v>1514</v>
      </c>
      <c r="D671" s="87">
        <v>1</v>
      </c>
      <c r="E671" s="87" t="s">
        <v>1472</v>
      </c>
      <c r="F671" s="87">
        <v>0.5</v>
      </c>
      <c r="G671" s="88">
        <v>1.1599999999999999</v>
      </c>
      <c r="H671" s="88">
        <v>3.6</v>
      </c>
      <c r="I671" s="88"/>
      <c r="J671" s="88">
        <f t="shared" si="36"/>
        <v>2.09</v>
      </c>
      <c r="K671" s="82"/>
      <c r="L671" s="222"/>
      <c r="M671" s="222"/>
      <c r="N671" s="83"/>
      <c r="O671" s="89"/>
      <c r="P671" s="88"/>
      <c r="Q671" s="88"/>
    </row>
    <row r="672" spans="1:17">
      <c r="A672" s="78"/>
      <c r="B672" s="79"/>
      <c r="C672" s="86" t="s">
        <v>1515</v>
      </c>
      <c r="D672" s="87">
        <v>1</v>
      </c>
      <c r="E672" s="87" t="s">
        <v>1472</v>
      </c>
      <c r="F672" s="87">
        <v>1</v>
      </c>
      <c r="G672" s="88">
        <v>3</v>
      </c>
      <c r="H672" s="88">
        <v>1.8</v>
      </c>
      <c r="I672" s="88"/>
      <c r="J672" s="88">
        <f t="shared" si="36"/>
        <v>5.4</v>
      </c>
      <c r="K672" s="82"/>
      <c r="L672" s="222"/>
      <c r="M672" s="222"/>
      <c r="N672" s="83"/>
      <c r="O672" s="89"/>
      <c r="P672" s="88"/>
      <c r="Q672" s="88"/>
    </row>
    <row r="673" spans="1:18">
      <c r="A673" s="265"/>
      <c r="B673" s="79"/>
      <c r="C673" s="86" t="s">
        <v>1516</v>
      </c>
      <c r="D673" s="87">
        <v>1</v>
      </c>
      <c r="E673" s="87" t="s">
        <v>1472</v>
      </c>
      <c r="F673" s="87">
        <v>1</v>
      </c>
      <c r="G673" s="88">
        <v>1.8</v>
      </c>
      <c r="H673" s="88">
        <v>1</v>
      </c>
      <c r="I673" s="88"/>
      <c r="J673" s="88">
        <f t="shared" si="36"/>
        <v>1.8</v>
      </c>
      <c r="K673" s="82"/>
      <c r="L673" s="222"/>
      <c r="M673" s="222"/>
      <c r="N673" s="83"/>
      <c r="O673" s="89"/>
      <c r="P673" s="88"/>
      <c r="Q673" s="88"/>
    </row>
    <row r="674" spans="1:18" ht="21.75" customHeight="1">
      <c r="A674" s="78"/>
      <c r="B674" s="79"/>
      <c r="C674" s="266" t="s">
        <v>562</v>
      </c>
      <c r="D674" s="87">
        <v>1</v>
      </c>
      <c r="E674" s="87" t="s">
        <v>1472</v>
      </c>
      <c r="F674" s="87">
        <f>1+1</f>
        <v>2</v>
      </c>
      <c r="G674" s="88">
        <v>1.2</v>
      </c>
      <c r="H674" s="88">
        <v>0.23</v>
      </c>
      <c r="I674" s="88"/>
      <c r="J674" s="88">
        <f t="shared" si="36"/>
        <v>0.55000000000000004</v>
      </c>
      <c r="K674" s="82"/>
      <c r="L674" s="222"/>
      <c r="M674" s="222"/>
      <c r="N674" s="83"/>
      <c r="O674" s="89"/>
      <c r="P674" s="88"/>
      <c r="Q674" s="88"/>
    </row>
    <row r="675" spans="1:18" ht="21.75" customHeight="1">
      <c r="A675" s="78"/>
      <c r="B675" s="79"/>
      <c r="C675" s="266" t="s">
        <v>563</v>
      </c>
      <c r="D675" s="87">
        <v>1</v>
      </c>
      <c r="E675" s="87" t="s">
        <v>1472</v>
      </c>
      <c r="F675" s="87">
        <v>1</v>
      </c>
      <c r="G675" s="88">
        <v>1.2</v>
      </c>
      <c r="H675" s="248">
        <v>0.115</v>
      </c>
      <c r="I675" s="88"/>
      <c r="J675" s="88">
        <f t="shared" si="36"/>
        <v>0.14000000000000001</v>
      </c>
      <c r="K675" s="82"/>
      <c r="L675" s="222"/>
      <c r="M675" s="222"/>
      <c r="N675" s="83"/>
      <c r="O675" s="89"/>
      <c r="P675" s="88"/>
      <c r="Q675" s="88"/>
    </row>
    <row r="676" spans="1:18" ht="21.75" customHeight="1">
      <c r="A676" s="78"/>
      <c r="B676" s="79"/>
      <c r="C676" s="266" t="s">
        <v>564</v>
      </c>
      <c r="D676" s="87">
        <v>1</v>
      </c>
      <c r="E676" s="87" t="s">
        <v>1472</v>
      </c>
      <c r="F676" s="87">
        <v>5</v>
      </c>
      <c r="G676" s="88">
        <v>0.9</v>
      </c>
      <c r="H676" s="248">
        <v>0.115</v>
      </c>
      <c r="I676" s="88"/>
      <c r="J676" s="88">
        <f t="shared" si="36"/>
        <v>0.52</v>
      </c>
      <c r="K676" s="82"/>
      <c r="L676" s="222"/>
      <c r="M676" s="222"/>
      <c r="N676" s="83"/>
      <c r="O676" s="89"/>
      <c r="P676" s="88"/>
      <c r="Q676" s="88"/>
    </row>
    <row r="677" spans="1:18" ht="21.75" customHeight="1">
      <c r="A677" s="78"/>
      <c r="B677" s="79"/>
      <c r="C677" s="266" t="s">
        <v>565</v>
      </c>
      <c r="D677" s="87">
        <v>1</v>
      </c>
      <c r="E677" s="87" t="s">
        <v>1472</v>
      </c>
      <c r="F677" s="87">
        <v>2</v>
      </c>
      <c r="G677" s="88">
        <v>0.75</v>
      </c>
      <c r="H677" s="248">
        <v>0.115</v>
      </c>
      <c r="I677" s="88"/>
      <c r="J677" s="88">
        <f t="shared" si="36"/>
        <v>0.17</v>
      </c>
      <c r="K677" s="82"/>
      <c r="L677" s="222"/>
      <c r="M677" s="222"/>
      <c r="N677" s="83"/>
      <c r="O677" s="89"/>
      <c r="P677" s="88"/>
      <c r="Q677" s="88"/>
    </row>
    <row r="678" spans="1:18" s="378" customFormat="1">
      <c r="A678" s="78"/>
      <c r="B678" s="376" t="s">
        <v>267</v>
      </c>
      <c r="C678" s="3"/>
      <c r="D678" s="87"/>
      <c r="E678" s="87"/>
      <c r="F678" s="87"/>
      <c r="G678" s="88"/>
      <c r="H678" s="88"/>
      <c r="I678" s="88"/>
      <c r="J678" s="92">
        <f>SUM(J664:J677)</f>
        <v>158.03000000000003</v>
      </c>
      <c r="K678" s="338">
        <f>Datas!G743</f>
        <v>7593.7699999999995</v>
      </c>
      <c r="L678" s="222"/>
      <c r="M678" s="375">
        <f>ROUND(K678*J678/10,0)</f>
        <v>120004</v>
      </c>
      <c r="N678" s="403">
        <f>SUM(L678:M678)</f>
        <v>120004</v>
      </c>
      <c r="O678" s="380">
        <f>(11*7+0.12*40)/10</f>
        <v>8.18</v>
      </c>
      <c r="P678" s="377">
        <f>ROUND(O678*J678,2)</f>
        <v>1292.69</v>
      </c>
      <c r="Q678" s="259"/>
    </row>
    <row r="679" spans="1:18" s="3" customFormat="1" ht="24" customHeight="1">
      <c r="A679" s="78"/>
      <c r="B679" s="79"/>
      <c r="C679" s="255" t="s">
        <v>1439</v>
      </c>
      <c r="D679" s="87"/>
      <c r="E679" s="87"/>
      <c r="F679" s="87"/>
      <c r="G679" s="88"/>
      <c r="H679" s="88"/>
      <c r="I679" s="88"/>
      <c r="J679" s="92"/>
      <c r="K679" s="82"/>
      <c r="L679" s="222"/>
      <c r="M679" s="222"/>
      <c r="N679" s="83"/>
      <c r="O679" s="89"/>
      <c r="P679" s="88"/>
      <c r="Q679" s="88"/>
    </row>
    <row r="680" spans="1:18" s="3" customFormat="1" ht="21.75" customHeight="1">
      <c r="A680" s="78"/>
      <c r="B680" s="79"/>
      <c r="C680" s="91" t="s">
        <v>1500</v>
      </c>
      <c r="D680" s="87">
        <v>1</v>
      </c>
      <c r="E680" s="87" t="s">
        <v>1472</v>
      </c>
      <c r="F680" s="87">
        <v>1</v>
      </c>
      <c r="G680" s="88">
        <v>3.18</v>
      </c>
      <c r="H680" s="88">
        <v>3</v>
      </c>
      <c r="I680" s="88"/>
      <c r="J680" s="88">
        <f>ROUND(D680*F680*G680*H680,2)</f>
        <v>9.5399999999999991</v>
      </c>
      <c r="K680" s="82"/>
      <c r="L680" s="222"/>
      <c r="M680" s="222"/>
      <c r="N680" s="83"/>
      <c r="O680" s="89"/>
      <c r="P680" s="88"/>
      <c r="Q680" s="88"/>
    </row>
    <row r="681" spans="1:18" s="3" customFormat="1" ht="21.75" customHeight="1">
      <c r="A681" s="78"/>
      <c r="B681" s="79"/>
      <c r="C681" s="91" t="s">
        <v>1501</v>
      </c>
      <c r="D681" s="87">
        <v>1</v>
      </c>
      <c r="E681" s="87" t="s">
        <v>1472</v>
      </c>
      <c r="F681" s="87">
        <v>1</v>
      </c>
      <c r="G681" s="88">
        <v>6.6</v>
      </c>
      <c r="H681" s="88">
        <v>3</v>
      </c>
      <c r="I681" s="88"/>
      <c r="J681" s="88">
        <f t="shared" ref="J681:J688" si="37">ROUND(D681*F681*G681*H681,2)</f>
        <v>19.8</v>
      </c>
      <c r="K681" s="82"/>
      <c r="L681" s="222"/>
      <c r="M681" s="222"/>
      <c r="N681" s="83"/>
      <c r="O681" s="89"/>
      <c r="P681" s="88"/>
      <c r="Q681" s="88"/>
    </row>
    <row r="682" spans="1:18" s="3" customFormat="1" ht="21.75" customHeight="1">
      <c r="A682" s="78"/>
      <c r="B682" s="79"/>
      <c r="C682" s="91" t="s">
        <v>1502</v>
      </c>
      <c r="D682" s="87">
        <v>1</v>
      </c>
      <c r="E682" s="87" t="s">
        <v>1472</v>
      </c>
      <c r="F682" s="87">
        <v>1</v>
      </c>
      <c r="G682" s="88">
        <f>3.3*4-0.23</f>
        <v>12.969999999999999</v>
      </c>
      <c r="H682" s="88">
        <v>1.5</v>
      </c>
      <c r="I682" s="88"/>
      <c r="J682" s="88">
        <f t="shared" si="37"/>
        <v>19.46</v>
      </c>
      <c r="K682" s="82"/>
      <c r="L682" s="222"/>
      <c r="M682" s="222"/>
      <c r="N682" s="83"/>
      <c r="O682" s="89"/>
      <c r="P682" s="88"/>
      <c r="Q682" s="88"/>
    </row>
    <row r="683" spans="1:18" s="3" customFormat="1" ht="21.75" customHeight="1">
      <c r="A683" s="78"/>
      <c r="B683" s="79"/>
      <c r="C683" s="91" t="s">
        <v>1503</v>
      </c>
      <c r="D683" s="87">
        <v>1</v>
      </c>
      <c r="E683" s="87" t="s">
        <v>1472</v>
      </c>
      <c r="F683" s="87">
        <v>1</v>
      </c>
      <c r="G683" s="88">
        <v>1.39</v>
      </c>
      <c r="H683" s="88">
        <v>3</v>
      </c>
      <c r="I683" s="88"/>
      <c r="J683" s="88">
        <f t="shared" si="37"/>
        <v>4.17</v>
      </c>
      <c r="K683" s="82"/>
      <c r="L683" s="222"/>
      <c r="M683" s="222"/>
      <c r="N683" s="83"/>
      <c r="O683" s="89"/>
      <c r="P683" s="88"/>
      <c r="Q683" s="88"/>
    </row>
    <row r="684" spans="1:18" s="3" customFormat="1" ht="21.75" customHeight="1">
      <c r="A684" s="78"/>
      <c r="B684" s="79"/>
      <c r="C684" s="91" t="s">
        <v>1504</v>
      </c>
      <c r="D684" s="87">
        <v>1</v>
      </c>
      <c r="E684" s="87" t="s">
        <v>1472</v>
      </c>
      <c r="F684" s="87">
        <v>1</v>
      </c>
      <c r="G684" s="88">
        <v>2.06</v>
      </c>
      <c r="H684" s="88">
        <v>3</v>
      </c>
      <c r="I684" s="88"/>
      <c r="J684" s="88">
        <f t="shared" si="37"/>
        <v>6.18</v>
      </c>
      <c r="K684" s="82"/>
      <c r="L684" s="222"/>
      <c r="M684" s="222"/>
      <c r="N684" s="83"/>
      <c r="O684" s="89"/>
      <c r="P684" s="88"/>
      <c r="Q684" s="88"/>
      <c r="R684" s="88"/>
    </row>
    <row r="685" spans="1:18" s="3" customFormat="1" ht="21.75" customHeight="1">
      <c r="A685" s="78"/>
      <c r="B685" s="79"/>
      <c r="C685" s="91" t="s">
        <v>1505</v>
      </c>
      <c r="D685" s="87">
        <v>1</v>
      </c>
      <c r="E685" s="87" t="s">
        <v>1472</v>
      </c>
      <c r="F685" s="87">
        <v>1</v>
      </c>
      <c r="G685" s="88">
        <v>3.18</v>
      </c>
      <c r="H685" s="88">
        <v>3</v>
      </c>
      <c r="I685" s="88"/>
      <c r="J685" s="88">
        <f t="shared" si="37"/>
        <v>9.5399999999999991</v>
      </c>
      <c r="K685" s="82"/>
      <c r="L685" s="222"/>
      <c r="M685" s="222"/>
      <c r="N685" s="83"/>
      <c r="O685" s="89"/>
      <c r="P685" s="88"/>
      <c r="Q685" s="88"/>
    </row>
    <row r="686" spans="1:18" s="3" customFormat="1">
      <c r="A686" s="78"/>
      <c r="B686" s="79"/>
      <c r="C686" s="86" t="s">
        <v>1506</v>
      </c>
      <c r="D686" s="87">
        <v>1</v>
      </c>
      <c r="E686" s="87" t="s">
        <v>1472</v>
      </c>
      <c r="F686" s="87">
        <v>1</v>
      </c>
      <c r="G686" s="88">
        <v>3.07</v>
      </c>
      <c r="H686" s="88">
        <v>3</v>
      </c>
      <c r="I686" s="88"/>
      <c r="J686" s="88">
        <f t="shared" si="37"/>
        <v>9.2100000000000009</v>
      </c>
      <c r="K686" s="82"/>
      <c r="L686" s="222"/>
      <c r="M686" s="222"/>
      <c r="N686" s="83"/>
      <c r="O686" s="89"/>
      <c r="P686" s="88"/>
      <c r="Q686" s="88"/>
    </row>
    <row r="687" spans="1:18" s="3" customFormat="1" ht="21.75" customHeight="1">
      <c r="A687" s="78"/>
      <c r="B687" s="79"/>
      <c r="C687" s="266" t="s">
        <v>564</v>
      </c>
      <c r="D687" s="87">
        <v>1</v>
      </c>
      <c r="E687" s="87" t="s">
        <v>1472</v>
      </c>
      <c r="F687" s="87">
        <v>6</v>
      </c>
      <c r="G687" s="88">
        <v>0.9</v>
      </c>
      <c r="H687" s="248">
        <v>0.115</v>
      </c>
      <c r="I687" s="88"/>
      <c r="J687" s="88">
        <f t="shared" si="37"/>
        <v>0.62</v>
      </c>
      <c r="K687" s="82"/>
      <c r="L687" s="222"/>
      <c r="M687" s="222"/>
      <c r="N687" s="83"/>
      <c r="O687" s="89"/>
      <c r="P687" s="88"/>
      <c r="Q687" s="88"/>
    </row>
    <row r="688" spans="1:18" s="3" customFormat="1" ht="21.75" customHeight="1">
      <c r="A688" s="78"/>
      <c r="B688" s="79"/>
      <c r="C688" s="266" t="s">
        <v>565</v>
      </c>
      <c r="D688" s="87">
        <v>1</v>
      </c>
      <c r="E688" s="87" t="s">
        <v>1472</v>
      </c>
      <c r="F688" s="87">
        <v>3</v>
      </c>
      <c r="G688" s="88">
        <v>0.75</v>
      </c>
      <c r="H688" s="248">
        <v>0.115</v>
      </c>
      <c r="I688" s="88"/>
      <c r="J688" s="88">
        <f t="shared" si="37"/>
        <v>0.26</v>
      </c>
      <c r="K688" s="82"/>
      <c r="L688" s="222"/>
      <c r="M688" s="222"/>
      <c r="N688" s="83"/>
      <c r="O688" s="89"/>
      <c r="P688" s="88"/>
      <c r="Q688" s="88"/>
    </row>
    <row r="689" spans="1:17" ht="24" customHeight="1">
      <c r="A689" s="78"/>
      <c r="B689" s="79"/>
      <c r="C689" s="63"/>
      <c r="D689" s="87"/>
      <c r="E689" s="87"/>
      <c r="F689" s="87"/>
      <c r="G689" s="88"/>
      <c r="H689" s="88"/>
      <c r="I689" s="88"/>
      <c r="J689" s="88">
        <f>SUM(J680:J688)</f>
        <v>78.780000000000015</v>
      </c>
      <c r="K689" s="82"/>
      <c r="L689" s="222"/>
      <c r="M689" s="222"/>
      <c r="N689" s="83"/>
      <c r="O689" s="89"/>
      <c r="P689" s="88"/>
      <c r="Q689" s="88"/>
    </row>
    <row r="690" spans="1:17" ht="24" customHeight="1">
      <c r="A690" s="78"/>
      <c r="B690" s="79"/>
      <c r="C690" s="63"/>
      <c r="D690" s="87"/>
      <c r="E690" s="87"/>
      <c r="F690" s="87"/>
      <c r="G690" s="88"/>
      <c r="H690" s="88"/>
      <c r="I690" s="88" t="s">
        <v>982</v>
      </c>
      <c r="J690" s="92">
        <f>SUM(J689+J678)</f>
        <v>236.81000000000006</v>
      </c>
      <c r="K690" s="82"/>
      <c r="L690" s="222"/>
      <c r="M690" s="222"/>
      <c r="N690" s="83"/>
      <c r="O690" s="89"/>
      <c r="P690" s="88"/>
      <c r="Q690" s="92"/>
    </row>
    <row r="691" spans="1:17" ht="24" customHeight="1">
      <c r="A691" s="78"/>
      <c r="B691" s="79"/>
      <c r="C691" s="63"/>
      <c r="D691" s="87"/>
      <c r="E691" s="87"/>
      <c r="F691" s="87"/>
      <c r="G691" s="88"/>
      <c r="H691" s="88"/>
      <c r="I691" s="88"/>
      <c r="J691" s="92" t="s">
        <v>1478</v>
      </c>
      <c r="K691" s="82"/>
      <c r="L691" s="222"/>
      <c r="M691" s="222"/>
      <c r="N691" s="83"/>
      <c r="O691" s="89"/>
      <c r="P691" s="88"/>
      <c r="Q691" s="88"/>
    </row>
    <row r="692" spans="1:17" s="378" customFormat="1">
      <c r="A692" s="196"/>
      <c r="B692" s="376" t="s">
        <v>268</v>
      </c>
      <c r="C692" s="2763"/>
      <c r="D692" s="2763"/>
      <c r="E692" s="2763"/>
      <c r="F692" s="2763"/>
      <c r="G692" s="2763"/>
      <c r="H692" s="2763"/>
      <c r="I692" s="2763"/>
      <c r="J692" s="92">
        <f>J690</f>
        <v>236.81000000000006</v>
      </c>
      <c r="K692" s="338">
        <f>Datas!G743</f>
        <v>7593.7699999999995</v>
      </c>
      <c r="L692" s="222"/>
      <c r="M692" s="375">
        <f>ROUND(K692*J692/10,0)</f>
        <v>179828</v>
      </c>
      <c r="N692" s="403">
        <f>SUM(L692:M692)</f>
        <v>179828</v>
      </c>
      <c r="O692" s="380">
        <f>(11*7+0.12*40)/10</f>
        <v>8.18</v>
      </c>
      <c r="P692" s="377">
        <f>ROUND(O692*J692,2)</f>
        <v>1937.11</v>
      </c>
      <c r="Q692" s="236"/>
    </row>
    <row r="693" spans="1:17" ht="24" customHeight="1">
      <c r="A693" s="141"/>
      <c r="B693" s="196"/>
      <c r="C693" s="63"/>
      <c r="D693" s="87"/>
      <c r="E693" s="87"/>
      <c r="F693" s="87"/>
      <c r="G693" s="88"/>
      <c r="H693" s="88"/>
      <c r="I693" s="88"/>
      <c r="J693" s="92" t="s">
        <v>1478</v>
      </c>
      <c r="K693" s="82" t="s">
        <v>672</v>
      </c>
      <c r="L693" s="222"/>
      <c r="M693" s="222"/>
      <c r="N693" s="83"/>
      <c r="O693" s="89"/>
      <c r="P693" s="88"/>
      <c r="Q693" s="88"/>
    </row>
    <row r="694" spans="1:17" ht="203.25" customHeight="1">
      <c r="A694" s="78">
        <v>20</v>
      </c>
      <c r="B694" s="79"/>
      <c r="C694" s="2740" t="s">
        <v>866</v>
      </c>
      <c r="D694" s="2741"/>
      <c r="E694" s="2741"/>
      <c r="F694" s="2741"/>
      <c r="G694" s="2741"/>
      <c r="H694" s="2741"/>
      <c r="I694" s="2741"/>
      <c r="J694" s="2741"/>
      <c r="K694" s="82"/>
      <c r="L694" s="222"/>
      <c r="M694" s="222"/>
      <c r="N694" s="83"/>
      <c r="O694" s="89"/>
      <c r="P694" s="88"/>
      <c r="Q694" s="88"/>
    </row>
    <row r="695" spans="1:17">
      <c r="A695" s="78"/>
      <c r="B695" s="79"/>
      <c r="C695" s="263" t="s">
        <v>846</v>
      </c>
      <c r="D695" s="25"/>
      <c r="E695" s="25"/>
      <c r="F695" s="349"/>
      <c r="G695" s="25"/>
      <c r="H695" s="3"/>
      <c r="I695" s="25"/>
      <c r="J695" s="25"/>
      <c r="K695" s="82"/>
      <c r="L695" s="222"/>
      <c r="M695" s="222"/>
      <c r="N695" s="83"/>
      <c r="O695" s="89"/>
      <c r="P695" s="88"/>
      <c r="Q695" s="88"/>
    </row>
    <row r="696" spans="1:17" ht="18">
      <c r="A696" s="78"/>
      <c r="B696" s="79"/>
      <c r="C696" s="267" t="s">
        <v>110</v>
      </c>
      <c r="D696" s="87">
        <v>1</v>
      </c>
      <c r="E696" s="87" t="s">
        <v>1472</v>
      </c>
      <c r="F696" s="87">
        <v>1</v>
      </c>
      <c r="G696" s="88">
        <f>(3.15+3.15+1.5*2+3)</f>
        <v>12.3</v>
      </c>
      <c r="H696" s="88"/>
      <c r="I696" s="88">
        <v>0.1</v>
      </c>
      <c r="J696" s="88">
        <f t="shared" ref="J696:J707" si="38">ROUND(D696*F696*G696*I696,2)</f>
        <v>1.23</v>
      </c>
      <c r="K696" s="82"/>
      <c r="L696" s="222"/>
      <c r="M696" s="222"/>
      <c r="N696" s="83"/>
      <c r="O696" s="89"/>
      <c r="P696" s="88"/>
      <c r="Q696" s="88"/>
    </row>
    <row r="697" spans="1:17" ht="18">
      <c r="A697" s="78"/>
      <c r="B697" s="79"/>
      <c r="C697" s="267" t="s">
        <v>111</v>
      </c>
      <c r="D697" s="87">
        <v>1</v>
      </c>
      <c r="E697" s="87" t="s">
        <v>1472</v>
      </c>
      <c r="F697" s="87">
        <v>1</v>
      </c>
      <c r="G697" s="88">
        <f>(3.15*2+0.23+1.5*2+3)</f>
        <v>12.530000000000001</v>
      </c>
      <c r="H697" s="88"/>
      <c r="I697" s="88">
        <v>0.1</v>
      </c>
      <c r="J697" s="88">
        <f t="shared" si="38"/>
        <v>1.25</v>
      </c>
      <c r="K697" s="82"/>
      <c r="L697" s="222"/>
      <c r="M697" s="222"/>
      <c r="N697" s="83"/>
      <c r="O697" s="89"/>
      <c r="P697" s="88"/>
      <c r="Q697" s="88"/>
    </row>
    <row r="698" spans="1:17" ht="27">
      <c r="A698" s="78"/>
      <c r="B698" s="79"/>
      <c r="C698" s="267" t="s">
        <v>112</v>
      </c>
      <c r="D698" s="87">
        <v>1</v>
      </c>
      <c r="E698" s="87" t="s">
        <v>1472</v>
      </c>
      <c r="F698" s="87">
        <v>1</v>
      </c>
      <c r="G698" s="88">
        <f>(9.78*2+7.72*2+4*(0.22+0.22+0.3))</f>
        <v>37.96</v>
      </c>
      <c r="H698" s="88"/>
      <c r="I698" s="88">
        <v>0.1</v>
      </c>
      <c r="J698" s="88">
        <f t="shared" si="38"/>
        <v>3.8</v>
      </c>
      <c r="K698" s="82"/>
      <c r="L698" s="222"/>
      <c r="M698" s="222"/>
      <c r="N698" s="83"/>
      <c r="O698" s="89"/>
      <c r="P698" s="88"/>
      <c r="Q698" s="88"/>
    </row>
    <row r="699" spans="1:17" ht="18">
      <c r="A699" s="78"/>
      <c r="B699" s="79"/>
      <c r="C699" s="267" t="s">
        <v>113</v>
      </c>
      <c r="D699" s="87">
        <v>1</v>
      </c>
      <c r="E699" s="87" t="s">
        <v>1472</v>
      </c>
      <c r="F699" s="87">
        <v>1</v>
      </c>
      <c r="G699" s="88">
        <f>(2*3.67+2*4)</f>
        <v>15.34</v>
      </c>
      <c r="H699" s="88"/>
      <c r="I699" s="88">
        <v>0.1</v>
      </c>
      <c r="J699" s="88">
        <f t="shared" si="38"/>
        <v>1.53</v>
      </c>
      <c r="K699" s="82"/>
      <c r="L699" s="222"/>
      <c r="M699" s="222"/>
      <c r="N699" s="83"/>
      <c r="O699" s="89"/>
      <c r="P699" s="88"/>
      <c r="Q699" s="88"/>
    </row>
    <row r="700" spans="1:17" ht="18">
      <c r="A700" s="78"/>
      <c r="B700" s="79"/>
      <c r="C700" s="267" t="s">
        <v>831</v>
      </c>
      <c r="D700" s="87">
        <v>1</v>
      </c>
      <c r="E700" s="87" t="s">
        <v>1472</v>
      </c>
      <c r="F700" s="87">
        <v>1</v>
      </c>
      <c r="G700" s="88">
        <f>(2.4*2+3.6*2)</f>
        <v>12</v>
      </c>
      <c r="H700" s="88"/>
      <c r="I700" s="88">
        <v>0.1</v>
      </c>
      <c r="J700" s="88">
        <f t="shared" si="38"/>
        <v>1.2</v>
      </c>
      <c r="K700" s="82"/>
      <c r="L700" s="222"/>
      <c r="M700" s="222"/>
      <c r="N700" s="83"/>
      <c r="O700" s="89"/>
      <c r="P700" s="88"/>
      <c r="Q700" s="88"/>
    </row>
    <row r="701" spans="1:17" ht="18">
      <c r="A701" s="78"/>
      <c r="B701" s="79"/>
      <c r="C701" s="267" t="s">
        <v>1014</v>
      </c>
      <c r="D701" s="87">
        <v>1</v>
      </c>
      <c r="E701" s="87" t="s">
        <v>1472</v>
      </c>
      <c r="F701" s="87">
        <v>1</v>
      </c>
      <c r="G701" s="88">
        <f>(3.07*2+3.8*2)</f>
        <v>13.739999999999998</v>
      </c>
      <c r="H701" s="88"/>
      <c r="I701" s="88">
        <v>0.1</v>
      </c>
      <c r="J701" s="88">
        <f t="shared" si="38"/>
        <v>1.37</v>
      </c>
      <c r="K701" s="82"/>
      <c r="L701" s="222"/>
      <c r="M701" s="222"/>
      <c r="N701" s="83"/>
      <c r="O701" s="89"/>
      <c r="P701" s="88"/>
      <c r="Q701" s="88"/>
    </row>
    <row r="702" spans="1:17" ht="18">
      <c r="A702" s="78"/>
      <c r="B702" s="79"/>
      <c r="C702" s="267" t="s">
        <v>1491</v>
      </c>
      <c r="D702" s="87">
        <v>1</v>
      </c>
      <c r="E702" s="87" t="s">
        <v>1472</v>
      </c>
      <c r="F702" s="87">
        <v>1</v>
      </c>
      <c r="G702" s="88">
        <f>(2*3.07+2*3.8)</f>
        <v>13.739999999999998</v>
      </c>
      <c r="H702" s="88"/>
      <c r="I702" s="88">
        <v>0.1</v>
      </c>
      <c r="J702" s="88">
        <f>ROUND(D702*F702*G702*I702,2)</f>
        <v>1.37</v>
      </c>
      <c r="K702" s="82"/>
      <c r="L702" s="222"/>
      <c r="M702" s="222"/>
      <c r="N702" s="83"/>
      <c r="O702" s="89"/>
      <c r="P702" s="88"/>
      <c r="Q702" s="88"/>
    </row>
    <row r="703" spans="1:17">
      <c r="A703" s="78"/>
      <c r="B703" s="79"/>
      <c r="C703" s="267" t="s">
        <v>1036</v>
      </c>
      <c r="D703" s="87"/>
      <c r="E703" s="87"/>
      <c r="F703" s="87"/>
      <c r="G703" s="88"/>
      <c r="H703" s="88"/>
      <c r="I703" s="88"/>
      <c r="J703" s="88"/>
      <c r="K703" s="82"/>
      <c r="L703" s="222"/>
      <c r="M703" s="222"/>
      <c r="N703" s="83"/>
      <c r="O703" s="89"/>
      <c r="P703" s="88"/>
      <c r="Q703" s="88"/>
    </row>
    <row r="704" spans="1:17">
      <c r="A704" s="78"/>
      <c r="B704" s="79"/>
      <c r="C704" s="267" t="s">
        <v>116</v>
      </c>
      <c r="D704" s="87">
        <v>1</v>
      </c>
      <c r="E704" s="87" t="s">
        <v>1472</v>
      </c>
      <c r="F704" s="87">
        <v>1</v>
      </c>
      <c r="G704" s="88">
        <f>(2*3.07+2*3.8)</f>
        <v>13.739999999999998</v>
      </c>
      <c r="H704" s="88"/>
      <c r="I704" s="88">
        <v>0.1</v>
      </c>
      <c r="J704" s="88">
        <f>ROUND(D704*F704*G704*I704,2)</f>
        <v>1.37</v>
      </c>
      <c r="K704" s="82"/>
      <c r="L704" s="222"/>
      <c r="M704" s="222"/>
      <c r="N704" s="83"/>
      <c r="O704" s="89"/>
      <c r="P704" s="88"/>
      <c r="Q704" s="88"/>
    </row>
    <row r="705" spans="1:17">
      <c r="A705" s="78"/>
      <c r="B705" s="79"/>
      <c r="C705" s="267" t="s">
        <v>116</v>
      </c>
      <c r="D705" s="87">
        <v>1</v>
      </c>
      <c r="E705" s="87" t="s">
        <v>1472</v>
      </c>
      <c r="F705" s="87">
        <v>1</v>
      </c>
      <c r="G705" s="88">
        <f>(2*3.07+2*3.8)</f>
        <v>13.739999999999998</v>
      </c>
      <c r="H705" s="88"/>
      <c r="I705" s="88">
        <v>0.1</v>
      </c>
      <c r="J705" s="88">
        <f>ROUND(D705*F705*G705*I705,2)</f>
        <v>1.37</v>
      </c>
      <c r="K705" s="82"/>
      <c r="L705" s="222"/>
      <c r="M705" s="222"/>
      <c r="N705" s="83"/>
      <c r="O705" s="89"/>
      <c r="P705" s="88"/>
      <c r="Q705" s="88"/>
    </row>
    <row r="706" spans="1:17">
      <c r="A706" s="78"/>
      <c r="B706" s="79"/>
      <c r="C706" s="267" t="s">
        <v>116</v>
      </c>
      <c r="D706" s="87">
        <v>1</v>
      </c>
      <c r="E706" s="87" t="s">
        <v>1472</v>
      </c>
      <c r="F706" s="87">
        <v>1</v>
      </c>
      <c r="G706" s="88">
        <f>(2*3.07+2*3.8)</f>
        <v>13.739999999999998</v>
      </c>
      <c r="H706" s="88"/>
      <c r="I706" s="88">
        <v>0.1</v>
      </c>
      <c r="J706" s="88">
        <f>ROUND(D706*F706*G706*I706,2)</f>
        <v>1.37</v>
      </c>
      <c r="K706" s="82"/>
      <c r="L706" s="222"/>
      <c r="M706" s="222"/>
      <c r="N706" s="83"/>
      <c r="O706" s="89"/>
      <c r="P706" s="88"/>
      <c r="Q706" s="88"/>
    </row>
    <row r="707" spans="1:17">
      <c r="A707" s="78"/>
      <c r="B707" s="79"/>
      <c r="C707" s="267" t="s">
        <v>116</v>
      </c>
      <c r="D707" s="87">
        <v>1</v>
      </c>
      <c r="E707" s="87" t="s">
        <v>1472</v>
      </c>
      <c r="F707" s="87">
        <v>1</v>
      </c>
      <c r="G707" s="88">
        <f>(2*3.07+2*3.8)</f>
        <v>13.739999999999998</v>
      </c>
      <c r="H707" s="88"/>
      <c r="I707" s="88">
        <v>0.1</v>
      </c>
      <c r="J707" s="88">
        <f t="shared" si="38"/>
        <v>1.37</v>
      </c>
      <c r="K707" s="82"/>
      <c r="L707" s="222"/>
      <c r="M707" s="222"/>
      <c r="N707" s="83"/>
      <c r="O707" s="89"/>
      <c r="P707" s="88"/>
      <c r="Q707" s="88"/>
    </row>
    <row r="708" spans="1:17" s="378" customFormat="1">
      <c r="A708" s="78"/>
      <c r="B708" s="376" t="s">
        <v>575</v>
      </c>
      <c r="C708" s="63"/>
      <c r="D708" s="87"/>
      <c r="E708" s="87"/>
      <c r="F708" s="87"/>
      <c r="G708" s="88"/>
      <c r="H708" s="88"/>
      <c r="I708" s="88" t="s">
        <v>982</v>
      </c>
      <c r="J708" s="92">
        <f>SUM(J696:J707)</f>
        <v>17.230000000000004</v>
      </c>
      <c r="K708" s="338">
        <f>Datas!G844</f>
        <v>8348.74</v>
      </c>
      <c r="L708" s="222"/>
      <c r="M708" s="375">
        <f>ROUND(K708*J708/10,0)</f>
        <v>14385</v>
      </c>
      <c r="N708" s="403">
        <f>SUM(L708:M708)</f>
        <v>14385</v>
      </c>
      <c r="O708" s="380"/>
      <c r="P708" s="259"/>
      <c r="Q708" s="236"/>
    </row>
    <row r="709" spans="1:17">
      <c r="A709" s="78"/>
      <c r="B709" s="79"/>
      <c r="C709" s="263" t="s">
        <v>117</v>
      </c>
      <c r="D709" s="25"/>
      <c r="E709" s="25"/>
      <c r="F709" s="349"/>
      <c r="G709" s="25"/>
      <c r="H709" s="3"/>
      <c r="I709" s="25"/>
      <c r="J709" s="25"/>
      <c r="K709" s="82"/>
      <c r="L709" s="222"/>
      <c r="M709" s="222"/>
      <c r="N709" s="83"/>
      <c r="O709" s="89"/>
      <c r="P709" s="88"/>
      <c r="Q709" s="88"/>
    </row>
    <row r="710" spans="1:17" s="3" customFormat="1" ht="21.75" customHeight="1">
      <c r="A710" s="78"/>
      <c r="B710" s="79"/>
      <c r="C710" s="267" t="s">
        <v>833</v>
      </c>
      <c r="D710" s="87">
        <v>1</v>
      </c>
      <c r="E710" s="87" t="s">
        <v>1472</v>
      </c>
      <c r="F710" s="87">
        <v>1</v>
      </c>
      <c r="G710" s="88">
        <f>(2*3.56+2*3)</f>
        <v>13.120000000000001</v>
      </c>
      <c r="I710" s="88">
        <v>0.1</v>
      </c>
      <c r="J710" s="88">
        <f>ROUND(D710*F710*G710*I710,2)</f>
        <v>1.31</v>
      </c>
      <c r="K710" s="82"/>
      <c r="L710" s="222"/>
      <c r="M710" s="222"/>
      <c r="N710" s="83"/>
      <c r="O710" s="89"/>
      <c r="P710" s="88"/>
      <c r="Q710" s="88"/>
    </row>
    <row r="711" spans="1:17" s="3" customFormat="1" ht="21.75" customHeight="1">
      <c r="A711" s="78"/>
      <c r="B711" s="79"/>
      <c r="C711" s="267" t="s">
        <v>114</v>
      </c>
      <c r="D711" s="87">
        <v>1</v>
      </c>
      <c r="E711" s="87" t="s">
        <v>1472</v>
      </c>
      <c r="F711" s="87">
        <v>1</v>
      </c>
      <c r="G711" s="88">
        <f>(2*7.08+3*2)</f>
        <v>20.16</v>
      </c>
      <c r="H711" s="88"/>
      <c r="I711" s="88">
        <v>0.1</v>
      </c>
      <c r="J711" s="88">
        <f t="shared" ref="J711:J716" si="39">ROUND(D711*F711*G711*I711,2)</f>
        <v>2.02</v>
      </c>
      <c r="K711" s="82"/>
      <c r="L711" s="222"/>
      <c r="M711" s="222"/>
      <c r="N711" s="83"/>
      <c r="O711" s="89"/>
      <c r="P711" s="88"/>
      <c r="Q711" s="88"/>
    </row>
    <row r="712" spans="1:17" s="3" customFormat="1" ht="21.75" customHeight="1">
      <c r="A712" s="78"/>
      <c r="B712" s="79"/>
      <c r="C712" s="267" t="s">
        <v>115</v>
      </c>
      <c r="D712" s="87">
        <v>1</v>
      </c>
      <c r="E712" s="87" t="s">
        <v>1472</v>
      </c>
      <c r="F712" s="87">
        <v>1</v>
      </c>
      <c r="G712" s="88">
        <f>(2*(3.3*4-0.23)+1.5*2)</f>
        <v>28.939999999999998</v>
      </c>
      <c r="H712" s="88"/>
      <c r="I712" s="88">
        <v>0.1</v>
      </c>
      <c r="J712" s="88">
        <f t="shared" si="39"/>
        <v>2.89</v>
      </c>
      <c r="K712" s="82"/>
      <c r="L712" s="222"/>
      <c r="M712" s="222"/>
      <c r="N712" s="83"/>
      <c r="O712" s="89"/>
      <c r="P712" s="88"/>
      <c r="Q712" s="88"/>
    </row>
    <row r="713" spans="1:17" s="3" customFormat="1" ht="21.75" customHeight="1">
      <c r="A713" s="78"/>
      <c r="B713" s="79"/>
      <c r="C713" s="267" t="s">
        <v>118</v>
      </c>
      <c r="D713" s="87">
        <v>1</v>
      </c>
      <c r="E713" s="87" t="s">
        <v>1472</v>
      </c>
      <c r="F713" s="87">
        <v>1</v>
      </c>
      <c r="G713" s="88">
        <f>(2*3.18+2*3)</f>
        <v>12.36</v>
      </c>
      <c r="H713" s="88"/>
      <c r="I713" s="88">
        <v>0.1</v>
      </c>
      <c r="J713" s="88">
        <f t="shared" si="39"/>
        <v>1.24</v>
      </c>
      <c r="K713" s="82"/>
      <c r="L713" s="222"/>
      <c r="M713" s="222"/>
      <c r="N713" s="83"/>
      <c r="O713" s="89"/>
      <c r="P713" s="88"/>
      <c r="Q713" s="88"/>
    </row>
    <row r="714" spans="1:17" s="3" customFormat="1" ht="18">
      <c r="A714" s="78"/>
      <c r="B714" s="79"/>
      <c r="C714" s="267" t="s">
        <v>119</v>
      </c>
      <c r="D714" s="87">
        <v>1</v>
      </c>
      <c r="E714" s="87" t="s">
        <v>1472</v>
      </c>
      <c r="F714" s="87">
        <v>1</v>
      </c>
      <c r="G714" s="88">
        <f>(2*3.07+2*3)</f>
        <v>12.14</v>
      </c>
      <c r="H714" s="88"/>
      <c r="I714" s="88">
        <v>0.1</v>
      </c>
      <c r="J714" s="88">
        <f t="shared" si="39"/>
        <v>1.21</v>
      </c>
      <c r="K714" s="82"/>
      <c r="L714" s="222"/>
      <c r="M714" s="222"/>
      <c r="N714" s="83"/>
      <c r="O714" s="89"/>
      <c r="P714" s="88"/>
      <c r="Q714" s="88"/>
    </row>
    <row r="715" spans="1:17" ht="18">
      <c r="A715" s="78"/>
      <c r="B715" s="79"/>
      <c r="C715" s="267" t="s">
        <v>120</v>
      </c>
      <c r="D715" s="87">
        <v>1</v>
      </c>
      <c r="E715" s="87" t="s">
        <v>1472</v>
      </c>
      <c r="F715" s="87">
        <v>1</v>
      </c>
      <c r="G715" s="88">
        <f>(1.36*2+2*2)</f>
        <v>6.7200000000000006</v>
      </c>
      <c r="H715" s="88"/>
      <c r="I715" s="88">
        <v>0.1</v>
      </c>
      <c r="J715" s="88">
        <f t="shared" si="39"/>
        <v>0.67</v>
      </c>
      <c r="K715" s="82"/>
      <c r="L715" s="222"/>
      <c r="M715" s="222"/>
      <c r="N715" s="83"/>
      <c r="O715" s="89"/>
      <c r="P715" s="88"/>
      <c r="Q715" s="88"/>
    </row>
    <row r="716" spans="1:17" ht="18">
      <c r="A716" s="78"/>
      <c r="B716" s="79"/>
      <c r="C716" s="267" t="s">
        <v>121</v>
      </c>
      <c r="D716" s="87">
        <v>1</v>
      </c>
      <c r="E716" s="87" t="s">
        <v>1472</v>
      </c>
      <c r="F716" s="87">
        <v>1</v>
      </c>
      <c r="G716" s="88">
        <f>(2*2+2*2)</f>
        <v>8</v>
      </c>
      <c r="H716" s="88"/>
      <c r="I716" s="88">
        <v>0.1</v>
      </c>
      <c r="J716" s="88">
        <f t="shared" si="39"/>
        <v>0.8</v>
      </c>
      <c r="K716" s="82"/>
      <c r="L716" s="222"/>
      <c r="M716" s="222"/>
      <c r="N716" s="83"/>
      <c r="O716" s="89"/>
      <c r="P716" s="88"/>
      <c r="Q716" s="88"/>
    </row>
    <row r="717" spans="1:17" ht="24" customHeight="1">
      <c r="A717" s="78"/>
      <c r="B717" s="79"/>
      <c r="C717" s="63"/>
      <c r="D717" s="87"/>
      <c r="E717" s="87"/>
      <c r="F717" s="87"/>
      <c r="G717" s="88"/>
      <c r="H717" s="88"/>
      <c r="I717" s="88" t="s">
        <v>982</v>
      </c>
      <c r="J717" s="92">
        <f>SUM(J710:J716)</f>
        <v>10.140000000000002</v>
      </c>
      <c r="K717" s="82"/>
      <c r="L717" s="222"/>
      <c r="M717" s="222"/>
      <c r="N717" s="83"/>
      <c r="O717" s="89"/>
      <c r="P717" s="88"/>
      <c r="Q717" s="92"/>
    </row>
    <row r="718" spans="1:17" ht="24" customHeight="1">
      <c r="A718" s="78"/>
      <c r="B718" s="79"/>
      <c r="C718" s="63"/>
      <c r="D718" s="87"/>
      <c r="E718" s="87"/>
      <c r="F718" s="87"/>
      <c r="G718" s="88"/>
      <c r="H718" s="88"/>
      <c r="I718" s="88"/>
      <c r="J718" s="92" t="s">
        <v>1478</v>
      </c>
      <c r="K718" s="82"/>
      <c r="L718" s="222"/>
      <c r="M718" s="222"/>
      <c r="N718" s="83"/>
      <c r="O718" s="89"/>
      <c r="P718" s="88"/>
      <c r="Q718" s="88"/>
    </row>
    <row r="719" spans="1:17" ht="24" customHeight="1">
      <c r="A719" s="361"/>
      <c r="B719" s="79"/>
      <c r="C719" s="63"/>
      <c r="D719" s="87"/>
      <c r="E719" s="87"/>
      <c r="F719" s="87"/>
      <c r="G719" s="88"/>
      <c r="H719" s="92" t="s">
        <v>522</v>
      </c>
      <c r="I719" s="88"/>
      <c r="J719" s="92">
        <f>SUM(J717+J708)</f>
        <v>27.370000000000005</v>
      </c>
      <c r="K719" s="82"/>
      <c r="L719" s="222"/>
      <c r="M719" s="222"/>
      <c r="N719" s="83"/>
      <c r="O719" s="89"/>
      <c r="P719" s="111"/>
      <c r="Q719" s="88"/>
    </row>
    <row r="720" spans="1:17">
      <c r="A720" s="196"/>
      <c r="B720" s="376" t="s">
        <v>576</v>
      </c>
      <c r="C720" s="2763"/>
      <c r="D720" s="2763"/>
      <c r="E720" s="2763"/>
      <c r="F720" s="2763"/>
      <c r="G720" s="2763"/>
      <c r="H720" s="2763"/>
      <c r="I720" s="2763"/>
      <c r="J720" s="92">
        <f>J719</f>
        <v>27.370000000000005</v>
      </c>
      <c r="K720" s="338">
        <f>Datas!G844</f>
        <v>8348.74</v>
      </c>
      <c r="L720" s="222"/>
      <c r="M720" s="375">
        <f>ROUND(K720*J720/10,0)</f>
        <v>22851</v>
      </c>
      <c r="N720" s="403">
        <f>SUM(L720:M720)</f>
        <v>22851</v>
      </c>
      <c r="O720" s="89">
        <f>(11*7+0.12*40)/10</f>
        <v>8.18</v>
      </c>
      <c r="P720" s="321">
        <f>ROUND(O720*J720,2)</f>
        <v>223.89</v>
      </c>
      <c r="Q720" s="92"/>
    </row>
    <row r="721" spans="1:17" ht="24" customHeight="1">
      <c r="A721" s="78"/>
      <c r="B721" s="79"/>
      <c r="C721" s="63"/>
      <c r="D721" s="87"/>
      <c r="E721" s="87"/>
      <c r="F721" s="87"/>
      <c r="G721" s="88"/>
      <c r="H721" s="88"/>
      <c r="I721" s="88"/>
      <c r="J721" s="92" t="s">
        <v>1478</v>
      </c>
      <c r="K721" s="82" t="s">
        <v>672</v>
      </c>
      <c r="L721" s="222"/>
      <c r="M721" s="222"/>
      <c r="N721" s="83"/>
      <c r="O721" s="89"/>
      <c r="P721" s="88"/>
      <c r="Q721" s="88"/>
    </row>
    <row r="722" spans="1:17" ht="189.9" customHeight="1">
      <c r="A722" s="78">
        <v>21</v>
      </c>
      <c r="B722" s="79"/>
      <c r="C722" s="2765" t="s">
        <v>712</v>
      </c>
      <c r="D722" s="2741"/>
      <c r="E722" s="2741"/>
      <c r="F722" s="2741"/>
      <c r="G722" s="2741"/>
      <c r="H722" s="2741"/>
      <c r="I722" s="2741"/>
      <c r="J722" s="2741"/>
      <c r="K722" s="82"/>
      <c r="L722" s="222"/>
      <c r="M722" s="222"/>
      <c r="N722" s="83"/>
      <c r="O722" s="89"/>
      <c r="P722" s="88"/>
      <c r="Q722" s="88"/>
    </row>
    <row r="723" spans="1:17">
      <c r="A723" s="78"/>
      <c r="B723" s="79"/>
      <c r="C723" s="263" t="s">
        <v>122</v>
      </c>
      <c r="D723" s="25"/>
      <c r="E723" s="25"/>
      <c r="F723" s="349"/>
      <c r="G723" s="25"/>
      <c r="H723" s="3"/>
      <c r="I723" s="25"/>
      <c r="J723" s="25"/>
      <c r="K723" s="82"/>
      <c r="L723" s="222"/>
      <c r="M723" s="222"/>
      <c r="N723" s="83"/>
      <c r="O723" s="89"/>
      <c r="P723" s="88"/>
      <c r="Q723" s="88"/>
    </row>
    <row r="724" spans="1:17" ht="24" customHeight="1">
      <c r="A724" s="78"/>
      <c r="B724" s="79"/>
      <c r="C724" s="97" t="s">
        <v>1494</v>
      </c>
      <c r="D724" s="87">
        <v>1</v>
      </c>
      <c r="E724" s="87" t="s">
        <v>1472</v>
      </c>
      <c r="F724" s="87">
        <v>1</v>
      </c>
      <c r="G724" s="88">
        <v>1.1599999999999999</v>
      </c>
      <c r="H724" s="88">
        <v>1.2</v>
      </c>
      <c r="I724" s="3"/>
      <c r="J724" s="88">
        <f>ROUND(D724*F724*G724*H724,2)</f>
        <v>1.39</v>
      </c>
      <c r="K724" s="82"/>
      <c r="L724" s="222"/>
      <c r="M724" s="222"/>
      <c r="N724" s="83"/>
      <c r="O724" s="89"/>
      <c r="P724" s="88"/>
      <c r="Q724" s="88"/>
    </row>
    <row r="725" spans="1:17" ht="24" customHeight="1">
      <c r="A725" s="78"/>
      <c r="B725" s="79"/>
      <c r="C725" s="97" t="s">
        <v>123</v>
      </c>
      <c r="D725" s="87">
        <v>1</v>
      </c>
      <c r="E725" s="87" t="s">
        <v>1472</v>
      </c>
      <c r="F725" s="87">
        <v>1</v>
      </c>
      <c r="G725" s="88">
        <v>1.8</v>
      </c>
      <c r="H725" s="88">
        <v>1.2</v>
      </c>
      <c r="I725" s="3"/>
      <c r="J725" s="88">
        <f>ROUND(D725*F725*G725*H725,2)</f>
        <v>2.16</v>
      </c>
      <c r="K725" s="82"/>
      <c r="L725" s="222"/>
      <c r="M725" s="222"/>
      <c r="N725" s="83"/>
      <c r="O725" s="89"/>
      <c r="P725" s="88"/>
      <c r="Q725" s="88"/>
    </row>
    <row r="726" spans="1:17" ht="24" customHeight="1">
      <c r="A726" s="78"/>
      <c r="B726" s="79"/>
      <c r="C726" s="97" t="s">
        <v>984</v>
      </c>
      <c r="D726" s="87">
        <v>1</v>
      </c>
      <c r="E726" s="87" t="s">
        <v>1472</v>
      </c>
      <c r="F726" s="87">
        <v>2</v>
      </c>
      <c r="G726" s="88">
        <v>0.75</v>
      </c>
      <c r="H726" s="248">
        <v>0.115</v>
      </c>
      <c r="I726" s="88"/>
      <c r="J726" s="88">
        <f>ROUND(D726*F726*G726*H726,2)</f>
        <v>0.17</v>
      </c>
      <c r="K726" s="82"/>
      <c r="L726" s="222"/>
      <c r="M726" s="222"/>
      <c r="N726" s="83"/>
      <c r="O726" s="89"/>
      <c r="P726" s="88"/>
      <c r="Q726" s="88"/>
    </row>
    <row r="727" spans="1:17" s="378" customFormat="1">
      <c r="A727" s="78"/>
      <c r="B727" s="376" t="s">
        <v>424</v>
      </c>
      <c r="C727" s="63"/>
      <c r="D727" s="87"/>
      <c r="E727" s="87"/>
      <c r="F727" s="87"/>
      <c r="G727" s="88"/>
      <c r="H727" s="88"/>
      <c r="I727" s="88"/>
      <c r="J727" s="88">
        <f>SUM(J724:J726)</f>
        <v>3.7199999999999998</v>
      </c>
      <c r="K727" s="338">
        <f>Datas!G789</f>
        <v>8076.9498000000003</v>
      </c>
      <c r="L727" s="222"/>
      <c r="M727" s="375">
        <f>ROUND(K727*J727/10,0)</f>
        <v>3005</v>
      </c>
      <c r="N727" s="403">
        <f>SUM(L727:M727)</f>
        <v>3005</v>
      </c>
      <c r="O727" s="380">
        <v>0.48</v>
      </c>
      <c r="P727" s="377">
        <f>ROUND(O727*J727,2)</f>
        <v>1.79</v>
      </c>
      <c r="Q727" s="259"/>
    </row>
    <row r="728" spans="1:17">
      <c r="A728" s="78"/>
      <c r="B728" s="79"/>
      <c r="C728" s="263" t="s">
        <v>1439</v>
      </c>
      <c r="D728" s="25"/>
      <c r="E728" s="25"/>
      <c r="F728" s="349"/>
      <c r="G728" s="25"/>
      <c r="H728" s="3"/>
      <c r="I728" s="25"/>
      <c r="J728" s="25"/>
      <c r="K728" s="82"/>
      <c r="L728" s="222"/>
      <c r="M728" s="222"/>
      <c r="N728" s="83"/>
      <c r="O728" s="89"/>
      <c r="P728" s="88"/>
      <c r="Q728" s="88"/>
    </row>
    <row r="729" spans="1:17" s="3" customFormat="1" ht="24" customHeight="1">
      <c r="A729" s="78"/>
      <c r="B729" s="79"/>
      <c r="C729" s="97" t="s">
        <v>1492</v>
      </c>
      <c r="D729" s="87">
        <v>1</v>
      </c>
      <c r="E729" s="87" t="s">
        <v>1472</v>
      </c>
      <c r="F729" s="87">
        <v>2</v>
      </c>
      <c r="G729" s="88">
        <v>0.9</v>
      </c>
      <c r="H729" s="88">
        <v>1.2</v>
      </c>
      <c r="J729" s="88">
        <f>ROUND(D729*F729*G729*H729,2)</f>
        <v>2.16</v>
      </c>
      <c r="K729" s="82"/>
      <c r="L729" s="222"/>
      <c r="M729" s="222"/>
      <c r="N729" s="83"/>
      <c r="O729" s="89"/>
      <c r="P729" s="88"/>
      <c r="Q729" s="88"/>
    </row>
    <row r="730" spans="1:17" s="3" customFormat="1" ht="24" customHeight="1">
      <c r="A730" s="78"/>
      <c r="B730" s="79"/>
      <c r="C730" s="97" t="s">
        <v>1493</v>
      </c>
      <c r="D730" s="87">
        <v>1</v>
      </c>
      <c r="E730" s="87" t="s">
        <v>1472</v>
      </c>
      <c r="F730" s="87">
        <v>1</v>
      </c>
      <c r="G730" s="88">
        <v>1.39</v>
      </c>
      <c r="H730" s="88">
        <v>0.9</v>
      </c>
      <c r="J730" s="88">
        <f>ROUND(D730*F730*G730*H730,2)</f>
        <v>1.25</v>
      </c>
      <c r="K730" s="82"/>
      <c r="L730" s="222"/>
      <c r="M730" s="222"/>
      <c r="N730" s="83"/>
      <c r="O730" s="89"/>
      <c r="P730" s="88"/>
      <c r="Q730" s="88"/>
    </row>
    <row r="731" spans="1:17" ht="24" customHeight="1">
      <c r="A731" s="78"/>
      <c r="B731" s="79"/>
      <c r="C731" s="97" t="s">
        <v>984</v>
      </c>
      <c r="D731" s="87">
        <v>1</v>
      </c>
      <c r="E731" s="87" t="s">
        <v>1472</v>
      </c>
      <c r="F731" s="87">
        <v>2</v>
      </c>
      <c r="G731" s="88">
        <v>0.75</v>
      </c>
      <c r="H731" s="248">
        <v>0.115</v>
      </c>
      <c r="I731" s="88"/>
      <c r="J731" s="88">
        <f>ROUND(D731*F731*G731*H731,2)</f>
        <v>0.17</v>
      </c>
      <c r="K731" s="82"/>
      <c r="L731" s="222"/>
      <c r="M731" s="222"/>
      <c r="N731" s="83"/>
      <c r="O731" s="89"/>
      <c r="P731" s="88"/>
      <c r="Q731" s="88"/>
    </row>
    <row r="732" spans="1:17" ht="24" customHeight="1">
      <c r="A732" s="78"/>
      <c r="B732" s="79"/>
      <c r="C732" s="63"/>
      <c r="D732" s="87"/>
      <c r="E732" s="87"/>
      <c r="F732" s="87"/>
      <c r="G732" s="88"/>
      <c r="H732" s="88"/>
      <c r="I732" s="88"/>
      <c r="J732" s="88">
        <f>SUM(J729:J731)</f>
        <v>3.58</v>
      </c>
      <c r="K732" s="82"/>
      <c r="L732" s="222"/>
      <c r="M732" s="222"/>
      <c r="N732" s="83"/>
      <c r="O732" s="89"/>
      <c r="P732" s="88"/>
      <c r="Q732" s="88"/>
    </row>
    <row r="733" spans="1:17" ht="24" customHeight="1">
      <c r="A733" s="78"/>
      <c r="B733" s="79"/>
      <c r="C733" s="63"/>
      <c r="D733" s="87"/>
      <c r="E733" s="87"/>
      <c r="F733" s="87"/>
      <c r="G733" s="88"/>
      <c r="H733" s="88"/>
      <c r="I733" s="88" t="s">
        <v>982</v>
      </c>
      <c r="J733" s="92">
        <f>J732+J727</f>
        <v>7.3</v>
      </c>
      <c r="K733" s="82"/>
      <c r="L733" s="222"/>
      <c r="M733" s="222"/>
      <c r="N733" s="83"/>
      <c r="O733" s="89"/>
      <c r="P733" s="88"/>
      <c r="Q733" s="92"/>
    </row>
    <row r="734" spans="1:17" ht="24" customHeight="1">
      <c r="A734" s="78"/>
      <c r="B734" s="79"/>
      <c r="C734" s="63"/>
      <c r="D734" s="87"/>
      <c r="E734" s="87"/>
      <c r="F734" s="87"/>
      <c r="G734" s="88"/>
      <c r="H734" s="88"/>
      <c r="I734" s="88"/>
      <c r="J734" s="92" t="s">
        <v>1478</v>
      </c>
      <c r="K734" s="82"/>
      <c r="L734" s="222"/>
      <c r="M734" s="222"/>
      <c r="N734" s="83"/>
      <c r="O734" s="89"/>
      <c r="P734" s="88"/>
      <c r="Q734" s="88"/>
    </row>
    <row r="735" spans="1:17" s="378" customFormat="1">
      <c r="A735" s="196"/>
      <c r="B735" s="376" t="s">
        <v>425</v>
      </c>
      <c r="C735" s="2763"/>
      <c r="D735" s="2763"/>
      <c r="E735" s="2763"/>
      <c r="F735" s="2763"/>
      <c r="G735" s="2763"/>
      <c r="H735" s="2763"/>
      <c r="I735" s="2763"/>
      <c r="J735" s="92">
        <f>J733</f>
        <v>7.3</v>
      </c>
      <c r="K735" s="338">
        <f>Datas!G789</f>
        <v>8076.9498000000003</v>
      </c>
      <c r="L735" s="222"/>
      <c r="M735" s="375">
        <f>ROUND(K735*J735/10,0)</f>
        <v>5896</v>
      </c>
      <c r="N735" s="403">
        <f>SUM(L735:M735)</f>
        <v>5896</v>
      </c>
      <c r="O735" s="380">
        <v>0.48</v>
      </c>
      <c r="P735" s="377">
        <f>ROUND(O735*J735,2)</f>
        <v>3.5</v>
      </c>
      <c r="Q735" s="236"/>
    </row>
    <row r="736" spans="1:17" ht="24" customHeight="1">
      <c r="A736" s="78"/>
      <c r="B736" s="3"/>
      <c r="D736" s="3"/>
      <c r="G736" s="3"/>
      <c r="H736" s="3"/>
      <c r="I736" s="3"/>
      <c r="J736" s="92" t="s">
        <v>1478</v>
      </c>
      <c r="K736" s="82" t="s">
        <v>672</v>
      </c>
      <c r="L736" s="222"/>
      <c r="M736" s="222"/>
      <c r="N736" s="83"/>
      <c r="O736" s="89"/>
      <c r="P736" s="88"/>
      <c r="Q736" s="88"/>
    </row>
    <row r="737" spans="1:17" ht="189.9" customHeight="1">
      <c r="A737" s="78">
        <v>22</v>
      </c>
      <c r="B737" s="79"/>
      <c r="C737" s="2765" t="s">
        <v>1518</v>
      </c>
      <c r="D737" s="2741"/>
      <c r="E737" s="2741"/>
      <c r="F737" s="2741"/>
      <c r="G737" s="2741"/>
      <c r="H737" s="2741"/>
      <c r="I737" s="2741"/>
      <c r="J737" s="2741"/>
      <c r="K737" s="82"/>
      <c r="L737" s="222"/>
      <c r="M737" s="222"/>
      <c r="N737" s="83"/>
      <c r="O737" s="89"/>
      <c r="P737" s="88"/>
      <c r="Q737" s="88"/>
    </row>
    <row r="738" spans="1:17">
      <c r="A738" s="78"/>
      <c r="C738" s="263" t="s">
        <v>122</v>
      </c>
      <c r="D738" s="25"/>
      <c r="E738" s="25"/>
      <c r="F738" s="349"/>
      <c r="G738" s="25"/>
      <c r="H738" s="3"/>
      <c r="I738" s="25"/>
      <c r="J738" s="25"/>
      <c r="K738" s="82"/>
      <c r="L738" s="222"/>
      <c r="M738" s="222"/>
      <c r="N738" s="83"/>
      <c r="O738" s="89"/>
      <c r="P738" s="88"/>
      <c r="Q738" s="88"/>
    </row>
    <row r="739" spans="1:17" s="378" customFormat="1" ht="18">
      <c r="A739" s="78"/>
      <c r="B739" s="376" t="s">
        <v>573</v>
      </c>
      <c r="C739" s="97" t="s">
        <v>325</v>
      </c>
      <c r="D739" s="87">
        <v>1</v>
      </c>
      <c r="E739" s="87" t="s">
        <v>1472</v>
      </c>
      <c r="F739" s="87">
        <v>1</v>
      </c>
      <c r="G739" s="88">
        <f>(1.16*2+1.2*2-0.75)</f>
        <v>3.9699999999999998</v>
      </c>
      <c r="H739" s="114"/>
      <c r="I739" s="88">
        <v>1.5</v>
      </c>
      <c r="J739" s="88">
        <f>ROUND(D739*F739*G739*I739,2)</f>
        <v>5.96</v>
      </c>
      <c r="K739" s="338">
        <f>Datas!G806</f>
        <v>6385.4000000000005</v>
      </c>
      <c r="L739" s="222"/>
      <c r="M739" s="375">
        <f>ROUND(K739*J739/10,0)</f>
        <v>3806</v>
      </c>
      <c r="N739" s="403">
        <f>SUM(L739:M739)</f>
        <v>3806</v>
      </c>
      <c r="O739" s="380">
        <v>0.48</v>
      </c>
      <c r="P739" s="377">
        <f>ROUND(O739*J739,2)</f>
        <v>2.86</v>
      </c>
      <c r="Q739" s="259"/>
    </row>
    <row r="740" spans="1:17">
      <c r="A740" s="78"/>
      <c r="B740" s="79"/>
      <c r="C740" s="263" t="s">
        <v>117</v>
      </c>
      <c r="D740" s="25"/>
      <c r="E740" s="25"/>
      <c r="F740" s="349"/>
      <c r="G740" s="25"/>
      <c r="H740" s="3"/>
      <c r="I740" s="25"/>
      <c r="J740" s="25"/>
      <c r="K740" s="82"/>
      <c r="L740" s="222"/>
      <c r="M740" s="222"/>
      <c r="N740" s="83"/>
      <c r="O740" s="89"/>
      <c r="P740" s="88"/>
      <c r="Q740" s="88"/>
    </row>
    <row r="741" spans="1:17" ht="18">
      <c r="A741" s="78"/>
      <c r="C741" s="97" t="s">
        <v>326</v>
      </c>
      <c r="D741" s="87">
        <v>1</v>
      </c>
      <c r="E741" s="87" t="s">
        <v>1472</v>
      </c>
      <c r="F741" s="87">
        <v>1</v>
      </c>
      <c r="G741" s="88">
        <f>(1.39*2+0.97*2-0.75)</f>
        <v>3.9699999999999998</v>
      </c>
      <c r="H741" s="114"/>
      <c r="I741" s="88">
        <v>1.5</v>
      </c>
      <c r="J741" s="88">
        <f>ROUND(D741*F741*G741*I741,2)</f>
        <v>5.96</v>
      </c>
      <c r="K741" s="82"/>
      <c r="L741" s="222"/>
      <c r="M741" s="222"/>
      <c r="N741" s="83"/>
      <c r="O741" s="89"/>
      <c r="P741" s="88"/>
      <c r="Q741" s="88"/>
    </row>
    <row r="742" spans="1:17" ht="18">
      <c r="A742" s="78"/>
      <c r="B742" s="79"/>
      <c r="C742" s="97" t="s">
        <v>327</v>
      </c>
      <c r="D742" s="87">
        <v>1</v>
      </c>
      <c r="E742" s="87" t="s">
        <v>1472</v>
      </c>
      <c r="F742" s="87">
        <v>2</v>
      </c>
      <c r="G742" s="88">
        <f>(0.9*2+1.2*2-0.75)</f>
        <v>3.45</v>
      </c>
      <c r="H742" s="114"/>
      <c r="I742" s="88">
        <v>1.5</v>
      </c>
      <c r="J742" s="88">
        <f>ROUND(D742*F742*G742*I742,2)</f>
        <v>10.35</v>
      </c>
      <c r="K742" s="82"/>
      <c r="L742" s="222"/>
      <c r="M742" s="222"/>
      <c r="N742" s="83"/>
      <c r="O742" s="89"/>
      <c r="P742" s="88"/>
      <c r="Q742" s="88"/>
    </row>
    <row r="743" spans="1:17" ht="24" customHeight="1">
      <c r="A743" s="78"/>
      <c r="B743" s="79"/>
      <c r="C743" s="97"/>
      <c r="D743" s="87"/>
      <c r="E743" s="87"/>
      <c r="F743" s="87"/>
      <c r="G743" s="88"/>
      <c r="H743" s="88"/>
      <c r="I743" s="88"/>
      <c r="J743" s="88">
        <f>SUM(J741:J742)</f>
        <v>16.309999999999999</v>
      </c>
      <c r="K743" s="82"/>
      <c r="L743" s="222"/>
      <c r="M743" s="222"/>
      <c r="N743" s="83"/>
      <c r="O743" s="89"/>
      <c r="P743" s="88"/>
      <c r="Q743" s="88"/>
    </row>
    <row r="744" spans="1:17" ht="24" customHeight="1">
      <c r="A744" s="78"/>
      <c r="B744" s="79"/>
      <c r="C744" s="63"/>
      <c r="D744" s="87"/>
      <c r="E744" s="87"/>
      <c r="F744" s="87"/>
      <c r="G744" s="88"/>
      <c r="H744" s="88"/>
      <c r="I744" s="88" t="s">
        <v>982</v>
      </c>
      <c r="J744" s="92">
        <f>J743</f>
        <v>16.309999999999999</v>
      </c>
      <c r="K744" s="82"/>
      <c r="L744" s="222"/>
      <c r="M744" s="222"/>
      <c r="N744" s="83"/>
      <c r="O744" s="89"/>
      <c r="P744" s="88"/>
      <c r="Q744" s="92"/>
    </row>
    <row r="745" spans="1:17" ht="24" customHeight="1">
      <c r="A745" s="78"/>
      <c r="B745" s="79"/>
      <c r="C745" s="63"/>
      <c r="D745" s="87"/>
      <c r="E745" s="87"/>
      <c r="F745" s="87"/>
      <c r="G745" s="88"/>
      <c r="H745" s="88"/>
      <c r="I745" s="88"/>
      <c r="J745" s="92" t="s">
        <v>1478</v>
      </c>
      <c r="K745" s="82"/>
      <c r="L745" s="222"/>
      <c r="M745" s="222"/>
      <c r="N745" s="83"/>
      <c r="O745" s="89"/>
      <c r="P745" s="88"/>
      <c r="Q745" s="88"/>
    </row>
    <row r="746" spans="1:17" s="378" customFormat="1">
      <c r="A746" s="196"/>
      <c r="B746" s="376" t="s">
        <v>574</v>
      </c>
      <c r="C746" s="2763"/>
      <c r="D746" s="2763"/>
      <c r="E746" s="2763"/>
      <c r="F746" s="2763"/>
      <c r="G746" s="2763"/>
      <c r="H746" s="2763"/>
      <c r="I746" s="2763"/>
      <c r="J746" s="92">
        <f>J744</f>
        <v>16.309999999999999</v>
      </c>
      <c r="K746" s="338">
        <f>Datas!G806</f>
        <v>6385.4000000000005</v>
      </c>
      <c r="L746" s="222"/>
      <c r="M746" s="375">
        <f>ROUND(K746*J746/10,0)</f>
        <v>10415</v>
      </c>
      <c r="N746" s="403">
        <f>SUM(L746:M746)</f>
        <v>10415</v>
      </c>
      <c r="O746" s="380">
        <v>0.48</v>
      </c>
      <c r="P746" s="377">
        <f>ROUND(O746*J746,2)</f>
        <v>7.83</v>
      </c>
      <c r="Q746" s="236"/>
    </row>
    <row r="747" spans="1:17" ht="24" customHeight="1">
      <c r="A747" s="78"/>
      <c r="J747" s="92" t="s">
        <v>1478</v>
      </c>
      <c r="K747" s="82" t="s">
        <v>672</v>
      </c>
      <c r="L747" s="225"/>
      <c r="M747" s="225"/>
      <c r="N747" s="93"/>
      <c r="O747" s="89"/>
      <c r="P747" s="88"/>
      <c r="Q747" s="88"/>
    </row>
    <row r="748" spans="1:17" s="58" customFormat="1" ht="116.25" customHeight="1">
      <c r="A748" s="78">
        <v>23</v>
      </c>
      <c r="B748" s="228"/>
      <c r="C748" s="2740" t="s">
        <v>440</v>
      </c>
      <c r="D748" s="2741"/>
      <c r="E748" s="2741"/>
      <c r="F748" s="2741"/>
      <c r="G748" s="2741"/>
      <c r="H748" s="2741"/>
      <c r="I748" s="2741"/>
      <c r="J748" s="2741"/>
      <c r="K748" s="229"/>
      <c r="L748" s="230"/>
      <c r="M748" s="230"/>
      <c r="N748" s="231"/>
      <c r="O748" s="232"/>
      <c r="P748" s="233"/>
      <c r="Q748" s="233"/>
    </row>
    <row r="749" spans="1:17" ht="24" customHeight="1">
      <c r="A749" s="78"/>
      <c r="B749" s="79"/>
      <c r="C749" s="107" t="s">
        <v>1497</v>
      </c>
      <c r="D749" s="87">
        <v>1</v>
      </c>
      <c r="E749" s="87" t="s">
        <v>1472</v>
      </c>
      <c r="F749" s="87">
        <v>1</v>
      </c>
      <c r="G749" s="88">
        <f>3.3*5+3.6+0.45</f>
        <v>20.55</v>
      </c>
      <c r="H749" s="88"/>
      <c r="I749" s="88">
        <v>0.75</v>
      </c>
      <c r="J749" s="88">
        <f>ROUND(D749*F749*G749*I749,2)</f>
        <v>15.41</v>
      </c>
      <c r="K749" s="82"/>
      <c r="L749" s="222"/>
      <c r="M749" s="222"/>
      <c r="N749" s="83"/>
      <c r="O749" s="89"/>
      <c r="P749" s="88"/>
      <c r="Q749" s="88"/>
    </row>
    <row r="750" spans="1:17" ht="24" customHeight="1">
      <c r="A750" s="78"/>
      <c r="B750" s="79"/>
      <c r="C750" s="107" t="s">
        <v>1496</v>
      </c>
      <c r="D750" s="87">
        <v>1</v>
      </c>
      <c r="E750" s="87" t="s">
        <v>1472</v>
      </c>
      <c r="F750" s="87">
        <v>2</v>
      </c>
      <c r="G750" s="88">
        <v>1.73</v>
      </c>
      <c r="H750" s="88"/>
      <c r="I750" s="88">
        <v>0.75</v>
      </c>
      <c r="J750" s="88">
        <f>ROUND(D750*F750*G750*I750,2)</f>
        <v>2.6</v>
      </c>
      <c r="K750" s="82"/>
      <c r="L750" s="222"/>
      <c r="M750" s="222"/>
      <c r="N750" s="83"/>
      <c r="O750" s="89"/>
      <c r="P750" s="88"/>
      <c r="Q750" s="88"/>
    </row>
    <row r="751" spans="1:17" ht="24" customHeight="1">
      <c r="A751" s="78"/>
      <c r="B751" s="79"/>
      <c r="C751" s="107" t="s">
        <v>1495</v>
      </c>
      <c r="D751" s="87">
        <v>1</v>
      </c>
      <c r="E751" s="87" t="s">
        <v>1472</v>
      </c>
      <c r="F751" s="87">
        <v>1</v>
      </c>
      <c r="G751" s="88">
        <f>3.3*5+3.6+0.45</f>
        <v>20.55</v>
      </c>
      <c r="H751" s="88"/>
      <c r="I751" s="88">
        <v>0.75</v>
      </c>
      <c r="J751" s="88">
        <f>ROUND(D751*F751*G751*I751,2)</f>
        <v>15.41</v>
      </c>
      <c r="K751" s="82"/>
      <c r="L751" s="222"/>
      <c r="M751" s="222"/>
      <c r="N751" s="83"/>
      <c r="O751" s="89"/>
      <c r="P751" s="88"/>
      <c r="Q751" s="88"/>
    </row>
    <row r="752" spans="1:17" ht="24" customHeight="1">
      <c r="A752" s="78"/>
      <c r="B752" s="79"/>
      <c r="C752" s="107" t="s">
        <v>469</v>
      </c>
      <c r="D752" s="87">
        <v>1</v>
      </c>
      <c r="E752" s="87" t="s">
        <v>1472</v>
      </c>
      <c r="F752" s="87">
        <v>2</v>
      </c>
      <c r="G752" s="88">
        <f>8.175+0.3</f>
        <v>8.4750000000000014</v>
      </c>
      <c r="H752" s="88"/>
      <c r="I752" s="88">
        <v>0.75</v>
      </c>
      <c r="J752" s="88">
        <f>ROUND(D752*F752*G752*I752,2)</f>
        <v>12.71</v>
      </c>
      <c r="K752" s="82"/>
      <c r="L752" s="222"/>
      <c r="M752" s="222"/>
      <c r="N752" s="83"/>
      <c r="O752" s="89"/>
      <c r="P752" s="88"/>
      <c r="Q752" s="88"/>
    </row>
    <row r="753" spans="1:17" ht="24" customHeight="1">
      <c r="A753" s="78"/>
      <c r="B753" s="79"/>
      <c r="C753" s="107" t="s">
        <v>470</v>
      </c>
      <c r="D753" s="87">
        <v>1</v>
      </c>
      <c r="E753" s="87" t="s">
        <v>1472</v>
      </c>
      <c r="F753" s="87">
        <v>1</v>
      </c>
      <c r="G753" s="88">
        <v>3.46</v>
      </c>
      <c r="H753" s="88"/>
      <c r="I753" s="88">
        <v>0.75</v>
      </c>
      <c r="J753" s="88">
        <f>-ROUND(D753*F753*G753*I753,2)</f>
        <v>-2.6</v>
      </c>
      <c r="K753" s="82"/>
      <c r="L753" s="222"/>
      <c r="M753" s="222"/>
      <c r="N753" s="83"/>
      <c r="O753" s="89"/>
      <c r="P753" s="88"/>
      <c r="Q753" s="88"/>
    </row>
    <row r="754" spans="1:17" ht="24" customHeight="1">
      <c r="A754" s="78"/>
      <c r="B754" s="79"/>
      <c r="C754" s="107" t="s">
        <v>470</v>
      </c>
      <c r="D754" s="87">
        <v>1</v>
      </c>
      <c r="E754" s="87" t="s">
        <v>1472</v>
      </c>
      <c r="F754" s="87">
        <v>1</v>
      </c>
      <c r="G754" s="88">
        <v>3</v>
      </c>
      <c r="H754" s="88"/>
      <c r="I754" s="88">
        <v>0.75</v>
      </c>
      <c r="J754" s="88">
        <f>-ROUND(D754*F754*G754*I754,2)</f>
        <v>-2.25</v>
      </c>
      <c r="K754" s="82"/>
      <c r="L754" s="222"/>
      <c r="M754" s="222"/>
      <c r="N754" s="83"/>
      <c r="O754" s="89"/>
      <c r="P754" s="88"/>
      <c r="Q754" s="88"/>
    </row>
    <row r="755" spans="1:17" ht="24" customHeight="1">
      <c r="A755" s="78"/>
      <c r="B755" s="79"/>
      <c r="C755" s="64"/>
      <c r="D755" s="87"/>
      <c r="E755" s="87"/>
      <c r="F755" s="87"/>
      <c r="G755" s="88"/>
      <c r="H755" s="88"/>
      <c r="I755" s="88"/>
      <c r="J755" s="88">
        <f>SUM(J749:J754)</f>
        <v>41.28</v>
      </c>
      <c r="K755" s="82"/>
      <c r="L755" s="222"/>
      <c r="M755" s="222"/>
      <c r="N755" s="83"/>
      <c r="O755" s="89"/>
      <c r="P755" s="88"/>
      <c r="Q755" s="88"/>
    </row>
    <row r="756" spans="1:17" ht="24" customHeight="1">
      <c r="A756" s="78"/>
      <c r="B756" s="223"/>
      <c r="C756" s="2800" t="s">
        <v>270</v>
      </c>
      <c r="D756" s="2801"/>
      <c r="E756" s="2801"/>
      <c r="F756" s="2801"/>
      <c r="G756" s="2801"/>
      <c r="H756" s="2801"/>
      <c r="I756" s="2802"/>
      <c r="J756" s="92">
        <f>J755</f>
        <v>41.28</v>
      </c>
      <c r="K756" s="82">
        <f>Datas!G263</f>
        <v>905.74</v>
      </c>
      <c r="L756" s="222"/>
      <c r="M756" s="222"/>
      <c r="N756" s="83">
        <f>SUM(L756:M756)</f>
        <v>0</v>
      </c>
      <c r="O756" s="89">
        <v>0.12</v>
      </c>
      <c r="P756" s="321">
        <f>ROUND(O756*J756,2)</f>
        <v>4.95</v>
      </c>
      <c r="Q756" s="92"/>
    </row>
    <row r="757" spans="1:17" ht="24" customHeight="1">
      <c r="A757" s="78"/>
      <c r="J757" s="92" t="s">
        <v>1478</v>
      </c>
      <c r="K757" s="82" t="s">
        <v>672</v>
      </c>
      <c r="L757" s="225"/>
      <c r="M757" s="225"/>
      <c r="N757" s="93"/>
      <c r="O757" s="89"/>
      <c r="P757" s="88"/>
      <c r="Q757" s="88"/>
    </row>
    <row r="758" spans="1:17" ht="208.5" customHeight="1">
      <c r="A758" s="78">
        <v>24</v>
      </c>
      <c r="B758" s="79"/>
      <c r="C758" s="2798" t="s">
        <v>269</v>
      </c>
      <c r="D758" s="2799"/>
      <c r="E758" s="2799"/>
      <c r="F758" s="2799"/>
      <c r="G758" s="2799"/>
      <c r="H758" s="2799"/>
      <c r="I758" s="2799"/>
      <c r="J758" s="2799"/>
      <c r="K758" s="82"/>
      <c r="L758" s="222"/>
      <c r="M758" s="222"/>
      <c r="N758" s="83"/>
      <c r="O758" s="89"/>
      <c r="P758" s="88"/>
      <c r="Q758" s="88"/>
    </row>
    <row r="759" spans="1:17">
      <c r="A759" s="78"/>
      <c r="B759" s="79"/>
      <c r="C759" s="269" t="s">
        <v>1052</v>
      </c>
      <c r="D759" s="203">
        <v>1</v>
      </c>
      <c r="E759" s="203" t="s">
        <v>1472</v>
      </c>
      <c r="F759" s="204">
        <v>2</v>
      </c>
      <c r="G759" s="203"/>
      <c r="H759" s="203"/>
      <c r="I759" s="203"/>
      <c r="J759" s="268">
        <f>ROUND(F759*D759,2)</f>
        <v>2</v>
      </c>
      <c r="K759" s="82"/>
      <c r="L759" s="222"/>
      <c r="M759" s="222"/>
      <c r="N759" s="83"/>
      <c r="O759" s="89"/>
      <c r="P759" s="88"/>
      <c r="Q759" s="88"/>
    </row>
    <row r="760" spans="1:17">
      <c r="B760" s="79"/>
      <c r="C760" s="269" t="s">
        <v>53</v>
      </c>
      <c r="D760" s="203">
        <v>1</v>
      </c>
      <c r="E760" s="203" t="s">
        <v>1472</v>
      </c>
      <c r="F760" s="204">
        <v>1</v>
      </c>
      <c r="G760" s="203"/>
      <c r="H760" s="203"/>
      <c r="I760" s="203"/>
      <c r="J760" s="268">
        <f>ROUND(F760*D760,2)</f>
        <v>1</v>
      </c>
      <c r="K760" s="82"/>
      <c r="L760" s="222"/>
      <c r="M760" s="222"/>
      <c r="N760" s="83"/>
      <c r="O760" s="89"/>
      <c r="P760" s="88"/>
      <c r="Q760" s="88"/>
    </row>
    <row r="761" spans="1:17" s="378" customFormat="1">
      <c r="A761" s="196"/>
      <c r="B761" s="376" t="s">
        <v>815</v>
      </c>
      <c r="C761" s="2763"/>
      <c r="D761" s="2763"/>
      <c r="E761" s="2763"/>
      <c r="F761" s="2763"/>
      <c r="G761" s="2763"/>
      <c r="H761" s="2763"/>
      <c r="I761" s="2763"/>
      <c r="J761" s="92">
        <f>SUM(J759:J760)</f>
        <v>3</v>
      </c>
      <c r="K761" s="338" t="e">
        <f>#REF!</f>
        <v>#REF!</v>
      </c>
      <c r="L761" s="111"/>
      <c r="M761" s="375" t="e">
        <f>ROUND(K761*J761,0)</f>
        <v>#REF!</v>
      </c>
      <c r="N761" s="403" t="e">
        <f>SUM(L761:M761)</f>
        <v>#REF!</v>
      </c>
      <c r="O761" s="380"/>
      <c r="P761" s="259"/>
      <c r="Q761" s="236"/>
    </row>
    <row r="762" spans="1:17" s="121" customFormat="1" ht="11.1">
      <c r="A762" s="357"/>
      <c r="B762" s="234"/>
      <c r="C762" s="112"/>
      <c r="D762" s="116"/>
      <c r="E762" s="116"/>
      <c r="F762" s="116"/>
      <c r="G762" s="117"/>
      <c r="H762" s="117"/>
      <c r="I762" s="117"/>
      <c r="J762" s="117" t="s">
        <v>472</v>
      </c>
      <c r="K762" s="82" t="s">
        <v>473</v>
      </c>
      <c r="L762" s="235"/>
      <c r="M762" s="235"/>
      <c r="N762" s="118"/>
      <c r="O762" s="119"/>
      <c r="P762" s="117"/>
      <c r="Q762" s="120"/>
    </row>
    <row r="763" spans="1:17" ht="207" customHeight="1">
      <c r="A763" s="78">
        <v>25</v>
      </c>
      <c r="B763" s="79"/>
      <c r="C763" s="2798" t="s">
        <v>52</v>
      </c>
      <c r="D763" s="2799"/>
      <c r="E763" s="2799"/>
      <c r="F763" s="2799"/>
      <c r="G763" s="2799"/>
      <c r="H763" s="2799"/>
      <c r="I763" s="2799"/>
      <c r="J763" s="2799"/>
      <c r="K763" s="82"/>
      <c r="L763" s="222"/>
      <c r="M763" s="222"/>
      <c r="N763" s="83"/>
      <c r="O763" s="89"/>
      <c r="P763" s="88"/>
      <c r="Q763" s="88"/>
    </row>
    <row r="764" spans="1:17">
      <c r="A764" s="78"/>
      <c r="B764" s="79"/>
      <c r="C764" s="269" t="s">
        <v>54</v>
      </c>
      <c r="D764" s="203">
        <v>1</v>
      </c>
      <c r="E764" s="203" t="s">
        <v>1472</v>
      </c>
      <c r="F764" s="204">
        <v>5</v>
      </c>
      <c r="G764" s="203" t="s">
        <v>472</v>
      </c>
      <c r="H764" s="203"/>
      <c r="I764" s="203"/>
      <c r="J764" s="268">
        <f>F764</f>
        <v>5</v>
      </c>
      <c r="K764" s="82"/>
      <c r="L764" s="222"/>
      <c r="M764" s="222"/>
      <c r="N764" s="83"/>
      <c r="O764" s="89"/>
      <c r="P764" s="88"/>
      <c r="Q764" s="88"/>
    </row>
    <row r="765" spans="1:17">
      <c r="A765" s="78"/>
      <c r="B765" s="79"/>
      <c r="C765" s="269" t="s">
        <v>55</v>
      </c>
      <c r="D765" s="203">
        <v>1</v>
      </c>
      <c r="E765" s="203" t="s">
        <v>1472</v>
      </c>
      <c r="F765" s="204">
        <v>7</v>
      </c>
      <c r="G765" s="203" t="s">
        <v>472</v>
      </c>
      <c r="H765" s="203"/>
      <c r="I765" s="203"/>
      <c r="J765" s="268">
        <f>F765</f>
        <v>7</v>
      </c>
      <c r="K765" s="82"/>
      <c r="L765" s="222"/>
      <c r="M765" s="222"/>
      <c r="N765" s="83"/>
      <c r="O765" s="89"/>
      <c r="P765" s="88"/>
      <c r="Q765" s="88"/>
    </row>
    <row r="766" spans="1:17" s="378" customFormat="1">
      <c r="A766" s="196"/>
      <c r="B766" s="376" t="s">
        <v>816</v>
      </c>
      <c r="C766" s="2763"/>
      <c r="D766" s="2763"/>
      <c r="E766" s="2763"/>
      <c r="F766" s="2763"/>
      <c r="G766" s="2763"/>
      <c r="H766" s="2763"/>
      <c r="I766" s="2763"/>
      <c r="J766" s="392">
        <f>SUM(J764:J765)</f>
        <v>12</v>
      </c>
      <c r="K766" s="338" t="e">
        <f>#REF!</f>
        <v>#REF!</v>
      </c>
      <c r="L766" s="111"/>
      <c r="M766" s="375" t="e">
        <f>ROUND(K766*J766,0)</f>
        <v>#REF!</v>
      </c>
      <c r="N766" s="403" t="e">
        <f>SUM(L766:M766)</f>
        <v>#REF!</v>
      </c>
      <c r="O766" s="380"/>
      <c r="P766" s="259"/>
      <c r="Q766" s="236"/>
    </row>
    <row r="767" spans="1:17" s="121" customFormat="1" ht="11.1">
      <c r="A767" s="115"/>
      <c r="B767" s="234"/>
      <c r="C767" s="112"/>
      <c r="D767" s="116"/>
      <c r="E767" s="116"/>
      <c r="F767" s="116"/>
      <c r="G767" s="117"/>
      <c r="H767" s="117"/>
      <c r="I767" s="117"/>
      <c r="J767" s="117" t="s">
        <v>472</v>
      </c>
      <c r="K767" s="82" t="s">
        <v>473</v>
      </c>
      <c r="L767" s="235"/>
      <c r="M767" s="235"/>
      <c r="N767" s="118"/>
      <c r="O767" s="119"/>
      <c r="P767" s="117"/>
      <c r="Q767" s="120"/>
    </row>
    <row r="768" spans="1:17" ht="225" customHeight="1">
      <c r="A768" s="78">
        <v>26</v>
      </c>
      <c r="B768" s="79"/>
      <c r="C768" s="2798" t="s">
        <v>929</v>
      </c>
      <c r="D768" s="2799"/>
      <c r="E768" s="2799"/>
      <c r="F768" s="2799"/>
      <c r="G768" s="2799"/>
      <c r="H768" s="2799"/>
      <c r="I768" s="2799"/>
      <c r="J768" s="2799"/>
      <c r="K768" s="82"/>
      <c r="L768" s="222"/>
      <c r="M768" s="222"/>
      <c r="N768" s="83"/>
      <c r="O768" s="89"/>
      <c r="P768" s="88"/>
      <c r="Q768" s="88"/>
    </row>
    <row r="769" spans="1:17">
      <c r="A769" s="78"/>
      <c r="B769" s="79"/>
      <c r="C769" s="269" t="s">
        <v>1260</v>
      </c>
      <c r="D769" s="87">
        <v>1</v>
      </c>
      <c r="E769" s="87" t="s">
        <v>1472</v>
      </c>
      <c r="F769" s="87">
        <v>3</v>
      </c>
      <c r="G769" s="88" t="s">
        <v>472</v>
      </c>
      <c r="H769" s="88"/>
      <c r="I769" s="88"/>
      <c r="J769" s="268">
        <f>F769</f>
        <v>3</v>
      </c>
      <c r="K769" s="82"/>
      <c r="L769" s="222"/>
      <c r="M769" s="222"/>
      <c r="N769" s="83"/>
      <c r="O769" s="89"/>
      <c r="P769" s="88"/>
      <c r="Q769" s="88"/>
    </row>
    <row r="770" spans="1:17">
      <c r="A770" s="78"/>
      <c r="B770" s="79"/>
      <c r="C770" s="343"/>
      <c r="D770" s="87">
        <v>1</v>
      </c>
      <c r="E770" s="87" t="s">
        <v>1472</v>
      </c>
      <c r="F770" s="87">
        <v>3</v>
      </c>
      <c r="G770" s="88" t="s">
        <v>472</v>
      </c>
      <c r="H770" s="88"/>
      <c r="I770" s="88"/>
      <c r="J770" s="268">
        <f>F770</f>
        <v>3</v>
      </c>
      <c r="K770" s="82"/>
      <c r="L770" s="222"/>
      <c r="M770" s="222"/>
      <c r="N770" s="83"/>
      <c r="O770" s="89"/>
      <c r="P770" s="88"/>
      <c r="Q770" s="88"/>
    </row>
    <row r="771" spans="1:17" s="378" customFormat="1">
      <c r="A771" s="196"/>
      <c r="B771" s="376" t="s">
        <v>817</v>
      </c>
      <c r="C771" s="2763"/>
      <c r="D771" s="2763"/>
      <c r="E771" s="2763"/>
      <c r="F771" s="2763"/>
      <c r="G771" s="2763"/>
      <c r="H771" s="2763"/>
      <c r="I771" s="2763"/>
      <c r="J771" s="392">
        <f>SUM(J769:J770)</f>
        <v>6</v>
      </c>
      <c r="K771" s="338" t="e">
        <f>#REF!</f>
        <v>#REF!</v>
      </c>
      <c r="L771" s="111"/>
      <c r="M771" s="375" t="e">
        <f>ROUND(K771*J771,0)</f>
        <v>#REF!</v>
      </c>
      <c r="N771" s="403" t="e">
        <f>SUM(L771:M771)</f>
        <v>#REF!</v>
      </c>
      <c r="O771" s="380"/>
      <c r="P771" s="259"/>
      <c r="Q771" s="236"/>
    </row>
    <row r="772" spans="1:17" s="121" customFormat="1" ht="11.1">
      <c r="A772" s="115"/>
      <c r="B772" s="234"/>
      <c r="C772" s="112"/>
      <c r="D772" s="116"/>
      <c r="E772" s="116"/>
      <c r="F772" s="116"/>
      <c r="G772" s="117"/>
      <c r="H772" s="117"/>
      <c r="I772" s="117"/>
      <c r="J772" s="117" t="s">
        <v>472</v>
      </c>
      <c r="K772" s="82" t="s">
        <v>473</v>
      </c>
      <c r="L772" s="235"/>
      <c r="M772" s="235"/>
      <c r="N772" s="118"/>
      <c r="O772" s="119"/>
      <c r="P772" s="117"/>
      <c r="Q772" s="120"/>
    </row>
    <row r="773" spans="1:17" ht="153.75" customHeight="1">
      <c r="A773" s="78">
        <v>27</v>
      </c>
      <c r="B773" s="79"/>
      <c r="C773" s="2740" t="s">
        <v>50</v>
      </c>
      <c r="D773" s="2741"/>
      <c r="E773" s="2741"/>
      <c r="F773" s="2741"/>
      <c r="G773" s="2741"/>
      <c r="H773" s="2741"/>
      <c r="I773" s="2741"/>
      <c r="J773" s="2741"/>
      <c r="K773" s="82"/>
      <c r="L773" s="222"/>
      <c r="M773" s="222"/>
      <c r="N773" s="83"/>
      <c r="O773" s="89"/>
      <c r="P773" s="88"/>
      <c r="Q773" s="88"/>
    </row>
    <row r="774" spans="1:17">
      <c r="A774" s="78"/>
      <c r="B774" s="79"/>
      <c r="C774" s="353" t="s">
        <v>56</v>
      </c>
      <c r="D774" s="87">
        <v>1</v>
      </c>
      <c r="E774" s="87" t="s">
        <v>1472</v>
      </c>
      <c r="F774" s="87">
        <v>12</v>
      </c>
      <c r="G774" s="88">
        <v>1.35</v>
      </c>
      <c r="H774" s="88"/>
      <c r="I774" s="88">
        <v>1.3</v>
      </c>
      <c r="J774" s="87">
        <f>F774</f>
        <v>12</v>
      </c>
      <c r="K774" s="82"/>
      <c r="L774" s="222"/>
      <c r="M774" s="222"/>
      <c r="N774" s="83"/>
      <c r="O774" s="89"/>
      <c r="P774" s="88"/>
      <c r="Q774" s="88"/>
    </row>
    <row r="775" spans="1:17">
      <c r="A775" s="78"/>
      <c r="B775" s="79"/>
      <c r="C775" s="353" t="s">
        <v>1127</v>
      </c>
      <c r="D775" s="87">
        <v>1</v>
      </c>
      <c r="E775" s="87" t="s">
        <v>1472</v>
      </c>
      <c r="F775" s="87">
        <v>6</v>
      </c>
      <c r="G775" s="88">
        <v>1.35</v>
      </c>
      <c r="H775" s="88"/>
      <c r="I775" s="88">
        <v>1.3</v>
      </c>
      <c r="J775" s="87">
        <f>F775</f>
        <v>6</v>
      </c>
      <c r="K775" s="82"/>
      <c r="L775" s="222"/>
      <c r="M775" s="222"/>
      <c r="N775" s="83"/>
      <c r="O775" s="89"/>
      <c r="P775" s="88"/>
      <c r="Q775" s="88"/>
    </row>
    <row r="776" spans="1:17" s="378" customFormat="1">
      <c r="A776" s="196"/>
      <c r="B776" s="376" t="s">
        <v>818</v>
      </c>
      <c r="C776" s="2763"/>
      <c r="D776" s="2763"/>
      <c r="E776" s="2763"/>
      <c r="F776" s="2763"/>
      <c r="G776" s="2763"/>
      <c r="H776" s="2763"/>
      <c r="I776" s="2763"/>
      <c r="J776" s="87">
        <f>SUM(J774:J775)</f>
        <v>18</v>
      </c>
      <c r="K776" s="338" t="e">
        <f>#REF!</f>
        <v>#REF!</v>
      </c>
      <c r="L776" s="111"/>
      <c r="M776" s="375" t="e">
        <f>ROUND(K776*J776,0)</f>
        <v>#REF!</v>
      </c>
      <c r="N776" s="403" t="e">
        <f>SUM(L776:M776)</f>
        <v>#REF!</v>
      </c>
      <c r="O776" s="380"/>
      <c r="P776" s="259"/>
      <c r="Q776" s="236"/>
    </row>
    <row r="777" spans="1:17" s="121" customFormat="1" ht="11.1">
      <c r="A777" s="115"/>
      <c r="B777" s="234"/>
      <c r="C777" s="112"/>
      <c r="D777" s="116"/>
      <c r="E777" s="116"/>
      <c r="F777" s="116"/>
      <c r="G777" s="117"/>
      <c r="H777" s="117"/>
      <c r="I777" s="117"/>
      <c r="J777" s="117" t="s">
        <v>472</v>
      </c>
      <c r="K777" s="82" t="s">
        <v>473</v>
      </c>
      <c r="L777" s="235"/>
      <c r="M777" s="235"/>
      <c r="N777" s="118"/>
      <c r="O777" s="119"/>
      <c r="P777" s="117"/>
      <c r="Q777" s="120"/>
    </row>
    <row r="778" spans="1:17" ht="153.75" customHeight="1">
      <c r="A778" s="78">
        <v>28</v>
      </c>
      <c r="B778" s="79"/>
      <c r="C778" s="2740" t="s">
        <v>51</v>
      </c>
      <c r="D778" s="2741"/>
      <c r="E778" s="2741"/>
      <c r="F778" s="2741"/>
      <c r="G778" s="2741"/>
      <c r="H778" s="2741"/>
      <c r="I778" s="2741"/>
      <c r="J778" s="2741"/>
      <c r="K778" s="82"/>
      <c r="L778" s="222"/>
      <c r="M778" s="222"/>
      <c r="N778" s="83"/>
      <c r="O778" s="89"/>
      <c r="P778" s="88"/>
      <c r="Q778" s="88"/>
    </row>
    <row r="779" spans="1:17">
      <c r="A779" s="78"/>
      <c r="B779" s="79"/>
      <c r="C779" s="353" t="s">
        <v>1128</v>
      </c>
      <c r="D779" s="87">
        <v>1</v>
      </c>
      <c r="E779" s="87" t="s">
        <v>1472</v>
      </c>
      <c r="F779" s="87">
        <v>1</v>
      </c>
      <c r="G779" s="88">
        <v>1.8</v>
      </c>
      <c r="H779" s="88"/>
      <c r="I779" s="88">
        <v>1.3</v>
      </c>
      <c r="J779" s="87">
        <v>1</v>
      </c>
      <c r="K779" s="82"/>
      <c r="L779" s="222"/>
      <c r="M779" s="222"/>
      <c r="N779" s="83"/>
      <c r="O779" s="89"/>
      <c r="P779" s="88"/>
      <c r="Q779" s="88"/>
    </row>
    <row r="780" spans="1:17">
      <c r="A780" s="78"/>
      <c r="B780" s="79"/>
      <c r="C780" s="353" t="s">
        <v>1129</v>
      </c>
      <c r="D780" s="87">
        <v>1</v>
      </c>
      <c r="E780" s="87" t="s">
        <v>1472</v>
      </c>
      <c r="F780" s="87">
        <v>1</v>
      </c>
      <c r="G780" s="88">
        <v>1.8</v>
      </c>
      <c r="H780" s="88"/>
      <c r="I780" s="88">
        <v>1.3</v>
      </c>
      <c r="J780" s="87">
        <v>1</v>
      </c>
      <c r="K780" s="82"/>
      <c r="L780" s="222"/>
      <c r="M780" s="222"/>
      <c r="N780" s="83"/>
      <c r="O780" s="89"/>
      <c r="P780" s="88"/>
      <c r="Q780" s="88"/>
    </row>
    <row r="781" spans="1:17">
      <c r="A781" s="196"/>
      <c r="B781" s="376" t="s">
        <v>819</v>
      </c>
      <c r="C781" s="2763"/>
      <c r="D781" s="2763"/>
      <c r="E781" s="2763"/>
      <c r="F781" s="2763"/>
      <c r="G781" s="2763"/>
      <c r="H781" s="2763"/>
      <c r="I781" s="2763"/>
      <c r="J781" s="88">
        <f>SUM(J779:J780)</f>
        <v>2</v>
      </c>
      <c r="K781" s="338" t="e">
        <f>#REF!</f>
        <v>#REF!</v>
      </c>
      <c r="L781" s="111"/>
      <c r="M781" s="375" t="e">
        <f>ROUND(K781*J781,0)</f>
        <v>#REF!</v>
      </c>
      <c r="N781" s="403" t="e">
        <f>SUM(L781:M781)</f>
        <v>#REF!</v>
      </c>
      <c r="O781" s="89"/>
      <c r="P781" s="88"/>
      <c r="Q781" s="92"/>
    </row>
    <row r="782" spans="1:17" s="121" customFormat="1" ht="11.1">
      <c r="A782" s="115"/>
      <c r="B782" s="234"/>
      <c r="C782" s="112"/>
      <c r="D782" s="116"/>
      <c r="E782" s="116"/>
      <c r="F782" s="116"/>
      <c r="G782" s="117"/>
      <c r="H782" s="117"/>
      <c r="I782" s="117"/>
      <c r="J782" s="117"/>
      <c r="K782" s="82" t="s">
        <v>473</v>
      </c>
      <c r="L782" s="235"/>
      <c r="M782" s="235"/>
      <c r="N782" s="118"/>
      <c r="O782" s="119"/>
      <c r="P782" s="117"/>
      <c r="Q782" s="120"/>
    </row>
    <row r="783" spans="1:17" ht="153.75" customHeight="1">
      <c r="A783" s="78">
        <v>28</v>
      </c>
      <c r="B783" s="79"/>
      <c r="C783" s="2740" t="s">
        <v>820</v>
      </c>
      <c r="D783" s="2741"/>
      <c r="E783" s="2741"/>
      <c r="F783" s="2741"/>
      <c r="G783" s="2741"/>
      <c r="H783" s="2741"/>
      <c r="I783" s="2741"/>
      <c r="J783" s="2741"/>
      <c r="K783" s="82"/>
      <c r="L783" s="222"/>
      <c r="M783" s="222"/>
      <c r="N783" s="83"/>
      <c r="O783" s="89"/>
      <c r="P783" s="88"/>
      <c r="Q783" s="88"/>
    </row>
    <row r="784" spans="1:17">
      <c r="A784" s="78"/>
      <c r="B784" s="79"/>
      <c r="C784" s="353" t="s">
        <v>1488</v>
      </c>
      <c r="D784" s="87">
        <v>1</v>
      </c>
      <c r="E784" s="87" t="s">
        <v>1472</v>
      </c>
      <c r="F784" s="87">
        <v>2</v>
      </c>
      <c r="G784" s="88">
        <v>0.9</v>
      </c>
      <c r="H784" s="88"/>
      <c r="I784" s="88">
        <v>1.3</v>
      </c>
      <c r="J784" s="87">
        <f>F784</f>
        <v>2</v>
      </c>
      <c r="K784" s="82"/>
      <c r="L784" s="222"/>
      <c r="M784" s="222"/>
      <c r="N784" s="83"/>
      <c r="O784" s="89"/>
      <c r="P784" s="88"/>
      <c r="Q784" s="88"/>
    </row>
    <row r="785" spans="1:17" ht="21.75" customHeight="1">
      <c r="A785" s="357"/>
      <c r="B785" s="288"/>
      <c r="C785" s="2763" t="s">
        <v>270</v>
      </c>
      <c r="D785" s="2763"/>
      <c r="E785" s="2763"/>
      <c r="F785" s="2763"/>
      <c r="G785" s="2763"/>
      <c r="H785" s="2763"/>
      <c r="I785" s="2763"/>
      <c r="J785" s="88">
        <f>SUM(J784:J784)</f>
        <v>2</v>
      </c>
      <c r="K785" s="82">
        <v>0</v>
      </c>
      <c r="M785" s="222"/>
      <c r="N785" s="93">
        <f>SUM(M785:M785)</f>
        <v>0</v>
      </c>
      <c r="O785" s="89"/>
      <c r="P785" s="88"/>
      <c r="Q785" s="92"/>
    </row>
    <row r="786" spans="1:17" s="121" customFormat="1" ht="11.1">
      <c r="A786" s="115"/>
      <c r="B786" s="234"/>
      <c r="C786" s="112"/>
      <c r="D786" s="116"/>
      <c r="E786" s="116"/>
      <c r="F786" s="116"/>
      <c r="G786" s="117"/>
      <c r="H786" s="117"/>
      <c r="I786" s="117"/>
      <c r="J786" s="117">
        <v>7</v>
      </c>
      <c r="K786" s="82" t="s">
        <v>473</v>
      </c>
      <c r="L786" s="235"/>
      <c r="M786" s="235"/>
      <c r="N786" s="118"/>
      <c r="O786" s="119"/>
      <c r="P786" s="117"/>
      <c r="Q786" s="120"/>
    </row>
    <row r="787" spans="1:17" ht="153.75" customHeight="1">
      <c r="A787" s="78">
        <v>28</v>
      </c>
      <c r="B787" s="79"/>
      <c r="C787" s="2740" t="s">
        <v>264</v>
      </c>
      <c r="D787" s="2741"/>
      <c r="E787" s="2741"/>
      <c r="F787" s="2741"/>
      <c r="G787" s="2741"/>
      <c r="H787" s="2741"/>
      <c r="I787" s="2741"/>
      <c r="J787" s="2741"/>
      <c r="K787" s="82"/>
      <c r="L787" s="222"/>
      <c r="M787" s="222"/>
      <c r="N787" s="83"/>
      <c r="O787" s="89"/>
      <c r="P787" s="88"/>
      <c r="Q787" s="88"/>
    </row>
    <row r="788" spans="1:17">
      <c r="A788" s="78"/>
      <c r="B788" s="79"/>
      <c r="C788" s="353" t="s">
        <v>265</v>
      </c>
      <c r="D788" s="87">
        <v>1</v>
      </c>
      <c r="E788" s="87" t="s">
        <v>1472</v>
      </c>
      <c r="F788" s="87">
        <v>2</v>
      </c>
      <c r="G788" s="88">
        <v>0.6</v>
      </c>
      <c r="H788" s="88"/>
      <c r="I788" s="88">
        <v>1.3</v>
      </c>
      <c r="J788" s="87">
        <f>F788</f>
        <v>2</v>
      </c>
      <c r="K788" s="82"/>
      <c r="L788" s="222"/>
      <c r="M788" s="222"/>
      <c r="N788" s="83"/>
      <c r="O788" s="89"/>
      <c r="P788" s="88"/>
      <c r="Q788" s="88"/>
    </row>
    <row r="789" spans="1:17">
      <c r="A789" s="196"/>
      <c r="B789" s="376" t="s">
        <v>821</v>
      </c>
      <c r="C789" s="2763"/>
      <c r="D789" s="2763"/>
      <c r="E789" s="2763"/>
      <c r="F789" s="2763"/>
      <c r="G789" s="2763"/>
      <c r="H789" s="2763"/>
      <c r="I789" s="2763"/>
      <c r="J789" s="88">
        <f>SUM(J788:J788)</f>
        <v>2</v>
      </c>
      <c r="K789" s="338" t="e">
        <f>#REF!</f>
        <v>#REF!</v>
      </c>
      <c r="L789" s="111"/>
      <c r="M789" s="375" t="e">
        <f>ROUND(K789*J789,0)</f>
        <v>#REF!</v>
      </c>
      <c r="N789" s="403" t="e">
        <f>SUM(L789:M789)</f>
        <v>#REF!</v>
      </c>
      <c r="O789" s="89"/>
      <c r="P789" s="88"/>
      <c r="Q789" s="92"/>
    </row>
    <row r="790" spans="1:17" s="121" customFormat="1" ht="11.1">
      <c r="A790" s="115"/>
      <c r="B790" s="234"/>
      <c r="C790" s="112"/>
      <c r="D790" s="116"/>
      <c r="E790" s="116"/>
      <c r="F790" s="116"/>
      <c r="G790" s="117"/>
      <c r="H790" s="117"/>
      <c r="I790" s="117"/>
      <c r="J790" s="117">
        <v>7</v>
      </c>
      <c r="K790" s="82" t="s">
        <v>473</v>
      </c>
      <c r="L790" s="235"/>
      <c r="M790" s="235"/>
      <c r="N790" s="118"/>
      <c r="O790" s="119"/>
      <c r="P790" s="117"/>
      <c r="Q790" s="120"/>
    </row>
    <row r="791" spans="1:17" ht="39.9" customHeight="1">
      <c r="A791" s="78">
        <v>29</v>
      </c>
      <c r="B791" s="79"/>
      <c r="C791" s="2789" t="s">
        <v>81</v>
      </c>
      <c r="D791" s="2790"/>
      <c r="E791" s="2790"/>
      <c r="F791" s="2790"/>
      <c r="G791" s="2790"/>
      <c r="H791" s="2790"/>
      <c r="I791" s="2790"/>
      <c r="J791" s="2791"/>
      <c r="K791" s="82"/>
      <c r="L791" s="222"/>
      <c r="M791" s="222"/>
      <c r="N791" s="83"/>
      <c r="O791" s="89"/>
      <c r="P791" s="88"/>
      <c r="Q791" s="88"/>
    </row>
    <row r="792" spans="1:17">
      <c r="A792" s="78"/>
      <c r="B792" s="79"/>
      <c r="C792" s="90" t="s">
        <v>328</v>
      </c>
      <c r="D792" s="87">
        <v>1</v>
      </c>
      <c r="E792" s="87" t="s">
        <v>1472</v>
      </c>
      <c r="F792" s="87">
        <v>2</v>
      </c>
      <c r="G792" s="88">
        <v>0.6</v>
      </c>
      <c r="H792" s="88"/>
      <c r="I792" s="88">
        <v>0.6</v>
      </c>
      <c r="J792" s="88">
        <f>ROUND(I792*G792*F792*D792,2)</f>
        <v>0.72</v>
      </c>
      <c r="K792" s="82"/>
      <c r="L792" s="222"/>
      <c r="M792" s="222"/>
      <c r="N792" s="83"/>
      <c r="O792" s="89"/>
      <c r="P792" s="88"/>
      <c r="Q792" s="88"/>
    </row>
    <row r="793" spans="1:17">
      <c r="A793" s="78"/>
      <c r="B793" s="79"/>
      <c r="C793" s="90" t="s">
        <v>329</v>
      </c>
      <c r="D793" s="87">
        <v>1</v>
      </c>
      <c r="E793" s="87" t="s">
        <v>1472</v>
      </c>
      <c r="F793" s="87">
        <v>3</v>
      </c>
      <c r="G793" s="88">
        <v>0.6</v>
      </c>
      <c r="H793" s="88"/>
      <c r="I793" s="88">
        <v>0.6</v>
      </c>
      <c r="J793" s="88">
        <f>ROUND(I793*G793*F793*D793,2)</f>
        <v>1.08</v>
      </c>
      <c r="K793" s="82"/>
      <c r="L793" s="222"/>
      <c r="M793" s="222"/>
      <c r="N793" s="83"/>
      <c r="O793" s="89"/>
      <c r="P793" s="88"/>
      <c r="Q793" s="88"/>
    </row>
    <row r="794" spans="1:17">
      <c r="A794" s="196"/>
      <c r="B794" s="376" t="s">
        <v>266</v>
      </c>
      <c r="C794" s="2763"/>
      <c r="D794" s="2763"/>
      <c r="E794" s="2763"/>
      <c r="F794" s="2763"/>
      <c r="G794" s="2763"/>
      <c r="H794" s="2763"/>
      <c r="I794" s="2763"/>
      <c r="J794" s="92">
        <f>SUM(J792:J793)</f>
        <v>1.8</v>
      </c>
      <c r="K794" s="338">
        <v>355</v>
      </c>
      <c r="L794" s="111"/>
      <c r="M794" s="375">
        <f>ROUND(K794*J794,0)</f>
        <v>639</v>
      </c>
      <c r="N794" s="403">
        <f>SUM(L794:M794)</f>
        <v>639</v>
      </c>
      <c r="O794" s="89"/>
      <c r="P794" s="88"/>
      <c r="Q794" s="92"/>
    </row>
    <row r="795" spans="1:17" ht="24" customHeight="1">
      <c r="A795" s="78"/>
      <c r="B795" s="79"/>
      <c r="C795" s="64"/>
      <c r="D795" s="87"/>
      <c r="E795" s="87"/>
      <c r="F795" s="87"/>
      <c r="G795" s="88"/>
      <c r="H795" s="88"/>
      <c r="I795" s="88"/>
      <c r="J795" s="117" t="s">
        <v>472</v>
      </c>
      <c r="K795" s="82" t="s">
        <v>473</v>
      </c>
      <c r="L795" s="222"/>
      <c r="M795" s="222"/>
      <c r="N795" s="83"/>
      <c r="O795" s="89"/>
      <c r="P795" s="88"/>
      <c r="Q795" s="88"/>
    </row>
    <row r="796" spans="1:17" ht="138.75" customHeight="1">
      <c r="A796" s="78">
        <v>30</v>
      </c>
      <c r="B796" s="79"/>
      <c r="C796" s="2740" t="s">
        <v>548</v>
      </c>
      <c r="D796" s="2741"/>
      <c r="E796" s="2741"/>
      <c r="F796" s="2741"/>
      <c r="G796" s="2741"/>
      <c r="H796" s="2741"/>
      <c r="I796" s="2741"/>
      <c r="J796" s="2741"/>
      <c r="K796" s="82"/>
      <c r="L796" s="222"/>
      <c r="M796" s="222"/>
      <c r="N796" s="83"/>
      <c r="O796" s="89"/>
      <c r="P796" s="88"/>
      <c r="Q796" s="88"/>
    </row>
    <row r="797" spans="1:17" s="378" customFormat="1">
      <c r="A797" s="78"/>
      <c r="B797" s="376" t="s">
        <v>577</v>
      </c>
      <c r="C797" s="266" t="s">
        <v>474</v>
      </c>
      <c r="D797" s="25"/>
      <c r="E797" s="25"/>
      <c r="F797" s="349"/>
      <c r="G797" s="393">
        <f>J551+J567+J573</f>
        <v>336.2</v>
      </c>
      <c r="H797" s="25"/>
      <c r="I797" s="25"/>
      <c r="J797" s="105">
        <f>G797</f>
        <v>336.2</v>
      </c>
      <c r="K797" s="338">
        <f>Datas!G880</f>
        <v>412.18</v>
      </c>
      <c r="L797" s="222"/>
      <c r="M797" s="375">
        <f>ROUND(K797*J797/10,0)</f>
        <v>13857</v>
      </c>
      <c r="N797" s="403">
        <f>SUM(L797:M797)</f>
        <v>13857</v>
      </c>
      <c r="O797" s="380"/>
      <c r="P797" s="259"/>
      <c r="Q797" s="259"/>
    </row>
    <row r="798" spans="1:17">
      <c r="A798" s="78"/>
      <c r="B798" s="79"/>
      <c r="C798" s="266" t="s">
        <v>82</v>
      </c>
      <c r="D798" s="25"/>
      <c r="E798" s="25"/>
      <c r="F798" s="349"/>
      <c r="G798" s="237">
        <f>J598</f>
        <v>345.85</v>
      </c>
      <c r="H798" s="25"/>
      <c r="I798" s="25"/>
      <c r="J798" s="25"/>
      <c r="K798" s="82"/>
      <c r="L798" s="222"/>
      <c r="M798" s="222"/>
      <c r="N798" s="83"/>
      <c r="O798" s="89"/>
      <c r="P798" s="88"/>
      <c r="Q798" s="88"/>
    </row>
    <row r="799" spans="1:17">
      <c r="A799" s="78"/>
      <c r="B799" s="79"/>
      <c r="C799" s="266" t="s">
        <v>457</v>
      </c>
      <c r="D799" s="25"/>
      <c r="E799" s="25"/>
      <c r="F799" s="349"/>
      <c r="G799" s="237">
        <f>+J621</f>
        <v>371.8</v>
      </c>
      <c r="H799" s="25"/>
      <c r="I799" s="25"/>
      <c r="J799" s="25"/>
      <c r="K799" s="82"/>
      <c r="L799" s="222"/>
      <c r="M799" s="222"/>
      <c r="N799" s="83"/>
      <c r="O799" s="89"/>
      <c r="P799" s="88"/>
      <c r="Q799" s="88"/>
    </row>
    <row r="800" spans="1:17">
      <c r="A800" s="78"/>
      <c r="B800" s="79"/>
      <c r="C800" s="266" t="s">
        <v>457</v>
      </c>
      <c r="D800" s="25"/>
      <c r="E800" s="25"/>
      <c r="F800" s="349"/>
      <c r="G800" s="237">
        <f>+J630</f>
        <v>30.85</v>
      </c>
      <c r="H800" s="25"/>
      <c r="I800" s="25"/>
      <c r="J800" s="25"/>
      <c r="K800" s="82"/>
      <c r="L800" s="222"/>
      <c r="M800" s="222"/>
      <c r="N800" s="83"/>
      <c r="O800" s="89"/>
      <c r="P800" s="88"/>
      <c r="Q800" s="88"/>
    </row>
    <row r="801" spans="1:17" ht="24" customHeight="1">
      <c r="A801" s="78"/>
      <c r="B801" s="79"/>
      <c r="C801" s="64"/>
      <c r="D801" s="87"/>
      <c r="E801" s="87"/>
      <c r="F801" s="87"/>
      <c r="G801" s="122">
        <f>SUM(G798:G800)</f>
        <v>748.50000000000011</v>
      </c>
      <c r="H801" s="88"/>
      <c r="I801" s="88" t="s">
        <v>471</v>
      </c>
      <c r="J801" s="122">
        <f>CEILING(G801,0.05)</f>
        <v>748.5</v>
      </c>
      <c r="K801" s="82"/>
      <c r="L801" s="222"/>
      <c r="M801" s="222"/>
      <c r="N801" s="83"/>
      <c r="O801" s="89"/>
      <c r="P801" s="88"/>
      <c r="Q801" s="92"/>
    </row>
    <row r="802" spans="1:17" ht="24" customHeight="1">
      <c r="A802" s="78"/>
      <c r="B802" s="79"/>
      <c r="C802" s="64"/>
      <c r="D802" s="87"/>
      <c r="E802" s="87"/>
      <c r="F802" s="87"/>
      <c r="G802" s="88"/>
      <c r="H802" s="88"/>
      <c r="I802" s="88"/>
      <c r="J802" s="92" t="s">
        <v>1478</v>
      </c>
      <c r="K802" s="82"/>
      <c r="L802" s="222"/>
      <c r="M802" s="222"/>
      <c r="N802" s="83"/>
      <c r="O802" s="89"/>
      <c r="P802" s="88"/>
      <c r="Q802" s="88"/>
    </row>
    <row r="803" spans="1:17" s="378" customFormat="1">
      <c r="A803" s="196"/>
      <c r="B803" s="376" t="s">
        <v>578</v>
      </c>
      <c r="C803" s="2763"/>
      <c r="D803" s="2763"/>
      <c r="E803" s="2763"/>
      <c r="F803" s="2763"/>
      <c r="G803" s="2763"/>
      <c r="H803" s="2763"/>
      <c r="I803" s="2763"/>
      <c r="J803" s="122">
        <f>J801</f>
        <v>748.5</v>
      </c>
      <c r="K803" s="338">
        <f>Datas!G880</f>
        <v>412.18</v>
      </c>
      <c r="L803" s="222"/>
      <c r="M803" s="375">
        <f>ROUND(K803*J803/10,0)</f>
        <v>30852</v>
      </c>
      <c r="N803" s="403">
        <f>SUM(L803:M803)</f>
        <v>30852</v>
      </c>
      <c r="O803" s="380"/>
      <c r="P803" s="259"/>
      <c r="Q803" s="236"/>
    </row>
    <row r="804" spans="1:17" ht="24" customHeight="1">
      <c r="A804" s="78"/>
      <c r="B804" s="3"/>
      <c r="D804" s="3"/>
      <c r="G804" s="3"/>
      <c r="H804" s="3"/>
      <c r="I804" s="3"/>
      <c r="J804" s="92" t="s">
        <v>1478</v>
      </c>
      <c r="K804" s="82" t="s">
        <v>672</v>
      </c>
      <c r="L804" s="225"/>
      <c r="M804" s="225"/>
      <c r="N804" s="93"/>
      <c r="O804" s="89"/>
      <c r="P804" s="88"/>
      <c r="Q804" s="88"/>
    </row>
    <row r="805" spans="1:17" ht="163.5" customHeight="1">
      <c r="A805" s="78">
        <v>31</v>
      </c>
      <c r="B805" s="79"/>
      <c r="C805" s="2740" t="s">
        <v>1026</v>
      </c>
      <c r="D805" s="2741"/>
      <c r="E805" s="2741"/>
      <c r="F805" s="2741"/>
      <c r="G805" s="2741"/>
      <c r="H805" s="2741"/>
      <c r="I805" s="2741"/>
      <c r="J805" s="2741"/>
      <c r="K805" s="82"/>
      <c r="L805" s="222"/>
      <c r="M805" s="222"/>
      <c r="N805" s="83"/>
      <c r="O805" s="89"/>
      <c r="P805" s="88"/>
      <c r="Q805" s="88"/>
    </row>
    <row r="806" spans="1:17">
      <c r="A806" s="78"/>
      <c r="B806" s="79"/>
      <c r="C806" s="266" t="s">
        <v>458</v>
      </c>
      <c r="D806" s="25"/>
      <c r="E806" s="25"/>
      <c r="F806" s="349"/>
      <c r="G806" s="237">
        <f>J639</f>
        <v>200.05</v>
      </c>
      <c r="H806" s="25"/>
      <c r="I806" s="25"/>
      <c r="J806" s="25"/>
      <c r="K806" s="82"/>
      <c r="L806" s="222"/>
      <c r="M806" s="222"/>
      <c r="N806" s="83"/>
      <c r="O806" s="89"/>
      <c r="P806" s="88"/>
      <c r="Q806" s="88"/>
    </row>
    <row r="807" spans="1:17">
      <c r="A807" s="78"/>
      <c r="B807" s="79"/>
      <c r="C807" s="266" t="s">
        <v>459</v>
      </c>
      <c r="D807" s="25"/>
      <c r="E807" s="25"/>
      <c r="F807" s="349"/>
      <c r="G807" s="237">
        <f>+J650</f>
        <v>210.8</v>
      </c>
      <c r="H807" s="25"/>
      <c r="I807" s="25"/>
      <c r="J807" s="25"/>
      <c r="K807" s="82"/>
      <c r="L807" s="222"/>
      <c r="M807" s="222"/>
      <c r="N807" s="83"/>
      <c r="O807" s="89"/>
      <c r="P807" s="88"/>
      <c r="Q807" s="88"/>
    </row>
    <row r="808" spans="1:17">
      <c r="A808" s="78"/>
      <c r="B808" s="79"/>
      <c r="C808" s="266" t="s">
        <v>330</v>
      </c>
      <c r="D808" s="25"/>
      <c r="E808" s="25"/>
      <c r="F808" s="349"/>
      <c r="G808" s="237">
        <f>+J660</f>
        <v>136.35</v>
      </c>
      <c r="H808" s="25"/>
      <c r="I808" s="25"/>
      <c r="J808" s="25"/>
      <c r="K808" s="82"/>
      <c r="L808" s="222"/>
      <c r="M808" s="222"/>
      <c r="N808" s="83"/>
      <c r="O808" s="89"/>
      <c r="P808" s="88"/>
      <c r="Q808" s="88"/>
    </row>
    <row r="809" spans="1:17">
      <c r="A809" s="78"/>
      <c r="B809" s="79"/>
      <c r="C809" s="107" t="s">
        <v>475</v>
      </c>
      <c r="D809" s="25"/>
      <c r="E809" s="25"/>
      <c r="F809" s="349"/>
      <c r="G809" s="237">
        <f>J755</f>
        <v>41.28</v>
      </c>
      <c r="H809" s="25"/>
      <c r="I809" s="25"/>
      <c r="J809" s="25"/>
      <c r="K809" s="82"/>
      <c r="L809" s="222"/>
      <c r="M809" s="222"/>
      <c r="N809" s="83"/>
      <c r="O809" s="89"/>
      <c r="P809" s="88"/>
      <c r="Q809" s="88"/>
    </row>
    <row r="810" spans="1:17" ht="24" customHeight="1">
      <c r="A810" s="78"/>
      <c r="B810" s="79"/>
      <c r="C810" s="64"/>
      <c r="D810" s="87"/>
      <c r="E810" s="87"/>
      <c r="F810" s="87"/>
      <c r="G810" s="88">
        <f>SUM(G806:G809)</f>
        <v>588.48</v>
      </c>
      <c r="H810" s="88"/>
      <c r="I810" s="88" t="s">
        <v>471</v>
      </c>
      <c r="J810" s="122">
        <f>CEILING(G810,0.05)</f>
        <v>588.5</v>
      </c>
      <c r="K810" s="82"/>
      <c r="L810" s="222"/>
      <c r="M810" s="222"/>
      <c r="N810" s="83"/>
      <c r="O810" s="89"/>
      <c r="P810" s="88"/>
      <c r="Q810" s="92"/>
    </row>
    <row r="811" spans="1:17" ht="24" customHeight="1">
      <c r="A811" s="78"/>
      <c r="B811" s="79"/>
      <c r="C811" s="64"/>
      <c r="D811" s="87"/>
      <c r="E811" s="87"/>
      <c r="F811" s="87"/>
      <c r="G811" s="88"/>
      <c r="H811" s="88"/>
      <c r="I811" s="88"/>
      <c r="J811" s="92" t="s">
        <v>1478</v>
      </c>
      <c r="K811" s="82"/>
      <c r="L811" s="222"/>
      <c r="M811" s="222"/>
      <c r="N811" s="83"/>
      <c r="O811" s="89"/>
      <c r="P811" s="88"/>
      <c r="Q811" s="88"/>
    </row>
    <row r="812" spans="1:17" s="378" customFormat="1">
      <c r="A812" s="196"/>
      <c r="B812" s="376" t="s">
        <v>579</v>
      </c>
      <c r="C812" s="2763"/>
      <c r="D812" s="2763"/>
      <c r="E812" s="2763"/>
      <c r="F812" s="2763"/>
      <c r="G812" s="2763"/>
      <c r="H812" s="2763"/>
      <c r="I812" s="2763"/>
      <c r="J812" s="122">
        <f>J810</f>
        <v>588.5</v>
      </c>
      <c r="K812" s="338">
        <f>Datas!G983</f>
        <v>2032.3400000000001</v>
      </c>
      <c r="L812" s="222"/>
      <c r="M812" s="375">
        <f>ROUND(K812*J812/10,0)</f>
        <v>119603</v>
      </c>
      <c r="N812" s="403">
        <f>SUM(L812:M812)</f>
        <v>119603</v>
      </c>
      <c r="O812" s="380"/>
      <c r="P812" s="259"/>
      <c r="Q812" s="236"/>
    </row>
    <row r="813" spans="1:17" ht="24" customHeight="1">
      <c r="A813" s="78"/>
      <c r="J813" s="92" t="s">
        <v>1478</v>
      </c>
      <c r="K813" s="82" t="s">
        <v>672</v>
      </c>
      <c r="L813" s="225"/>
      <c r="M813" s="225"/>
      <c r="N813" s="93"/>
      <c r="O813" s="89"/>
      <c r="P813" s="88"/>
      <c r="Q813" s="88"/>
    </row>
    <row r="814" spans="1:17" ht="123.75" customHeight="1">
      <c r="A814" s="78">
        <v>32</v>
      </c>
      <c r="B814" s="79"/>
      <c r="C814" s="2798" t="s">
        <v>1027</v>
      </c>
      <c r="D814" s="2799"/>
      <c r="E814" s="2799"/>
      <c r="F814" s="2799"/>
      <c r="G814" s="2799"/>
      <c r="H814" s="2799"/>
      <c r="I814" s="2799"/>
      <c r="J814" s="2799"/>
      <c r="K814" s="82"/>
      <c r="L814" s="222"/>
      <c r="M814" s="222"/>
      <c r="N814" s="83"/>
      <c r="O814" s="89"/>
      <c r="P814" s="88"/>
      <c r="Q814" s="88"/>
    </row>
    <row r="815" spans="1:17" ht="21.75" customHeight="1">
      <c r="A815" s="78"/>
      <c r="B815" s="79"/>
      <c r="C815" s="270" t="s">
        <v>980</v>
      </c>
      <c r="D815" s="87">
        <v>1</v>
      </c>
      <c r="E815" s="87" t="s">
        <v>1472</v>
      </c>
      <c r="F815" s="87">
        <v>2</v>
      </c>
      <c r="G815" s="88">
        <v>2.25</v>
      </c>
      <c r="H815" s="88">
        <v>1.2</v>
      </c>
      <c r="I815" s="88">
        <v>2.1</v>
      </c>
      <c r="J815" s="88">
        <f t="shared" ref="J815:J822" si="40">ROUND(D815*F815*G815*H815*I815,2)</f>
        <v>11.34</v>
      </c>
      <c r="K815" s="82"/>
      <c r="L815" s="222"/>
      <c r="M815" s="222"/>
      <c r="N815" s="83"/>
      <c r="O815" s="89"/>
      <c r="P815" s="88"/>
      <c r="Q815" s="92"/>
    </row>
    <row r="816" spans="1:17" ht="21.75" customHeight="1">
      <c r="A816" s="78"/>
      <c r="B816" s="79"/>
      <c r="C816" s="270" t="s">
        <v>981</v>
      </c>
      <c r="D816" s="87">
        <v>1</v>
      </c>
      <c r="E816" s="87" t="s">
        <v>1472</v>
      </c>
      <c r="F816" s="87">
        <v>1</v>
      </c>
      <c r="G816" s="88">
        <v>2.25</v>
      </c>
      <c r="H816" s="88">
        <v>1.2</v>
      </c>
      <c r="I816" s="88">
        <v>2.1</v>
      </c>
      <c r="J816" s="88">
        <f t="shared" si="40"/>
        <v>5.67</v>
      </c>
      <c r="K816" s="82"/>
      <c r="L816" s="222"/>
      <c r="M816" s="222"/>
      <c r="N816" s="83"/>
      <c r="O816" s="89"/>
      <c r="P816" s="88"/>
      <c r="Q816" s="92"/>
    </row>
    <row r="817" spans="1:17" ht="21.75" customHeight="1">
      <c r="A817" s="78"/>
      <c r="B817" s="79"/>
      <c r="C817" s="270" t="s">
        <v>101</v>
      </c>
      <c r="D817" s="87">
        <v>1</v>
      </c>
      <c r="E817" s="87" t="s">
        <v>1472</v>
      </c>
      <c r="F817" s="87">
        <v>12</v>
      </c>
      <c r="G817" s="88">
        <v>2.25</v>
      </c>
      <c r="H817" s="88">
        <v>0.9</v>
      </c>
      <c r="I817" s="88">
        <v>2.1</v>
      </c>
      <c r="J817" s="88">
        <f t="shared" si="40"/>
        <v>51.03</v>
      </c>
      <c r="K817" s="82"/>
      <c r="L817" s="222"/>
      <c r="M817" s="222"/>
      <c r="N817" s="83"/>
      <c r="O817" s="89"/>
      <c r="P817" s="88"/>
      <c r="Q817" s="92"/>
    </row>
    <row r="818" spans="1:17" ht="21.75" customHeight="1">
      <c r="A818" s="78"/>
      <c r="B818" s="79"/>
      <c r="C818" s="270" t="s">
        <v>102</v>
      </c>
      <c r="D818" s="87">
        <v>1</v>
      </c>
      <c r="E818" s="87" t="s">
        <v>1472</v>
      </c>
      <c r="F818" s="87">
        <v>6</v>
      </c>
      <c r="G818" s="88">
        <v>2.25</v>
      </c>
      <c r="H818" s="88">
        <v>0.75</v>
      </c>
      <c r="I818" s="88">
        <v>2.1</v>
      </c>
      <c r="J818" s="88">
        <f t="shared" si="40"/>
        <v>21.26</v>
      </c>
      <c r="K818" s="82"/>
      <c r="L818" s="222"/>
      <c r="M818" s="222"/>
      <c r="N818" s="83"/>
      <c r="O818" s="89"/>
      <c r="P818" s="88"/>
      <c r="Q818" s="92"/>
    </row>
    <row r="819" spans="1:17" ht="21.75" customHeight="1">
      <c r="A819" s="78"/>
      <c r="B819" s="79"/>
      <c r="C819" s="270" t="s">
        <v>251</v>
      </c>
      <c r="D819" s="87">
        <v>1</v>
      </c>
      <c r="E819" s="87" t="s">
        <v>1472</v>
      </c>
      <c r="F819" s="87">
        <v>18</v>
      </c>
      <c r="G819" s="88">
        <v>2.75</v>
      </c>
      <c r="H819" s="88">
        <v>1.35</v>
      </c>
      <c r="I819" s="88">
        <v>1.3</v>
      </c>
      <c r="J819" s="88">
        <f t="shared" si="40"/>
        <v>86.87</v>
      </c>
      <c r="K819" s="82"/>
      <c r="L819" s="222"/>
      <c r="M819" s="222"/>
      <c r="N819" s="83"/>
      <c r="O819" s="89"/>
      <c r="P819" s="88"/>
      <c r="Q819" s="92"/>
    </row>
    <row r="820" spans="1:17" ht="21.75" customHeight="1">
      <c r="A820" s="78"/>
      <c r="B820" s="79"/>
      <c r="C820" s="270" t="s">
        <v>1237</v>
      </c>
      <c r="D820" s="87">
        <v>1</v>
      </c>
      <c r="E820" s="87" t="s">
        <v>1472</v>
      </c>
      <c r="F820" s="87">
        <v>2</v>
      </c>
      <c r="G820" s="88">
        <v>2.75</v>
      </c>
      <c r="H820" s="88">
        <v>1.8</v>
      </c>
      <c r="I820" s="88">
        <v>1.3</v>
      </c>
      <c r="J820" s="88">
        <f t="shared" si="40"/>
        <v>12.87</v>
      </c>
      <c r="K820" s="82"/>
      <c r="L820" s="222"/>
      <c r="M820" s="222"/>
      <c r="N820" s="83"/>
      <c r="O820" s="89"/>
      <c r="P820" s="88"/>
      <c r="Q820" s="92"/>
    </row>
    <row r="821" spans="1:17" ht="21.75" customHeight="1">
      <c r="A821" s="78"/>
      <c r="B821" s="79"/>
      <c r="C821" s="270" t="s">
        <v>1238</v>
      </c>
      <c r="D821" s="87">
        <v>1</v>
      </c>
      <c r="E821" s="87" t="s">
        <v>1472</v>
      </c>
      <c r="F821" s="87">
        <v>2</v>
      </c>
      <c r="G821" s="88">
        <v>2.75</v>
      </c>
      <c r="H821" s="88">
        <v>0.9</v>
      </c>
      <c r="I821" s="88">
        <v>1.3</v>
      </c>
      <c r="J821" s="88">
        <f t="shared" si="40"/>
        <v>6.44</v>
      </c>
      <c r="K821" s="82"/>
      <c r="L821" s="222"/>
      <c r="M821" s="222"/>
      <c r="N821" s="83"/>
      <c r="O821" s="89"/>
      <c r="P821" s="88"/>
      <c r="Q821" s="92"/>
    </row>
    <row r="822" spans="1:17" ht="21.75" customHeight="1">
      <c r="A822" s="78"/>
      <c r="B822" s="79"/>
      <c r="C822" s="270" t="s">
        <v>1239</v>
      </c>
      <c r="D822" s="87">
        <v>1</v>
      </c>
      <c r="E822" s="87" t="s">
        <v>1472</v>
      </c>
      <c r="F822" s="87">
        <v>2</v>
      </c>
      <c r="G822" s="88">
        <v>2.75</v>
      </c>
      <c r="H822" s="88">
        <v>0.6</v>
      </c>
      <c r="I822" s="88">
        <v>1.3</v>
      </c>
      <c r="J822" s="88">
        <f t="shared" si="40"/>
        <v>4.29</v>
      </c>
      <c r="K822" s="82"/>
      <c r="L822" s="222"/>
      <c r="M822" s="222"/>
      <c r="N822" s="83"/>
      <c r="O822" s="89"/>
      <c r="P822" s="88"/>
      <c r="Q822" s="92"/>
    </row>
    <row r="823" spans="1:17" ht="20.25" customHeight="1">
      <c r="A823" s="78"/>
      <c r="B823" s="79"/>
      <c r="C823" s="97"/>
      <c r="D823" s="87"/>
      <c r="E823" s="87"/>
      <c r="F823" s="87"/>
      <c r="G823" s="88"/>
      <c r="H823" s="88"/>
      <c r="I823" s="88"/>
      <c r="J823" s="88">
        <f>SUM(J815:J822)</f>
        <v>199.77</v>
      </c>
      <c r="K823" s="82"/>
      <c r="L823" s="222"/>
      <c r="M823" s="222"/>
      <c r="N823" s="83"/>
      <c r="O823" s="89"/>
      <c r="P823" s="88"/>
      <c r="Q823" s="88"/>
    </row>
    <row r="824" spans="1:17" ht="20.25" customHeight="1">
      <c r="A824" s="78"/>
      <c r="B824" s="79"/>
      <c r="C824" s="64"/>
      <c r="D824" s="87"/>
      <c r="E824" s="87"/>
      <c r="F824" s="87"/>
      <c r="G824" s="88"/>
      <c r="H824" s="88"/>
      <c r="I824" s="88" t="s">
        <v>471</v>
      </c>
      <c r="J824" s="92">
        <f>CEILING(J823,0.05)</f>
        <v>199.8</v>
      </c>
      <c r="K824" s="82"/>
      <c r="L824" s="222"/>
      <c r="M824" s="222"/>
      <c r="N824" s="83"/>
      <c r="O824" s="89"/>
      <c r="P824" s="88"/>
      <c r="Q824" s="92"/>
    </row>
    <row r="825" spans="1:17" ht="20.25" customHeight="1">
      <c r="A825" s="196"/>
      <c r="B825" s="79"/>
      <c r="C825" s="64"/>
      <c r="D825" s="87"/>
      <c r="E825" s="87"/>
      <c r="F825" s="87"/>
      <c r="G825" s="88"/>
      <c r="H825" s="88"/>
      <c r="I825" s="88"/>
      <c r="J825" s="92" t="s">
        <v>1478</v>
      </c>
      <c r="K825" s="82"/>
      <c r="L825" s="222"/>
      <c r="M825" s="222"/>
      <c r="N825" s="83"/>
      <c r="O825" s="89"/>
      <c r="P825" s="88"/>
      <c r="Q825" s="88"/>
    </row>
    <row r="826" spans="1:17" s="378" customFormat="1">
      <c r="A826" s="78"/>
      <c r="B826" s="376" t="s">
        <v>580</v>
      </c>
      <c r="C826" s="3"/>
      <c r="D826" s="3"/>
      <c r="E826" s="3"/>
      <c r="F826" s="346"/>
      <c r="G826" s="3"/>
      <c r="H826" s="3"/>
      <c r="I826" s="3"/>
      <c r="J826" s="92">
        <f>J824</f>
        <v>199.8</v>
      </c>
      <c r="K826" s="338">
        <f>Datas!G925</f>
        <v>113.67999999999999</v>
      </c>
      <c r="L826" s="111"/>
      <c r="M826" s="375">
        <f>ROUND(K826*J826/10,0)</f>
        <v>2271</v>
      </c>
      <c r="N826" s="403">
        <f>SUM(L826:M826)</f>
        <v>2271</v>
      </c>
      <c r="O826" s="380"/>
      <c r="P826" s="384"/>
      <c r="Q826" s="236"/>
    </row>
    <row r="827" spans="1:17" s="3" customFormat="1" ht="20.25" customHeight="1">
      <c r="A827" s="196"/>
      <c r="B827" s="196"/>
      <c r="C827" s="2763"/>
      <c r="D827" s="2763"/>
      <c r="E827" s="2763"/>
      <c r="F827" s="2763"/>
      <c r="G827" s="2763"/>
      <c r="H827" s="2763"/>
      <c r="I827" s="2763"/>
      <c r="J827" s="92" t="s">
        <v>1478</v>
      </c>
      <c r="K827" s="82" t="s">
        <v>476</v>
      </c>
      <c r="L827" s="222"/>
      <c r="M827" s="222"/>
      <c r="N827" s="83"/>
      <c r="O827" s="89"/>
      <c r="P827" s="88"/>
      <c r="Q827" s="88"/>
    </row>
    <row r="828" spans="1:17" ht="20.25" customHeight="1">
      <c r="A828" s="78"/>
      <c r="B828" s="79"/>
      <c r="C828" s="64" t="s">
        <v>1115</v>
      </c>
      <c r="D828" s="87"/>
      <c r="E828" s="87"/>
      <c r="F828" s="87"/>
      <c r="G828" s="88"/>
      <c r="H828" s="88"/>
      <c r="I828" s="88"/>
      <c r="J828" s="92"/>
      <c r="K828" s="82"/>
      <c r="L828" s="222"/>
      <c r="M828" s="222"/>
      <c r="N828" s="93"/>
      <c r="O828" s="89"/>
      <c r="P828" s="88"/>
      <c r="Q828" s="88"/>
    </row>
    <row r="829" spans="1:17" s="58" customFormat="1" ht="144" customHeight="1">
      <c r="A829" s="227">
        <v>33</v>
      </c>
      <c r="B829" s="228"/>
      <c r="C829" s="2740" t="s">
        <v>57</v>
      </c>
      <c r="D829" s="2741"/>
      <c r="E829" s="2741"/>
      <c r="F829" s="2741"/>
      <c r="G829" s="2741"/>
      <c r="H829" s="2741"/>
      <c r="I829" s="2741"/>
      <c r="J829" s="2741"/>
      <c r="K829" s="229"/>
      <c r="L829" s="230"/>
      <c r="M829" s="230"/>
      <c r="N829" s="231"/>
      <c r="O829" s="232"/>
      <c r="P829" s="233"/>
      <c r="Q829" s="233"/>
    </row>
    <row r="830" spans="1:17" s="3" customFormat="1" ht="20.25" customHeight="1">
      <c r="A830" s="357"/>
      <c r="B830" s="79"/>
      <c r="C830" s="271" t="s">
        <v>287</v>
      </c>
      <c r="D830" s="87">
        <v>3</v>
      </c>
      <c r="E830" s="87" t="s">
        <v>1472</v>
      </c>
      <c r="F830" s="87">
        <v>3</v>
      </c>
      <c r="G830" s="88">
        <v>3.5</v>
      </c>
      <c r="H830" s="88"/>
      <c r="I830" s="88"/>
      <c r="J830" s="92">
        <f>D830*F830*G830</f>
        <v>31.5</v>
      </c>
      <c r="K830" s="82"/>
      <c r="L830" s="222"/>
      <c r="M830" s="222"/>
      <c r="N830" s="83"/>
      <c r="O830" s="89"/>
      <c r="P830" s="88"/>
      <c r="Q830" s="92"/>
    </row>
    <row r="831" spans="1:17" ht="180" customHeight="1">
      <c r="A831" s="78">
        <v>34</v>
      </c>
      <c r="B831" s="79"/>
      <c r="C831" s="2740" t="s">
        <v>757</v>
      </c>
      <c r="D831" s="2741"/>
      <c r="E831" s="2741"/>
      <c r="F831" s="2741"/>
      <c r="G831" s="2741"/>
      <c r="H831" s="2741"/>
      <c r="I831" s="2741"/>
      <c r="J831" s="2741"/>
      <c r="K831" s="82"/>
      <c r="L831" s="222"/>
      <c r="M831" s="222"/>
      <c r="N831" s="83"/>
      <c r="O831" s="89"/>
      <c r="P831" s="88"/>
      <c r="Q831" s="88"/>
    </row>
    <row r="832" spans="1:17" s="3" customFormat="1" ht="20.25" customHeight="1">
      <c r="A832" s="196"/>
      <c r="B832" s="383"/>
      <c r="C832" s="2763" t="s">
        <v>288</v>
      </c>
      <c r="D832" s="2763"/>
      <c r="E832" s="2763"/>
      <c r="F832" s="2763"/>
      <c r="G832" s="2763"/>
      <c r="H832" s="2763"/>
      <c r="I832" s="2763"/>
      <c r="J832" s="122">
        <v>0.83</v>
      </c>
      <c r="K832" s="82"/>
      <c r="L832" s="222"/>
      <c r="M832" s="222"/>
      <c r="N832" s="83"/>
      <c r="O832" s="89"/>
      <c r="P832" s="88"/>
      <c r="Q832" s="92"/>
    </row>
    <row r="833" spans="1:17" s="3" customFormat="1" ht="20.25" customHeight="1">
      <c r="A833" s="196"/>
      <c r="B833" s="196"/>
      <c r="C833" s="2763" t="s">
        <v>969</v>
      </c>
      <c r="D833" s="2763"/>
      <c r="E833" s="2763"/>
      <c r="F833" s="2763"/>
      <c r="G833" s="2763"/>
      <c r="H833" s="2763"/>
      <c r="I833" s="2763"/>
      <c r="J833" s="122">
        <v>0.1</v>
      </c>
      <c r="K833" s="82"/>
      <c r="L833" s="222"/>
      <c r="M833" s="222"/>
      <c r="N833" s="83"/>
      <c r="O833" s="89"/>
      <c r="P833" s="88"/>
      <c r="Q833" s="92"/>
    </row>
    <row r="834" spans="1:17" s="3" customFormat="1" ht="20.25" customHeight="1">
      <c r="A834" s="196"/>
      <c r="B834" s="196"/>
      <c r="C834" s="2763" t="s">
        <v>1006</v>
      </c>
      <c r="D834" s="2763"/>
      <c r="E834" s="2763"/>
      <c r="F834" s="2763"/>
      <c r="G834" s="2763"/>
      <c r="H834" s="2763"/>
      <c r="I834" s="2763"/>
      <c r="J834" s="122">
        <v>2.8</v>
      </c>
      <c r="K834" s="82"/>
      <c r="L834" s="222"/>
      <c r="M834" s="222"/>
      <c r="N834" s="83"/>
      <c r="O834" s="89"/>
      <c r="P834" s="88"/>
      <c r="Q834" s="92"/>
    </row>
    <row r="835" spans="1:17" s="3" customFormat="1" ht="20.25" customHeight="1">
      <c r="A835" s="196"/>
      <c r="B835" s="196"/>
      <c r="C835" s="2763" t="s">
        <v>289</v>
      </c>
      <c r="D835" s="2763"/>
      <c r="E835" s="2763"/>
      <c r="F835" s="2763"/>
      <c r="G835" s="2763"/>
      <c r="H835" s="2763"/>
      <c r="I835" s="2763"/>
      <c r="J835" s="122">
        <v>1.8</v>
      </c>
      <c r="K835" s="82"/>
      <c r="L835" s="222"/>
      <c r="M835" s="222"/>
      <c r="N835" s="83"/>
      <c r="O835" s="89"/>
      <c r="P835" s="88"/>
      <c r="Q835" s="92"/>
    </row>
    <row r="836" spans="1:17" s="3" customFormat="1" ht="20.25" customHeight="1">
      <c r="A836" s="196"/>
      <c r="B836" s="196"/>
      <c r="C836" s="2763" t="s">
        <v>290</v>
      </c>
      <c r="D836" s="2763"/>
      <c r="E836" s="2763"/>
      <c r="F836" s="2763"/>
      <c r="G836" s="2763"/>
      <c r="H836" s="2763"/>
      <c r="I836" s="2763"/>
      <c r="J836" s="122">
        <v>1.6</v>
      </c>
      <c r="K836" s="82"/>
      <c r="L836" s="222"/>
      <c r="M836" s="222"/>
      <c r="N836" s="83"/>
      <c r="O836" s="89"/>
      <c r="P836" s="88"/>
      <c r="Q836" s="92"/>
    </row>
    <row r="837" spans="1:17" s="3" customFormat="1" ht="20.25" customHeight="1">
      <c r="A837" s="196"/>
      <c r="B837" s="196"/>
      <c r="C837" s="2763" t="s">
        <v>291</v>
      </c>
      <c r="D837" s="2763"/>
      <c r="E837" s="2763"/>
      <c r="F837" s="2763"/>
      <c r="G837" s="2763"/>
      <c r="H837" s="2763"/>
      <c r="I837" s="2763"/>
      <c r="J837" s="122">
        <v>1.6</v>
      </c>
      <c r="K837" s="82"/>
      <c r="L837" s="222"/>
      <c r="M837" s="222"/>
      <c r="N837" s="83"/>
      <c r="O837" s="89"/>
      <c r="P837" s="88"/>
      <c r="Q837" s="92"/>
    </row>
    <row r="838" spans="1:17" s="3" customFormat="1" ht="20.25" customHeight="1">
      <c r="A838" s="196"/>
      <c r="B838" s="196"/>
      <c r="C838" s="2763" t="s">
        <v>61</v>
      </c>
      <c r="D838" s="2763"/>
      <c r="E838" s="2763"/>
      <c r="F838" s="2763"/>
      <c r="G838" s="2763"/>
      <c r="H838" s="2763"/>
      <c r="I838" s="2763"/>
      <c r="J838" s="122">
        <v>0.37</v>
      </c>
      <c r="K838" s="82"/>
      <c r="L838" s="222"/>
      <c r="M838" s="222"/>
      <c r="N838" s="83"/>
      <c r="O838" s="89"/>
      <c r="P838" s="88"/>
      <c r="Q838" s="92"/>
    </row>
    <row r="839" spans="1:17" s="3" customFormat="1" ht="20.25" customHeight="1">
      <c r="A839" s="196"/>
      <c r="B839" s="196"/>
      <c r="C839" s="2763" t="s">
        <v>62</v>
      </c>
      <c r="D839" s="2763"/>
      <c r="E839" s="2763"/>
      <c r="F839" s="2763"/>
      <c r="G839" s="2763"/>
      <c r="H839" s="2763"/>
      <c r="I839" s="2763"/>
      <c r="J839" s="122">
        <v>0.2</v>
      </c>
      <c r="K839" s="82"/>
      <c r="L839" s="222"/>
      <c r="M839" s="222"/>
      <c r="N839" s="83"/>
      <c r="O839" s="89"/>
      <c r="P839" s="88"/>
      <c r="Q839" s="92"/>
    </row>
    <row r="840" spans="1:17" s="3" customFormat="1" ht="20.25" customHeight="1">
      <c r="A840" s="196"/>
      <c r="B840" s="196"/>
      <c r="C840" s="2763" t="s">
        <v>63</v>
      </c>
      <c r="D840" s="2763"/>
      <c r="E840" s="2763"/>
      <c r="F840" s="2763"/>
      <c r="G840" s="2763"/>
      <c r="H840" s="2763"/>
      <c r="I840" s="2763"/>
      <c r="J840" s="122">
        <v>0.2</v>
      </c>
      <c r="K840" s="82"/>
      <c r="L840" s="222"/>
      <c r="M840" s="222"/>
      <c r="N840" s="83"/>
      <c r="O840" s="89"/>
      <c r="P840" s="88"/>
      <c r="Q840" s="92"/>
    </row>
    <row r="841" spans="1:17" s="378" customFormat="1">
      <c r="A841" s="196"/>
      <c r="B841" s="376" t="s">
        <v>266</v>
      </c>
      <c r="C841" s="2739"/>
      <c r="D841" s="2739"/>
      <c r="E841" s="2739"/>
      <c r="F841" s="2739"/>
      <c r="G841" s="2739"/>
      <c r="H841" s="2739"/>
      <c r="I841" s="2739"/>
      <c r="J841" s="122">
        <f>SUM(J832:J840)</f>
        <v>9.4999999999999964</v>
      </c>
      <c r="K841" s="338">
        <f>Datas!G584</f>
        <v>77799</v>
      </c>
      <c r="L841" s="111"/>
      <c r="M841" s="375">
        <f>ROUND(K841*J841,0)</f>
        <v>739091</v>
      </c>
      <c r="N841" s="403">
        <f>SUM(L841:M841)</f>
        <v>739091</v>
      </c>
      <c r="O841" s="382"/>
      <c r="P841" s="382"/>
      <c r="Q841" s="236"/>
    </row>
    <row r="842" spans="1:17" s="128" customFormat="1" ht="26.25" customHeight="1">
      <c r="A842" s="124"/>
      <c r="B842" s="238"/>
      <c r="C842" s="2743" t="s">
        <v>1165</v>
      </c>
      <c r="D842" s="2743"/>
      <c r="E842" s="2743"/>
      <c r="F842" s="2743"/>
      <c r="G842" s="2743"/>
      <c r="H842" s="2743"/>
      <c r="I842" s="2743"/>
      <c r="J842" s="2743"/>
      <c r="K842" s="125"/>
      <c r="L842" s="239"/>
      <c r="M842" s="239"/>
      <c r="N842" s="126" t="e">
        <f>SUM(N6:N841)</f>
        <v>#REF!</v>
      </c>
      <c r="O842" s="127"/>
    </row>
    <row r="843" spans="1:17" s="128" customFormat="1" ht="92.25" customHeight="1">
      <c r="A843" s="78">
        <v>34</v>
      </c>
      <c r="B843" s="196"/>
      <c r="C843" s="2740" t="s">
        <v>1191</v>
      </c>
      <c r="D843" s="2741"/>
      <c r="E843" s="2741"/>
      <c r="F843" s="2741"/>
      <c r="G843" s="2741"/>
      <c r="H843" s="2741"/>
      <c r="I843" s="2741"/>
      <c r="J843" s="2741"/>
      <c r="K843" s="125"/>
      <c r="L843" s="239"/>
      <c r="M843" s="239"/>
      <c r="N843" s="126"/>
      <c r="O843" s="127"/>
    </row>
    <row r="844" spans="1:17" s="128" customFormat="1" ht="14.4">
      <c r="A844" s="357"/>
      <c r="B844" s="196"/>
      <c r="C844" s="20" t="s">
        <v>331</v>
      </c>
      <c r="D844" s="20"/>
      <c r="E844" s="20"/>
      <c r="F844" s="344"/>
      <c r="G844" s="129">
        <v>50</v>
      </c>
      <c r="H844" s="129"/>
      <c r="I844" s="130"/>
      <c r="J844" s="129">
        <f>G844</f>
        <v>50</v>
      </c>
      <c r="K844" s="131"/>
      <c r="L844" s="240"/>
      <c r="M844" s="239"/>
      <c r="N844" s="126"/>
      <c r="O844" s="127"/>
    </row>
    <row r="845" spans="1:17" s="128" customFormat="1" ht="18.75" customHeight="1">
      <c r="A845" s="78"/>
      <c r="B845" s="196"/>
      <c r="C845" s="20"/>
      <c r="D845" s="20"/>
      <c r="E845" s="20"/>
      <c r="F845" s="344"/>
      <c r="G845" s="129"/>
      <c r="H845" s="129"/>
      <c r="I845" s="130"/>
      <c r="J845" s="129" t="s">
        <v>495</v>
      </c>
      <c r="K845" s="132" t="s">
        <v>495</v>
      </c>
      <c r="L845" s="239"/>
      <c r="M845" s="239"/>
      <c r="N845" s="126"/>
      <c r="O845" s="127"/>
    </row>
    <row r="846" spans="1:17" s="384" customFormat="1" ht="14.4">
      <c r="A846" s="196"/>
      <c r="B846" s="376" t="s">
        <v>581</v>
      </c>
      <c r="C846" s="2739"/>
      <c r="D846" s="2739"/>
      <c r="E846" s="2739"/>
      <c r="F846" s="2739"/>
      <c r="G846" s="2739"/>
      <c r="H846" s="2739"/>
      <c r="I846" s="2739"/>
      <c r="J846" s="129">
        <f>J844</f>
        <v>50</v>
      </c>
      <c r="K846" s="401">
        <f>'data-Elec '!H60</f>
        <v>111.43</v>
      </c>
      <c r="L846" s="321"/>
      <c r="M846" s="401">
        <f>ROUND(J846*K846,0)</f>
        <v>5572</v>
      </c>
      <c r="N846" s="403">
        <f>SUM(L846:M846)</f>
        <v>5572</v>
      </c>
      <c r="O846" s="385"/>
      <c r="Q846" s="236"/>
    </row>
    <row r="847" spans="1:17" s="128" customFormat="1" ht="64.5" customHeight="1">
      <c r="A847" s="78">
        <v>35</v>
      </c>
      <c r="B847" s="196"/>
      <c r="C847" s="2740" t="s">
        <v>1190</v>
      </c>
      <c r="D847" s="2741"/>
      <c r="E847" s="2741"/>
      <c r="F847" s="2741"/>
      <c r="G847" s="2741"/>
      <c r="H847" s="2741"/>
      <c r="I847" s="2741"/>
      <c r="J847" s="2741"/>
      <c r="K847" s="125"/>
      <c r="L847" s="239"/>
      <c r="M847" s="239"/>
      <c r="N847" s="126"/>
      <c r="O847" s="127"/>
    </row>
    <row r="848" spans="1:17" s="128" customFormat="1" ht="14.4">
      <c r="A848" s="78"/>
      <c r="B848" s="196"/>
      <c r="C848" s="20" t="s">
        <v>331</v>
      </c>
      <c r="D848" s="20"/>
      <c r="E848" s="20"/>
      <c r="F848" s="344"/>
      <c r="G848" s="129">
        <v>100</v>
      </c>
      <c r="H848" s="129"/>
      <c r="I848" s="130"/>
      <c r="J848" s="129">
        <f>G848</f>
        <v>100</v>
      </c>
      <c r="K848" s="131"/>
      <c r="L848" s="239"/>
      <c r="M848" s="239"/>
      <c r="N848" s="126"/>
      <c r="O848" s="127"/>
    </row>
    <row r="849" spans="1:17" s="128" customFormat="1" ht="18" customHeight="1">
      <c r="A849" s="78"/>
      <c r="B849" s="196"/>
      <c r="C849" s="20"/>
      <c r="D849" s="20"/>
      <c r="E849" s="20"/>
      <c r="F849" s="344"/>
      <c r="G849" s="129"/>
      <c r="H849" s="129"/>
      <c r="I849" s="130"/>
      <c r="J849" s="129" t="s">
        <v>495</v>
      </c>
      <c r="K849" s="132" t="s">
        <v>495</v>
      </c>
      <c r="L849" s="239"/>
      <c r="M849" s="239"/>
      <c r="N849" s="126"/>
      <c r="O849" s="127"/>
    </row>
    <row r="850" spans="1:17" s="384" customFormat="1" ht="14.4">
      <c r="A850" s="196"/>
      <c r="B850" s="376" t="s">
        <v>582</v>
      </c>
      <c r="C850" s="2739"/>
      <c r="D850" s="2739"/>
      <c r="E850" s="2739"/>
      <c r="F850" s="2739"/>
      <c r="G850" s="2739"/>
      <c r="H850" s="2739"/>
      <c r="I850" s="2739"/>
      <c r="J850" s="129">
        <f>J848</f>
        <v>100</v>
      </c>
      <c r="K850" s="401">
        <f>'data-Elec '!H74</f>
        <v>94.5</v>
      </c>
      <c r="L850" s="321"/>
      <c r="M850" s="401">
        <f>ROUND(J850*K850,0)</f>
        <v>9450</v>
      </c>
      <c r="N850" s="403">
        <f>SUM(L850:M850)</f>
        <v>9450</v>
      </c>
      <c r="O850" s="385"/>
      <c r="Q850" s="236"/>
    </row>
    <row r="851" spans="1:17" s="128" customFormat="1" ht="75" customHeight="1">
      <c r="A851" s="78">
        <v>36</v>
      </c>
      <c r="B851" s="196"/>
      <c r="C851" s="2740" t="s">
        <v>1245</v>
      </c>
      <c r="D851" s="2741"/>
      <c r="E851" s="2741"/>
      <c r="F851" s="2741"/>
      <c r="G851" s="2741"/>
      <c r="H851" s="2741"/>
      <c r="I851" s="2741"/>
      <c r="J851" s="2741"/>
      <c r="K851" s="125"/>
      <c r="L851" s="239"/>
      <c r="M851" s="239"/>
      <c r="N851" s="126"/>
      <c r="O851" s="127"/>
    </row>
    <row r="852" spans="1:17" s="128" customFormat="1" ht="14.4">
      <c r="A852" s="78"/>
      <c r="B852" s="196"/>
      <c r="C852" s="20" t="s">
        <v>331</v>
      </c>
      <c r="D852" s="20">
        <v>1</v>
      </c>
      <c r="E852" s="20" t="s">
        <v>1472</v>
      </c>
      <c r="F852" s="344">
        <v>1</v>
      </c>
      <c r="G852" s="129">
        <v>64</v>
      </c>
      <c r="H852" s="129"/>
      <c r="I852" s="130"/>
      <c r="J852" s="129">
        <f>G852</f>
        <v>64</v>
      </c>
      <c r="K852" s="131"/>
      <c r="L852" s="239"/>
      <c r="M852" s="239"/>
      <c r="N852" s="126"/>
      <c r="O852" s="127"/>
    </row>
    <row r="853" spans="1:17" s="128" customFormat="1" ht="18.75" customHeight="1">
      <c r="A853" s="78"/>
      <c r="B853" s="196"/>
      <c r="C853" s="20"/>
      <c r="D853" s="20"/>
      <c r="E853" s="20"/>
      <c r="F853" s="344"/>
      <c r="G853" s="129"/>
      <c r="H853" s="129"/>
      <c r="I853" s="130"/>
      <c r="J853" s="129" t="s">
        <v>1164</v>
      </c>
      <c r="K853" s="131" t="s">
        <v>1164</v>
      </c>
      <c r="L853" s="239"/>
      <c r="M853" s="239"/>
      <c r="N853" s="126"/>
      <c r="O853" s="127"/>
    </row>
    <row r="854" spans="1:17" s="128" customFormat="1" ht="14.4">
      <c r="A854" s="196"/>
      <c r="B854" s="376" t="s">
        <v>583</v>
      </c>
      <c r="C854" s="2739"/>
      <c r="D854" s="2739"/>
      <c r="E854" s="2739"/>
      <c r="F854" s="2739"/>
      <c r="G854" s="2739"/>
      <c r="H854" s="2739"/>
      <c r="I854" s="2739"/>
      <c r="J854" s="129">
        <f>J852</f>
        <v>64</v>
      </c>
      <c r="K854" s="401">
        <f>'data-Elec '!H92</f>
        <v>554.66999999999996</v>
      </c>
      <c r="L854" s="321"/>
      <c r="M854" s="401">
        <f>ROUND(J854*K854,0)</f>
        <v>35499</v>
      </c>
      <c r="N854" s="403">
        <f>SUM(L854:M854)</f>
        <v>35499</v>
      </c>
      <c r="O854" s="127"/>
      <c r="Q854" s="92"/>
    </row>
    <row r="855" spans="1:17" s="128" customFormat="1" ht="75" customHeight="1">
      <c r="A855" s="78">
        <v>37</v>
      </c>
      <c r="B855" s="196"/>
      <c r="C855" s="2740" t="s">
        <v>1246</v>
      </c>
      <c r="D855" s="2741"/>
      <c r="E855" s="2741"/>
      <c r="F855" s="2741"/>
      <c r="G855" s="2741"/>
      <c r="H855" s="2741"/>
      <c r="I855" s="2741"/>
      <c r="J855" s="2741"/>
      <c r="K855" s="125"/>
      <c r="L855" s="239"/>
      <c r="M855" s="239"/>
      <c r="N855" s="126"/>
      <c r="O855" s="127"/>
    </row>
    <row r="856" spans="1:17" s="128" customFormat="1" ht="20.25" customHeight="1">
      <c r="A856" s="78"/>
      <c r="B856" s="196"/>
      <c r="C856" s="20" t="s">
        <v>331</v>
      </c>
      <c r="D856" s="20">
        <v>1</v>
      </c>
      <c r="E856" s="20" t="s">
        <v>1472</v>
      </c>
      <c r="F856" s="344">
        <v>1</v>
      </c>
      <c r="G856" s="129">
        <v>20</v>
      </c>
      <c r="H856" s="129"/>
      <c r="I856" s="130"/>
      <c r="J856" s="129">
        <v>20</v>
      </c>
      <c r="K856" s="131"/>
      <c r="L856" s="239"/>
      <c r="M856" s="239"/>
      <c r="N856" s="126"/>
      <c r="O856" s="127"/>
    </row>
    <row r="857" spans="1:17" s="128" customFormat="1" ht="14.4">
      <c r="A857" s="78"/>
      <c r="B857" s="196"/>
      <c r="C857" s="20"/>
      <c r="D857" s="20"/>
      <c r="E857" s="20"/>
      <c r="F857" s="344"/>
      <c r="G857" s="129"/>
      <c r="H857" s="129"/>
      <c r="I857" s="130"/>
      <c r="J857" s="129" t="s">
        <v>882</v>
      </c>
      <c r="K857" s="132" t="s">
        <v>882</v>
      </c>
      <c r="L857" s="239"/>
      <c r="M857" s="239"/>
      <c r="N857" s="126"/>
      <c r="O857" s="127"/>
    </row>
    <row r="858" spans="1:17" s="128" customFormat="1" ht="14.4">
      <c r="A858" s="196"/>
      <c r="B858" s="376" t="s">
        <v>584</v>
      </c>
      <c r="C858" s="2739"/>
      <c r="D858" s="2739"/>
      <c r="E858" s="2739"/>
      <c r="F858" s="2739"/>
      <c r="G858" s="2739"/>
      <c r="H858" s="2739"/>
      <c r="I858" s="2739"/>
      <c r="J858" s="129">
        <f>J856</f>
        <v>20</v>
      </c>
      <c r="K858" s="401">
        <f>'data-Elec '!H236</f>
        <v>144.47999999999999</v>
      </c>
      <c r="L858" s="321"/>
      <c r="M858" s="401">
        <f>ROUND(J858*K858,0)</f>
        <v>2890</v>
      </c>
      <c r="N858" s="403">
        <f>SUM(L858:M858)</f>
        <v>2890</v>
      </c>
      <c r="O858" s="127"/>
      <c r="Q858" s="92"/>
    </row>
    <row r="859" spans="1:17" s="128" customFormat="1" ht="75" customHeight="1">
      <c r="A859" s="78">
        <v>38</v>
      </c>
      <c r="B859" s="196"/>
      <c r="C859" s="2740" t="s">
        <v>1247</v>
      </c>
      <c r="D859" s="2741"/>
      <c r="E859" s="2741"/>
      <c r="F859" s="2741"/>
      <c r="G859" s="2741"/>
      <c r="H859" s="2741"/>
      <c r="I859" s="2741"/>
      <c r="J859" s="2741"/>
      <c r="K859" s="125"/>
      <c r="L859" s="239"/>
      <c r="M859" s="239"/>
      <c r="N859" s="126"/>
      <c r="O859" s="127"/>
    </row>
    <row r="860" spans="1:17" s="128" customFormat="1" ht="21.75" customHeight="1">
      <c r="A860" s="78"/>
      <c r="B860" s="196"/>
      <c r="C860" s="20" t="s">
        <v>331</v>
      </c>
      <c r="D860" s="20">
        <v>1</v>
      </c>
      <c r="E860" s="20" t="s">
        <v>1472</v>
      </c>
      <c r="F860" s="344">
        <v>1</v>
      </c>
      <c r="G860" s="129">
        <v>9</v>
      </c>
      <c r="H860" s="129"/>
      <c r="I860" s="130"/>
      <c r="J860" s="129">
        <f>G860</f>
        <v>9</v>
      </c>
      <c r="K860" s="131"/>
      <c r="L860" s="239"/>
      <c r="M860" s="239"/>
      <c r="N860" s="126"/>
      <c r="O860" s="127"/>
    </row>
    <row r="861" spans="1:17" s="128" customFormat="1" ht="14.4">
      <c r="A861" s="78"/>
      <c r="B861" s="196"/>
      <c r="C861" s="20"/>
      <c r="D861" s="20"/>
      <c r="E861" s="20"/>
      <c r="F861" s="344"/>
      <c r="G861" s="129"/>
      <c r="H861" s="129"/>
      <c r="I861" s="130"/>
      <c r="J861" s="129" t="s">
        <v>882</v>
      </c>
      <c r="K861" s="132" t="s">
        <v>882</v>
      </c>
      <c r="L861" s="239"/>
      <c r="M861" s="239"/>
      <c r="N861" s="126"/>
      <c r="O861" s="127"/>
    </row>
    <row r="862" spans="1:17" s="128" customFormat="1" ht="14.4">
      <c r="A862" s="196"/>
      <c r="B862" s="376" t="s">
        <v>585</v>
      </c>
      <c r="C862" s="2739"/>
      <c r="D862" s="2739"/>
      <c r="E862" s="2739"/>
      <c r="F862" s="2739"/>
      <c r="G862" s="2739"/>
      <c r="H862" s="2739"/>
      <c r="I862" s="2739"/>
      <c r="J862" s="129">
        <f>J860</f>
        <v>9</v>
      </c>
      <c r="K862" s="401">
        <f>'data-Elec '!H250</f>
        <v>355.5</v>
      </c>
      <c r="L862" s="321"/>
      <c r="M862" s="401">
        <f>ROUND(J862*K862,0)</f>
        <v>3200</v>
      </c>
      <c r="N862" s="403">
        <f>SUM(L862:M862)</f>
        <v>3200</v>
      </c>
      <c r="O862" s="127"/>
      <c r="Q862" s="92"/>
    </row>
    <row r="863" spans="1:17" s="128" customFormat="1" ht="75" customHeight="1">
      <c r="A863" s="78">
        <v>39</v>
      </c>
      <c r="B863" s="196"/>
      <c r="C863" s="2740" t="s">
        <v>1248</v>
      </c>
      <c r="D863" s="2741"/>
      <c r="E863" s="2741"/>
      <c r="F863" s="2741"/>
      <c r="G863" s="2741"/>
      <c r="H863" s="2741"/>
      <c r="I863" s="2741"/>
      <c r="J863" s="2741"/>
      <c r="K863" s="134"/>
      <c r="M863" s="239"/>
      <c r="N863" s="126"/>
      <c r="O863" s="127"/>
    </row>
    <row r="864" spans="1:17" s="128" customFormat="1" ht="16.2">
      <c r="A864" s="78"/>
      <c r="B864" s="196"/>
      <c r="C864" s="272" t="s">
        <v>1329</v>
      </c>
      <c r="D864" s="20">
        <v>1</v>
      </c>
      <c r="E864" s="20" t="s">
        <v>1472</v>
      </c>
      <c r="F864" s="344">
        <v>1</v>
      </c>
      <c r="G864" s="129">
        <v>75</v>
      </c>
      <c r="H864" s="129"/>
      <c r="I864" s="130"/>
      <c r="J864" s="129">
        <f>G864</f>
        <v>75</v>
      </c>
      <c r="K864" s="354"/>
      <c r="M864" s="133"/>
      <c r="N864" s="126">
        <f>M864</f>
        <v>0</v>
      </c>
      <c r="O864" s="127"/>
      <c r="Q864" s="92"/>
    </row>
    <row r="865" spans="1:17" s="128" customFormat="1" ht="16.2">
      <c r="A865" s="78"/>
      <c r="B865" s="196"/>
      <c r="C865" s="272" t="s">
        <v>1328</v>
      </c>
      <c r="D865" s="20">
        <v>1</v>
      </c>
      <c r="E865" s="20" t="s">
        <v>1472</v>
      </c>
      <c r="F865" s="344">
        <v>1</v>
      </c>
      <c r="G865" s="129">
        <v>50</v>
      </c>
      <c r="H865" s="129"/>
      <c r="I865" s="130"/>
      <c r="J865" s="129">
        <f>G865</f>
        <v>50</v>
      </c>
      <c r="K865" s="131"/>
      <c r="M865" s="239"/>
      <c r="N865" s="126"/>
      <c r="O865" s="127"/>
    </row>
    <row r="866" spans="1:17" s="128" customFormat="1" ht="14.4">
      <c r="A866" s="78"/>
      <c r="B866" s="196"/>
      <c r="C866" s="20"/>
      <c r="D866" s="20"/>
      <c r="E866" s="20"/>
      <c r="F866" s="344"/>
      <c r="G866" s="129"/>
      <c r="H866" s="129"/>
      <c r="I866" s="130"/>
      <c r="J866" s="129" t="s">
        <v>495</v>
      </c>
      <c r="K866" s="132"/>
      <c r="M866" s="239"/>
      <c r="N866" s="126"/>
      <c r="O866" s="127"/>
    </row>
    <row r="867" spans="1:17" s="128" customFormat="1" ht="14.4">
      <c r="A867" s="196"/>
      <c r="B867" s="376" t="s">
        <v>586</v>
      </c>
      <c r="C867" s="2739"/>
      <c r="D867" s="2739"/>
      <c r="E867" s="2739"/>
      <c r="F867" s="2739"/>
      <c r="G867" s="2739"/>
      <c r="H867" s="2739"/>
      <c r="I867" s="2739"/>
      <c r="J867" s="129">
        <f>J865</f>
        <v>50</v>
      </c>
      <c r="K867" s="401">
        <f>'data-Elec '!H149</f>
        <v>100.55</v>
      </c>
      <c r="L867" s="321"/>
      <c r="M867" s="401">
        <f>ROUND(J867*K867,0)</f>
        <v>5028</v>
      </c>
      <c r="N867" s="403">
        <f>SUM(L867:M867)</f>
        <v>5028</v>
      </c>
      <c r="O867" s="127"/>
      <c r="Q867" s="92"/>
    </row>
    <row r="868" spans="1:17" s="128" customFormat="1" ht="28.5" customHeight="1">
      <c r="A868" s="78">
        <v>40</v>
      </c>
      <c r="B868" s="196"/>
      <c r="C868" s="2740" t="s">
        <v>1249</v>
      </c>
      <c r="D868" s="2741"/>
      <c r="E868" s="2741"/>
      <c r="F868" s="2741"/>
      <c r="G868" s="2741"/>
      <c r="H868" s="2741"/>
      <c r="I868" s="2741"/>
      <c r="J868" s="2741"/>
      <c r="K868" s="125"/>
      <c r="M868" s="239"/>
      <c r="N868" s="126"/>
      <c r="O868" s="127"/>
    </row>
    <row r="869" spans="1:17" s="128" customFormat="1" ht="16.5" customHeight="1">
      <c r="A869" s="78"/>
      <c r="B869" s="196"/>
      <c r="C869" s="20"/>
      <c r="D869" s="20">
        <v>1</v>
      </c>
      <c r="E869" s="20" t="s">
        <v>1472</v>
      </c>
      <c r="F869" s="344">
        <v>1</v>
      </c>
      <c r="G869" s="129">
        <v>2</v>
      </c>
      <c r="H869" s="129"/>
      <c r="I869" s="130"/>
      <c r="J869" s="129">
        <f>G869</f>
        <v>2</v>
      </c>
      <c r="K869" s="131"/>
      <c r="M869" s="239"/>
      <c r="N869" s="126"/>
      <c r="O869" s="127"/>
    </row>
    <row r="870" spans="1:17" s="128" customFormat="1" ht="16.5" customHeight="1">
      <c r="A870" s="78"/>
      <c r="B870" s="106"/>
      <c r="C870" s="20"/>
      <c r="D870" s="20"/>
      <c r="E870" s="20"/>
      <c r="F870" s="344"/>
      <c r="G870" s="129"/>
      <c r="H870" s="129"/>
      <c r="I870" s="130"/>
      <c r="J870" s="129" t="s">
        <v>882</v>
      </c>
      <c r="K870" s="132" t="s">
        <v>882</v>
      </c>
      <c r="M870" s="239"/>
      <c r="N870" s="126"/>
      <c r="O870" s="127"/>
    </row>
    <row r="871" spans="1:17" s="128" customFormat="1" ht="14.4">
      <c r="A871" s="196"/>
      <c r="B871" s="376" t="s">
        <v>587</v>
      </c>
      <c r="C871" s="2739"/>
      <c r="D871" s="2739"/>
      <c r="E871" s="2739"/>
      <c r="F871" s="2739"/>
      <c r="G871" s="2739"/>
      <c r="H871" s="2739"/>
      <c r="I871" s="2739"/>
      <c r="J871" s="129">
        <v>0</v>
      </c>
      <c r="K871" s="401"/>
      <c r="L871" s="321"/>
      <c r="M871" s="401">
        <f>ROUND(J871*K871,0)</f>
        <v>0</v>
      </c>
      <c r="N871" s="403">
        <f>SUM(L871:M871)</f>
        <v>0</v>
      </c>
      <c r="O871" s="127"/>
    </row>
    <row r="872" spans="1:17" s="128" customFormat="1" ht="30" customHeight="1">
      <c r="A872" s="78">
        <v>41</v>
      </c>
      <c r="B872" s="196"/>
      <c r="C872" s="2740" t="s">
        <v>1250</v>
      </c>
      <c r="D872" s="2741"/>
      <c r="E872" s="2741"/>
      <c r="F872" s="2741"/>
      <c r="G872" s="2741"/>
      <c r="H872" s="2741"/>
      <c r="I872" s="2741"/>
      <c r="J872" s="2741"/>
      <c r="K872" s="125"/>
      <c r="M872" s="239"/>
      <c r="N872" s="126"/>
      <c r="O872" s="127"/>
    </row>
    <row r="873" spans="1:17" s="128" customFormat="1" ht="18" customHeight="1">
      <c r="A873" s="78"/>
      <c r="B873" s="196"/>
      <c r="C873" s="20"/>
      <c r="D873" s="20">
        <v>1</v>
      </c>
      <c r="E873" s="20" t="s">
        <v>1472</v>
      </c>
      <c r="F873" s="344">
        <v>1</v>
      </c>
      <c r="G873" s="129">
        <v>2</v>
      </c>
      <c r="H873" s="129"/>
      <c r="I873" s="130"/>
      <c r="J873" s="129">
        <f>G873</f>
        <v>2</v>
      </c>
      <c r="K873" s="131"/>
      <c r="M873" s="239"/>
      <c r="N873" s="126"/>
      <c r="O873" s="127"/>
    </row>
    <row r="874" spans="1:17" s="128" customFormat="1" ht="18" customHeight="1">
      <c r="A874" s="78"/>
      <c r="B874" s="106"/>
      <c r="C874" s="20"/>
      <c r="D874" s="20"/>
      <c r="E874" s="20"/>
      <c r="F874" s="344"/>
      <c r="G874" s="129"/>
      <c r="H874" s="129"/>
      <c r="I874" s="130"/>
      <c r="J874" s="129" t="s">
        <v>882</v>
      </c>
      <c r="K874" s="132" t="s">
        <v>882</v>
      </c>
      <c r="M874" s="239"/>
      <c r="N874" s="126"/>
      <c r="O874" s="127"/>
    </row>
    <row r="875" spans="1:17" s="128" customFormat="1" ht="14.4">
      <c r="A875" s="196"/>
      <c r="B875" s="376" t="s">
        <v>588</v>
      </c>
      <c r="C875" s="2739"/>
      <c r="D875" s="2739"/>
      <c r="E875" s="2739"/>
      <c r="F875" s="2739"/>
      <c r="G875" s="2739"/>
      <c r="H875" s="2739"/>
      <c r="I875" s="2739"/>
      <c r="J875" s="129">
        <f>J873</f>
        <v>2</v>
      </c>
      <c r="K875" s="401"/>
      <c r="L875" s="321"/>
      <c r="M875" s="401">
        <f>ROUND(J875*K875,0)</f>
        <v>0</v>
      </c>
      <c r="N875" s="403">
        <f>SUM(L875:M875)</f>
        <v>0</v>
      </c>
      <c r="O875" s="127"/>
      <c r="Q875" s="92"/>
    </row>
    <row r="876" spans="1:17" s="128" customFormat="1" ht="84" customHeight="1">
      <c r="A876" s="78">
        <v>42</v>
      </c>
      <c r="B876" s="196"/>
      <c r="C876" s="2740" t="s">
        <v>48</v>
      </c>
      <c r="D876" s="2741"/>
      <c r="E876" s="2741"/>
      <c r="F876" s="2741"/>
      <c r="G876" s="2741"/>
      <c r="H876" s="2741"/>
      <c r="I876" s="2741"/>
      <c r="J876" s="2741"/>
      <c r="K876" s="125"/>
      <c r="M876" s="239"/>
      <c r="N876" s="126"/>
      <c r="O876" s="127"/>
    </row>
    <row r="877" spans="1:17" s="128" customFormat="1" ht="18" customHeight="1">
      <c r="A877" s="78"/>
      <c r="B877" s="106"/>
      <c r="C877" s="20"/>
      <c r="D877" s="20">
        <v>1</v>
      </c>
      <c r="E877" s="20" t="s">
        <v>1472</v>
      </c>
      <c r="F877" s="344">
        <v>1</v>
      </c>
      <c r="G877" s="129">
        <v>1</v>
      </c>
      <c r="H877" s="129"/>
      <c r="I877" s="130"/>
      <c r="J877" s="129">
        <f>G877</f>
        <v>1</v>
      </c>
      <c r="K877" s="131"/>
      <c r="M877" s="239"/>
      <c r="N877" s="126"/>
      <c r="O877" s="127"/>
    </row>
    <row r="878" spans="1:17" s="128" customFormat="1" ht="18" customHeight="1">
      <c r="A878" s="78"/>
      <c r="B878" s="196"/>
      <c r="C878" s="20"/>
      <c r="D878" s="20"/>
      <c r="E878" s="20"/>
      <c r="F878" s="344"/>
      <c r="G878" s="129"/>
      <c r="H878" s="129"/>
      <c r="I878" s="130"/>
      <c r="J878" s="129" t="s">
        <v>857</v>
      </c>
      <c r="K878" s="132" t="s">
        <v>882</v>
      </c>
      <c r="M878" s="239"/>
      <c r="N878" s="126"/>
      <c r="O878" s="127"/>
    </row>
    <row r="879" spans="1:17" s="128" customFormat="1" ht="14.4">
      <c r="A879" s="383"/>
      <c r="B879" s="376" t="s">
        <v>589</v>
      </c>
      <c r="C879" s="2739"/>
      <c r="D879" s="2739"/>
      <c r="E879" s="2739"/>
      <c r="F879" s="2739"/>
      <c r="G879" s="2739"/>
      <c r="H879" s="2739"/>
      <c r="I879" s="2739"/>
      <c r="J879" s="129">
        <f>J877</f>
        <v>1</v>
      </c>
      <c r="K879" s="402">
        <f>'data-Elec '!H438</f>
        <v>4622.5</v>
      </c>
      <c r="L879" s="321"/>
      <c r="M879" s="401">
        <f>ROUND(J879*K879,0)</f>
        <v>4623</v>
      </c>
      <c r="N879" s="403">
        <f>SUM(L879:M879)</f>
        <v>4623</v>
      </c>
      <c r="O879" s="127"/>
      <c r="Q879" s="92"/>
    </row>
    <row r="880" spans="1:17" s="128" customFormat="1" ht="110.25" customHeight="1">
      <c r="A880" s="78">
        <v>43</v>
      </c>
      <c r="B880" s="196"/>
      <c r="C880" s="2740" t="s">
        <v>1078</v>
      </c>
      <c r="D880" s="2741"/>
      <c r="E880" s="2741"/>
      <c r="F880" s="2741"/>
      <c r="G880" s="2741"/>
      <c r="H880" s="2741"/>
      <c r="I880" s="2741"/>
      <c r="J880" s="2741"/>
      <c r="K880" s="125"/>
      <c r="M880" s="239"/>
      <c r="N880" s="126"/>
      <c r="O880" s="127"/>
    </row>
    <row r="881" spans="1:22" s="128" customFormat="1" ht="17.25" customHeight="1">
      <c r="A881" s="78"/>
      <c r="B881" s="106"/>
      <c r="C881" s="20" t="s">
        <v>477</v>
      </c>
      <c r="D881" s="20">
        <v>1</v>
      </c>
      <c r="E881" s="20" t="s">
        <v>1472</v>
      </c>
      <c r="F881" s="344">
        <v>1</v>
      </c>
      <c r="G881" s="129">
        <v>1</v>
      </c>
      <c r="H881" s="129"/>
      <c r="I881" s="130"/>
      <c r="J881" s="135">
        <f>G881*D881*F881</f>
        <v>1</v>
      </c>
      <c r="K881" s="132"/>
      <c r="M881" s="133"/>
      <c r="N881" s="136"/>
      <c r="O881" s="127"/>
    </row>
    <row r="882" spans="1:22" s="128" customFormat="1" ht="17.25" customHeight="1">
      <c r="A882" s="78"/>
      <c r="B882" s="106"/>
      <c r="C882" s="20"/>
      <c r="D882" s="20"/>
      <c r="E882" s="20"/>
      <c r="F882" s="344"/>
      <c r="G882" s="129"/>
      <c r="H882" s="129"/>
      <c r="I882" s="130"/>
      <c r="J882" s="135" t="s">
        <v>472</v>
      </c>
      <c r="K882" s="132"/>
      <c r="M882" s="133"/>
      <c r="N882" s="136"/>
      <c r="O882" s="127"/>
    </row>
    <row r="883" spans="1:22" s="128" customFormat="1" ht="14.4">
      <c r="A883" s="383"/>
      <c r="B883" s="376" t="s">
        <v>590</v>
      </c>
      <c r="C883" s="2739"/>
      <c r="D883" s="2739"/>
      <c r="E883" s="2739"/>
      <c r="F883" s="2739"/>
      <c r="G883" s="2739"/>
      <c r="H883" s="2739"/>
      <c r="I883" s="2739"/>
      <c r="J883" s="129">
        <f>J881</f>
        <v>1</v>
      </c>
      <c r="K883" s="402">
        <f>'data-Elec '!H458</f>
        <v>4910.21</v>
      </c>
      <c r="L883" s="321"/>
      <c r="M883" s="401">
        <f>ROUND(J883*K883,0)</f>
        <v>4910</v>
      </c>
      <c r="N883" s="403">
        <f>SUM(L883:M883)</f>
        <v>4910</v>
      </c>
      <c r="O883" s="127"/>
      <c r="Q883" s="92"/>
    </row>
    <row r="884" spans="1:22" s="128" customFormat="1" ht="49.5" customHeight="1">
      <c r="A884" s="78">
        <v>45</v>
      </c>
      <c r="B884" s="106"/>
      <c r="C884" s="2740" t="s">
        <v>865</v>
      </c>
      <c r="D884" s="2741"/>
      <c r="E884" s="2741"/>
      <c r="F884" s="2741"/>
      <c r="G884" s="2741"/>
      <c r="H884" s="2741"/>
      <c r="I884" s="2741"/>
      <c r="J884" s="2741"/>
      <c r="K884" s="132"/>
      <c r="M884" s="133"/>
      <c r="N884" s="136"/>
      <c r="O884" s="127"/>
    </row>
    <row r="885" spans="1:22" s="128" customFormat="1" ht="14.4">
      <c r="A885" s="196"/>
      <c r="B885" s="376" t="s">
        <v>591</v>
      </c>
      <c r="C885" s="20" t="s">
        <v>451</v>
      </c>
      <c r="D885" s="20">
        <v>1</v>
      </c>
      <c r="E885" s="20" t="s">
        <v>1472</v>
      </c>
      <c r="F885" s="344">
        <v>1</v>
      </c>
      <c r="G885" s="129">
        <v>28</v>
      </c>
      <c r="H885" s="129"/>
      <c r="I885" s="130"/>
      <c r="J885" s="135">
        <f>G885</f>
        <v>28</v>
      </c>
      <c r="K885" s="401">
        <f>'data-Elec '!H407</f>
        <v>485.96</v>
      </c>
      <c r="L885" s="321"/>
      <c r="M885" s="401">
        <f>ROUND(J885*K885,0)</f>
        <v>13607</v>
      </c>
      <c r="N885" s="403">
        <f>SUM(L885:M885)</f>
        <v>13607</v>
      </c>
      <c r="O885" s="127"/>
      <c r="Q885" s="92"/>
    </row>
    <row r="886" spans="1:22" s="128" customFormat="1" ht="17.25" customHeight="1">
      <c r="A886" s="78"/>
      <c r="B886" s="196"/>
      <c r="C886" s="20"/>
      <c r="D886" s="20"/>
      <c r="E886" s="20"/>
      <c r="F886" s="344"/>
      <c r="G886" s="129"/>
      <c r="H886" s="129"/>
      <c r="I886" s="130"/>
      <c r="J886" s="135" t="s">
        <v>472</v>
      </c>
      <c r="K886" s="132" t="s">
        <v>856</v>
      </c>
      <c r="M886" s="133"/>
      <c r="N886" s="136"/>
      <c r="O886" s="127"/>
    </row>
    <row r="887" spans="1:22" s="128" customFormat="1" ht="53.25" customHeight="1">
      <c r="A887" s="78">
        <v>44</v>
      </c>
      <c r="B887" s="196"/>
      <c r="C887" s="2740" t="s">
        <v>1251</v>
      </c>
      <c r="D887" s="2740"/>
      <c r="E887" s="2740"/>
      <c r="F887" s="2740"/>
      <c r="G887" s="2740"/>
      <c r="H887" s="2740"/>
      <c r="I887" s="2740"/>
      <c r="J887" s="2740"/>
      <c r="K887" s="125"/>
      <c r="M887" s="239"/>
      <c r="N887" s="126"/>
      <c r="O887" s="127"/>
    </row>
    <row r="888" spans="1:22" s="128" customFormat="1" ht="17.25" customHeight="1">
      <c r="A888" s="78"/>
      <c r="B888" s="106"/>
      <c r="C888" s="20" t="s">
        <v>450</v>
      </c>
      <c r="D888" s="20">
        <v>1</v>
      </c>
      <c r="E888" s="20" t="s">
        <v>1472</v>
      </c>
      <c r="F888" s="344">
        <v>1</v>
      </c>
      <c r="G888" s="129">
        <f>1+2+2+6+4</f>
        <v>15</v>
      </c>
      <c r="H888" s="129"/>
      <c r="I888" s="130"/>
      <c r="J888" s="135">
        <f>G888*D888*F888</f>
        <v>15</v>
      </c>
      <c r="K888" s="133"/>
      <c r="M888" s="133"/>
      <c r="N888" s="136"/>
      <c r="O888" s="127"/>
    </row>
    <row r="889" spans="1:22" s="128" customFormat="1" ht="17.25" customHeight="1">
      <c r="A889" s="78"/>
      <c r="B889" s="196"/>
      <c r="C889" s="20"/>
      <c r="D889" s="20"/>
      <c r="E889" s="20"/>
      <c r="F889" s="344"/>
      <c r="G889" s="129"/>
      <c r="H889" s="129"/>
      <c r="I889" s="130"/>
      <c r="J889" s="135" t="s">
        <v>472</v>
      </c>
      <c r="K889" s="132"/>
      <c r="M889" s="133"/>
      <c r="N889" s="136"/>
      <c r="O889" s="127"/>
    </row>
    <row r="890" spans="1:22" s="128" customFormat="1" ht="14.4">
      <c r="A890" s="383"/>
      <c r="B890" s="376" t="s">
        <v>592</v>
      </c>
      <c r="C890" s="2739"/>
      <c r="D890" s="2739"/>
      <c r="E890" s="2739"/>
      <c r="F890" s="2739"/>
      <c r="G890" s="2739"/>
      <c r="H890" s="2739"/>
      <c r="I890" s="2739"/>
      <c r="J890" s="129">
        <f>J888</f>
        <v>15</v>
      </c>
      <c r="K890" s="402">
        <f>'data-Elec '!H284</f>
        <v>2221.2800000000002</v>
      </c>
      <c r="L890" s="321"/>
      <c r="M890" s="401">
        <f>ROUND(J890*K890,0)</f>
        <v>33319</v>
      </c>
      <c r="N890" s="403">
        <f>SUM(L890:M890)</f>
        <v>33319</v>
      </c>
      <c r="O890" s="127"/>
      <c r="Q890" s="92"/>
    </row>
    <row r="891" spans="1:22" s="128" customFormat="1" ht="140.19999999999999" customHeight="1">
      <c r="A891" s="78">
        <v>46</v>
      </c>
      <c r="B891" s="106"/>
      <c r="C891" s="2740" t="s">
        <v>1175</v>
      </c>
      <c r="D891" s="2741"/>
      <c r="E891" s="2741"/>
      <c r="F891" s="2741"/>
      <c r="G891" s="2741"/>
      <c r="H891" s="2741"/>
      <c r="I891" s="2741"/>
      <c r="J891" s="2741"/>
      <c r="K891" s="132"/>
      <c r="M891" s="133"/>
      <c r="N891" s="136"/>
      <c r="O891" s="127"/>
    </row>
    <row r="892" spans="1:22" s="128" customFormat="1" ht="17.25" customHeight="1">
      <c r="A892" s="357"/>
      <c r="B892" s="223"/>
      <c r="C892" s="20" t="s">
        <v>451</v>
      </c>
      <c r="D892" s="20">
        <v>1</v>
      </c>
      <c r="E892" s="20" t="s">
        <v>1472</v>
      </c>
      <c r="F892" s="344">
        <v>1</v>
      </c>
      <c r="G892" s="129">
        <v>2</v>
      </c>
      <c r="H892" s="129"/>
      <c r="I892" s="130"/>
      <c r="J892" s="135">
        <f>G892</f>
        <v>2</v>
      </c>
      <c r="K892" s="133">
        <f>'data-Elec '!H421</f>
        <v>2566.6</v>
      </c>
      <c r="M892" s="133"/>
      <c r="N892" s="126">
        <f>M892</f>
        <v>0</v>
      </c>
      <c r="O892" s="127"/>
      <c r="Q892" s="92"/>
    </row>
    <row r="893" spans="1:22" s="128" customFormat="1" ht="17.25" customHeight="1">
      <c r="A893" s="78"/>
      <c r="B893" s="196"/>
      <c r="C893" s="20"/>
      <c r="D893" s="20"/>
      <c r="E893" s="20"/>
      <c r="F893" s="344"/>
      <c r="G893" s="129"/>
      <c r="H893" s="129"/>
      <c r="I893" s="130"/>
      <c r="J893" s="135" t="s">
        <v>472</v>
      </c>
      <c r="K893" s="132"/>
      <c r="M893" s="133"/>
      <c r="N893" s="136"/>
      <c r="O893" s="127"/>
    </row>
    <row r="894" spans="1:22" s="128" customFormat="1" ht="27.75" customHeight="1">
      <c r="A894" s="78"/>
      <c r="B894" s="196"/>
      <c r="C894" s="2743" t="s">
        <v>1163</v>
      </c>
      <c r="D894" s="2743"/>
      <c r="E894" s="2743"/>
      <c r="F894" s="2743"/>
      <c r="G894" s="2743"/>
      <c r="H894" s="2743"/>
      <c r="I894" s="2743"/>
      <c r="J894" s="129"/>
      <c r="K894" s="132"/>
      <c r="M894" s="239"/>
      <c r="N894" s="126"/>
      <c r="O894" s="127"/>
    </row>
    <row r="895" spans="1:22" s="128" customFormat="1" ht="57.75" customHeight="1">
      <c r="A895" s="78">
        <v>47</v>
      </c>
      <c r="B895" s="196"/>
      <c r="C895" s="2740" t="s">
        <v>211</v>
      </c>
      <c r="D895" s="2741"/>
      <c r="E895" s="2741"/>
      <c r="F895" s="2741"/>
      <c r="G895" s="2741"/>
      <c r="H895" s="2741"/>
      <c r="I895" s="2741"/>
      <c r="J895" s="2741"/>
      <c r="K895" s="125"/>
      <c r="M895" s="239"/>
      <c r="N895" s="126"/>
      <c r="O895" s="127"/>
      <c r="P895" s="137"/>
      <c r="Q895" s="137"/>
      <c r="R895" s="137"/>
      <c r="S895" s="137"/>
      <c r="T895" s="137"/>
      <c r="U895" s="138"/>
      <c r="V895" s="137"/>
    </row>
    <row r="896" spans="1:22" s="128" customFormat="1" ht="14.4">
      <c r="A896" s="78"/>
      <c r="B896" s="106"/>
      <c r="C896" s="139"/>
      <c r="D896" s="139"/>
      <c r="E896" s="139"/>
      <c r="F896" s="135">
        <v>1</v>
      </c>
      <c r="G896" s="135">
        <v>4</v>
      </c>
      <c r="H896" s="135"/>
      <c r="I896" s="135"/>
      <c r="J896" s="135">
        <f>G896</f>
        <v>4</v>
      </c>
      <c r="K896" s="125"/>
      <c r="M896" s="239"/>
      <c r="N896" s="126"/>
      <c r="O896" s="127"/>
      <c r="P896" s="137"/>
      <c r="Q896" s="137"/>
      <c r="R896" s="137"/>
      <c r="S896" s="137"/>
      <c r="T896" s="137"/>
      <c r="U896" s="138"/>
      <c r="V896" s="137"/>
    </row>
    <row r="897" spans="1:22" s="128" customFormat="1" ht="14.4">
      <c r="A897" s="78"/>
      <c r="B897" s="196"/>
      <c r="C897" s="139"/>
      <c r="D897" s="139"/>
      <c r="E897" s="139"/>
      <c r="F897" s="135"/>
      <c r="G897" s="129"/>
      <c r="H897" s="129"/>
      <c r="I897" s="129"/>
      <c r="J897" s="129" t="s">
        <v>857</v>
      </c>
      <c r="K897" s="125"/>
      <c r="M897" s="239"/>
      <c r="N897" s="126"/>
      <c r="O897" s="127"/>
      <c r="P897" s="137"/>
      <c r="Q897" s="137"/>
      <c r="R897" s="137"/>
      <c r="S897" s="137"/>
      <c r="T897" s="137"/>
      <c r="U897" s="138"/>
      <c r="V897" s="137"/>
    </row>
    <row r="898" spans="1:22" s="128" customFormat="1" ht="14.4">
      <c r="A898" s="383"/>
      <c r="B898" s="376" t="s">
        <v>593</v>
      </c>
      <c r="C898" s="2740"/>
      <c r="D898" s="2741"/>
      <c r="E898" s="2741"/>
      <c r="F898" s="2741"/>
      <c r="G898" s="2741"/>
      <c r="H898" s="2741"/>
      <c r="I898" s="2741"/>
      <c r="J898" s="129">
        <f>J896</f>
        <v>4</v>
      </c>
      <c r="K898" s="401">
        <f>' DATA -Sanitary&amp;water supply'!G9</f>
        <v>3947</v>
      </c>
      <c r="L898" s="321"/>
      <c r="M898" s="401">
        <f>ROUND(J898*K898,0)</f>
        <v>15788</v>
      </c>
      <c r="N898" s="403">
        <f>SUM(L898:M898)</f>
        <v>15788</v>
      </c>
      <c r="O898" s="127"/>
      <c r="P898" s="137"/>
      <c r="Q898" s="92"/>
      <c r="R898" s="137"/>
      <c r="S898" s="137"/>
      <c r="T898" s="137"/>
      <c r="U898" s="138"/>
      <c r="V898" s="137"/>
    </row>
    <row r="899" spans="1:22" s="128" customFormat="1" ht="35.25" customHeight="1">
      <c r="A899" s="78">
        <v>48</v>
      </c>
      <c r="C899" s="2740" t="s">
        <v>212</v>
      </c>
      <c r="D899" s="2741"/>
      <c r="E899" s="2741"/>
      <c r="F899" s="2741"/>
      <c r="G899" s="2741"/>
      <c r="H899" s="2741"/>
      <c r="I899" s="2741"/>
      <c r="J899" s="129"/>
      <c r="K899" s="125"/>
      <c r="M899" s="133"/>
      <c r="N899" s="136"/>
      <c r="O899" s="127"/>
      <c r="P899" s="137"/>
      <c r="Q899" s="138"/>
      <c r="R899" s="138"/>
      <c r="S899" s="138"/>
      <c r="T899" s="138"/>
      <c r="U899" s="138"/>
      <c r="V899" s="137"/>
    </row>
    <row r="900" spans="1:22" s="128" customFormat="1" ht="14.4">
      <c r="A900" s="383"/>
      <c r="B900" s="376" t="s">
        <v>594</v>
      </c>
      <c r="C900" s="2739"/>
      <c r="D900" s="2739"/>
      <c r="E900" s="2739"/>
      <c r="F900" s="2739"/>
      <c r="G900" s="2739"/>
      <c r="H900" s="2739"/>
      <c r="I900" s="2739"/>
      <c r="J900" s="129">
        <v>3</v>
      </c>
      <c r="K900" s="401" t="e">
        <f>' DATA -Sanitary&amp;water supply'!#REF!</f>
        <v>#REF!</v>
      </c>
      <c r="L900" s="321"/>
      <c r="M900" s="401" t="e">
        <f>ROUND(J900*K900,0)</f>
        <v>#REF!</v>
      </c>
      <c r="N900" s="403" t="e">
        <f>SUM(L900:M900)</f>
        <v>#REF!</v>
      </c>
      <c r="O900" s="127"/>
      <c r="P900" s="137"/>
      <c r="Q900" s="92"/>
      <c r="R900" s="138"/>
      <c r="S900" s="138"/>
      <c r="T900" s="138"/>
      <c r="U900" s="138"/>
      <c r="V900" s="137"/>
    </row>
    <row r="901" spans="1:22" s="128" customFormat="1" ht="66.75" customHeight="1">
      <c r="A901" s="78">
        <v>49</v>
      </c>
      <c r="B901" s="106"/>
      <c r="C901" s="2740" t="s">
        <v>213</v>
      </c>
      <c r="D901" s="2741"/>
      <c r="E901" s="2741"/>
      <c r="F901" s="2741"/>
      <c r="G901" s="2741"/>
      <c r="H901" s="2741"/>
      <c r="I901" s="2741"/>
      <c r="J901" s="129"/>
      <c r="K901" s="132"/>
      <c r="M901" s="133"/>
      <c r="N901" s="136"/>
      <c r="O901" s="127"/>
      <c r="P901" s="137"/>
      <c r="Q901" s="138"/>
      <c r="R901" s="138"/>
      <c r="S901" s="138"/>
      <c r="T901" s="138"/>
      <c r="U901" s="138"/>
      <c r="V901" s="137"/>
    </row>
    <row r="902" spans="1:22" s="128" customFormat="1" ht="14.4">
      <c r="A902" s="78"/>
      <c r="B902" s="106"/>
      <c r="C902" s="79"/>
      <c r="D902" s="79"/>
      <c r="E902" s="79"/>
      <c r="F902" s="351"/>
      <c r="G902" s="79"/>
      <c r="H902" s="79"/>
      <c r="I902" s="79"/>
      <c r="J902" s="129">
        <v>50</v>
      </c>
      <c r="K902" s="132"/>
      <c r="M902" s="133"/>
      <c r="N902" s="136"/>
      <c r="O902" s="127"/>
      <c r="P902" s="137"/>
      <c r="Q902" s="138"/>
      <c r="R902" s="138"/>
      <c r="S902" s="138"/>
      <c r="T902" s="138"/>
      <c r="U902" s="138"/>
      <c r="V902" s="137"/>
    </row>
    <row r="903" spans="1:22" s="128" customFormat="1" ht="14.4">
      <c r="A903" s="78"/>
      <c r="B903" s="106"/>
      <c r="C903" s="79"/>
      <c r="D903" s="79"/>
      <c r="E903" s="79"/>
      <c r="F903" s="351"/>
      <c r="G903" s="79"/>
      <c r="H903" s="79"/>
      <c r="I903" s="79"/>
      <c r="J903" s="129" t="s">
        <v>452</v>
      </c>
      <c r="K903" s="132"/>
      <c r="M903" s="133"/>
      <c r="N903" s="136"/>
      <c r="O903" s="127"/>
      <c r="P903" s="137"/>
      <c r="Q903" s="138"/>
      <c r="R903" s="138"/>
      <c r="S903" s="138"/>
      <c r="T903" s="138"/>
      <c r="U903" s="138"/>
      <c r="V903" s="137"/>
    </row>
    <row r="904" spans="1:22" s="128" customFormat="1" ht="14.4">
      <c r="A904" s="383"/>
      <c r="B904" s="376" t="s">
        <v>595</v>
      </c>
      <c r="C904" s="2739"/>
      <c r="D904" s="2739"/>
      <c r="E904" s="2739"/>
      <c r="F904" s="2739"/>
      <c r="G904" s="2739"/>
      <c r="H904" s="2739"/>
      <c r="I904" s="2739"/>
      <c r="J904" s="129">
        <f>J902</f>
        <v>50</v>
      </c>
      <c r="K904" s="401">
        <f>' DATA -Sanitary&amp;water supply'!G130</f>
        <v>249</v>
      </c>
      <c r="L904" s="321"/>
      <c r="M904" s="401">
        <f>ROUND(J904*K904,0)</f>
        <v>12450</v>
      </c>
      <c r="N904" s="403">
        <f>SUM(L904:M904)</f>
        <v>12450</v>
      </c>
      <c r="O904" s="127"/>
      <c r="P904" s="137"/>
      <c r="Q904" s="92"/>
      <c r="R904" s="138"/>
      <c r="S904" s="138"/>
      <c r="T904" s="138"/>
      <c r="U904" s="138"/>
      <c r="V904" s="137"/>
    </row>
    <row r="905" spans="1:22" s="128" customFormat="1" ht="14.4">
      <c r="A905" s="78"/>
      <c r="B905" s="196"/>
      <c r="C905" s="79"/>
      <c r="D905" s="79"/>
      <c r="E905" s="79"/>
      <c r="F905" s="351"/>
      <c r="G905" s="79"/>
      <c r="H905" s="79"/>
      <c r="I905" s="79"/>
      <c r="J905" s="129" t="s">
        <v>452</v>
      </c>
      <c r="K905" s="132" t="s">
        <v>453</v>
      </c>
      <c r="M905" s="133"/>
      <c r="N905" s="136"/>
      <c r="O905" s="127"/>
      <c r="P905" s="137"/>
      <c r="Q905" s="138"/>
      <c r="R905" s="138"/>
      <c r="S905" s="138"/>
      <c r="T905" s="138"/>
      <c r="U905" s="138"/>
      <c r="V905" s="137"/>
    </row>
    <row r="906" spans="1:22" s="128" customFormat="1" ht="50.2" customHeight="1">
      <c r="A906" s="78">
        <v>50</v>
      </c>
      <c r="B906" s="106"/>
      <c r="C906" s="2740" t="s">
        <v>1091</v>
      </c>
      <c r="D906" s="2741"/>
      <c r="E906" s="2741"/>
      <c r="F906" s="2741"/>
      <c r="G906" s="2741"/>
      <c r="H906" s="2741"/>
      <c r="I906" s="2741"/>
      <c r="J906" s="20"/>
      <c r="K906" s="125"/>
      <c r="M906" s="133"/>
      <c r="N906" s="136"/>
      <c r="O906" s="127"/>
      <c r="P906" s="137"/>
      <c r="Q906" s="137"/>
      <c r="R906" s="137"/>
      <c r="S906" s="137"/>
      <c r="T906" s="137"/>
      <c r="U906" s="138"/>
      <c r="V906" s="137"/>
    </row>
    <row r="907" spans="1:22" s="128" customFormat="1" ht="14.4">
      <c r="A907" s="383"/>
      <c r="B907" s="376" t="s">
        <v>596</v>
      </c>
      <c r="C907" s="2739"/>
      <c r="D907" s="2739"/>
      <c r="E907" s="2739"/>
      <c r="F907" s="2739"/>
      <c r="G907" s="2739"/>
      <c r="H907" s="2739"/>
      <c r="I907" s="2739"/>
      <c r="J907" s="129">
        <v>15</v>
      </c>
      <c r="K907" s="401">
        <f>' DATA -Sanitary&amp;water supply'!G39</f>
        <v>204.33</v>
      </c>
      <c r="L907" s="321"/>
      <c r="M907" s="401">
        <f>ROUND(J907*K907,0)</f>
        <v>3065</v>
      </c>
      <c r="N907" s="403">
        <f>SUM(L907:M907)</f>
        <v>3065</v>
      </c>
      <c r="O907" s="127"/>
      <c r="P907" s="137"/>
      <c r="Q907" s="92"/>
      <c r="R907" s="137"/>
      <c r="S907" s="137"/>
      <c r="T907" s="137"/>
      <c r="U907" s="138"/>
      <c r="V907" s="137"/>
    </row>
    <row r="908" spans="1:22" s="128" customFormat="1" ht="14.4">
      <c r="A908" s="78"/>
      <c r="B908" s="196"/>
      <c r="C908" s="79"/>
      <c r="D908" s="79"/>
      <c r="E908" s="79"/>
      <c r="F908" s="351"/>
      <c r="G908" s="79"/>
      <c r="H908" s="79"/>
      <c r="I908" s="79"/>
      <c r="J908" s="129" t="s">
        <v>452</v>
      </c>
      <c r="K908" s="132" t="s">
        <v>453</v>
      </c>
      <c r="M908" s="133"/>
      <c r="N908" s="136"/>
      <c r="O908" s="127"/>
      <c r="P908" s="137"/>
      <c r="Q908" s="138"/>
      <c r="R908" s="138"/>
      <c r="S908" s="138"/>
      <c r="T908" s="138"/>
      <c r="U908" s="138"/>
      <c r="V908" s="137"/>
    </row>
    <row r="909" spans="1:22" s="128" customFormat="1" ht="56.25" customHeight="1">
      <c r="A909" s="78">
        <v>51</v>
      </c>
      <c r="B909" s="106"/>
      <c r="C909" s="2740" t="s">
        <v>1090</v>
      </c>
      <c r="D909" s="2741"/>
      <c r="E909" s="2741"/>
      <c r="F909" s="2741"/>
      <c r="G909" s="2741"/>
      <c r="H909" s="2741"/>
      <c r="I909" s="2741"/>
      <c r="J909" s="129"/>
      <c r="K909" s="125"/>
      <c r="M909" s="133"/>
      <c r="N909" s="136"/>
      <c r="O909" s="127"/>
      <c r="P909" s="137"/>
      <c r="Q909" s="137"/>
      <c r="R909" s="137"/>
      <c r="S909" s="137"/>
      <c r="T909" s="137"/>
      <c r="U909" s="138"/>
      <c r="V909" s="137"/>
    </row>
    <row r="910" spans="1:22" s="128" customFormat="1" ht="14.4">
      <c r="A910" s="383"/>
      <c r="B910" s="376" t="s">
        <v>597</v>
      </c>
      <c r="C910" s="2739"/>
      <c r="D910" s="2739"/>
      <c r="E910" s="2739"/>
      <c r="F910" s="2739"/>
      <c r="G910" s="2739"/>
      <c r="H910" s="2739"/>
      <c r="I910" s="2739"/>
      <c r="J910" s="129">
        <v>10</v>
      </c>
      <c r="K910" s="401">
        <f>' DATA -Sanitary&amp;water supply'!G33</f>
        <v>293.67</v>
      </c>
      <c r="L910" s="321"/>
      <c r="M910" s="401">
        <f>ROUND(J910*K910,0)</f>
        <v>2937</v>
      </c>
      <c r="N910" s="403">
        <f>SUM(L910:M910)</f>
        <v>2937</v>
      </c>
      <c r="O910" s="127"/>
      <c r="P910" s="137"/>
      <c r="Q910" s="92"/>
      <c r="R910" s="137"/>
      <c r="S910" s="137"/>
      <c r="T910" s="137"/>
      <c r="U910" s="138"/>
      <c r="V910" s="137"/>
    </row>
    <row r="911" spans="1:22" s="128" customFormat="1" ht="14.4">
      <c r="A911" s="78"/>
      <c r="B911" s="196"/>
      <c r="C911" s="79"/>
      <c r="D911" s="79"/>
      <c r="E911" s="79"/>
      <c r="F911" s="351"/>
      <c r="G911" s="79"/>
      <c r="H911" s="79"/>
      <c r="I911" s="79"/>
      <c r="J911" s="129" t="s">
        <v>452</v>
      </c>
      <c r="K911" s="132" t="s">
        <v>453</v>
      </c>
      <c r="M911" s="133"/>
      <c r="N911" s="136"/>
      <c r="O911" s="127"/>
      <c r="P911" s="137"/>
      <c r="Q911" s="138"/>
      <c r="R911" s="138"/>
      <c r="S911" s="138"/>
      <c r="T911" s="138"/>
      <c r="U911" s="138"/>
      <c r="V911" s="137"/>
    </row>
    <row r="912" spans="1:22" s="128" customFormat="1" ht="104.25" customHeight="1">
      <c r="A912" s="78">
        <v>52</v>
      </c>
      <c r="B912" s="106"/>
      <c r="C912" s="2740" t="s">
        <v>1252</v>
      </c>
      <c r="D912" s="2741"/>
      <c r="E912" s="2741"/>
      <c r="F912" s="2741"/>
      <c r="G912" s="2741"/>
      <c r="H912" s="2741"/>
      <c r="I912" s="2741"/>
      <c r="J912" s="129"/>
      <c r="K912" s="125"/>
      <c r="M912" s="133"/>
      <c r="N912" s="136"/>
      <c r="O912" s="127"/>
      <c r="P912" s="137"/>
      <c r="Q912" s="137"/>
      <c r="R912" s="137"/>
      <c r="S912" s="137"/>
      <c r="T912" s="137"/>
      <c r="U912" s="138"/>
      <c r="V912" s="137"/>
    </row>
    <row r="913" spans="1:22" s="128" customFormat="1" ht="14.4">
      <c r="A913" s="383"/>
      <c r="B913" s="376" t="s">
        <v>598</v>
      </c>
      <c r="C913" s="2739"/>
      <c r="D913" s="2739"/>
      <c r="E913" s="2739"/>
      <c r="F913" s="2739"/>
      <c r="G913" s="2739"/>
      <c r="H913" s="2739"/>
      <c r="I913" s="2739"/>
      <c r="J913" s="129">
        <v>4</v>
      </c>
      <c r="K913" s="401">
        <f>' DATA -Sanitary&amp;water supply'!G26</f>
        <v>171</v>
      </c>
      <c r="L913" s="321"/>
      <c r="M913" s="401">
        <f>ROUND(J913*K913,0)</f>
        <v>684</v>
      </c>
      <c r="N913" s="403">
        <f>SUM(L913:M913)</f>
        <v>684</v>
      </c>
      <c r="O913" s="127"/>
      <c r="P913" s="137"/>
      <c r="Q913" s="92"/>
      <c r="R913" s="137"/>
      <c r="S913" s="137"/>
      <c r="T913" s="137"/>
      <c r="U913" s="138"/>
      <c r="V913" s="137"/>
    </row>
    <row r="914" spans="1:22" s="128" customFormat="1" ht="14.4">
      <c r="A914" s="78"/>
      <c r="B914" s="196"/>
      <c r="C914" s="79"/>
      <c r="D914" s="79"/>
      <c r="E914" s="79"/>
      <c r="F914" s="351"/>
      <c r="G914" s="79"/>
      <c r="H914" s="79"/>
      <c r="I914" s="79"/>
      <c r="J914" s="129" t="s">
        <v>472</v>
      </c>
      <c r="K914" s="132" t="s">
        <v>454</v>
      </c>
      <c r="M914" s="133"/>
      <c r="N914" s="136"/>
      <c r="O914" s="127"/>
      <c r="P914" s="137"/>
      <c r="Q914" s="138"/>
      <c r="R914" s="138"/>
      <c r="S914" s="138"/>
      <c r="T914" s="138"/>
      <c r="U914" s="138"/>
      <c r="V914" s="137"/>
    </row>
    <row r="915" spans="1:22" s="128" customFormat="1" ht="75" customHeight="1">
      <c r="A915" s="78">
        <v>53</v>
      </c>
      <c r="B915" s="106"/>
      <c r="C915" s="2740" t="s">
        <v>1031</v>
      </c>
      <c r="D915" s="2741"/>
      <c r="E915" s="2741"/>
      <c r="F915" s="2741"/>
      <c r="G915" s="2741"/>
      <c r="H915" s="2741"/>
      <c r="I915" s="2741"/>
      <c r="J915" s="129"/>
      <c r="K915" s="132"/>
      <c r="M915" s="133"/>
      <c r="N915" s="136"/>
      <c r="O915" s="127"/>
      <c r="P915" s="137"/>
      <c r="Q915" s="137"/>
      <c r="R915" s="137"/>
      <c r="S915" s="137"/>
      <c r="T915" s="137"/>
      <c r="U915" s="138"/>
      <c r="V915" s="137"/>
    </row>
    <row r="916" spans="1:22" s="128" customFormat="1" ht="14.4">
      <c r="A916" s="383"/>
      <c r="B916" s="376" t="s">
        <v>599</v>
      </c>
      <c r="C916" s="2739"/>
      <c r="D916" s="2739"/>
      <c r="E916" s="2739"/>
      <c r="F916" s="2739"/>
      <c r="G916" s="2739"/>
      <c r="H916" s="2739"/>
      <c r="I916" s="2739"/>
      <c r="J916" s="129">
        <v>8</v>
      </c>
      <c r="K916" s="401">
        <f>' DATA -Sanitary&amp;water supply'!G140</f>
        <v>84</v>
      </c>
      <c r="L916" s="321"/>
      <c r="M916" s="401">
        <f>ROUND(J916*K916,0)</f>
        <v>672</v>
      </c>
      <c r="N916" s="403">
        <f>SUM(L916:M916)</f>
        <v>672</v>
      </c>
      <c r="O916" s="127"/>
      <c r="P916" s="137"/>
      <c r="Q916" s="92"/>
      <c r="R916" s="137"/>
      <c r="S916" s="137"/>
      <c r="T916" s="137"/>
      <c r="U916" s="138"/>
      <c r="V916" s="137"/>
    </row>
    <row r="917" spans="1:22" s="128" customFormat="1" ht="14.4">
      <c r="A917" s="78"/>
      <c r="B917" s="196"/>
      <c r="C917" s="79"/>
      <c r="D917" s="79"/>
      <c r="E917" s="79"/>
      <c r="F917" s="351"/>
      <c r="G917" s="79"/>
      <c r="H917" s="79"/>
      <c r="I917" s="79"/>
      <c r="J917" s="129" t="s">
        <v>472</v>
      </c>
      <c r="K917" s="132" t="s">
        <v>454</v>
      </c>
      <c r="M917" s="133"/>
      <c r="N917" s="136"/>
      <c r="O917" s="127"/>
      <c r="P917" s="137"/>
      <c r="Q917" s="138"/>
      <c r="R917" s="138"/>
      <c r="S917" s="138"/>
      <c r="T917" s="138"/>
      <c r="U917" s="138"/>
      <c r="V917" s="137"/>
    </row>
    <row r="918" spans="1:22" s="128" customFormat="1" ht="76.5" customHeight="1">
      <c r="A918" s="78">
        <v>54</v>
      </c>
      <c r="B918" s="106"/>
      <c r="C918" s="2740" t="s">
        <v>447</v>
      </c>
      <c r="D918" s="2740"/>
      <c r="E918" s="2740"/>
      <c r="F918" s="2740"/>
      <c r="G918" s="2740"/>
      <c r="H918" s="2740"/>
      <c r="I918" s="2740"/>
      <c r="J918" s="129"/>
      <c r="K918" s="132"/>
      <c r="M918" s="241"/>
      <c r="N918" s="136"/>
      <c r="O918" s="127"/>
      <c r="P918" s="137"/>
      <c r="Q918" s="137"/>
      <c r="R918" s="137"/>
      <c r="S918" s="137"/>
      <c r="T918" s="137"/>
      <c r="U918" s="138"/>
      <c r="V918" s="137"/>
    </row>
    <row r="919" spans="1:22" s="128" customFormat="1" ht="14.4">
      <c r="A919" s="383"/>
      <c r="B919" s="376" t="s">
        <v>600</v>
      </c>
      <c r="C919" s="2739"/>
      <c r="D919" s="2739"/>
      <c r="E919" s="2739"/>
      <c r="F919" s="2739"/>
      <c r="G919" s="2739"/>
      <c r="H919" s="2739"/>
      <c r="I919" s="2739"/>
      <c r="J919" s="129">
        <v>8</v>
      </c>
      <c r="K919" s="401">
        <f>' DATA -Sanitary&amp;water supply'!G144</f>
        <v>47</v>
      </c>
      <c r="L919" s="321"/>
      <c r="M919" s="401">
        <f>ROUND(J919*K919,0)</f>
        <v>376</v>
      </c>
      <c r="N919" s="403">
        <f>SUM(L919:M919)</f>
        <v>376</v>
      </c>
      <c r="O919" s="127"/>
      <c r="P919" s="137"/>
      <c r="Q919" s="92"/>
      <c r="R919" s="137"/>
      <c r="S919" s="137"/>
      <c r="T919" s="137"/>
      <c r="U919" s="138"/>
      <c r="V919" s="137"/>
    </row>
    <row r="920" spans="1:22" s="128" customFormat="1" ht="51.75" customHeight="1">
      <c r="A920" s="78">
        <v>55</v>
      </c>
      <c r="B920" s="196"/>
      <c r="C920" s="2740" t="s">
        <v>448</v>
      </c>
      <c r="D920" s="2740"/>
      <c r="E920" s="2740"/>
      <c r="F920" s="2740"/>
      <c r="G920" s="2740"/>
      <c r="H920" s="2740"/>
      <c r="I920" s="2740"/>
      <c r="J920" s="135"/>
      <c r="K920" s="125"/>
      <c r="M920" s="133"/>
      <c r="N920" s="136"/>
      <c r="O920" s="127"/>
      <c r="P920" s="137"/>
      <c r="Q920" s="137"/>
      <c r="R920" s="137"/>
      <c r="S920" s="137"/>
      <c r="T920" s="137"/>
      <c r="U920" s="138"/>
      <c r="V920" s="137"/>
    </row>
    <row r="921" spans="1:22" s="128" customFormat="1" ht="14.4">
      <c r="A921" s="383"/>
      <c r="B921" s="376" t="s">
        <v>601</v>
      </c>
      <c r="C921" s="2792"/>
      <c r="D921" s="2793"/>
      <c r="E921" s="2793"/>
      <c r="F921" s="2793"/>
      <c r="G921" s="2793"/>
      <c r="H921" s="2793"/>
      <c r="I921" s="2794"/>
      <c r="J921" s="129">
        <v>3</v>
      </c>
      <c r="K921" s="401">
        <f>' DATA -Sanitary&amp;water supply'!G148</f>
        <v>23</v>
      </c>
      <c r="L921" s="321"/>
      <c r="M921" s="401">
        <f>ROUND(J921*K921,0)</f>
        <v>69</v>
      </c>
      <c r="N921" s="403">
        <f>SUM(L921:M921)</f>
        <v>69</v>
      </c>
      <c r="O921" s="127"/>
      <c r="P921" s="137"/>
      <c r="Q921" s="92"/>
      <c r="R921" s="137"/>
      <c r="S921" s="137"/>
      <c r="T921" s="137"/>
      <c r="U921" s="138"/>
      <c r="V921" s="137"/>
    </row>
    <row r="922" spans="1:22" s="128" customFormat="1" ht="14.4">
      <c r="A922" s="78"/>
      <c r="B922" s="106"/>
      <c r="C922" s="79"/>
      <c r="D922" s="79"/>
      <c r="E922" s="79"/>
      <c r="F922" s="351"/>
      <c r="G922" s="79"/>
      <c r="H922" s="79"/>
      <c r="I922" s="79"/>
      <c r="J922" s="129" t="s">
        <v>472</v>
      </c>
      <c r="K922" s="132" t="s">
        <v>454</v>
      </c>
      <c r="M922" s="133"/>
      <c r="N922" s="136"/>
      <c r="O922" s="127"/>
      <c r="P922" s="137"/>
      <c r="Q922" s="138"/>
      <c r="R922" s="138"/>
      <c r="S922" s="138"/>
      <c r="T922" s="138"/>
      <c r="U922" s="138"/>
      <c r="V922" s="137"/>
    </row>
    <row r="923" spans="1:22" s="128" customFormat="1" ht="150" customHeight="1">
      <c r="A923" s="78">
        <v>56</v>
      </c>
      <c r="B923" s="106"/>
      <c r="C923" s="2740" t="s">
        <v>1441</v>
      </c>
      <c r="D923" s="2740"/>
      <c r="E923" s="2740"/>
      <c r="F923" s="2740"/>
      <c r="G923" s="2740"/>
      <c r="H923" s="2740"/>
      <c r="I923" s="2740"/>
      <c r="J923" s="129"/>
      <c r="K923" s="125"/>
      <c r="M923" s="133"/>
      <c r="N923" s="136"/>
      <c r="O923" s="127"/>
      <c r="P923" s="137"/>
      <c r="Q923" s="137"/>
      <c r="R923" s="137"/>
      <c r="S923" s="137"/>
      <c r="T923" s="137"/>
      <c r="U923" s="138"/>
      <c r="V923" s="137"/>
    </row>
    <row r="924" spans="1:22" s="128" customFormat="1" ht="14.4">
      <c r="A924" s="383"/>
      <c r="B924" s="376" t="s">
        <v>602</v>
      </c>
      <c r="C924" s="2739"/>
      <c r="D924" s="2739"/>
      <c r="E924" s="2739"/>
      <c r="F924" s="2739"/>
      <c r="G924" s="2739"/>
      <c r="H924" s="2739"/>
      <c r="I924" s="2739"/>
      <c r="J924" s="129">
        <v>10</v>
      </c>
      <c r="K924" s="402" t="e">
        <f>' DATA -Sanitary&amp;water supply'!#REF!</f>
        <v>#REF!</v>
      </c>
      <c r="L924" s="321"/>
      <c r="M924" s="401" t="e">
        <f>ROUND(J924*K924,0)</f>
        <v>#REF!</v>
      </c>
      <c r="N924" s="403" t="e">
        <f>SUM(L924:M924)</f>
        <v>#REF!</v>
      </c>
      <c r="O924" s="127"/>
      <c r="P924" s="137"/>
      <c r="Q924" s="92"/>
      <c r="R924" s="137"/>
      <c r="S924" s="137"/>
      <c r="T924" s="137"/>
      <c r="U924" s="138"/>
      <c r="V924" s="137"/>
    </row>
    <row r="925" spans="1:22" s="128" customFormat="1" ht="14.4">
      <c r="A925" s="78"/>
      <c r="B925" s="106"/>
      <c r="C925" s="79"/>
      <c r="D925" s="79"/>
      <c r="E925" s="79"/>
      <c r="F925" s="351"/>
      <c r="G925" s="79"/>
      <c r="H925" s="79"/>
      <c r="I925" s="79"/>
      <c r="J925" s="129" t="s">
        <v>472</v>
      </c>
      <c r="K925" s="132" t="s">
        <v>454</v>
      </c>
      <c r="M925" s="133"/>
      <c r="N925" s="136"/>
      <c r="O925" s="127"/>
      <c r="P925" s="137"/>
      <c r="Q925" s="138"/>
      <c r="R925" s="138"/>
      <c r="S925" s="138"/>
      <c r="T925" s="138"/>
      <c r="U925" s="138"/>
      <c r="V925" s="137"/>
    </row>
    <row r="926" spans="1:22" s="128" customFormat="1" ht="96.75" customHeight="1">
      <c r="A926" s="78">
        <v>57</v>
      </c>
      <c r="B926" s="106"/>
      <c r="C926" s="2740" t="s">
        <v>1425</v>
      </c>
      <c r="D926" s="2740"/>
      <c r="E926" s="2740"/>
      <c r="F926" s="2740"/>
      <c r="G926" s="2740"/>
      <c r="H926" s="2740"/>
      <c r="I926" s="2740"/>
      <c r="J926" s="20"/>
      <c r="K926" s="125"/>
      <c r="M926" s="133"/>
      <c r="N926" s="136"/>
      <c r="O926" s="127"/>
      <c r="P926" s="137"/>
      <c r="Q926" s="137"/>
      <c r="R926" s="137"/>
      <c r="S926" s="137"/>
      <c r="T926" s="137"/>
      <c r="U926" s="138"/>
      <c r="V926" s="137"/>
    </row>
    <row r="927" spans="1:22" s="128" customFormat="1" ht="14.4">
      <c r="A927" s="383"/>
      <c r="B927" s="376" t="s">
        <v>603</v>
      </c>
      <c r="C927" s="2739"/>
      <c r="D927" s="2739"/>
      <c r="E927" s="2739"/>
      <c r="F927" s="2739"/>
      <c r="G927" s="2739"/>
      <c r="H927" s="2739"/>
      <c r="I927" s="2739"/>
      <c r="J927" s="129">
        <v>4</v>
      </c>
      <c r="K927" s="401" t="e">
        <f>' DATA -Sanitary&amp;water supply'!#REF!</f>
        <v>#REF!</v>
      </c>
      <c r="L927" s="321"/>
      <c r="M927" s="401" t="e">
        <f>ROUND(J927*K927,0)</f>
        <v>#REF!</v>
      </c>
      <c r="N927" s="403" t="e">
        <f>SUM(L927:M927)</f>
        <v>#REF!</v>
      </c>
      <c r="O927" s="127"/>
      <c r="P927" s="137"/>
      <c r="Q927" s="92"/>
      <c r="R927" s="137"/>
      <c r="S927" s="137"/>
      <c r="T927" s="137"/>
      <c r="U927" s="138"/>
      <c r="V927" s="137"/>
    </row>
    <row r="928" spans="1:22" s="128" customFormat="1" ht="112.5" customHeight="1">
      <c r="A928" s="78">
        <v>58</v>
      </c>
      <c r="B928" s="196"/>
      <c r="C928" s="2740" t="s">
        <v>698</v>
      </c>
      <c r="D928" s="2740"/>
      <c r="E928" s="2740"/>
      <c r="F928" s="2740"/>
      <c r="G928" s="2740"/>
      <c r="H928" s="2740"/>
      <c r="I928" s="2740"/>
      <c r="J928" s="129"/>
      <c r="K928" s="125"/>
      <c r="M928" s="133"/>
      <c r="N928" s="136"/>
      <c r="O928" s="127"/>
      <c r="P928" s="137"/>
      <c r="Q928" s="137"/>
      <c r="R928" s="137"/>
      <c r="S928" s="137"/>
      <c r="T928" s="137"/>
      <c r="U928" s="138"/>
      <c r="V928" s="137"/>
    </row>
    <row r="929" spans="1:22" s="128" customFormat="1" ht="14.4">
      <c r="A929" s="383"/>
      <c r="B929" s="376" t="s">
        <v>604</v>
      </c>
      <c r="C929" s="2739"/>
      <c r="D929" s="2739"/>
      <c r="E929" s="2739"/>
      <c r="F929" s="2739"/>
      <c r="G929" s="2739"/>
      <c r="H929" s="2739"/>
      <c r="I929" s="2739"/>
      <c r="J929" s="394">
        <v>1000</v>
      </c>
      <c r="K929" s="401">
        <f>' DATA -Sanitary&amp;water supply'!G124</f>
        <v>10</v>
      </c>
      <c r="L929" s="321"/>
      <c r="M929" s="401">
        <f>ROUND(J929*K929,0)</f>
        <v>10000</v>
      </c>
      <c r="N929" s="403">
        <f>SUM(L929:M929)</f>
        <v>10000</v>
      </c>
      <c r="O929" s="127"/>
      <c r="P929" s="137"/>
      <c r="Q929" s="92"/>
      <c r="R929" s="137"/>
      <c r="S929" s="137"/>
      <c r="T929" s="137"/>
      <c r="U929" s="138"/>
      <c r="V929" s="137"/>
    </row>
    <row r="930" spans="1:22" s="128" customFormat="1" ht="14.4">
      <c r="A930" s="78"/>
      <c r="B930" s="106"/>
      <c r="C930" s="79"/>
      <c r="D930" s="79"/>
      <c r="E930" s="79"/>
      <c r="F930" s="351"/>
      <c r="G930" s="79"/>
      <c r="H930" s="79"/>
      <c r="I930" s="79"/>
      <c r="J930" s="129" t="s">
        <v>1426</v>
      </c>
      <c r="K930" s="132" t="s">
        <v>883</v>
      </c>
      <c r="M930" s="133"/>
      <c r="N930" s="136"/>
      <c r="O930" s="127"/>
      <c r="P930" s="137"/>
      <c r="Q930" s="138"/>
      <c r="R930" s="138"/>
      <c r="S930" s="138"/>
      <c r="T930" s="138"/>
      <c r="U930" s="138"/>
      <c r="V930" s="137"/>
    </row>
    <row r="931" spans="1:22" s="128" customFormat="1" ht="114" customHeight="1">
      <c r="A931" s="78">
        <v>59</v>
      </c>
      <c r="B931" s="106"/>
      <c r="C931" s="2740" t="s">
        <v>505</v>
      </c>
      <c r="D931" s="2740"/>
      <c r="E931" s="2740"/>
      <c r="F931" s="2740"/>
      <c r="G931" s="2740"/>
      <c r="H931" s="2740"/>
      <c r="I931" s="2740"/>
      <c r="J931" s="129"/>
      <c r="K931" s="125"/>
      <c r="M931" s="133"/>
      <c r="N931" s="136"/>
      <c r="O931" s="127"/>
      <c r="P931" s="137"/>
      <c r="Q931" s="137"/>
      <c r="R931" s="137"/>
      <c r="S931" s="137"/>
      <c r="T931" s="137"/>
      <c r="U931" s="138"/>
      <c r="V931" s="137"/>
    </row>
    <row r="932" spans="1:22" s="321" customFormat="1" ht="14.4">
      <c r="A932" s="406"/>
      <c r="B932" s="407" t="s">
        <v>605</v>
      </c>
      <c r="C932" s="2757"/>
      <c r="D932" s="2757"/>
      <c r="E932" s="2757"/>
      <c r="F932" s="2757"/>
      <c r="G932" s="2757"/>
      <c r="H932" s="2757"/>
      <c r="I932" s="2757"/>
      <c r="J932" s="396">
        <v>15</v>
      </c>
      <c r="K932" s="401" t="e">
        <f>' DATA -Sanitary&amp;water supply'!#REF!</f>
        <v>#REF!</v>
      </c>
      <c r="M932" s="401" t="e">
        <f>ROUND(J932*K932,0)</f>
        <v>#REF!</v>
      </c>
      <c r="N932" s="408" t="e">
        <f>SUM(L932:M932)</f>
        <v>#REF!</v>
      </c>
      <c r="O932" s="409"/>
      <c r="Q932" s="92"/>
      <c r="U932" s="111"/>
    </row>
    <row r="933" spans="1:22" s="128" customFormat="1" ht="14.4">
      <c r="A933" s="78"/>
      <c r="B933" s="106"/>
      <c r="C933" s="63"/>
      <c r="D933" s="63"/>
      <c r="E933" s="63"/>
      <c r="F933" s="348"/>
      <c r="G933" s="63"/>
      <c r="H933" s="63"/>
      <c r="I933" s="63"/>
      <c r="J933" s="140" t="s">
        <v>1427</v>
      </c>
      <c r="K933" s="125" t="s">
        <v>1428</v>
      </c>
      <c r="M933" s="133"/>
      <c r="N933" s="126"/>
      <c r="O933" s="242"/>
      <c r="P933" s="137"/>
      <c r="Q933" s="137"/>
      <c r="R933" s="137"/>
      <c r="S933" s="137"/>
      <c r="T933" s="137"/>
      <c r="U933" s="138"/>
      <c r="V933" s="137"/>
    </row>
    <row r="934" spans="1:22" s="128" customFormat="1" ht="50.2" customHeight="1">
      <c r="A934" s="78">
        <v>60</v>
      </c>
      <c r="B934" s="106"/>
      <c r="C934" s="2740" t="s">
        <v>1429</v>
      </c>
      <c r="D934" s="2740"/>
      <c r="E934" s="2740"/>
      <c r="F934" s="2740"/>
      <c r="G934" s="2740"/>
      <c r="H934" s="2740"/>
      <c r="I934" s="2740"/>
      <c r="J934" s="135"/>
      <c r="K934" s="125"/>
      <c r="M934" s="133"/>
      <c r="N934" s="136"/>
      <c r="O934" s="127"/>
      <c r="P934" s="137"/>
      <c r="Q934" s="137"/>
      <c r="R934" s="137"/>
      <c r="S934" s="137"/>
      <c r="T934" s="137"/>
      <c r="U934" s="138"/>
      <c r="V934" s="137"/>
    </row>
    <row r="935" spans="1:22" s="128" customFormat="1" ht="14.4">
      <c r="A935" s="383"/>
      <c r="B935" s="376" t="s">
        <v>606</v>
      </c>
      <c r="C935" s="2740"/>
      <c r="D935" s="2740"/>
      <c r="E935" s="2740"/>
      <c r="F935" s="2740"/>
      <c r="G935" s="2740"/>
      <c r="H935" s="2740"/>
      <c r="I935" s="2740"/>
      <c r="J935" s="135">
        <v>2</v>
      </c>
      <c r="K935" s="401" t="e">
        <f>' DATA -Sanitary&amp;water supply'!#REF!</f>
        <v>#REF!</v>
      </c>
      <c r="L935" s="321"/>
      <c r="M935" s="401" t="e">
        <f>ROUND(J935*K935,0)</f>
        <v>#REF!</v>
      </c>
      <c r="N935" s="403" t="e">
        <f>SUM(L935:M935)</f>
        <v>#REF!</v>
      </c>
      <c r="O935" s="242"/>
      <c r="P935" s="137"/>
      <c r="Q935" s="92"/>
      <c r="R935" s="137"/>
      <c r="S935" s="137"/>
      <c r="T935" s="137"/>
      <c r="U935" s="138"/>
      <c r="V935" s="137"/>
    </row>
    <row r="936" spans="1:22" s="128" customFormat="1" ht="14.4">
      <c r="A936" s="78"/>
      <c r="B936" s="196"/>
      <c r="C936" s="63"/>
      <c r="D936" s="63"/>
      <c r="E936" s="63"/>
      <c r="F936" s="348"/>
      <c r="G936" s="63"/>
      <c r="H936" s="63"/>
      <c r="I936" s="63"/>
      <c r="J936" s="140" t="s">
        <v>857</v>
      </c>
      <c r="K936" s="125" t="s">
        <v>1430</v>
      </c>
      <c r="L936" s="133"/>
      <c r="M936" s="133"/>
      <c r="N936" s="243"/>
      <c r="O936" s="242"/>
      <c r="P936" s="137"/>
      <c r="Q936" s="137"/>
      <c r="R936" s="137"/>
      <c r="S936" s="137"/>
      <c r="T936" s="137"/>
      <c r="U936" s="138"/>
      <c r="V936" s="137"/>
    </row>
    <row r="937" spans="1:22" s="128" customFormat="1" ht="34.5" customHeight="1">
      <c r="A937" s="78">
        <v>60</v>
      </c>
      <c r="B937" s="106"/>
      <c r="C937" s="2740" t="s">
        <v>1489</v>
      </c>
      <c r="D937" s="2740"/>
      <c r="E937" s="2740"/>
      <c r="F937" s="2740"/>
      <c r="G937" s="2740"/>
      <c r="H937" s="2740"/>
      <c r="I937" s="2740"/>
      <c r="J937" s="135"/>
      <c r="K937" s="125"/>
      <c r="M937" s="133"/>
      <c r="N937" s="136"/>
      <c r="O937" s="127"/>
      <c r="P937" s="137"/>
      <c r="Q937" s="137"/>
      <c r="R937" s="137"/>
      <c r="S937" s="137"/>
      <c r="T937" s="137"/>
      <c r="U937" s="138"/>
      <c r="V937" s="137"/>
    </row>
    <row r="938" spans="1:22" s="128" customFormat="1" ht="14.4">
      <c r="A938" s="383"/>
      <c r="B938" s="376" t="s">
        <v>607</v>
      </c>
      <c r="C938" s="2740"/>
      <c r="D938" s="2740"/>
      <c r="E938" s="2740"/>
      <c r="F938" s="2740"/>
      <c r="G938" s="2740"/>
      <c r="H938" s="2740"/>
      <c r="I938" s="2740"/>
      <c r="J938" s="135">
        <v>10</v>
      </c>
      <c r="K938" s="401">
        <f>' DATA -Sanitary&amp;water supply'!G20</f>
        <v>275</v>
      </c>
      <c r="L938" s="321"/>
      <c r="M938" s="401">
        <f>ROUND(J938*K938,0)</f>
        <v>2750</v>
      </c>
      <c r="N938" s="403">
        <f>SUM(L938:M938)</f>
        <v>2750</v>
      </c>
      <c r="O938" s="242"/>
      <c r="P938" s="137"/>
      <c r="Q938" s="92"/>
      <c r="R938" s="137"/>
      <c r="S938" s="137"/>
      <c r="T938" s="137"/>
      <c r="U938" s="138"/>
      <c r="V938" s="137"/>
    </row>
    <row r="939" spans="1:22" s="145" customFormat="1">
      <c r="A939" s="141"/>
      <c r="B939" s="106"/>
      <c r="C939" s="107"/>
      <c r="D939" s="107"/>
      <c r="E939" s="107"/>
      <c r="F939" s="352"/>
      <c r="G939" s="107"/>
      <c r="H939" s="107"/>
      <c r="I939" s="107"/>
      <c r="J939" s="140"/>
      <c r="K939" s="125"/>
      <c r="L939" s="276">
        <f>SUM(L6:L938)</f>
        <v>0</v>
      </c>
      <c r="M939" s="276" t="e">
        <f>SUM(M6:M938)</f>
        <v>#REF!</v>
      </c>
      <c r="N939" s="276" t="e">
        <f>SUM(N6:N938)</f>
        <v>#REF!</v>
      </c>
      <c r="O939" s="142"/>
      <c r="P939" s="143">
        <f>ROUND(SUM(P6:P938),0)</f>
        <v>24701</v>
      </c>
      <c r="Q939" s="92"/>
      <c r="R939" s="46"/>
      <c r="S939" s="144"/>
      <c r="T939" s="46"/>
      <c r="U939" s="144"/>
      <c r="V939" s="46"/>
    </row>
    <row r="940" spans="1:22" s="128" customFormat="1" ht="14.4">
      <c r="A940" s="78">
        <v>61</v>
      </c>
      <c r="B940" s="376" t="s">
        <v>608</v>
      </c>
      <c r="C940" s="2753" t="s">
        <v>1431</v>
      </c>
      <c r="D940" s="2753"/>
      <c r="E940" s="2753"/>
      <c r="F940" s="2753"/>
      <c r="G940" s="2753"/>
      <c r="H940" s="2753"/>
      <c r="I940" s="2753"/>
      <c r="J940" s="396">
        <v>1</v>
      </c>
      <c r="K940" s="95">
        <f>P939</f>
        <v>24701</v>
      </c>
      <c r="L940" s="386"/>
      <c r="M940" s="386"/>
      <c r="N940" s="277">
        <f>P939</f>
        <v>24701</v>
      </c>
      <c r="O940" s="146"/>
      <c r="P940" s="137"/>
      <c r="Q940" s="137"/>
      <c r="R940" s="137"/>
      <c r="S940" s="137"/>
      <c r="T940" s="137"/>
      <c r="U940" s="138"/>
      <c r="V940" s="137"/>
    </row>
    <row r="941" spans="1:22" s="128" customFormat="1" ht="14.4">
      <c r="A941" s="78">
        <v>62</v>
      </c>
      <c r="B941" s="376" t="s">
        <v>609</v>
      </c>
      <c r="C941" s="2753" t="s">
        <v>611</v>
      </c>
      <c r="D941" s="2753"/>
      <c r="E941" s="2753"/>
      <c r="F941" s="2753"/>
      <c r="G941" s="2753"/>
      <c r="H941" s="2753"/>
      <c r="I941" s="2753"/>
      <c r="J941" s="396">
        <v>1</v>
      </c>
      <c r="K941" s="273" t="e">
        <f>M939</f>
        <v>#REF!</v>
      </c>
      <c r="L941" s="387" t="e">
        <f>M939</f>
        <v>#REF!</v>
      </c>
      <c r="M941" s="386"/>
      <c r="N941" s="277" t="e">
        <f>ROUND(L941*4%,0)</f>
        <v>#REF!</v>
      </c>
      <c r="O941" s="146"/>
      <c r="P941" s="137"/>
      <c r="Q941" s="137"/>
      <c r="R941" s="137"/>
      <c r="S941" s="137"/>
      <c r="T941" s="137"/>
      <c r="U941" s="138"/>
      <c r="V941" s="137"/>
    </row>
    <row r="942" spans="1:22" s="128" customFormat="1" ht="14.4">
      <c r="A942" s="78">
        <f>A941+1</f>
        <v>63</v>
      </c>
      <c r="B942" s="376" t="s">
        <v>610</v>
      </c>
      <c r="C942" s="2753" t="s">
        <v>1432</v>
      </c>
      <c r="D942" s="2753"/>
      <c r="E942" s="2753"/>
      <c r="F942" s="2753"/>
      <c r="G942" s="2753"/>
      <c r="H942" s="2753"/>
      <c r="I942" s="2753"/>
      <c r="J942" s="396">
        <v>1</v>
      </c>
      <c r="K942" s="273" t="e">
        <f>L941</f>
        <v>#REF!</v>
      </c>
      <c r="L942" s="387" t="e">
        <f>L941</f>
        <v>#REF!</v>
      </c>
      <c r="M942" s="386"/>
      <c r="N942" s="277" t="e">
        <f>ROUND(L942*0.5%,0)</f>
        <v>#REF!</v>
      </c>
      <c r="O942" s="146"/>
      <c r="P942" s="137"/>
      <c r="Q942" s="137"/>
      <c r="R942" s="137"/>
      <c r="S942" s="137"/>
      <c r="T942" s="137"/>
      <c r="U942" s="138"/>
      <c r="V942" s="137"/>
    </row>
    <row r="943" spans="1:22" s="128" customFormat="1" ht="14.4">
      <c r="A943" s="78"/>
      <c r="B943" s="376"/>
      <c r="C943" s="395"/>
      <c r="D943" s="395"/>
      <c r="E943" s="395"/>
      <c r="F943" s="395"/>
      <c r="G943" s="395"/>
      <c r="H943" s="395"/>
      <c r="I943" s="395"/>
      <c r="J943" s="396"/>
      <c r="K943" s="273"/>
      <c r="L943" s="387"/>
      <c r="M943" s="386"/>
      <c r="N943" s="277" t="e">
        <f>SUM(N939:N942)</f>
        <v>#REF!</v>
      </c>
      <c r="O943" s="146"/>
      <c r="P943" s="137"/>
      <c r="Q943" s="137"/>
      <c r="R943" s="137"/>
      <c r="S943" s="137"/>
      <c r="T943" s="137"/>
      <c r="U943" s="138"/>
      <c r="V943" s="137"/>
    </row>
    <row r="944" spans="1:22" s="128" customFormat="1" ht="27.75" customHeight="1">
      <c r="A944" s="78">
        <f>A942+1</f>
        <v>64</v>
      </c>
      <c r="B944" s="196"/>
      <c r="C944" s="2753" t="s">
        <v>1054</v>
      </c>
      <c r="D944" s="2753"/>
      <c r="E944" s="2753"/>
      <c r="F944" s="2753"/>
      <c r="G944" s="2753"/>
      <c r="H944" s="2753"/>
      <c r="I944" s="2753"/>
      <c r="J944" s="396"/>
      <c r="K944" s="274"/>
      <c r="L944" s="388"/>
      <c r="M944" s="388"/>
      <c r="N944" s="278" t="e">
        <f>SUM(2500000-SUM(N939:N942))</f>
        <v>#REF!</v>
      </c>
      <c r="O944" s="146"/>
      <c r="P944" s="137"/>
      <c r="Q944" s="137"/>
      <c r="R944" s="137"/>
      <c r="S944" s="137"/>
      <c r="T944" s="137"/>
      <c r="U944" s="138"/>
      <c r="V944" s="137"/>
    </row>
    <row r="945" spans="1:22" s="150" customFormat="1" ht="21.75" customHeight="1">
      <c r="A945" s="391"/>
      <c r="B945" s="244"/>
      <c r="C945" s="2754" t="s">
        <v>1093</v>
      </c>
      <c r="D945" s="2754"/>
      <c r="E945" s="2754"/>
      <c r="F945" s="2754"/>
      <c r="G945" s="2754"/>
      <c r="H945" s="2754"/>
      <c r="I945" s="2754"/>
      <c r="J945" s="397"/>
      <c r="K945" s="275"/>
      <c r="L945" s="389"/>
      <c r="M945" s="410" t="s">
        <v>1486</v>
      </c>
      <c r="N945" s="279" t="e">
        <f>SUM(N943:N944)</f>
        <v>#REF!</v>
      </c>
      <c r="O945" s="147"/>
      <c r="P945" s="148"/>
      <c r="Q945" s="148"/>
      <c r="R945" s="148"/>
      <c r="S945" s="148"/>
      <c r="T945" s="148"/>
      <c r="U945" s="149"/>
      <c r="V945" s="148"/>
    </row>
    <row r="946" spans="1:22">
      <c r="A946" s="151"/>
      <c r="B946" s="325"/>
      <c r="C946" s="57"/>
      <c r="K946" s="154"/>
      <c r="N946" s="404"/>
      <c r="Q946" s="92"/>
    </row>
    <row r="947" spans="1:22">
      <c r="A947" s="151"/>
      <c r="B947" s="325"/>
      <c r="K947" s="154"/>
      <c r="N947" s="404"/>
      <c r="Q947" s="92"/>
    </row>
    <row r="948" spans="1:22" s="320" customFormat="1">
      <c r="A948" s="390"/>
      <c r="C948" s="390" t="str">
        <f>'Lead- Input sheet '!B44</f>
        <v xml:space="preserve">  Assistant Exc.Engineer  </v>
      </c>
      <c r="F948" s="398"/>
      <c r="H948" s="390">
        <f>'Lead- Input sheet '!F44</f>
        <v>0</v>
      </c>
      <c r="L948" s="390" t="str">
        <f>'Lead- Input sheet '!H44</f>
        <v>Deputy Executive Engineer</v>
      </c>
      <c r="N948" s="405"/>
      <c r="Q948" s="92"/>
    </row>
    <row r="949" spans="1:22" s="320" customFormat="1">
      <c r="A949" s="390"/>
      <c r="C949" s="390" t="str">
        <f>'Lead- Input sheet '!B45</f>
        <v>PR MPP Kalwakurthy</v>
      </c>
      <c r="F949" s="398"/>
      <c r="H949" s="390">
        <f>'Lead- Input sheet '!F45</f>
        <v>0</v>
      </c>
      <c r="L949" s="390" t="e">
        <f>'Lead- Input sheet '!#REF!</f>
        <v>#REF!</v>
      </c>
      <c r="N949" s="405"/>
      <c r="Q949" s="92"/>
    </row>
    <row r="950" spans="1:22">
      <c r="A950" s="151"/>
      <c r="B950" s="151"/>
      <c r="K950" s="154"/>
      <c r="N950" s="404"/>
      <c r="Q950" s="92"/>
    </row>
    <row r="951" spans="1:22">
      <c r="N951" s="404"/>
    </row>
    <row r="952" spans="1:22">
      <c r="N952" s="404"/>
    </row>
    <row r="953" spans="1:22">
      <c r="N953" s="404"/>
    </row>
    <row r="954" spans="1:22">
      <c r="N954" s="404"/>
    </row>
    <row r="955" spans="1:22">
      <c r="N955" s="404"/>
    </row>
    <row r="956" spans="1:22">
      <c r="N956" s="404"/>
    </row>
    <row r="957" spans="1:22">
      <c r="N957" s="404"/>
    </row>
    <row r="958" spans="1:22">
      <c r="N958" s="404"/>
    </row>
    <row r="959" spans="1:22">
      <c r="N959" s="404"/>
    </row>
    <row r="960" spans="1:22">
      <c r="N960" s="404"/>
    </row>
    <row r="961" spans="14:14">
      <c r="N961" s="404"/>
    </row>
    <row r="962" spans="14:14">
      <c r="N962" s="404"/>
    </row>
    <row r="963" spans="14:14">
      <c r="N963" s="404"/>
    </row>
    <row r="964" spans="14:14">
      <c r="N964" s="404"/>
    </row>
    <row r="965" spans="14:14">
      <c r="N965" s="404"/>
    </row>
    <row r="966" spans="14:14">
      <c r="N966" s="404"/>
    </row>
    <row r="967" spans="14:14">
      <c r="N967" s="404"/>
    </row>
    <row r="968" spans="14:14">
      <c r="N968" s="404"/>
    </row>
    <row r="969" spans="14:14">
      <c r="N969" s="404"/>
    </row>
    <row r="970" spans="14:14">
      <c r="N970" s="404"/>
    </row>
    <row r="971" spans="14:14">
      <c r="N971" s="404"/>
    </row>
    <row r="972" spans="14:14">
      <c r="N972" s="404"/>
    </row>
    <row r="973" spans="14:14">
      <c r="N973" s="404"/>
    </row>
    <row r="974" spans="14:14">
      <c r="N974" s="404"/>
    </row>
    <row r="975" spans="14:14">
      <c r="N975" s="404"/>
    </row>
    <row r="976" spans="14:14">
      <c r="N976" s="404"/>
    </row>
    <row r="977" spans="14:14">
      <c r="N977" s="404"/>
    </row>
    <row r="978" spans="14:14">
      <c r="N978" s="404"/>
    </row>
    <row r="979" spans="14:14">
      <c r="N979" s="404"/>
    </row>
    <row r="980" spans="14:14">
      <c r="N980" s="404"/>
    </row>
    <row r="981" spans="14:14">
      <c r="N981" s="404"/>
    </row>
    <row r="982" spans="14:14">
      <c r="N982" s="404"/>
    </row>
    <row r="983" spans="14:14">
      <c r="N983" s="404"/>
    </row>
    <row r="984" spans="14:14">
      <c r="N984" s="404"/>
    </row>
    <row r="985" spans="14:14">
      <c r="N985" s="404"/>
    </row>
    <row r="986" spans="14:14">
      <c r="N986" s="404"/>
    </row>
    <row r="987" spans="14:14">
      <c r="N987" s="404"/>
    </row>
    <row r="988" spans="14:14">
      <c r="N988" s="404"/>
    </row>
    <row r="989" spans="14:14">
      <c r="N989" s="404"/>
    </row>
    <row r="990" spans="14:14">
      <c r="N990" s="404"/>
    </row>
    <row r="991" spans="14:14">
      <c r="N991" s="404"/>
    </row>
    <row r="992" spans="14:14">
      <c r="N992" s="404"/>
    </row>
    <row r="993" spans="14:14">
      <c r="N993" s="404"/>
    </row>
    <row r="994" spans="14:14">
      <c r="N994" s="404"/>
    </row>
    <row r="995" spans="14:14">
      <c r="N995" s="404"/>
    </row>
    <row r="996" spans="14:14">
      <c r="N996" s="404"/>
    </row>
    <row r="997" spans="14:14">
      <c r="N997" s="404"/>
    </row>
    <row r="998" spans="14:14">
      <c r="N998" s="404"/>
    </row>
    <row r="999" spans="14:14">
      <c r="N999" s="404"/>
    </row>
    <row r="1000" spans="14:14">
      <c r="N1000" s="404"/>
    </row>
    <row r="1001" spans="14:14">
      <c r="N1001" s="404"/>
    </row>
    <row r="1002" spans="14:14">
      <c r="N1002" s="404"/>
    </row>
    <row r="1003" spans="14:14">
      <c r="N1003" s="404"/>
    </row>
    <row r="1004" spans="14:14">
      <c r="N1004" s="404"/>
    </row>
    <row r="1005" spans="14:14">
      <c r="N1005" s="404"/>
    </row>
    <row r="1006" spans="14:14">
      <c r="N1006" s="404"/>
    </row>
    <row r="1007" spans="14:14">
      <c r="N1007" s="404"/>
    </row>
    <row r="1008" spans="14:14">
      <c r="N1008" s="404"/>
    </row>
    <row r="1009" spans="14:14">
      <c r="N1009" s="404"/>
    </row>
    <row r="1010" spans="14:14">
      <c r="N1010" s="404"/>
    </row>
  </sheetData>
  <mergeCells count="205">
    <mergeCell ref="P3:P4"/>
    <mergeCell ref="Q3:Q4"/>
    <mergeCell ref="C319:I319"/>
    <mergeCell ref="C832:I832"/>
    <mergeCell ref="C722:J722"/>
    <mergeCell ref="C650:I650"/>
    <mergeCell ref="C632:J632"/>
    <mergeCell ref="L3:L4"/>
    <mergeCell ref="O3:O4"/>
    <mergeCell ref="C138:I138"/>
    <mergeCell ref="C86:J86"/>
    <mergeCell ref="N3:N4"/>
    <mergeCell ref="C22:I22"/>
    <mergeCell ref="D5:F5"/>
    <mergeCell ref="C6:J6"/>
    <mergeCell ref="M3:M4"/>
    <mergeCell ref="K3:K4"/>
    <mergeCell ref="C748:J748"/>
    <mergeCell ref="C146:I146"/>
    <mergeCell ref="C420:J420"/>
    <mergeCell ref="C506:I506"/>
    <mergeCell ref="C110:J110"/>
    <mergeCell ref="C502:I502"/>
    <mergeCell ref="C121:J121"/>
    <mergeCell ref="A1:N1"/>
    <mergeCell ref="C872:J872"/>
    <mergeCell ref="C926:I926"/>
    <mergeCell ref="C871:I871"/>
    <mergeCell ref="C867:I867"/>
    <mergeCell ref="C868:J868"/>
    <mergeCell ref="C909:I909"/>
    <mergeCell ref="C920:I920"/>
    <mergeCell ref="C300:I300"/>
    <mergeCell ref="C24:J24"/>
    <mergeCell ref="C38:I38"/>
    <mergeCell ref="C37:I37"/>
    <mergeCell ref="C259:I259"/>
    <mergeCell ref="C168:I168"/>
    <mergeCell ref="C190:I190"/>
    <mergeCell ref="A2:N2"/>
    <mergeCell ref="J3:J4"/>
    <mergeCell ref="C154:I154"/>
    <mergeCell ref="C159:I159"/>
    <mergeCell ref="C161:I161"/>
    <mergeCell ref="C746:I746"/>
    <mergeCell ref="C768:J768"/>
    <mergeCell ref="C694:J694"/>
    <mergeCell ref="C40:J40"/>
    <mergeCell ref="A3:A4"/>
    <mergeCell ref="C862:I862"/>
    <mergeCell ref="C927:I927"/>
    <mergeCell ref="C884:J884"/>
    <mergeCell ref="C372:I372"/>
    <mergeCell ref="C147:I147"/>
    <mergeCell ref="C302:J302"/>
    <mergeCell ref="C224:I224"/>
    <mergeCell ref="C241:I241"/>
    <mergeCell ref="C621:I621"/>
    <mergeCell ref="C831:J831"/>
    <mergeCell ref="C758:J758"/>
    <mergeCell ref="C859:J859"/>
    <mergeCell ref="C803:I803"/>
    <mergeCell ref="C843:J843"/>
    <mergeCell ref="C854:I854"/>
    <mergeCell ref="C630:I630"/>
    <mergeCell ref="C771:I771"/>
    <mergeCell ref="C773:J773"/>
    <mergeCell ref="C778:J778"/>
    <mergeCell ref="C567:I567"/>
    <mergeCell ref="C895:J895"/>
    <mergeCell ref="C879:I879"/>
    <mergeCell ref="C598:I598"/>
    <mergeCell ref="C275:I275"/>
    <mergeCell ref="C573:I573"/>
    <mergeCell ref="C776:I776"/>
    <mergeCell ref="C662:J662"/>
    <mergeCell ref="C837:I837"/>
    <mergeCell ref="C841:I841"/>
    <mergeCell ref="C660:I660"/>
    <mergeCell ref="C735:I735"/>
    <mergeCell ref="C692:I692"/>
    <mergeCell ref="C838:I838"/>
    <mergeCell ref="C639:I639"/>
    <mergeCell ref="C833:I833"/>
    <mergeCell ref="C805:J805"/>
    <mergeCell ref="C945:I945"/>
    <mergeCell ref="C796:J796"/>
    <mergeCell ref="C794:I794"/>
    <mergeCell ref="C875:I875"/>
    <mergeCell ref="C931:I931"/>
    <mergeCell ref="C575:J575"/>
    <mergeCell ref="C785:I785"/>
    <mergeCell ref="C783:J783"/>
    <mergeCell ref="C766:I766"/>
    <mergeCell ref="C720:I720"/>
    <mergeCell ref="C781:I781"/>
    <mergeCell ref="C834:I834"/>
    <mergeCell ref="C756:I756"/>
    <mergeCell ref="C789:I789"/>
    <mergeCell ref="C839:I839"/>
    <mergeCell ref="C942:I942"/>
    <mergeCell ref="C940:I940"/>
    <mergeCell ref="C941:I941"/>
    <mergeCell ref="C763:J763"/>
    <mergeCell ref="C761:I761"/>
    <mergeCell ref="C938:I938"/>
    <mergeCell ref="C737:J737"/>
    <mergeCell ref="C944:I944"/>
    <mergeCell ref="C836:I836"/>
    <mergeCell ref="B3:B4"/>
    <mergeCell ref="C924:I924"/>
    <mergeCell ref="C858:I858"/>
    <mergeCell ref="C887:J887"/>
    <mergeCell ref="C898:I898"/>
    <mergeCell ref="C890:I890"/>
    <mergeCell ref="C916:I916"/>
    <mergeCell ref="C855:J855"/>
    <mergeCell ref="C850:I850"/>
    <mergeCell ref="C122:J122"/>
    <mergeCell ref="C891:J891"/>
    <mergeCell ref="C814:J814"/>
    <mergeCell ref="C462:I462"/>
    <mergeCell ref="C36:I36"/>
    <mergeCell ref="C3:C4"/>
    <mergeCell ref="D3:F4"/>
    <mergeCell ref="G3:I3"/>
    <mergeCell ref="C327:I327"/>
    <mergeCell ref="C267:I267"/>
    <mergeCell ref="C255:I255"/>
    <mergeCell ref="C907:I907"/>
    <mergeCell ref="C230:I230"/>
    <mergeCell ref="C211:I211"/>
    <mergeCell ref="C222:I222"/>
    <mergeCell ref="C129:I129"/>
    <mergeCell ref="C937:I937"/>
    <mergeCell ref="C912:I912"/>
    <mergeCell ref="C525:I525"/>
    <mergeCell ref="C526:I526"/>
    <mergeCell ref="C527:J527"/>
    <mergeCell ref="C934:I934"/>
    <mergeCell ref="C894:I894"/>
    <mergeCell ref="C921:I921"/>
    <mergeCell ref="C928:I928"/>
    <mergeCell ref="C918:I918"/>
    <mergeCell ref="C899:I899"/>
    <mergeCell ref="C900:I900"/>
    <mergeCell ref="C923:I923"/>
    <mergeCell ref="C846:I846"/>
    <mergeCell ref="C508:I508"/>
    <mergeCell ref="C787:J787"/>
    <mergeCell ref="C261:I261"/>
    <mergeCell ref="C209:I209"/>
    <mergeCell ref="C504:J504"/>
    <mergeCell ref="C474:J474"/>
    <mergeCell ref="C269:I269"/>
    <mergeCell ref="C136:I136"/>
    <mergeCell ref="C334:I334"/>
    <mergeCell ref="C84:I84"/>
    <mergeCell ref="C75:I75"/>
    <mergeCell ref="C915:I915"/>
    <mergeCell ref="C336:J336"/>
    <mergeCell ref="C192:I192"/>
    <mergeCell ref="C120:I120"/>
    <mergeCell ref="C277:J277"/>
    <mergeCell ref="C910:I910"/>
    <mergeCell ref="C87:J87"/>
    <mergeCell ref="C441:I441"/>
    <mergeCell ref="C510:J510"/>
    <mergeCell ref="C791:J791"/>
    <mergeCell ref="C812:I812"/>
    <mergeCell ref="C863:J863"/>
    <mergeCell ref="C851:J851"/>
    <mergeCell ref="C551:I551"/>
    <mergeCell ref="C247:I247"/>
    <mergeCell ref="C253:I253"/>
    <mergeCell ref="C901:I901"/>
    <mergeCell ref="C913:I913"/>
    <mergeCell ref="C310:I310"/>
    <mergeCell ref="C245:I245"/>
    <mergeCell ref="C78:J78"/>
    <mergeCell ref="C321:J321"/>
    <mergeCell ref="C906:I906"/>
    <mergeCell ref="C904:I904"/>
    <mergeCell ref="C142:I142"/>
    <mergeCell ref="C232:I232"/>
    <mergeCell ref="C401:I401"/>
    <mergeCell ref="C418:I418"/>
    <mergeCell ref="C472:I472"/>
    <mergeCell ref="C935:I935"/>
    <mergeCell ref="C289:I289"/>
    <mergeCell ref="C880:J880"/>
    <mergeCell ref="C932:I932"/>
    <mergeCell ref="C883:I883"/>
    <mergeCell ref="C239:I239"/>
    <mergeCell ref="C876:J876"/>
    <mergeCell ref="C929:I929"/>
    <mergeCell ref="C152:I152"/>
    <mergeCell ref="C919:I919"/>
    <mergeCell ref="C835:I835"/>
    <mergeCell ref="C840:I840"/>
    <mergeCell ref="C166:I166"/>
    <mergeCell ref="C847:J847"/>
    <mergeCell ref="C827:I827"/>
    <mergeCell ref="C829:J829"/>
    <mergeCell ref="C842:J842"/>
  </mergeCells>
  <printOptions gridLines="1"/>
  <pageMargins left="0.75" right="0.15" top="0.26" bottom="0.5" header="0.5" footer="0.5"/>
  <pageSetup paperSize="9" scale="94" orientation="portrait" r:id="rId1"/>
  <headerFooter alignWithMargins="0">
    <oddFooter>Page &amp;P of &amp;N</oddFooter>
  </headerFooter>
  <rowBreaks count="1" manualBreakCount="1">
    <brk id="934" max="13" man="1"/>
  </row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indexed="10"/>
  </sheetPr>
  <dimension ref="A1:IV584"/>
  <sheetViews>
    <sheetView topLeftCell="A286" zoomScaleNormal="95" zoomScaleSheetLayoutView="75" workbookViewId="0">
      <selection sqref="A1:J1"/>
    </sheetView>
  </sheetViews>
  <sheetFormatPr defaultColWidth="13.88671875" defaultRowHeight="12.9"/>
  <cols>
    <col min="1" max="1" width="6.44140625" style="170" customWidth="1"/>
    <col min="2" max="2" width="5.109375" style="56" customWidth="1"/>
    <col min="3" max="3" width="37.5546875" style="54" customWidth="1"/>
    <col min="4" max="4" width="4.5546875" style="20" customWidth="1"/>
    <col min="5" max="5" width="6.88671875" style="129" customWidth="1"/>
    <col min="6" max="6" width="7.109375" style="682" customWidth="1"/>
    <col min="7" max="7" width="9" style="682" customWidth="1"/>
    <col min="8" max="8" width="7.109375" style="682" customWidth="1"/>
    <col min="9" max="9" width="7.109375" style="105" customWidth="1"/>
    <col min="10" max="10" width="10.5546875" style="105" customWidth="1"/>
    <col min="11" max="256" width="13.88671875" style="25"/>
  </cols>
  <sheetData>
    <row r="1" spans="1:11" s="421" customFormat="1" ht="15" customHeight="1">
      <c r="A1" s="2664" t="s">
        <v>413</v>
      </c>
      <c r="B1" s="2665"/>
      <c r="C1" s="2665"/>
      <c r="D1" s="2665"/>
      <c r="E1" s="2665"/>
      <c r="F1" s="2665"/>
      <c r="G1" s="2665"/>
      <c r="H1" s="2665"/>
      <c r="I1" s="2665"/>
      <c r="J1" s="2665"/>
    </row>
    <row r="2" spans="1:11" ht="26.25" customHeight="1">
      <c r="A2" s="2810" t="str">
        <f>'Lead- Input sheet '!A2</f>
        <v xml:space="preserve"> Construction of  Anganwadi Building at Jeedipally Thanda (V) of Kalwakurthy (M) of Nagarkurnool District </v>
      </c>
      <c r="B2" s="2811"/>
      <c r="C2" s="2811"/>
      <c r="D2" s="2811"/>
      <c r="E2" s="2811"/>
      <c r="F2" s="2811"/>
      <c r="G2" s="2811"/>
      <c r="H2" s="2811"/>
      <c r="I2" s="2811"/>
      <c r="J2" s="2811"/>
    </row>
    <row r="3" spans="1:11" s="426" customFormat="1" ht="64.5" customHeight="1">
      <c r="A3" s="704" t="s">
        <v>926</v>
      </c>
      <c r="B3" s="422" t="s">
        <v>148</v>
      </c>
      <c r="C3" s="423" t="s">
        <v>517</v>
      </c>
      <c r="D3" s="326" t="s">
        <v>1035</v>
      </c>
      <c r="E3" s="424" t="s">
        <v>1417</v>
      </c>
      <c r="F3" s="678" t="s">
        <v>784</v>
      </c>
      <c r="G3" s="679" t="s">
        <v>785</v>
      </c>
      <c r="H3" s="679" t="s">
        <v>786</v>
      </c>
      <c r="I3" s="419" t="s">
        <v>1479</v>
      </c>
      <c r="J3" s="424" t="s">
        <v>150</v>
      </c>
      <c r="K3" s="425"/>
    </row>
    <row r="4" spans="1:11" s="396" customFormat="1" ht="11.25" customHeight="1">
      <c r="A4" s="701">
        <v>1</v>
      </c>
      <c r="B4" s="702">
        <v>2</v>
      </c>
      <c r="C4" s="702">
        <f>B4+1</f>
        <v>3</v>
      </c>
      <c r="D4" s="702">
        <f t="shared" ref="D4:J4" si="0">C4+1</f>
        <v>4</v>
      </c>
      <c r="E4" s="702">
        <f t="shared" si="0"/>
        <v>5</v>
      </c>
      <c r="F4" s="702">
        <f t="shared" si="0"/>
        <v>6</v>
      </c>
      <c r="G4" s="702">
        <f t="shared" si="0"/>
        <v>7</v>
      </c>
      <c r="H4" s="702">
        <f t="shared" si="0"/>
        <v>8</v>
      </c>
      <c r="I4" s="702">
        <f t="shared" si="0"/>
        <v>9</v>
      </c>
      <c r="J4" s="702">
        <f t="shared" si="0"/>
        <v>10</v>
      </c>
      <c r="K4" s="703"/>
    </row>
    <row r="5" spans="1:11" ht="35.200000000000003" customHeight="1">
      <c r="A5" s="705" t="s">
        <v>927</v>
      </c>
      <c r="B5" s="420" t="s">
        <v>794</v>
      </c>
      <c r="C5" s="427" t="s">
        <v>795</v>
      </c>
      <c r="D5" s="428"/>
      <c r="E5" s="429"/>
      <c r="F5" s="680"/>
      <c r="G5" s="681" t="s">
        <v>1284</v>
      </c>
      <c r="H5" s="688"/>
      <c r="I5" s="430">
        <f>'Lead- Input sheet '!Q31</f>
        <v>0</v>
      </c>
      <c r="J5" s="431"/>
    </row>
    <row r="6" spans="1:11">
      <c r="A6" s="61"/>
      <c r="C6" s="54" t="s">
        <v>1394</v>
      </c>
      <c r="D6" s="191"/>
      <c r="G6" s="681" t="s">
        <v>1285</v>
      </c>
      <c r="H6" s="688"/>
      <c r="I6" s="430">
        <f>'Lead- Input sheet '!Q32</f>
        <v>0</v>
      </c>
    </row>
    <row r="7" spans="1:11">
      <c r="A7" s="61"/>
      <c r="C7" s="59" t="s">
        <v>1395</v>
      </c>
      <c r="D7" s="191"/>
      <c r="G7" s="463"/>
      <c r="H7" s="689"/>
    </row>
    <row r="8" spans="1:11">
      <c r="A8" s="61"/>
      <c r="C8" s="60" t="s">
        <v>910</v>
      </c>
      <c r="D8" s="191" t="s">
        <v>1417</v>
      </c>
      <c r="E8" s="129">
        <v>0.7</v>
      </c>
      <c r="F8" s="712">
        <v>135</v>
      </c>
      <c r="G8" s="432">
        <f>E8*F8</f>
        <v>94.5</v>
      </c>
      <c r="H8" s="689"/>
    </row>
    <row r="9" spans="1:11">
      <c r="A9" s="61"/>
      <c r="C9" s="59" t="s">
        <v>653</v>
      </c>
      <c r="D9" s="191"/>
      <c r="F9" s="129"/>
      <c r="G9" s="432"/>
      <c r="H9" s="689"/>
    </row>
    <row r="10" spans="1:11">
      <c r="A10" s="61"/>
      <c r="C10" s="60" t="s">
        <v>989</v>
      </c>
      <c r="D10" s="189" t="s">
        <v>1047</v>
      </c>
      <c r="E10" s="433">
        <v>0.7</v>
      </c>
      <c r="F10" s="712">
        <v>320</v>
      </c>
      <c r="G10" s="432">
        <f>E10*F10</f>
        <v>224</v>
      </c>
      <c r="H10" s="689"/>
    </row>
    <row r="11" spans="1:11">
      <c r="A11" s="61"/>
      <c r="C11" s="60" t="s">
        <v>1286</v>
      </c>
      <c r="D11" s="189"/>
      <c r="E11" s="433">
        <f>G10</f>
        <v>224</v>
      </c>
      <c r="F11" s="712">
        <f>I5</f>
        <v>0</v>
      </c>
      <c r="G11" s="432">
        <f>E11*F11</f>
        <v>0</v>
      </c>
      <c r="H11" s="689"/>
    </row>
    <row r="12" spans="1:11">
      <c r="A12" s="61"/>
      <c r="C12" s="60" t="s">
        <v>1166</v>
      </c>
      <c r="D12" s="189"/>
      <c r="E12" s="433">
        <v>0.01</v>
      </c>
      <c r="F12" s="712">
        <f>SUM(G8:G11)</f>
        <v>318.5</v>
      </c>
      <c r="G12" s="432">
        <f>E12*F12</f>
        <v>3.1850000000000001</v>
      </c>
      <c r="H12" s="689"/>
    </row>
    <row r="13" spans="1:11">
      <c r="A13" s="61"/>
      <c r="C13" s="59" t="s">
        <v>1398</v>
      </c>
      <c r="D13" s="191"/>
      <c r="E13" s="433"/>
      <c r="F13" s="129"/>
      <c r="G13" s="434">
        <f>SUM(G8:G12)</f>
        <v>321.685</v>
      </c>
      <c r="H13" s="689"/>
    </row>
    <row r="14" spans="1:11" s="18" customFormat="1" ht="25.8">
      <c r="A14" s="45"/>
      <c r="B14" s="53"/>
      <c r="C14" s="55" t="s">
        <v>1228</v>
      </c>
      <c r="D14" s="190"/>
      <c r="E14" s="435">
        <f>G13</f>
        <v>321.685</v>
      </c>
      <c r="F14" s="713"/>
      <c r="G14" s="434">
        <f>ROUND(E14*F14,2)</f>
        <v>0</v>
      </c>
      <c r="H14" s="690"/>
      <c r="I14" s="436"/>
      <c r="J14" s="436"/>
    </row>
    <row r="15" spans="1:11" s="439" customFormat="1">
      <c r="A15" s="281"/>
      <c r="B15" s="282"/>
      <c r="C15" s="283" t="s">
        <v>1231</v>
      </c>
      <c r="D15" s="437"/>
      <c r="E15" s="438"/>
      <c r="F15" s="684" t="s">
        <v>1486</v>
      </c>
      <c r="G15" s="684">
        <f>SUM(G13:G14)</f>
        <v>321.685</v>
      </c>
      <c r="H15" s="691"/>
      <c r="I15" s="440"/>
      <c r="J15" s="440"/>
    </row>
    <row r="16" spans="1:11" ht="38.700000000000003">
      <c r="A16" s="706" t="s">
        <v>925</v>
      </c>
      <c r="B16" s="19">
        <v>1</v>
      </c>
      <c r="C16" s="54" t="s">
        <v>462</v>
      </c>
      <c r="E16" s="466"/>
      <c r="F16" s="463"/>
      <c r="G16" s="685"/>
      <c r="H16" s="685"/>
      <c r="I16" s="432"/>
      <c r="J16" s="441"/>
    </row>
    <row r="17" spans="1:12">
      <c r="B17" s="19"/>
      <c r="C17" s="54" t="s">
        <v>498</v>
      </c>
      <c r="D17" s="26"/>
      <c r="E17" s="467"/>
      <c r="F17" s="292"/>
      <c r="G17" s="459"/>
      <c r="H17" s="459"/>
      <c r="I17" s="289"/>
      <c r="J17" s="290"/>
      <c r="K17" s="31"/>
    </row>
    <row r="18" spans="1:12">
      <c r="B18" s="19"/>
      <c r="C18" s="54" t="s">
        <v>499</v>
      </c>
      <c r="D18" s="26"/>
      <c r="E18" s="467"/>
      <c r="F18" s="292"/>
      <c r="G18" s="459"/>
      <c r="H18" s="459"/>
      <c r="I18" s="289"/>
      <c r="J18" s="290"/>
      <c r="K18" s="31"/>
    </row>
    <row r="19" spans="1:12" ht="25.8">
      <c r="B19" s="19"/>
      <c r="C19" s="54" t="s">
        <v>73</v>
      </c>
      <c r="D19" s="26" t="s">
        <v>1473</v>
      </c>
      <c r="E19" s="467">
        <v>1</v>
      </c>
      <c r="F19" s="459"/>
      <c r="G19" s="683" t="s">
        <v>935</v>
      </c>
      <c r="H19" s="459"/>
      <c r="I19" s="291"/>
      <c r="J19" s="290"/>
      <c r="K19" s="31"/>
    </row>
    <row r="20" spans="1:12">
      <c r="B20" s="19"/>
      <c r="C20" s="54" t="s">
        <v>500</v>
      </c>
      <c r="D20" s="26"/>
      <c r="E20" s="467"/>
      <c r="F20" s="292"/>
      <c r="G20" s="459"/>
      <c r="H20" s="459"/>
      <c r="I20" s="289"/>
      <c r="J20" s="290"/>
      <c r="K20" s="31"/>
    </row>
    <row r="21" spans="1:12">
      <c r="B21" s="19"/>
      <c r="C21" s="54" t="s">
        <v>501</v>
      </c>
      <c r="D21" s="26" t="s">
        <v>1047</v>
      </c>
      <c r="E21" s="467">
        <v>17.7</v>
      </c>
      <c r="F21" s="714">
        <f>'Lead- Input sheet '!R31</f>
        <v>680</v>
      </c>
      <c r="G21" s="714">
        <f>E21*F21</f>
        <v>12036</v>
      </c>
      <c r="H21" s="292"/>
      <c r="I21" s="289"/>
      <c r="J21" s="290"/>
      <c r="K21" s="31"/>
    </row>
    <row r="22" spans="1:12">
      <c r="B22" s="19"/>
      <c r="C22" s="54" t="s">
        <v>502</v>
      </c>
      <c r="D22" s="26" t="s">
        <v>1047</v>
      </c>
      <c r="E22" s="467">
        <v>8.8000000000000007</v>
      </c>
      <c r="F22" s="714">
        <f>'Lead- Input sheet '!R28</f>
        <v>605</v>
      </c>
      <c r="G22" s="714">
        <f>E22*F22</f>
        <v>5324</v>
      </c>
      <c r="H22" s="292"/>
      <c r="I22" s="289"/>
      <c r="J22" s="290"/>
      <c r="K22" s="31"/>
    </row>
    <row r="23" spans="1:12">
      <c r="A23" s="61"/>
      <c r="C23" s="60" t="s">
        <v>1286</v>
      </c>
      <c r="D23" s="189"/>
      <c r="E23" s="442">
        <f>SUM(G21:G22)</f>
        <v>17360</v>
      </c>
      <c r="F23" s="712">
        <f>I5</f>
        <v>0</v>
      </c>
      <c r="G23" s="714">
        <f>E23*F23</f>
        <v>0</v>
      </c>
      <c r="H23" s="689"/>
    </row>
    <row r="24" spans="1:12">
      <c r="B24" s="19"/>
      <c r="C24" s="54" t="s">
        <v>503</v>
      </c>
      <c r="D24" s="26"/>
      <c r="E24" s="467" t="s">
        <v>975</v>
      </c>
      <c r="F24" s="686"/>
      <c r="G24" s="461"/>
      <c r="H24" s="459"/>
      <c r="I24" s="289"/>
      <c r="J24" s="290"/>
      <c r="K24" s="31"/>
    </row>
    <row r="25" spans="1:12">
      <c r="B25" s="19"/>
      <c r="C25" s="54" t="s">
        <v>74</v>
      </c>
      <c r="D25" s="26"/>
      <c r="E25" s="467"/>
      <c r="F25" s="686"/>
      <c r="G25" s="446">
        <f>SUM(G21:G24)</f>
        <v>17360</v>
      </c>
      <c r="H25" s="459"/>
      <c r="I25" s="289"/>
      <c r="J25" s="290"/>
      <c r="K25" s="31"/>
    </row>
    <row r="26" spans="1:12" ht="245.1">
      <c r="A26" s="617" t="s">
        <v>925</v>
      </c>
      <c r="B26" s="26">
        <v>2</v>
      </c>
      <c r="C26" s="54" t="s">
        <v>375</v>
      </c>
      <c r="D26" s="26"/>
      <c r="E26" s="289"/>
      <c r="F26" s="292"/>
      <c r="G26" s="292"/>
      <c r="H26" s="292"/>
      <c r="I26" s="289"/>
      <c r="J26" s="289"/>
      <c r="K26" s="31"/>
    </row>
    <row r="27" spans="1:12" s="444" customFormat="1">
      <c r="A27" s="172"/>
      <c r="B27" s="158"/>
      <c r="C27" s="55" t="s">
        <v>930</v>
      </c>
      <c r="D27" s="19"/>
      <c r="E27" s="291"/>
      <c r="F27" s="459"/>
      <c r="G27" s="459"/>
      <c r="H27" s="459"/>
      <c r="I27" s="291"/>
      <c r="J27" s="291"/>
      <c r="K27" s="443"/>
    </row>
    <row r="28" spans="1:12">
      <c r="A28" s="617"/>
      <c r="B28" s="34"/>
      <c r="C28" s="54" t="s">
        <v>779</v>
      </c>
      <c r="D28" s="26"/>
      <c r="E28" s="289"/>
      <c r="F28" s="292"/>
      <c r="G28" s="292"/>
      <c r="H28" s="292"/>
      <c r="I28" s="289"/>
      <c r="J28" s="289"/>
      <c r="K28" s="31"/>
    </row>
    <row r="29" spans="1:12" ht="20.2" customHeight="1">
      <c r="A29" s="617"/>
      <c r="B29" s="34"/>
      <c r="C29" s="54" t="s">
        <v>780</v>
      </c>
      <c r="D29" s="26">
        <v>2</v>
      </c>
      <c r="E29" s="289">
        <v>2</v>
      </c>
      <c r="F29" s="292">
        <v>0.1</v>
      </c>
      <c r="G29" s="292">
        <v>7.4999999999999997E-2</v>
      </c>
      <c r="H29" s="292">
        <f>ROUND(D29*E29*F29*G29,3)</f>
        <v>0.03</v>
      </c>
      <c r="I29" s="289">
        <v>25497.19</v>
      </c>
      <c r="J29" s="289">
        <f t="shared" ref="J29:J34" si="1">ROUND(H29*I29,2)</f>
        <v>764.92</v>
      </c>
      <c r="K29" s="31"/>
      <c r="L29" s="205"/>
    </row>
    <row r="30" spans="1:12" ht="20.2" customHeight="1">
      <c r="A30" s="617"/>
      <c r="B30" s="34"/>
      <c r="C30" s="54" t="s">
        <v>781</v>
      </c>
      <c r="D30" s="26">
        <v>1</v>
      </c>
      <c r="E30" s="289">
        <v>0.9</v>
      </c>
      <c r="F30" s="292">
        <v>0.1</v>
      </c>
      <c r="G30" s="292">
        <v>7.4999999999999997E-2</v>
      </c>
      <c r="H30" s="292">
        <f>ROUND(D30*E30*F30*G30,3)</f>
        <v>7.0000000000000001E-3</v>
      </c>
      <c r="I30" s="289">
        <v>25497.19</v>
      </c>
      <c r="J30" s="289">
        <f t="shared" si="1"/>
        <v>178.48</v>
      </c>
      <c r="K30" s="31"/>
      <c r="L30" s="205"/>
    </row>
    <row r="31" spans="1:12" ht="20.2" customHeight="1">
      <c r="A31" s="617"/>
      <c r="B31" s="34"/>
      <c r="C31" s="54" t="s">
        <v>782</v>
      </c>
      <c r="D31" s="26">
        <v>2</v>
      </c>
      <c r="E31" s="289">
        <f>2-0.075*2+0.015</f>
        <v>1.865</v>
      </c>
      <c r="F31" s="292">
        <v>0.125</v>
      </c>
      <c r="G31" s="292">
        <f>0.03175</f>
        <v>3.175E-2</v>
      </c>
      <c r="H31" s="292">
        <f>ROUND(D31*E31*F31*G31,3)</f>
        <v>1.4999999999999999E-2</v>
      </c>
      <c r="I31" s="289">
        <v>31076.9</v>
      </c>
      <c r="J31" s="289">
        <f t="shared" si="1"/>
        <v>466.15</v>
      </c>
      <c r="K31" s="31"/>
      <c r="L31" s="205"/>
    </row>
    <row r="32" spans="1:12" ht="20.2" customHeight="1">
      <c r="A32" s="617"/>
      <c r="B32" s="34"/>
      <c r="C32" s="54" t="s">
        <v>783</v>
      </c>
      <c r="D32" s="26">
        <v>5</v>
      </c>
      <c r="E32" s="289">
        <f>(0.75-2*0.075+2*0.015)</f>
        <v>0.63</v>
      </c>
      <c r="F32" s="292">
        <v>0.125</v>
      </c>
      <c r="G32" s="292">
        <f>0.03175</f>
        <v>3.175E-2</v>
      </c>
      <c r="H32" s="292">
        <f>ROUND(D32*E32*F32*G32,3)</f>
        <v>1.2999999999999999E-2</v>
      </c>
      <c r="I32" s="289">
        <v>31076.9</v>
      </c>
      <c r="J32" s="289">
        <f t="shared" si="1"/>
        <v>404</v>
      </c>
      <c r="K32" s="31"/>
      <c r="L32" s="205"/>
    </row>
    <row r="33" spans="1:12" ht="20.2" customHeight="1">
      <c r="A33" s="617"/>
      <c r="B33" s="34"/>
      <c r="C33" s="54" t="s">
        <v>1481</v>
      </c>
      <c r="D33" s="26">
        <v>4</v>
      </c>
      <c r="E33" s="289">
        <f>0.75-2*0.075+2*0.015-2*0.125+2*0.025</f>
        <v>0.43</v>
      </c>
      <c r="F33" s="292">
        <f>(2-2*0.075+1*0.015-5*0.125)/4+2*0.025</f>
        <v>0.36</v>
      </c>
      <c r="G33" s="292">
        <f>0.025</f>
        <v>2.5000000000000001E-2</v>
      </c>
      <c r="H33" s="292">
        <f>ROUND(D33*E33*F33*G33,3)</f>
        <v>1.4999999999999999E-2</v>
      </c>
      <c r="I33" s="289">
        <v>31076.9</v>
      </c>
      <c r="J33" s="289">
        <f t="shared" si="1"/>
        <v>466.15</v>
      </c>
      <c r="K33" s="31"/>
      <c r="L33" s="205"/>
    </row>
    <row r="34" spans="1:12" ht="20.2" customHeight="1">
      <c r="A34" s="617"/>
      <c r="B34" s="34"/>
      <c r="C34" s="54" t="s">
        <v>1482</v>
      </c>
      <c r="D34" s="26"/>
      <c r="E34" s="289"/>
      <c r="F34" s="292"/>
      <c r="G34" s="292"/>
      <c r="H34" s="292">
        <f>SUM(H29:H33)</f>
        <v>0.08</v>
      </c>
      <c r="I34" s="445">
        <f>G25</f>
        <v>17360</v>
      </c>
      <c r="J34" s="289">
        <f t="shared" si="1"/>
        <v>1388.8</v>
      </c>
      <c r="K34" s="292"/>
      <c r="L34" s="292"/>
    </row>
    <row r="35" spans="1:12" ht="33.299999999999997">
      <c r="A35" s="617" t="s">
        <v>787</v>
      </c>
      <c r="B35" s="19"/>
      <c r="C35" s="54" t="s">
        <v>788</v>
      </c>
      <c r="D35" s="26"/>
      <c r="E35" s="289"/>
      <c r="F35" s="292"/>
      <c r="G35" s="457"/>
      <c r="H35" s="457"/>
      <c r="I35" s="289"/>
      <c r="J35" s="290"/>
      <c r="K35" s="31"/>
    </row>
    <row r="36" spans="1:12" ht="20.2" customHeight="1">
      <c r="A36" s="617"/>
      <c r="B36" s="19"/>
      <c r="C36" s="54" t="s">
        <v>911</v>
      </c>
      <c r="D36" s="26" t="s">
        <v>1035</v>
      </c>
      <c r="E36" s="290" t="s">
        <v>1019</v>
      </c>
      <c r="F36" s="292" t="s">
        <v>1020</v>
      </c>
      <c r="G36" s="292"/>
      <c r="H36" s="716">
        <v>2</v>
      </c>
      <c r="I36" s="289">
        <v>68</v>
      </c>
      <c r="J36" s="289">
        <f t="shared" ref="J36:J43" si="2">ROUND(H36*I36,2)</f>
        <v>136</v>
      </c>
      <c r="K36" s="31"/>
    </row>
    <row r="37" spans="1:12" ht="20.2" customHeight="1">
      <c r="A37" s="617"/>
      <c r="B37" s="19"/>
      <c r="C37" s="54" t="s">
        <v>912</v>
      </c>
      <c r="D37" s="26" t="s">
        <v>1035</v>
      </c>
      <c r="E37" s="290" t="s">
        <v>1021</v>
      </c>
      <c r="F37" s="292"/>
      <c r="G37" s="292"/>
      <c r="H37" s="716">
        <v>1</v>
      </c>
      <c r="I37" s="289">
        <v>35</v>
      </c>
      <c r="J37" s="289">
        <f t="shared" si="2"/>
        <v>35</v>
      </c>
      <c r="K37" s="31"/>
    </row>
    <row r="38" spans="1:12" ht="20.2" customHeight="1">
      <c r="A38" s="617"/>
      <c r="B38" s="19"/>
      <c r="C38" s="54" t="s">
        <v>913</v>
      </c>
      <c r="D38" s="26" t="s">
        <v>1035</v>
      </c>
      <c r="E38" s="290" t="s">
        <v>1022</v>
      </c>
      <c r="F38" s="292"/>
      <c r="G38" s="292"/>
      <c r="H38" s="716">
        <v>6</v>
      </c>
      <c r="I38" s="289">
        <v>31</v>
      </c>
      <c r="J38" s="289">
        <f t="shared" si="2"/>
        <v>186</v>
      </c>
      <c r="K38" s="31"/>
    </row>
    <row r="39" spans="1:12" ht="20.2" customHeight="1">
      <c r="A39" s="617"/>
      <c r="B39" s="19"/>
      <c r="C39" s="54" t="s">
        <v>914</v>
      </c>
      <c r="D39" s="26" t="s">
        <v>1035</v>
      </c>
      <c r="E39" s="290" t="s">
        <v>1023</v>
      </c>
      <c r="F39" s="292"/>
      <c r="G39" s="292"/>
      <c r="H39" s="716">
        <v>1</v>
      </c>
      <c r="I39" s="289">
        <v>164</v>
      </c>
      <c r="J39" s="289">
        <f t="shared" si="2"/>
        <v>164</v>
      </c>
      <c r="K39" s="31"/>
    </row>
    <row r="40" spans="1:12" ht="20.2" customHeight="1">
      <c r="A40" s="617"/>
      <c r="B40" s="19"/>
      <c r="C40" s="54" t="s">
        <v>296</v>
      </c>
      <c r="D40" s="26" t="s">
        <v>1035</v>
      </c>
      <c r="E40" s="290" t="s">
        <v>140</v>
      </c>
      <c r="F40" s="292"/>
      <c r="G40" s="292"/>
      <c r="H40" s="716">
        <v>2</v>
      </c>
      <c r="I40" s="289">
        <v>46</v>
      </c>
      <c r="J40" s="289">
        <f t="shared" si="2"/>
        <v>92</v>
      </c>
      <c r="K40" s="31"/>
    </row>
    <row r="41" spans="1:12" ht="20.2" customHeight="1">
      <c r="A41" s="617"/>
      <c r="B41" s="19"/>
      <c r="C41" s="54" t="s">
        <v>420</v>
      </c>
      <c r="D41" s="26"/>
      <c r="E41" s="290" t="s">
        <v>419</v>
      </c>
      <c r="F41" s="292"/>
      <c r="G41" s="292"/>
      <c r="H41" s="716">
        <v>3</v>
      </c>
      <c r="I41" s="289">
        <v>31</v>
      </c>
      <c r="J41" s="289">
        <f>ROUND(H41*I41,2)</f>
        <v>93</v>
      </c>
      <c r="K41" s="31"/>
    </row>
    <row r="42" spans="1:12" ht="20.2" customHeight="1">
      <c r="A42" s="617"/>
      <c r="B42" s="19"/>
      <c r="C42" s="54" t="s">
        <v>799</v>
      </c>
      <c r="D42" s="26" t="s">
        <v>882</v>
      </c>
      <c r="E42" s="290" t="s">
        <v>141</v>
      </c>
      <c r="F42" s="292"/>
      <c r="G42" s="292"/>
      <c r="H42" s="716">
        <v>80</v>
      </c>
      <c r="I42" s="289">
        <v>2</v>
      </c>
      <c r="J42" s="289">
        <f t="shared" si="2"/>
        <v>160</v>
      </c>
      <c r="K42" s="31"/>
    </row>
    <row r="43" spans="1:12" ht="20.2" customHeight="1">
      <c r="A43" s="617"/>
      <c r="B43" s="19"/>
      <c r="C43" s="54" t="s">
        <v>231</v>
      </c>
      <c r="D43" s="26" t="s">
        <v>882</v>
      </c>
      <c r="E43" s="290" t="s">
        <v>1287</v>
      </c>
      <c r="F43" s="292"/>
      <c r="G43" s="292"/>
      <c r="H43" s="716">
        <v>10</v>
      </c>
      <c r="I43" s="289">
        <v>10</v>
      </c>
      <c r="J43" s="289">
        <f t="shared" si="2"/>
        <v>100</v>
      </c>
      <c r="K43" s="31"/>
    </row>
    <row r="44" spans="1:12" ht="20.2" customHeight="1">
      <c r="A44" s="617"/>
      <c r="B44" s="34"/>
      <c r="C44" s="54" t="s">
        <v>1484</v>
      </c>
      <c r="D44" s="26">
        <v>2.25</v>
      </c>
      <c r="E44" s="289">
        <v>0.75</v>
      </c>
      <c r="F44" s="292"/>
      <c r="G44" s="289">
        <v>2</v>
      </c>
      <c r="H44" s="198">
        <f>ROUND(G44*E44*D44,2)</f>
        <v>3.38</v>
      </c>
      <c r="I44" s="452">
        <f>G15</f>
        <v>321.685</v>
      </c>
      <c r="J44" s="205">
        <f>H44*I44/10</f>
        <v>108.72953</v>
      </c>
      <c r="K44" s="31"/>
    </row>
    <row r="45" spans="1:12" ht="20.2" customHeight="1">
      <c r="A45" s="617"/>
      <c r="B45" s="32"/>
      <c r="C45" s="54" t="s">
        <v>1483</v>
      </c>
      <c r="D45" s="32"/>
      <c r="E45" s="289"/>
      <c r="F45" s="292"/>
      <c r="G45" s="292"/>
      <c r="H45" s="716">
        <v>6</v>
      </c>
      <c r="I45" s="289">
        <v>12</v>
      </c>
      <c r="J45" s="289">
        <f>ROUND(H45*I45,2)</f>
        <v>72</v>
      </c>
      <c r="K45" s="31"/>
    </row>
    <row r="46" spans="1:12" ht="20.2" customHeight="1">
      <c r="A46" s="617"/>
      <c r="B46" s="34"/>
      <c r="C46" s="54" t="s">
        <v>230</v>
      </c>
      <c r="D46" s="26"/>
      <c r="E46" s="289"/>
      <c r="F46" s="292"/>
      <c r="G46" s="292"/>
      <c r="H46" s="716">
        <v>1</v>
      </c>
      <c r="I46" s="289">
        <v>75</v>
      </c>
      <c r="J46" s="289">
        <f>H46*I46</f>
        <v>75</v>
      </c>
      <c r="K46" s="31"/>
    </row>
    <row r="47" spans="1:12" ht="20.2" customHeight="1">
      <c r="A47" s="617"/>
      <c r="B47" s="34"/>
      <c r="D47" s="26"/>
      <c r="E47" s="289"/>
      <c r="F47" s="292"/>
      <c r="G47" s="292"/>
      <c r="H47" s="292"/>
      <c r="I47" s="289"/>
      <c r="J47" s="291">
        <f>ROUND(SUM(J29:J46),1)</f>
        <v>4890.2</v>
      </c>
      <c r="K47" s="31"/>
    </row>
    <row r="48" spans="1:12" s="18" customFormat="1" ht="20.2" customHeight="1">
      <c r="A48" s="617"/>
      <c r="B48" s="40"/>
      <c r="C48" s="54" t="s">
        <v>1228</v>
      </c>
      <c r="D48" s="41"/>
      <c r="E48" s="468"/>
      <c r="F48" s="458"/>
      <c r="G48" s="459"/>
      <c r="H48" s="459">
        <f>J47</f>
        <v>4890.2</v>
      </c>
      <c r="I48" s="291">
        <f>I6</f>
        <v>0</v>
      </c>
      <c r="J48" s="289">
        <f>ROUND(H48*I48,2)</f>
        <v>0</v>
      </c>
      <c r="K48" s="17"/>
    </row>
    <row r="49" spans="1:11" s="439" customFormat="1" ht="20.2" customHeight="1">
      <c r="A49" s="617" t="s">
        <v>1288</v>
      </c>
      <c r="B49" s="411"/>
      <c r="C49" s="283" t="s">
        <v>256</v>
      </c>
      <c r="D49" s="412"/>
      <c r="E49" s="469"/>
      <c r="F49" s="460"/>
      <c r="G49" s="461"/>
      <c r="H49" s="461"/>
      <c r="I49" s="446"/>
      <c r="J49" s="446">
        <f>SUM(J47:J48)</f>
        <v>4890.2</v>
      </c>
      <c r="K49" s="447"/>
    </row>
    <row r="50" spans="1:11" s="444" customFormat="1">
      <c r="A50" s="617"/>
      <c r="B50" s="158"/>
      <c r="C50" s="55" t="s">
        <v>376</v>
      </c>
      <c r="D50" s="19"/>
      <c r="E50" s="291"/>
      <c r="F50" s="459"/>
      <c r="G50" s="459"/>
      <c r="H50" s="459"/>
      <c r="I50" s="291"/>
      <c r="J50" s="291"/>
      <c r="K50" s="443"/>
    </row>
    <row r="51" spans="1:11">
      <c r="A51" s="617"/>
      <c r="B51" s="34"/>
      <c r="C51" s="54" t="s">
        <v>779</v>
      </c>
      <c r="D51" s="26"/>
      <c r="E51" s="289"/>
      <c r="F51" s="292"/>
      <c r="G51" s="292"/>
      <c r="H51" s="292"/>
      <c r="I51" s="289"/>
      <c r="J51" s="289"/>
      <c r="K51" s="31"/>
    </row>
    <row r="52" spans="1:11" ht="20.2" customHeight="1">
      <c r="A52" s="617"/>
      <c r="B52" s="34"/>
      <c r="C52" s="54" t="s">
        <v>780</v>
      </c>
      <c r="D52" s="26">
        <v>2</v>
      </c>
      <c r="E52" s="289">
        <v>2</v>
      </c>
      <c r="F52" s="292">
        <v>0.1</v>
      </c>
      <c r="G52" s="292">
        <v>7.4999999999999997E-2</v>
      </c>
      <c r="H52" s="292">
        <f>ROUND(D52*E52*F52*G52,3)</f>
        <v>0.03</v>
      </c>
      <c r="I52" s="289">
        <v>25497.19</v>
      </c>
      <c r="J52" s="289">
        <f>ROUND(H52*I52,2)</f>
        <v>764.92</v>
      </c>
      <c r="K52" s="31"/>
    </row>
    <row r="53" spans="1:11" ht="20.2" customHeight="1">
      <c r="A53" s="617"/>
      <c r="B53" s="34"/>
      <c r="C53" s="54" t="s">
        <v>781</v>
      </c>
      <c r="D53" s="26">
        <v>1</v>
      </c>
      <c r="E53" s="289">
        <v>0.9</v>
      </c>
      <c r="F53" s="292">
        <v>0.1</v>
      </c>
      <c r="G53" s="292">
        <v>7.4999999999999997E-2</v>
      </c>
      <c r="H53" s="292">
        <f>ROUND(D53*E53*F53*G53,3)</f>
        <v>7.0000000000000001E-3</v>
      </c>
      <c r="I53" s="289">
        <v>25497.19</v>
      </c>
      <c r="J53" s="289">
        <f>ROUND(H53*I53,2)</f>
        <v>178.48</v>
      </c>
      <c r="K53" s="31"/>
    </row>
    <row r="54" spans="1:11" ht="20.2" customHeight="1">
      <c r="A54" s="617"/>
      <c r="B54" s="34"/>
      <c r="C54" s="54" t="s">
        <v>1482</v>
      </c>
      <c r="D54" s="26"/>
      <c r="E54" s="289"/>
      <c r="F54" s="292"/>
      <c r="G54" s="292"/>
      <c r="H54" s="292">
        <f>SUM(H52:H53)</f>
        <v>3.6999999999999998E-2</v>
      </c>
      <c r="I54" s="445">
        <f>G25</f>
        <v>17360</v>
      </c>
      <c r="J54" s="289">
        <f>ROUND(H54*I54,2)</f>
        <v>642.32000000000005</v>
      </c>
      <c r="K54" s="31"/>
    </row>
    <row r="55" spans="1:11" ht="20.2" customHeight="1">
      <c r="A55" s="617"/>
      <c r="B55" s="34"/>
      <c r="C55" s="54" t="s">
        <v>1484</v>
      </c>
      <c r="D55" s="26" t="s">
        <v>1289</v>
      </c>
      <c r="E55" s="289">
        <v>0.75</v>
      </c>
      <c r="F55" s="292"/>
      <c r="G55" s="289">
        <v>2</v>
      </c>
      <c r="H55" s="198">
        <f>ROUND(G55*E55*2.25/3,2)</f>
        <v>1.1299999999999999</v>
      </c>
      <c r="I55" s="452">
        <f>G15</f>
        <v>321.685</v>
      </c>
      <c r="J55" s="205">
        <f>H55*I55/10</f>
        <v>36.350404999999995</v>
      </c>
      <c r="K55" s="31"/>
    </row>
    <row r="56" spans="1:11" ht="20.2" customHeight="1">
      <c r="A56" s="617"/>
      <c r="B56" s="32"/>
      <c r="C56" s="54" t="s">
        <v>1483</v>
      </c>
      <c r="D56" s="32"/>
      <c r="E56" s="289"/>
      <c r="F56" s="292"/>
      <c r="G56" s="292"/>
      <c r="H56" s="716">
        <v>6</v>
      </c>
      <c r="I56" s="289">
        <v>12</v>
      </c>
      <c r="J56" s="289">
        <f>ROUND(H56*I56,2)</f>
        <v>72</v>
      </c>
      <c r="K56" s="31"/>
    </row>
    <row r="57" spans="1:11" ht="20.2" customHeight="1">
      <c r="A57" s="617"/>
      <c r="B57" s="34"/>
      <c r="C57" s="54" t="s">
        <v>230</v>
      </c>
      <c r="D57" s="26"/>
      <c r="E57" s="289"/>
      <c r="F57" s="292"/>
      <c r="G57" s="292"/>
      <c r="H57" s="716">
        <v>1</v>
      </c>
      <c r="I57" s="289">
        <v>50</v>
      </c>
      <c r="J57" s="289">
        <f>H57*I57</f>
        <v>50</v>
      </c>
      <c r="K57" s="31"/>
    </row>
    <row r="58" spans="1:11" ht="20.2" customHeight="1">
      <c r="A58" s="617"/>
      <c r="B58" s="34"/>
      <c r="D58" s="26"/>
      <c r="E58" s="289"/>
      <c r="F58" s="292"/>
      <c r="G58" s="292"/>
      <c r="H58" s="292"/>
      <c r="I58" s="289"/>
      <c r="J58" s="291">
        <f>SUM(J52:J57)</f>
        <v>1744.0704049999999</v>
      </c>
      <c r="K58" s="31"/>
    </row>
    <row r="59" spans="1:11" s="18" customFormat="1" ht="20.2" customHeight="1">
      <c r="A59" s="617"/>
      <c r="B59" s="40"/>
      <c r="C59" s="54" t="s">
        <v>1228</v>
      </c>
      <c r="D59" s="41"/>
      <c r="E59" s="291"/>
      <c r="F59" s="459"/>
      <c r="G59" s="459"/>
      <c r="H59" s="459">
        <f>J58</f>
        <v>1744.0704049999999</v>
      </c>
      <c r="I59" s="291">
        <f>I6</f>
        <v>0</v>
      </c>
      <c r="J59" s="289">
        <f>ROUND(H59*I59,2)</f>
        <v>0</v>
      </c>
      <c r="K59" s="17"/>
    </row>
    <row r="60" spans="1:11" s="439" customFormat="1" ht="20.2" customHeight="1">
      <c r="A60" s="617" t="s">
        <v>1288</v>
      </c>
      <c r="B60" s="411"/>
      <c r="C60" s="283" t="s">
        <v>377</v>
      </c>
      <c r="D60" s="412"/>
      <c r="E60" s="446"/>
      <c r="F60" s="461"/>
      <c r="G60" s="461"/>
      <c r="H60" s="461"/>
      <c r="I60" s="446"/>
      <c r="J60" s="446">
        <f>SUM(J58:J59)</f>
        <v>1744.0704049999999</v>
      </c>
      <c r="K60" s="447"/>
    </row>
    <row r="61" spans="1:11" s="439" customFormat="1" ht="20.2" customHeight="1">
      <c r="A61" s="617"/>
      <c r="B61" s="411"/>
      <c r="C61" s="283" t="s">
        <v>378</v>
      </c>
      <c r="D61" s="412"/>
      <c r="E61" s="446"/>
      <c r="F61" s="461"/>
      <c r="G61" s="461"/>
      <c r="H61" s="461"/>
      <c r="I61" s="446"/>
      <c r="J61" s="446">
        <f>J49-J60</f>
        <v>3146.1295949999999</v>
      </c>
      <c r="K61" s="447"/>
    </row>
    <row r="62" spans="1:11" ht="245.1">
      <c r="A62" s="617"/>
      <c r="B62" s="26">
        <v>3</v>
      </c>
      <c r="C62" s="54" t="s">
        <v>379</v>
      </c>
      <c r="D62" s="26"/>
      <c r="E62" s="289"/>
      <c r="F62" s="292"/>
      <c r="G62" s="292"/>
      <c r="H62" s="292"/>
      <c r="I62" s="289"/>
      <c r="J62" s="289"/>
      <c r="K62" s="31"/>
    </row>
    <row r="63" spans="1:11" ht="25.8">
      <c r="A63" s="617"/>
      <c r="B63" s="34"/>
      <c r="C63" s="55" t="s">
        <v>380</v>
      </c>
      <c r="D63" s="19"/>
      <c r="E63" s="291"/>
      <c r="F63" s="292"/>
      <c r="G63" s="292"/>
      <c r="H63" s="292"/>
      <c r="I63" s="289"/>
      <c r="J63" s="289"/>
      <c r="K63" s="31"/>
    </row>
    <row r="64" spans="1:11">
      <c r="A64" s="617"/>
      <c r="B64" s="34"/>
      <c r="C64" s="54" t="s">
        <v>779</v>
      </c>
      <c r="D64" s="26"/>
      <c r="E64" s="289"/>
      <c r="F64" s="292"/>
      <c r="G64" s="292"/>
      <c r="H64" s="292"/>
      <c r="I64" s="289"/>
      <c r="J64" s="289"/>
      <c r="K64" s="31"/>
    </row>
    <row r="65" spans="1:11" ht="20.2" customHeight="1">
      <c r="A65" s="617"/>
      <c r="B65" s="34"/>
      <c r="C65" s="54" t="s">
        <v>780</v>
      </c>
      <c r="D65" s="26">
        <v>2</v>
      </c>
      <c r="E65" s="289">
        <v>2</v>
      </c>
      <c r="F65" s="292">
        <v>0.1</v>
      </c>
      <c r="G65" s="292">
        <v>7.4999999999999997E-2</v>
      </c>
      <c r="H65" s="292">
        <f>ROUND(D65*E65*F65*G65,3)</f>
        <v>0.03</v>
      </c>
      <c r="I65" s="289">
        <v>25497.19</v>
      </c>
      <c r="J65" s="289">
        <f t="shared" ref="J65:J70" si="3">ROUND(H65*I65,2)</f>
        <v>764.92</v>
      </c>
      <c r="K65" s="31"/>
    </row>
    <row r="66" spans="1:11" ht="20.2" customHeight="1">
      <c r="A66" s="617"/>
      <c r="B66" s="34"/>
      <c r="C66" s="54" t="s">
        <v>781</v>
      </c>
      <c r="D66" s="26">
        <v>1</v>
      </c>
      <c r="E66" s="289">
        <v>1.05</v>
      </c>
      <c r="F66" s="292">
        <v>0.1</v>
      </c>
      <c r="G66" s="292">
        <v>7.4999999999999997E-2</v>
      </c>
      <c r="H66" s="292">
        <f>ROUND(D66*E66*F66*G66,3)</f>
        <v>8.0000000000000002E-3</v>
      </c>
      <c r="I66" s="289">
        <v>25497.19</v>
      </c>
      <c r="J66" s="289">
        <f t="shared" si="3"/>
        <v>203.98</v>
      </c>
      <c r="K66" s="31"/>
    </row>
    <row r="67" spans="1:11" ht="20.2" customHeight="1">
      <c r="A67" s="617"/>
      <c r="B67" s="34"/>
      <c r="C67" s="54" t="s">
        <v>782</v>
      </c>
      <c r="D67" s="26">
        <v>4</v>
      </c>
      <c r="E67" s="289">
        <f>(2-2*0.075)+1*0.015</f>
        <v>1.865</v>
      </c>
      <c r="F67" s="292">
        <v>0.1</v>
      </c>
      <c r="G67" s="292">
        <f>1.25*25.4/1000</f>
        <v>3.175E-2</v>
      </c>
      <c r="H67" s="292">
        <f>ROUND(D67*E67*F67*G67,3)</f>
        <v>2.4E-2</v>
      </c>
      <c r="I67" s="289">
        <v>31076.9</v>
      </c>
      <c r="J67" s="289">
        <f t="shared" si="3"/>
        <v>745.85</v>
      </c>
      <c r="K67" s="31"/>
    </row>
    <row r="68" spans="1:11" ht="20.2" customHeight="1">
      <c r="A68" s="617"/>
      <c r="B68" s="34"/>
      <c r="C68" s="54" t="s">
        <v>783</v>
      </c>
      <c r="D68" s="26" t="s">
        <v>791</v>
      </c>
      <c r="E68" s="289">
        <f>(0.9-2*0.075+2*0.015)/2</f>
        <v>0.39</v>
      </c>
      <c r="F68" s="292">
        <v>0.1</v>
      </c>
      <c r="G68" s="292">
        <f>1.25*25.4/1000</f>
        <v>3.175E-2</v>
      </c>
      <c r="H68" s="292">
        <f>ROUND(12*E68*F68*G68,3)</f>
        <v>1.4999999999999999E-2</v>
      </c>
      <c r="I68" s="289">
        <v>31076.9</v>
      </c>
      <c r="J68" s="289">
        <f t="shared" si="3"/>
        <v>466.15</v>
      </c>
      <c r="K68" s="31"/>
    </row>
    <row r="69" spans="1:11" ht="20.2" customHeight="1">
      <c r="A69" s="617"/>
      <c r="B69" s="34"/>
      <c r="C69" s="54" t="s">
        <v>1481</v>
      </c>
      <c r="D69" s="26" t="s">
        <v>792</v>
      </c>
      <c r="E69" s="289">
        <f>(0.9-2*0.075+2*0.015)/2-2*0.1+2*0.025</f>
        <v>0.24</v>
      </c>
      <c r="F69" s="292">
        <f>(2-2*0.075+1*0.015-6*0.1)/5+2*0.025</f>
        <v>0.30299999999999999</v>
      </c>
      <c r="G69" s="292">
        <v>2.5000000000000001E-2</v>
      </c>
      <c r="H69" s="292">
        <f>ROUND(10*E69*F69*G69,3)</f>
        <v>1.7999999999999999E-2</v>
      </c>
      <c r="I69" s="289">
        <v>31076.9</v>
      </c>
      <c r="J69" s="289">
        <f t="shared" si="3"/>
        <v>559.38</v>
      </c>
      <c r="K69" s="31"/>
    </row>
    <row r="70" spans="1:11" ht="20.2" customHeight="1">
      <c r="A70" s="617"/>
      <c r="B70" s="34"/>
      <c r="C70" s="54" t="s">
        <v>1482</v>
      </c>
      <c r="D70" s="26"/>
      <c r="E70" s="289"/>
      <c r="F70" s="292"/>
      <c r="G70" s="292"/>
      <c r="H70" s="292">
        <f>SUM(H65:H69)</f>
        <v>9.5000000000000001E-2</v>
      </c>
      <c r="I70" s="445">
        <f>G25</f>
        <v>17360</v>
      </c>
      <c r="J70" s="289">
        <f t="shared" si="3"/>
        <v>1649.2</v>
      </c>
      <c r="K70" s="31"/>
    </row>
    <row r="71" spans="1:11" ht="33.299999999999997">
      <c r="A71" s="617" t="s">
        <v>787</v>
      </c>
      <c r="B71" s="19"/>
      <c r="C71" s="54" t="s">
        <v>788</v>
      </c>
      <c r="D71" s="26"/>
      <c r="E71" s="289"/>
      <c r="F71" s="292"/>
      <c r="G71" s="457"/>
      <c r="H71" s="457"/>
      <c r="I71" s="289"/>
      <c r="J71" s="290"/>
      <c r="K71" s="31"/>
    </row>
    <row r="72" spans="1:11" s="697" customFormat="1" ht="20.2" customHeight="1">
      <c r="A72" s="617"/>
      <c r="B72" s="692"/>
      <c r="C72" s="693" t="s">
        <v>911</v>
      </c>
      <c r="D72" s="694" t="s">
        <v>1035</v>
      </c>
      <c r="E72" s="695" t="s">
        <v>1019</v>
      </c>
      <c r="F72" s="696"/>
      <c r="G72" s="696"/>
      <c r="H72" s="716">
        <v>2</v>
      </c>
      <c r="I72" s="471">
        <v>68</v>
      </c>
      <c r="J72" s="471">
        <f t="shared" ref="J72:J80" si="4">ROUND(H72*I72,2)</f>
        <v>136</v>
      </c>
      <c r="K72" s="694"/>
    </row>
    <row r="73" spans="1:11" s="697" customFormat="1" ht="20.2" customHeight="1">
      <c r="A73" s="617"/>
      <c r="B73" s="692"/>
      <c r="C73" s="693" t="s">
        <v>912</v>
      </c>
      <c r="D73" s="694" t="s">
        <v>1035</v>
      </c>
      <c r="E73" s="695" t="s">
        <v>1021</v>
      </c>
      <c r="F73" s="696"/>
      <c r="G73" s="696"/>
      <c r="H73" s="716">
        <v>1</v>
      </c>
      <c r="I73" s="471">
        <v>35</v>
      </c>
      <c r="J73" s="471">
        <f t="shared" si="4"/>
        <v>35</v>
      </c>
      <c r="K73" s="694"/>
    </row>
    <row r="74" spans="1:11" s="697" customFormat="1" ht="20.2" customHeight="1">
      <c r="A74" s="617"/>
      <c r="B74" s="692"/>
      <c r="C74" s="693" t="s">
        <v>913</v>
      </c>
      <c r="D74" s="694" t="s">
        <v>1035</v>
      </c>
      <c r="E74" s="695" t="s">
        <v>1022</v>
      </c>
      <c r="F74" s="696"/>
      <c r="G74" s="696"/>
      <c r="H74" s="716">
        <v>6</v>
      </c>
      <c r="I74" s="471">
        <v>31</v>
      </c>
      <c r="J74" s="471">
        <f t="shared" si="4"/>
        <v>186</v>
      </c>
      <c r="K74" s="694"/>
    </row>
    <row r="75" spans="1:11" s="697" customFormat="1" ht="20.2" customHeight="1">
      <c r="A75" s="617"/>
      <c r="B75" s="692"/>
      <c r="C75" s="693" t="s">
        <v>914</v>
      </c>
      <c r="D75" s="694" t="s">
        <v>1035</v>
      </c>
      <c r="E75" s="695" t="s">
        <v>1023</v>
      </c>
      <c r="F75" s="696"/>
      <c r="G75" s="696"/>
      <c r="H75" s="716">
        <v>1</v>
      </c>
      <c r="I75" s="471">
        <v>164</v>
      </c>
      <c r="J75" s="471">
        <f t="shared" si="4"/>
        <v>164</v>
      </c>
      <c r="K75" s="694"/>
    </row>
    <row r="76" spans="1:11" s="697" customFormat="1" ht="20.2" customHeight="1">
      <c r="A76" s="617"/>
      <c r="B76" s="692"/>
      <c r="C76" s="693" t="s">
        <v>296</v>
      </c>
      <c r="D76" s="694" t="s">
        <v>1035</v>
      </c>
      <c r="E76" s="695" t="s">
        <v>140</v>
      </c>
      <c r="F76" s="696"/>
      <c r="G76" s="696"/>
      <c r="H76" s="716">
        <v>2</v>
      </c>
      <c r="I76" s="471">
        <v>46</v>
      </c>
      <c r="J76" s="471">
        <f t="shared" si="4"/>
        <v>92</v>
      </c>
      <c r="K76" s="694"/>
    </row>
    <row r="77" spans="1:11" ht="20.2" customHeight="1">
      <c r="A77" s="617"/>
      <c r="B77" s="19"/>
      <c r="C77" s="54" t="s">
        <v>420</v>
      </c>
      <c r="D77" s="26"/>
      <c r="E77" s="290" t="s">
        <v>419</v>
      </c>
      <c r="F77" s="292"/>
      <c r="G77" s="292"/>
      <c r="H77" s="716">
        <v>3</v>
      </c>
      <c r="I77" s="289">
        <v>31</v>
      </c>
      <c r="J77" s="289">
        <f t="shared" si="4"/>
        <v>93</v>
      </c>
      <c r="K77" s="31"/>
    </row>
    <row r="78" spans="1:11" s="697" customFormat="1" ht="20.2" customHeight="1">
      <c r="A78" s="617"/>
      <c r="B78" s="692"/>
      <c r="C78" s="693" t="s">
        <v>799</v>
      </c>
      <c r="D78" s="694" t="s">
        <v>882</v>
      </c>
      <c r="E78" s="695" t="s">
        <v>141</v>
      </c>
      <c r="F78" s="696"/>
      <c r="G78" s="696"/>
      <c r="H78" s="716">
        <v>80</v>
      </c>
      <c r="I78" s="471">
        <v>2</v>
      </c>
      <c r="J78" s="471">
        <f t="shared" si="4"/>
        <v>160</v>
      </c>
      <c r="K78" s="694"/>
    </row>
    <row r="79" spans="1:11" s="697" customFormat="1" ht="20.2" customHeight="1">
      <c r="A79" s="617"/>
      <c r="B79" s="692"/>
      <c r="C79" s="693" t="s">
        <v>231</v>
      </c>
      <c r="D79" s="694" t="s">
        <v>882</v>
      </c>
      <c r="E79" s="695" t="s">
        <v>1287</v>
      </c>
      <c r="F79" s="696"/>
      <c r="G79" s="696"/>
      <c r="H79" s="716">
        <v>10</v>
      </c>
      <c r="I79" s="471">
        <v>10</v>
      </c>
      <c r="J79" s="471">
        <f t="shared" si="4"/>
        <v>100</v>
      </c>
      <c r="K79" s="694"/>
    </row>
    <row r="80" spans="1:11" s="697" customFormat="1" ht="20.2" customHeight="1">
      <c r="A80" s="617"/>
      <c r="B80" s="694"/>
      <c r="C80" s="693" t="s">
        <v>1483</v>
      </c>
      <c r="D80" s="694"/>
      <c r="E80" s="695"/>
      <c r="F80" s="696"/>
      <c r="G80" s="696"/>
      <c r="H80" s="716">
        <v>6</v>
      </c>
      <c r="I80" s="471">
        <v>12</v>
      </c>
      <c r="J80" s="471">
        <f t="shared" si="4"/>
        <v>72</v>
      </c>
      <c r="K80" s="694"/>
    </row>
    <row r="81" spans="1:11" s="697" customFormat="1" ht="20.2" customHeight="1">
      <c r="A81" s="617"/>
      <c r="B81" s="695"/>
      <c r="C81" s="693" t="s">
        <v>1484</v>
      </c>
      <c r="D81" s="694">
        <v>2.25</v>
      </c>
      <c r="E81" s="695">
        <v>0.9</v>
      </c>
      <c r="F81" s="696"/>
      <c r="G81" s="695">
        <v>2</v>
      </c>
      <c r="H81" s="198">
        <f>ROUND(G81*E81*D81,2)</f>
        <v>4.05</v>
      </c>
      <c r="I81" s="698">
        <f>G15</f>
        <v>321.685</v>
      </c>
      <c r="J81" s="471">
        <f>H81*I81/10</f>
        <v>130.28242499999999</v>
      </c>
      <c r="K81" s="694"/>
    </row>
    <row r="82" spans="1:11" s="697" customFormat="1" ht="20.2" customHeight="1">
      <c r="A82" s="617"/>
      <c r="B82" s="695"/>
      <c r="C82" s="693" t="s">
        <v>230</v>
      </c>
      <c r="D82" s="694"/>
      <c r="E82" s="695"/>
      <c r="F82" s="696"/>
      <c r="G82" s="696"/>
      <c r="H82" s="716">
        <v>1</v>
      </c>
      <c r="I82" s="471">
        <v>75</v>
      </c>
      <c r="J82" s="471">
        <f>H82*I82</f>
        <v>75</v>
      </c>
      <c r="K82" s="694"/>
    </row>
    <row r="83" spans="1:11" ht="20.2" customHeight="1">
      <c r="A83" s="617"/>
      <c r="B83" s="34"/>
      <c r="D83" s="26"/>
      <c r="E83" s="289"/>
      <c r="F83" s="292"/>
      <c r="G83" s="292"/>
      <c r="H83" s="292"/>
      <c r="I83" s="289"/>
      <c r="J83" s="289">
        <f>SUM(J65:J82)</f>
        <v>5632.7624250000008</v>
      </c>
      <c r="K83" s="31"/>
    </row>
    <row r="84" spans="1:11" s="18" customFormat="1" ht="20.2" customHeight="1">
      <c r="A84" s="617"/>
      <c r="B84" s="40"/>
      <c r="C84" s="54" t="s">
        <v>1228</v>
      </c>
      <c r="D84" s="41"/>
      <c r="E84" s="468"/>
      <c r="F84" s="458"/>
      <c r="G84" s="458"/>
      <c r="H84" s="459">
        <f>J83</f>
        <v>5632.7624250000008</v>
      </c>
      <c r="I84" s="291">
        <f>I6</f>
        <v>0</v>
      </c>
      <c r="J84" s="289">
        <f>ROUND(H84*I84,2)</f>
        <v>0</v>
      </c>
      <c r="K84" s="17"/>
    </row>
    <row r="85" spans="1:11" s="439" customFormat="1" ht="20.2" customHeight="1">
      <c r="A85" s="617" t="s">
        <v>542</v>
      </c>
      <c r="B85" s="411"/>
      <c r="C85" s="283" t="s">
        <v>256</v>
      </c>
      <c r="D85" s="412"/>
      <c r="E85" s="469"/>
      <c r="F85" s="460"/>
      <c r="G85" s="460"/>
      <c r="H85" s="461"/>
      <c r="I85" s="464"/>
      <c r="J85" s="446">
        <f>SUM(J83:J84)</f>
        <v>5632.7624250000008</v>
      </c>
      <c r="K85" s="447"/>
    </row>
    <row r="86" spans="1:11">
      <c r="A86" s="617"/>
      <c r="B86" s="34"/>
      <c r="C86" s="55" t="s">
        <v>381</v>
      </c>
      <c r="D86" s="19"/>
      <c r="E86" s="291"/>
      <c r="F86" s="292"/>
      <c r="G86" s="292"/>
      <c r="H86" s="292"/>
      <c r="I86" s="289"/>
      <c r="J86" s="289"/>
      <c r="K86" s="31"/>
    </row>
    <row r="87" spans="1:11">
      <c r="A87" s="617"/>
      <c r="B87" s="34"/>
      <c r="C87" s="54" t="s">
        <v>779</v>
      </c>
      <c r="D87" s="26"/>
      <c r="E87" s="289"/>
      <c r="F87" s="292"/>
      <c r="G87" s="292"/>
      <c r="H87" s="292"/>
      <c r="I87" s="289"/>
      <c r="J87" s="289"/>
      <c r="K87" s="31"/>
    </row>
    <row r="88" spans="1:11" ht="20.2" customHeight="1">
      <c r="A88" s="617"/>
      <c r="B88" s="34"/>
      <c r="C88" s="54" t="s">
        <v>780</v>
      </c>
      <c r="D88" s="26">
        <v>2</v>
      </c>
      <c r="E88" s="289">
        <v>2</v>
      </c>
      <c r="F88" s="292">
        <v>0.1</v>
      </c>
      <c r="G88" s="292">
        <v>7.4999999999999997E-2</v>
      </c>
      <c r="H88" s="292">
        <f>ROUND(D88*E88*F88*G88,3)</f>
        <v>0.03</v>
      </c>
      <c r="I88" s="289">
        <v>25497.19</v>
      </c>
      <c r="J88" s="289">
        <f>ROUND(H88*I88,2)</f>
        <v>764.92</v>
      </c>
      <c r="K88" s="31"/>
    </row>
    <row r="89" spans="1:11" ht="20.2" customHeight="1">
      <c r="A89" s="617"/>
      <c r="B89" s="34"/>
      <c r="C89" s="54" t="s">
        <v>781</v>
      </c>
      <c r="D89" s="26">
        <v>1</v>
      </c>
      <c r="E89" s="289">
        <v>1.05</v>
      </c>
      <c r="F89" s="292">
        <v>0.1</v>
      </c>
      <c r="G89" s="292">
        <v>7.4999999999999997E-2</v>
      </c>
      <c r="H89" s="292">
        <f>ROUND(D89*E89*F89*G89,3)</f>
        <v>8.0000000000000002E-3</v>
      </c>
      <c r="I89" s="289">
        <v>25497.19</v>
      </c>
      <c r="J89" s="289">
        <f>ROUND(H89*I89,2)</f>
        <v>203.98</v>
      </c>
      <c r="K89" s="31"/>
    </row>
    <row r="90" spans="1:11" ht="20.2" customHeight="1">
      <c r="A90" s="617"/>
      <c r="B90" s="34"/>
      <c r="C90" s="54" t="s">
        <v>1482</v>
      </c>
      <c r="D90" s="26"/>
      <c r="E90" s="289"/>
      <c r="F90" s="292"/>
      <c r="G90" s="292"/>
      <c r="H90" s="292">
        <f>SUM(H88:H89)</f>
        <v>3.7999999999999999E-2</v>
      </c>
      <c r="I90" s="445">
        <f>G25</f>
        <v>17360</v>
      </c>
      <c r="J90" s="289">
        <f>ROUND(H90*I90,2)</f>
        <v>659.68</v>
      </c>
      <c r="K90" s="31"/>
    </row>
    <row r="91" spans="1:11" ht="33.299999999999997">
      <c r="A91" s="617" t="s">
        <v>787</v>
      </c>
      <c r="B91" s="19"/>
      <c r="C91" s="54" t="s">
        <v>788</v>
      </c>
      <c r="D91" s="26"/>
      <c r="E91" s="289"/>
      <c r="F91" s="292"/>
      <c r="G91" s="457"/>
      <c r="H91" s="457"/>
      <c r="I91" s="289"/>
      <c r="J91" s="290"/>
      <c r="K91" s="31"/>
    </row>
    <row r="92" spans="1:11" ht="20.2" customHeight="1">
      <c r="A92" s="617"/>
      <c r="B92" s="32"/>
      <c r="C92" s="54" t="s">
        <v>1483</v>
      </c>
      <c r="D92" s="32"/>
      <c r="E92" s="289"/>
      <c r="F92" s="292"/>
      <c r="G92" s="292"/>
      <c r="H92" s="716">
        <v>6</v>
      </c>
      <c r="I92" s="289">
        <v>12</v>
      </c>
      <c r="J92" s="289">
        <f>ROUND(H92*I92,2)</f>
        <v>72</v>
      </c>
      <c r="K92" s="31"/>
    </row>
    <row r="93" spans="1:11" ht="20.2" customHeight="1">
      <c r="A93" s="617"/>
      <c r="B93" s="34"/>
      <c r="C93" s="54" t="s">
        <v>1484</v>
      </c>
      <c r="D93" s="26" t="s">
        <v>539</v>
      </c>
      <c r="E93" s="289">
        <v>0.9</v>
      </c>
      <c r="F93" s="292"/>
      <c r="G93" s="289">
        <v>2</v>
      </c>
      <c r="H93" s="292">
        <f>ROUND(G93*E93*2.25/3,2)</f>
        <v>1.35</v>
      </c>
      <c r="I93" s="452">
        <f>G15</f>
        <v>321.685</v>
      </c>
      <c r="J93" s="205">
        <f>H93*I93/10</f>
        <v>43.427475000000001</v>
      </c>
      <c r="K93" s="31"/>
    </row>
    <row r="94" spans="1:11" ht="20.2" customHeight="1">
      <c r="A94" s="617"/>
      <c r="B94" s="34"/>
      <c r="C94" s="54" t="s">
        <v>230</v>
      </c>
      <c r="D94" s="26"/>
      <c r="E94" s="289"/>
      <c r="F94" s="292"/>
      <c r="G94" s="292"/>
      <c r="H94" s="716">
        <v>1</v>
      </c>
      <c r="I94" s="289">
        <v>50</v>
      </c>
      <c r="J94" s="289">
        <f>H94*I94</f>
        <v>50</v>
      </c>
      <c r="K94" s="31"/>
    </row>
    <row r="95" spans="1:11" ht="20.2" customHeight="1">
      <c r="A95" s="617"/>
      <c r="B95" s="34"/>
      <c r="D95" s="26"/>
      <c r="E95" s="289"/>
      <c r="F95" s="292"/>
      <c r="G95" s="292"/>
      <c r="H95" s="292"/>
      <c r="I95" s="289"/>
      <c r="J95" s="289">
        <f>SUM(J88:J94)</f>
        <v>1794.0074749999999</v>
      </c>
      <c r="K95" s="31"/>
    </row>
    <row r="96" spans="1:11" s="18" customFormat="1" ht="20.2" customHeight="1">
      <c r="A96" s="617"/>
      <c r="B96" s="40"/>
      <c r="C96" s="54" t="s">
        <v>1228</v>
      </c>
      <c r="D96" s="41"/>
      <c r="E96" s="468"/>
      <c r="F96" s="458"/>
      <c r="G96" s="458"/>
      <c r="H96" s="459">
        <f>J95</f>
        <v>1794.0074749999999</v>
      </c>
      <c r="I96" s="291">
        <f>I6</f>
        <v>0</v>
      </c>
      <c r="J96" s="289">
        <f>ROUND(H96*I96,2)</f>
        <v>0</v>
      </c>
      <c r="K96" s="17"/>
    </row>
    <row r="97" spans="1:11" s="439" customFormat="1" ht="30" customHeight="1">
      <c r="A97" s="617" t="s">
        <v>542</v>
      </c>
      <c r="B97" s="411"/>
      <c r="C97" s="448" t="s">
        <v>382</v>
      </c>
      <c r="D97" s="412"/>
      <c r="E97" s="469"/>
      <c r="F97" s="460"/>
      <c r="G97" s="460"/>
      <c r="H97" s="461"/>
      <c r="I97" s="464"/>
      <c r="J97" s="446">
        <f>SUM(J95:J96)</f>
        <v>1794.0074749999999</v>
      </c>
      <c r="K97" s="447"/>
    </row>
    <row r="98" spans="1:11" s="439" customFormat="1" ht="30" customHeight="1">
      <c r="A98" s="617"/>
      <c r="B98" s="411"/>
      <c r="C98" s="448" t="s">
        <v>383</v>
      </c>
      <c r="D98" s="412"/>
      <c r="E98" s="469"/>
      <c r="F98" s="460"/>
      <c r="G98" s="460"/>
      <c r="H98" s="461"/>
      <c r="I98" s="464"/>
      <c r="J98" s="446">
        <f>J85-J97</f>
        <v>3838.7549500000009</v>
      </c>
      <c r="K98" s="447"/>
    </row>
    <row r="99" spans="1:11" ht="245.1">
      <c r="A99" s="617"/>
      <c r="B99" s="26">
        <v>4</v>
      </c>
      <c r="C99" s="55" t="s">
        <v>384</v>
      </c>
      <c r="D99" s="26"/>
      <c r="E99" s="289"/>
      <c r="F99" s="292"/>
      <c r="G99" s="292"/>
      <c r="H99" s="292"/>
      <c r="I99" s="289"/>
      <c r="J99" s="289"/>
      <c r="K99" s="31"/>
    </row>
    <row r="100" spans="1:11">
      <c r="A100" s="617"/>
      <c r="B100" s="34"/>
      <c r="C100" s="55" t="s">
        <v>385</v>
      </c>
      <c r="D100" s="19"/>
      <c r="E100" s="291"/>
      <c r="F100" s="292"/>
      <c r="G100" s="292"/>
      <c r="H100" s="292"/>
      <c r="I100" s="289"/>
      <c r="J100" s="289"/>
      <c r="K100" s="31"/>
    </row>
    <row r="101" spans="1:11">
      <c r="A101" s="617"/>
      <c r="B101" s="34"/>
      <c r="C101" s="54" t="s">
        <v>779</v>
      </c>
      <c r="D101" s="26"/>
      <c r="E101" s="289"/>
      <c r="F101" s="292"/>
      <c r="G101" s="292"/>
      <c r="H101" s="292"/>
      <c r="I101" s="289"/>
      <c r="J101" s="289"/>
      <c r="K101" s="31"/>
    </row>
    <row r="102" spans="1:11" ht="20.2" customHeight="1">
      <c r="A102" s="617"/>
      <c r="B102" s="34"/>
      <c r="C102" s="54" t="s">
        <v>780</v>
      </c>
      <c r="D102" s="26">
        <v>2</v>
      </c>
      <c r="E102" s="289">
        <v>2</v>
      </c>
      <c r="F102" s="292">
        <v>0.1</v>
      </c>
      <c r="G102" s="292">
        <v>7.4999999999999997E-2</v>
      </c>
      <c r="H102" s="292">
        <f>ROUND(D102*E102*F102*G102,3)</f>
        <v>0.03</v>
      </c>
      <c r="I102" s="289">
        <v>25497.19</v>
      </c>
      <c r="J102" s="289">
        <f t="shared" ref="J102:J107" si="5">ROUND(H102*I102,2)</f>
        <v>764.92</v>
      </c>
      <c r="K102" s="31"/>
    </row>
    <row r="103" spans="1:11" ht="20.2" customHeight="1">
      <c r="A103" s="617"/>
      <c r="B103" s="34"/>
      <c r="C103" s="54" t="s">
        <v>781</v>
      </c>
      <c r="D103" s="26">
        <v>1</v>
      </c>
      <c r="E103" s="289">
        <v>1.2</v>
      </c>
      <c r="F103" s="292">
        <v>0.1</v>
      </c>
      <c r="G103" s="292">
        <v>7.4999999999999997E-2</v>
      </c>
      <c r="H103" s="292">
        <f>ROUND(D103*E103*F103*G103,3)</f>
        <v>8.9999999999999993E-3</v>
      </c>
      <c r="I103" s="289">
        <v>25497.19</v>
      </c>
      <c r="J103" s="289">
        <f t="shared" si="5"/>
        <v>229.47</v>
      </c>
      <c r="K103" s="31"/>
    </row>
    <row r="104" spans="1:11" ht="20.2" customHeight="1">
      <c r="A104" s="617"/>
      <c r="B104" s="34"/>
      <c r="C104" s="54" t="s">
        <v>782</v>
      </c>
      <c r="D104" s="26">
        <v>4</v>
      </c>
      <c r="E104" s="289">
        <f>(2-1*0.075-0.075)+1*0.015</f>
        <v>1.865</v>
      </c>
      <c r="F104" s="292">
        <v>0.1</v>
      </c>
      <c r="G104" s="292">
        <f>1.25*25.4/1000</f>
        <v>3.175E-2</v>
      </c>
      <c r="H104" s="292">
        <f>ROUND(D104*E104*F104*G104,3)</f>
        <v>2.4E-2</v>
      </c>
      <c r="I104" s="289">
        <v>31076.9</v>
      </c>
      <c r="J104" s="289">
        <f t="shared" si="5"/>
        <v>745.85</v>
      </c>
      <c r="K104" s="31"/>
    </row>
    <row r="105" spans="1:11" ht="20.2" customHeight="1">
      <c r="A105" s="617"/>
      <c r="B105" s="34"/>
      <c r="C105" s="54" t="s">
        <v>783</v>
      </c>
      <c r="D105" s="26" t="s">
        <v>791</v>
      </c>
      <c r="E105" s="289">
        <f>(1.05-2*0.075+2*0.015)/2</f>
        <v>0.46500000000000002</v>
      </c>
      <c r="F105" s="292">
        <v>0.1</v>
      </c>
      <c r="G105" s="292">
        <f>1.25*25.4/1000</f>
        <v>3.175E-2</v>
      </c>
      <c r="H105" s="292">
        <f>ROUND(12*E105*F105*G105,3)</f>
        <v>1.7999999999999999E-2</v>
      </c>
      <c r="I105" s="289">
        <v>31076.9</v>
      </c>
      <c r="J105" s="289">
        <f t="shared" si="5"/>
        <v>559.38</v>
      </c>
      <c r="K105" s="31"/>
    </row>
    <row r="106" spans="1:11" ht="20.2" customHeight="1">
      <c r="A106" s="617"/>
      <c r="B106" s="34"/>
      <c r="C106" s="54" t="s">
        <v>1481</v>
      </c>
      <c r="D106" s="26" t="s">
        <v>792</v>
      </c>
      <c r="E106" s="289">
        <f>(1.05-2*0.075+2*0.015)/2-2*0.1+2*0.025</f>
        <v>0.315</v>
      </c>
      <c r="F106" s="292">
        <f>(2-2*0.075+1*0.015-6*0.1)/5+2*0.025</f>
        <v>0.30299999999999999</v>
      </c>
      <c r="G106" s="292">
        <v>2.5000000000000001E-2</v>
      </c>
      <c r="H106" s="292">
        <f>ROUND(10*E106*F106*G106,3)</f>
        <v>2.4E-2</v>
      </c>
      <c r="I106" s="289">
        <v>31076.9</v>
      </c>
      <c r="J106" s="289">
        <f t="shared" si="5"/>
        <v>745.85</v>
      </c>
      <c r="K106" s="31"/>
    </row>
    <row r="107" spans="1:11" ht="20.2" customHeight="1">
      <c r="A107" s="617"/>
      <c r="B107" s="34"/>
      <c r="C107" s="54" t="s">
        <v>1482</v>
      </c>
      <c r="D107" s="26"/>
      <c r="E107" s="289"/>
      <c r="F107" s="292"/>
      <c r="G107" s="292"/>
      <c r="H107" s="292">
        <f>SUM(H102:H106)</f>
        <v>0.10500000000000001</v>
      </c>
      <c r="I107" s="445">
        <f>G25</f>
        <v>17360</v>
      </c>
      <c r="J107" s="289">
        <f t="shared" si="5"/>
        <v>1822.8</v>
      </c>
      <c r="K107" s="31"/>
    </row>
    <row r="108" spans="1:11" ht="33.299999999999997">
      <c r="A108" s="617" t="s">
        <v>787</v>
      </c>
      <c r="B108" s="19"/>
      <c r="C108" s="54" t="s">
        <v>788</v>
      </c>
      <c r="D108" s="26"/>
      <c r="E108" s="289"/>
      <c r="F108" s="292"/>
      <c r="G108" s="457"/>
      <c r="H108" s="457"/>
      <c r="I108" s="289"/>
      <c r="J108" s="290"/>
      <c r="K108" s="31"/>
    </row>
    <row r="109" spans="1:11" ht="20.2" customHeight="1">
      <c r="A109" s="617"/>
      <c r="B109" s="19"/>
      <c r="C109" s="693" t="s">
        <v>911</v>
      </c>
      <c r="D109" s="694" t="s">
        <v>1035</v>
      </c>
      <c r="E109" s="695" t="s">
        <v>1019</v>
      </c>
      <c r="F109" s="696"/>
      <c r="G109" s="696"/>
      <c r="H109" s="716">
        <v>2</v>
      </c>
      <c r="I109" s="471">
        <v>68</v>
      </c>
      <c r="J109" s="471">
        <f t="shared" ref="J109:J117" si="6">ROUND(H109*I109,2)</f>
        <v>136</v>
      </c>
      <c r="K109" s="31"/>
    </row>
    <row r="110" spans="1:11" ht="20.2" customHeight="1">
      <c r="A110" s="617"/>
      <c r="B110" s="19"/>
      <c r="C110" s="693" t="s">
        <v>912</v>
      </c>
      <c r="D110" s="694" t="s">
        <v>1035</v>
      </c>
      <c r="E110" s="695" t="s">
        <v>1021</v>
      </c>
      <c r="F110" s="696"/>
      <c r="G110" s="696"/>
      <c r="H110" s="716">
        <v>1</v>
      </c>
      <c r="I110" s="471">
        <v>35</v>
      </c>
      <c r="J110" s="471">
        <f t="shared" si="6"/>
        <v>35</v>
      </c>
      <c r="K110" s="31"/>
    </row>
    <row r="111" spans="1:11" ht="20.2" customHeight="1">
      <c r="A111" s="617"/>
      <c r="B111" s="19"/>
      <c r="C111" s="693" t="s">
        <v>913</v>
      </c>
      <c r="D111" s="694" t="s">
        <v>1035</v>
      </c>
      <c r="E111" s="695" t="s">
        <v>1022</v>
      </c>
      <c r="F111" s="696"/>
      <c r="G111" s="696"/>
      <c r="H111" s="716">
        <v>6</v>
      </c>
      <c r="I111" s="471">
        <v>31</v>
      </c>
      <c r="J111" s="471">
        <f t="shared" si="6"/>
        <v>186</v>
      </c>
      <c r="K111" s="31"/>
    </row>
    <row r="112" spans="1:11" ht="20.2" customHeight="1">
      <c r="A112" s="617"/>
      <c r="B112" s="19"/>
      <c r="C112" s="693" t="s">
        <v>914</v>
      </c>
      <c r="D112" s="694" t="s">
        <v>1035</v>
      </c>
      <c r="E112" s="695" t="s">
        <v>1023</v>
      </c>
      <c r="F112" s="696"/>
      <c r="G112" s="696"/>
      <c r="H112" s="716">
        <v>1</v>
      </c>
      <c r="I112" s="471">
        <v>164</v>
      </c>
      <c r="J112" s="471">
        <f t="shared" si="6"/>
        <v>164</v>
      </c>
      <c r="K112" s="31"/>
    </row>
    <row r="113" spans="1:11" ht="20.2" customHeight="1">
      <c r="A113" s="617"/>
      <c r="B113" s="19"/>
      <c r="C113" s="693" t="s">
        <v>296</v>
      </c>
      <c r="D113" s="694" t="s">
        <v>1035</v>
      </c>
      <c r="E113" s="695" t="s">
        <v>140</v>
      </c>
      <c r="F113" s="696"/>
      <c r="G113" s="696"/>
      <c r="H113" s="716">
        <v>2</v>
      </c>
      <c r="I113" s="471">
        <v>46</v>
      </c>
      <c r="J113" s="471">
        <f t="shared" si="6"/>
        <v>92</v>
      </c>
      <c r="K113" s="31"/>
    </row>
    <row r="114" spans="1:11" ht="20.2" customHeight="1">
      <c r="A114" s="617"/>
      <c r="B114" s="19"/>
      <c r="C114" s="54" t="s">
        <v>420</v>
      </c>
      <c r="D114" s="26"/>
      <c r="E114" s="290" t="s">
        <v>419</v>
      </c>
      <c r="F114" s="292"/>
      <c r="G114" s="292"/>
      <c r="H114" s="716">
        <v>3</v>
      </c>
      <c r="I114" s="289">
        <v>31</v>
      </c>
      <c r="J114" s="289">
        <f t="shared" si="6"/>
        <v>93</v>
      </c>
      <c r="K114" s="31"/>
    </row>
    <row r="115" spans="1:11" ht="20.2" customHeight="1">
      <c r="A115" s="617"/>
      <c r="B115" s="19"/>
      <c r="C115" s="693" t="s">
        <v>799</v>
      </c>
      <c r="D115" s="694" t="s">
        <v>882</v>
      </c>
      <c r="E115" s="695" t="s">
        <v>141</v>
      </c>
      <c r="F115" s="696"/>
      <c r="G115" s="696"/>
      <c r="H115" s="716">
        <v>80</v>
      </c>
      <c r="I115" s="471">
        <v>2</v>
      </c>
      <c r="J115" s="471">
        <f t="shared" si="6"/>
        <v>160</v>
      </c>
      <c r="K115" s="31"/>
    </row>
    <row r="116" spans="1:11" ht="20.2" customHeight="1">
      <c r="A116" s="617"/>
      <c r="B116" s="19"/>
      <c r="C116" s="693" t="s">
        <v>231</v>
      </c>
      <c r="D116" s="694" t="s">
        <v>882</v>
      </c>
      <c r="E116" s="695" t="s">
        <v>1287</v>
      </c>
      <c r="F116" s="696"/>
      <c r="G116" s="696"/>
      <c r="H116" s="716">
        <v>10</v>
      </c>
      <c r="I116" s="471">
        <v>10</v>
      </c>
      <c r="J116" s="471">
        <f t="shared" si="6"/>
        <v>100</v>
      </c>
      <c r="K116" s="31"/>
    </row>
    <row r="117" spans="1:11" ht="20.2" customHeight="1">
      <c r="A117" s="617"/>
      <c r="B117" s="32"/>
      <c r="C117" s="693" t="s">
        <v>1483</v>
      </c>
      <c r="D117" s="694"/>
      <c r="E117" s="695"/>
      <c r="F117" s="696"/>
      <c r="G117" s="696"/>
      <c r="H117" s="716">
        <v>6</v>
      </c>
      <c r="I117" s="471">
        <v>12</v>
      </c>
      <c r="J117" s="471">
        <f t="shared" si="6"/>
        <v>72</v>
      </c>
      <c r="K117" s="31"/>
    </row>
    <row r="118" spans="1:11" ht="20.2" customHeight="1">
      <c r="A118" s="617"/>
      <c r="B118" s="34"/>
      <c r="C118" s="54" t="s">
        <v>1484</v>
      </c>
      <c r="D118" s="26">
        <v>2.25</v>
      </c>
      <c r="E118" s="289">
        <v>1.05</v>
      </c>
      <c r="F118" s="292"/>
      <c r="G118" s="289">
        <v>2</v>
      </c>
      <c r="H118" s="198">
        <f>ROUND(G118*E118*D118,2)</f>
        <v>4.7300000000000004</v>
      </c>
      <c r="I118" s="452">
        <f>G15</f>
        <v>321.685</v>
      </c>
      <c r="J118" s="205">
        <f>H118*I118/10</f>
        <v>152.157005</v>
      </c>
      <c r="K118" s="31"/>
    </row>
    <row r="119" spans="1:11" ht="20.2" customHeight="1">
      <c r="A119" s="617"/>
      <c r="B119" s="34"/>
      <c r="C119" s="54" t="s">
        <v>230</v>
      </c>
      <c r="D119" s="26"/>
      <c r="E119" s="289"/>
      <c r="F119" s="292"/>
      <c r="G119" s="292"/>
      <c r="H119" s="716">
        <v>1</v>
      </c>
      <c r="I119" s="289">
        <v>75</v>
      </c>
      <c r="J119" s="289">
        <f>H119*I119</f>
        <v>75</v>
      </c>
      <c r="K119" s="31"/>
    </row>
    <row r="120" spans="1:11" ht="20.2" customHeight="1">
      <c r="A120" s="617"/>
      <c r="B120" s="34"/>
      <c r="D120" s="26"/>
      <c r="E120" s="289"/>
      <c r="F120" s="292"/>
      <c r="G120" s="292"/>
      <c r="H120" s="292"/>
      <c r="I120" s="289"/>
      <c r="J120" s="289">
        <f>SUM(J102:J119)</f>
        <v>6133.4270049999996</v>
      </c>
      <c r="K120" s="31"/>
    </row>
    <row r="121" spans="1:11" s="18" customFormat="1" ht="20.2" customHeight="1">
      <c r="A121" s="617"/>
      <c r="B121" s="40"/>
      <c r="C121" s="54" t="s">
        <v>1228</v>
      </c>
      <c r="D121" s="41"/>
      <c r="E121" s="468"/>
      <c r="F121" s="458"/>
      <c r="G121" s="458"/>
      <c r="H121" s="459">
        <f>J120</f>
        <v>6133.4270049999996</v>
      </c>
      <c r="I121" s="458">
        <f>I6</f>
        <v>0</v>
      </c>
      <c r="J121" s="699">
        <f>ROUND(H121*I121,2)</f>
        <v>0</v>
      </c>
      <c r="K121" s="17"/>
    </row>
    <row r="122" spans="1:11" s="18" customFormat="1" ht="20.2" customHeight="1">
      <c r="A122" s="617"/>
      <c r="B122" s="411"/>
      <c r="C122" s="283" t="s">
        <v>256</v>
      </c>
      <c r="D122" s="412"/>
      <c r="E122" s="469"/>
      <c r="F122" s="460"/>
      <c r="G122" s="460"/>
      <c r="H122" s="461"/>
      <c r="I122" s="446"/>
      <c r="J122" s="446">
        <f>SUM(J120:J121)</f>
        <v>6133.4270049999996</v>
      </c>
      <c r="K122" s="17"/>
    </row>
    <row r="123" spans="1:11">
      <c r="A123" s="617"/>
      <c r="B123" s="34"/>
      <c r="C123" s="55" t="s">
        <v>386</v>
      </c>
      <c r="D123" s="19"/>
      <c r="E123" s="291"/>
      <c r="F123" s="292"/>
      <c r="G123" s="292"/>
      <c r="H123" s="292"/>
      <c r="I123" s="289"/>
      <c r="J123" s="289"/>
      <c r="K123" s="31"/>
    </row>
    <row r="124" spans="1:11">
      <c r="A124" s="617"/>
      <c r="B124" s="34"/>
      <c r="C124" s="54" t="s">
        <v>779</v>
      </c>
      <c r="D124" s="26"/>
      <c r="E124" s="289"/>
      <c r="F124" s="292"/>
      <c r="G124" s="292"/>
      <c r="H124" s="292"/>
      <c r="I124" s="289"/>
      <c r="J124" s="289"/>
      <c r="K124" s="31"/>
    </row>
    <row r="125" spans="1:11" ht="20.2" customHeight="1">
      <c r="A125" s="617"/>
      <c r="B125" s="34"/>
      <c r="C125" s="54" t="s">
        <v>780</v>
      </c>
      <c r="D125" s="26">
        <v>2</v>
      </c>
      <c r="E125" s="289">
        <v>2</v>
      </c>
      <c r="F125" s="292">
        <v>0.1</v>
      </c>
      <c r="G125" s="292">
        <v>7.4999999999999997E-2</v>
      </c>
      <c r="H125" s="292">
        <f>ROUND(D125*E125*F125*G125,3)</f>
        <v>0.03</v>
      </c>
      <c r="I125" s="289">
        <v>25497.19</v>
      </c>
      <c r="J125" s="289">
        <f>ROUND(H125*I125,2)</f>
        <v>764.92</v>
      </c>
      <c r="K125" s="31"/>
    </row>
    <row r="126" spans="1:11" ht="20.2" customHeight="1">
      <c r="A126" s="617"/>
      <c r="B126" s="34"/>
      <c r="C126" s="54" t="s">
        <v>781</v>
      </c>
      <c r="D126" s="26">
        <v>1</v>
      </c>
      <c r="E126" s="289">
        <v>1.2</v>
      </c>
      <c r="F126" s="292">
        <v>0.1</v>
      </c>
      <c r="G126" s="292">
        <v>7.4999999999999997E-2</v>
      </c>
      <c r="H126" s="292">
        <f>ROUND(D126*E126*F126*G126,3)</f>
        <v>8.9999999999999993E-3</v>
      </c>
      <c r="I126" s="289">
        <v>25497.19</v>
      </c>
      <c r="J126" s="289">
        <f>ROUND(H126*I126,2)</f>
        <v>229.47</v>
      </c>
      <c r="K126" s="31"/>
    </row>
    <row r="127" spans="1:11" ht="20.2" customHeight="1">
      <c r="A127" s="617"/>
      <c r="B127" s="34"/>
      <c r="C127" s="54" t="s">
        <v>1482</v>
      </c>
      <c r="D127" s="26"/>
      <c r="E127" s="289"/>
      <c r="F127" s="292"/>
      <c r="G127" s="292"/>
      <c r="H127" s="292">
        <f>SUM(H125:H126)</f>
        <v>3.9E-2</v>
      </c>
      <c r="I127" s="445">
        <f>G25</f>
        <v>17360</v>
      </c>
      <c r="J127" s="289">
        <f>ROUND(H127*I127,2)</f>
        <v>677.04</v>
      </c>
      <c r="K127" s="31"/>
    </row>
    <row r="128" spans="1:11" ht="20.2" customHeight="1">
      <c r="A128" s="617"/>
      <c r="B128" s="34"/>
      <c r="C128" s="54" t="s">
        <v>1484</v>
      </c>
      <c r="D128" s="26" t="s">
        <v>539</v>
      </c>
      <c r="E128" s="289">
        <v>1.05</v>
      </c>
      <c r="F128" s="292"/>
      <c r="G128" s="292">
        <v>2</v>
      </c>
      <c r="H128" s="292">
        <f>ROUND(G128*E128*2.25/3,2)</f>
        <v>1.58</v>
      </c>
      <c r="I128" s="452">
        <f>G15</f>
        <v>321.685</v>
      </c>
      <c r="J128" s="289">
        <f>ROUND(H128*I128/10,2)</f>
        <v>50.83</v>
      </c>
      <c r="K128" s="31"/>
    </row>
    <row r="129" spans="1:11" ht="20.2" customHeight="1">
      <c r="A129" s="617"/>
      <c r="B129" s="32"/>
      <c r="C129" s="54" t="s">
        <v>1483</v>
      </c>
      <c r="D129" s="32"/>
      <c r="E129" s="289"/>
      <c r="F129" s="292"/>
      <c r="G129" s="292"/>
      <c r="H129" s="715">
        <v>6</v>
      </c>
      <c r="I129" s="289">
        <v>12</v>
      </c>
      <c r="J129" s="289">
        <f>ROUND(H129*I129,2)</f>
        <v>72</v>
      </c>
      <c r="K129" s="31"/>
    </row>
    <row r="130" spans="1:11" ht="20.2" customHeight="1">
      <c r="A130" s="617"/>
      <c r="B130" s="34"/>
      <c r="C130" s="54" t="s">
        <v>230</v>
      </c>
      <c r="D130" s="26"/>
      <c r="E130" s="289"/>
      <c r="F130" s="292"/>
      <c r="G130" s="292"/>
      <c r="H130" s="715">
        <v>1</v>
      </c>
      <c r="I130" s="289">
        <v>50</v>
      </c>
      <c r="J130" s="289">
        <f>ROUND(H130*I130,2)</f>
        <v>50</v>
      </c>
      <c r="K130" s="31"/>
    </row>
    <row r="131" spans="1:11" ht="20.2" customHeight="1">
      <c r="A131" s="617"/>
      <c r="B131" s="34"/>
      <c r="D131" s="26"/>
      <c r="E131" s="289"/>
      <c r="F131" s="292"/>
      <c r="G131" s="292"/>
      <c r="H131" s="292"/>
      <c r="I131" s="289"/>
      <c r="J131" s="289">
        <f>SUM(J125:J130)</f>
        <v>1844.2599999999998</v>
      </c>
      <c r="K131" s="31"/>
    </row>
    <row r="132" spans="1:11" s="18" customFormat="1" ht="20.2" customHeight="1">
      <c r="A132" s="617"/>
      <c r="B132" s="40"/>
      <c r="C132" s="54" t="s">
        <v>1228</v>
      </c>
      <c r="D132" s="41"/>
      <c r="E132" s="468"/>
      <c r="F132" s="458"/>
      <c r="G132" s="458"/>
      <c r="H132" s="459">
        <f>J131</f>
        <v>1844.2599999999998</v>
      </c>
      <c r="I132" s="291">
        <f>I6</f>
        <v>0</v>
      </c>
      <c r="J132" s="289">
        <f>ROUND(H132*I132,2)</f>
        <v>0</v>
      </c>
      <c r="K132" s="17"/>
    </row>
    <row r="133" spans="1:11" s="439" customFormat="1" ht="20.2" customHeight="1">
      <c r="A133" s="617" t="s">
        <v>542</v>
      </c>
      <c r="B133" s="411"/>
      <c r="C133" s="283" t="s">
        <v>387</v>
      </c>
      <c r="D133" s="412"/>
      <c r="E133" s="469"/>
      <c r="F133" s="460"/>
      <c r="G133" s="460"/>
      <c r="H133" s="461"/>
      <c r="I133" s="464"/>
      <c r="J133" s="446">
        <f>SUM(J131:J132)</f>
        <v>1844.2599999999998</v>
      </c>
      <c r="K133" s="447"/>
    </row>
    <row r="134" spans="1:11" s="439" customFormat="1" ht="20.2" customHeight="1">
      <c r="A134" s="617"/>
      <c r="B134" s="411"/>
      <c r="C134" s="283" t="s">
        <v>388</v>
      </c>
      <c r="D134" s="412"/>
      <c r="E134" s="469"/>
      <c r="F134" s="460"/>
      <c r="G134" s="460"/>
      <c r="H134" s="461"/>
      <c r="I134" s="464"/>
      <c r="J134" s="446">
        <f>J122-J133</f>
        <v>4289.1670049999993</v>
      </c>
      <c r="K134" s="447"/>
    </row>
    <row r="135" spans="1:11" ht="300" customHeight="1">
      <c r="A135" s="617"/>
      <c r="B135" s="26">
        <v>5</v>
      </c>
      <c r="C135" s="55" t="s">
        <v>390</v>
      </c>
      <c r="D135" s="26"/>
      <c r="E135" s="289"/>
      <c r="F135" s="292"/>
      <c r="G135" s="292"/>
      <c r="H135" s="292"/>
      <c r="I135" s="289"/>
      <c r="J135" s="289"/>
      <c r="K135" s="31"/>
    </row>
    <row r="136" spans="1:11">
      <c r="A136" s="617"/>
      <c r="B136" s="34"/>
      <c r="C136" s="55" t="s">
        <v>389</v>
      </c>
      <c r="D136" s="19"/>
      <c r="E136" s="291"/>
      <c r="F136" s="292"/>
      <c r="G136" s="292"/>
      <c r="H136" s="292"/>
      <c r="I136" s="289"/>
      <c r="J136" s="289"/>
      <c r="K136" s="31"/>
    </row>
    <row r="137" spans="1:11">
      <c r="A137" s="617"/>
      <c r="B137" s="34"/>
      <c r="C137" s="54" t="s">
        <v>779</v>
      </c>
      <c r="D137" s="26"/>
      <c r="E137" s="289"/>
      <c r="F137" s="292"/>
      <c r="G137" s="292"/>
      <c r="H137" s="292"/>
      <c r="I137" s="289"/>
      <c r="J137" s="289"/>
      <c r="K137" s="31"/>
    </row>
    <row r="138" spans="1:11" ht="20.2" customHeight="1">
      <c r="A138" s="617"/>
      <c r="B138" s="34"/>
      <c r="C138" s="54" t="s">
        <v>780</v>
      </c>
      <c r="D138" s="26">
        <v>2</v>
      </c>
      <c r="E138" s="289">
        <v>2</v>
      </c>
      <c r="F138" s="292">
        <v>0.1</v>
      </c>
      <c r="G138" s="292">
        <v>7.4999999999999997E-2</v>
      </c>
      <c r="H138" s="292">
        <f>ROUND(D138*E138*F138*G138,3)</f>
        <v>0.03</v>
      </c>
      <c r="I138" s="289">
        <v>25497.19</v>
      </c>
      <c r="J138" s="289">
        <f t="shared" ref="J138:J143" si="7">ROUND(H138*I138,2)</f>
        <v>764.92</v>
      </c>
      <c r="K138" s="31"/>
    </row>
    <row r="139" spans="1:11" ht="20.2" customHeight="1">
      <c r="A139" s="617"/>
      <c r="B139" s="34"/>
      <c r="C139" s="54" t="s">
        <v>781</v>
      </c>
      <c r="D139" s="26">
        <v>1</v>
      </c>
      <c r="E139" s="289">
        <v>1.35</v>
      </c>
      <c r="F139" s="292">
        <v>0.1</v>
      </c>
      <c r="G139" s="292">
        <v>7.4999999999999997E-2</v>
      </c>
      <c r="H139" s="292">
        <f>ROUND(D139*E139*F139*G139,3)</f>
        <v>0.01</v>
      </c>
      <c r="I139" s="289">
        <v>25497.19</v>
      </c>
      <c r="J139" s="289">
        <f t="shared" si="7"/>
        <v>254.97</v>
      </c>
      <c r="K139" s="31"/>
    </row>
    <row r="140" spans="1:11" ht="20.2" customHeight="1">
      <c r="A140" s="617"/>
      <c r="B140" s="34"/>
      <c r="C140" s="54" t="s">
        <v>782</v>
      </c>
      <c r="D140" s="26">
        <v>4</v>
      </c>
      <c r="E140" s="289">
        <f>(2-1*0.075-0.075)+1*0.015</f>
        <v>1.865</v>
      </c>
      <c r="F140" s="292">
        <v>0.1</v>
      </c>
      <c r="G140" s="292">
        <f>1.25*25.4/1000</f>
        <v>3.175E-2</v>
      </c>
      <c r="H140" s="292">
        <f>ROUND(D140*E140*F140*G140,3)</f>
        <v>2.4E-2</v>
      </c>
      <c r="I140" s="289">
        <v>31076.9</v>
      </c>
      <c r="J140" s="289">
        <f t="shared" si="7"/>
        <v>745.85</v>
      </c>
      <c r="K140" s="31"/>
    </row>
    <row r="141" spans="1:11" ht="20.2" customHeight="1">
      <c r="A141" s="617"/>
      <c r="B141" s="34"/>
      <c r="C141" s="54" t="s">
        <v>783</v>
      </c>
      <c r="D141" s="26" t="s">
        <v>791</v>
      </c>
      <c r="E141" s="289">
        <f>(1.2-2*0.075+2*0.015)/2</f>
        <v>0.54</v>
      </c>
      <c r="F141" s="292">
        <v>0.1</v>
      </c>
      <c r="G141" s="292">
        <f>1.25*25.4/1000</f>
        <v>3.175E-2</v>
      </c>
      <c r="H141" s="292">
        <f>ROUND(12*E141*F141*G141,3)</f>
        <v>2.1000000000000001E-2</v>
      </c>
      <c r="I141" s="289">
        <v>31076.9</v>
      </c>
      <c r="J141" s="289">
        <f t="shared" si="7"/>
        <v>652.61</v>
      </c>
      <c r="K141" s="31"/>
    </row>
    <row r="142" spans="1:11" ht="20.2" customHeight="1">
      <c r="A142" s="617"/>
      <c r="B142" s="34"/>
      <c r="C142" s="54" t="s">
        <v>1481</v>
      </c>
      <c r="D142" s="26" t="s">
        <v>792</v>
      </c>
      <c r="E142" s="289">
        <f>(1.2-2*0.075+2*0.015)/2-2*0.1+2*0.025</f>
        <v>0.39</v>
      </c>
      <c r="F142" s="292">
        <f>(2-2*0.075+1*0.015-6*0.1)/5+2*0.025</f>
        <v>0.30299999999999999</v>
      </c>
      <c r="G142" s="292">
        <v>2.5000000000000001E-2</v>
      </c>
      <c r="H142" s="292">
        <f>ROUND(10*E142*F142*G142,3)</f>
        <v>0.03</v>
      </c>
      <c r="I142" s="289">
        <v>31076.9</v>
      </c>
      <c r="J142" s="289">
        <f t="shared" si="7"/>
        <v>932.31</v>
      </c>
      <c r="K142" s="31"/>
    </row>
    <row r="143" spans="1:11" ht="20.2" customHeight="1">
      <c r="A143" s="617"/>
      <c r="B143" s="34"/>
      <c r="C143" s="54" t="s">
        <v>1482</v>
      </c>
      <c r="D143" s="26"/>
      <c r="E143" s="289"/>
      <c r="F143" s="292"/>
      <c r="G143" s="292"/>
      <c r="H143" s="292">
        <f>SUM(H138:H142)</f>
        <v>0.115</v>
      </c>
      <c r="I143" s="445">
        <f>G25</f>
        <v>17360</v>
      </c>
      <c r="J143" s="289">
        <f t="shared" si="7"/>
        <v>1996.4</v>
      </c>
      <c r="K143" s="31"/>
    </row>
    <row r="144" spans="1:11" ht="33.299999999999997">
      <c r="A144" s="617" t="s">
        <v>787</v>
      </c>
      <c r="B144" s="19"/>
      <c r="C144" s="54" t="s">
        <v>788</v>
      </c>
      <c r="D144" s="26"/>
      <c r="E144" s="289"/>
      <c r="F144" s="292"/>
      <c r="G144" s="457"/>
      <c r="H144" s="457"/>
      <c r="I144" s="289"/>
      <c r="J144" s="290"/>
      <c r="K144" s="31"/>
    </row>
    <row r="145" spans="1:11" ht="20.2" customHeight="1">
      <c r="A145" s="617"/>
      <c r="B145" s="19"/>
      <c r="C145" s="693" t="s">
        <v>911</v>
      </c>
      <c r="D145" s="694" t="s">
        <v>1035</v>
      </c>
      <c r="E145" s="695" t="s">
        <v>1019</v>
      </c>
      <c r="F145" s="696"/>
      <c r="G145" s="696"/>
      <c r="H145" s="717">
        <v>2</v>
      </c>
      <c r="I145" s="471">
        <v>68</v>
      </c>
      <c r="J145" s="471">
        <f t="shared" ref="J145:J153" si="8">ROUND(H145*I145,2)</f>
        <v>136</v>
      </c>
      <c r="K145" s="31"/>
    </row>
    <row r="146" spans="1:11" ht="20.2" customHeight="1">
      <c r="A146" s="617"/>
      <c r="B146" s="19"/>
      <c r="C146" s="693" t="s">
        <v>912</v>
      </c>
      <c r="D146" s="694" t="s">
        <v>1035</v>
      </c>
      <c r="E146" s="695" t="s">
        <v>1021</v>
      </c>
      <c r="F146" s="696"/>
      <c r="G146" s="696"/>
      <c r="H146" s="717">
        <v>1</v>
      </c>
      <c r="I146" s="471">
        <v>35</v>
      </c>
      <c r="J146" s="471">
        <f t="shared" si="8"/>
        <v>35</v>
      </c>
      <c r="K146" s="31"/>
    </row>
    <row r="147" spans="1:11" ht="20.2" customHeight="1">
      <c r="A147" s="617"/>
      <c r="B147" s="19"/>
      <c r="C147" s="693" t="s">
        <v>913</v>
      </c>
      <c r="D147" s="694" t="s">
        <v>1035</v>
      </c>
      <c r="E147" s="695" t="s">
        <v>1022</v>
      </c>
      <c r="F147" s="696"/>
      <c r="G147" s="696"/>
      <c r="H147" s="717">
        <v>6</v>
      </c>
      <c r="I147" s="471">
        <v>31</v>
      </c>
      <c r="J147" s="471">
        <f t="shared" si="8"/>
        <v>186</v>
      </c>
      <c r="K147" s="31"/>
    </row>
    <row r="148" spans="1:11" ht="20.2" customHeight="1">
      <c r="A148" s="617"/>
      <c r="B148" s="19"/>
      <c r="C148" s="693" t="s">
        <v>914</v>
      </c>
      <c r="D148" s="694" t="s">
        <v>1035</v>
      </c>
      <c r="E148" s="695" t="s">
        <v>1023</v>
      </c>
      <c r="F148" s="696"/>
      <c r="G148" s="696"/>
      <c r="H148" s="717">
        <v>1</v>
      </c>
      <c r="I148" s="471">
        <v>164</v>
      </c>
      <c r="J148" s="471">
        <f t="shared" si="8"/>
        <v>164</v>
      </c>
      <c r="K148" s="31"/>
    </row>
    <row r="149" spans="1:11" ht="20.2" customHeight="1">
      <c r="A149" s="617"/>
      <c r="B149" s="19"/>
      <c r="C149" s="693" t="s">
        <v>296</v>
      </c>
      <c r="D149" s="694" t="s">
        <v>1035</v>
      </c>
      <c r="E149" s="695" t="s">
        <v>140</v>
      </c>
      <c r="F149" s="696"/>
      <c r="G149" s="696"/>
      <c r="H149" s="717">
        <v>2</v>
      </c>
      <c r="I149" s="471">
        <v>46</v>
      </c>
      <c r="J149" s="471">
        <f t="shared" si="8"/>
        <v>92</v>
      </c>
      <c r="K149" s="31"/>
    </row>
    <row r="150" spans="1:11" ht="20.2" customHeight="1">
      <c r="A150" s="617"/>
      <c r="B150" s="19"/>
      <c r="C150" s="54" t="s">
        <v>420</v>
      </c>
      <c r="D150" s="26"/>
      <c r="E150" s="290" t="s">
        <v>419</v>
      </c>
      <c r="F150" s="292"/>
      <c r="G150" s="292"/>
      <c r="H150" s="716">
        <v>3</v>
      </c>
      <c r="I150" s="289">
        <v>31</v>
      </c>
      <c r="J150" s="289">
        <f t="shared" si="8"/>
        <v>93</v>
      </c>
      <c r="K150" s="31"/>
    </row>
    <row r="151" spans="1:11" ht="20.2" customHeight="1">
      <c r="A151" s="617"/>
      <c r="B151" s="19"/>
      <c r="C151" s="693" t="s">
        <v>799</v>
      </c>
      <c r="D151" s="694" t="s">
        <v>882</v>
      </c>
      <c r="E151" s="695" t="s">
        <v>141</v>
      </c>
      <c r="F151" s="696"/>
      <c r="G151" s="696"/>
      <c r="H151" s="717">
        <v>80</v>
      </c>
      <c r="I151" s="471">
        <v>2</v>
      </c>
      <c r="J151" s="471">
        <f t="shared" si="8"/>
        <v>160</v>
      </c>
      <c r="K151" s="31"/>
    </row>
    <row r="152" spans="1:11" ht="20.2" customHeight="1">
      <c r="A152" s="617"/>
      <c r="B152" s="19"/>
      <c r="C152" s="693" t="s">
        <v>231</v>
      </c>
      <c r="D152" s="694" t="s">
        <v>882</v>
      </c>
      <c r="E152" s="695" t="s">
        <v>1287</v>
      </c>
      <c r="F152" s="696"/>
      <c r="G152" s="696"/>
      <c r="H152" s="717">
        <v>10</v>
      </c>
      <c r="I152" s="471">
        <v>10</v>
      </c>
      <c r="J152" s="471">
        <f t="shared" si="8"/>
        <v>100</v>
      </c>
      <c r="K152" s="31"/>
    </row>
    <row r="153" spans="1:11" ht="20.2" customHeight="1">
      <c r="A153" s="617"/>
      <c r="B153" s="32"/>
      <c r="C153" s="693" t="s">
        <v>1483</v>
      </c>
      <c r="D153" s="694"/>
      <c r="E153" s="695"/>
      <c r="F153" s="696"/>
      <c r="G153" s="696"/>
      <c r="H153" s="717">
        <v>6</v>
      </c>
      <c r="I153" s="471">
        <v>12</v>
      </c>
      <c r="J153" s="471">
        <f t="shared" si="8"/>
        <v>72</v>
      </c>
      <c r="K153" s="31"/>
    </row>
    <row r="154" spans="1:11" ht="20.2" customHeight="1">
      <c r="A154" s="617"/>
      <c r="B154" s="34"/>
      <c r="C154" s="54" t="s">
        <v>1484</v>
      </c>
      <c r="D154" s="26">
        <v>2.25</v>
      </c>
      <c r="E154" s="289">
        <v>1.2</v>
      </c>
      <c r="F154" s="292"/>
      <c r="G154" s="289">
        <v>2</v>
      </c>
      <c r="H154" s="292">
        <f>ROUND(G154*E154*D154,2)</f>
        <v>5.4</v>
      </c>
      <c r="I154" s="452">
        <f>G15</f>
        <v>321.685</v>
      </c>
      <c r="J154" s="205">
        <f>H154*I154/10</f>
        <v>173.7099</v>
      </c>
      <c r="K154" s="31"/>
    </row>
    <row r="155" spans="1:11" ht="20.2" customHeight="1">
      <c r="A155" s="617"/>
      <c r="B155" s="34"/>
      <c r="C155" s="54" t="s">
        <v>230</v>
      </c>
      <c r="D155" s="26"/>
      <c r="E155" s="289"/>
      <c r="F155" s="292"/>
      <c r="G155" s="292"/>
      <c r="H155" s="717">
        <v>1</v>
      </c>
      <c r="I155" s="289">
        <v>75</v>
      </c>
      <c r="J155" s="471">
        <f>ROUND(H155*I155,2)</f>
        <v>75</v>
      </c>
      <c r="K155" s="31"/>
    </row>
    <row r="156" spans="1:11" ht="20.2" customHeight="1">
      <c r="A156" s="617"/>
      <c r="B156" s="34"/>
      <c r="D156" s="26"/>
      <c r="E156" s="289"/>
      <c r="F156" s="292"/>
      <c r="G156" s="292"/>
      <c r="H156" s="292"/>
      <c r="I156" s="289"/>
      <c r="J156" s="289">
        <f>SUM(J138:J155)</f>
        <v>6633.7698999999993</v>
      </c>
      <c r="K156" s="31"/>
    </row>
    <row r="157" spans="1:11" s="18" customFormat="1" ht="20.2" customHeight="1">
      <c r="A157" s="617"/>
      <c r="B157" s="40"/>
      <c r="C157" s="54" t="s">
        <v>1228</v>
      </c>
      <c r="D157" s="41"/>
      <c r="E157" s="468"/>
      <c r="F157" s="458"/>
      <c r="G157" s="458"/>
      <c r="H157" s="459">
        <f>J156</f>
        <v>6633.7698999999993</v>
      </c>
      <c r="I157" s="291">
        <f>I6</f>
        <v>0</v>
      </c>
      <c r="J157" s="291">
        <f>ROUND(H157*I157,2)</f>
        <v>0</v>
      </c>
      <c r="K157" s="17"/>
    </row>
    <row r="158" spans="1:11" s="18" customFormat="1" ht="20.2" customHeight="1">
      <c r="A158" s="617"/>
      <c r="B158" s="411"/>
      <c r="C158" s="283" t="s">
        <v>256</v>
      </c>
      <c r="D158" s="412"/>
      <c r="E158" s="469"/>
      <c r="F158" s="460"/>
      <c r="G158" s="460"/>
      <c r="H158" s="461"/>
      <c r="I158" s="446"/>
      <c r="J158" s="446">
        <f>SUM(J156:J157)</f>
        <v>6633.7698999999993</v>
      </c>
      <c r="K158" s="17"/>
    </row>
    <row r="159" spans="1:11">
      <c r="A159" s="617"/>
      <c r="B159" s="34"/>
      <c r="C159" s="55" t="s">
        <v>391</v>
      </c>
      <c r="D159" s="19"/>
      <c r="E159" s="291"/>
      <c r="F159" s="292"/>
      <c r="G159" s="292"/>
      <c r="H159" s="292"/>
      <c r="I159" s="289"/>
      <c r="J159" s="289"/>
      <c r="K159" s="31"/>
    </row>
    <row r="160" spans="1:11">
      <c r="A160" s="617"/>
      <c r="B160" s="34"/>
      <c r="C160" s="54" t="s">
        <v>779</v>
      </c>
      <c r="D160" s="26"/>
      <c r="E160" s="289"/>
      <c r="F160" s="292"/>
      <c r="G160" s="292"/>
      <c r="H160" s="292"/>
      <c r="I160" s="289"/>
      <c r="J160" s="289"/>
      <c r="K160" s="31"/>
    </row>
    <row r="161" spans="1:11" ht="20.2" customHeight="1">
      <c r="A161" s="617"/>
      <c r="B161" s="34"/>
      <c r="C161" s="54" t="s">
        <v>780</v>
      </c>
      <c r="D161" s="26">
        <v>2</v>
      </c>
      <c r="E161" s="289">
        <v>2</v>
      </c>
      <c r="F161" s="292">
        <v>0.1</v>
      </c>
      <c r="G161" s="292">
        <v>7.4999999999999997E-2</v>
      </c>
      <c r="H161" s="292">
        <f>ROUND(D161*E161*F161*G161,3)</f>
        <v>0.03</v>
      </c>
      <c r="I161" s="289">
        <v>25497.19</v>
      </c>
      <c r="J161" s="292">
        <f>ROUND(H161*I161,2)</f>
        <v>764.92</v>
      </c>
      <c r="K161" s="31"/>
    </row>
    <row r="162" spans="1:11" ht="20.2" customHeight="1">
      <c r="A162" s="617"/>
      <c r="B162" s="34"/>
      <c r="C162" s="54" t="s">
        <v>781</v>
      </c>
      <c r="D162" s="26">
        <v>1</v>
      </c>
      <c r="E162" s="289">
        <v>1.35</v>
      </c>
      <c r="F162" s="292">
        <v>0.1</v>
      </c>
      <c r="G162" s="292">
        <v>7.4999999999999997E-2</v>
      </c>
      <c r="H162" s="292">
        <f>ROUND(D162*E162*F162*G162,3)</f>
        <v>0.01</v>
      </c>
      <c r="I162" s="289">
        <v>25497.19</v>
      </c>
      <c r="J162" s="292">
        <f>ROUND(H162*I162,2)</f>
        <v>254.97</v>
      </c>
      <c r="K162" s="31"/>
    </row>
    <row r="163" spans="1:11" ht="20.2" customHeight="1">
      <c r="A163" s="617"/>
      <c r="B163" s="34"/>
      <c r="C163" s="54" t="s">
        <v>1482</v>
      </c>
      <c r="D163" s="26"/>
      <c r="E163" s="289"/>
      <c r="F163" s="292"/>
      <c r="G163" s="292"/>
      <c r="H163" s="292">
        <f>SUM(H161:H162)</f>
        <v>0.04</v>
      </c>
      <c r="I163" s="445">
        <f>G25</f>
        <v>17360</v>
      </c>
      <c r="J163" s="292">
        <f>ROUND(H163*I163,2)</f>
        <v>694.4</v>
      </c>
      <c r="K163" s="31"/>
    </row>
    <row r="164" spans="1:11" ht="20.2" customHeight="1">
      <c r="A164" s="617"/>
      <c r="B164" s="34"/>
      <c r="C164" s="54" t="s">
        <v>1484</v>
      </c>
      <c r="D164" s="26" t="s">
        <v>539</v>
      </c>
      <c r="E164" s="289">
        <v>1.2</v>
      </c>
      <c r="F164" s="292"/>
      <c r="G164" s="289">
        <v>2</v>
      </c>
      <c r="H164" s="292">
        <f>ROUND(G164*E164*2.25/3,2)</f>
        <v>1.8</v>
      </c>
      <c r="I164" s="452">
        <f>G15</f>
        <v>321.685</v>
      </c>
      <c r="J164" s="205">
        <f>H164*I164/10</f>
        <v>57.903300000000002</v>
      </c>
      <c r="K164" s="31"/>
    </row>
    <row r="165" spans="1:11" ht="20.2" customHeight="1">
      <c r="A165" s="617"/>
      <c r="B165" s="32"/>
      <c r="C165" s="54" t="s">
        <v>1483</v>
      </c>
      <c r="D165" s="32"/>
      <c r="E165" s="289"/>
      <c r="F165" s="292"/>
      <c r="G165" s="292"/>
      <c r="H165" s="715">
        <v>6</v>
      </c>
      <c r="I165" s="289">
        <v>12</v>
      </c>
      <c r="J165" s="289">
        <f>ROUND(H165*I165,2)</f>
        <v>72</v>
      </c>
      <c r="K165" s="31"/>
    </row>
    <row r="166" spans="1:11" ht="20.2" customHeight="1">
      <c r="A166" s="617"/>
      <c r="B166" s="34"/>
      <c r="C166" s="54" t="s">
        <v>230</v>
      </c>
      <c r="D166" s="26"/>
      <c r="E166" s="289"/>
      <c r="F166" s="292"/>
      <c r="G166" s="292"/>
      <c r="H166" s="715">
        <v>1</v>
      </c>
      <c r="I166" s="289">
        <v>50</v>
      </c>
      <c r="J166" s="289">
        <f>H166*I166</f>
        <v>50</v>
      </c>
      <c r="K166" s="31"/>
    </row>
    <row r="167" spans="1:11" ht="20.2" customHeight="1">
      <c r="A167" s="617"/>
      <c r="B167" s="34"/>
      <c r="D167" s="26"/>
      <c r="E167" s="289"/>
      <c r="F167" s="292"/>
      <c r="G167" s="292"/>
      <c r="H167" s="292"/>
      <c r="I167" s="289"/>
      <c r="J167" s="289">
        <f>SUM(J161:J166)</f>
        <v>1894.1932999999999</v>
      </c>
      <c r="K167" s="31"/>
    </row>
    <row r="168" spans="1:11" s="18" customFormat="1" ht="20.2" customHeight="1">
      <c r="A168" s="617"/>
      <c r="B168" s="40"/>
      <c r="C168" s="54" t="s">
        <v>1228</v>
      </c>
      <c r="D168" s="41"/>
      <c r="E168" s="468"/>
      <c r="F168" s="458"/>
      <c r="G168" s="458"/>
      <c r="H168" s="459">
        <f>J167</f>
        <v>1894.1932999999999</v>
      </c>
      <c r="I168" s="291">
        <f>+I6</f>
        <v>0</v>
      </c>
      <c r="J168" s="291">
        <f>ROUND(H168*I168,2)</f>
        <v>0</v>
      </c>
      <c r="K168" s="17"/>
    </row>
    <row r="169" spans="1:11" s="439" customFormat="1" ht="20.2" customHeight="1">
      <c r="A169" s="617" t="s">
        <v>542</v>
      </c>
      <c r="B169" s="411"/>
      <c r="C169" s="283" t="s">
        <v>392</v>
      </c>
      <c r="D169" s="412"/>
      <c r="E169" s="469"/>
      <c r="F169" s="460"/>
      <c r="G169" s="460"/>
      <c r="H169" s="461"/>
      <c r="I169" s="446"/>
      <c r="J169" s="446">
        <f>SUM(J167:J168)</f>
        <v>1894.1932999999999</v>
      </c>
      <c r="K169" s="447"/>
    </row>
    <row r="170" spans="1:11" s="439" customFormat="1" ht="20.2" customHeight="1">
      <c r="A170" s="617"/>
      <c r="B170" s="411"/>
      <c r="C170" s="283" t="s">
        <v>393</v>
      </c>
      <c r="D170" s="412"/>
      <c r="E170" s="469"/>
      <c r="F170" s="460"/>
      <c r="G170" s="460"/>
      <c r="H170" s="461"/>
      <c r="I170" s="464"/>
      <c r="J170" s="446">
        <f>J158-J169</f>
        <v>4739.5765999999994</v>
      </c>
      <c r="K170" s="447"/>
    </row>
    <row r="171" spans="1:11" ht="245.1">
      <c r="A171" s="617"/>
      <c r="B171" s="26">
        <v>6</v>
      </c>
      <c r="C171" s="54" t="s">
        <v>395</v>
      </c>
      <c r="D171" s="26"/>
      <c r="E171" s="289"/>
      <c r="F171" s="292"/>
      <c r="G171" s="292"/>
      <c r="H171" s="292"/>
      <c r="I171" s="289"/>
      <c r="J171" s="289"/>
      <c r="K171" s="31"/>
    </row>
    <row r="172" spans="1:11">
      <c r="A172" s="617"/>
      <c r="B172" s="34"/>
      <c r="C172" s="55" t="s">
        <v>394</v>
      </c>
      <c r="D172" s="19"/>
      <c r="E172" s="291"/>
      <c r="F172" s="292"/>
      <c r="G172" s="292"/>
      <c r="H172" s="292"/>
      <c r="I172" s="289"/>
      <c r="J172" s="289"/>
      <c r="K172" s="31"/>
    </row>
    <row r="173" spans="1:11">
      <c r="A173" s="617"/>
      <c r="B173" s="34"/>
      <c r="C173" s="54" t="s">
        <v>779</v>
      </c>
      <c r="D173" s="26"/>
      <c r="E173" s="289"/>
      <c r="F173" s="292"/>
      <c r="G173" s="292"/>
      <c r="H173" s="292"/>
      <c r="I173" s="289"/>
      <c r="J173" s="289"/>
      <c r="K173" s="31"/>
    </row>
    <row r="174" spans="1:11" ht="20.2" customHeight="1">
      <c r="A174" s="617"/>
      <c r="B174" s="34"/>
      <c r="C174" s="54" t="s">
        <v>780</v>
      </c>
      <c r="D174" s="26">
        <v>2</v>
      </c>
      <c r="E174" s="289">
        <v>2</v>
      </c>
      <c r="F174" s="292">
        <v>0.1</v>
      </c>
      <c r="G174" s="292">
        <v>7.4999999999999997E-2</v>
      </c>
      <c r="H174" s="292">
        <f>ROUND(D174*E174*F174*G174,3)</f>
        <v>0.03</v>
      </c>
      <c r="I174" s="289">
        <v>25497.19</v>
      </c>
      <c r="J174" s="289">
        <f t="shared" ref="J174:J179" si="9">ROUND(H174*I174,2)</f>
        <v>764.92</v>
      </c>
      <c r="K174" s="31"/>
    </row>
    <row r="175" spans="1:11" ht="20.2" customHeight="1">
      <c r="A175" s="617"/>
      <c r="B175" s="34"/>
      <c r="C175" s="54" t="s">
        <v>781</v>
      </c>
      <c r="D175" s="26">
        <v>1</v>
      </c>
      <c r="E175" s="289">
        <v>1.65</v>
      </c>
      <c r="F175" s="292">
        <v>0.1</v>
      </c>
      <c r="G175" s="292">
        <v>7.4999999999999997E-2</v>
      </c>
      <c r="H175" s="292">
        <f>ROUND(D175*E175*F175*G175,3)</f>
        <v>1.2E-2</v>
      </c>
      <c r="I175" s="289">
        <v>25497.19</v>
      </c>
      <c r="J175" s="289">
        <f t="shared" si="9"/>
        <v>305.97000000000003</v>
      </c>
      <c r="K175" s="31"/>
    </row>
    <row r="176" spans="1:11" ht="20.2" customHeight="1">
      <c r="A176" s="617"/>
      <c r="B176" s="34"/>
      <c r="C176" s="54" t="s">
        <v>782</v>
      </c>
      <c r="D176" s="26">
        <v>4</v>
      </c>
      <c r="E176" s="289">
        <f>(2-1*0.075-0.075)+1*0.015</f>
        <v>1.865</v>
      </c>
      <c r="F176" s="292">
        <v>0.1</v>
      </c>
      <c r="G176" s="292">
        <f>1.25*25.4/1000</f>
        <v>3.175E-2</v>
      </c>
      <c r="H176" s="292">
        <f>ROUND(D176*E176*F176*G176,3)</f>
        <v>2.4E-2</v>
      </c>
      <c r="I176" s="289">
        <v>31076.9</v>
      </c>
      <c r="J176" s="289">
        <f t="shared" si="9"/>
        <v>745.85</v>
      </c>
      <c r="K176" s="31"/>
    </row>
    <row r="177" spans="1:11" ht="20.2" customHeight="1">
      <c r="A177" s="617"/>
      <c r="B177" s="34"/>
      <c r="C177" s="54" t="s">
        <v>783</v>
      </c>
      <c r="D177" s="26" t="s">
        <v>791</v>
      </c>
      <c r="E177" s="289">
        <f>(1.5-2*0.075+2*0.015)/2</f>
        <v>0.69000000000000006</v>
      </c>
      <c r="F177" s="292">
        <v>0.1</v>
      </c>
      <c r="G177" s="292">
        <f>1.25*25.4/1000</f>
        <v>3.175E-2</v>
      </c>
      <c r="H177" s="292">
        <f>ROUND(12*E177*F177*G177,3)</f>
        <v>2.5999999999999999E-2</v>
      </c>
      <c r="I177" s="289">
        <v>31076.9</v>
      </c>
      <c r="J177" s="289">
        <f t="shared" si="9"/>
        <v>808</v>
      </c>
      <c r="K177" s="31"/>
    </row>
    <row r="178" spans="1:11" ht="20.2" customHeight="1">
      <c r="A178" s="617"/>
      <c r="B178" s="34"/>
      <c r="C178" s="54" t="s">
        <v>1481</v>
      </c>
      <c r="D178" s="26" t="s">
        <v>792</v>
      </c>
      <c r="E178" s="289">
        <f>(1.5-2*0.075+2*0.015)/2-2*0.1+2*0.025</f>
        <v>0.54</v>
      </c>
      <c r="F178" s="292">
        <f>(2-2*0.075+1*0.015-6*0.1)/5+2*0.025</f>
        <v>0.30299999999999999</v>
      </c>
      <c r="G178" s="292">
        <v>2.5000000000000001E-2</v>
      </c>
      <c r="H178" s="292">
        <f>ROUND(10*E178*F178*G178,3)</f>
        <v>4.1000000000000002E-2</v>
      </c>
      <c r="I178" s="289">
        <v>31076.9</v>
      </c>
      <c r="J178" s="289">
        <f t="shared" si="9"/>
        <v>1274.1500000000001</v>
      </c>
      <c r="K178" s="31"/>
    </row>
    <row r="179" spans="1:11" ht="20.2" customHeight="1">
      <c r="A179" s="617"/>
      <c r="B179" s="34"/>
      <c r="C179" s="54" t="s">
        <v>1482</v>
      </c>
      <c r="D179" s="26"/>
      <c r="E179" s="289"/>
      <c r="F179" s="292"/>
      <c r="G179" s="292"/>
      <c r="H179" s="292">
        <f>SUM(H174:H178)</f>
        <v>0.13300000000000001</v>
      </c>
      <c r="I179" s="445">
        <f>G25</f>
        <v>17360</v>
      </c>
      <c r="J179" s="289">
        <f t="shared" si="9"/>
        <v>2308.88</v>
      </c>
      <c r="K179" s="31"/>
    </row>
    <row r="180" spans="1:11" ht="33.299999999999997">
      <c r="A180" s="617" t="s">
        <v>787</v>
      </c>
      <c r="B180" s="19"/>
      <c r="C180" s="54" t="s">
        <v>788</v>
      </c>
      <c r="D180" s="26"/>
      <c r="E180" s="289"/>
      <c r="F180" s="292"/>
      <c r="G180" s="457"/>
      <c r="H180" s="457"/>
      <c r="I180" s="289"/>
      <c r="J180" s="290"/>
      <c r="K180" s="31"/>
    </row>
    <row r="181" spans="1:11" ht="20.2" customHeight="1">
      <c r="A181" s="617"/>
      <c r="B181" s="19"/>
      <c r="C181" s="693" t="s">
        <v>911</v>
      </c>
      <c r="D181" s="694" t="s">
        <v>1035</v>
      </c>
      <c r="E181" s="695" t="s">
        <v>1019</v>
      </c>
      <c r="F181" s="696"/>
      <c r="G181" s="696"/>
      <c r="H181" s="717">
        <v>2</v>
      </c>
      <c r="I181" s="471">
        <v>68</v>
      </c>
      <c r="J181" s="471">
        <f t="shared" ref="J181:J189" si="10">ROUND(H181*I181,2)</f>
        <v>136</v>
      </c>
      <c r="K181" s="31"/>
    </row>
    <row r="182" spans="1:11" ht="20.2" customHeight="1">
      <c r="A182" s="617"/>
      <c r="B182" s="19"/>
      <c r="C182" s="693" t="s">
        <v>912</v>
      </c>
      <c r="D182" s="694" t="s">
        <v>1035</v>
      </c>
      <c r="E182" s="695" t="s">
        <v>1021</v>
      </c>
      <c r="F182" s="696"/>
      <c r="G182" s="696"/>
      <c r="H182" s="717">
        <v>1</v>
      </c>
      <c r="I182" s="471">
        <v>35</v>
      </c>
      <c r="J182" s="471">
        <f t="shared" si="10"/>
        <v>35</v>
      </c>
      <c r="K182" s="31"/>
    </row>
    <row r="183" spans="1:11" ht="20.2" customHeight="1">
      <c r="A183" s="617"/>
      <c r="B183" s="19"/>
      <c r="C183" s="693" t="s">
        <v>913</v>
      </c>
      <c r="D183" s="694" t="s">
        <v>1035</v>
      </c>
      <c r="E183" s="695" t="s">
        <v>1022</v>
      </c>
      <c r="F183" s="696"/>
      <c r="G183" s="696"/>
      <c r="H183" s="717">
        <v>6</v>
      </c>
      <c r="I183" s="471">
        <v>31</v>
      </c>
      <c r="J183" s="471">
        <f t="shared" si="10"/>
        <v>186</v>
      </c>
      <c r="K183" s="31"/>
    </row>
    <row r="184" spans="1:11" ht="20.2" customHeight="1">
      <c r="A184" s="617"/>
      <c r="B184" s="19"/>
      <c r="C184" s="693" t="s">
        <v>914</v>
      </c>
      <c r="D184" s="694" t="s">
        <v>1035</v>
      </c>
      <c r="E184" s="695" t="s">
        <v>1023</v>
      </c>
      <c r="F184" s="696"/>
      <c r="G184" s="696"/>
      <c r="H184" s="717">
        <v>1</v>
      </c>
      <c r="I184" s="471">
        <v>164</v>
      </c>
      <c r="J184" s="471">
        <f t="shared" si="10"/>
        <v>164</v>
      </c>
      <c r="K184" s="31"/>
    </row>
    <row r="185" spans="1:11" ht="20.2" customHeight="1">
      <c r="A185" s="617"/>
      <c r="B185" s="19"/>
      <c r="C185" s="693" t="s">
        <v>296</v>
      </c>
      <c r="D185" s="694" t="s">
        <v>1035</v>
      </c>
      <c r="E185" s="695" t="s">
        <v>140</v>
      </c>
      <c r="F185" s="696"/>
      <c r="G185" s="696"/>
      <c r="H185" s="717">
        <v>2</v>
      </c>
      <c r="I185" s="471">
        <v>46</v>
      </c>
      <c r="J185" s="471">
        <f t="shared" si="10"/>
        <v>92</v>
      </c>
      <c r="K185" s="31"/>
    </row>
    <row r="186" spans="1:11" ht="20.2" customHeight="1">
      <c r="A186" s="617"/>
      <c r="B186" s="19"/>
      <c r="C186" s="54" t="s">
        <v>420</v>
      </c>
      <c r="D186" s="26"/>
      <c r="E186" s="290" t="s">
        <v>419</v>
      </c>
      <c r="F186" s="292"/>
      <c r="G186" s="292"/>
      <c r="H186" s="716">
        <v>3</v>
      </c>
      <c r="I186" s="289">
        <v>31</v>
      </c>
      <c r="J186" s="289">
        <f t="shared" si="10"/>
        <v>93</v>
      </c>
      <c r="K186" s="31"/>
    </row>
    <row r="187" spans="1:11" ht="20.2" customHeight="1">
      <c r="A187" s="617"/>
      <c r="B187" s="19"/>
      <c r="C187" s="693" t="s">
        <v>799</v>
      </c>
      <c r="D187" s="694" t="s">
        <v>882</v>
      </c>
      <c r="E187" s="695" t="s">
        <v>141</v>
      </c>
      <c r="F187" s="696"/>
      <c r="G187" s="696"/>
      <c r="H187" s="717">
        <v>80</v>
      </c>
      <c r="I187" s="471">
        <v>2</v>
      </c>
      <c r="J187" s="471">
        <f t="shared" si="10"/>
        <v>160</v>
      </c>
      <c r="K187" s="31"/>
    </row>
    <row r="188" spans="1:11" ht="20.2" customHeight="1">
      <c r="A188" s="617"/>
      <c r="B188" s="19"/>
      <c r="C188" s="693" t="s">
        <v>231</v>
      </c>
      <c r="D188" s="694" t="s">
        <v>882</v>
      </c>
      <c r="E188" s="695" t="s">
        <v>1287</v>
      </c>
      <c r="F188" s="696"/>
      <c r="G188" s="696"/>
      <c r="H188" s="717">
        <v>10</v>
      </c>
      <c r="I188" s="471">
        <v>10</v>
      </c>
      <c r="J188" s="471">
        <f t="shared" si="10"/>
        <v>100</v>
      </c>
      <c r="K188" s="31"/>
    </row>
    <row r="189" spans="1:11" ht="20.2" customHeight="1">
      <c r="A189" s="617"/>
      <c r="B189" s="32"/>
      <c r="C189" s="693" t="s">
        <v>1483</v>
      </c>
      <c r="D189" s="694"/>
      <c r="E189" s="695"/>
      <c r="F189" s="696"/>
      <c r="G189" s="696"/>
      <c r="H189" s="717">
        <v>6</v>
      </c>
      <c r="I189" s="471">
        <v>12</v>
      </c>
      <c r="J189" s="471">
        <f t="shared" si="10"/>
        <v>72</v>
      </c>
      <c r="K189" s="31"/>
    </row>
    <row r="190" spans="1:11" ht="20.2" customHeight="1">
      <c r="A190" s="617"/>
      <c r="B190" s="34"/>
      <c r="C190" s="54" t="s">
        <v>1484</v>
      </c>
      <c r="D190" s="26">
        <v>2.25</v>
      </c>
      <c r="E190" s="289">
        <v>1.5</v>
      </c>
      <c r="F190" s="292"/>
      <c r="G190" s="289">
        <v>2</v>
      </c>
      <c r="H190" s="292">
        <f>ROUND(G190*E190*2.25,2)</f>
        <v>6.75</v>
      </c>
      <c r="I190" s="452">
        <f>G15</f>
        <v>321.685</v>
      </c>
      <c r="J190" s="205">
        <f>H190*I190/10</f>
        <v>217.13737500000002</v>
      </c>
      <c r="K190" s="31"/>
    </row>
    <row r="191" spans="1:11" ht="20.2" customHeight="1">
      <c r="A191" s="617"/>
      <c r="B191" s="34"/>
      <c r="C191" s="54" t="s">
        <v>230</v>
      </c>
      <c r="D191" s="26"/>
      <c r="E191" s="289"/>
      <c r="F191" s="292"/>
      <c r="G191" s="292"/>
      <c r="H191" s="717">
        <v>1</v>
      </c>
      <c r="I191" s="289">
        <v>150</v>
      </c>
      <c r="J191" s="289">
        <f>H191*I191</f>
        <v>150</v>
      </c>
      <c r="K191" s="31"/>
    </row>
    <row r="192" spans="1:11" ht="20.2" customHeight="1">
      <c r="A192" s="617"/>
      <c r="B192" s="34"/>
      <c r="D192" s="26"/>
      <c r="E192" s="289"/>
      <c r="F192" s="292"/>
      <c r="G192" s="292"/>
      <c r="H192" s="292"/>
      <c r="I192" s="289"/>
      <c r="J192" s="289">
        <f>SUM(J174:J191)</f>
        <v>7612.9073750000007</v>
      </c>
      <c r="K192" s="31"/>
    </row>
    <row r="193" spans="1:11" s="18" customFormat="1" ht="20.2" customHeight="1">
      <c r="A193" s="617"/>
      <c r="B193" s="40"/>
      <c r="C193" s="54" t="s">
        <v>1228</v>
      </c>
      <c r="D193" s="41"/>
      <c r="E193" s="468"/>
      <c r="F193" s="458"/>
      <c r="G193" s="458"/>
      <c r="H193" s="459">
        <f>J192</f>
        <v>7612.9073750000007</v>
      </c>
      <c r="I193" s="291">
        <f>I6</f>
        <v>0</v>
      </c>
      <c r="J193" s="291">
        <f>ROUND(H193*I193,2)</f>
        <v>0</v>
      </c>
      <c r="K193" s="17"/>
    </row>
    <row r="194" spans="1:11" s="439" customFormat="1" ht="20.2" customHeight="1">
      <c r="A194" s="617" t="s">
        <v>1302</v>
      </c>
      <c r="B194" s="411"/>
      <c r="C194" s="413" t="s">
        <v>256</v>
      </c>
      <c r="D194" s="412"/>
      <c r="E194" s="469"/>
      <c r="F194" s="460"/>
      <c r="G194" s="460"/>
      <c r="H194" s="461"/>
      <c r="I194" s="446"/>
      <c r="J194" s="446">
        <f>SUM(J192:J193)</f>
        <v>7612.9073750000007</v>
      </c>
      <c r="K194" s="447"/>
    </row>
    <row r="195" spans="1:11">
      <c r="A195" s="617"/>
      <c r="B195" s="34"/>
      <c r="C195" s="55" t="s">
        <v>396</v>
      </c>
      <c r="D195" s="19"/>
      <c r="E195" s="291"/>
      <c r="F195" s="292"/>
      <c r="G195" s="292"/>
      <c r="H195" s="292"/>
      <c r="I195" s="289"/>
      <c r="J195" s="289"/>
      <c r="K195" s="31"/>
    </row>
    <row r="196" spans="1:11">
      <c r="A196" s="617"/>
      <c r="B196" s="34"/>
      <c r="C196" s="54" t="s">
        <v>779</v>
      </c>
      <c r="D196" s="26"/>
      <c r="E196" s="289"/>
      <c r="F196" s="292"/>
      <c r="G196" s="292"/>
      <c r="H196" s="292"/>
      <c r="I196" s="289"/>
      <c r="J196" s="289"/>
      <c r="K196" s="31"/>
    </row>
    <row r="197" spans="1:11" ht="20.2" customHeight="1">
      <c r="A197" s="617"/>
      <c r="B197" s="34"/>
      <c r="C197" s="54" t="s">
        <v>780</v>
      </c>
      <c r="D197" s="26">
        <v>2</v>
      </c>
      <c r="E197" s="289">
        <v>2</v>
      </c>
      <c r="F197" s="292">
        <v>0.1</v>
      </c>
      <c r="G197" s="292">
        <v>7.4999999999999997E-2</v>
      </c>
      <c r="H197" s="292">
        <f>ROUND(D197*E197*F197*G197,3)</f>
        <v>0.03</v>
      </c>
      <c r="I197" s="289">
        <v>25497.19</v>
      </c>
      <c r="J197" s="289">
        <f>ROUND(H197*I197,2)</f>
        <v>764.92</v>
      </c>
      <c r="K197" s="31"/>
    </row>
    <row r="198" spans="1:11" ht="20.2" customHeight="1">
      <c r="A198" s="617"/>
      <c r="B198" s="34"/>
      <c r="C198" s="54" t="s">
        <v>781</v>
      </c>
      <c r="D198" s="26">
        <v>1</v>
      </c>
      <c r="E198" s="289">
        <v>1.65</v>
      </c>
      <c r="F198" s="292">
        <v>0.1</v>
      </c>
      <c r="G198" s="292">
        <v>7.4999999999999997E-2</v>
      </c>
      <c r="H198" s="292">
        <f>ROUND(D198*E198*F198*G198,3)</f>
        <v>1.2E-2</v>
      </c>
      <c r="I198" s="289">
        <v>25497.19</v>
      </c>
      <c r="J198" s="289">
        <f>ROUND(H198*I198,2)</f>
        <v>305.97000000000003</v>
      </c>
      <c r="K198" s="31"/>
    </row>
    <row r="199" spans="1:11" ht="20.2" customHeight="1">
      <c r="A199" s="617"/>
      <c r="B199" s="34"/>
      <c r="C199" s="54" t="s">
        <v>1482</v>
      </c>
      <c r="D199" s="26"/>
      <c r="E199" s="289"/>
      <c r="F199" s="292"/>
      <c r="G199" s="292"/>
      <c r="H199" s="292">
        <f>SUM(H197:H198)</f>
        <v>4.1999999999999996E-2</v>
      </c>
      <c r="I199" s="445">
        <f>G25</f>
        <v>17360</v>
      </c>
      <c r="J199" s="289">
        <f>ROUND(H199*I199,2)</f>
        <v>729.12</v>
      </c>
      <c r="K199" s="31"/>
    </row>
    <row r="200" spans="1:11" ht="20.2" customHeight="1">
      <c r="A200" s="617"/>
      <c r="B200" s="32"/>
      <c r="C200" s="54" t="s">
        <v>1483</v>
      </c>
      <c r="D200" s="32"/>
      <c r="E200" s="289"/>
      <c r="F200" s="292"/>
      <c r="G200" s="292"/>
      <c r="H200" s="716">
        <v>6</v>
      </c>
      <c r="I200" s="289">
        <v>12</v>
      </c>
      <c r="J200" s="289">
        <f>ROUND(H200*I200,2)</f>
        <v>72</v>
      </c>
      <c r="K200" s="31"/>
    </row>
    <row r="201" spans="1:11" ht="20.2" customHeight="1">
      <c r="A201" s="617"/>
      <c r="B201" s="34"/>
      <c r="C201" s="54" t="s">
        <v>1484</v>
      </c>
      <c r="D201" s="26" t="s">
        <v>539</v>
      </c>
      <c r="E201" s="289">
        <v>1.5</v>
      </c>
      <c r="F201" s="292"/>
      <c r="G201" s="289">
        <v>2</v>
      </c>
      <c r="H201" s="292">
        <f>ROUND(G201*E201*2.25/3,2)</f>
        <v>2.25</v>
      </c>
      <c r="I201" s="452">
        <f>G15</f>
        <v>321.685</v>
      </c>
      <c r="J201" s="205">
        <f>H201*I201/10</f>
        <v>72.379125000000002</v>
      </c>
      <c r="K201" s="31"/>
    </row>
    <row r="202" spans="1:11" ht="20.2" customHeight="1">
      <c r="A202" s="617"/>
      <c r="B202" s="34"/>
      <c r="C202" s="54" t="s">
        <v>230</v>
      </c>
      <c r="D202" s="26"/>
      <c r="E202" s="289"/>
      <c r="F202" s="292"/>
      <c r="G202" s="292"/>
      <c r="H202" s="716">
        <v>1</v>
      </c>
      <c r="I202" s="289">
        <v>60</v>
      </c>
      <c r="J202" s="289">
        <f>H202*I202</f>
        <v>60</v>
      </c>
      <c r="K202" s="31"/>
    </row>
    <row r="203" spans="1:11" ht="20.2" customHeight="1">
      <c r="A203" s="617"/>
      <c r="B203" s="34"/>
      <c r="D203" s="26"/>
      <c r="E203" s="289"/>
      <c r="F203" s="292"/>
      <c r="G203" s="292"/>
      <c r="H203" s="292"/>
      <c r="I203" s="289"/>
      <c r="J203" s="289">
        <f>SUM(J197:J202)</f>
        <v>2004.3891249999997</v>
      </c>
      <c r="K203" s="31"/>
    </row>
    <row r="204" spans="1:11" s="18" customFormat="1" ht="20.2" customHeight="1">
      <c r="A204" s="617"/>
      <c r="B204" s="40"/>
      <c r="C204" s="54" t="s">
        <v>1228</v>
      </c>
      <c r="D204" s="41"/>
      <c r="E204" s="468"/>
      <c r="F204" s="458"/>
      <c r="G204" s="458"/>
      <c r="H204" s="459">
        <f>J203</f>
        <v>2004.3891249999997</v>
      </c>
      <c r="I204" s="291">
        <f>I6</f>
        <v>0</v>
      </c>
      <c r="J204" s="291">
        <f>ROUND(H204*I204,2)</f>
        <v>0</v>
      </c>
      <c r="K204" s="17"/>
    </row>
    <row r="205" spans="1:11" s="439" customFormat="1" ht="20.2" customHeight="1">
      <c r="A205" s="617" t="s">
        <v>1302</v>
      </c>
      <c r="B205" s="411"/>
      <c r="C205" s="283" t="s">
        <v>397</v>
      </c>
      <c r="D205" s="412"/>
      <c r="E205" s="469"/>
      <c r="F205" s="460"/>
      <c r="G205" s="460"/>
      <c r="H205" s="461"/>
      <c r="I205" s="446"/>
      <c r="J205" s="446">
        <f>SUM(J203:J204)</f>
        <v>2004.3891249999997</v>
      </c>
      <c r="K205" s="447"/>
    </row>
    <row r="206" spans="1:11" s="439" customFormat="1" ht="20.2" customHeight="1">
      <c r="A206" s="617"/>
      <c r="B206" s="411"/>
      <c r="C206" s="283" t="s">
        <v>398</v>
      </c>
      <c r="D206" s="412"/>
      <c r="E206" s="469"/>
      <c r="F206" s="460"/>
      <c r="G206" s="460"/>
      <c r="H206" s="461"/>
      <c r="I206" s="446"/>
      <c r="J206" s="446">
        <f>J194-J205</f>
        <v>5608.518250000001</v>
      </c>
      <c r="K206" s="447"/>
    </row>
    <row r="207" spans="1:11" ht="116.1">
      <c r="A207" s="617"/>
      <c r="B207" s="26">
        <v>7</v>
      </c>
      <c r="C207" s="55" t="s">
        <v>399</v>
      </c>
      <c r="D207" s="26"/>
      <c r="E207" s="289"/>
      <c r="F207" s="292"/>
      <c r="G207" s="292"/>
      <c r="H207" s="700"/>
      <c r="I207" s="677"/>
      <c r="J207" s="677"/>
      <c r="K207" s="31"/>
    </row>
    <row r="208" spans="1:11">
      <c r="A208" s="617"/>
      <c r="B208" s="34"/>
      <c r="C208" s="55" t="s">
        <v>400</v>
      </c>
      <c r="D208" s="26"/>
      <c r="E208" s="289"/>
      <c r="F208" s="292"/>
      <c r="G208" s="292"/>
      <c r="H208" s="292"/>
      <c r="I208" s="289"/>
      <c r="J208" s="289"/>
      <c r="K208" s="31"/>
    </row>
    <row r="209" spans="1:11">
      <c r="A209" s="617"/>
      <c r="B209" s="34"/>
      <c r="C209" s="54" t="s">
        <v>848</v>
      </c>
      <c r="D209" s="26"/>
      <c r="E209" s="289"/>
      <c r="F209" s="292"/>
      <c r="G209" s="292"/>
      <c r="H209" s="292"/>
      <c r="I209" s="289"/>
      <c r="J209" s="289"/>
      <c r="K209" s="31"/>
    </row>
    <row r="210" spans="1:11" ht="20.2" customHeight="1">
      <c r="A210" s="617"/>
      <c r="B210" s="34"/>
      <c r="C210" s="54" t="s">
        <v>780</v>
      </c>
      <c r="D210" s="26">
        <v>3</v>
      </c>
      <c r="E210" s="289">
        <v>1.2</v>
      </c>
      <c r="F210" s="292">
        <v>0.1</v>
      </c>
      <c r="G210" s="292">
        <v>7.4999999999999997E-2</v>
      </c>
      <c r="H210" s="292">
        <f>ROUND(D210*E210*F210*G210,3)</f>
        <v>2.7E-2</v>
      </c>
      <c r="I210" s="289">
        <v>25497.19</v>
      </c>
      <c r="J210" s="289">
        <f t="shared" ref="J210:J215" si="11">ROUND(H210*I210,2)</f>
        <v>688.42</v>
      </c>
      <c r="K210" s="31"/>
    </row>
    <row r="211" spans="1:11" ht="20.2" customHeight="1">
      <c r="A211" s="617"/>
      <c r="B211" s="34"/>
      <c r="C211" s="54" t="s">
        <v>781</v>
      </c>
      <c r="D211" s="26">
        <v>2</v>
      </c>
      <c r="E211" s="289">
        <v>1.05</v>
      </c>
      <c r="F211" s="292">
        <v>0.1</v>
      </c>
      <c r="G211" s="292">
        <v>7.4999999999999997E-2</v>
      </c>
      <c r="H211" s="292">
        <f>ROUND(D211*E211*F211*G211,3)</f>
        <v>1.6E-2</v>
      </c>
      <c r="I211" s="289">
        <v>25497.19</v>
      </c>
      <c r="J211" s="289">
        <f t="shared" si="11"/>
        <v>407.96</v>
      </c>
      <c r="K211" s="31"/>
    </row>
    <row r="212" spans="1:11" ht="20.2" customHeight="1">
      <c r="A212" s="617"/>
      <c r="B212" s="34"/>
      <c r="C212" s="54" t="s">
        <v>782</v>
      </c>
      <c r="D212" s="26" t="s">
        <v>234</v>
      </c>
      <c r="E212" s="470">
        <f>(1.2-2*0.075+2*0.015)</f>
        <v>1.08</v>
      </c>
      <c r="F212" s="292">
        <v>7.4999999999999997E-2</v>
      </c>
      <c r="G212" s="292">
        <f>1.25*25.4/1000</f>
        <v>3.175E-2</v>
      </c>
      <c r="H212" s="292">
        <f>ROUND(4*E212*F212*G212,3)</f>
        <v>0.01</v>
      </c>
      <c r="I212" s="289">
        <v>31076.9</v>
      </c>
      <c r="J212" s="289">
        <f t="shared" si="11"/>
        <v>310.77</v>
      </c>
      <c r="K212" s="31"/>
    </row>
    <row r="213" spans="1:11" ht="20.2" customHeight="1">
      <c r="A213" s="617"/>
      <c r="B213" s="34"/>
      <c r="C213" s="54" t="s">
        <v>783</v>
      </c>
      <c r="D213" s="26" t="s">
        <v>235</v>
      </c>
      <c r="E213" s="289">
        <f>(0.9-3*0.075+4*0.015)/2</f>
        <v>0.36750000000000005</v>
      </c>
      <c r="F213" s="292">
        <v>7.4999999999999997E-2</v>
      </c>
      <c r="G213" s="292">
        <f>1.25*25.4/1000</f>
        <v>3.175E-2</v>
      </c>
      <c r="H213" s="292">
        <f>ROUND(6*E213*F213*G213,3)</f>
        <v>5.0000000000000001E-3</v>
      </c>
      <c r="I213" s="289">
        <v>31076.9</v>
      </c>
      <c r="J213" s="289">
        <f t="shared" si="11"/>
        <v>155.38</v>
      </c>
      <c r="K213" s="31"/>
    </row>
    <row r="214" spans="1:11" ht="20.2" customHeight="1">
      <c r="A214" s="617"/>
      <c r="B214" s="34"/>
      <c r="C214" s="54" t="s">
        <v>1481</v>
      </c>
      <c r="D214" s="26" t="s">
        <v>236</v>
      </c>
      <c r="E214" s="289">
        <f>(0.9-3*0.075+4*0.015)/2-2*0.075+2*0.025</f>
        <v>0.26750000000000007</v>
      </c>
      <c r="F214" s="292">
        <f>(1.2-2*0.075+2*0.015-3*0.075)/2+2*0.025</f>
        <v>0.47750000000000004</v>
      </c>
      <c r="G214" s="292">
        <v>2.5000000000000001E-2</v>
      </c>
      <c r="H214" s="292">
        <f>ROUND(4*E214*F214*G214,3)</f>
        <v>1.2999999999999999E-2</v>
      </c>
      <c r="I214" s="289">
        <v>31076.9</v>
      </c>
      <c r="J214" s="289">
        <f t="shared" si="11"/>
        <v>404</v>
      </c>
      <c r="K214" s="31"/>
    </row>
    <row r="215" spans="1:11" ht="20.2" customHeight="1">
      <c r="A215" s="617"/>
      <c r="B215" s="34"/>
      <c r="C215" s="54" t="s">
        <v>1482</v>
      </c>
      <c r="D215" s="26"/>
      <c r="E215" s="289"/>
      <c r="F215" s="292"/>
      <c r="G215" s="292"/>
      <c r="H215" s="292">
        <f>SUM(H210:H214)</f>
        <v>7.0999999999999994E-2</v>
      </c>
      <c r="I215" s="445">
        <f>G25</f>
        <v>17360</v>
      </c>
      <c r="J215" s="289">
        <f t="shared" si="11"/>
        <v>1232.56</v>
      </c>
      <c r="K215" s="31"/>
    </row>
    <row r="216" spans="1:11" ht="33.299999999999997">
      <c r="A216" s="617" t="s">
        <v>787</v>
      </c>
      <c r="B216" s="19"/>
      <c r="C216" s="54" t="s">
        <v>788</v>
      </c>
      <c r="D216" s="26"/>
      <c r="E216" s="289"/>
      <c r="F216" s="292"/>
      <c r="G216" s="457"/>
      <c r="H216" s="457"/>
      <c r="I216" s="289"/>
      <c r="J216" s="290"/>
      <c r="K216" s="31"/>
    </row>
    <row r="217" spans="1:11" ht="20.2" customHeight="1">
      <c r="A217" s="617"/>
      <c r="B217" s="693"/>
      <c r="C217" s="694" t="s">
        <v>915</v>
      </c>
      <c r="D217" s="695" t="s">
        <v>1035</v>
      </c>
      <c r="E217" s="696" t="s">
        <v>143</v>
      </c>
      <c r="F217" s="696"/>
      <c r="G217" s="462"/>
      <c r="H217" s="716">
        <v>2</v>
      </c>
      <c r="I217" s="471">
        <v>35</v>
      </c>
      <c r="J217" s="289">
        <f t="shared" ref="J217:J222" si="12">ROUND(H217*I217,2)</f>
        <v>70</v>
      </c>
      <c r="K217" s="31"/>
    </row>
    <row r="218" spans="1:11" ht="20.2" customHeight="1">
      <c r="A218" s="617"/>
      <c r="B218" s="693"/>
      <c r="C218" s="694" t="s">
        <v>916</v>
      </c>
      <c r="D218" s="695" t="s">
        <v>1035</v>
      </c>
      <c r="E218" s="696" t="s">
        <v>143</v>
      </c>
      <c r="F218" s="696"/>
      <c r="G218" s="462"/>
      <c r="H218" s="716">
        <v>2</v>
      </c>
      <c r="I218" s="471">
        <v>35</v>
      </c>
      <c r="J218" s="289">
        <f t="shared" si="12"/>
        <v>70</v>
      </c>
      <c r="K218" s="31"/>
    </row>
    <row r="219" spans="1:11" ht="20.2" customHeight="1">
      <c r="A219" s="617"/>
      <c r="B219" s="693"/>
      <c r="C219" s="694" t="s">
        <v>917</v>
      </c>
      <c r="D219" s="695" t="s">
        <v>1035</v>
      </c>
      <c r="E219" s="696" t="s">
        <v>1024</v>
      </c>
      <c r="F219" s="696"/>
      <c r="G219" s="462"/>
      <c r="H219" s="716">
        <v>4</v>
      </c>
      <c r="I219" s="471">
        <v>21</v>
      </c>
      <c r="J219" s="289">
        <f t="shared" si="12"/>
        <v>84</v>
      </c>
      <c r="K219" s="31"/>
    </row>
    <row r="220" spans="1:11" ht="20.2" customHeight="1">
      <c r="A220" s="617"/>
      <c r="B220" s="693"/>
      <c r="C220" s="694" t="s">
        <v>918</v>
      </c>
      <c r="D220" s="695" t="s">
        <v>1035</v>
      </c>
      <c r="E220" s="696" t="s">
        <v>919</v>
      </c>
      <c r="F220" s="696"/>
      <c r="G220" s="462"/>
      <c r="H220" s="716">
        <v>2</v>
      </c>
      <c r="I220" s="471">
        <v>97</v>
      </c>
      <c r="J220" s="289">
        <f t="shared" si="12"/>
        <v>194</v>
      </c>
      <c r="K220" s="31"/>
    </row>
    <row r="221" spans="1:11" ht="20.2" customHeight="1">
      <c r="A221" s="617"/>
      <c r="B221" s="693"/>
      <c r="C221" s="694" t="s">
        <v>799</v>
      </c>
      <c r="D221" s="695" t="s">
        <v>882</v>
      </c>
      <c r="E221" s="696" t="s">
        <v>141</v>
      </c>
      <c r="F221" s="696"/>
      <c r="G221" s="462"/>
      <c r="H221" s="716">
        <v>60</v>
      </c>
      <c r="I221" s="471">
        <v>2</v>
      </c>
      <c r="J221" s="289">
        <f t="shared" si="12"/>
        <v>120</v>
      </c>
      <c r="K221" s="31"/>
    </row>
    <row r="222" spans="1:11" ht="20.2" customHeight="1">
      <c r="A222" s="617"/>
      <c r="B222" s="693"/>
      <c r="C222" s="694" t="s">
        <v>1483</v>
      </c>
      <c r="D222" s="695"/>
      <c r="E222" s="696"/>
      <c r="F222" s="696"/>
      <c r="G222" s="462"/>
      <c r="H222" s="716">
        <v>4</v>
      </c>
      <c r="I222" s="471">
        <v>12</v>
      </c>
      <c r="J222" s="289">
        <f t="shared" si="12"/>
        <v>48</v>
      </c>
      <c r="K222" s="31"/>
    </row>
    <row r="223" spans="1:11" ht="20.2" customHeight="1">
      <c r="A223" s="617"/>
      <c r="B223" s="693"/>
      <c r="C223" s="694" t="s">
        <v>1484</v>
      </c>
      <c r="D223" s="695">
        <v>2.75</v>
      </c>
      <c r="E223" s="696">
        <v>0.9</v>
      </c>
      <c r="F223" s="696"/>
      <c r="G223" s="471">
        <v>1.2</v>
      </c>
      <c r="H223" s="462">
        <f>ROUND(G223*E223*D223,2)</f>
        <v>2.97</v>
      </c>
      <c r="I223" s="471">
        <f>G15</f>
        <v>321.685</v>
      </c>
      <c r="J223" s="289">
        <f>ROUND(H223*I223/10,2)</f>
        <v>95.54</v>
      </c>
      <c r="K223" s="31"/>
    </row>
    <row r="224" spans="1:11" s="450" customFormat="1" ht="20.2" customHeight="1">
      <c r="A224" s="617"/>
      <c r="B224" s="693"/>
      <c r="C224" s="694" t="s">
        <v>1306</v>
      </c>
      <c r="D224" s="695" t="s">
        <v>246</v>
      </c>
      <c r="E224" s="696">
        <v>0.9</v>
      </c>
      <c r="F224" s="696">
        <f>E224*10</f>
        <v>9</v>
      </c>
      <c r="G224" s="471">
        <v>1.1299999999999999</v>
      </c>
      <c r="H224" s="462">
        <f>G224*F224</f>
        <v>10.169999999999998</v>
      </c>
      <c r="I224" s="471">
        <f>'Lead- Input sheet '!R10/1000</f>
        <v>69.62</v>
      </c>
      <c r="J224" s="289">
        <f>H224*I224</f>
        <v>708.03539999999987</v>
      </c>
      <c r="K224" s="449"/>
    </row>
    <row r="225" spans="1:11" ht="20.2" customHeight="1">
      <c r="A225" s="617"/>
      <c r="B225" s="693"/>
      <c r="C225" s="694" t="s">
        <v>230</v>
      </c>
      <c r="D225" s="695"/>
      <c r="E225" s="696"/>
      <c r="F225" s="696"/>
      <c r="G225" s="462"/>
      <c r="H225" s="717">
        <v>1</v>
      </c>
      <c r="I225" s="471">
        <v>100</v>
      </c>
      <c r="J225" s="289">
        <f>H225*I225</f>
        <v>100</v>
      </c>
      <c r="K225" s="31"/>
    </row>
    <row r="226" spans="1:11" ht="20.2" customHeight="1">
      <c r="A226" s="617"/>
      <c r="B226" s="34"/>
      <c r="D226" s="26"/>
      <c r="E226" s="289"/>
      <c r="F226" s="292"/>
      <c r="G226" s="292"/>
      <c r="H226" s="292"/>
      <c r="I226" s="289"/>
      <c r="J226" s="289">
        <f>SUM(J210:J225)</f>
        <v>4688.6653999999999</v>
      </c>
      <c r="K226" s="31"/>
    </row>
    <row r="227" spans="1:11" s="18" customFormat="1" ht="20.2" customHeight="1">
      <c r="A227" s="617"/>
      <c r="B227" s="40"/>
      <c r="C227" s="54" t="s">
        <v>1228</v>
      </c>
      <c r="D227" s="41"/>
      <c r="E227" s="468"/>
      <c r="F227" s="458"/>
      <c r="G227" s="458"/>
      <c r="H227" s="459">
        <f>J226</f>
        <v>4688.6653999999999</v>
      </c>
      <c r="I227" s="291">
        <f>I6</f>
        <v>0</v>
      </c>
      <c r="J227" s="291">
        <f>ROUND(H227*I227,2)</f>
        <v>0</v>
      </c>
      <c r="K227" s="17"/>
    </row>
    <row r="228" spans="1:11" s="18" customFormat="1" ht="20.2" customHeight="1">
      <c r="A228" s="617"/>
      <c r="B228" s="411"/>
      <c r="C228" s="283" t="s">
        <v>256</v>
      </c>
      <c r="D228" s="412"/>
      <c r="E228" s="469"/>
      <c r="F228" s="460"/>
      <c r="G228" s="460"/>
      <c r="H228" s="461"/>
      <c r="I228" s="446"/>
      <c r="J228" s="446">
        <f>SUM(J226:J227)</f>
        <v>4688.6653999999999</v>
      </c>
      <c r="K228" s="17"/>
    </row>
    <row r="229" spans="1:11">
      <c r="A229" s="617"/>
      <c r="B229" s="34"/>
      <c r="C229" s="55" t="s">
        <v>401</v>
      </c>
      <c r="D229" s="26"/>
      <c r="E229" s="289"/>
      <c r="F229" s="292"/>
      <c r="G229" s="292"/>
      <c r="H229" s="292"/>
      <c r="I229" s="289"/>
      <c r="J229" s="289"/>
      <c r="K229" s="31"/>
    </row>
    <row r="230" spans="1:11">
      <c r="A230" s="617"/>
      <c r="B230" s="34"/>
      <c r="C230" s="54" t="s">
        <v>848</v>
      </c>
      <c r="D230" s="26"/>
      <c r="E230" s="289"/>
      <c r="F230" s="292"/>
      <c r="G230" s="292"/>
      <c r="H230" s="292"/>
      <c r="I230" s="289"/>
      <c r="J230" s="289"/>
      <c r="K230" s="31"/>
    </row>
    <row r="231" spans="1:11" ht="20.2" customHeight="1">
      <c r="A231" s="617"/>
      <c r="B231" s="34"/>
      <c r="C231" s="54" t="s">
        <v>780</v>
      </c>
      <c r="D231" s="26">
        <v>3</v>
      </c>
      <c r="E231" s="289">
        <v>1.2</v>
      </c>
      <c r="F231" s="292">
        <v>0.1</v>
      </c>
      <c r="G231" s="292">
        <v>7.4999999999999997E-2</v>
      </c>
      <c r="H231" s="292">
        <f>ROUND(D231*E231*F231*G231,3)</f>
        <v>2.7E-2</v>
      </c>
      <c r="I231" s="289">
        <v>25497.19</v>
      </c>
      <c r="J231" s="289">
        <f>ROUND(H231*I231,2)</f>
        <v>688.42</v>
      </c>
      <c r="K231" s="31"/>
    </row>
    <row r="232" spans="1:11" ht="20.2" customHeight="1">
      <c r="A232" s="617"/>
      <c r="B232" s="34"/>
      <c r="C232" s="54" t="s">
        <v>781</v>
      </c>
      <c r="D232" s="26">
        <v>2</v>
      </c>
      <c r="E232" s="289">
        <v>1.05</v>
      </c>
      <c r="F232" s="292">
        <v>0.1</v>
      </c>
      <c r="G232" s="292">
        <v>7.4999999999999997E-2</v>
      </c>
      <c r="H232" s="292">
        <f>ROUND(D232*E232*F232*G232,3)</f>
        <v>1.6E-2</v>
      </c>
      <c r="I232" s="289">
        <v>25497.19</v>
      </c>
      <c r="J232" s="289">
        <f>ROUND(H232*I232,2)</f>
        <v>407.96</v>
      </c>
      <c r="K232" s="31"/>
    </row>
    <row r="233" spans="1:11" ht="20.2" customHeight="1">
      <c r="A233" s="617"/>
      <c r="B233" s="34"/>
      <c r="C233" s="54" t="s">
        <v>1482</v>
      </c>
      <c r="D233" s="26"/>
      <c r="E233" s="289"/>
      <c r="F233" s="292"/>
      <c r="G233" s="292"/>
      <c r="H233" s="292">
        <f>SUM(H231:H232)</f>
        <v>4.2999999999999997E-2</v>
      </c>
      <c r="I233" s="445">
        <f>G25</f>
        <v>17360</v>
      </c>
      <c r="J233" s="289">
        <f>ROUND(H233*I233,2)</f>
        <v>746.48</v>
      </c>
      <c r="K233" s="31"/>
    </row>
    <row r="234" spans="1:11" ht="33.299999999999997">
      <c r="A234" s="617" t="s">
        <v>787</v>
      </c>
      <c r="B234" s="19"/>
      <c r="C234" s="54" t="s">
        <v>788</v>
      </c>
      <c r="D234" s="26"/>
      <c r="E234" s="289"/>
      <c r="F234" s="292"/>
      <c r="G234" s="457"/>
      <c r="H234" s="457"/>
      <c r="I234" s="289"/>
      <c r="J234" s="290"/>
      <c r="K234" s="31"/>
    </row>
    <row r="235" spans="1:11" ht="20.2" customHeight="1">
      <c r="A235" s="617"/>
      <c r="B235" s="32"/>
      <c r="C235" s="54" t="s">
        <v>1483</v>
      </c>
      <c r="D235" s="32"/>
      <c r="E235" s="289"/>
      <c r="F235" s="292"/>
      <c r="G235" s="292"/>
      <c r="H235" s="717">
        <v>4</v>
      </c>
      <c r="I235" s="292">
        <v>12</v>
      </c>
      <c r="J235" s="292">
        <f>ROUND(H255*I255,2)</f>
        <v>126</v>
      </c>
      <c r="K235" s="31"/>
    </row>
    <row r="236" spans="1:11" ht="20.2" customHeight="1">
      <c r="A236" s="617"/>
      <c r="B236" s="34"/>
      <c r="C236" s="54" t="s">
        <v>1484</v>
      </c>
      <c r="D236" s="26" t="s">
        <v>544</v>
      </c>
      <c r="E236" s="289">
        <v>0.9</v>
      </c>
      <c r="F236" s="292"/>
      <c r="G236" s="289">
        <v>1.2</v>
      </c>
      <c r="H236" s="292">
        <f>ROUND(G236*E236*2.75/3,2)</f>
        <v>0.99</v>
      </c>
      <c r="I236" s="452">
        <f>G15</f>
        <v>321.685</v>
      </c>
      <c r="J236" s="205">
        <f>ROUND(H256*I256/10,2)</f>
        <v>29.1</v>
      </c>
      <c r="K236" s="31"/>
    </row>
    <row r="237" spans="1:11" s="450" customFormat="1" ht="20.2" customHeight="1">
      <c r="A237" s="617"/>
      <c r="B237" s="693"/>
      <c r="C237" s="694" t="s">
        <v>1306</v>
      </c>
      <c r="D237" s="695" t="s">
        <v>246</v>
      </c>
      <c r="E237" s="696">
        <v>0.9</v>
      </c>
      <c r="F237" s="695">
        <f>E237*10</f>
        <v>9</v>
      </c>
      <c r="G237" s="471">
        <v>1.1299999999999999</v>
      </c>
      <c r="H237" s="462">
        <f>G237*F237</f>
        <v>10.169999999999998</v>
      </c>
      <c r="I237" s="471">
        <f>'Lead- Input sheet '!R10/1000</f>
        <v>69.62</v>
      </c>
      <c r="J237" s="289">
        <f>H237*I237</f>
        <v>708.03539999999987</v>
      </c>
      <c r="K237" s="449"/>
    </row>
    <row r="238" spans="1:11" ht="20.2" customHeight="1">
      <c r="A238" s="617"/>
      <c r="B238" s="34"/>
      <c r="C238" s="54" t="s">
        <v>230</v>
      </c>
      <c r="D238" s="26"/>
      <c r="E238" s="289"/>
      <c r="F238" s="292"/>
      <c r="G238" s="292"/>
      <c r="H238" s="716">
        <v>1</v>
      </c>
      <c r="I238" s="289">
        <v>50</v>
      </c>
      <c r="J238" s="289">
        <f>H258*I258</f>
        <v>48</v>
      </c>
      <c r="K238" s="31"/>
    </row>
    <row r="239" spans="1:11" ht="20.2" customHeight="1">
      <c r="A239" s="617"/>
      <c r="B239" s="34"/>
      <c r="D239" s="26"/>
      <c r="E239" s="289"/>
      <c r="F239" s="292"/>
      <c r="G239" s="292"/>
      <c r="H239" s="292"/>
      <c r="I239" s="289"/>
      <c r="J239" s="289">
        <f>SUM(J231:J238)</f>
        <v>2753.9953999999998</v>
      </c>
      <c r="K239" s="31"/>
    </row>
    <row r="240" spans="1:11" s="18" customFormat="1" ht="20.2" customHeight="1">
      <c r="A240" s="617"/>
      <c r="B240" s="40"/>
      <c r="C240" s="54" t="s">
        <v>1228</v>
      </c>
      <c r="D240" s="41"/>
      <c r="E240" s="468"/>
      <c r="F240" s="458"/>
      <c r="G240" s="458"/>
      <c r="H240" s="459">
        <f>J239</f>
        <v>2753.9953999999998</v>
      </c>
      <c r="I240" s="291">
        <f>I6</f>
        <v>0</v>
      </c>
      <c r="J240" s="291">
        <f>ROUND(H260*I260,2)</f>
        <v>944.05</v>
      </c>
      <c r="K240" s="17"/>
    </row>
    <row r="241" spans="1:11" s="439" customFormat="1" ht="30" customHeight="1">
      <c r="A241" s="617"/>
      <c r="B241" s="411"/>
      <c r="C241" s="448" t="s">
        <v>402</v>
      </c>
      <c r="D241" s="412"/>
      <c r="E241" s="469"/>
      <c r="F241" s="460"/>
      <c r="G241" s="460"/>
      <c r="H241" s="461"/>
      <c r="I241" s="446"/>
      <c r="J241" s="446">
        <f>SUM(J239:J240)</f>
        <v>3698.0454</v>
      </c>
      <c r="K241" s="447"/>
    </row>
    <row r="242" spans="1:11" s="439" customFormat="1" ht="30" customHeight="1">
      <c r="A242" s="617"/>
      <c r="B242" s="411"/>
      <c r="C242" s="448" t="s">
        <v>403</v>
      </c>
      <c r="D242" s="412"/>
      <c r="E242" s="469"/>
      <c r="F242" s="460"/>
      <c r="G242" s="460"/>
      <c r="H242" s="461"/>
      <c r="I242" s="446"/>
      <c r="J242" s="446">
        <f>J228-J241</f>
        <v>990.61999999999989</v>
      </c>
      <c r="K242" s="447"/>
    </row>
    <row r="243" spans="1:11" ht="116.1">
      <c r="A243" s="617"/>
      <c r="B243" s="26">
        <v>8</v>
      </c>
      <c r="C243" s="55" t="s">
        <v>404</v>
      </c>
      <c r="D243" s="26"/>
      <c r="E243" s="289"/>
      <c r="F243" s="292"/>
      <c r="G243" s="292"/>
      <c r="H243" s="292"/>
      <c r="I243" s="289"/>
      <c r="J243" s="289"/>
      <c r="K243" s="31"/>
    </row>
    <row r="244" spans="1:11">
      <c r="A244" s="617"/>
      <c r="B244" s="34"/>
      <c r="C244" s="55" t="s">
        <v>405</v>
      </c>
      <c r="D244" s="26"/>
      <c r="E244" s="289"/>
      <c r="F244" s="292"/>
      <c r="G244" s="292"/>
      <c r="H244" s="292"/>
      <c r="I244" s="289"/>
      <c r="J244" s="289"/>
      <c r="K244" s="31"/>
    </row>
    <row r="245" spans="1:11">
      <c r="A245" s="617"/>
      <c r="B245" s="34"/>
      <c r="C245" s="54" t="s">
        <v>848</v>
      </c>
      <c r="D245" s="26"/>
      <c r="E245" s="289"/>
      <c r="F245" s="292"/>
      <c r="G245" s="292"/>
      <c r="H245" s="292"/>
      <c r="I245" s="289"/>
      <c r="J245" s="289"/>
      <c r="K245" s="31"/>
    </row>
    <row r="246" spans="1:11" ht="20.2" customHeight="1">
      <c r="A246" s="617"/>
      <c r="B246" s="34"/>
      <c r="C246" s="54" t="s">
        <v>780</v>
      </c>
      <c r="D246" s="26">
        <v>4</v>
      </c>
      <c r="E246" s="289">
        <v>1.2</v>
      </c>
      <c r="F246" s="292">
        <v>0.1</v>
      </c>
      <c r="G246" s="292">
        <v>7.4999999999999997E-2</v>
      </c>
      <c r="H246" s="292">
        <f>ROUND(D246*E246*F246*G246,3)</f>
        <v>3.5999999999999997E-2</v>
      </c>
      <c r="I246" s="289">
        <v>25497.19</v>
      </c>
      <c r="J246" s="289">
        <f t="shared" ref="J246:J251" si="13">ROUND(H246*I246,2)</f>
        <v>917.9</v>
      </c>
      <c r="K246" s="31"/>
    </row>
    <row r="247" spans="1:11" ht="20.2" customHeight="1">
      <c r="A247" s="617"/>
      <c r="B247" s="34"/>
      <c r="C247" s="54" t="s">
        <v>781</v>
      </c>
      <c r="D247" s="26">
        <v>2</v>
      </c>
      <c r="E247" s="289">
        <v>1.35</v>
      </c>
      <c r="F247" s="292">
        <v>0.1</v>
      </c>
      <c r="G247" s="292">
        <v>7.4999999999999997E-2</v>
      </c>
      <c r="H247" s="292">
        <f>ROUND(D247*E247*F247*G247,3)</f>
        <v>0.02</v>
      </c>
      <c r="I247" s="289">
        <v>25497.19</v>
      </c>
      <c r="J247" s="289">
        <f t="shared" si="13"/>
        <v>509.94</v>
      </c>
      <c r="K247" s="31"/>
    </row>
    <row r="248" spans="1:11" ht="20.2" customHeight="1">
      <c r="A248" s="617"/>
      <c r="B248" s="34"/>
      <c r="C248" s="54" t="s">
        <v>782</v>
      </c>
      <c r="D248" s="26" t="s">
        <v>243</v>
      </c>
      <c r="E248" s="470">
        <f>(1.2-2*0.075+2*0.015)</f>
        <v>1.08</v>
      </c>
      <c r="F248" s="292">
        <v>7.4999999999999997E-2</v>
      </c>
      <c r="G248" s="292">
        <f>1.25*25.4/1000</f>
        <v>3.175E-2</v>
      </c>
      <c r="H248" s="292">
        <f>ROUND(6*E248*F248*G248,3)</f>
        <v>1.4999999999999999E-2</v>
      </c>
      <c r="I248" s="289">
        <v>31076.9</v>
      </c>
      <c r="J248" s="289">
        <f t="shared" si="13"/>
        <v>466.15</v>
      </c>
      <c r="K248" s="31"/>
    </row>
    <row r="249" spans="1:11" ht="20.2" customHeight="1">
      <c r="A249" s="617"/>
      <c r="B249" s="34"/>
      <c r="C249" s="54" t="s">
        <v>783</v>
      </c>
      <c r="D249" s="26" t="s">
        <v>244</v>
      </c>
      <c r="E249" s="289">
        <f>(1.2-3*0.075+4*0.015)/2</f>
        <v>0.51749999999999996</v>
      </c>
      <c r="F249" s="292">
        <v>7.4999999999999997E-2</v>
      </c>
      <c r="G249" s="292">
        <f>1.25*25.4/1000</f>
        <v>3.175E-2</v>
      </c>
      <c r="H249" s="292">
        <f>ROUND(9*E249*F249*G249,3)</f>
        <v>1.0999999999999999E-2</v>
      </c>
      <c r="I249" s="289">
        <v>31076.9</v>
      </c>
      <c r="J249" s="289">
        <f t="shared" si="13"/>
        <v>341.85</v>
      </c>
      <c r="K249" s="31"/>
    </row>
    <row r="250" spans="1:11" ht="20.2" customHeight="1">
      <c r="A250" s="617"/>
      <c r="B250" s="34"/>
      <c r="C250" s="54" t="s">
        <v>1481</v>
      </c>
      <c r="D250" s="26" t="s">
        <v>245</v>
      </c>
      <c r="E250" s="289">
        <f>(1.2-4*0.075+6*0.015)/3-2*0.075+2*0.025</f>
        <v>0.22999999999999998</v>
      </c>
      <c r="F250" s="292">
        <f>(1.2-2*0.075+2*0.015-3*0.075)/2+2*0.025</f>
        <v>0.47750000000000004</v>
      </c>
      <c r="G250" s="292">
        <v>2.5000000000000001E-2</v>
      </c>
      <c r="H250" s="292">
        <f>ROUND(6*E250*F250*G250,3)</f>
        <v>1.6E-2</v>
      </c>
      <c r="I250" s="289">
        <v>31076.9</v>
      </c>
      <c r="J250" s="289">
        <f t="shared" si="13"/>
        <v>497.23</v>
      </c>
      <c r="K250" s="31"/>
    </row>
    <row r="251" spans="1:11" ht="20.2" customHeight="1">
      <c r="A251" s="617"/>
      <c r="B251" s="34"/>
      <c r="C251" s="54" t="s">
        <v>1482</v>
      </c>
      <c r="D251" s="26"/>
      <c r="E251" s="289"/>
      <c r="F251" s="292"/>
      <c r="G251" s="292"/>
      <c r="H251" s="292">
        <f>SUM(H246:H250)</f>
        <v>9.799999999999999E-2</v>
      </c>
      <c r="I251" s="445">
        <f>G25</f>
        <v>17360</v>
      </c>
      <c r="J251" s="289">
        <f t="shared" si="13"/>
        <v>1701.28</v>
      </c>
      <c r="K251" s="31"/>
    </row>
    <row r="252" spans="1:11" ht="33.299999999999997">
      <c r="A252" s="617" t="s">
        <v>787</v>
      </c>
      <c r="B252" s="19"/>
      <c r="C252" s="54" t="s">
        <v>788</v>
      </c>
      <c r="D252" s="26"/>
      <c r="E252" s="289"/>
      <c r="F252" s="292"/>
      <c r="G252" s="457"/>
      <c r="H252" s="457"/>
      <c r="I252" s="289"/>
      <c r="J252" s="290"/>
      <c r="K252" s="31"/>
    </row>
    <row r="253" spans="1:11" ht="20.2" customHeight="1">
      <c r="A253" s="617"/>
      <c r="B253" s="693"/>
      <c r="C253" s="694" t="s">
        <v>915</v>
      </c>
      <c r="D253" s="695" t="s">
        <v>1035</v>
      </c>
      <c r="E253" s="696" t="s">
        <v>143</v>
      </c>
      <c r="F253" s="696"/>
      <c r="G253" s="462"/>
      <c r="H253" s="717">
        <v>3</v>
      </c>
      <c r="I253" s="471">
        <v>35</v>
      </c>
      <c r="J253" s="289">
        <f t="shared" ref="J253:J258" si="14">ROUND(H253*I253,2)</f>
        <v>105</v>
      </c>
      <c r="K253" s="31"/>
    </row>
    <row r="254" spans="1:11" ht="20.2" customHeight="1">
      <c r="A254" s="617"/>
      <c r="B254" s="693"/>
      <c r="C254" s="694" t="s">
        <v>916</v>
      </c>
      <c r="D254" s="695" t="s">
        <v>1035</v>
      </c>
      <c r="E254" s="696" t="s">
        <v>143</v>
      </c>
      <c r="F254" s="696"/>
      <c r="G254" s="462"/>
      <c r="H254" s="717">
        <v>3</v>
      </c>
      <c r="I254" s="471">
        <v>35</v>
      </c>
      <c r="J254" s="289">
        <f t="shared" si="14"/>
        <v>105</v>
      </c>
      <c r="K254" s="31"/>
    </row>
    <row r="255" spans="1:11" ht="20.2" customHeight="1">
      <c r="A255" s="617"/>
      <c r="B255" s="693"/>
      <c r="C255" s="694" t="s">
        <v>917</v>
      </c>
      <c r="D255" s="695" t="s">
        <v>1035</v>
      </c>
      <c r="E255" s="696" t="s">
        <v>1024</v>
      </c>
      <c r="F255" s="696"/>
      <c r="G255" s="462"/>
      <c r="H255" s="717">
        <v>6</v>
      </c>
      <c r="I255" s="471">
        <v>21</v>
      </c>
      <c r="J255" s="289">
        <f t="shared" si="14"/>
        <v>126</v>
      </c>
      <c r="K255" s="31"/>
    </row>
    <row r="256" spans="1:11" ht="20.2" customHeight="1">
      <c r="A256" s="617"/>
      <c r="B256" s="693"/>
      <c r="C256" s="694" t="s">
        <v>918</v>
      </c>
      <c r="D256" s="695" t="s">
        <v>1035</v>
      </c>
      <c r="E256" s="696" t="s">
        <v>919</v>
      </c>
      <c r="F256" s="696"/>
      <c r="G256" s="462"/>
      <c r="H256" s="717">
        <v>3</v>
      </c>
      <c r="I256" s="471">
        <v>97</v>
      </c>
      <c r="J256" s="289">
        <f t="shared" si="14"/>
        <v>291</v>
      </c>
      <c r="K256" s="31"/>
    </row>
    <row r="257" spans="1:11" ht="20.2" customHeight="1">
      <c r="A257" s="617"/>
      <c r="B257" s="693"/>
      <c r="C257" s="694" t="s">
        <v>799</v>
      </c>
      <c r="D257" s="695" t="s">
        <v>882</v>
      </c>
      <c r="E257" s="696" t="s">
        <v>141</v>
      </c>
      <c r="F257" s="696"/>
      <c r="G257" s="462"/>
      <c r="H257" s="717">
        <v>90</v>
      </c>
      <c r="I257" s="471">
        <v>2</v>
      </c>
      <c r="J257" s="289">
        <f t="shared" si="14"/>
        <v>180</v>
      </c>
      <c r="K257" s="31"/>
    </row>
    <row r="258" spans="1:11" ht="20.2" customHeight="1">
      <c r="A258" s="617"/>
      <c r="B258" s="693"/>
      <c r="C258" s="694" t="s">
        <v>1483</v>
      </c>
      <c r="D258" s="695"/>
      <c r="E258" s="696"/>
      <c r="F258" s="696"/>
      <c r="G258" s="462"/>
      <c r="H258" s="717">
        <v>4</v>
      </c>
      <c r="I258" s="471">
        <v>12</v>
      </c>
      <c r="J258" s="289">
        <f t="shared" si="14"/>
        <v>48</v>
      </c>
      <c r="K258" s="31"/>
    </row>
    <row r="259" spans="1:11" ht="20.2" customHeight="1">
      <c r="A259" s="617"/>
      <c r="B259" s="34"/>
      <c r="C259" s="54" t="s">
        <v>1484</v>
      </c>
      <c r="D259" s="26">
        <v>2.75</v>
      </c>
      <c r="E259" s="289">
        <v>1.2</v>
      </c>
      <c r="F259" s="292"/>
      <c r="G259" s="289">
        <v>1.2</v>
      </c>
      <c r="H259" s="292">
        <f>ROUND(G259*E259*D259,2)</f>
        <v>3.96</v>
      </c>
      <c r="I259" s="452">
        <f>G15</f>
        <v>321.685</v>
      </c>
      <c r="J259" s="205">
        <f>ROUND(H259*I259/10,2)</f>
        <v>127.39</v>
      </c>
      <c r="K259" s="31"/>
    </row>
    <row r="260" spans="1:11" ht="20.2" customHeight="1">
      <c r="A260" s="617"/>
      <c r="B260" s="34"/>
      <c r="C260" s="451" t="s">
        <v>1306</v>
      </c>
      <c r="D260" s="26" t="s">
        <v>246</v>
      </c>
      <c r="E260" s="289">
        <v>1.2</v>
      </c>
      <c r="F260" s="292">
        <f>E260*10</f>
        <v>12</v>
      </c>
      <c r="G260" s="289">
        <v>1.1299999999999999</v>
      </c>
      <c r="H260" s="292">
        <f>G260*F260</f>
        <v>13.559999999999999</v>
      </c>
      <c r="I260" s="465">
        <f>'Lead- Input sheet '!R10/1000</f>
        <v>69.62</v>
      </c>
      <c r="J260" s="289">
        <f>H260*I260</f>
        <v>944.04719999999998</v>
      </c>
      <c r="K260" s="31"/>
    </row>
    <row r="261" spans="1:11" ht="20.2" customHeight="1">
      <c r="A261" s="617"/>
      <c r="B261" s="34"/>
      <c r="C261" s="54" t="s">
        <v>230</v>
      </c>
      <c r="D261" s="26"/>
      <c r="E261" s="289"/>
      <c r="F261" s="292"/>
      <c r="G261" s="292"/>
      <c r="H261" s="716">
        <v>1</v>
      </c>
      <c r="I261" s="289">
        <v>100</v>
      </c>
      <c r="J261" s="289">
        <f>H261*I261</f>
        <v>100</v>
      </c>
      <c r="K261" s="31"/>
    </row>
    <row r="262" spans="1:11" ht="20.2" customHeight="1">
      <c r="A262" s="617"/>
      <c r="B262" s="34"/>
      <c r="D262" s="26"/>
      <c r="E262" s="289"/>
      <c r="F262" s="292"/>
      <c r="G262" s="292"/>
      <c r="H262" s="292"/>
      <c r="I262" s="289"/>
      <c r="J262" s="289">
        <f>SUM(J246:J261)</f>
        <v>6460.7871999999998</v>
      </c>
      <c r="K262" s="31"/>
    </row>
    <row r="263" spans="1:11" s="18" customFormat="1" ht="20.2" customHeight="1">
      <c r="A263" s="617"/>
      <c r="B263" s="40"/>
      <c r="C263" s="54" t="s">
        <v>1228</v>
      </c>
      <c r="D263" s="41"/>
      <c r="E263" s="468"/>
      <c r="F263" s="458"/>
      <c r="G263" s="458"/>
      <c r="H263" s="459">
        <f>J262</f>
        <v>6460.7871999999998</v>
      </c>
      <c r="I263" s="291">
        <f>I6</f>
        <v>0</v>
      </c>
      <c r="J263" s="291">
        <f>ROUND(H263*I263,2)</f>
        <v>0</v>
      </c>
      <c r="K263" s="17"/>
    </row>
    <row r="264" spans="1:11" s="18" customFormat="1" ht="20.2" customHeight="1">
      <c r="A264" s="617"/>
      <c r="B264" s="411"/>
      <c r="C264" s="283" t="s">
        <v>256</v>
      </c>
      <c r="D264" s="412"/>
      <c r="E264" s="469"/>
      <c r="F264" s="460"/>
      <c r="G264" s="460"/>
      <c r="H264" s="461"/>
      <c r="I264" s="446"/>
      <c r="J264" s="446">
        <f>SUM(J262:J263)</f>
        <v>6460.7871999999998</v>
      </c>
      <c r="K264" s="17"/>
    </row>
    <row r="265" spans="1:11">
      <c r="A265" s="617"/>
      <c r="B265" s="34"/>
      <c r="C265" s="55" t="s">
        <v>406</v>
      </c>
      <c r="D265" s="26"/>
      <c r="E265" s="289"/>
      <c r="F265" s="292"/>
      <c r="G265" s="292"/>
      <c r="H265" s="292"/>
      <c r="I265" s="289"/>
      <c r="J265" s="289"/>
      <c r="K265" s="31"/>
    </row>
    <row r="266" spans="1:11">
      <c r="A266" s="617"/>
      <c r="B266" s="34"/>
      <c r="C266" s="54" t="s">
        <v>848</v>
      </c>
      <c r="D266" s="26"/>
      <c r="E266" s="289"/>
      <c r="F266" s="292"/>
      <c r="G266" s="292"/>
      <c r="H266" s="292"/>
      <c r="I266" s="289"/>
      <c r="J266" s="289"/>
      <c r="K266" s="31"/>
    </row>
    <row r="267" spans="1:11" ht="20.2" customHeight="1">
      <c r="A267" s="617"/>
      <c r="B267" s="34"/>
      <c r="C267" s="54" t="s">
        <v>780</v>
      </c>
      <c r="D267" s="26">
        <v>4</v>
      </c>
      <c r="E267" s="289">
        <v>1.2</v>
      </c>
      <c r="F267" s="292">
        <v>0.1</v>
      </c>
      <c r="G267" s="292">
        <v>7.4999999999999997E-2</v>
      </c>
      <c r="H267" s="292">
        <f>ROUND(D267*E267*F267*G267,3)</f>
        <v>3.5999999999999997E-2</v>
      </c>
      <c r="I267" s="289">
        <v>25497.19</v>
      </c>
      <c r="J267" s="289">
        <f>ROUND(H267*I267,2)</f>
        <v>917.9</v>
      </c>
      <c r="K267" s="31"/>
    </row>
    <row r="268" spans="1:11" ht="20.2" customHeight="1">
      <c r="A268" s="617"/>
      <c r="B268" s="34"/>
      <c r="C268" s="54" t="s">
        <v>781</v>
      </c>
      <c r="D268" s="26">
        <v>2</v>
      </c>
      <c r="E268" s="289">
        <v>1.35</v>
      </c>
      <c r="F268" s="292">
        <v>0.1</v>
      </c>
      <c r="G268" s="292">
        <v>7.4999999999999997E-2</v>
      </c>
      <c r="H268" s="292">
        <f>ROUND(D268*E268*F268*G268,3)</f>
        <v>0.02</v>
      </c>
      <c r="I268" s="289">
        <v>25497.19</v>
      </c>
      <c r="J268" s="289">
        <f>ROUND(H268*I268,2)</f>
        <v>509.94</v>
      </c>
      <c r="K268" s="31"/>
    </row>
    <row r="269" spans="1:11" ht="20.2" customHeight="1">
      <c r="A269" s="617"/>
      <c r="B269" s="34"/>
      <c r="C269" s="54" t="s">
        <v>1482</v>
      </c>
      <c r="D269" s="26"/>
      <c r="E269" s="289"/>
      <c r="F269" s="292"/>
      <c r="G269" s="292"/>
      <c r="H269" s="292">
        <f>SUM(H267:H268)</f>
        <v>5.5999999999999994E-2</v>
      </c>
      <c r="I269" s="445">
        <f>G25</f>
        <v>17360</v>
      </c>
      <c r="J269" s="289">
        <f>ROUND(H269*I269,2)</f>
        <v>972.16</v>
      </c>
      <c r="K269" s="31"/>
    </row>
    <row r="270" spans="1:11" ht="33.299999999999997">
      <c r="A270" s="617" t="s">
        <v>787</v>
      </c>
      <c r="B270" s="19"/>
      <c r="C270" s="54" t="s">
        <v>788</v>
      </c>
      <c r="D270" s="26"/>
      <c r="E270" s="289"/>
      <c r="F270" s="292"/>
      <c r="G270" s="457"/>
      <c r="H270" s="457"/>
      <c r="I270" s="289"/>
      <c r="J270" s="290"/>
      <c r="K270" s="31"/>
    </row>
    <row r="271" spans="1:11" ht="20.2" customHeight="1">
      <c r="A271" s="617"/>
      <c r="B271" s="32"/>
      <c r="C271" s="54" t="s">
        <v>1483</v>
      </c>
      <c r="D271" s="32"/>
      <c r="E271" s="289"/>
      <c r="F271" s="292"/>
      <c r="G271" s="292"/>
      <c r="H271" s="716">
        <v>4</v>
      </c>
      <c r="I271" s="289">
        <v>12</v>
      </c>
      <c r="J271" s="289">
        <f>ROUND(H271*I271,2)</f>
        <v>48</v>
      </c>
      <c r="K271" s="31"/>
    </row>
    <row r="272" spans="1:11" ht="20.2" customHeight="1">
      <c r="A272" s="617"/>
      <c r="B272" s="34"/>
      <c r="C272" s="54" t="s">
        <v>1484</v>
      </c>
      <c r="D272" s="289" t="s">
        <v>544</v>
      </c>
      <c r="E272" s="289">
        <v>1.2</v>
      </c>
      <c r="F272" s="292"/>
      <c r="G272" s="289">
        <v>1.2</v>
      </c>
      <c r="H272" s="292">
        <f>ROUND(G272*E272*2.75/3,2)</f>
        <v>1.32</v>
      </c>
      <c r="I272" s="452">
        <f>G15</f>
        <v>321.685</v>
      </c>
      <c r="J272" s="205">
        <f>ROUND(H272*I272/10,2)</f>
        <v>42.46</v>
      </c>
      <c r="K272" s="31"/>
    </row>
    <row r="273" spans="1:11" ht="20.2" customHeight="1">
      <c r="A273" s="617"/>
      <c r="B273" s="34"/>
      <c r="C273" s="451" t="s">
        <v>1306</v>
      </c>
      <c r="D273" s="26" t="s">
        <v>246</v>
      </c>
      <c r="E273" s="289">
        <v>1.2</v>
      </c>
      <c r="F273" s="292">
        <f>E273*10</f>
        <v>12</v>
      </c>
      <c r="G273" s="289">
        <v>1.1299999999999999</v>
      </c>
      <c r="H273" s="292">
        <f>G273*F273</f>
        <v>13.559999999999999</v>
      </c>
      <c r="I273" s="465">
        <f>'Lead- Input sheet '!R10/1000</f>
        <v>69.62</v>
      </c>
      <c r="J273" s="289">
        <f>H273*I273</f>
        <v>944.04719999999998</v>
      </c>
      <c r="K273" s="31"/>
    </row>
    <row r="274" spans="1:11" ht="20.2" customHeight="1">
      <c r="A274" s="617"/>
      <c r="B274" s="34"/>
      <c r="C274" s="54" t="s">
        <v>230</v>
      </c>
      <c r="D274" s="26"/>
      <c r="E274" s="289"/>
      <c r="F274" s="292"/>
      <c r="G274" s="292"/>
      <c r="H274" s="716">
        <v>1</v>
      </c>
      <c r="I274" s="289">
        <v>50</v>
      </c>
      <c r="J274" s="289">
        <f>H274*I274</f>
        <v>50</v>
      </c>
      <c r="K274" s="31"/>
    </row>
    <row r="275" spans="1:11" ht="20.2" customHeight="1">
      <c r="A275" s="617"/>
      <c r="B275" s="34"/>
      <c r="D275" s="26"/>
      <c r="E275" s="289"/>
      <c r="F275" s="292"/>
      <c r="G275" s="292"/>
      <c r="H275" s="292"/>
      <c r="I275" s="289"/>
      <c r="J275" s="289">
        <f>SUM(J267:J274)</f>
        <v>3484.5072</v>
      </c>
      <c r="K275" s="31"/>
    </row>
    <row r="276" spans="1:11" s="18" customFormat="1" ht="20.2" customHeight="1">
      <c r="A276" s="617"/>
      <c r="B276" s="40"/>
      <c r="C276" s="54" t="s">
        <v>1228</v>
      </c>
      <c r="D276" s="41"/>
      <c r="E276" s="468"/>
      <c r="F276" s="458"/>
      <c r="G276" s="458"/>
      <c r="H276" s="459">
        <f>J275</f>
        <v>3484.5072</v>
      </c>
      <c r="I276" s="291">
        <f>I6</f>
        <v>0</v>
      </c>
      <c r="J276" s="291">
        <f>ROUND(H296*I296,2)</f>
        <v>1180.06</v>
      </c>
      <c r="K276" s="17"/>
    </row>
    <row r="277" spans="1:11" s="439" customFormat="1" ht="20.2" customHeight="1">
      <c r="A277" s="617"/>
      <c r="B277" s="411"/>
      <c r="C277" s="418" t="s">
        <v>407</v>
      </c>
      <c r="D277" s="412"/>
      <c r="E277" s="469"/>
      <c r="F277" s="460"/>
      <c r="G277" s="460"/>
      <c r="H277" s="461"/>
      <c r="I277" s="446"/>
      <c r="J277" s="446">
        <f>SUM(J275:J276)</f>
        <v>4664.5671999999995</v>
      </c>
      <c r="K277" s="447"/>
    </row>
    <row r="278" spans="1:11" s="439" customFormat="1" ht="20.2" customHeight="1">
      <c r="A278" s="617"/>
      <c r="B278" s="411"/>
      <c r="C278" s="418" t="s">
        <v>13</v>
      </c>
      <c r="D278" s="412"/>
      <c r="E278" s="469"/>
      <c r="F278" s="460"/>
      <c r="G278" s="460"/>
      <c r="H278" s="461"/>
      <c r="I278" s="446"/>
      <c r="J278" s="446">
        <f>J264-J277</f>
        <v>1796.2200000000003</v>
      </c>
      <c r="K278" s="447"/>
    </row>
    <row r="279" spans="1:11" ht="116.1">
      <c r="A279" s="617"/>
      <c r="B279" s="26">
        <v>8</v>
      </c>
      <c r="C279" s="55" t="s">
        <v>408</v>
      </c>
      <c r="D279" s="26"/>
      <c r="E279" s="289"/>
      <c r="F279" s="292"/>
      <c r="G279" s="292"/>
      <c r="H279" s="292"/>
      <c r="I279" s="289"/>
      <c r="J279" s="289"/>
      <c r="K279" s="31"/>
    </row>
    <row r="280" spans="1:11">
      <c r="A280" s="617"/>
      <c r="B280" s="34"/>
      <c r="C280" s="55" t="s">
        <v>409</v>
      </c>
      <c r="D280" s="26"/>
      <c r="E280" s="289"/>
      <c r="F280" s="292"/>
      <c r="G280" s="292"/>
      <c r="H280" s="292"/>
      <c r="I280" s="289"/>
      <c r="J280" s="289"/>
      <c r="K280" s="31"/>
    </row>
    <row r="281" spans="1:11">
      <c r="A281" s="617"/>
      <c r="B281" s="34"/>
      <c r="C281" s="54" t="s">
        <v>848</v>
      </c>
      <c r="D281" s="26"/>
      <c r="E281" s="289"/>
      <c r="F281" s="292"/>
      <c r="G281" s="292"/>
      <c r="H281" s="292"/>
      <c r="I281" s="289"/>
      <c r="J281" s="289"/>
      <c r="K281" s="31"/>
    </row>
    <row r="282" spans="1:11" ht="20.2" customHeight="1">
      <c r="A282" s="617"/>
      <c r="B282" s="34"/>
      <c r="C282" s="54" t="s">
        <v>780</v>
      </c>
      <c r="D282" s="26">
        <v>4</v>
      </c>
      <c r="E282" s="289">
        <v>1.2</v>
      </c>
      <c r="F282" s="292">
        <v>0.1</v>
      </c>
      <c r="G282" s="292">
        <v>7.4999999999999997E-2</v>
      </c>
      <c r="H282" s="292">
        <f>ROUND(G282*F282*E282*D282,3)</f>
        <v>3.5999999999999997E-2</v>
      </c>
      <c r="I282" s="289">
        <v>25497.19</v>
      </c>
      <c r="J282" s="289">
        <f t="shared" ref="J282:J287" si="15">ROUND(H282*I282,2)</f>
        <v>917.9</v>
      </c>
      <c r="K282" s="31"/>
    </row>
    <row r="283" spans="1:11" ht="20.2" customHeight="1">
      <c r="A283" s="617"/>
      <c r="B283" s="34"/>
      <c r="C283" s="54" t="s">
        <v>781</v>
      </c>
      <c r="D283" s="26">
        <v>2</v>
      </c>
      <c r="E283" s="289">
        <v>1.65</v>
      </c>
      <c r="F283" s="292">
        <v>0.1</v>
      </c>
      <c r="G283" s="292">
        <v>7.4999999999999997E-2</v>
      </c>
      <c r="H283" s="292">
        <f>ROUND(G283*F283*E283*D283,3)</f>
        <v>2.5000000000000001E-2</v>
      </c>
      <c r="I283" s="289">
        <v>25497.19</v>
      </c>
      <c r="J283" s="289">
        <f t="shared" si="15"/>
        <v>637.42999999999995</v>
      </c>
      <c r="K283" s="31"/>
    </row>
    <row r="284" spans="1:11" ht="20.2" customHeight="1">
      <c r="A284" s="617"/>
      <c r="B284" s="34"/>
      <c r="C284" s="54" t="s">
        <v>782</v>
      </c>
      <c r="D284" s="26" t="s">
        <v>243</v>
      </c>
      <c r="E284" s="470">
        <f>(1.2-2*0.075+2*0.015)</f>
        <v>1.08</v>
      </c>
      <c r="F284" s="292">
        <v>7.4999999999999997E-2</v>
      </c>
      <c r="G284" s="292">
        <f>1.25*25.4/1000</f>
        <v>3.175E-2</v>
      </c>
      <c r="H284" s="292">
        <f>ROUND(G284*F284*E284*6,3)</f>
        <v>1.4999999999999999E-2</v>
      </c>
      <c r="I284" s="289">
        <v>31076.9</v>
      </c>
      <c r="J284" s="289">
        <f t="shared" si="15"/>
        <v>466.15</v>
      </c>
      <c r="K284" s="31"/>
    </row>
    <row r="285" spans="1:11" ht="20.2" customHeight="1">
      <c r="A285" s="617"/>
      <c r="B285" s="34"/>
      <c r="C285" s="54" t="s">
        <v>783</v>
      </c>
      <c r="D285" s="26" t="s">
        <v>244</v>
      </c>
      <c r="E285" s="289">
        <f>(1.5-3*0.075+6*0.015)/2</f>
        <v>0.6825</v>
      </c>
      <c r="F285" s="292">
        <v>7.4999999999999997E-2</v>
      </c>
      <c r="G285" s="292">
        <f>1.25*25.4/1000</f>
        <v>3.175E-2</v>
      </c>
      <c r="H285" s="292">
        <f>ROUND(9*E285*F285*G285,3)</f>
        <v>1.4999999999999999E-2</v>
      </c>
      <c r="I285" s="289">
        <v>31076.9</v>
      </c>
      <c r="J285" s="289">
        <f t="shared" si="15"/>
        <v>466.15</v>
      </c>
      <c r="K285" s="31"/>
    </row>
    <row r="286" spans="1:11" ht="20.2" customHeight="1">
      <c r="A286" s="617"/>
      <c r="B286" s="34"/>
      <c r="C286" s="54" t="s">
        <v>1481</v>
      </c>
      <c r="D286" s="26" t="s">
        <v>245</v>
      </c>
      <c r="E286" s="289">
        <f>(1.5-4*0.075+6*0.015)/3-2*0.075+2*0.025</f>
        <v>0.33</v>
      </c>
      <c r="F286" s="292">
        <f>(1.2-2*0.075+2*0.015-3*0.075)/2+2*0.025</f>
        <v>0.47750000000000004</v>
      </c>
      <c r="G286" s="292">
        <v>2.5000000000000001E-2</v>
      </c>
      <c r="H286" s="292">
        <f>ROUND(6*E286*F286*G286,3)</f>
        <v>2.4E-2</v>
      </c>
      <c r="I286" s="289">
        <v>31076.9</v>
      </c>
      <c r="J286" s="289">
        <f t="shared" si="15"/>
        <v>745.85</v>
      </c>
      <c r="K286" s="31"/>
    </row>
    <row r="287" spans="1:11" ht="20.2" customHeight="1">
      <c r="A287" s="617"/>
      <c r="B287" s="34"/>
      <c r="C287" s="54" t="s">
        <v>1482</v>
      </c>
      <c r="D287" s="26"/>
      <c r="E287" s="289"/>
      <c r="F287" s="292"/>
      <c r="G287" s="292"/>
      <c r="H287" s="292">
        <f>SUM(H282:H286)</f>
        <v>0.11499999999999999</v>
      </c>
      <c r="I287" s="445">
        <f>G25</f>
        <v>17360</v>
      </c>
      <c r="J287" s="289">
        <f t="shared" si="15"/>
        <v>1996.4</v>
      </c>
      <c r="K287" s="31"/>
    </row>
    <row r="288" spans="1:11" ht="33.299999999999997">
      <c r="A288" s="617" t="s">
        <v>787</v>
      </c>
      <c r="B288" s="19"/>
      <c r="C288" s="54" t="s">
        <v>788</v>
      </c>
      <c r="D288" s="26"/>
      <c r="E288" s="289"/>
      <c r="F288" s="292"/>
      <c r="G288" s="457"/>
      <c r="H288" s="457"/>
      <c r="I288" s="289"/>
      <c r="J288" s="290"/>
      <c r="K288" s="31"/>
    </row>
    <row r="289" spans="1:11" ht="20.2" customHeight="1">
      <c r="A289" s="617"/>
      <c r="B289" s="693"/>
      <c r="C289" s="694" t="s">
        <v>915</v>
      </c>
      <c r="D289" s="695" t="s">
        <v>1035</v>
      </c>
      <c r="E289" s="696" t="s">
        <v>143</v>
      </c>
      <c r="F289" s="696"/>
      <c r="G289" s="462"/>
      <c r="H289" s="716">
        <v>3</v>
      </c>
      <c r="I289" s="471">
        <v>35</v>
      </c>
      <c r="J289" s="289">
        <f t="shared" ref="J289:J294" si="16">ROUND(H289*I289,2)</f>
        <v>105</v>
      </c>
      <c r="K289" s="31"/>
    </row>
    <row r="290" spans="1:11" ht="20.2" customHeight="1">
      <c r="A290" s="617"/>
      <c r="B290" s="693"/>
      <c r="C290" s="694" t="s">
        <v>916</v>
      </c>
      <c r="D290" s="695" t="s">
        <v>1035</v>
      </c>
      <c r="E290" s="696" t="s">
        <v>143</v>
      </c>
      <c r="F290" s="696"/>
      <c r="G290" s="462"/>
      <c r="H290" s="716">
        <v>3</v>
      </c>
      <c r="I290" s="471">
        <v>35</v>
      </c>
      <c r="J290" s="289">
        <f t="shared" si="16"/>
        <v>105</v>
      </c>
      <c r="K290" s="31"/>
    </row>
    <row r="291" spans="1:11" ht="20.2" customHeight="1">
      <c r="A291" s="617"/>
      <c r="B291" s="693"/>
      <c r="C291" s="694" t="s">
        <v>917</v>
      </c>
      <c r="D291" s="695" t="s">
        <v>1035</v>
      </c>
      <c r="E291" s="696" t="s">
        <v>1024</v>
      </c>
      <c r="F291" s="696"/>
      <c r="G291" s="462"/>
      <c r="H291" s="716">
        <v>6</v>
      </c>
      <c r="I291" s="471">
        <v>21</v>
      </c>
      <c r="J291" s="289">
        <f t="shared" si="16"/>
        <v>126</v>
      </c>
      <c r="K291" s="31"/>
    </row>
    <row r="292" spans="1:11" ht="20.2" customHeight="1">
      <c r="A292" s="617"/>
      <c r="B292" s="693"/>
      <c r="C292" s="694" t="s">
        <v>918</v>
      </c>
      <c r="D292" s="695" t="s">
        <v>1035</v>
      </c>
      <c r="E292" s="696" t="s">
        <v>919</v>
      </c>
      <c r="F292" s="696"/>
      <c r="G292" s="462"/>
      <c r="H292" s="716">
        <v>3</v>
      </c>
      <c r="I292" s="471">
        <v>97</v>
      </c>
      <c r="J292" s="289">
        <f t="shared" si="16"/>
        <v>291</v>
      </c>
      <c r="K292" s="31"/>
    </row>
    <row r="293" spans="1:11" ht="20.2" customHeight="1">
      <c r="A293" s="617"/>
      <c r="B293" s="693"/>
      <c r="C293" s="694" t="s">
        <v>799</v>
      </c>
      <c r="D293" s="695" t="s">
        <v>882</v>
      </c>
      <c r="E293" s="696" t="s">
        <v>141</v>
      </c>
      <c r="F293" s="696"/>
      <c r="G293" s="462"/>
      <c r="H293" s="716">
        <v>90</v>
      </c>
      <c r="I293" s="471">
        <v>2</v>
      </c>
      <c r="J293" s="289">
        <f t="shared" si="16"/>
        <v>180</v>
      </c>
      <c r="K293" s="31"/>
    </row>
    <row r="294" spans="1:11" ht="20.2" customHeight="1">
      <c r="A294" s="617"/>
      <c r="B294" s="32"/>
      <c r="C294" s="54" t="s">
        <v>1483</v>
      </c>
      <c r="D294" s="32"/>
      <c r="E294" s="289"/>
      <c r="F294" s="292"/>
      <c r="G294" s="292"/>
      <c r="H294" s="716">
        <v>4</v>
      </c>
      <c r="I294" s="471">
        <v>12</v>
      </c>
      <c r="J294" s="471">
        <f t="shared" si="16"/>
        <v>48</v>
      </c>
      <c r="K294" s="31"/>
    </row>
    <row r="295" spans="1:11" ht="20.2" customHeight="1">
      <c r="A295" s="617"/>
      <c r="B295" s="34"/>
      <c r="C295" s="54" t="s">
        <v>1484</v>
      </c>
      <c r="D295" s="26">
        <v>2.75</v>
      </c>
      <c r="E295" s="289">
        <v>1.5</v>
      </c>
      <c r="F295" s="292"/>
      <c r="G295" s="289">
        <v>1.2</v>
      </c>
      <c r="H295" s="292">
        <f>ROUND(G295*E295*D295,2)</f>
        <v>4.95</v>
      </c>
      <c r="I295" s="452">
        <f>G15</f>
        <v>321.685</v>
      </c>
      <c r="J295" s="205">
        <f>ROUND(H295*I295/10,2)</f>
        <v>159.22999999999999</v>
      </c>
      <c r="K295" s="31"/>
    </row>
    <row r="296" spans="1:11" ht="20.2" customHeight="1">
      <c r="A296" s="617"/>
      <c r="B296" s="34"/>
      <c r="C296" s="451" t="s">
        <v>1306</v>
      </c>
      <c r="D296" s="26" t="s">
        <v>246</v>
      </c>
      <c r="E296" s="289">
        <v>1.5</v>
      </c>
      <c r="F296" s="292">
        <f>E296*10</f>
        <v>15</v>
      </c>
      <c r="G296" s="289">
        <v>1.1299999999999999</v>
      </c>
      <c r="H296" s="292">
        <f>G296*F296</f>
        <v>16.95</v>
      </c>
      <c r="I296" s="465">
        <f>'Lead- Input sheet '!R10/1000</f>
        <v>69.62</v>
      </c>
      <c r="J296" s="289">
        <f>H296*I296</f>
        <v>1180.059</v>
      </c>
      <c r="K296" s="31"/>
    </row>
    <row r="297" spans="1:11" ht="20.2" customHeight="1">
      <c r="A297" s="617"/>
      <c r="B297" s="34"/>
      <c r="C297" s="54" t="s">
        <v>230</v>
      </c>
      <c r="D297" s="26"/>
      <c r="E297" s="289"/>
      <c r="F297" s="292"/>
      <c r="G297" s="292"/>
      <c r="H297" s="716">
        <v>1</v>
      </c>
      <c r="I297" s="289">
        <v>125</v>
      </c>
      <c r="J297" s="289">
        <f>H297*I297</f>
        <v>125</v>
      </c>
      <c r="K297" s="31"/>
    </row>
    <row r="298" spans="1:11" ht="20.2" customHeight="1">
      <c r="A298" s="617"/>
      <c r="B298" s="34"/>
      <c r="D298" s="26"/>
      <c r="E298" s="289"/>
      <c r="F298" s="292"/>
      <c r="G298" s="292"/>
      <c r="H298" s="292"/>
      <c r="I298" s="289"/>
      <c r="J298" s="289">
        <f>SUM(J282:J297)</f>
        <v>7549.1689999999999</v>
      </c>
      <c r="K298" s="31"/>
    </row>
    <row r="299" spans="1:11" s="18" customFormat="1" ht="20.2" customHeight="1">
      <c r="A299" s="617"/>
      <c r="B299" s="40"/>
      <c r="C299" s="54" t="s">
        <v>1228</v>
      </c>
      <c r="D299" s="41"/>
      <c r="E299" s="468"/>
      <c r="F299" s="458"/>
      <c r="G299" s="458"/>
      <c r="H299" s="459">
        <f>J298</f>
        <v>7549.1689999999999</v>
      </c>
      <c r="I299" s="291">
        <f>I6</f>
        <v>0</v>
      </c>
      <c r="J299" s="291">
        <f>ROUND(H299*I299,2)</f>
        <v>0</v>
      </c>
      <c r="K299" s="17"/>
    </row>
    <row r="300" spans="1:11" s="18" customFormat="1" ht="20.2" customHeight="1">
      <c r="A300" s="617"/>
      <c r="B300" s="411"/>
      <c r="C300" s="283" t="s">
        <v>256</v>
      </c>
      <c r="D300" s="412"/>
      <c r="E300" s="469"/>
      <c r="F300" s="460"/>
      <c r="G300" s="460"/>
      <c r="H300" s="461"/>
      <c r="I300" s="446"/>
      <c r="J300" s="446">
        <f>SUM(J298:J299)</f>
        <v>7549.1689999999999</v>
      </c>
      <c r="K300" s="17"/>
    </row>
    <row r="301" spans="1:11">
      <c r="A301" s="617"/>
      <c r="B301" s="34"/>
      <c r="C301" s="55" t="s">
        <v>410</v>
      </c>
      <c r="D301" s="26"/>
      <c r="E301" s="289"/>
      <c r="F301" s="292"/>
      <c r="G301" s="292"/>
      <c r="H301" s="292"/>
      <c r="I301" s="289"/>
      <c r="J301" s="289"/>
      <c r="K301" s="31"/>
    </row>
    <row r="302" spans="1:11">
      <c r="A302" s="617"/>
      <c r="B302" s="34"/>
      <c r="C302" s="54" t="s">
        <v>848</v>
      </c>
      <c r="D302" s="26"/>
      <c r="E302" s="289"/>
      <c r="F302" s="292"/>
      <c r="G302" s="292"/>
      <c r="H302" s="292"/>
      <c r="I302" s="289"/>
      <c r="J302" s="289"/>
      <c r="K302" s="31"/>
    </row>
    <row r="303" spans="1:11" ht="20.2" customHeight="1">
      <c r="A303" s="617"/>
      <c r="B303" s="34"/>
      <c r="C303" s="54" t="s">
        <v>780</v>
      </c>
      <c r="D303" s="26">
        <v>4</v>
      </c>
      <c r="E303" s="289">
        <v>1.2</v>
      </c>
      <c r="F303" s="292">
        <v>0.1</v>
      </c>
      <c r="G303" s="292">
        <v>7.4999999999999997E-2</v>
      </c>
      <c r="H303" s="292">
        <f>ROUND(D303*E303*F303*G303,3)</f>
        <v>3.5999999999999997E-2</v>
      </c>
      <c r="I303" s="289">
        <v>25497.19</v>
      </c>
      <c r="J303" s="289">
        <f>ROUND(H303*I303,2)</f>
        <v>917.9</v>
      </c>
      <c r="K303" s="31"/>
    </row>
    <row r="304" spans="1:11" ht="20.2" customHeight="1">
      <c r="A304" s="617"/>
      <c r="B304" s="34"/>
      <c r="C304" s="54" t="s">
        <v>781</v>
      </c>
      <c r="D304" s="26">
        <v>2</v>
      </c>
      <c r="E304" s="289">
        <v>1.65</v>
      </c>
      <c r="F304" s="292">
        <v>0.1</v>
      </c>
      <c r="G304" s="292">
        <v>7.4999999999999997E-2</v>
      </c>
      <c r="H304" s="292">
        <f>ROUND(D304*E304*F304*G304,3)</f>
        <v>2.5000000000000001E-2</v>
      </c>
      <c r="I304" s="289">
        <v>25497.19</v>
      </c>
      <c r="J304" s="289">
        <f>ROUND(H304*I304,2)</f>
        <v>637.42999999999995</v>
      </c>
      <c r="K304" s="31"/>
    </row>
    <row r="305" spans="1:11" ht="20.2" customHeight="1">
      <c r="A305" s="617"/>
      <c r="B305" s="34"/>
      <c r="C305" s="54" t="s">
        <v>1482</v>
      </c>
      <c r="D305" s="26"/>
      <c r="E305" s="289"/>
      <c r="F305" s="292"/>
      <c r="G305" s="292"/>
      <c r="H305" s="292">
        <f>SUM(H303:H304)</f>
        <v>6.0999999999999999E-2</v>
      </c>
      <c r="I305" s="445">
        <f>G25</f>
        <v>17360</v>
      </c>
      <c r="J305" s="289">
        <f>ROUND(H305*I305,2)</f>
        <v>1058.96</v>
      </c>
      <c r="K305" s="31"/>
    </row>
    <row r="306" spans="1:11" ht="33.299999999999997">
      <c r="A306" s="617" t="s">
        <v>787</v>
      </c>
      <c r="B306" s="19"/>
      <c r="C306" s="54" t="s">
        <v>788</v>
      </c>
      <c r="D306" s="26"/>
      <c r="E306" s="289"/>
      <c r="F306" s="292"/>
      <c r="G306" s="457"/>
      <c r="H306" s="457"/>
      <c r="I306" s="289"/>
      <c r="J306" s="290"/>
      <c r="K306" s="31"/>
    </row>
    <row r="307" spans="1:11" ht="20.2" customHeight="1">
      <c r="A307" s="617"/>
      <c r="B307" s="32"/>
      <c r="C307" s="54" t="s">
        <v>1483</v>
      </c>
      <c r="D307" s="32"/>
      <c r="E307" s="289"/>
      <c r="F307" s="292"/>
      <c r="G307" s="292"/>
      <c r="H307" s="716">
        <v>4</v>
      </c>
      <c r="I307" s="292">
        <v>12</v>
      </c>
      <c r="J307" s="292">
        <f>ROUND(H307*I307,2)</f>
        <v>48</v>
      </c>
      <c r="K307" s="31"/>
    </row>
    <row r="308" spans="1:11" ht="20.2" customHeight="1">
      <c r="A308" s="617"/>
      <c r="B308" s="34"/>
      <c r="C308" s="54" t="s">
        <v>1484</v>
      </c>
      <c r="D308" s="292" t="s">
        <v>544</v>
      </c>
      <c r="E308" s="292">
        <v>1.5</v>
      </c>
      <c r="F308" s="292"/>
      <c r="G308" s="289">
        <v>1.2</v>
      </c>
      <c r="H308" s="292">
        <f>ROUND(G308*E308*2.75/3,2)</f>
        <v>1.65</v>
      </c>
      <c r="I308" s="289">
        <f>G15</f>
        <v>321.685</v>
      </c>
      <c r="J308" s="289">
        <f>ROUND(H308*I308/10,2)</f>
        <v>53.08</v>
      </c>
      <c r="K308" s="31"/>
    </row>
    <row r="309" spans="1:11" ht="20.2" customHeight="1">
      <c r="A309" s="617"/>
      <c r="B309" s="34"/>
      <c r="C309" s="451" t="s">
        <v>1306</v>
      </c>
      <c r="D309" s="26" t="s">
        <v>246</v>
      </c>
      <c r="E309" s="289">
        <v>1.5</v>
      </c>
      <c r="F309" s="292">
        <f>E309*10</f>
        <v>15</v>
      </c>
      <c r="G309" s="289">
        <v>1.1299999999999999</v>
      </c>
      <c r="H309" s="292">
        <f>G309*F309</f>
        <v>16.95</v>
      </c>
      <c r="I309" s="465">
        <f>'Lead- Input sheet '!R10/1000</f>
        <v>69.62</v>
      </c>
      <c r="J309" s="289">
        <f>H309*I309</f>
        <v>1180.059</v>
      </c>
      <c r="K309" s="31"/>
    </row>
    <row r="310" spans="1:11" ht="20.2" customHeight="1">
      <c r="A310" s="617"/>
      <c r="B310" s="34"/>
      <c r="C310" s="54" t="s">
        <v>230</v>
      </c>
      <c r="D310" s="26"/>
      <c r="E310" s="289"/>
      <c r="F310" s="198"/>
      <c r="G310" s="292"/>
      <c r="H310" s="716">
        <v>1</v>
      </c>
      <c r="I310" s="289">
        <v>75</v>
      </c>
      <c r="J310" s="289">
        <f>H310*I310</f>
        <v>75</v>
      </c>
      <c r="K310" s="31"/>
    </row>
    <row r="311" spans="1:11" ht="20.2" customHeight="1">
      <c r="A311" s="617"/>
      <c r="B311" s="34"/>
      <c r="D311" s="26"/>
      <c r="E311" s="289"/>
      <c r="F311" s="292"/>
      <c r="G311" s="292"/>
      <c r="H311" s="292"/>
      <c r="I311" s="289"/>
      <c r="J311" s="289">
        <f>SUM(J303:J310)</f>
        <v>3970.4290000000001</v>
      </c>
      <c r="K311" s="31"/>
    </row>
    <row r="312" spans="1:11" s="18" customFormat="1" ht="20.2" customHeight="1">
      <c r="A312" s="617"/>
      <c r="B312" s="40"/>
      <c r="C312" s="54" t="s">
        <v>1228</v>
      </c>
      <c r="D312" s="41"/>
      <c r="E312" s="468"/>
      <c r="F312" s="458"/>
      <c r="G312" s="458"/>
      <c r="H312" s="459">
        <f>J311</f>
        <v>3970.4290000000001</v>
      </c>
      <c r="I312" s="291">
        <f>I6</f>
        <v>0</v>
      </c>
      <c r="J312" s="289">
        <f>ROUND(H312*I312,2)</f>
        <v>0</v>
      </c>
      <c r="K312" s="17"/>
    </row>
    <row r="313" spans="1:11" s="439" customFormat="1" ht="30" customHeight="1">
      <c r="A313" s="617"/>
      <c r="B313" s="411"/>
      <c r="C313" s="448" t="s">
        <v>411</v>
      </c>
      <c r="D313" s="412"/>
      <c r="E313" s="469"/>
      <c r="F313" s="460"/>
      <c r="G313" s="460"/>
      <c r="H313" s="461"/>
      <c r="I313" s="446"/>
      <c r="J313" s="446">
        <f>SUM(J311:J312)</f>
        <v>3970.4290000000001</v>
      </c>
      <c r="K313" s="447"/>
    </row>
    <row r="314" spans="1:11" s="439" customFormat="1" ht="30" customHeight="1">
      <c r="A314" s="617"/>
      <c r="B314" s="411"/>
      <c r="C314" s="448" t="s">
        <v>412</v>
      </c>
      <c r="D314" s="412"/>
      <c r="E314" s="469"/>
      <c r="F314" s="460"/>
      <c r="G314" s="460"/>
      <c r="H314" s="461"/>
      <c r="I314" s="446"/>
      <c r="J314" s="446">
        <f>J300-J313</f>
        <v>3578.74</v>
      </c>
      <c r="K314" s="447"/>
    </row>
    <row r="315" spans="1:11">
      <c r="A315" s="617"/>
      <c r="E315" s="432"/>
      <c r="F315" s="463"/>
      <c r="G315" s="463"/>
      <c r="H315" s="463"/>
      <c r="I315" s="441"/>
    </row>
    <row r="316" spans="1:11">
      <c r="A316" s="617"/>
      <c r="E316" s="432"/>
      <c r="F316" s="463"/>
      <c r="G316" s="463"/>
      <c r="H316" s="463"/>
      <c r="I316" s="441"/>
    </row>
    <row r="317" spans="1:11">
      <c r="A317" s="617"/>
      <c r="B317" s="496" t="str">
        <f>'Lead- Input sheet '!B44</f>
        <v xml:space="preserve">  Assistant Exc.Engineer  </v>
      </c>
      <c r="C317" s="497"/>
      <c r="D317" s="498" t="str">
        <f>'Lead- Input sheet '!H44</f>
        <v>Deputy Executive Engineer</v>
      </c>
      <c r="E317" s="499"/>
      <c r="F317" s="687"/>
      <c r="G317" s="687"/>
      <c r="H317" s="498"/>
      <c r="I317" s="500"/>
      <c r="J317" s="501"/>
    </row>
    <row r="318" spans="1:11">
      <c r="A318" s="617"/>
      <c r="B318" s="496" t="str">
        <f>'Lead- Input sheet '!B45</f>
        <v>PR MPP Kalwakurthy</v>
      </c>
      <c r="C318" s="497"/>
      <c r="D318" s="498" t="e">
        <f>'Lead- Input sheet '!#REF!</f>
        <v>#REF!</v>
      </c>
      <c r="E318" s="499"/>
      <c r="F318" s="687"/>
      <c r="G318" s="687"/>
      <c r="H318" s="498"/>
      <c r="I318" s="500"/>
      <c r="J318" s="501"/>
    </row>
    <row r="319" spans="1:11">
      <c r="A319" s="617"/>
      <c r="E319" s="432"/>
      <c r="F319" s="463"/>
      <c r="G319" s="463"/>
      <c r="H319" s="463"/>
      <c r="I319" s="441"/>
    </row>
    <row r="320" spans="1:11">
      <c r="A320" s="617"/>
      <c r="E320" s="432"/>
      <c r="F320" s="463"/>
      <c r="G320" s="463"/>
      <c r="H320" s="463"/>
      <c r="I320" s="441"/>
    </row>
    <row r="321" spans="1:9">
      <c r="A321" s="617"/>
      <c r="E321" s="432"/>
      <c r="F321" s="463"/>
      <c r="G321" s="463"/>
      <c r="H321" s="463"/>
      <c r="I321" s="441"/>
    </row>
    <row r="322" spans="1:9">
      <c r="A322" s="617"/>
      <c r="E322" s="432"/>
      <c r="F322" s="463"/>
      <c r="G322" s="463"/>
      <c r="H322" s="463"/>
      <c r="I322" s="441"/>
    </row>
    <row r="323" spans="1:9">
      <c r="A323" s="617"/>
      <c r="E323" s="432"/>
      <c r="F323" s="463"/>
      <c r="G323" s="463"/>
      <c r="H323" s="463"/>
      <c r="I323" s="441"/>
    </row>
    <row r="324" spans="1:9">
      <c r="A324" s="617"/>
      <c r="E324" s="432"/>
      <c r="F324" s="463"/>
      <c r="G324" s="463"/>
      <c r="H324" s="463"/>
      <c r="I324" s="441"/>
    </row>
    <row r="325" spans="1:9">
      <c r="A325" s="617"/>
      <c r="E325" s="432"/>
      <c r="F325" s="463"/>
      <c r="G325" s="463"/>
      <c r="H325" s="463"/>
      <c r="I325" s="441"/>
    </row>
    <row r="326" spans="1:9">
      <c r="A326" s="617"/>
      <c r="E326" s="432"/>
      <c r="F326" s="463"/>
      <c r="G326" s="463"/>
      <c r="H326" s="463"/>
      <c r="I326" s="441"/>
    </row>
    <row r="327" spans="1:9">
      <c r="A327" s="617"/>
      <c r="E327" s="432"/>
      <c r="F327" s="463"/>
      <c r="G327" s="463"/>
      <c r="H327" s="463"/>
      <c r="I327" s="441"/>
    </row>
    <row r="328" spans="1:9">
      <c r="A328" s="617"/>
      <c r="E328" s="432"/>
      <c r="F328" s="463"/>
      <c r="G328" s="463"/>
      <c r="H328" s="463"/>
      <c r="I328" s="441"/>
    </row>
    <row r="329" spans="1:9">
      <c r="A329" s="617"/>
      <c r="E329" s="432"/>
      <c r="F329" s="463"/>
      <c r="G329" s="463"/>
      <c r="H329" s="463"/>
      <c r="I329" s="441"/>
    </row>
    <row r="330" spans="1:9">
      <c r="A330" s="617"/>
      <c r="E330" s="432"/>
      <c r="F330" s="463"/>
      <c r="G330" s="463"/>
      <c r="H330" s="463"/>
      <c r="I330" s="441"/>
    </row>
    <row r="331" spans="1:9">
      <c r="A331" s="617"/>
      <c r="E331" s="432"/>
      <c r="F331" s="463"/>
      <c r="G331" s="463"/>
      <c r="H331" s="463"/>
      <c r="I331" s="441"/>
    </row>
    <row r="332" spans="1:9">
      <c r="A332" s="617"/>
      <c r="E332" s="432"/>
      <c r="F332" s="463"/>
      <c r="G332" s="463"/>
      <c r="H332" s="463"/>
      <c r="I332" s="441"/>
    </row>
    <row r="333" spans="1:9">
      <c r="A333" s="617"/>
      <c r="E333" s="432"/>
      <c r="F333" s="463"/>
      <c r="G333" s="463"/>
      <c r="H333" s="463"/>
      <c r="I333" s="441"/>
    </row>
    <row r="334" spans="1:9">
      <c r="A334" s="617"/>
      <c r="E334" s="432"/>
      <c r="F334" s="463"/>
      <c r="G334" s="463"/>
      <c r="H334" s="463"/>
      <c r="I334" s="441"/>
    </row>
    <row r="335" spans="1:9">
      <c r="A335" s="617"/>
      <c r="E335" s="432"/>
      <c r="F335" s="463"/>
      <c r="G335" s="463"/>
      <c r="H335" s="463"/>
      <c r="I335" s="441"/>
    </row>
    <row r="336" spans="1:9">
      <c r="A336" s="617"/>
      <c r="E336" s="432"/>
      <c r="F336" s="463"/>
      <c r="G336" s="463"/>
      <c r="H336" s="463"/>
      <c r="I336" s="441"/>
    </row>
    <row r="337" spans="1:9">
      <c r="A337" s="617"/>
      <c r="E337" s="432"/>
      <c r="F337" s="463"/>
      <c r="G337" s="463"/>
      <c r="H337" s="463"/>
      <c r="I337" s="441"/>
    </row>
    <row r="338" spans="1:9">
      <c r="A338" s="617"/>
      <c r="E338" s="432"/>
      <c r="F338" s="463"/>
      <c r="G338" s="463"/>
      <c r="H338" s="463"/>
      <c r="I338" s="441"/>
    </row>
    <row r="339" spans="1:9">
      <c r="A339" s="617"/>
      <c r="E339" s="432"/>
      <c r="F339" s="463"/>
      <c r="G339" s="463"/>
      <c r="H339" s="463"/>
      <c r="I339" s="441"/>
    </row>
    <row r="340" spans="1:9">
      <c r="A340" s="617"/>
      <c r="E340" s="432"/>
      <c r="F340" s="463"/>
      <c r="G340" s="463"/>
      <c r="H340" s="463"/>
      <c r="I340" s="441"/>
    </row>
    <row r="341" spans="1:9">
      <c r="A341" s="617"/>
      <c r="E341" s="432"/>
      <c r="F341" s="463"/>
      <c r="G341" s="463"/>
      <c r="H341" s="463"/>
      <c r="I341" s="441"/>
    </row>
    <row r="342" spans="1:9">
      <c r="A342" s="617"/>
      <c r="E342" s="432"/>
      <c r="F342" s="463"/>
      <c r="G342" s="463"/>
      <c r="H342" s="463"/>
      <c r="I342" s="441"/>
    </row>
    <row r="343" spans="1:9">
      <c r="A343" s="617"/>
      <c r="E343" s="432"/>
      <c r="F343" s="463"/>
      <c r="G343" s="463"/>
      <c r="H343" s="463"/>
      <c r="I343" s="441"/>
    </row>
    <row r="344" spans="1:9">
      <c r="A344" s="617"/>
      <c r="E344" s="432"/>
      <c r="F344" s="463"/>
      <c r="G344" s="463"/>
      <c r="H344" s="463"/>
      <c r="I344" s="441"/>
    </row>
    <row r="345" spans="1:9">
      <c r="A345" s="617"/>
      <c r="E345" s="432"/>
      <c r="F345" s="463"/>
      <c r="G345" s="463"/>
      <c r="H345" s="463"/>
      <c r="I345" s="441"/>
    </row>
    <row r="346" spans="1:9">
      <c r="A346" s="617"/>
      <c r="E346" s="432"/>
      <c r="F346" s="463"/>
      <c r="G346" s="463"/>
      <c r="H346" s="463"/>
      <c r="I346" s="441"/>
    </row>
    <row r="347" spans="1:9">
      <c r="A347" s="617"/>
      <c r="E347" s="432"/>
      <c r="F347" s="463"/>
      <c r="G347" s="463"/>
      <c r="H347" s="463"/>
      <c r="I347" s="441"/>
    </row>
    <row r="348" spans="1:9">
      <c r="A348" s="617"/>
      <c r="E348" s="432"/>
      <c r="F348" s="463"/>
      <c r="G348" s="463"/>
      <c r="H348" s="463"/>
      <c r="I348" s="441"/>
    </row>
    <row r="349" spans="1:9">
      <c r="A349" s="617"/>
      <c r="E349" s="432"/>
      <c r="F349" s="463"/>
      <c r="G349" s="463"/>
      <c r="H349" s="463"/>
      <c r="I349" s="441"/>
    </row>
    <row r="350" spans="1:9">
      <c r="A350" s="617"/>
      <c r="E350" s="432"/>
      <c r="F350" s="463"/>
      <c r="G350" s="463"/>
      <c r="H350" s="463"/>
      <c r="I350" s="441"/>
    </row>
    <row r="351" spans="1:9">
      <c r="A351" s="617"/>
      <c r="E351" s="432"/>
      <c r="F351" s="463"/>
      <c r="G351" s="463"/>
      <c r="H351" s="463"/>
      <c r="I351" s="441"/>
    </row>
    <row r="352" spans="1:9">
      <c r="A352" s="617"/>
      <c r="E352" s="432"/>
      <c r="F352" s="463"/>
      <c r="G352" s="463"/>
      <c r="H352" s="463"/>
      <c r="I352" s="441"/>
    </row>
    <row r="353" spans="1:9">
      <c r="A353" s="617"/>
      <c r="E353" s="432"/>
      <c r="F353" s="463"/>
      <c r="G353" s="463"/>
      <c r="H353" s="463"/>
      <c r="I353" s="441"/>
    </row>
    <row r="354" spans="1:9">
      <c r="A354" s="617"/>
      <c r="E354" s="432"/>
      <c r="F354" s="463"/>
      <c r="G354" s="463"/>
      <c r="H354" s="463"/>
      <c r="I354" s="441"/>
    </row>
    <row r="355" spans="1:9">
      <c r="A355" s="617"/>
      <c r="E355" s="432"/>
      <c r="F355" s="463"/>
      <c r="G355" s="463"/>
      <c r="H355" s="463"/>
      <c r="I355" s="441"/>
    </row>
    <row r="356" spans="1:9">
      <c r="A356" s="617"/>
      <c r="E356" s="432"/>
      <c r="F356" s="463"/>
      <c r="G356" s="463"/>
      <c r="H356" s="463"/>
      <c r="I356" s="441"/>
    </row>
    <row r="357" spans="1:9">
      <c r="A357" s="617"/>
      <c r="E357" s="432"/>
      <c r="F357" s="463"/>
      <c r="G357" s="463"/>
      <c r="H357" s="463"/>
      <c r="I357" s="441"/>
    </row>
    <row r="358" spans="1:9">
      <c r="A358" s="617"/>
      <c r="E358" s="432"/>
      <c r="F358" s="463"/>
      <c r="G358" s="463"/>
      <c r="H358" s="463"/>
      <c r="I358" s="441"/>
    </row>
    <row r="359" spans="1:9">
      <c r="A359" s="617"/>
      <c r="E359" s="432"/>
      <c r="F359" s="463"/>
      <c r="G359" s="463"/>
      <c r="H359" s="463"/>
      <c r="I359" s="441"/>
    </row>
    <row r="360" spans="1:9">
      <c r="A360" s="617"/>
      <c r="E360" s="432"/>
      <c r="F360" s="463"/>
      <c r="G360" s="463"/>
      <c r="H360" s="463"/>
      <c r="I360" s="441"/>
    </row>
    <row r="361" spans="1:9">
      <c r="A361" s="617"/>
      <c r="E361" s="432"/>
      <c r="F361" s="463"/>
      <c r="G361" s="463"/>
      <c r="H361" s="463"/>
      <c r="I361" s="441"/>
    </row>
    <row r="362" spans="1:9">
      <c r="A362" s="617"/>
      <c r="E362" s="432"/>
      <c r="F362" s="463"/>
      <c r="G362" s="463"/>
      <c r="H362" s="463"/>
      <c r="I362" s="441"/>
    </row>
    <row r="363" spans="1:9">
      <c r="A363" s="617"/>
      <c r="E363" s="432"/>
      <c r="F363" s="463"/>
      <c r="G363" s="463"/>
      <c r="H363" s="463"/>
      <c r="I363" s="441"/>
    </row>
    <row r="364" spans="1:9">
      <c r="A364" s="617"/>
      <c r="E364" s="432"/>
      <c r="F364" s="463"/>
      <c r="G364" s="463"/>
      <c r="H364" s="463"/>
      <c r="I364" s="441"/>
    </row>
    <row r="365" spans="1:9">
      <c r="A365" s="617"/>
      <c r="E365" s="432"/>
      <c r="F365" s="463"/>
      <c r="G365" s="463"/>
      <c r="H365" s="463"/>
      <c r="I365" s="441"/>
    </row>
    <row r="366" spans="1:9">
      <c r="A366" s="617"/>
      <c r="E366" s="432"/>
      <c r="F366" s="463"/>
      <c r="G366" s="463"/>
      <c r="H366" s="463"/>
      <c r="I366" s="441"/>
    </row>
    <row r="367" spans="1:9">
      <c r="A367" s="617"/>
      <c r="E367" s="432"/>
      <c r="F367" s="463"/>
      <c r="G367" s="463"/>
      <c r="H367" s="463"/>
      <c r="I367" s="441"/>
    </row>
    <row r="368" spans="1:9">
      <c r="A368" s="617"/>
      <c r="E368" s="432"/>
      <c r="F368" s="463"/>
      <c r="G368" s="463"/>
      <c r="H368" s="463"/>
      <c r="I368" s="441"/>
    </row>
    <row r="369" spans="1:9">
      <c r="A369" s="617"/>
      <c r="E369" s="432"/>
      <c r="F369" s="463"/>
      <c r="G369" s="463"/>
      <c r="H369" s="463"/>
      <c r="I369" s="441"/>
    </row>
    <row r="370" spans="1:9">
      <c r="A370" s="617"/>
      <c r="E370" s="432"/>
      <c r="F370" s="463"/>
      <c r="G370" s="463"/>
      <c r="H370" s="463"/>
      <c r="I370" s="441"/>
    </row>
    <row r="371" spans="1:9">
      <c r="A371" s="617"/>
      <c r="E371" s="432"/>
      <c r="F371" s="463"/>
      <c r="G371" s="463"/>
      <c r="H371" s="463"/>
      <c r="I371" s="441"/>
    </row>
    <row r="372" spans="1:9">
      <c r="A372" s="617"/>
      <c r="E372" s="432"/>
      <c r="F372" s="463"/>
      <c r="G372" s="463"/>
      <c r="H372" s="463"/>
      <c r="I372" s="441"/>
    </row>
    <row r="373" spans="1:9">
      <c r="A373" s="617"/>
      <c r="E373" s="432"/>
      <c r="F373" s="463"/>
      <c r="G373" s="463"/>
      <c r="H373" s="463"/>
      <c r="I373" s="441"/>
    </row>
    <row r="374" spans="1:9">
      <c r="A374" s="617"/>
      <c r="E374" s="432"/>
      <c r="F374" s="463"/>
      <c r="G374" s="463"/>
      <c r="H374" s="463"/>
      <c r="I374" s="441"/>
    </row>
    <row r="375" spans="1:9">
      <c r="A375" s="617"/>
      <c r="E375" s="432"/>
      <c r="F375" s="463"/>
      <c r="G375" s="463"/>
      <c r="H375" s="463"/>
      <c r="I375" s="441"/>
    </row>
    <row r="376" spans="1:9">
      <c r="A376" s="617"/>
      <c r="E376" s="432"/>
      <c r="F376" s="463"/>
      <c r="G376" s="463"/>
      <c r="H376" s="463"/>
      <c r="I376" s="441"/>
    </row>
    <row r="377" spans="1:9">
      <c r="A377" s="617"/>
      <c r="E377" s="432"/>
      <c r="F377" s="463"/>
      <c r="G377" s="463"/>
      <c r="H377" s="463"/>
      <c r="I377" s="441"/>
    </row>
    <row r="378" spans="1:9">
      <c r="A378" s="617"/>
      <c r="E378" s="432"/>
      <c r="F378" s="463"/>
      <c r="G378" s="463"/>
      <c r="H378" s="463"/>
      <c r="I378" s="441"/>
    </row>
    <row r="379" spans="1:9">
      <c r="A379" s="617"/>
      <c r="E379" s="432"/>
      <c r="F379" s="463"/>
      <c r="G379" s="463"/>
      <c r="H379" s="463"/>
      <c r="I379" s="441"/>
    </row>
    <row r="380" spans="1:9">
      <c r="A380" s="617"/>
      <c r="E380" s="432"/>
      <c r="F380" s="463"/>
      <c r="G380" s="463"/>
      <c r="H380" s="463"/>
      <c r="I380" s="441"/>
    </row>
    <row r="381" spans="1:9">
      <c r="A381" s="617"/>
      <c r="E381" s="432"/>
      <c r="F381" s="463"/>
      <c r="G381" s="463"/>
      <c r="H381" s="463"/>
      <c r="I381" s="441"/>
    </row>
    <row r="382" spans="1:9">
      <c r="A382" s="617"/>
      <c r="E382" s="432"/>
      <c r="F382" s="463"/>
      <c r="G382" s="463"/>
      <c r="H382" s="463"/>
      <c r="I382" s="441"/>
    </row>
    <row r="383" spans="1:9">
      <c r="A383" s="617"/>
      <c r="E383" s="432"/>
      <c r="F383" s="463"/>
      <c r="G383" s="463"/>
      <c r="H383" s="463"/>
      <c r="I383" s="441"/>
    </row>
    <row r="384" spans="1:9">
      <c r="A384" s="617"/>
      <c r="E384" s="432"/>
      <c r="F384" s="463"/>
      <c r="G384" s="463"/>
      <c r="H384" s="463"/>
      <c r="I384" s="441"/>
    </row>
    <row r="385" spans="1:9">
      <c r="A385" s="617"/>
      <c r="E385" s="432"/>
      <c r="F385" s="463"/>
      <c r="G385" s="463"/>
      <c r="H385" s="463"/>
      <c r="I385" s="441"/>
    </row>
    <row r="386" spans="1:9">
      <c r="A386" s="617"/>
      <c r="E386" s="432"/>
      <c r="F386" s="463"/>
      <c r="G386" s="463"/>
      <c r="H386" s="463"/>
      <c r="I386" s="441"/>
    </row>
    <row r="387" spans="1:9">
      <c r="A387" s="617"/>
      <c r="E387" s="432"/>
      <c r="F387" s="463"/>
      <c r="G387" s="463"/>
      <c r="H387" s="463"/>
      <c r="I387" s="441"/>
    </row>
    <row r="388" spans="1:9">
      <c r="A388" s="617"/>
      <c r="E388" s="432"/>
      <c r="F388" s="463"/>
      <c r="G388" s="463"/>
      <c r="H388" s="463"/>
      <c r="I388" s="441"/>
    </row>
    <row r="389" spans="1:9">
      <c r="A389" s="617"/>
      <c r="E389" s="432"/>
      <c r="F389" s="463"/>
      <c r="G389" s="463"/>
      <c r="H389" s="463"/>
      <c r="I389" s="441"/>
    </row>
    <row r="390" spans="1:9">
      <c r="A390" s="617"/>
      <c r="E390" s="432"/>
      <c r="F390" s="463"/>
      <c r="G390" s="463"/>
      <c r="H390" s="463"/>
      <c r="I390" s="441"/>
    </row>
    <row r="391" spans="1:9">
      <c r="A391" s="617"/>
      <c r="E391" s="432"/>
      <c r="F391" s="463"/>
      <c r="G391" s="463"/>
      <c r="H391" s="463"/>
      <c r="I391" s="441"/>
    </row>
    <row r="392" spans="1:9">
      <c r="A392" s="617"/>
      <c r="E392" s="432"/>
      <c r="F392" s="463"/>
      <c r="G392" s="463"/>
      <c r="H392" s="463"/>
      <c r="I392" s="441"/>
    </row>
    <row r="393" spans="1:9">
      <c r="A393" s="617"/>
      <c r="E393" s="432"/>
      <c r="F393" s="463"/>
      <c r="G393" s="463"/>
      <c r="H393" s="463"/>
      <c r="I393" s="441"/>
    </row>
    <row r="394" spans="1:9">
      <c r="A394" s="617"/>
      <c r="E394" s="432"/>
      <c r="F394" s="463"/>
      <c r="G394" s="463"/>
      <c r="H394" s="463"/>
      <c r="I394" s="441"/>
    </row>
    <row r="395" spans="1:9">
      <c r="A395" s="617"/>
      <c r="E395" s="432"/>
      <c r="F395" s="463"/>
      <c r="G395" s="463"/>
      <c r="H395" s="463"/>
      <c r="I395" s="441"/>
    </row>
    <row r="396" spans="1:9">
      <c r="A396" s="617"/>
      <c r="E396" s="432"/>
      <c r="F396" s="463"/>
      <c r="G396" s="463"/>
      <c r="H396" s="463"/>
      <c r="I396" s="441"/>
    </row>
    <row r="397" spans="1:9">
      <c r="A397" s="617"/>
      <c r="E397" s="432"/>
      <c r="F397" s="463"/>
      <c r="G397" s="463"/>
      <c r="H397" s="463"/>
      <c r="I397" s="441"/>
    </row>
    <row r="398" spans="1:9">
      <c r="A398" s="617"/>
      <c r="E398" s="432"/>
      <c r="F398" s="463"/>
      <c r="G398" s="463"/>
      <c r="H398" s="463"/>
      <c r="I398" s="441"/>
    </row>
    <row r="399" spans="1:9">
      <c r="A399" s="617"/>
      <c r="E399" s="432"/>
      <c r="F399" s="463"/>
      <c r="G399" s="463"/>
      <c r="H399" s="463"/>
      <c r="I399" s="441"/>
    </row>
    <row r="400" spans="1:9">
      <c r="A400" s="617"/>
      <c r="E400" s="432"/>
      <c r="F400" s="463"/>
      <c r="G400" s="463"/>
      <c r="H400" s="463"/>
      <c r="I400" s="441"/>
    </row>
    <row r="401" spans="1:9">
      <c r="A401" s="617"/>
      <c r="E401" s="432"/>
      <c r="F401" s="463"/>
      <c r="G401" s="463"/>
      <c r="H401" s="463"/>
      <c r="I401" s="441"/>
    </row>
    <row r="402" spans="1:9">
      <c r="A402" s="617"/>
      <c r="E402" s="432"/>
      <c r="F402" s="463"/>
      <c r="G402" s="463"/>
      <c r="H402" s="463"/>
      <c r="I402" s="441"/>
    </row>
    <row r="403" spans="1:9">
      <c r="A403" s="617"/>
      <c r="E403" s="432"/>
      <c r="F403" s="463"/>
      <c r="G403" s="463"/>
      <c r="H403" s="463"/>
      <c r="I403" s="441"/>
    </row>
    <row r="404" spans="1:9">
      <c r="A404" s="617"/>
      <c r="E404" s="432"/>
      <c r="F404" s="463"/>
      <c r="G404" s="463"/>
      <c r="H404" s="463"/>
      <c r="I404" s="441"/>
    </row>
    <row r="405" spans="1:9">
      <c r="A405" s="617"/>
      <c r="E405" s="432"/>
      <c r="F405" s="463"/>
      <c r="G405" s="463"/>
      <c r="H405" s="463"/>
      <c r="I405" s="441"/>
    </row>
    <row r="406" spans="1:9">
      <c r="A406" s="617"/>
      <c r="E406" s="432"/>
      <c r="F406" s="463"/>
      <c r="G406" s="463"/>
      <c r="H406" s="463"/>
      <c r="I406" s="441"/>
    </row>
    <row r="407" spans="1:9">
      <c r="A407" s="617"/>
      <c r="E407" s="432"/>
      <c r="F407" s="463"/>
      <c r="G407" s="463"/>
      <c r="H407" s="463"/>
      <c r="I407" s="441"/>
    </row>
    <row r="408" spans="1:9">
      <c r="A408" s="617"/>
      <c r="E408" s="432"/>
      <c r="F408" s="463"/>
      <c r="G408" s="463"/>
      <c r="H408" s="463"/>
      <c r="I408" s="441"/>
    </row>
    <row r="409" spans="1:9">
      <c r="A409" s="617"/>
      <c r="E409" s="432"/>
      <c r="F409" s="463"/>
      <c r="G409" s="463"/>
      <c r="H409" s="463"/>
      <c r="I409" s="441"/>
    </row>
    <row r="410" spans="1:9">
      <c r="A410" s="617"/>
      <c r="E410" s="432"/>
      <c r="F410" s="463"/>
      <c r="G410" s="463"/>
      <c r="H410" s="463"/>
      <c r="I410" s="441"/>
    </row>
    <row r="411" spans="1:9">
      <c r="A411" s="617"/>
      <c r="E411" s="432"/>
      <c r="F411" s="463"/>
      <c r="G411" s="463"/>
      <c r="H411" s="463"/>
      <c r="I411" s="441"/>
    </row>
    <row r="412" spans="1:9">
      <c r="A412" s="617"/>
      <c r="E412" s="432"/>
      <c r="F412" s="463"/>
      <c r="G412" s="463"/>
      <c r="H412" s="463"/>
      <c r="I412" s="441"/>
    </row>
    <row r="413" spans="1:9">
      <c r="A413" s="617"/>
      <c r="E413" s="432"/>
      <c r="F413" s="463"/>
      <c r="G413" s="463"/>
      <c r="H413" s="463"/>
      <c r="I413" s="441"/>
    </row>
    <row r="414" spans="1:9">
      <c r="A414" s="617"/>
      <c r="E414" s="432"/>
      <c r="F414" s="463"/>
      <c r="G414" s="463"/>
      <c r="H414" s="463"/>
      <c r="I414" s="441"/>
    </row>
    <row r="415" spans="1:9">
      <c r="A415" s="617"/>
      <c r="E415" s="432"/>
      <c r="F415" s="463"/>
      <c r="G415" s="463"/>
      <c r="H415" s="463"/>
      <c r="I415" s="441"/>
    </row>
    <row r="416" spans="1:9">
      <c r="A416" s="617"/>
      <c r="E416" s="432"/>
      <c r="F416" s="463"/>
      <c r="G416" s="463"/>
      <c r="H416" s="463"/>
      <c r="I416" s="441"/>
    </row>
    <row r="417" spans="1:9">
      <c r="A417" s="617"/>
      <c r="E417" s="432"/>
      <c r="F417" s="463"/>
      <c r="G417" s="463"/>
      <c r="H417" s="463"/>
      <c r="I417" s="441"/>
    </row>
    <row r="418" spans="1:9">
      <c r="A418" s="617"/>
      <c r="E418" s="432"/>
      <c r="F418" s="463"/>
      <c r="G418" s="463"/>
      <c r="H418" s="463"/>
      <c r="I418" s="441"/>
    </row>
    <row r="419" spans="1:9">
      <c r="A419" s="617"/>
      <c r="E419" s="432"/>
      <c r="F419" s="463"/>
      <c r="G419" s="463"/>
      <c r="H419" s="463"/>
      <c r="I419" s="441"/>
    </row>
    <row r="420" spans="1:9">
      <c r="A420" s="617"/>
      <c r="E420" s="432"/>
      <c r="F420" s="463"/>
      <c r="G420" s="463"/>
      <c r="H420" s="463"/>
      <c r="I420" s="441"/>
    </row>
    <row r="421" spans="1:9">
      <c r="A421" s="617"/>
      <c r="E421" s="432"/>
      <c r="F421" s="463"/>
      <c r="G421" s="463"/>
      <c r="H421" s="463"/>
      <c r="I421" s="441"/>
    </row>
    <row r="422" spans="1:9">
      <c r="A422" s="617"/>
      <c r="E422" s="432"/>
      <c r="F422" s="463"/>
      <c r="G422" s="463"/>
      <c r="H422" s="463"/>
      <c r="I422" s="441"/>
    </row>
    <row r="423" spans="1:9">
      <c r="A423" s="617"/>
      <c r="E423" s="432"/>
      <c r="F423" s="463"/>
      <c r="G423" s="463"/>
      <c r="H423" s="463"/>
      <c r="I423" s="441"/>
    </row>
    <row r="424" spans="1:9">
      <c r="A424" s="617"/>
      <c r="E424" s="432"/>
      <c r="F424" s="463"/>
      <c r="G424" s="463"/>
      <c r="H424" s="463"/>
      <c r="I424" s="441"/>
    </row>
    <row r="425" spans="1:9">
      <c r="A425" s="617"/>
      <c r="E425" s="432"/>
      <c r="F425" s="463"/>
      <c r="G425" s="463"/>
      <c r="H425" s="463"/>
      <c r="I425" s="441"/>
    </row>
    <row r="426" spans="1:9">
      <c r="A426" s="617"/>
      <c r="E426" s="432"/>
      <c r="F426" s="463"/>
      <c r="G426" s="463"/>
      <c r="H426" s="463"/>
      <c r="I426" s="441"/>
    </row>
    <row r="427" spans="1:9">
      <c r="A427" s="617"/>
      <c r="E427" s="432"/>
      <c r="F427" s="463"/>
      <c r="G427" s="463"/>
      <c r="H427" s="463"/>
      <c r="I427" s="441"/>
    </row>
    <row r="428" spans="1:9">
      <c r="A428" s="617"/>
      <c r="E428" s="432"/>
      <c r="F428" s="463"/>
      <c r="G428" s="463"/>
      <c r="H428" s="463"/>
      <c r="I428" s="441"/>
    </row>
    <row r="429" spans="1:9">
      <c r="A429" s="617"/>
      <c r="E429" s="432"/>
      <c r="F429" s="463"/>
      <c r="G429" s="463"/>
      <c r="H429" s="463"/>
      <c r="I429" s="441"/>
    </row>
    <row r="430" spans="1:9">
      <c r="A430" s="617"/>
      <c r="E430" s="432"/>
      <c r="F430" s="463"/>
      <c r="G430" s="463"/>
      <c r="H430" s="463"/>
      <c r="I430" s="441"/>
    </row>
    <row r="431" spans="1:9">
      <c r="A431" s="617"/>
      <c r="E431" s="432"/>
      <c r="F431" s="463"/>
      <c r="G431" s="463"/>
      <c r="H431" s="463"/>
      <c r="I431" s="441"/>
    </row>
    <row r="432" spans="1:9">
      <c r="A432" s="617"/>
      <c r="E432" s="432"/>
      <c r="F432" s="463"/>
      <c r="G432" s="463"/>
      <c r="H432" s="463"/>
      <c r="I432" s="441"/>
    </row>
    <row r="433" spans="1:9">
      <c r="A433" s="617"/>
      <c r="E433" s="432"/>
      <c r="F433" s="463"/>
      <c r="G433" s="463"/>
      <c r="H433" s="463"/>
      <c r="I433" s="441"/>
    </row>
    <row r="434" spans="1:9">
      <c r="A434" s="617"/>
      <c r="E434" s="432"/>
      <c r="F434" s="463"/>
      <c r="G434" s="463"/>
      <c r="H434" s="463"/>
      <c r="I434" s="441"/>
    </row>
    <row r="435" spans="1:9">
      <c r="A435" s="617"/>
      <c r="E435" s="432"/>
      <c r="F435" s="463"/>
      <c r="G435" s="463"/>
      <c r="H435" s="463"/>
      <c r="I435" s="441"/>
    </row>
    <row r="436" spans="1:9">
      <c r="A436" s="617"/>
      <c r="E436" s="432"/>
      <c r="F436" s="463"/>
      <c r="G436" s="463"/>
      <c r="H436" s="463"/>
      <c r="I436" s="441"/>
    </row>
    <row r="437" spans="1:9">
      <c r="A437" s="617"/>
      <c r="E437" s="432"/>
      <c r="F437" s="463"/>
      <c r="G437" s="463"/>
      <c r="H437" s="463"/>
      <c r="I437" s="441"/>
    </row>
    <row r="438" spans="1:9">
      <c r="A438" s="617"/>
      <c r="E438" s="432"/>
      <c r="F438" s="463"/>
      <c r="G438" s="463"/>
      <c r="H438" s="463"/>
      <c r="I438" s="441"/>
    </row>
    <row r="439" spans="1:9">
      <c r="A439" s="617"/>
      <c r="E439" s="432"/>
      <c r="F439" s="463"/>
      <c r="G439" s="463"/>
      <c r="H439" s="463"/>
      <c r="I439" s="441"/>
    </row>
    <row r="440" spans="1:9">
      <c r="A440" s="617"/>
      <c r="E440" s="432"/>
      <c r="F440" s="463"/>
      <c r="G440" s="463"/>
      <c r="H440" s="463"/>
      <c r="I440" s="441"/>
    </row>
    <row r="441" spans="1:9">
      <c r="A441" s="617"/>
      <c r="E441" s="432"/>
      <c r="F441" s="463"/>
      <c r="G441" s="463"/>
      <c r="H441" s="463"/>
      <c r="I441" s="441"/>
    </row>
    <row r="442" spans="1:9">
      <c r="A442" s="617"/>
      <c r="E442" s="432"/>
      <c r="F442" s="463"/>
      <c r="G442" s="463"/>
      <c r="H442" s="463"/>
      <c r="I442" s="441"/>
    </row>
    <row r="443" spans="1:9">
      <c r="A443" s="617"/>
      <c r="E443" s="432"/>
      <c r="F443" s="463"/>
      <c r="G443" s="463"/>
      <c r="H443" s="463"/>
      <c r="I443" s="441"/>
    </row>
    <row r="444" spans="1:9">
      <c r="A444" s="617"/>
      <c r="E444" s="432"/>
      <c r="F444" s="463"/>
      <c r="G444" s="463"/>
      <c r="H444" s="463"/>
      <c r="I444" s="441"/>
    </row>
    <row r="445" spans="1:9">
      <c r="A445" s="617"/>
      <c r="E445" s="432"/>
      <c r="F445" s="463"/>
      <c r="G445" s="463"/>
      <c r="H445" s="463"/>
      <c r="I445" s="441"/>
    </row>
    <row r="446" spans="1:9">
      <c r="A446" s="617"/>
      <c r="E446" s="432"/>
      <c r="F446" s="463"/>
      <c r="G446" s="463"/>
      <c r="H446" s="463"/>
      <c r="I446" s="441"/>
    </row>
    <row r="447" spans="1:9">
      <c r="A447" s="617"/>
      <c r="E447" s="432"/>
      <c r="F447" s="463"/>
      <c r="G447" s="463"/>
      <c r="H447" s="463"/>
      <c r="I447" s="441"/>
    </row>
    <row r="448" spans="1:9">
      <c r="A448" s="617"/>
      <c r="E448" s="432"/>
      <c r="F448" s="463"/>
      <c r="G448" s="463"/>
      <c r="H448" s="463"/>
      <c r="I448" s="441"/>
    </row>
    <row r="449" spans="1:9">
      <c r="A449" s="617"/>
      <c r="E449" s="432"/>
      <c r="F449" s="463"/>
      <c r="G449" s="463"/>
      <c r="H449" s="463"/>
      <c r="I449" s="441"/>
    </row>
    <row r="450" spans="1:9">
      <c r="A450" s="617"/>
      <c r="E450" s="432"/>
      <c r="F450" s="463"/>
      <c r="G450" s="463"/>
      <c r="H450" s="463"/>
      <c r="I450" s="441"/>
    </row>
    <row r="451" spans="1:9">
      <c r="A451" s="617"/>
      <c r="E451" s="432"/>
      <c r="F451" s="463"/>
      <c r="G451" s="463"/>
      <c r="H451" s="463"/>
      <c r="I451" s="441"/>
    </row>
    <row r="452" spans="1:9">
      <c r="A452" s="617"/>
      <c r="E452" s="432"/>
      <c r="F452" s="463"/>
      <c r="G452" s="463"/>
      <c r="H452" s="463"/>
      <c r="I452" s="441"/>
    </row>
    <row r="453" spans="1:9">
      <c r="A453" s="617"/>
      <c r="E453" s="432"/>
      <c r="F453" s="463"/>
      <c r="G453" s="463"/>
      <c r="H453" s="463"/>
      <c r="I453" s="441"/>
    </row>
    <row r="454" spans="1:9">
      <c r="A454" s="617"/>
      <c r="E454" s="432"/>
      <c r="F454" s="463"/>
      <c r="G454" s="463"/>
      <c r="H454" s="463"/>
      <c r="I454" s="441"/>
    </row>
    <row r="455" spans="1:9">
      <c r="A455" s="617"/>
      <c r="E455" s="432"/>
      <c r="F455" s="463"/>
      <c r="G455" s="463"/>
      <c r="H455" s="463"/>
      <c r="I455" s="441"/>
    </row>
    <row r="456" spans="1:9">
      <c r="A456" s="617"/>
      <c r="E456" s="432"/>
      <c r="F456" s="463"/>
      <c r="G456" s="463"/>
      <c r="H456" s="463"/>
      <c r="I456" s="441"/>
    </row>
    <row r="457" spans="1:9">
      <c r="A457" s="617"/>
      <c r="E457" s="432"/>
      <c r="F457" s="463"/>
      <c r="G457" s="463"/>
      <c r="H457" s="463"/>
      <c r="I457" s="441"/>
    </row>
    <row r="458" spans="1:9">
      <c r="A458" s="617"/>
      <c r="E458" s="432"/>
      <c r="F458" s="463"/>
      <c r="G458" s="463"/>
      <c r="H458" s="463"/>
      <c r="I458" s="441"/>
    </row>
    <row r="459" spans="1:9">
      <c r="A459" s="617"/>
      <c r="E459" s="432"/>
      <c r="F459" s="463"/>
      <c r="G459" s="463"/>
      <c r="H459" s="463"/>
      <c r="I459" s="441"/>
    </row>
    <row r="460" spans="1:9">
      <c r="A460" s="617"/>
      <c r="E460" s="432"/>
      <c r="F460" s="463"/>
      <c r="G460" s="463"/>
      <c r="H460" s="463"/>
      <c r="I460" s="441"/>
    </row>
    <row r="461" spans="1:9">
      <c r="A461" s="617"/>
      <c r="E461" s="432"/>
      <c r="F461" s="463"/>
      <c r="G461" s="463"/>
      <c r="H461" s="463"/>
      <c r="I461" s="441"/>
    </row>
    <row r="462" spans="1:9">
      <c r="A462" s="617"/>
      <c r="E462" s="432"/>
      <c r="F462" s="463"/>
      <c r="G462" s="463"/>
      <c r="H462" s="463"/>
      <c r="I462" s="441"/>
    </row>
    <row r="463" spans="1:9">
      <c r="A463" s="617"/>
      <c r="E463" s="432"/>
      <c r="F463" s="463"/>
      <c r="G463" s="463"/>
      <c r="H463" s="463"/>
      <c r="I463" s="441"/>
    </row>
    <row r="464" spans="1:9">
      <c r="A464" s="617"/>
      <c r="E464" s="432"/>
      <c r="F464" s="463"/>
      <c r="G464" s="463"/>
      <c r="H464" s="463"/>
      <c r="I464" s="441"/>
    </row>
    <row r="465" spans="1:9">
      <c r="A465" s="617"/>
      <c r="E465" s="432"/>
      <c r="F465" s="463"/>
      <c r="G465" s="463"/>
      <c r="H465" s="463"/>
      <c r="I465" s="441"/>
    </row>
    <row r="466" spans="1:9">
      <c r="A466" s="617"/>
      <c r="E466" s="432"/>
      <c r="F466" s="463"/>
      <c r="G466" s="463"/>
      <c r="H466" s="463"/>
      <c r="I466" s="441"/>
    </row>
    <row r="467" spans="1:9">
      <c r="A467" s="617"/>
      <c r="E467" s="432"/>
      <c r="F467" s="463"/>
      <c r="G467" s="463"/>
      <c r="H467" s="463"/>
      <c r="I467" s="441"/>
    </row>
    <row r="468" spans="1:9">
      <c r="A468" s="617"/>
      <c r="E468" s="432"/>
      <c r="F468" s="463"/>
      <c r="G468" s="463"/>
      <c r="H468" s="463"/>
      <c r="I468" s="441"/>
    </row>
    <row r="469" spans="1:9">
      <c r="A469" s="617"/>
      <c r="E469" s="432"/>
      <c r="F469" s="463"/>
      <c r="G469" s="463"/>
      <c r="H469" s="463"/>
      <c r="I469" s="441"/>
    </row>
    <row r="470" spans="1:9">
      <c r="A470" s="617"/>
      <c r="E470" s="432"/>
      <c r="F470" s="463"/>
      <c r="G470" s="463"/>
      <c r="H470" s="463"/>
      <c r="I470" s="441"/>
    </row>
    <row r="471" spans="1:9">
      <c r="A471" s="617"/>
      <c r="E471" s="432"/>
      <c r="F471" s="463"/>
      <c r="G471" s="463"/>
      <c r="H471" s="463"/>
      <c r="I471" s="441"/>
    </row>
    <row r="472" spans="1:9">
      <c r="A472" s="617"/>
      <c r="E472" s="432"/>
      <c r="F472" s="463"/>
      <c r="G472" s="463"/>
      <c r="H472" s="463"/>
      <c r="I472" s="441"/>
    </row>
    <row r="473" spans="1:9">
      <c r="A473" s="617"/>
      <c r="E473" s="432"/>
      <c r="F473" s="463"/>
      <c r="G473" s="463"/>
      <c r="H473" s="463"/>
      <c r="I473" s="441"/>
    </row>
    <row r="474" spans="1:9">
      <c r="A474" s="617"/>
      <c r="E474" s="432"/>
      <c r="F474" s="463"/>
      <c r="G474" s="463"/>
      <c r="H474" s="463"/>
      <c r="I474" s="441"/>
    </row>
    <row r="475" spans="1:9">
      <c r="A475" s="617"/>
      <c r="E475" s="432"/>
      <c r="F475" s="463"/>
      <c r="G475" s="463"/>
      <c r="H475" s="463"/>
      <c r="I475" s="441"/>
    </row>
    <row r="476" spans="1:9">
      <c r="A476" s="617"/>
      <c r="E476" s="432"/>
      <c r="F476" s="463"/>
      <c r="G476" s="463"/>
      <c r="H476" s="463"/>
      <c r="I476" s="441"/>
    </row>
    <row r="477" spans="1:9">
      <c r="A477" s="617"/>
      <c r="E477" s="432"/>
      <c r="F477" s="463"/>
      <c r="G477" s="463"/>
      <c r="H477" s="463"/>
      <c r="I477" s="441"/>
    </row>
    <row r="478" spans="1:9">
      <c r="A478" s="617"/>
      <c r="E478" s="432"/>
      <c r="F478" s="463"/>
      <c r="G478" s="463"/>
      <c r="H478" s="463"/>
      <c r="I478" s="441"/>
    </row>
    <row r="479" spans="1:9">
      <c r="A479" s="617"/>
      <c r="E479" s="432"/>
      <c r="F479" s="463"/>
      <c r="G479" s="463"/>
      <c r="H479" s="463"/>
      <c r="I479" s="441"/>
    </row>
    <row r="480" spans="1:9">
      <c r="A480" s="617"/>
      <c r="E480" s="432"/>
      <c r="F480" s="463"/>
      <c r="G480" s="463"/>
      <c r="H480" s="463"/>
      <c r="I480" s="441"/>
    </row>
    <row r="481" spans="1:9">
      <c r="A481" s="617"/>
      <c r="E481" s="432"/>
      <c r="F481" s="463"/>
      <c r="G481" s="463"/>
      <c r="H481" s="463"/>
      <c r="I481" s="441"/>
    </row>
    <row r="482" spans="1:9">
      <c r="A482" s="617"/>
      <c r="E482" s="432"/>
      <c r="F482" s="463"/>
      <c r="G482" s="463"/>
      <c r="H482" s="463"/>
      <c r="I482" s="441"/>
    </row>
    <row r="483" spans="1:9">
      <c r="A483" s="617"/>
      <c r="E483" s="432"/>
      <c r="F483" s="463"/>
      <c r="G483" s="463"/>
      <c r="H483" s="463"/>
      <c r="I483" s="441"/>
    </row>
    <row r="484" spans="1:9">
      <c r="A484" s="617"/>
      <c r="E484" s="432"/>
      <c r="F484" s="463"/>
      <c r="G484" s="463"/>
      <c r="H484" s="463"/>
      <c r="I484" s="441"/>
    </row>
    <row r="485" spans="1:9">
      <c r="A485" s="617"/>
      <c r="E485" s="432"/>
      <c r="F485" s="463"/>
      <c r="G485" s="463"/>
      <c r="H485" s="463"/>
      <c r="I485" s="441"/>
    </row>
    <row r="486" spans="1:9">
      <c r="A486" s="617"/>
      <c r="E486" s="432"/>
      <c r="F486" s="463"/>
      <c r="G486" s="463"/>
      <c r="H486" s="463"/>
      <c r="I486" s="441"/>
    </row>
    <row r="487" spans="1:9">
      <c r="A487" s="617"/>
      <c r="E487" s="432"/>
      <c r="F487" s="463"/>
      <c r="G487" s="463"/>
      <c r="H487" s="463"/>
      <c r="I487" s="441"/>
    </row>
    <row r="488" spans="1:9">
      <c r="A488" s="617"/>
      <c r="E488" s="432"/>
      <c r="F488" s="463"/>
      <c r="G488" s="463"/>
      <c r="H488" s="463"/>
      <c r="I488" s="441"/>
    </row>
    <row r="489" spans="1:9">
      <c r="A489" s="617"/>
      <c r="E489" s="432"/>
      <c r="F489" s="463"/>
      <c r="G489" s="463"/>
      <c r="H489" s="463"/>
      <c r="I489" s="441"/>
    </row>
    <row r="490" spans="1:9">
      <c r="A490" s="617"/>
      <c r="E490" s="432"/>
      <c r="F490" s="463"/>
      <c r="G490" s="463"/>
      <c r="H490" s="463"/>
      <c r="I490" s="441"/>
    </row>
    <row r="491" spans="1:9">
      <c r="A491" s="617"/>
      <c r="E491" s="432"/>
      <c r="F491" s="463"/>
      <c r="G491" s="463"/>
      <c r="H491" s="463"/>
      <c r="I491" s="441"/>
    </row>
    <row r="492" spans="1:9">
      <c r="A492" s="617"/>
      <c r="E492" s="432"/>
      <c r="F492" s="463"/>
      <c r="G492" s="463"/>
      <c r="H492" s="463"/>
      <c r="I492" s="441"/>
    </row>
    <row r="493" spans="1:9">
      <c r="A493" s="617"/>
      <c r="E493" s="432"/>
      <c r="F493" s="463"/>
      <c r="G493" s="463"/>
      <c r="H493" s="463"/>
      <c r="I493" s="441"/>
    </row>
    <row r="494" spans="1:9">
      <c r="A494" s="617"/>
      <c r="E494" s="432"/>
      <c r="F494" s="463"/>
      <c r="G494" s="463"/>
      <c r="H494" s="463"/>
      <c r="I494" s="441"/>
    </row>
    <row r="495" spans="1:9">
      <c r="A495" s="617"/>
      <c r="E495" s="432"/>
      <c r="F495" s="463"/>
      <c r="G495" s="463"/>
      <c r="H495" s="463"/>
      <c r="I495" s="441"/>
    </row>
    <row r="496" spans="1:9">
      <c r="A496" s="617"/>
      <c r="E496" s="432"/>
      <c r="F496" s="463"/>
      <c r="G496" s="463"/>
      <c r="H496" s="463"/>
      <c r="I496" s="441"/>
    </row>
    <row r="497" spans="1:9">
      <c r="A497" s="617"/>
      <c r="E497" s="432"/>
      <c r="F497" s="463"/>
      <c r="G497" s="463"/>
      <c r="H497" s="463"/>
      <c r="I497" s="441"/>
    </row>
    <row r="498" spans="1:9">
      <c r="A498" s="617"/>
      <c r="E498" s="432"/>
      <c r="F498" s="463"/>
      <c r="G498" s="463"/>
      <c r="H498" s="463"/>
      <c r="I498" s="441"/>
    </row>
    <row r="499" spans="1:9">
      <c r="A499" s="617"/>
      <c r="E499" s="432"/>
      <c r="F499" s="463"/>
      <c r="G499" s="463"/>
      <c r="H499" s="463"/>
      <c r="I499" s="441"/>
    </row>
    <row r="500" spans="1:9">
      <c r="A500" s="617"/>
      <c r="E500" s="432"/>
      <c r="F500" s="463"/>
      <c r="G500" s="463"/>
      <c r="H500" s="463"/>
      <c r="I500" s="441"/>
    </row>
    <row r="501" spans="1:9">
      <c r="A501" s="617"/>
      <c r="E501" s="432"/>
      <c r="F501" s="463"/>
      <c r="G501" s="463"/>
      <c r="H501" s="463"/>
      <c r="I501" s="441"/>
    </row>
    <row r="502" spans="1:9">
      <c r="A502" s="617"/>
      <c r="E502" s="432"/>
      <c r="F502" s="463"/>
      <c r="G502" s="463"/>
      <c r="H502" s="463"/>
      <c r="I502" s="441"/>
    </row>
    <row r="503" spans="1:9">
      <c r="A503" s="617"/>
      <c r="E503" s="432"/>
      <c r="F503" s="463"/>
      <c r="G503" s="463"/>
      <c r="H503" s="463"/>
      <c r="I503" s="441"/>
    </row>
    <row r="504" spans="1:9">
      <c r="A504" s="617"/>
      <c r="E504" s="432"/>
      <c r="F504" s="463"/>
      <c r="G504" s="463"/>
      <c r="H504" s="463"/>
      <c r="I504" s="441"/>
    </row>
    <row r="505" spans="1:9">
      <c r="A505" s="617"/>
      <c r="E505" s="432"/>
      <c r="F505" s="463"/>
      <c r="G505" s="463"/>
      <c r="H505" s="463"/>
      <c r="I505" s="441"/>
    </row>
    <row r="506" spans="1:9">
      <c r="A506" s="617"/>
      <c r="E506" s="432"/>
      <c r="F506" s="463"/>
      <c r="G506" s="463"/>
      <c r="H506" s="463"/>
      <c r="I506" s="441"/>
    </row>
    <row r="507" spans="1:9">
      <c r="E507" s="432"/>
      <c r="F507" s="463"/>
      <c r="G507" s="463"/>
      <c r="H507" s="463"/>
      <c r="I507" s="441"/>
    </row>
    <row r="508" spans="1:9">
      <c r="E508" s="432"/>
      <c r="F508" s="463"/>
      <c r="G508" s="463"/>
      <c r="H508" s="463"/>
      <c r="I508" s="441"/>
    </row>
    <row r="509" spans="1:9">
      <c r="E509" s="432"/>
      <c r="F509" s="463"/>
      <c r="G509" s="463"/>
      <c r="H509" s="463"/>
      <c r="I509" s="441"/>
    </row>
    <row r="510" spans="1:9">
      <c r="E510" s="432"/>
      <c r="F510" s="463"/>
      <c r="G510" s="463"/>
      <c r="H510" s="463"/>
      <c r="I510" s="441"/>
    </row>
    <row r="511" spans="1:9">
      <c r="E511" s="432"/>
      <c r="F511" s="463"/>
      <c r="G511" s="463"/>
      <c r="H511" s="463"/>
      <c r="I511" s="441"/>
    </row>
    <row r="512" spans="1:9">
      <c r="E512" s="432"/>
      <c r="F512" s="463"/>
      <c r="G512" s="463"/>
      <c r="H512" s="463"/>
      <c r="I512" s="441"/>
    </row>
    <row r="513" spans="5:9">
      <c r="E513" s="432"/>
      <c r="F513" s="463"/>
      <c r="G513" s="463"/>
      <c r="H513" s="463"/>
      <c r="I513" s="441"/>
    </row>
    <row r="514" spans="5:9">
      <c r="E514" s="432"/>
      <c r="F514" s="463"/>
      <c r="G514" s="463"/>
      <c r="H514" s="463"/>
      <c r="I514" s="441"/>
    </row>
    <row r="515" spans="5:9">
      <c r="E515" s="432"/>
      <c r="F515" s="463"/>
      <c r="G515" s="463"/>
      <c r="H515" s="463"/>
      <c r="I515" s="441"/>
    </row>
    <row r="516" spans="5:9">
      <c r="E516" s="432"/>
      <c r="F516" s="463"/>
      <c r="G516" s="463"/>
      <c r="H516" s="463"/>
      <c r="I516" s="441"/>
    </row>
    <row r="517" spans="5:9">
      <c r="E517" s="432"/>
      <c r="F517" s="463"/>
      <c r="G517" s="463"/>
      <c r="H517" s="463"/>
      <c r="I517" s="441"/>
    </row>
    <row r="518" spans="5:9">
      <c r="E518" s="432"/>
      <c r="F518" s="463"/>
      <c r="G518" s="463"/>
      <c r="H518" s="463"/>
      <c r="I518" s="441"/>
    </row>
    <row r="519" spans="5:9">
      <c r="E519" s="432"/>
      <c r="F519" s="463"/>
      <c r="G519" s="463"/>
      <c r="H519" s="463"/>
      <c r="I519" s="441"/>
    </row>
    <row r="520" spans="5:9">
      <c r="E520" s="432"/>
      <c r="F520" s="463"/>
      <c r="G520" s="463"/>
      <c r="H520" s="463"/>
      <c r="I520" s="441"/>
    </row>
    <row r="521" spans="5:9">
      <c r="E521" s="432"/>
      <c r="F521" s="463"/>
      <c r="G521" s="463"/>
      <c r="H521" s="463"/>
      <c r="I521" s="441"/>
    </row>
    <row r="522" spans="5:9">
      <c r="E522" s="432"/>
      <c r="F522" s="463"/>
      <c r="G522" s="463"/>
      <c r="H522" s="463"/>
      <c r="I522" s="441"/>
    </row>
    <row r="523" spans="5:9">
      <c r="E523" s="432"/>
      <c r="F523" s="463"/>
      <c r="G523" s="463"/>
      <c r="H523" s="463"/>
      <c r="I523" s="441"/>
    </row>
    <row r="524" spans="5:9">
      <c r="E524" s="432"/>
      <c r="F524" s="463"/>
      <c r="G524" s="463"/>
      <c r="H524" s="463"/>
      <c r="I524" s="441"/>
    </row>
    <row r="525" spans="5:9">
      <c r="E525" s="432"/>
      <c r="F525" s="463"/>
      <c r="G525" s="463"/>
      <c r="H525" s="463"/>
      <c r="I525" s="441"/>
    </row>
    <row r="526" spans="5:9">
      <c r="E526" s="432"/>
      <c r="F526" s="463"/>
      <c r="G526" s="463"/>
      <c r="H526" s="463"/>
      <c r="I526" s="441"/>
    </row>
    <row r="527" spans="5:9">
      <c r="E527" s="432"/>
      <c r="F527" s="463"/>
      <c r="G527" s="463"/>
      <c r="H527" s="463"/>
      <c r="I527" s="441"/>
    </row>
    <row r="528" spans="5:9">
      <c r="E528" s="432"/>
      <c r="F528" s="463"/>
      <c r="G528" s="463"/>
      <c r="H528" s="463"/>
      <c r="I528" s="441"/>
    </row>
    <row r="529" spans="5:9">
      <c r="E529" s="432"/>
      <c r="F529" s="463"/>
      <c r="G529" s="463"/>
      <c r="H529" s="463"/>
      <c r="I529" s="441"/>
    </row>
    <row r="530" spans="5:9">
      <c r="E530" s="432"/>
      <c r="F530" s="463"/>
      <c r="G530" s="463"/>
      <c r="H530" s="463"/>
      <c r="I530" s="441"/>
    </row>
    <row r="531" spans="5:9">
      <c r="E531" s="432"/>
      <c r="F531" s="463"/>
      <c r="G531" s="463"/>
      <c r="H531" s="463"/>
      <c r="I531" s="441"/>
    </row>
    <row r="532" spans="5:9">
      <c r="E532" s="432"/>
      <c r="F532" s="463"/>
      <c r="G532" s="463"/>
      <c r="H532" s="463"/>
      <c r="I532" s="441"/>
    </row>
    <row r="533" spans="5:9">
      <c r="E533" s="432"/>
      <c r="F533" s="463"/>
      <c r="G533" s="463"/>
      <c r="H533" s="463"/>
      <c r="I533" s="441"/>
    </row>
    <row r="534" spans="5:9">
      <c r="E534" s="432"/>
      <c r="F534" s="463"/>
      <c r="G534" s="463"/>
      <c r="H534" s="463"/>
      <c r="I534" s="441"/>
    </row>
    <row r="535" spans="5:9">
      <c r="E535" s="432"/>
      <c r="F535" s="463"/>
      <c r="G535" s="463"/>
      <c r="H535" s="463"/>
      <c r="I535" s="441"/>
    </row>
    <row r="536" spans="5:9">
      <c r="E536" s="432"/>
      <c r="F536" s="463"/>
      <c r="G536" s="463"/>
      <c r="H536" s="463"/>
      <c r="I536" s="441"/>
    </row>
    <row r="537" spans="5:9">
      <c r="E537" s="432"/>
      <c r="F537" s="463"/>
      <c r="G537" s="463"/>
      <c r="H537" s="463"/>
      <c r="I537" s="441"/>
    </row>
    <row r="538" spans="5:9">
      <c r="E538" s="432"/>
      <c r="F538" s="463"/>
      <c r="G538" s="463"/>
      <c r="H538" s="463"/>
      <c r="I538" s="441"/>
    </row>
    <row r="539" spans="5:9">
      <c r="E539" s="432"/>
      <c r="F539" s="463"/>
      <c r="G539" s="463"/>
      <c r="H539" s="463"/>
      <c r="I539" s="441"/>
    </row>
    <row r="540" spans="5:9">
      <c r="E540" s="432"/>
      <c r="F540" s="463"/>
      <c r="G540" s="463"/>
      <c r="H540" s="463"/>
      <c r="I540" s="441"/>
    </row>
    <row r="541" spans="5:9">
      <c r="E541" s="432"/>
      <c r="F541" s="463"/>
      <c r="G541" s="463"/>
      <c r="H541" s="463"/>
      <c r="I541" s="441"/>
    </row>
    <row r="542" spans="5:9">
      <c r="E542" s="432"/>
      <c r="F542" s="463"/>
      <c r="G542" s="463"/>
      <c r="H542" s="463"/>
      <c r="I542" s="441"/>
    </row>
    <row r="543" spans="5:9">
      <c r="E543" s="432"/>
      <c r="F543" s="463"/>
      <c r="G543" s="463"/>
      <c r="H543" s="463"/>
      <c r="I543" s="441"/>
    </row>
    <row r="544" spans="5:9">
      <c r="E544" s="432"/>
      <c r="F544" s="463"/>
      <c r="G544" s="463"/>
      <c r="H544" s="463"/>
      <c r="I544" s="441"/>
    </row>
    <row r="545" spans="5:9">
      <c r="E545" s="432"/>
      <c r="F545" s="463"/>
      <c r="G545" s="463"/>
      <c r="H545" s="463"/>
      <c r="I545" s="441"/>
    </row>
    <row r="546" spans="5:9">
      <c r="E546" s="432"/>
      <c r="F546" s="463"/>
      <c r="G546" s="463"/>
      <c r="H546" s="463"/>
      <c r="I546" s="441"/>
    </row>
    <row r="547" spans="5:9">
      <c r="E547" s="432"/>
      <c r="F547" s="463"/>
      <c r="G547" s="463"/>
      <c r="H547" s="463"/>
      <c r="I547" s="441"/>
    </row>
    <row r="548" spans="5:9">
      <c r="E548" s="432"/>
      <c r="F548" s="463"/>
      <c r="G548" s="463"/>
      <c r="H548" s="463"/>
      <c r="I548" s="441"/>
    </row>
    <row r="549" spans="5:9">
      <c r="E549" s="432"/>
      <c r="F549" s="463"/>
      <c r="G549" s="463"/>
      <c r="H549" s="463"/>
      <c r="I549" s="441"/>
    </row>
    <row r="550" spans="5:9">
      <c r="E550" s="432"/>
      <c r="F550" s="463"/>
      <c r="G550" s="463"/>
      <c r="H550" s="463"/>
      <c r="I550" s="441"/>
    </row>
    <row r="551" spans="5:9">
      <c r="E551" s="432"/>
      <c r="F551" s="463"/>
      <c r="G551" s="463"/>
      <c r="H551" s="463"/>
      <c r="I551" s="441"/>
    </row>
    <row r="552" spans="5:9">
      <c r="E552" s="432"/>
      <c r="F552" s="463"/>
      <c r="G552" s="463"/>
      <c r="H552" s="463"/>
      <c r="I552" s="441"/>
    </row>
    <row r="553" spans="5:9">
      <c r="E553" s="432"/>
      <c r="F553" s="463"/>
      <c r="G553" s="463"/>
      <c r="H553" s="463"/>
      <c r="I553" s="441"/>
    </row>
    <row r="554" spans="5:9">
      <c r="E554" s="432"/>
      <c r="F554" s="463"/>
      <c r="G554" s="463"/>
      <c r="H554" s="463"/>
      <c r="I554" s="441"/>
    </row>
    <row r="555" spans="5:9">
      <c r="E555" s="432"/>
      <c r="F555" s="463"/>
      <c r="G555" s="463"/>
      <c r="H555" s="463"/>
      <c r="I555" s="441"/>
    </row>
    <row r="556" spans="5:9">
      <c r="E556" s="432"/>
      <c r="F556" s="463"/>
      <c r="G556" s="463"/>
      <c r="H556" s="463"/>
      <c r="I556" s="441"/>
    </row>
    <row r="557" spans="5:9">
      <c r="E557" s="432"/>
      <c r="F557" s="463"/>
      <c r="G557" s="463"/>
      <c r="H557" s="463"/>
      <c r="I557" s="441"/>
    </row>
    <row r="558" spans="5:9">
      <c r="E558" s="432"/>
      <c r="F558" s="463"/>
      <c r="G558" s="463"/>
      <c r="H558" s="463"/>
      <c r="I558" s="441"/>
    </row>
    <row r="559" spans="5:9">
      <c r="E559" s="432"/>
      <c r="F559" s="463"/>
      <c r="G559" s="463"/>
      <c r="H559" s="463"/>
      <c r="I559" s="441"/>
    </row>
    <row r="560" spans="5:9">
      <c r="E560" s="432"/>
      <c r="F560" s="463"/>
      <c r="G560" s="463"/>
      <c r="H560" s="463"/>
      <c r="I560" s="441"/>
    </row>
    <row r="561" spans="5:9">
      <c r="E561" s="432"/>
      <c r="F561" s="463"/>
      <c r="G561" s="463"/>
      <c r="H561" s="463"/>
      <c r="I561" s="441"/>
    </row>
    <row r="562" spans="5:9">
      <c r="E562" s="432"/>
      <c r="F562" s="463"/>
      <c r="G562" s="463"/>
      <c r="H562" s="463"/>
      <c r="I562" s="441"/>
    </row>
    <row r="563" spans="5:9">
      <c r="E563" s="432"/>
      <c r="F563" s="463"/>
      <c r="G563" s="463"/>
      <c r="H563" s="463"/>
      <c r="I563" s="441"/>
    </row>
    <row r="564" spans="5:9">
      <c r="E564" s="432"/>
      <c r="F564" s="463"/>
      <c r="G564" s="463"/>
      <c r="H564" s="463"/>
      <c r="I564" s="441"/>
    </row>
    <row r="565" spans="5:9">
      <c r="E565" s="432"/>
      <c r="F565" s="463"/>
      <c r="G565" s="463"/>
      <c r="H565" s="463"/>
      <c r="I565" s="441"/>
    </row>
    <row r="566" spans="5:9">
      <c r="E566" s="432"/>
      <c r="F566" s="463"/>
      <c r="G566" s="463"/>
      <c r="H566" s="463"/>
      <c r="I566" s="441"/>
    </row>
    <row r="567" spans="5:9">
      <c r="E567" s="432"/>
      <c r="F567" s="463"/>
      <c r="G567" s="463"/>
      <c r="H567" s="463"/>
      <c r="I567" s="441"/>
    </row>
    <row r="568" spans="5:9">
      <c r="E568" s="432"/>
      <c r="F568" s="463"/>
      <c r="G568" s="463"/>
      <c r="H568" s="463"/>
      <c r="I568" s="441"/>
    </row>
    <row r="569" spans="5:9">
      <c r="E569" s="432"/>
      <c r="F569" s="463"/>
      <c r="G569" s="463"/>
      <c r="H569" s="463"/>
      <c r="I569" s="441"/>
    </row>
    <row r="570" spans="5:9">
      <c r="E570" s="432"/>
      <c r="F570" s="463"/>
      <c r="G570" s="463"/>
      <c r="H570" s="463"/>
      <c r="I570" s="441"/>
    </row>
    <row r="571" spans="5:9">
      <c r="E571" s="432"/>
      <c r="F571" s="463"/>
      <c r="G571" s="463"/>
      <c r="H571" s="463"/>
      <c r="I571" s="441"/>
    </row>
    <row r="572" spans="5:9">
      <c r="E572" s="432"/>
      <c r="F572" s="463"/>
      <c r="G572" s="463"/>
      <c r="H572" s="463"/>
      <c r="I572" s="441"/>
    </row>
    <row r="573" spans="5:9">
      <c r="E573" s="432"/>
      <c r="F573" s="463"/>
      <c r="G573" s="463"/>
      <c r="H573" s="463"/>
      <c r="I573" s="441"/>
    </row>
    <row r="574" spans="5:9">
      <c r="E574" s="432"/>
      <c r="F574" s="463"/>
      <c r="G574" s="463"/>
      <c r="H574" s="463"/>
      <c r="I574" s="441"/>
    </row>
    <row r="575" spans="5:9">
      <c r="E575" s="432"/>
      <c r="F575" s="463"/>
      <c r="G575" s="463"/>
      <c r="H575" s="463"/>
      <c r="I575" s="441"/>
    </row>
    <row r="576" spans="5:9">
      <c r="E576" s="432"/>
      <c r="F576" s="463"/>
      <c r="G576" s="463"/>
      <c r="H576" s="463"/>
      <c r="I576" s="441"/>
    </row>
    <row r="577" spans="5:9">
      <c r="E577" s="432"/>
      <c r="F577" s="463"/>
      <c r="G577" s="463"/>
      <c r="H577" s="463"/>
      <c r="I577" s="441"/>
    </row>
    <row r="578" spans="5:9">
      <c r="E578" s="432"/>
      <c r="F578" s="463"/>
      <c r="G578" s="463"/>
      <c r="H578" s="463"/>
      <c r="I578" s="441"/>
    </row>
    <row r="579" spans="5:9">
      <c r="E579" s="432"/>
      <c r="F579" s="463"/>
      <c r="G579" s="463"/>
      <c r="H579" s="463"/>
      <c r="I579" s="441"/>
    </row>
    <row r="580" spans="5:9">
      <c r="E580" s="432"/>
      <c r="F580" s="463"/>
      <c r="G580" s="463"/>
      <c r="H580" s="463"/>
      <c r="I580" s="441"/>
    </row>
    <row r="581" spans="5:9">
      <c r="E581" s="432"/>
      <c r="F581" s="463"/>
      <c r="G581" s="463"/>
      <c r="H581" s="463"/>
      <c r="I581" s="441"/>
    </row>
    <row r="582" spans="5:9">
      <c r="E582" s="432"/>
      <c r="F582" s="463"/>
      <c r="G582" s="463"/>
      <c r="H582" s="463"/>
      <c r="I582" s="441"/>
    </row>
    <row r="583" spans="5:9">
      <c r="E583" s="432"/>
      <c r="F583" s="463"/>
      <c r="G583" s="463"/>
      <c r="H583" s="463"/>
      <c r="I583" s="441"/>
    </row>
    <row r="584" spans="5:9">
      <c r="E584" s="432"/>
      <c r="F584" s="463"/>
      <c r="G584" s="463"/>
      <c r="H584" s="463"/>
      <c r="I584" s="441"/>
    </row>
  </sheetData>
  <mergeCells count="2">
    <mergeCell ref="A1:J1"/>
    <mergeCell ref="A2:J2"/>
  </mergeCells>
  <printOptions horizontalCentered="1"/>
  <pageMargins left="0.24" right="0.1" top="0.5" bottom="0.4" header="0.23622047244094499" footer="0.15748031496063"/>
  <pageSetup paperSize="9" scale="90" orientation="portrait" r:id="rId1"/>
  <headerFooter alignWithMargins="0">
    <oddFooter>&amp;C&amp;P&amp;R&amp;A</oddFooter>
  </headerFooter>
  <rowBreaks count="1" manualBreakCount="1">
    <brk id="279" max="9" man="1"/>
  </row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IV1084"/>
  <sheetViews>
    <sheetView zoomScale="120" zoomScaleNormal="120" zoomScaleSheetLayoutView="75" workbookViewId="0">
      <pane ySplit="4" topLeftCell="A5" activePane="bottomLeft" state="frozen"/>
      <selection pane="bottomLeft" activeCell="A2" sqref="A2:G2"/>
    </sheetView>
  </sheetViews>
  <sheetFormatPr defaultColWidth="13.88671875" defaultRowHeight="12.9"/>
  <cols>
    <col min="1" max="1" width="10.109375" style="47" customWidth="1"/>
    <col min="2" max="2" width="5.33203125" style="14" customWidth="1"/>
    <col min="3" max="3" width="51.5546875" style="12" customWidth="1"/>
    <col min="4" max="4" width="5.109375" style="62" customWidth="1"/>
    <col min="5" max="5" width="7.5546875" style="10" customWidth="1"/>
    <col min="6" max="6" width="8.109375" style="10" customWidth="1"/>
    <col min="7" max="7" width="9.6640625" style="516" customWidth="1"/>
    <col min="8" max="8" width="11.109375" style="663" customWidth="1"/>
    <col min="9" max="9" width="7.5546875" style="152" customWidth="1"/>
    <col min="10" max="256" width="13.88671875" style="3"/>
  </cols>
  <sheetData>
    <row r="1" spans="1:10" ht="20.2" customHeight="1">
      <c r="A1" s="2685" t="s">
        <v>1921</v>
      </c>
      <c r="B1" s="2685"/>
      <c r="C1" s="2685"/>
      <c r="D1" s="2685"/>
      <c r="E1" s="2685"/>
      <c r="F1" s="2685"/>
      <c r="G1" s="2685"/>
      <c r="H1" s="652"/>
      <c r="I1" s="297"/>
      <c r="J1" s="48"/>
    </row>
    <row r="2" spans="1:10" ht="33.75" customHeight="1">
      <c r="A2" s="2685" t="str">
        <f>'Lead- Input sheet '!A2</f>
        <v xml:space="preserve"> Construction of  Anganwadi Building at Jeedipally Thanda (V) of Kalwakurthy (M) of Nagarkurnool District </v>
      </c>
      <c r="B2" s="2685"/>
      <c r="C2" s="2685"/>
      <c r="D2" s="2685"/>
      <c r="E2" s="2685"/>
      <c r="F2" s="2685"/>
      <c r="G2" s="2685"/>
      <c r="H2" s="2685"/>
      <c r="I2" s="2685"/>
      <c r="J2" s="2685"/>
    </row>
    <row r="3" spans="1:10" s="4" customFormat="1" ht="25.8">
      <c r="A3" s="301" t="s">
        <v>1107</v>
      </c>
      <c r="B3" s="302" t="s">
        <v>148</v>
      </c>
      <c r="C3" s="49" t="s">
        <v>517</v>
      </c>
      <c r="D3" s="303" t="s">
        <v>1034</v>
      </c>
      <c r="E3" s="50" t="s">
        <v>858</v>
      </c>
      <c r="F3" s="50" t="s">
        <v>149</v>
      </c>
      <c r="G3" s="515" t="s">
        <v>150</v>
      </c>
      <c r="H3" s="653"/>
      <c r="I3" s="298"/>
    </row>
    <row r="4" spans="1:10" s="972" customFormat="1">
      <c r="A4" s="967"/>
      <c r="B4" s="101">
        <v>1</v>
      </c>
      <c r="C4" s="101">
        <v>2</v>
      </c>
      <c r="D4" s="968">
        <v>3</v>
      </c>
      <c r="E4" s="101">
        <v>4</v>
      </c>
      <c r="F4" s="101">
        <v>5</v>
      </c>
      <c r="G4" s="969">
        <v>6</v>
      </c>
      <c r="H4" s="970"/>
      <c r="I4" s="971"/>
    </row>
    <row r="5" spans="1:10" s="7" customFormat="1" ht="108" customHeight="1">
      <c r="A5" s="617" t="s">
        <v>337</v>
      </c>
      <c r="B5" s="907">
        <v>1</v>
      </c>
      <c r="C5" s="55" t="s">
        <v>80</v>
      </c>
      <c r="D5" s="806"/>
      <c r="E5" s="807"/>
      <c r="F5" s="921"/>
      <c r="G5" s="808"/>
      <c r="H5" s="654"/>
      <c r="I5" s="12"/>
    </row>
    <row r="6" spans="1:10" s="7" customFormat="1">
      <c r="A6" s="616" t="s">
        <v>1480</v>
      </c>
      <c r="B6" s="907"/>
      <c r="C6" s="54" t="s">
        <v>1169</v>
      </c>
      <c r="D6" s="189"/>
      <c r="E6" s="639"/>
      <c r="F6" s="674"/>
      <c r="G6" s="675"/>
      <c r="H6" s="642"/>
      <c r="I6" s="12"/>
    </row>
    <row r="7" spans="1:10" s="7" customFormat="1">
      <c r="A7" s="616"/>
      <c r="B7" s="907"/>
      <c r="C7" s="54" t="s">
        <v>1170</v>
      </c>
      <c r="D7" s="189"/>
      <c r="E7" s="34"/>
      <c r="F7" s="28"/>
      <c r="G7" s="215"/>
      <c r="H7" s="642"/>
      <c r="I7" s="12"/>
    </row>
    <row r="8" spans="1:10" s="7" customFormat="1">
      <c r="A8" s="616"/>
      <c r="B8" s="907"/>
      <c r="C8" s="54" t="s">
        <v>1171</v>
      </c>
      <c r="D8" s="189"/>
      <c r="E8" s="34"/>
      <c r="F8" s="28"/>
      <c r="G8" s="215"/>
      <c r="H8" s="642"/>
      <c r="I8" s="12"/>
    </row>
    <row r="9" spans="1:10" s="7" customFormat="1">
      <c r="A9" s="616"/>
      <c r="B9" s="907"/>
      <c r="C9" s="54" t="s">
        <v>1172</v>
      </c>
      <c r="D9" s="189" t="s">
        <v>776</v>
      </c>
      <c r="E9" s="34">
        <v>3.64</v>
      </c>
      <c r="F9" s="28">
        <f>'Lead- Input sheet '!R28</f>
        <v>605</v>
      </c>
      <c r="G9" s="215">
        <f>ROUND(F9*E9,2)</f>
        <v>2202.1999999999998</v>
      </c>
      <c r="H9" s="642"/>
      <c r="I9" s="12"/>
    </row>
    <row r="10" spans="1:10" s="7" customFormat="1">
      <c r="A10" s="616"/>
      <c r="B10" s="907"/>
      <c r="C10" s="54" t="s">
        <v>1173</v>
      </c>
      <c r="D10" s="189" t="s">
        <v>525</v>
      </c>
      <c r="E10" s="34">
        <v>0.75</v>
      </c>
      <c r="F10" s="28">
        <f>G9</f>
        <v>2202.1999999999998</v>
      </c>
      <c r="G10" s="215">
        <f>ROUND(F10*E10,2)</f>
        <v>1651.65</v>
      </c>
      <c r="H10" s="642"/>
      <c r="I10" s="12"/>
    </row>
    <row r="11" spans="1:10" s="7" customFormat="1">
      <c r="A11" s="616"/>
      <c r="B11" s="907"/>
      <c r="C11" s="643" t="s">
        <v>896</v>
      </c>
      <c r="D11" s="644"/>
      <c r="E11" s="645">
        <f>'Lead- Input sheet '!$Q$31</f>
        <v>0</v>
      </c>
      <c r="F11" s="922">
        <f>SUM(G9:G10)</f>
        <v>3853.85</v>
      </c>
      <c r="G11" s="646">
        <f>ROUND(F11*E11,2)</f>
        <v>0</v>
      </c>
      <c r="H11" s="642"/>
      <c r="I11" s="12"/>
    </row>
    <row r="12" spans="1:10" s="7" customFormat="1">
      <c r="A12" s="616"/>
      <c r="B12" s="907"/>
      <c r="C12" s="54" t="s">
        <v>1174</v>
      </c>
      <c r="D12" s="189"/>
      <c r="E12" s="34"/>
      <c r="F12" s="28"/>
      <c r="G12" s="215">
        <f>SUM(G9:G11)</f>
        <v>3853.85</v>
      </c>
      <c r="H12" s="642"/>
      <c r="I12" s="12"/>
    </row>
    <row r="13" spans="1:10" s="6" customFormat="1">
      <c r="A13" s="45"/>
      <c r="B13" s="907"/>
      <c r="C13" s="55" t="s">
        <v>1600</v>
      </c>
      <c r="D13" s="190"/>
      <c r="E13" s="158">
        <f>G12</f>
        <v>3853.85</v>
      </c>
      <c r="F13" s="940">
        <f>'Lead- Input sheet '!$Q$32</f>
        <v>0</v>
      </c>
      <c r="G13" s="182">
        <f>ROUND(F13*E13,2)</f>
        <v>0</v>
      </c>
      <c r="H13" s="650"/>
      <c r="I13" s="12"/>
    </row>
    <row r="14" spans="1:10" s="7" customFormat="1">
      <c r="A14" s="616"/>
      <c r="B14" s="907"/>
      <c r="C14" s="55" t="s">
        <v>897</v>
      </c>
      <c r="D14" s="189"/>
      <c r="E14" s="34"/>
      <c r="F14" s="28"/>
      <c r="G14" s="215">
        <f>SUM(G12:G13)</f>
        <v>3853.85</v>
      </c>
      <c r="H14" s="642"/>
      <c r="I14" s="12"/>
    </row>
    <row r="15" spans="1:10" s="6" customFormat="1">
      <c r="A15" s="45"/>
      <c r="B15" s="907"/>
      <c r="C15" s="55" t="s">
        <v>1229</v>
      </c>
      <c r="D15" s="190"/>
      <c r="E15" s="639"/>
      <c r="F15" s="923" t="s">
        <v>1486</v>
      </c>
      <c r="G15" s="707">
        <f>ROUND(G14/10,20)</f>
        <v>385.38499999999999</v>
      </c>
      <c r="H15" s="650"/>
      <c r="I15" s="12"/>
    </row>
    <row r="16" spans="1:10" s="6" customFormat="1" ht="25.8">
      <c r="A16" s="617" t="s">
        <v>1589</v>
      </c>
      <c r="B16" s="907">
        <v>1</v>
      </c>
      <c r="C16" s="55" t="s">
        <v>1590</v>
      </c>
      <c r="D16" s="806"/>
      <c r="E16" s="807"/>
      <c r="F16" s="921"/>
      <c r="G16" s="808"/>
      <c r="H16" s="650"/>
      <c r="I16" s="12"/>
    </row>
    <row r="17" spans="1:10" s="6" customFormat="1">
      <c r="A17" s="616" t="s">
        <v>1480</v>
      </c>
      <c r="B17" s="907"/>
      <c r="C17" s="54" t="s">
        <v>1591</v>
      </c>
      <c r="D17" s="189"/>
      <c r="E17" s="639"/>
      <c r="F17" s="674"/>
      <c r="G17" s="675"/>
      <c r="H17" s="650"/>
      <c r="I17" s="12"/>
    </row>
    <row r="18" spans="1:10" s="6" customFormat="1">
      <c r="A18" s="616"/>
      <c r="B18" s="907"/>
      <c r="C18" s="54" t="s">
        <v>1170</v>
      </c>
      <c r="D18" s="189"/>
      <c r="E18" s="34"/>
      <c r="F18" s="28"/>
      <c r="G18" s="215"/>
      <c r="H18" s="650"/>
      <c r="I18" s="12"/>
    </row>
    <row r="19" spans="1:10" s="6" customFormat="1">
      <c r="A19" s="616"/>
      <c r="B19" s="907"/>
      <c r="C19" s="54" t="s">
        <v>1171</v>
      </c>
      <c r="D19" s="189"/>
      <c r="E19" s="34"/>
      <c r="F19" s="28"/>
      <c r="G19" s="215"/>
      <c r="H19" s="650"/>
      <c r="I19" s="12"/>
    </row>
    <row r="20" spans="1:10" s="6" customFormat="1">
      <c r="A20" s="616"/>
      <c r="B20" s="907"/>
      <c r="C20" s="54" t="s">
        <v>1172</v>
      </c>
      <c r="D20" s="189" t="s">
        <v>776</v>
      </c>
      <c r="E20" s="34">
        <v>5.2</v>
      </c>
      <c r="F20" s="28">
        <f>'Lead- Input sheet '!R28</f>
        <v>605</v>
      </c>
      <c r="G20" s="215">
        <f>ROUND(F20*E20,2)</f>
        <v>3146</v>
      </c>
      <c r="H20" s="650"/>
      <c r="I20" s="12"/>
    </row>
    <row r="21" spans="1:10" s="6" customFormat="1">
      <c r="A21" s="616"/>
      <c r="B21" s="907"/>
      <c r="C21" s="643" t="s">
        <v>896</v>
      </c>
      <c r="D21" s="644"/>
      <c r="E21" s="645">
        <f>'Lead- Input sheet '!$Q$31</f>
        <v>0</v>
      </c>
      <c r="F21" s="922">
        <f>SUM(G20:G20)</f>
        <v>3146</v>
      </c>
      <c r="G21" s="646">
        <f>ROUND(F21*E21,2)</f>
        <v>0</v>
      </c>
      <c r="H21" s="650"/>
      <c r="I21" s="12"/>
    </row>
    <row r="22" spans="1:10" s="914" customFormat="1">
      <c r="A22" s="906"/>
      <c r="B22" s="907"/>
      <c r="C22" s="908" t="s">
        <v>1592</v>
      </c>
      <c r="D22" s="909"/>
      <c r="E22" s="910"/>
      <c r="F22" s="924"/>
      <c r="G22" s="911"/>
      <c r="H22" s="912"/>
      <c r="I22" s="913"/>
      <c r="J22" s="915"/>
    </row>
    <row r="23" spans="1:10" s="914" customFormat="1">
      <c r="A23" s="906"/>
      <c r="B23" s="907"/>
      <c r="C23" s="908" t="s">
        <v>1593</v>
      </c>
      <c r="D23" s="909" t="s">
        <v>1594</v>
      </c>
      <c r="E23" s="910">
        <v>6</v>
      </c>
      <c r="F23" s="924">
        <v>1206</v>
      </c>
      <c r="G23" s="215">
        <f>ROUND(F23*E23,2)</f>
        <v>7236</v>
      </c>
      <c r="H23" s="912"/>
      <c r="I23" s="913">
        <f>210*0.3048^3</f>
        <v>5.9465377843200011</v>
      </c>
    </row>
    <row r="24" spans="1:10" s="914" customFormat="1" ht="25.8">
      <c r="A24" s="906" t="s">
        <v>1597</v>
      </c>
      <c r="B24" s="907"/>
      <c r="C24" s="908" t="s">
        <v>1596</v>
      </c>
      <c r="D24" s="909" t="s">
        <v>1595</v>
      </c>
      <c r="E24" s="910">
        <v>12</v>
      </c>
      <c r="F24" s="924">
        <v>367</v>
      </c>
      <c r="G24" s="215">
        <f>ROUND(F24*E24,2)</f>
        <v>4404</v>
      </c>
      <c r="H24" s="912"/>
      <c r="I24" s="913"/>
    </row>
    <row r="25" spans="1:10" s="6" customFormat="1">
      <c r="A25" s="616"/>
      <c r="B25" s="907"/>
      <c r="C25" s="54" t="s">
        <v>1174</v>
      </c>
      <c r="D25" s="189"/>
      <c r="E25" s="34"/>
      <c r="F25" s="28"/>
      <c r="G25" s="215">
        <f>SUM(G20:G24)</f>
        <v>14786</v>
      </c>
      <c r="H25" s="650"/>
      <c r="I25" s="12"/>
    </row>
    <row r="26" spans="1:10" s="6" customFormat="1">
      <c r="A26" s="45"/>
      <c r="B26" s="907"/>
      <c r="C26" s="55" t="s">
        <v>1600</v>
      </c>
      <c r="D26" s="190"/>
      <c r="E26" s="158">
        <f>G25</f>
        <v>14786</v>
      </c>
      <c r="F26" s="940">
        <f>'Lead- Input sheet '!$Q$32</f>
        <v>0</v>
      </c>
      <c r="G26" s="182">
        <f>ROUND(F26*E26,2)</f>
        <v>0</v>
      </c>
      <c r="H26" s="650"/>
      <c r="I26" s="12"/>
    </row>
    <row r="27" spans="1:10" s="6" customFormat="1">
      <c r="A27" s="45"/>
      <c r="B27" s="907"/>
      <c r="C27" s="55" t="s">
        <v>744</v>
      </c>
      <c r="D27" s="190"/>
      <c r="E27" s="158"/>
      <c r="F27" s="29"/>
      <c r="G27" s="182">
        <f>SUM(G25:G26)</f>
        <v>14786</v>
      </c>
      <c r="H27" s="650"/>
      <c r="I27" s="12"/>
    </row>
    <row r="28" spans="1:10" s="6" customFormat="1">
      <c r="A28" s="45"/>
      <c r="B28" s="907"/>
      <c r="C28" s="55" t="s">
        <v>1229</v>
      </c>
      <c r="D28" s="190"/>
      <c r="E28" s="639"/>
      <c r="F28" s="923" t="s">
        <v>1486</v>
      </c>
      <c r="G28" s="707">
        <f>ROUND(G27/10,20)</f>
        <v>1478.6</v>
      </c>
      <c r="H28" s="650"/>
      <c r="I28" s="12"/>
    </row>
    <row r="29" spans="1:10" s="7" customFormat="1" ht="105" customHeight="1">
      <c r="A29" s="617" t="s">
        <v>1567</v>
      </c>
      <c r="B29" s="907">
        <v>2</v>
      </c>
      <c r="C29" s="55" t="s">
        <v>1007</v>
      </c>
      <c r="D29" s="189"/>
      <c r="E29" s="34"/>
      <c r="F29" s="28"/>
      <c r="G29" s="215"/>
      <c r="H29" s="642"/>
      <c r="I29" s="12"/>
    </row>
    <row r="30" spans="1:10" s="7" customFormat="1">
      <c r="A30" s="616" t="s">
        <v>1480</v>
      </c>
      <c r="B30" s="907"/>
      <c r="C30" s="54" t="s">
        <v>1169</v>
      </c>
      <c r="D30" s="189"/>
      <c r="E30" s="34"/>
      <c r="F30" s="28"/>
      <c r="G30" s="504"/>
      <c r="H30" s="654"/>
      <c r="I30" s="12"/>
    </row>
    <row r="31" spans="1:10" s="7" customFormat="1">
      <c r="A31" s="616"/>
      <c r="B31" s="907"/>
      <c r="C31" s="54" t="s">
        <v>1568</v>
      </c>
      <c r="D31" s="189"/>
      <c r="E31" s="34"/>
      <c r="F31" s="28"/>
      <c r="G31" s="215"/>
      <c r="H31" s="654"/>
      <c r="I31" s="12"/>
    </row>
    <row r="32" spans="1:10" s="7" customFormat="1">
      <c r="A32" s="616"/>
      <c r="B32" s="907"/>
      <c r="C32" s="54" t="s">
        <v>1171</v>
      </c>
      <c r="D32" s="189"/>
      <c r="E32" s="34"/>
      <c r="F32" s="28"/>
      <c r="G32" s="215"/>
      <c r="H32" s="654"/>
      <c r="I32" s="12"/>
    </row>
    <row r="33" spans="1:9" s="7" customFormat="1">
      <c r="A33" s="616"/>
      <c r="B33" s="907"/>
      <c r="C33" s="54" t="s">
        <v>1172</v>
      </c>
      <c r="D33" s="189" t="s">
        <v>776</v>
      </c>
      <c r="E33" s="34">
        <v>0.31</v>
      </c>
      <c r="F33" s="28">
        <f>F9</f>
        <v>605</v>
      </c>
      <c r="G33" s="668">
        <f>ROUND(F33*E33,2)</f>
        <v>187.55</v>
      </c>
      <c r="H33" s="648"/>
      <c r="I33" s="12"/>
    </row>
    <row r="34" spans="1:9" s="7" customFormat="1">
      <c r="A34" s="616"/>
      <c r="B34" s="907"/>
      <c r="C34" s="643" t="s">
        <v>896</v>
      </c>
      <c r="D34" s="644"/>
      <c r="E34" s="645">
        <f>'Lead- Input sheet '!Q31</f>
        <v>0</v>
      </c>
      <c r="F34" s="922">
        <f>SUM(G32:G33)</f>
        <v>187.55</v>
      </c>
      <c r="G34" s="646">
        <f>ROUND(F34*E34,2)</f>
        <v>0</v>
      </c>
      <c r="H34" s="642"/>
      <c r="I34" s="12"/>
    </row>
    <row r="35" spans="1:9" s="7" customFormat="1">
      <c r="A35" s="616"/>
      <c r="B35" s="907"/>
      <c r="C35" s="54" t="s">
        <v>778</v>
      </c>
      <c r="D35" s="189" t="s">
        <v>525</v>
      </c>
      <c r="E35" s="34">
        <v>1</v>
      </c>
      <c r="F35" s="28">
        <f>'Lead- Input sheet '!R12</f>
        <v>1010.6380759582802</v>
      </c>
      <c r="G35" s="215">
        <f>ROUND(F35*E35,2)</f>
        <v>1010.64</v>
      </c>
      <c r="H35" s="649"/>
      <c r="I35" s="12"/>
    </row>
    <row r="36" spans="1:9" s="7" customFormat="1">
      <c r="A36" s="616"/>
      <c r="B36" s="907"/>
      <c r="C36" s="54" t="s">
        <v>1569</v>
      </c>
      <c r="D36" s="189" t="s">
        <v>1570</v>
      </c>
      <c r="E36" s="34">
        <v>0.1</v>
      </c>
      <c r="F36" s="28">
        <f>IF('Lead- Input sheet '!$Q$31=40%,'Lead- Input sheet '!$P$35,'Lead- Input sheet '!$Q$35)</f>
        <v>73</v>
      </c>
      <c r="G36" s="215">
        <f>ROUND(F36*E36,2)</f>
        <v>7.3</v>
      </c>
      <c r="H36" s="649"/>
      <c r="I36" s="12"/>
    </row>
    <row r="37" spans="1:9" s="6" customFormat="1">
      <c r="A37" s="45"/>
      <c r="B37" s="907"/>
      <c r="C37" s="55"/>
      <c r="D37" s="190"/>
      <c r="E37" s="158"/>
      <c r="F37" s="29"/>
      <c r="G37" s="182">
        <f>SUM(G33:G36)</f>
        <v>1205.49</v>
      </c>
      <c r="H37" s="649"/>
      <c r="I37" s="12"/>
    </row>
    <row r="38" spans="1:9" s="6" customFormat="1">
      <c r="A38" s="45"/>
      <c r="B38" s="907"/>
      <c r="C38" s="55" t="s">
        <v>1600</v>
      </c>
      <c r="D38" s="190"/>
      <c r="E38" s="158">
        <f>G37</f>
        <v>1205.49</v>
      </c>
      <c r="F38" s="940">
        <f>'Lead- Input sheet '!Q32</f>
        <v>0</v>
      </c>
      <c r="G38" s="182">
        <f>ROUND(F38*E38,2)</f>
        <v>0</v>
      </c>
      <c r="H38" s="650"/>
      <c r="I38" s="12"/>
    </row>
    <row r="39" spans="1:9" s="7" customFormat="1">
      <c r="A39" s="616"/>
      <c r="B39" s="907"/>
      <c r="C39" s="54" t="s">
        <v>898</v>
      </c>
      <c r="D39" s="189" t="s">
        <v>525</v>
      </c>
      <c r="E39" s="34">
        <v>1</v>
      </c>
      <c r="F39" s="28">
        <f>'Lead- Input sheet '!O12</f>
        <v>0</v>
      </c>
      <c r="G39" s="215">
        <f>ROUND(F39*E39,2)</f>
        <v>0</v>
      </c>
      <c r="H39" s="649"/>
      <c r="I39" s="12"/>
    </row>
    <row r="40" spans="1:9" s="7" customFormat="1">
      <c r="A40" s="616"/>
      <c r="B40" s="907"/>
      <c r="C40" s="54"/>
      <c r="D40" s="189"/>
      <c r="E40" s="34"/>
      <c r="F40" s="28"/>
      <c r="G40" s="215">
        <f>SUM(G37:G39)</f>
        <v>1205.49</v>
      </c>
      <c r="H40" s="649"/>
      <c r="I40" s="12"/>
    </row>
    <row r="41" spans="1:9" s="6" customFormat="1">
      <c r="A41" s="45"/>
      <c r="B41" s="907"/>
      <c r="C41" s="55" t="s">
        <v>744</v>
      </c>
      <c r="D41" s="190"/>
      <c r="E41" s="158"/>
      <c r="F41" s="923" t="s">
        <v>1486</v>
      </c>
      <c r="G41" s="707">
        <f>ROUND(G40/1,2)</f>
        <v>1205.49</v>
      </c>
      <c r="H41" s="655"/>
      <c r="I41" s="12"/>
    </row>
    <row r="42" spans="1:9" s="7" customFormat="1" ht="93.75" customHeight="1">
      <c r="A42" s="617" t="s">
        <v>70</v>
      </c>
      <c r="B42" s="907">
        <v>3</v>
      </c>
      <c r="C42" s="55" t="s">
        <v>139</v>
      </c>
      <c r="D42" s="189"/>
      <c r="E42" s="158"/>
      <c r="F42" s="29"/>
      <c r="G42" s="182"/>
      <c r="H42" s="642"/>
      <c r="I42" s="12"/>
    </row>
    <row r="43" spans="1:9" s="7" customFormat="1">
      <c r="A43" s="616" t="s">
        <v>1480</v>
      </c>
      <c r="B43" s="907"/>
      <c r="C43" s="54" t="s">
        <v>1025</v>
      </c>
      <c r="D43" s="189"/>
      <c r="E43" s="34"/>
      <c r="F43" s="28"/>
      <c r="G43" s="215"/>
      <c r="H43" s="642"/>
      <c r="I43" s="12"/>
    </row>
    <row r="44" spans="1:9" s="7" customFormat="1">
      <c r="A44" s="616"/>
      <c r="B44" s="907"/>
      <c r="C44" s="54" t="s">
        <v>777</v>
      </c>
      <c r="D44" s="189"/>
      <c r="E44" s="34"/>
      <c r="F44" s="28"/>
      <c r="G44" s="215"/>
      <c r="H44" s="642"/>
      <c r="I44" s="12"/>
    </row>
    <row r="45" spans="1:9" s="7" customFormat="1">
      <c r="A45" s="616"/>
      <c r="B45" s="907"/>
      <c r="C45" s="54" t="s">
        <v>1171</v>
      </c>
      <c r="D45" s="189"/>
      <c r="E45" s="34"/>
      <c r="F45" s="28"/>
      <c r="G45" s="182"/>
      <c r="H45" s="654"/>
      <c r="I45" s="12"/>
    </row>
    <row r="46" spans="1:9" s="7" customFormat="1">
      <c r="A46" s="616"/>
      <c r="B46" s="907"/>
      <c r="C46" s="54" t="s">
        <v>1172</v>
      </c>
      <c r="D46" s="189" t="s">
        <v>776</v>
      </c>
      <c r="E46" s="34">
        <v>0.31</v>
      </c>
      <c r="F46" s="28">
        <f>'Lead- Input sheet '!R28</f>
        <v>605</v>
      </c>
      <c r="G46" s="668">
        <f>ROUND(F46*E46,2)</f>
        <v>187.55</v>
      </c>
      <c r="H46" s="648"/>
      <c r="I46" s="12"/>
    </row>
    <row r="47" spans="1:9" s="7" customFormat="1">
      <c r="A47" s="616"/>
      <c r="B47" s="907"/>
      <c r="C47" s="643" t="s">
        <v>896</v>
      </c>
      <c r="D47" s="644"/>
      <c r="E47" s="645">
        <f>'Lead- Input sheet '!Q31</f>
        <v>0</v>
      </c>
      <c r="F47" s="922">
        <f>G46</f>
        <v>187.55</v>
      </c>
      <c r="G47" s="646">
        <f>ROUND(F47*E47,2)</f>
        <v>0</v>
      </c>
      <c r="H47" s="642"/>
      <c r="I47" s="12"/>
    </row>
    <row r="48" spans="1:9" s="7" customFormat="1">
      <c r="A48" s="616"/>
      <c r="B48" s="907"/>
      <c r="C48" s="54" t="s">
        <v>993</v>
      </c>
      <c r="D48" s="189" t="s">
        <v>525</v>
      </c>
      <c r="E48" s="34">
        <v>6</v>
      </c>
      <c r="F48" s="28">
        <f>'Lead- Input sheet '!R25</f>
        <v>187.35580689169564</v>
      </c>
      <c r="G48" s="215">
        <f>ROUND(F48*E48,2)</f>
        <v>1124.1300000000001</v>
      </c>
      <c r="H48" s="649"/>
      <c r="I48" s="12"/>
    </row>
    <row r="49" spans="1:9" s="7" customFormat="1">
      <c r="A49" s="616"/>
      <c r="B49" s="907"/>
      <c r="C49" s="54" t="s">
        <v>1569</v>
      </c>
      <c r="D49" s="189" t="s">
        <v>1570</v>
      </c>
      <c r="E49" s="34">
        <v>0.72</v>
      </c>
      <c r="F49" s="28">
        <f>IF('Lead- Input sheet '!$Q$31=40%,'Lead- Input sheet '!$P$35,'Lead- Input sheet '!$Q$35)</f>
        <v>73</v>
      </c>
      <c r="G49" s="215">
        <f>ROUND(F49*E49,2)</f>
        <v>52.56</v>
      </c>
      <c r="H49" s="649"/>
      <c r="I49" s="12"/>
    </row>
    <row r="50" spans="1:9" s="7" customFormat="1">
      <c r="A50" s="616"/>
      <c r="B50" s="907"/>
      <c r="C50" s="54"/>
      <c r="D50" s="189"/>
      <c r="E50" s="34"/>
      <c r="F50" s="28"/>
      <c r="G50" s="215">
        <f>SUM(G46:G49)</f>
        <v>1364.24</v>
      </c>
      <c r="H50" s="649"/>
      <c r="I50" s="12"/>
    </row>
    <row r="51" spans="1:9" s="6" customFormat="1">
      <c r="A51" s="45"/>
      <c r="B51" s="907"/>
      <c r="C51" s="55" t="s">
        <v>1600</v>
      </c>
      <c r="D51" s="190"/>
      <c r="E51" s="158">
        <f>G50</f>
        <v>1364.24</v>
      </c>
      <c r="F51" s="940">
        <f>'Lead- Input sheet '!Q32</f>
        <v>0</v>
      </c>
      <c r="G51" s="182">
        <f>ROUND(F51*E51,2)</f>
        <v>0</v>
      </c>
      <c r="H51" s="650"/>
      <c r="I51" s="12"/>
    </row>
    <row r="52" spans="1:9" s="7" customFormat="1">
      <c r="A52" s="616"/>
      <c r="B52" s="907"/>
      <c r="C52" s="54" t="s">
        <v>898</v>
      </c>
      <c r="D52" s="189" t="s">
        <v>525</v>
      </c>
      <c r="E52" s="34">
        <v>6</v>
      </c>
      <c r="F52" s="28">
        <f>'Lead- Input sheet '!O25</f>
        <v>0</v>
      </c>
      <c r="G52" s="215">
        <f>ROUND(F52*E52,2)</f>
        <v>0</v>
      </c>
      <c r="H52" s="649"/>
      <c r="I52" s="12"/>
    </row>
    <row r="53" spans="1:9" s="7" customFormat="1">
      <c r="A53" s="616"/>
      <c r="B53" s="907"/>
      <c r="C53" s="54"/>
      <c r="D53" s="189"/>
      <c r="E53" s="34"/>
      <c r="F53" s="28"/>
      <c r="G53" s="215">
        <f>SUM(G50:G52)</f>
        <v>1364.24</v>
      </c>
      <c r="H53" s="649"/>
      <c r="I53" s="12"/>
    </row>
    <row r="54" spans="1:9" s="6" customFormat="1">
      <c r="A54" s="45"/>
      <c r="B54" s="907"/>
      <c r="C54" s="55" t="s">
        <v>744</v>
      </c>
      <c r="D54" s="190"/>
      <c r="E54" s="158"/>
      <c r="F54" s="923" t="s">
        <v>1486</v>
      </c>
      <c r="G54" s="707">
        <f>ROUND(G53/6,2)</f>
        <v>227.37</v>
      </c>
      <c r="H54" s="655"/>
      <c r="I54" s="12"/>
    </row>
    <row r="55" spans="1:9" s="7" customFormat="1">
      <c r="A55" s="617" t="s">
        <v>151</v>
      </c>
      <c r="B55" s="907"/>
      <c r="C55" s="55" t="s">
        <v>152</v>
      </c>
      <c r="D55" s="189"/>
      <c r="E55" s="640"/>
      <c r="F55" s="925"/>
      <c r="G55" s="641"/>
      <c r="H55" s="642"/>
      <c r="I55" s="12"/>
    </row>
    <row r="56" spans="1:9" ht="22.2">
      <c r="A56" s="617" t="s">
        <v>153</v>
      </c>
      <c r="B56" s="962">
        <v>4</v>
      </c>
      <c r="C56" s="55" t="s">
        <v>1039</v>
      </c>
      <c r="D56" s="189"/>
      <c r="E56" s="34"/>
      <c r="F56" s="28"/>
      <c r="G56" s="215"/>
      <c r="H56" s="649"/>
      <c r="I56" s="12"/>
    </row>
    <row r="57" spans="1:9">
      <c r="A57" s="620"/>
      <c r="B57" s="962"/>
      <c r="C57" s="54" t="s">
        <v>1040</v>
      </c>
      <c r="D57" s="189"/>
      <c r="E57" s="34"/>
      <c r="F57" s="28"/>
      <c r="G57" s="215"/>
      <c r="H57" s="649"/>
      <c r="I57" s="12"/>
    </row>
    <row r="58" spans="1:9">
      <c r="A58" s="620"/>
      <c r="B58" s="962"/>
      <c r="C58" s="54" t="s">
        <v>1041</v>
      </c>
      <c r="D58" s="189"/>
      <c r="E58" s="34"/>
      <c r="F58" s="28"/>
      <c r="G58" s="215"/>
      <c r="H58" s="649"/>
      <c r="I58" s="12"/>
    </row>
    <row r="59" spans="1:9">
      <c r="A59" s="620"/>
      <c r="B59" s="962"/>
      <c r="C59" s="54" t="s">
        <v>523</v>
      </c>
      <c r="D59" s="189" t="s">
        <v>1042</v>
      </c>
      <c r="E59" s="34">
        <v>1440</v>
      </c>
      <c r="F59" s="28">
        <f>'Lead- Input sheet '!R8</f>
        <v>6656</v>
      </c>
      <c r="G59" s="215">
        <f>ROUND(E59*F59/1000,2)</f>
        <v>9584.64</v>
      </c>
      <c r="H59" s="649"/>
      <c r="I59" s="12"/>
    </row>
    <row r="60" spans="1:9">
      <c r="A60" s="620"/>
      <c r="B60" s="962"/>
      <c r="C60" s="54" t="s">
        <v>1043</v>
      </c>
      <c r="D60" s="189" t="s">
        <v>1473</v>
      </c>
      <c r="E60" s="34">
        <v>1.05</v>
      </c>
      <c r="F60" s="28">
        <f>'Lead- Input sheet '!R11</f>
        <v>1239.6380759582803</v>
      </c>
      <c r="G60" s="215">
        <f>ROUND(E60*F60,2)</f>
        <v>1301.6199999999999</v>
      </c>
      <c r="H60" s="649"/>
      <c r="I60" s="12"/>
    </row>
    <row r="61" spans="1:9">
      <c r="A61" s="620"/>
      <c r="B61" s="962"/>
      <c r="C61" s="54" t="s">
        <v>1044</v>
      </c>
      <c r="D61" s="189"/>
      <c r="E61" s="34"/>
      <c r="F61" s="28"/>
      <c r="G61" s="215"/>
      <c r="H61" s="649"/>
      <c r="I61" s="12"/>
    </row>
    <row r="62" spans="1:9">
      <c r="A62" s="620"/>
      <c r="B62" s="962"/>
      <c r="C62" s="54" t="s">
        <v>1045</v>
      </c>
      <c r="D62" s="189"/>
      <c r="E62" s="34"/>
      <c r="F62" s="28"/>
      <c r="G62" s="215"/>
      <c r="H62" s="649"/>
      <c r="I62" s="12"/>
    </row>
    <row r="63" spans="1:9">
      <c r="A63" s="620"/>
      <c r="B63" s="962"/>
      <c r="C63" s="54" t="s">
        <v>1046</v>
      </c>
      <c r="D63" s="189" t="s">
        <v>1047</v>
      </c>
      <c r="E63" s="34">
        <v>0.2</v>
      </c>
      <c r="F63" s="28">
        <f>'Lead- Input sheet '!R28</f>
        <v>605</v>
      </c>
      <c r="G63" s="215">
        <f>ROUND(E63*F63,2)</f>
        <v>121</v>
      </c>
      <c r="H63" s="649"/>
      <c r="I63" s="12"/>
    </row>
    <row r="64" spans="1:9" s="7" customFormat="1">
      <c r="A64" s="616"/>
      <c r="B64" s="907"/>
      <c r="C64" s="54" t="s">
        <v>896</v>
      </c>
      <c r="D64" s="189"/>
      <c r="E64" s="34">
        <f>'Lead- Input sheet '!Q31</f>
        <v>0</v>
      </c>
      <c r="F64" s="28">
        <f>G63</f>
        <v>121</v>
      </c>
      <c r="G64" s="215">
        <f>ROUND(F64*E64,2)</f>
        <v>0</v>
      </c>
      <c r="H64" s="642"/>
      <c r="I64" s="12"/>
    </row>
    <row r="65" spans="1:9">
      <c r="A65" s="620"/>
      <c r="B65" s="962"/>
      <c r="C65" s="54" t="s">
        <v>1048</v>
      </c>
      <c r="D65" s="189"/>
      <c r="E65" s="34"/>
      <c r="F65" s="923" t="s">
        <v>1486</v>
      </c>
      <c r="G65" s="707">
        <f>ROUND(SUM(G59:G64),2)</f>
        <v>11007.26</v>
      </c>
      <c r="H65" s="649"/>
      <c r="I65" s="12"/>
    </row>
    <row r="66" spans="1:9" ht="22.2">
      <c r="A66" s="617" t="s">
        <v>1049</v>
      </c>
      <c r="B66" s="962">
        <v>5</v>
      </c>
      <c r="C66" s="55" t="s">
        <v>1050</v>
      </c>
      <c r="D66" s="189"/>
      <c r="E66" s="34"/>
      <c r="F66" s="28"/>
      <c r="G66" s="215"/>
      <c r="H66" s="649"/>
      <c r="I66" s="12"/>
    </row>
    <row r="67" spans="1:9">
      <c r="A67" s="620"/>
      <c r="B67" s="962"/>
      <c r="C67" s="54" t="s">
        <v>1040</v>
      </c>
      <c r="D67" s="189"/>
      <c r="E67" s="34"/>
      <c r="F67" s="28"/>
      <c r="G67" s="215"/>
      <c r="H67" s="649"/>
      <c r="I67" s="12"/>
    </row>
    <row r="68" spans="1:9">
      <c r="A68" s="620"/>
      <c r="B68" s="962"/>
      <c r="C68" s="54" t="s">
        <v>1041</v>
      </c>
      <c r="D68" s="189"/>
      <c r="E68" s="34"/>
      <c r="F68" s="28"/>
      <c r="G68" s="215"/>
      <c r="H68" s="649"/>
      <c r="I68" s="12"/>
    </row>
    <row r="69" spans="1:9">
      <c r="A69" s="620"/>
      <c r="B69" s="962"/>
      <c r="C69" s="54" t="s">
        <v>523</v>
      </c>
      <c r="D69" s="189" t="s">
        <v>1042</v>
      </c>
      <c r="E69" s="34">
        <v>720</v>
      </c>
      <c r="F69" s="28">
        <f>'Lead- Input sheet '!R8</f>
        <v>6656</v>
      </c>
      <c r="G69" s="215">
        <f>ROUND(E69*F69/1000,2)</f>
        <v>4792.32</v>
      </c>
      <c r="H69" s="649"/>
      <c r="I69" s="12"/>
    </row>
    <row r="70" spans="1:9">
      <c r="A70" s="620"/>
      <c r="B70" s="962"/>
      <c r="C70" s="54" t="s">
        <v>1043</v>
      </c>
      <c r="D70" s="189" t="s">
        <v>1473</v>
      </c>
      <c r="E70" s="34">
        <v>1.05</v>
      </c>
      <c r="F70" s="28">
        <f>'Lead- Input sheet '!R11</f>
        <v>1239.6380759582803</v>
      </c>
      <c r="G70" s="215">
        <f>ROUND(E70*F70,2)</f>
        <v>1301.6199999999999</v>
      </c>
      <c r="H70" s="649"/>
      <c r="I70" s="12"/>
    </row>
    <row r="71" spans="1:9">
      <c r="A71" s="620"/>
      <c r="B71" s="962"/>
      <c r="C71" s="54" t="s">
        <v>1044</v>
      </c>
      <c r="D71" s="189"/>
      <c r="E71" s="34"/>
      <c r="F71" s="28"/>
      <c r="G71" s="215"/>
      <c r="H71" s="649"/>
      <c r="I71" s="12"/>
    </row>
    <row r="72" spans="1:9">
      <c r="A72" s="620"/>
      <c r="B72" s="962"/>
      <c r="C72" s="54" t="s">
        <v>1045</v>
      </c>
      <c r="D72" s="189"/>
      <c r="E72" s="34"/>
      <c r="F72" s="28"/>
      <c r="G72" s="215"/>
      <c r="H72" s="649"/>
      <c r="I72" s="12"/>
    </row>
    <row r="73" spans="1:9">
      <c r="A73" s="620"/>
      <c r="B73" s="962"/>
      <c r="C73" s="54" t="s">
        <v>1046</v>
      </c>
      <c r="D73" s="189" t="s">
        <v>1047</v>
      </c>
      <c r="E73" s="34">
        <v>0.2</v>
      </c>
      <c r="F73" s="28">
        <f>'Lead- Input sheet '!R28</f>
        <v>605</v>
      </c>
      <c r="G73" s="215">
        <f>ROUND(E73*F73,2)</f>
        <v>121</v>
      </c>
      <c r="H73" s="649"/>
      <c r="I73" s="12"/>
    </row>
    <row r="74" spans="1:9" s="7" customFormat="1">
      <c r="A74" s="616"/>
      <c r="B74" s="907"/>
      <c r="C74" s="54" t="s">
        <v>896</v>
      </c>
      <c r="D74" s="189"/>
      <c r="E74" s="34">
        <f>'Lead- Input sheet '!Q31</f>
        <v>0</v>
      </c>
      <c r="F74" s="28">
        <f>G73</f>
        <v>121</v>
      </c>
      <c r="G74" s="215">
        <f>ROUND(F74*E74,2)</f>
        <v>0</v>
      </c>
      <c r="H74" s="642"/>
      <c r="I74" s="12"/>
    </row>
    <row r="75" spans="1:9">
      <c r="A75" s="620"/>
      <c r="B75" s="962"/>
      <c r="C75" s="54" t="s">
        <v>1048</v>
      </c>
      <c r="D75" s="189"/>
      <c r="E75" s="34"/>
      <c r="F75" s="923" t="s">
        <v>1486</v>
      </c>
      <c r="G75" s="707">
        <f>ROUND(SUM(G69:G74),2)</f>
        <v>6214.94</v>
      </c>
      <c r="H75" s="649"/>
      <c r="I75" s="12"/>
    </row>
    <row r="76" spans="1:9" s="57" customFormat="1" ht="22.2">
      <c r="A76" s="617" t="s">
        <v>1051</v>
      </c>
      <c r="B76" s="962">
        <v>6</v>
      </c>
      <c r="C76" s="55" t="s">
        <v>1208</v>
      </c>
      <c r="D76" s="190"/>
      <c r="E76" s="158"/>
      <c r="F76" s="29"/>
      <c r="G76" s="182"/>
      <c r="H76" s="656"/>
      <c r="I76" s="12"/>
    </row>
    <row r="77" spans="1:9">
      <c r="A77" s="620"/>
      <c r="B77" s="962"/>
      <c r="C77" s="54" t="s">
        <v>1040</v>
      </c>
      <c r="D77" s="189"/>
      <c r="E77" s="34"/>
      <c r="F77" s="28"/>
      <c r="G77" s="215"/>
      <c r="H77" s="649"/>
      <c r="I77" s="12"/>
    </row>
    <row r="78" spans="1:9">
      <c r="A78" s="620"/>
      <c r="B78" s="962"/>
      <c r="C78" s="54" t="s">
        <v>1041</v>
      </c>
      <c r="D78" s="189"/>
      <c r="E78" s="34"/>
      <c r="F78" s="28"/>
      <c r="G78" s="215"/>
      <c r="H78" s="649"/>
      <c r="I78" s="12"/>
    </row>
    <row r="79" spans="1:9">
      <c r="A79" s="620"/>
      <c r="B79" s="962"/>
      <c r="C79" s="54" t="s">
        <v>523</v>
      </c>
      <c r="D79" s="189" t="s">
        <v>1042</v>
      </c>
      <c r="E79" s="34">
        <v>480</v>
      </c>
      <c r="F79" s="28">
        <f>'Lead- Input sheet '!R8</f>
        <v>6656</v>
      </c>
      <c r="G79" s="215">
        <f>ROUND(E79*F79/1000,2)</f>
        <v>3194.88</v>
      </c>
      <c r="H79" s="649"/>
      <c r="I79" s="12"/>
    </row>
    <row r="80" spans="1:9">
      <c r="A80" s="620"/>
      <c r="B80" s="962"/>
      <c r="C80" s="54" t="s">
        <v>1043</v>
      </c>
      <c r="D80" s="189" t="s">
        <v>1473</v>
      </c>
      <c r="E80" s="34">
        <v>1.05</v>
      </c>
      <c r="F80" s="28">
        <f>'Lead- Input sheet '!R11</f>
        <v>1239.6380759582803</v>
      </c>
      <c r="G80" s="215">
        <f>ROUND(E80*F80,2)</f>
        <v>1301.6199999999999</v>
      </c>
      <c r="H80" s="649"/>
      <c r="I80" s="12"/>
    </row>
    <row r="81" spans="1:9">
      <c r="A81" s="620"/>
      <c r="B81" s="962"/>
      <c r="C81" s="54" t="s">
        <v>1044</v>
      </c>
      <c r="D81" s="189"/>
      <c r="E81" s="34"/>
      <c r="F81" s="28"/>
      <c r="G81" s="215"/>
      <c r="H81" s="649"/>
      <c r="I81" s="12"/>
    </row>
    <row r="82" spans="1:9">
      <c r="A82" s="620"/>
      <c r="B82" s="962"/>
      <c r="C82" s="54" t="s">
        <v>1045</v>
      </c>
      <c r="D82" s="189"/>
      <c r="E82" s="34"/>
      <c r="F82" s="28"/>
      <c r="G82" s="215"/>
      <c r="H82" s="649"/>
      <c r="I82" s="12"/>
    </row>
    <row r="83" spans="1:9">
      <c r="A83" s="620"/>
      <c r="B83" s="962"/>
      <c r="C83" s="54" t="s">
        <v>1046</v>
      </c>
      <c r="D83" s="189" t="s">
        <v>1047</v>
      </c>
      <c r="E83" s="34">
        <v>0.2</v>
      </c>
      <c r="F83" s="28">
        <f>'Lead- Input sheet '!R28</f>
        <v>605</v>
      </c>
      <c r="G83" s="215">
        <f>ROUND(E83*F83,2)</f>
        <v>121</v>
      </c>
      <c r="H83" s="649"/>
      <c r="I83" s="12"/>
    </row>
    <row r="84" spans="1:9" s="7" customFormat="1">
      <c r="A84" s="616"/>
      <c r="B84" s="907"/>
      <c r="C84" s="54" t="s">
        <v>896</v>
      </c>
      <c r="D84" s="189"/>
      <c r="E84" s="34">
        <f>'Lead- Input sheet '!Q31</f>
        <v>0</v>
      </c>
      <c r="F84" s="28">
        <f>G83</f>
        <v>121</v>
      </c>
      <c r="G84" s="215">
        <f>ROUND(F84*E84,2)</f>
        <v>0</v>
      </c>
      <c r="H84" s="642"/>
      <c r="I84" s="12"/>
    </row>
    <row r="85" spans="1:9">
      <c r="A85" s="620"/>
      <c r="B85" s="962"/>
      <c r="C85" s="54" t="s">
        <v>1048</v>
      </c>
      <c r="D85" s="189"/>
      <c r="E85" s="34"/>
      <c r="F85" s="923" t="s">
        <v>1486</v>
      </c>
      <c r="G85" s="707">
        <f>ROUND(SUM(G79:G84),2)</f>
        <v>4617.5</v>
      </c>
      <c r="H85" s="649"/>
      <c r="I85" s="12"/>
    </row>
    <row r="86" spans="1:9" s="57" customFormat="1" ht="22.2">
      <c r="A86" s="617" t="s">
        <v>156</v>
      </c>
      <c r="B86" s="962">
        <v>7</v>
      </c>
      <c r="C86" s="55" t="s">
        <v>157</v>
      </c>
      <c r="D86" s="190"/>
      <c r="E86" s="158"/>
      <c r="F86" s="29"/>
      <c r="G86" s="182"/>
      <c r="H86" s="656"/>
      <c r="I86" s="12"/>
    </row>
    <row r="87" spans="1:9">
      <c r="A87" s="620"/>
      <c r="B87" s="962"/>
      <c r="C87" s="54" t="s">
        <v>1040</v>
      </c>
      <c r="D87" s="189"/>
      <c r="E87" s="34"/>
      <c r="F87" s="28"/>
      <c r="G87" s="215"/>
      <c r="H87" s="649"/>
      <c r="I87" s="12"/>
    </row>
    <row r="88" spans="1:9">
      <c r="A88" s="620"/>
      <c r="B88" s="962"/>
      <c r="C88" s="54" t="s">
        <v>1041</v>
      </c>
      <c r="D88" s="189"/>
      <c r="E88" s="34"/>
      <c r="F88" s="28"/>
      <c r="G88" s="215"/>
      <c r="H88" s="649"/>
      <c r="I88" s="12"/>
    </row>
    <row r="89" spans="1:9">
      <c r="A89" s="620"/>
      <c r="B89" s="962"/>
      <c r="C89" s="54" t="s">
        <v>523</v>
      </c>
      <c r="D89" s="189" t="s">
        <v>1042</v>
      </c>
      <c r="E89" s="34">
        <v>360</v>
      </c>
      <c r="F89" s="28">
        <f>'Lead- Input sheet '!R8</f>
        <v>6656</v>
      </c>
      <c r="G89" s="215">
        <f>ROUND(E89*F89/1000,2)</f>
        <v>2396.16</v>
      </c>
      <c r="H89" s="649"/>
      <c r="I89" s="12"/>
    </row>
    <row r="90" spans="1:9">
      <c r="A90" s="620"/>
      <c r="B90" s="962"/>
      <c r="C90" s="54" t="s">
        <v>1043</v>
      </c>
      <c r="D90" s="189" t="s">
        <v>1473</v>
      </c>
      <c r="E90" s="34">
        <v>1.05</v>
      </c>
      <c r="F90" s="28">
        <f>F80</f>
        <v>1239.6380759582803</v>
      </c>
      <c r="G90" s="215">
        <f>ROUND(E90*F90,2)</f>
        <v>1301.6199999999999</v>
      </c>
      <c r="H90" s="649"/>
      <c r="I90" s="12"/>
    </row>
    <row r="91" spans="1:9">
      <c r="A91" s="620"/>
      <c r="B91" s="962"/>
      <c r="C91" s="54" t="s">
        <v>1044</v>
      </c>
      <c r="D91" s="189"/>
      <c r="E91" s="34"/>
      <c r="F91" s="28"/>
      <c r="G91" s="215"/>
      <c r="H91" s="649"/>
      <c r="I91" s="12"/>
    </row>
    <row r="92" spans="1:9">
      <c r="A92" s="620"/>
      <c r="B92" s="962"/>
      <c r="C92" s="54" t="s">
        <v>1045</v>
      </c>
      <c r="D92" s="189"/>
      <c r="E92" s="34"/>
      <c r="F92" s="28"/>
      <c r="G92" s="215"/>
      <c r="H92" s="649"/>
      <c r="I92" s="12"/>
    </row>
    <row r="93" spans="1:9">
      <c r="A93" s="620"/>
      <c r="B93" s="962"/>
      <c r="C93" s="54" t="s">
        <v>1046</v>
      </c>
      <c r="D93" s="189" t="s">
        <v>1047</v>
      </c>
      <c r="E93" s="34">
        <v>0.2</v>
      </c>
      <c r="F93" s="28">
        <f>F83</f>
        <v>605</v>
      </c>
      <c r="G93" s="215">
        <f>ROUND(E93*F93,2)</f>
        <v>121</v>
      </c>
      <c r="H93" s="649"/>
      <c r="I93" s="12"/>
    </row>
    <row r="94" spans="1:9" s="7" customFormat="1">
      <c r="A94" s="616"/>
      <c r="B94" s="907"/>
      <c r="C94" s="54" t="s">
        <v>896</v>
      </c>
      <c r="D94" s="189"/>
      <c r="E94" s="34">
        <f>'Lead- Input sheet '!Q31</f>
        <v>0</v>
      </c>
      <c r="F94" s="28">
        <f>G93</f>
        <v>121</v>
      </c>
      <c r="G94" s="215">
        <f>ROUND(F94*E94,2)</f>
        <v>0</v>
      </c>
      <c r="H94" s="642"/>
      <c r="I94" s="12"/>
    </row>
    <row r="95" spans="1:9">
      <c r="A95" s="620"/>
      <c r="B95" s="962"/>
      <c r="C95" s="54" t="s">
        <v>1048</v>
      </c>
      <c r="D95" s="189"/>
      <c r="E95" s="34"/>
      <c r="F95" s="923" t="s">
        <v>1486</v>
      </c>
      <c r="G95" s="707">
        <f>ROUND(SUM(G89:G94),2)</f>
        <v>3818.78</v>
      </c>
      <c r="H95" s="649"/>
      <c r="I95" s="12"/>
    </row>
    <row r="96" spans="1:9" s="57" customFormat="1" ht="22.2">
      <c r="A96" s="617" t="s">
        <v>158</v>
      </c>
      <c r="B96" s="962">
        <v>8</v>
      </c>
      <c r="C96" s="55" t="s">
        <v>159</v>
      </c>
      <c r="D96" s="190"/>
      <c r="E96" s="158"/>
      <c r="F96" s="29"/>
      <c r="G96" s="182"/>
      <c r="H96" s="656"/>
      <c r="I96" s="12"/>
    </row>
    <row r="97" spans="1:9">
      <c r="A97" s="620"/>
      <c r="B97" s="962"/>
      <c r="C97" s="54" t="s">
        <v>1040</v>
      </c>
      <c r="D97" s="189"/>
      <c r="E97" s="34"/>
      <c r="F97" s="28"/>
      <c r="G97" s="215"/>
      <c r="H97" s="649"/>
      <c r="I97" s="12"/>
    </row>
    <row r="98" spans="1:9">
      <c r="A98" s="620"/>
      <c r="B98" s="962"/>
      <c r="C98" s="54" t="s">
        <v>1041</v>
      </c>
      <c r="D98" s="189"/>
      <c r="E98" s="34"/>
      <c r="F98" s="28"/>
      <c r="G98" s="215"/>
      <c r="H98" s="649"/>
      <c r="I98" s="12"/>
    </row>
    <row r="99" spans="1:9">
      <c r="A99" s="620"/>
      <c r="B99" s="962"/>
      <c r="C99" s="54" t="s">
        <v>523</v>
      </c>
      <c r="D99" s="189" t="s">
        <v>1042</v>
      </c>
      <c r="E99" s="34">
        <v>288</v>
      </c>
      <c r="F99" s="28">
        <f>'Lead- Input sheet '!R8</f>
        <v>6656</v>
      </c>
      <c r="G99" s="215">
        <f>ROUND(E99*F99/1000,2)</f>
        <v>1916.93</v>
      </c>
      <c r="H99" s="649"/>
      <c r="I99" s="12"/>
    </row>
    <row r="100" spans="1:9">
      <c r="A100" s="620"/>
      <c r="B100" s="962"/>
      <c r="C100" s="54" t="s">
        <v>1043</v>
      </c>
      <c r="D100" s="189" t="s">
        <v>1473</v>
      </c>
      <c r="E100" s="34">
        <v>1.05</v>
      </c>
      <c r="F100" s="28">
        <f>F90</f>
        <v>1239.6380759582803</v>
      </c>
      <c r="G100" s="215">
        <f>ROUND(E100*F100,2)</f>
        <v>1301.6199999999999</v>
      </c>
      <c r="H100" s="649"/>
      <c r="I100" s="12"/>
    </row>
    <row r="101" spans="1:9">
      <c r="A101" s="620"/>
      <c r="B101" s="962"/>
      <c r="C101" s="54" t="s">
        <v>1044</v>
      </c>
      <c r="D101" s="189"/>
      <c r="E101" s="34"/>
      <c r="F101" s="28"/>
      <c r="G101" s="215"/>
      <c r="H101" s="649"/>
      <c r="I101" s="12"/>
    </row>
    <row r="102" spans="1:9">
      <c r="A102" s="620"/>
      <c r="B102" s="962"/>
      <c r="C102" s="54" t="s">
        <v>1045</v>
      </c>
      <c r="D102" s="189"/>
      <c r="E102" s="34"/>
      <c r="F102" s="28"/>
      <c r="G102" s="215"/>
      <c r="H102" s="649"/>
      <c r="I102" s="12"/>
    </row>
    <row r="103" spans="1:9">
      <c r="A103" s="620"/>
      <c r="B103" s="962"/>
      <c r="C103" s="54" t="s">
        <v>1046</v>
      </c>
      <c r="D103" s="189" t="s">
        <v>1047</v>
      </c>
      <c r="E103" s="34">
        <v>0.2</v>
      </c>
      <c r="F103" s="28">
        <f>F93</f>
        <v>605</v>
      </c>
      <c r="G103" s="215">
        <f>ROUND(E103*F103,2)</f>
        <v>121</v>
      </c>
      <c r="H103" s="649"/>
      <c r="I103" s="12"/>
    </row>
    <row r="104" spans="1:9" s="7" customFormat="1">
      <c r="A104" s="616"/>
      <c r="B104" s="907"/>
      <c r="C104" s="54" t="s">
        <v>896</v>
      </c>
      <c r="D104" s="189"/>
      <c r="E104" s="34">
        <f>'Lead- Input sheet '!Q31</f>
        <v>0</v>
      </c>
      <c r="F104" s="28">
        <f>G103</f>
        <v>121</v>
      </c>
      <c r="G104" s="215">
        <f>ROUND(F104*E104,2)</f>
        <v>0</v>
      </c>
      <c r="H104" s="642"/>
      <c r="I104" s="12"/>
    </row>
    <row r="105" spans="1:9">
      <c r="A105" s="620"/>
      <c r="B105" s="962"/>
      <c r="C105" s="54" t="s">
        <v>1048</v>
      </c>
      <c r="D105" s="189"/>
      <c r="E105" s="34"/>
      <c r="F105" s="923" t="s">
        <v>1486</v>
      </c>
      <c r="G105" s="707">
        <f>SUM(G99:G104)</f>
        <v>3339.55</v>
      </c>
      <c r="H105" s="649"/>
      <c r="I105" s="12"/>
    </row>
    <row r="106" spans="1:9" s="57" customFormat="1" ht="22.2">
      <c r="A106" s="617" t="s">
        <v>160</v>
      </c>
      <c r="B106" s="962">
        <v>9</v>
      </c>
      <c r="C106" s="55" t="s">
        <v>161</v>
      </c>
      <c r="D106" s="190"/>
      <c r="E106" s="158"/>
      <c r="F106" s="29"/>
      <c r="G106" s="182"/>
      <c r="H106" s="656"/>
      <c r="I106" s="12"/>
    </row>
    <row r="107" spans="1:9">
      <c r="A107" s="620"/>
      <c r="B107" s="962"/>
      <c r="C107" s="54" t="s">
        <v>1040</v>
      </c>
      <c r="D107" s="189"/>
      <c r="E107" s="34"/>
      <c r="F107" s="28"/>
      <c r="G107" s="215"/>
      <c r="H107" s="649"/>
      <c r="I107" s="12"/>
    </row>
    <row r="108" spans="1:9">
      <c r="A108" s="620"/>
      <c r="B108" s="962"/>
      <c r="C108" s="54" t="s">
        <v>1041</v>
      </c>
      <c r="D108" s="189"/>
      <c r="E108" s="34"/>
      <c r="F108" s="28"/>
      <c r="G108" s="215"/>
      <c r="H108" s="649"/>
      <c r="I108" s="12"/>
    </row>
    <row r="109" spans="1:9">
      <c r="A109" s="620"/>
      <c r="B109" s="962"/>
      <c r="C109" s="54" t="s">
        <v>523</v>
      </c>
      <c r="D109" s="189" t="s">
        <v>1042</v>
      </c>
      <c r="E109" s="34">
        <v>240</v>
      </c>
      <c r="F109" s="28">
        <f>'Lead- Input sheet '!R8</f>
        <v>6656</v>
      </c>
      <c r="G109" s="215">
        <f>ROUND(E109*F109/1000,2)</f>
        <v>1597.44</v>
      </c>
      <c r="H109" s="649"/>
      <c r="I109" s="12"/>
    </row>
    <row r="110" spans="1:9">
      <c r="A110" s="620"/>
      <c r="B110" s="962"/>
      <c r="C110" s="54" t="s">
        <v>1043</v>
      </c>
      <c r="D110" s="189" t="s">
        <v>1473</v>
      </c>
      <c r="E110" s="34">
        <v>1.05</v>
      </c>
      <c r="F110" s="28">
        <f>F100</f>
        <v>1239.6380759582803</v>
      </c>
      <c r="G110" s="215">
        <f>ROUND(E110*F110,2)</f>
        <v>1301.6199999999999</v>
      </c>
      <c r="H110" s="649"/>
      <c r="I110" s="12"/>
    </row>
    <row r="111" spans="1:9">
      <c r="A111" s="620"/>
      <c r="B111" s="962"/>
      <c r="C111" s="54" t="s">
        <v>1044</v>
      </c>
      <c r="D111" s="189"/>
      <c r="E111" s="34"/>
      <c r="F111" s="28"/>
      <c r="G111" s="215"/>
      <c r="H111" s="649"/>
      <c r="I111" s="12"/>
    </row>
    <row r="112" spans="1:9">
      <c r="A112" s="620"/>
      <c r="B112" s="962"/>
      <c r="C112" s="54" t="s">
        <v>1045</v>
      </c>
      <c r="D112" s="189"/>
      <c r="E112" s="34"/>
      <c r="F112" s="28"/>
      <c r="G112" s="215"/>
      <c r="H112" s="649"/>
      <c r="I112" s="12"/>
    </row>
    <row r="113" spans="1:9">
      <c r="A113" s="620"/>
      <c r="B113" s="962"/>
      <c r="C113" s="54" t="s">
        <v>1046</v>
      </c>
      <c r="D113" s="189" t="s">
        <v>1047</v>
      </c>
      <c r="E113" s="34">
        <v>0.2</v>
      </c>
      <c r="F113" s="28">
        <f>F103</f>
        <v>605</v>
      </c>
      <c r="G113" s="215">
        <f>ROUND(E113*F113,2)</f>
        <v>121</v>
      </c>
      <c r="H113" s="649"/>
      <c r="I113" s="12"/>
    </row>
    <row r="114" spans="1:9" s="7" customFormat="1">
      <c r="A114" s="616"/>
      <c r="B114" s="907"/>
      <c r="C114" s="54" t="s">
        <v>896</v>
      </c>
      <c r="D114" s="189"/>
      <c r="E114" s="34">
        <f>'Lead- Input sheet '!Q31</f>
        <v>0</v>
      </c>
      <c r="F114" s="28">
        <f>G113</f>
        <v>121</v>
      </c>
      <c r="G114" s="215">
        <f>ROUND(F114*E114,2)</f>
        <v>0</v>
      </c>
      <c r="H114" s="642"/>
      <c r="I114" s="12"/>
    </row>
    <row r="115" spans="1:9">
      <c r="A115" s="620"/>
      <c r="B115" s="962"/>
      <c r="C115" s="54" t="s">
        <v>1048</v>
      </c>
      <c r="D115" s="189"/>
      <c r="E115" s="34"/>
      <c r="F115" s="923" t="s">
        <v>1486</v>
      </c>
      <c r="G115" s="707">
        <f>ROUND(SUM(G109:G114),2)</f>
        <v>3020.06</v>
      </c>
      <c r="H115" s="649"/>
      <c r="I115" s="12"/>
    </row>
    <row r="116" spans="1:9" s="57" customFormat="1" ht="22.2">
      <c r="A116" s="617" t="s">
        <v>335</v>
      </c>
      <c r="B116" s="962">
        <v>10</v>
      </c>
      <c r="C116" s="55" t="s">
        <v>336</v>
      </c>
      <c r="D116" s="190"/>
      <c r="E116" s="158"/>
      <c r="F116" s="29"/>
      <c r="G116" s="182"/>
      <c r="H116" s="656"/>
      <c r="I116" s="12"/>
    </row>
    <row r="117" spans="1:9">
      <c r="A117" s="620"/>
      <c r="B117" s="962"/>
      <c r="C117" s="54" t="s">
        <v>1040</v>
      </c>
      <c r="D117" s="189"/>
      <c r="E117" s="34"/>
      <c r="F117" s="28"/>
      <c r="G117" s="215"/>
      <c r="H117" s="649"/>
      <c r="I117" s="12"/>
    </row>
    <row r="118" spans="1:9">
      <c r="A118" s="620"/>
      <c r="B118" s="962"/>
      <c r="C118" s="54" t="s">
        <v>1041</v>
      </c>
      <c r="D118" s="189"/>
      <c r="E118" s="34"/>
      <c r="F118" s="28"/>
      <c r="G118" s="215"/>
      <c r="H118" s="649"/>
      <c r="I118" s="12"/>
    </row>
    <row r="119" spans="1:9">
      <c r="A119" s="620"/>
      <c r="B119" s="962"/>
      <c r="C119" s="54" t="s">
        <v>523</v>
      </c>
      <c r="D119" s="189" t="s">
        <v>1042</v>
      </c>
      <c r="E119" s="34">
        <v>180</v>
      </c>
      <c r="F119" s="28">
        <f>'Lead- Input sheet '!R8</f>
        <v>6656</v>
      </c>
      <c r="G119" s="215">
        <f>ROUND(E119*F119/1000,2)</f>
        <v>1198.08</v>
      </c>
      <c r="H119" s="649"/>
      <c r="I119" s="12"/>
    </row>
    <row r="120" spans="1:9">
      <c r="A120" s="620"/>
      <c r="B120" s="962"/>
      <c r="C120" s="54" t="s">
        <v>1043</v>
      </c>
      <c r="D120" s="189" t="s">
        <v>1473</v>
      </c>
      <c r="E120" s="34">
        <v>1.05</v>
      </c>
      <c r="F120" s="28">
        <f>F110</f>
        <v>1239.6380759582803</v>
      </c>
      <c r="G120" s="215">
        <f>ROUND(E120*F120,2)</f>
        <v>1301.6199999999999</v>
      </c>
      <c r="H120" s="649"/>
      <c r="I120" s="12"/>
    </row>
    <row r="121" spans="1:9">
      <c r="A121" s="620"/>
      <c r="B121" s="962"/>
      <c r="C121" s="54" t="s">
        <v>1044</v>
      </c>
      <c r="D121" s="189"/>
      <c r="E121" s="34"/>
      <c r="F121" s="28"/>
      <c r="G121" s="215"/>
      <c r="H121" s="649"/>
      <c r="I121" s="12"/>
    </row>
    <row r="122" spans="1:9">
      <c r="A122" s="620"/>
      <c r="B122" s="962"/>
      <c r="C122" s="54" t="s">
        <v>1045</v>
      </c>
      <c r="D122" s="189"/>
      <c r="E122" s="34"/>
      <c r="F122" s="28"/>
      <c r="G122" s="215"/>
      <c r="H122" s="649"/>
      <c r="I122" s="12"/>
    </row>
    <row r="123" spans="1:9">
      <c r="A123" s="620"/>
      <c r="B123" s="962"/>
      <c r="C123" s="54" t="s">
        <v>1046</v>
      </c>
      <c r="D123" s="189" t="s">
        <v>1047</v>
      </c>
      <c r="E123" s="34">
        <v>0.2</v>
      </c>
      <c r="F123" s="28">
        <f>F113</f>
        <v>605</v>
      </c>
      <c r="G123" s="215">
        <f>ROUND(E123*F123,2)</f>
        <v>121</v>
      </c>
      <c r="H123" s="649"/>
      <c r="I123" s="12"/>
    </row>
    <row r="124" spans="1:9" s="7" customFormat="1">
      <c r="A124" s="616"/>
      <c r="B124" s="907"/>
      <c r="C124" s="54" t="s">
        <v>896</v>
      </c>
      <c r="D124" s="189"/>
      <c r="E124" s="34">
        <f>'Lead- Input sheet '!Q31</f>
        <v>0</v>
      </c>
      <c r="F124" s="28">
        <f>G123</f>
        <v>121</v>
      </c>
      <c r="G124" s="215">
        <f>ROUND(F124*E124,2)</f>
        <v>0</v>
      </c>
      <c r="H124" s="642"/>
      <c r="I124" s="12"/>
    </row>
    <row r="125" spans="1:9">
      <c r="A125" s="620"/>
      <c r="B125" s="962"/>
      <c r="C125" s="54" t="s">
        <v>1048</v>
      </c>
      <c r="D125" s="189"/>
      <c r="E125" s="34"/>
      <c r="F125" s="923" t="s">
        <v>1486</v>
      </c>
      <c r="G125" s="707">
        <f>ROUND(SUM(G119:G124),2)</f>
        <v>2620.6999999999998</v>
      </c>
      <c r="H125" s="649"/>
      <c r="I125" s="12"/>
    </row>
    <row r="126" spans="1:9" s="3" customFormat="1" ht="167.25" customHeight="1">
      <c r="A126" s="617" t="s">
        <v>994</v>
      </c>
      <c r="B126" s="962">
        <v>11</v>
      </c>
      <c r="C126" s="55" t="s">
        <v>713</v>
      </c>
      <c r="D126" s="189"/>
      <c r="E126" s="34"/>
      <c r="F126" s="28"/>
      <c r="G126" s="215"/>
      <c r="H126" s="649"/>
      <c r="I126" s="12"/>
    </row>
    <row r="127" spans="1:9" s="3" customFormat="1">
      <c r="A127" s="620"/>
      <c r="B127" s="962"/>
      <c r="C127" s="54" t="s">
        <v>346</v>
      </c>
      <c r="D127" s="189"/>
      <c r="E127" s="34"/>
      <c r="F127" s="28"/>
      <c r="G127" s="215"/>
      <c r="H127" s="649"/>
      <c r="I127" s="12"/>
    </row>
    <row r="128" spans="1:9" s="3" customFormat="1">
      <c r="A128" s="620"/>
      <c r="B128" s="962"/>
      <c r="C128" s="54" t="s">
        <v>1041</v>
      </c>
      <c r="D128" s="189"/>
      <c r="E128" s="34"/>
      <c r="F128" s="28"/>
      <c r="G128" s="215"/>
      <c r="H128" s="649"/>
      <c r="I128" s="12"/>
    </row>
    <row r="129" spans="1:10" s="3" customFormat="1">
      <c r="A129" s="620"/>
      <c r="B129" s="962"/>
      <c r="C129" s="54" t="s">
        <v>523</v>
      </c>
      <c r="D129" s="189" t="s">
        <v>347</v>
      </c>
      <c r="E129" s="34">
        <v>162</v>
      </c>
      <c r="F129" s="28">
        <f>'Lead- Input sheet '!R8</f>
        <v>6656</v>
      </c>
      <c r="G129" s="215">
        <f>ROUND(E129*F129/1000,2)</f>
        <v>1078.27</v>
      </c>
      <c r="H129" s="649"/>
      <c r="I129" s="12"/>
    </row>
    <row r="130" spans="1:10" s="3" customFormat="1">
      <c r="A130" s="620"/>
      <c r="B130" s="962"/>
      <c r="C130" s="54" t="s">
        <v>349</v>
      </c>
      <c r="D130" s="189" t="s">
        <v>1473</v>
      </c>
      <c r="E130" s="34">
        <v>0.9</v>
      </c>
      <c r="F130" s="28">
        <f>'Lead- Input sheet '!R17</f>
        <v>1182.2033622320996</v>
      </c>
      <c r="G130" s="215">
        <f>ROUND(E130*F130,2)</f>
        <v>1063.98</v>
      </c>
      <c r="H130" s="649"/>
      <c r="I130" s="12"/>
    </row>
    <row r="131" spans="1:10" s="3" customFormat="1">
      <c r="A131" s="620"/>
      <c r="B131" s="962"/>
      <c r="C131" s="54" t="s">
        <v>1571</v>
      </c>
      <c r="D131" s="189" t="s">
        <v>1473</v>
      </c>
      <c r="E131" s="34">
        <v>0.45</v>
      </c>
      <c r="F131" s="28">
        <f>'Lead- Input sheet '!R13</f>
        <v>1010.6380759582802</v>
      </c>
      <c r="G131" s="215">
        <f>ROUND(E131*F131,2)</f>
        <v>454.79</v>
      </c>
      <c r="H131" s="649"/>
      <c r="I131" s="12"/>
    </row>
    <row r="132" spans="1:10" s="3" customFormat="1">
      <c r="A132" s="620"/>
      <c r="B132" s="962"/>
      <c r="C132" s="54" t="s">
        <v>629</v>
      </c>
      <c r="D132" s="189" t="s">
        <v>871</v>
      </c>
      <c r="E132" s="34">
        <v>1.2</v>
      </c>
      <c r="F132" s="28">
        <f>'Lead- Input sheet '!P34</f>
        <v>81</v>
      </c>
      <c r="G132" s="215">
        <f>ROUND(E132*F132,2)</f>
        <v>97.2</v>
      </c>
      <c r="H132" s="649"/>
      <c r="I132" s="12"/>
    </row>
    <row r="133" spans="1:10" s="3" customFormat="1">
      <c r="A133" s="620"/>
      <c r="B133" s="962"/>
      <c r="C133" s="54" t="s">
        <v>344</v>
      </c>
      <c r="D133" s="189" t="s">
        <v>345</v>
      </c>
      <c r="E133" s="34">
        <v>1</v>
      </c>
      <c r="F133" s="28">
        <v>472.6</v>
      </c>
      <c r="G133" s="215">
        <f>ROUND(E133*F133,2)</f>
        <v>472.6</v>
      </c>
      <c r="H133" s="649"/>
      <c r="I133" s="12"/>
      <c r="J133" s="12"/>
    </row>
    <row r="134" spans="1:10" s="3" customFormat="1">
      <c r="A134" s="620"/>
      <c r="B134" s="962"/>
      <c r="C134" s="54" t="s">
        <v>1045</v>
      </c>
      <c r="D134" s="189"/>
      <c r="E134" s="34"/>
      <c r="F134" s="28"/>
      <c r="G134" s="215"/>
      <c r="H134" s="649"/>
      <c r="I134" s="12"/>
    </row>
    <row r="135" spans="1:10" s="3" customFormat="1" ht="14.1">
      <c r="A135" s="620"/>
      <c r="B135" s="962"/>
      <c r="C135" s="54" t="s">
        <v>746</v>
      </c>
      <c r="D135" s="189" t="s">
        <v>1047</v>
      </c>
      <c r="E135" s="34">
        <v>0.1</v>
      </c>
      <c r="F135" s="28">
        <f>'Lead- Input sheet '!R31</f>
        <v>680</v>
      </c>
      <c r="G135" s="215">
        <f>ROUND(E135*F135,2)</f>
        <v>68</v>
      </c>
      <c r="H135" s="649"/>
      <c r="I135" s="12"/>
    </row>
    <row r="136" spans="1:10" s="3" customFormat="1">
      <c r="A136" s="620"/>
      <c r="B136" s="962"/>
      <c r="C136" s="54" t="s">
        <v>341</v>
      </c>
      <c r="D136" s="189" t="s">
        <v>1047</v>
      </c>
      <c r="E136" s="34">
        <v>1.39</v>
      </c>
      <c r="F136" s="28">
        <f>'Lead- Input sheet '!R29</f>
        <v>605</v>
      </c>
      <c r="G136" s="215">
        <f>ROUND(E136*F136,2)</f>
        <v>840.95</v>
      </c>
      <c r="H136" s="648"/>
      <c r="I136" s="12"/>
    </row>
    <row r="137" spans="1:10" s="7" customFormat="1">
      <c r="A137" s="647"/>
      <c r="B137" s="907"/>
      <c r="C137" s="643" t="s">
        <v>896</v>
      </c>
      <c r="D137" s="644"/>
      <c r="E137" s="645">
        <f>'Lead- Input sheet '!Q31</f>
        <v>0</v>
      </c>
      <c r="F137" s="922">
        <f>SUM(G135:G136)</f>
        <v>908.95</v>
      </c>
      <c r="G137" s="646">
        <f>ROUND(F137*E137,2)</f>
        <v>0</v>
      </c>
      <c r="H137" s="642"/>
      <c r="I137" s="12"/>
    </row>
    <row r="138" spans="1:10" s="3" customFormat="1">
      <c r="A138" s="620"/>
      <c r="B138" s="962"/>
      <c r="C138" s="54" t="s">
        <v>710</v>
      </c>
      <c r="D138" s="189"/>
      <c r="E138" s="34">
        <f>SUM(G129:G137)</f>
        <v>4075.79</v>
      </c>
      <c r="F138" s="28">
        <v>0.01</v>
      </c>
      <c r="G138" s="215">
        <f>ROUND(E138*F138,2)</f>
        <v>40.76</v>
      </c>
      <c r="H138" s="649"/>
      <c r="I138" s="12"/>
    </row>
    <row r="139" spans="1:10" s="3" customFormat="1">
      <c r="A139" s="620"/>
      <c r="B139" s="962"/>
      <c r="C139" s="54" t="s">
        <v>1048</v>
      </c>
      <c r="D139" s="189"/>
      <c r="E139" s="34"/>
      <c r="F139" s="28"/>
      <c r="G139" s="215">
        <f>SUM(G129:G138)</f>
        <v>4116.55</v>
      </c>
      <c r="H139" s="649"/>
      <c r="I139" s="12"/>
    </row>
    <row r="140" spans="1:10" s="6" customFormat="1">
      <c r="A140" s="45"/>
      <c r="B140" s="907"/>
      <c r="C140" s="55" t="s">
        <v>1600</v>
      </c>
      <c r="D140" s="190"/>
      <c r="E140" s="158">
        <f>G139</f>
        <v>4116.55</v>
      </c>
      <c r="F140" s="940">
        <f>'Lead- Input sheet '!Q32</f>
        <v>0</v>
      </c>
      <c r="G140" s="182">
        <f>ROUND(F140*E140,2)</f>
        <v>0</v>
      </c>
      <c r="H140" s="650"/>
      <c r="I140" s="12"/>
    </row>
    <row r="141" spans="1:10" s="6" customFormat="1">
      <c r="A141" s="45"/>
      <c r="B141" s="907"/>
      <c r="C141" s="18"/>
      <c r="D141" s="190"/>
      <c r="E141" s="158"/>
      <c r="F141" s="923" t="s">
        <v>1486</v>
      </c>
      <c r="G141" s="707">
        <f>SUM(G139:G140)</f>
        <v>4116.55</v>
      </c>
      <c r="H141" s="651"/>
      <c r="I141" s="12"/>
    </row>
    <row r="142" spans="1:10" s="3" customFormat="1">
      <c r="A142" s="620"/>
      <c r="B142" s="962"/>
      <c r="C142" s="54" t="s">
        <v>899</v>
      </c>
      <c r="D142" s="189" t="s">
        <v>1473</v>
      </c>
      <c r="E142" s="34">
        <v>0.9</v>
      </c>
      <c r="F142" s="28">
        <f>'Lead- Input sheet '!O17</f>
        <v>0</v>
      </c>
      <c r="G142" s="215">
        <f>ROUND(E142*F142,2)</f>
        <v>0</v>
      </c>
      <c r="H142" s="649"/>
      <c r="I142" s="12"/>
    </row>
    <row r="143" spans="1:10" s="3" customFormat="1">
      <c r="A143" s="620"/>
      <c r="B143" s="962"/>
      <c r="C143" s="54" t="s">
        <v>900</v>
      </c>
      <c r="D143" s="189" t="s">
        <v>1473</v>
      </c>
      <c r="E143" s="34">
        <v>0.45</v>
      </c>
      <c r="F143" s="28">
        <f>'Lead- Input sheet '!O13</f>
        <v>0</v>
      </c>
      <c r="G143" s="215">
        <f>ROUND(E143*F143,2)</f>
        <v>0</v>
      </c>
      <c r="H143" s="649"/>
      <c r="I143" s="12"/>
    </row>
    <row r="144" spans="1:10" s="6" customFormat="1">
      <c r="A144" s="45"/>
      <c r="B144" s="907"/>
      <c r="C144" s="55" t="s">
        <v>744</v>
      </c>
      <c r="D144" s="190"/>
      <c r="E144" s="158"/>
      <c r="F144" s="923"/>
      <c r="G144" s="707">
        <f>SUM(G141:G143)</f>
        <v>4116.55</v>
      </c>
      <c r="H144" s="651"/>
      <c r="I144" s="12"/>
    </row>
    <row r="145" spans="1:9" ht="153" customHeight="1">
      <c r="A145" s="617" t="s">
        <v>995</v>
      </c>
      <c r="B145" s="962">
        <v>12</v>
      </c>
      <c r="C145" s="55" t="s">
        <v>1498</v>
      </c>
      <c r="D145" s="189"/>
      <c r="E145" s="34"/>
      <c r="F145" s="28"/>
      <c r="G145" s="215"/>
      <c r="H145" s="649"/>
      <c r="I145" s="12"/>
    </row>
    <row r="146" spans="1:9">
      <c r="A146" s="620"/>
      <c r="B146" s="962"/>
      <c r="C146" s="54" t="s">
        <v>346</v>
      </c>
      <c r="D146" s="189"/>
      <c r="E146" s="34"/>
      <c r="F146" s="28"/>
      <c r="G146" s="215"/>
      <c r="H146" s="649"/>
      <c r="I146" s="12"/>
    </row>
    <row r="147" spans="1:9">
      <c r="A147" s="620"/>
      <c r="B147" s="962"/>
      <c r="C147" s="54" t="s">
        <v>1041</v>
      </c>
      <c r="D147" s="189"/>
      <c r="E147" s="34"/>
      <c r="F147" s="28"/>
      <c r="G147" s="215"/>
      <c r="H147" s="649"/>
      <c r="I147" s="12"/>
    </row>
    <row r="148" spans="1:9">
      <c r="A148" s="620"/>
      <c r="B148" s="962"/>
      <c r="C148" s="54" t="s">
        <v>523</v>
      </c>
      <c r="D148" s="189" t="s">
        <v>347</v>
      </c>
      <c r="E148" s="34">
        <v>129.6</v>
      </c>
      <c r="F148" s="28">
        <f>'Lead- Input sheet '!R8</f>
        <v>6656</v>
      </c>
      <c r="G148" s="215">
        <f>ROUND(E148*F148/1000,2)</f>
        <v>862.62</v>
      </c>
      <c r="H148" s="649"/>
      <c r="I148" s="12"/>
    </row>
    <row r="149" spans="1:9">
      <c r="A149" s="620"/>
      <c r="B149" s="962"/>
      <c r="C149" s="54" t="s">
        <v>349</v>
      </c>
      <c r="D149" s="189" t="s">
        <v>1473</v>
      </c>
      <c r="E149" s="34">
        <v>0.9</v>
      </c>
      <c r="F149" s="28">
        <f>'Lead- Input sheet '!R17</f>
        <v>1182.2033622320996</v>
      </c>
      <c r="G149" s="215">
        <f>ROUND(E149*F149,2)</f>
        <v>1063.98</v>
      </c>
      <c r="H149" s="649"/>
      <c r="I149" s="12"/>
    </row>
    <row r="150" spans="1:9">
      <c r="A150" s="620"/>
      <c r="B150" s="962"/>
      <c r="C150" s="54" t="s">
        <v>1571</v>
      </c>
      <c r="D150" s="189" t="s">
        <v>1473</v>
      </c>
      <c r="E150" s="34">
        <v>0.45</v>
      </c>
      <c r="F150" s="28">
        <f>'Lead- Input sheet '!R13</f>
        <v>1010.6380759582802</v>
      </c>
      <c r="G150" s="215">
        <f>ROUND(E150*F150,2)</f>
        <v>454.79</v>
      </c>
      <c r="H150" s="649"/>
      <c r="I150" s="12"/>
    </row>
    <row r="151" spans="1:9">
      <c r="A151" s="620"/>
      <c r="B151" s="962"/>
      <c r="C151" s="54" t="s">
        <v>870</v>
      </c>
      <c r="D151" s="189" t="s">
        <v>871</v>
      </c>
      <c r="E151" s="34">
        <v>1.2</v>
      </c>
      <c r="F151" s="28">
        <f>IF('Lead- Input sheet '!$Q$31=40%,'Lead- Input sheet '!$P$35,'Lead- Input sheet '!$Q$35)</f>
        <v>73</v>
      </c>
      <c r="G151" s="215">
        <f>ROUND(E151*F151,2)</f>
        <v>87.6</v>
      </c>
      <c r="H151" s="649"/>
      <c r="I151" s="12"/>
    </row>
    <row r="152" spans="1:9">
      <c r="A152" s="620"/>
      <c r="B152" s="962"/>
      <c r="C152" s="54" t="s">
        <v>1044</v>
      </c>
      <c r="D152" s="189"/>
      <c r="E152" s="34"/>
      <c r="F152" s="28"/>
      <c r="G152" s="215"/>
      <c r="H152" s="649"/>
      <c r="I152" s="12"/>
    </row>
    <row r="153" spans="1:9">
      <c r="A153" s="620"/>
      <c r="B153" s="962"/>
      <c r="C153" s="54" t="s">
        <v>344</v>
      </c>
      <c r="D153" s="189" t="s">
        <v>345</v>
      </c>
      <c r="E153" s="34">
        <v>1</v>
      </c>
      <c r="F153" s="28">
        <v>472.6</v>
      </c>
      <c r="G153" s="215">
        <f>ROUND(E153*F153,2)</f>
        <v>472.6</v>
      </c>
      <c r="H153" s="649"/>
      <c r="I153" s="12"/>
    </row>
    <row r="154" spans="1:9">
      <c r="A154" s="620"/>
      <c r="B154" s="962"/>
      <c r="C154" s="54" t="s">
        <v>1045</v>
      </c>
      <c r="D154" s="189"/>
      <c r="E154" s="34"/>
      <c r="F154" s="28"/>
      <c r="G154" s="215"/>
      <c r="H154" s="649"/>
      <c r="I154" s="12"/>
    </row>
    <row r="155" spans="1:9" ht="14.1">
      <c r="A155" s="620"/>
      <c r="B155" s="962"/>
      <c r="C155" s="54" t="s">
        <v>746</v>
      </c>
      <c r="D155" s="189" t="s">
        <v>1047</v>
      </c>
      <c r="E155" s="34">
        <v>0.1</v>
      </c>
      <c r="F155" s="28">
        <f>'Lead- Input sheet '!R31</f>
        <v>680</v>
      </c>
      <c r="G155" s="215">
        <f>ROUND(E155*F155,2)</f>
        <v>68</v>
      </c>
      <c r="H155" s="649"/>
      <c r="I155" s="12"/>
    </row>
    <row r="156" spans="1:9">
      <c r="A156" s="620"/>
      <c r="B156" s="962"/>
      <c r="C156" s="54" t="s">
        <v>341</v>
      </c>
      <c r="D156" s="189" t="s">
        <v>1047</v>
      </c>
      <c r="E156" s="34">
        <v>1.39</v>
      </c>
      <c r="F156" s="28">
        <f>'Lead- Input sheet '!R29</f>
        <v>605</v>
      </c>
      <c r="G156" s="215">
        <f>ROUND(E156*F156,2)</f>
        <v>840.95</v>
      </c>
      <c r="H156" s="648"/>
      <c r="I156" s="12"/>
    </row>
    <row r="157" spans="1:9" s="7" customFormat="1">
      <c r="A157" s="647"/>
      <c r="B157" s="907"/>
      <c r="C157" s="643" t="s">
        <v>896</v>
      </c>
      <c r="D157" s="644"/>
      <c r="E157" s="645">
        <f>'Lead- Input sheet '!Q31</f>
        <v>0</v>
      </c>
      <c r="F157" s="922">
        <f>SUM(G155:G156)</f>
        <v>908.95</v>
      </c>
      <c r="G157" s="646">
        <f>ROUND(F157*E157,2)</f>
        <v>0</v>
      </c>
      <c r="H157" s="642"/>
      <c r="I157" s="12"/>
    </row>
    <row r="158" spans="1:9">
      <c r="A158" s="620"/>
      <c r="B158" s="962"/>
      <c r="C158" s="54" t="s">
        <v>1048</v>
      </c>
      <c r="D158" s="189"/>
      <c r="E158" s="34"/>
      <c r="F158" s="28"/>
      <c r="G158" s="215">
        <f>ROUND(SUM(G148:G157),2)</f>
        <v>3850.54</v>
      </c>
      <c r="H158" s="649"/>
      <c r="I158" s="12"/>
    </row>
    <row r="159" spans="1:9" s="6" customFormat="1">
      <c r="A159" s="45"/>
      <c r="B159" s="907"/>
      <c r="C159" s="55" t="s">
        <v>1600</v>
      </c>
      <c r="D159" s="190"/>
      <c r="E159" s="158">
        <f>G158</f>
        <v>3850.54</v>
      </c>
      <c r="F159" s="940">
        <f>'Lead- Input sheet '!Q32</f>
        <v>0</v>
      </c>
      <c r="G159" s="182">
        <f>ROUND(F159*E159,2)</f>
        <v>0</v>
      </c>
      <c r="H159" s="650"/>
      <c r="I159" s="12"/>
    </row>
    <row r="160" spans="1:9" s="6" customFormat="1">
      <c r="A160" s="45"/>
      <c r="B160" s="907"/>
      <c r="C160" s="55" t="s">
        <v>744</v>
      </c>
      <c r="D160" s="190"/>
      <c r="E160" s="158"/>
      <c r="F160" s="923" t="s">
        <v>1486</v>
      </c>
      <c r="G160" s="707">
        <f>SUM(G158:G159)</f>
        <v>3850.54</v>
      </c>
      <c r="H160" s="651"/>
      <c r="I160" s="12"/>
    </row>
    <row r="161" spans="1:9" s="3" customFormat="1">
      <c r="A161" s="620"/>
      <c r="B161" s="962"/>
      <c r="C161" s="54" t="s">
        <v>899</v>
      </c>
      <c r="D161" s="189" t="s">
        <v>1473</v>
      </c>
      <c r="E161" s="34">
        <v>0.9</v>
      </c>
      <c r="F161" s="28">
        <f>'Lead- Input sheet '!O17</f>
        <v>0</v>
      </c>
      <c r="G161" s="215">
        <f>ROUND(E161*F161,2)</f>
        <v>0</v>
      </c>
      <c r="H161" s="649"/>
      <c r="I161" s="12"/>
    </row>
    <row r="162" spans="1:9" s="3" customFormat="1">
      <c r="A162" s="620"/>
      <c r="B162" s="962"/>
      <c r="C162" s="54" t="s">
        <v>900</v>
      </c>
      <c r="D162" s="189" t="s">
        <v>1473</v>
      </c>
      <c r="E162" s="34">
        <v>0.45</v>
      </c>
      <c r="F162" s="28">
        <f>'Lead- Input sheet '!O13</f>
        <v>0</v>
      </c>
      <c r="G162" s="215">
        <f>ROUND(E162*F162,2)</f>
        <v>0</v>
      </c>
      <c r="H162" s="649"/>
      <c r="I162" s="12"/>
    </row>
    <row r="163" spans="1:9" s="6" customFormat="1">
      <c r="A163" s="45"/>
      <c r="B163" s="907"/>
      <c r="C163" s="55" t="s">
        <v>744</v>
      </c>
      <c r="D163" s="190"/>
      <c r="E163" s="158"/>
      <c r="F163" s="923"/>
      <c r="G163" s="707">
        <f>SUM(G160:G162)</f>
        <v>3850.54</v>
      </c>
      <c r="H163" s="651"/>
      <c r="I163" s="12"/>
    </row>
    <row r="164" spans="1:9" ht="140.25" customHeight="1">
      <c r="A164" s="617" t="s">
        <v>878</v>
      </c>
      <c r="B164" s="962">
        <v>13</v>
      </c>
      <c r="C164" s="54" t="s">
        <v>30</v>
      </c>
      <c r="D164" s="189"/>
      <c r="E164" s="34"/>
      <c r="F164" s="28"/>
      <c r="G164" s="215"/>
      <c r="H164" s="649"/>
      <c r="I164" s="12"/>
    </row>
    <row r="165" spans="1:9">
      <c r="A165" s="620"/>
      <c r="B165" s="962"/>
      <c r="C165" s="54" t="s">
        <v>346</v>
      </c>
      <c r="D165" s="189"/>
      <c r="E165" s="34"/>
      <c r="F165" s="28"/>
      <c r="G165" s="215"/>
      <c r="H165" s="649"/>
      <c r="I165" s="12"/>
    </row>
    <row r="166" spans="1:9">
      <c r="A166" s="620"/>
      <c r="B166" s="962"/>
      <c r="C166" s="54" t="s">
        <v>1041</v>
      </c>
      <c r="D166" s="189"/>
      <c r="E166" s="34"/>
      <c r="F166" s="28"/>
      <c r="G166" s="215"/>
      <c r="H166" s="649"/>
      <c r="I166" s="12"/>
    </row>
    <row r="167" spans="1:9">
      <c r="A167" s="620"/>
      <c r="B167" s="962"/>
      <c r="C167" s="54" t="s">
        <v>523</v>
      </c>
      <c r="D167" s="189" t="s">
        <v>347</v>
      </c>
      <c r="E167" s="34">
        <v>79.2</v>
      </c>
      <c r="F167" s="28">
        <f>'Lead- Input sheet '!R8</f>
        <v>6656</v>
      </c>
      <c r="G167" s="215">
        <f>ROUND(E167*F167/1000,2)</f>
        <v>527.16</v>
      </c>
      <c r="H167" s="658"/>
      <c r="I167" s="12"/>
    </row>
    <row r="168" spans="1:9">
      <c r="A168" s="620"/>
      <c r="B168" s="962"/>
      <c r="C168" s="54" t="s">
        <v>1223</v>
      </c>
      <c r="D168" s="189" t="s">
        <v>1473</v>
      </c>
      <c r="E168" s="34">
        <v>0.44</v>
      </c>
      <c r="F168" s="28">
        <f>'Lead- Input sheet '!R22</f>
        <v>438.30251287241998</v>
      </c>
      <c r="G168" s="215">
        <f>ROUND(E168*F168,2)</f>
        <v>192.85</v>
      </c>
      <c r="H168" s="649"/>
      <c r="I168" s="12"/>
    </row>
    <row r="169" spans="1:9" s="3" customFormat="1">
      <c r="A169" s="620"/>
      <c r="B169" s="962"/>
      <c r="C169" s="54" t="s">
        <v>1224</v>
      </c>
      <c r="D169" s="189" t="s">
        <v>1473</v>
      </c>
      <c r="E169" s="34">
        <v>0.5</v>
      </c>
      <c r="F169" s="28">
        <f>'Lead- Input sheet '!R21</f>
        <v>427.30251287241998</v>
      </c>
      <c r="G169" s="215">
        <f>ROUND(E169*F169,2)</f>
        <v>213.65</v>
      </c>
      <c r="H169" s="649"/>
      <c r="I169" s="12"/>
    </row>
    <row r="170" spans="1:9">
      <c r="A170" s="620"/>
      <c r="B170" s="962"/>
      <c r="C170" s="54" t="s">
        <v>630</v>
      </c>
      <c r="D170" s="189" t="s">
        <v>1473</v>
      </c>
      <c r="E170" s="34">
        <v>0.16</v>
      </c>
      <c r="F170" s="28">
        <f>'Lead- Input sheet '!R24</f>
        <v>1633.56251287242</v>
      </c>
      <c r="G170" s="215">
        <f>ROUND(E170*F170,2)</f>
        <v>261.37</v>
      </c>
      <c r="H170" s="649"/>
      <c r="I170" s="12"/>
    </row>
    <row r="171" spans="1:9">
      <c r="A171" s="620"/>
      <c r="B171" s="962"/>
      <c r="C171" s="54" t="s">
        <v>1577</v>
      </c>
      <c r="D171" s="189" t="s">
        <v>1473</v>
      </c>
      <c r="E171" s="34">
        <v>0.33</v>
      </c>
      <c r="F171" s="28">
        <f>'Lead- Input sheet '!R11</f>
        <v>1239.6380759582803</v>
      </c>
      <c r="G171" s="215">
        <f>ROUND(E171*F171,2)</f>
        <v>409.08</v>
      </c>
      <c r="H171" s="649"/>
      <c r="I171" s="12"/>
    </row>
    <row r="172" spans="1:9">
      <c r="A172" s="620"/>
      <c r="B172" s="962"/>
      <c r="C172" s="54" t="s">
        <v>340</v>
      </c>
      <c r="D172" s="189"/>
      <c r="E172" s="34"/>
      <c r="F172" s="28"/>
      <c r="G172" s="215"/>
      <c r="H172" s="649"/>
      <c r="I172" s="12"/>
    </row>
    <row r="173" spans="1:9" ht="14.1">
      <c r="A173" s="620"/>
      <c r="B173" s="962"/>
      <c r="C173" s="54" t="s">
        <v>746</v>
      </c>
      <c r="D173" s="189" t="s">
        <v>1047</v>
      </c>
      <c r="E173" s="34">
        <v>1.2</v>
      </c>
      <c r="F173" s="28">
        <f>'Lead- Input sheet '!R31</f>
        <v>680</v>
      </c>
      <c r="G173" s="215">
        <f>ROUND(E173*F173,2)</f>
        <v>816</v>
      </c>
      <c r="H173" s="649"/>
      <c r="I173" s="12"/>
    </row>
    <row r="174" spans="1:9">
      <c r="A174" s="620"/>
      <c r="B174" s="962"/>
      <c r="C174" s="54" t="s">
        <v>341</v>
      </c>
      <c r="D174" s="189" t="s">
        <v>1047</v>
      </c>
      <c r="E174" s="34">
        <v>2</v>
      </c>
      <c r="F174" s="28">
        <f>'Lead- Input sheet '!R29</f>
        <v>605</v>
      </c>
      <c r="G174" s="215">
        <f>ROUND(E174*F174,2)</f>
        <v>1210</v>
      </c>
      <c r="H174" s="648"/>
      <c r="I174" s="12"/>
    </row>
    <row r="175" spans="1:9" s="7" customFormat="1">
      <c r="A175" s="647"/>
      <c r="B175" s="907"/>
      <c r="C175" s="643" t="s">
        <v>896</v>
      </c>
      <c r="D175" s="644"/>
      <c r="E175" s="645">
        <f>'Lead- Input sheet '!Q31</f>
        <v>0</v>
      </c>
      <c r="F175" s="922">
        <f>SUM(G172:G174)</f>
        <v>2026</v>
      </c>
      <c r="G175" s="646">
        <f>ROUND(F175*E175,2)</f>
        <v>0</v>
      </c>
      <c r="H175" s="642"/>
      <c r="I175" s="12"/>
    </row>
    <row r="176" spans="1:9" s="57" customFormat="1">
      <c r="A176" s="617"/>
      <c r="B176" s="962"/>
      <c r="C176" s="55" t="s">
        <v>1048</v>
      </c>
      <c r="D176" s="190"/>
      <c r="E176" s="158"/>
      <c r="F176" s="940"/>
      <c r="G176" s="182">
        <f>SUM(G167:G175)</f>
        <v>3630.1099999999997</v>
      </c>
      <c r="H176" s="649"/>
      <c r="I176" s="12"/>
    </row>
    <row r="177" spans="1:9" s="6" customFormat="1">
      <c r="A177" s="45"/>
      <c r="B177" s="907"/>
      <c r="C177" s="55" t="s">
        <v>1600</v>
      </c>
      <c r="D177" s="190"/>
      <c r="E177" s="158">
        <f>G176</f>
        <v>3630.1099999999997</v>
      </c>
      <c r="F177" s="940">
        <f>'Lead- Input sheet '!Q32</f>
        <v>0</v>
      </c>
      <c r="G177" s="182">
        <f>ROUND(F177*E177,2)</f>
        <v>0</v>
      </c>
      <c r="H177" s="650"/>
      <c r="I177" s="12"/>
    </row>
    <row r="178" spans="1:9" s="6" customFormat="1">
      <c r="A178" s="45"/>
      <c r="B178" s="907"/>
      <c r="C178" s="55" t="s">
        <v>1130</v>
      </c>
      <c r="D178" s="190"/>
      <c r="E178" s="158"/>
      <c r="F178" s="923" t="s">
        <v>1486</v>
      </c>
      <c r="G178" s="707">
        <f>SUM(G176:G177)</f>
        <v>3630.1099999999997</v>
      </c>
      <c r="H178" s="651"/>
      <c r="I178" s="12"/>
    </row>
    <row r="179" spans="1:9" s="3" customFormat="1">
      <c r="A179" s="620"/>
      <c r="B179" s="962"/>
      <c r="C179" s="54" t="s">
        <v>902</v>
      </c>
      <c r="D179" s="34" t="s">
        <v>1473</v>
      </c>
      <c r="E179" s="34">
        <v>1.1000000000000001</v>
      </c>
      <c r="F179" s="28">
        <f>'Lead- Input sheet '!$O$21</f>
        <v>0</v>
      </c>
      <c r="G179" s="182">
        <f>ROUND(F179*E179,2)</f>
        <v>0</v>
      </c>
      <c r="H179" s="649"/>
      <c r="I179" s="12"/>
    </row>
    <row r="180" spans="1:9" s="3" customFormat="1">
      <c r="A180" s="620"/>
      <c r="B180" s="962"/>
      <c r="C180" s="54" t="s">
        <v>900</v>
      </c>
      <c r="D180" s="34" t="s">
        <v>1473</v>
      </c>
      <c r="E180" s="34">
        <v>0.33</v>
      </c>
      <c r="F180" s="28">
        <f>'Lead- Input sheet '!$O$11</f>
        <v>0</v>
      </c>
      <c r="G180" s="182">
        <f>ROUND(F180*E180,2)</f>
        <v>0</v>
      </c>
      <c r="H180" s="649"/>
      <c r="I180" s="12"/>
    </row>
    <row r="181" spans="1:9" s="3" customFormat="1">
      <c r="A181" s="620"/>
      <c r="B181" s="962"/>
      <c r="C181" s="55" t="s">
        <v>1130</v>
      </c>
      <c r="D181" s="34"/>
      <c r="E181" s="34"/>
      <c r="F181" s="28"/>
      <c r="G181" s="707">
        <f>SUM(G178:G180)</f>
        <v>3630.1099999999997</v>
      </c>
      <c r="H181" s="649"/>
      <c r="I181" s="12"/>
    </row>
    <row r="182" spans="1:9" ht="22.2">
      <c r="A182" s="617" t="s">
        <v>879</v>
      </c>
      <c r="B182" s="962">
        <v>14</v>
      </c>
      <c r="C182" s="55" t="s">
        <v>1225</v>
      </c>
      <c r="D182" s="189"/>
      <c r="E182" s="34"/>
      <c r="F182" s="28"/>
      <c r="G182" s="215"/>
      <c r="H182" s="649"/>
      <c r="I182" s="12"/>
    </row>
    <row r="183" spans="1:9">
      <c r="A183" s="620"/>
      <c r="B183" s="962"/>
      <c r="C183" s="54" t="s">
        <v>346</v>
      </c>
      <c r="D183" s="189"/>
      <c r="E183" s="34"/>
      <c r="F183" s="28"/>
      <c r="G183" s="215"/>
      <c r="H183" s="649"/>
      <c r="I183" s="12"/>
    </row>
    <row r="184" spans="1:9">
      <c r="A184" s="620"/>
      <c r="B184" s="962"/>
      <c r="C184" s="54" t="s">
        <v>1041</v>
      </c>
      <c r="D184" s="189"/>
      <c r="E184" s="34"/>
      <c r="F184" s="28"/>
      <c r="G184" s="215"/>
      <c r="H184" s="649"/>
      <c r="I184" s="12"/>
    </row>
    <row r="185" spans="1:9">
      <c r="A185" s="620"/>
      <c r="B185" s="962"/>
      <c r="C185" s="54" t="s">
        <v>523</v>
      </c>
      <c r="D185" s="189" t="s">
        <v>347</v>
      </c>
      <c r="E185" s="34">
        <v>59.4</v>
      </c>
      <c r="F185" s="28">
        <f>'Lead- Input sheet '!R8</f>
        <v>6656</v>
      </c>
      <c r="G185" s="215">
        <f>ROUND(E185*F185/1000,2)</f>
        <v>395.37</v>
      </c>
      <c r="H185" s="649"/>
      <c r="I185" s="12"/>
    </row>
    <row r="186" spans="1:9">
      <c r="A186" s="620"/>
      <c r="B186" s="962"/>
      <c r="C186" s="54" t="s">
        <v>1223</v>
      </c>
      <c r="D186" s="189" t="s">
        <v>1473</v>
      </c>
      <c r="E186" s="34">
        <v>0.44</v>
      </c>
      <c r="F186" s="28">
        <f>'Lead- Input sheet '!R22</f>
        <v>438.30251287241998</v>
      </c>
      <c r="G186" s="215">
        <f>ROUND(E186*F186,2)</f>
        <v>192.85</v>
      </c>
      <c r="H186" s="649"/>
      <c r="I186" s="12"/>
    </row>
    <row r="187" spans="1:9" s="3" customFormat="1">
      <c r="A187" s="620"/>
      <c r="B187" s="962"/>
      <c r="C187" s="54" t="s">
        <v>1224</v>
      </c>
      <c r="D187" s="189" t="s">
        <v>1473</v>
      </c>
      <c r="E187" s="34">
        <v>0.5</v>
      </c>
      <c r="F187" s="28">
        <f>'Lead- Input sheet '!R21</f>
        <v>427.30251287241998</v>
      </c>
      <c r="G187" s="215">
        <f>ROUND(E187*F187,2)</f>
        <v>213.65</v>
      </c>
      <c r="H187" s="649"/>
      <c r="I187" s="12"/>
    </row>
    <row r="188" spans="1:9">
      <c r="A188" s="620"/>
      <c r="B188" s="962"/>
      <c r="C188" s="54" t="s">
        <v>631</v>
      </c>
      <c r="D188" s="189" t="s">
        <v>1473</v>
      </c>
      <c r="E188" s="34">
        <v>0.16</v>
      </c>
      <c r="F188" s="28">
        <f>'Lead- Input sheet '!R24</f>
        <v>1633.56251287242</v>
      </c>
      <c r="G188" s="215">
        <f>ROUND(E188*F188,2)</f>
        <v>261.37</v>
      </c>
      <c r="H188" s="649"/>
      <c r="I188" s="12"/>
    </row>
    <row r="189" spans="1:9">
      <c r="A189" s="620"/>
      <c r="B189" s="962"/>
      <c r="C189" s="54" t="s">
        <v>1577</v>
      </c>
      <c r="D189" s="189" t="s">
        <v>1473</v>
      </c>
      <c r="E189" s="34">
        <v>0.33</v>
      </c>
      <c r="F189" s="28">
        <f>'Lead- Input sheet '!R11</f>
        <v>1239.6380759582803</v>
      </c>
      <c r="G189" s="215">
        <f>ROUND(E189*F189,2)</f>
        <v>409.08</v>
      </c>
      <c r="H189" s="649"/>
      <c r="I189" s="12"/>
    </row>
    <row r="190" spans="1:9">
      <c r="A190" s="620"/>
      <c r="B190" s="962"/>
      <c r="C190" s="54" t="s">
        <v>340</v>
      </c>
      <c r="D190" s="189"/>
      <c r="E190" s="34"/>
      <c r="F190" s="28"/>
      <c r="G190" s="215"/>
      <c r="H190" s="649"/>
      <c r="I190" s="12"/>
    </row>
    <row r="191" spans="1:9" ht="14.1">
      <c r="A191" s="620"/>
      <c r="B191" s="962"/>
      <c r="C191" s="54" t="s">
        <v>746</v>
      </c>
      <c r="D191" s="189" t="s">
        <v>1047</v>
      </c>
      <c r="E191" s="34">
        <v>1.2</v>
      </c>
      <c r="F191" s="28">
        <f>'Lead- Input sheet '!R31</f>
        <v>680</v>
      </c>
      <c r="G191" s="215">
        <f>ROUND(E191*F191,2)</f>
        <v>816</v>
      </c>
      <c r="H191" s="649"/>
      <c r="I191" s="12"/>
    </row>
    <row r="192" spans="1:9">
      <c r="A192" s="620"/>
      <c r="B192" s="962"/>
      <c r="C192" s="54" t="s">
        <v>341</v>
      </c>
      <c r="D192" s="189" t="s">
        <v>1047</v>
      </c>
      <c r="E192" s="34">
        <v>2</v>
      </c>
      <c r="F192" s="28">
        <f>'Lead- Input sheet '!R29</f>
        <v>605</v>
      </c>
      <c r="G192" s="215">
        <f>ROUND(E192*F192,2)</f>
        <v>1210</v>
      </c>
      <c r="H192" s="649"/>
      <c r="I192" s="12"/>
    </row>
    <row r="193" spans="1:9" s="7" customFormat="1">
      <c r="A193" s="647"/>
      <c r="B193" s="907"/>
      <c r="C193" s="643" t="s">
        <v>896</v>
      </c>
      <c r="D193" s="644"/>
      <c r="E193" s="645">
        <f>'Lead- Input sheet '!Q31</f>
        <v>0</v>
      </c>
      <c r="F193" s="922">
        <f>SUM(G190:G192)</f>
        <v>2026</v>
      </c>
      <c r="G193" s="646">
        <f>ROUND(F193*E193,2)</f>
        <v>0</v>
      </c>
      <c r="H193" s="642"/>
      <c r="I193" s="12"/>
    </row>
    <row r="194" spans="1:9" s="57" customFormat="1">
      <c r="A194" s="617"/>
      <c r="B194" s="962"/>
      <c r="C194" s="55" t="s">
        <v>1048</v>
      </c>
      <c r="D194" s="190"/>
      <c r="E194" s="158"/>
      <c r="F194" s="29"/>
      <c r="G194" s="182">
        <f>SUM(G185:G193)</f>
        <v>3498.3199999999997</v>
      </c>
      <c r="H194" s="656"/>
      <c r="I194" s="12"/>
    </row>
    <row r="195" spans="1:9" s="6" customFormat="1">
      <c r="A195" s="45"/>
      <c r="B195" s="907"/>
      <c r="C195" s="55" t="s">
        <v>1600</v>
      </c>
      <c r="D195" s="190"/>
      <c r="E195" s="158">
        <f>G194</f>
        <v>3498.3199999999997</v>
      </c>
      <c r="F195" s="940">
        <f>'Lead- Input sheet '!Q32</f>
        <v>0</v>
      </c>
      <c r="G195" s="182">
        <f>ROUND(F195*E195,2)</f>
        <v>0</v>
      </c>
      <c r="H195" s="650"/>
      <c r="I195" s="12"/>
    </row>
    <row r="196" spans="1:9" s="6" customFormat="1">
      <c r="A196" s="45"/>
      <c r="B196" s="907"/>
      <c r="C196" s="55" t="s">
        <v>1130</v>
      </c>
      <c r="D196" s="190"/>
      <c r="E196" s="158"/>
      <c r="F196" s="923" t="s">
        <v>1486</v>
      </c>
      <c r="G196" s="707">
        <f>SUM(G194:G195)</f>
        <v>3498.3199999999997</v>
      </c>
      <c r="H196" s="650"/>
      <c r="I196" s="12"/>
    </row>
    <row r="197" spans="1:9" s="3" customFormat="1">
      <c r="A197" s="620"/>
      <c r="B197" s="962"/>
      <c r="C197" s="54" t="s">
        <v>902</v>
      </c>
      <c r="D197" s="34" t="s">
        <v>1473</v>
      </c>
      <c r="E197" s="34">
        <v>1.1000000000000001</v>
      </c>
      <c r="F197" s="28">
        <f>'Lead- Input sheet '!$O$21</f>
        <v>0</v>
      </c>
      <c r="G197" s="182">
        <f>ROUND(F197*E197,2)</f>
        <v>0</v>
      </c>
      <c r="H197" s="649"/>
      <c r="I197" s="12"/>
    </row>
    <row r="198" spans="1:9" s="3" customFormat="1">
      <c r="A198" s="620"/>
      <c r="B198" s="962"/>
      <c r="C198" s="54" t="s">
        <v>900</v>
      </c>
      <c r="D198" s="34" t="s">
        <v>1473</v>
      </c>
      <c r="E198" s="34">
        <v>0.33</v>
      </c>
      <c r="F198" s="28">
        <f>'Lead- Input sheet '!$O$11</f>
        <v>0</v>
      </c>
      <c r="G198" s="182">
        <f>ROUND(F198*E198,2)</f>
        <v>0</v>
      </c>
      <c r="H198" s="649"/>
      <c r="I198" s="12"/>
    </row>
    <row r="199" spans="1:9" s="3" customFormat="1">
      <c r="A199" s="620"/>
      <c r="B199" s="962"/>
      <c r="C199" s="55" t="s">
        <v>1130</v>
      </c>
      <c r="D199" s="34"/>
      <c r="E199" s="34"/>
      <c r="F199" s="29" t="s">
        <v>414</v>
      </c>
      <c r="G199" s="707">
        <f>SUM(G196:G198)</f>
        <v>3498.3199999999997</v>
      </c>
      <c r="H199" s="649"/>
      <c r="I199" s="12"/>
    </row>
    <row r="200" spans="1:9" s="655" customFormat="1" ht="129">
      <c r="A200" s="617" t="s">
        <v>1219</v>
      </c>
      <c r="B200" s="962">
        <v>15</v>
      </c>
      <c r="C200" s="55" t="s">
        <v>443</v>
      </c>
      <c r="D200" s="189"/>
      <c r="E200" s="34"/>
      <c r="F200" s="28"/>
      <c r="G200" s="215"/>
      <c r="H200" s="651"/>
      <c r="I200" s="669"/>
    </row>
    <row r="201" spans="1:9" s="655" customFormat="1">
      <c r="A201" s="620"/>
      <c r="B201" s="962"/>
      <c r="C201" s="54" t="s">
        <v>346</v>
      </c>
      <c r="D201" s="189"/>
      <c r="E201" s="34"/>
      <c r="F201" s="28"/>
      <c r="G201" s="215"/>
      <c r="H201" s="651"/>
      <c r="I201" s="669"/>
    </row>
    <row r="202" spans="1:9" s="655" customFormat="1">
      <c r="A202" s="620"/>
      <c r="B202" s="962"/>
      <c r="C202" s="54" t="s">
        <v>1041</v>
      </c>
      <c r="D202" s="189"/>
      <c r="E202" s="34"/>
      <c r="F202" s="28"/>
      <c r="G202" s="215"/>
      <c r="H202" s="651"/>
      <c r="I202" s="669"/>
    </row>
    <row r="203" spans="1:9" s="655" customFormat="1">
      <c r="A203" s="620"/>
      <c r="B203" s="962"/>
      <c r="C203" s="54" t="s">
        <v>523</v>
      </c>
      <c r="D203" s="189" t="s">
        <v>347</v>
      </c>
      <c r="E203" s="34">
        <v>76.8</v>
      </c>
      <c r="F203" s="28">
        <f>'Lead- Input sheet '!R8</f>
        <v>6656</v>
      </c>
      <c r="G203" s="215">
        <f>ROUND(E203*F203/1000,2)</f>
        <v>511.18</v>
      </c>
      <c r="H203" s="651"/>
      <c r="I203" s="669"/>
    </row>
    <row r="204" spans="1:9" s="655" customFormat="1">
      <c r="A204" s="620"/>
      <c r="B204" s="962"/>
      <c r="C204" s="54" t="s">
        <v>877</v>
      </c>
      <c r="D204" s="189" t="s">
        <v>1473</v>
      </c>
      <c r="E204" s="34">
        <v>0.94</v>
      </c>
      <c r="F204" s="28">
        <f>'Lead- Input sheet '!R22</f>
        <v>438.30251287241998</v>
      </c>
      <c r="G204" s="215">
        <f>ROUND(E204*F204,2)</f>
        <v>412</v>
      </c>
      <c r="H204" s="651"/>
      <c r="I204" s="669"/>
    </row>
    <row r="205" spans="1:9" s="655" customFormat="1">
      <c r="A205" s="620"/>
      <c r="B205" s="962"/>
      <c r="C205" s="54" t="s">
        <v>630</v>
      </c>
      <c r="D205" s="189" t="s">
        <v>1411</v>
      </c>
      <c r="E205" s="34">
        <v>0.16</v>
      </c>
      <c r="F205" s="28">
        <f>'Lead- Input sheet '!R24</f>
        <v>1633.56251287242</v>
      </c>
      <c r="G205" s="215">
        <f>ROUND(E205*F205,2)</f>
        <v>261.37</v>
      </c>
      <c r="H205" s="651"/>
      <c r="I205" s="669"/>
    </row>
    <row r="206" spans="1:9" s="655" customFormat="1">
      <c r="A206" s="620"/>
      <c r="B206" s="962"/>
      <c r="C206" s="54" t="s">
        <v>1577</v>
      </c>
      <c r="D206" s="189" t="s">
        <v>1473</v>
      </c>
      <c r="E206" s="34">
        <v>0.32</v>
      </c>
      <c r="F206" s="28">
        <f>'Lead- Input sheet '!R11</f>
        <v>1239.6380759582803</v>
      </c>
      <c r="G206" s="215">
        <f>ROUND(E206*F206,2)</f>
        <v>396.68</v>
      </c>
      <c r="H206" s="651"/>
      <c r="I206" s="669"/>
    </row>
    <row r="207" spans="1:9" s="655" customFormat="1">
      <c r="A207" s="620"/>
      <c r="B207" s="962"/>
      <c r="C207" s="54" t="s">
        <v>340</v>
      </c>
      <c r="D207" s="189"/>
      <c r="E207" s="34"/>
      <c r="F207" s="28"/>
      <c r="G207" s="215"/>
      <c r="H207" s="651"/>
      <c r="I207" s="669"/>
    </row>
    <row r="208" spans="1:9" s="655" customFormat="1" ht="14.1">
      <c r="A208" s="620"/>
      <c r="B208" s="962"/>
      <c r="C208" s="54" t="s">
        <v>746</v>
      </c>
      <c r="D208" s="189" t="s">
        <v>1047</v>
      </c>
      <c r="E208" s="34">
        <v>1.5</v>
      </c>
      <c r="F208" s="28">
        <f>'Lead- Input sheet '!R31</f>
        <v>680</v>
      </c>
      <c r="G208" s="215">
        <f>ROUND(E208*F208,2)</f>
        <v>1020</v>
      </c>
      <c r="H208" s="651"/>
      <c r="I208" s="669"/>
    </row>
    <row r="209" spans="1:9" s="655" customFormat="1">
      <c r="A209" s="620"/>
      <c r="B209" s="962"/>
      <c r="C209" s="54" t="s">
        <v>341</v>
      </c>
      <c r="D209" s="189" t="s">
        <v>1047</v>
      </c>
      <c r="E209" s="34">
        <v>2.3199999999999998</v>
      </c>
      <c r="F209" s="28">
        <f>'Lead- Input sheet '!R29</f>
        <v>605</v>
      </c>
      <c r="G209" s="215">
        <f>ROUND(E209*F209,2)</f>
        <v>1403.6</v>
      </c>
      <c r="H209" s="651"/>
      <c r="I209" s="669"/>
    </row>
    <row r="210" spans="1:9" s="655" customFormat="1">
      <c r="A210" s="647"/>
      <c r="B210" s="907"/>
      <c r="C210" s="413" t="s">
        <v>896</v>
      </c>
      <c r="D210" s="708"/>
      <c r="E210" s="709">
        <f>'Lead- Input sheet '!Q31</f>
        <v>0</v>
      </c>
      <c r="F210" s="926">
        <f>SUM(G208:G209)</f>
        <v>2423.6</v>
      </c>
      <c r="G210" s="618">
        <f>ROUND(F210*E210,2)</f>
        <v>0</v>
      </c>
      <c r="H210" s="651"/>
      <c r="I210" s="669"/>
    </row>
    <row r="211" spans="1:9" s="655" customFormat="1">
      <c r="A211" s="617"/>
      <c r="B211" s="962"/>
      <c r="C211" s="55" t="s">
        <v>1048</v>
      </c>
      <c r="D211" s="190"/>
      <c r="E211" s="158"/>
      <c r="F211" s="29"/>
      <c r="G211" s="182">
        <f>SUM(G203:G210)</f>
        <v>4004.8300000000004</v>
      </c>
      <c r="H211" s="651"/>
      <c r="I211" s="669"/>
    </row>
    <row r="212" spans="1:9" s="655" customFormat="1">
      <c r="A212" s="45"/>
      <c r="B212" s="907"/>
      <c r="C212" s="55" t="s">
        <v>1600</v>
      </c>
      <c r="D212" s="190"/>
      <c r="E212" s="158">
        <f>G211</f>
        <v>4004.8300000000004</v>
      </c>
      <c r="F212" s="940">
        <f>'Lead- Input sheet '!Q32</f>
        <v>0</v>
      </c>
      <c r="G212" s="182">
        <f>ROUND(F212*E212,2)</f>
        <v>0</v>
      </c>
      <c r="H212" s="651"/>
      <c r="I212" s="669"/>
    </row>
    <row r="213" spans="1:9" s="655" customFormat="1">
      <c r="A213" s="45"/>
      <c r="B213" s="907"/>
      <c r="C213" s="55"/>
      <c r="D213" s="190"/>
      <c r="E213" s="158"/>
      <c r="F213" s="923" t="s">
        <v>1486</v>
      </c>
      <c r="G213" s="619">
        <f>SUM(G211:G212)</f>
        <v>4004.8300000000004</v>
      </c>
      <c r="H213" s="651"/>
      <c r="I213" s="669"/>
    </row>
    <row r="214" spans="1:9" s="655" customFormat="1">
      <c r="A214" s="620"/>
      <c r="B214" s="962"/>
      <c r="C214" s="54" t="s">
        <v>902</v>
      </c>
      <c r="D214" s="34" t="s">
        <v>1473</v>
      </c>
      <c r="E214" s="34">
        <v>1.1000000000000001</v>
      </c>
      <c r="F214" s="28">
        <f>'Lead- Input sheet '!$O$21</f>
        <v>0</v>
      </c>
      <c r="G214" s="182">
        <f>ROUND(F214*E214,2)</f>
        <v>0</v>
      </c>
      <c r="H214" s="651"/>
      <c r="I214" s="669"/>
    </row>
    <row r="215" spans="1:9" s="655" customFormat="1">
      <c r="A215" s="620"/>
      <c r="B215" s="962"/>
      <c r="C215" s="54" t="s">
        <v>900</v>
      </c>
      <c r="D215" s="34" t="s">
        <v>1473</v>
      </c>
      <c r="E215" s="34">
        <v>0.32</v>
      </c>
      <c r="F215" s="28">
        <f>'Lead- Input sheet '!$O$11</f>
        <v>0</v>
      </c>
      <c r="G215" s="182">
        <f>ROUND(F215*E215,2)</f>
        <v>0</v>
      </c>
      <c r="H215" s="651"/>
      <c r="I215" s="669"/>
    </row>
    <row r="216" spans="1:9" s="655" customFormat="1">
      <c r="A216" s="620"/>
      <c r="B216" s="962"/>
      <c r="C216" s="55" t="s">
        <v>1130</v>
      </c>
      <c r="D216" s="34"/>
      <c r="E216" s="34"/>
      <c r="F216" s="29" t="s">
        <v>414</v>
      </c>
      <c r="G216" s="619">
        <f>SUM(G213:G215)</f>
        <v>4004.8300000000004</v>
      </c>
      <c r="H216" s="651"/>
      <c r="I216" s="669"/>
    </row>
    <row r="217" spans="1:9" ht="22.2">
      <c r="A217" s="617" t="s">
        <v>1219</v>
      </c>
      <c r="B217" s="962">
        <v>16</v>
      </c>
      <c r="C217" s="55" t="s">
        <v>1487</v>
      </c>
      <c r="D217" s="189"/>
      <c r="E217" s="34"/>
      <c r="F217" s="28"/>
      <c r="G217" s="215"/>
      <c r="H217" s="649"/>
      <c r="I217" s="12"/>
    </row>
    <row r="218" spans="1:9">
      <c r="A218" s="620"/>
      <c r="B218" s="962"/>
      <c r="C218" s="54" t="s">
        <v>346</v>
      </c>
      <c r="D218" s="189"/>
      <c r="E218" s="34"/>
      <c r="F218" s="28"/>
      <c r="G218" s="215"/>
      <c r="H218" s="649"/>
      <c r="I218" s="12"/>
    </row>
    <row r="219" spans="1:9">
      <c r="A219" s="620"/>
      <c r="B219" s="962"/>
      <c r="C219" s="54" t="s">
        <v>1041</v>
      </c>
      <c r="D219" s="189"/>
      <c r="E219" s="34"/>
      <c r="F219" s="28"/>
      <c r="G219" s="215"/>
      <c r="H219" s="649"/>
      <c r="I219" s="12"/>
    </row>
    <row r="220" spans="1:9">
      <c r="A220" s="620"/>
      <c r="B220" s="962"/>
      <c r="C220" s="54" t="s">
        <v>523</v>
      </c>
      <c r="D220" s="189" t="s">
        <v>347</v>
      </c>
      <c r="E220" s="34">
        <v>57.6</v>
      </c>
      <c r="F220" s="28">
        <f>'Lead- Input sheet '!R8</f>
        <v>6656</v>
      </c>
      <c r="G220" s="215">
        <f>ROUND(E220*F220/1000,2)</f>
        <v>383.39</v>
      </c>
      <c r="H220" s="649"/>
      <c r="I220" s="12"/>
    </row>
    <row r="221" spans="1:9" s="3" customFormat="1">
      <c r="A221" s="620"/>
      <c r="B221" s="962"/>
      <c r="C221" s="54" t="s">
        <v>877</v>
      </c>
      <c r="D221" s="189" t="s">
        <v>1473</v>
      </c>
      <c r="E221" s="34">
        <v>0.94</v>
      </c>
      <c r="F221" s="28">
        <f>'Lead- Input sheet '!R22</f>
        <v>438.30251287241998</v>
      </c>
      <c r="G221" s="215">
        <f>ROUND(E221*F221,2)</f>
        <v>412</v>
      </c>
      <c r="H221" s="658"/>
      <c r="I221" s="12"/>
    </row>
    <row r="222" spans="1:9" s="3" customFormat="1">
      <c r="A222" s="620"/>
      <c r="B222" s="962"/>
      <c r="C222" s="54" t="s">
        <v>632</v>
      </c>
      <c r="D222" s="189" t="s">
        <v>1411</v>
      </c>
      <c r="E222" s="34">
        <v>0.16</v>
      </c>
      <c r="F222" s="28">
        <f>'Lead- Input sheet '!R24</f>
        <v>1633.56251287242</v>
      </c>
      <c r="G222" s="215">
        <f>ROUND(E222*F222,2)</f>
        <v>261.37</v>
      </c>
      <c r="H222" s="649"/>
      <c r="I222" s="12"/>
    </row>
    <row r="223" spans="1:9">
      <c r="A223" s="620"/>
      <c r="B223" s="962"/>
      <c r="C223" s="54" t="s">
        <v>1577</v>
      </c>
      <c r="D223" s="189" t="s">
        <v>1473</v>
      </c>
      <c r="E223" s="34">
        <v>0.32</v>
      </c>
      <c r="F223" s="28">
        <f>'Lead- Input sheet '!R11</f>
        <v>1239.6380759582803</v>
      </c>
      <c r="G223" s="215">
        <f>ROUND(E223*F223,2)</f>
        <v>396.68</v>
      </c>
      <c r="H223" s="649"/>
      <c r="I223" s="12"/>
    </row>
    <row r="224" spans="1:9">
      <c r="A224" s="620"/>
      <c r="B224" s="962"/>
      <c r="C224" s="54" t="s">
        <v>340</v>
      </c>
      <c r="D224" s="189"/>
      <c r="E224" s="34"/>
      <c r="F224" s="28"/>
      <c r="G224" s="215"/>
      <c r="H224" s="649"/>
      <c r="I224" s="12"/>
    </row>
    <row r="225" spans="1:9" ht="14.1">
      <c r="A225" s="620"/>
      <c r="B225" s="962"/>
      <c r="C225" s="54" t="s">
        <v>746</v>
      </c>
      <c r="D225" s="189" t="s">
        <v>1047</v>
      </c>
      <c r="E225" s="34">
        <v>1.5</v>
      </c>
      <c r="F225" s="28">
        <f>'Lead- Input sheet '!R31</f>
        <v>680</v>
      </c>
      <c r="G225" s="215">
        <f>ROUND(E225*F225,2)</f>
        <v>1020</v>
      </c>
      <c r="H225" s="649"/>
      <c r="I225" s="12"/>
    </row>
    <row r="226" spans="1:9">
      <c r="A226" s="620"/>
      <c r="B226" s="962"/>
      <c r="C226" s="54" t="s">
        <v>341</v>
      </c>
      <c r="D226" s="189" t="s">
        <v>1047</v>
      </c>
      <c r="E226" s="34">
        <v>2.3199999999999998</v>
      </c>
      <c r="F226" s="28">
        <f>'Lead- Input sheet '!R28</f>
        <v>605</v>
      </c>
      <c r="G226" s="215">
        <f>ROUND(E226*F226,2)</f>
        <v>1403.6</v>
      </c>
      <c r="H226" s="648"/>
      <c r="I226" s="12"/>
    </row>
    <row r="227" spans="1:9" s="655" customFormat="1">
      <c r="A227" s="647"/>
      <c r="B227" s="907"/>
      <c r="C227" s="413" t="s">
        <v>896</v>
      </c>
      <c r="D227" s="708"/>
      <c r="E227" s="709">
        <f>'Lead- Input sheet '!Q31</f>
        <v>0</v>
      </c>
      <c r="F227" s="926">
        <f>SUM(G225:G226)</f>
        <v>2423.6</v>
      </c>
      <c r="G227" s="618">
        <f>ROUND(F227*E227,2)</f>
        <v>0</v>
      </c>
      <c r="H227" s="651"/>
      <c r="I227" s="669"/>
    </row>
    <row r="228" spans="1:9" s="57" customFormat="1">
      <c r="A228" s="617"/>
      <c r="B228" s="962"/>
      <c r="C228" s="55" t="s">
        <v>1048</v>
      </c>
      <c r="D228" s="190"/>
      <c r="E228" s="158"/>
      <c r="F228" s="29"/>
      <c r="G228" s="182">
        <f>SUM(G220:G227)</f>
        <v>3877.04</v>
      </c>
      <c r="H228" s="656"/>
      <c r="I228" s="12"/>
    </row>
    <row r="229" spans="1:9" s="6" customFormat="1">
      <c r="A229" s="45"/>
      <c r="B229" s="907"/>
      <c r="C229" s="55" t="s">
        <v>1600</v>
      </c>
      <c r="D229" s="190"/>
      <c r="E229" s="158">
        <f>G228</f>
        <v>3877.04</v>
      </c>
      <c r="F229" s="940">
        <f>'Lead- Input sheet '!Q32</f>
        <v>0</v>
      </c>
      <c r="G229" s="182">
        <f>ROUND(F229*E229,2)</f>
        <v>0</v>
      </c>
      <c r="H229" s="650"/>
      <c r="I229" s="12"/>
    </row>
    <row r="230" spans="1:9" s="6" customFormat="1">
      <c r="A230" s="45"/>
      <c r="B230" s="907"/>
      <c r="C230" s="55"/>
      <c r="D230" s="190"/>
      <c r="E230" s="158"/>
      <c r="F230" s="923" t="s">
        <v>1486</v>
      </c>
      <c r="G230" s="619">
        <f>SUM(G228:G229)</f>
        <v>3877.04</v>
      </c>
      <c r="H230" s="650"/>
      <c r="I230" s="12"/>
    </row>
    <row r="231" spans="1:9" s="655" customFormat="1">
      <c r="A231" s="620"/>
      <c r="B231" s="962"/>
      <c r="C231" s="54" t="s">
        <v>902</v>
      </c>
      <c r="D231" s="34" t="s">
        <v>1473</v>
      </c>
      <c r="E231" s="34">
        <v>1.1000000000000001</v>
      </c>
      <c r="F231" s="28">
        <f>'Lead- Input sheet '!$O$21</f>
        <v>0</v>
      </c>
      <c r="G231" s="182">
        <f>ROUND(F231*E231,2)</f>
        <v>0</v>
      </c>
      <c r="H231" s="651"/>
      <c r="I231" s="669"/>
    </row>
    <row r="232" spans="1:9" s="655" customFormat="1">
      <c r="A232" s="620"/>
      <c r="B232" s="962"/>
      <c r="C232" s="54" t="s">
        <v>900</v>
      </c>
      <c r="D232" s="34" t="s">
        <v>1473</v>
      </c>
      <c r="E232" s="34">
        <v>0.32</v>
      </c>
      <c r="F232" s="28">
        <f>'Lead- Input sheet '!$O$11</f>
        <v>0</v>
      </c>
      <c r="G232" s="182">
        <f>ROUND(F232*E232,2)</f>
        <v>0</v>
      </c>
      <c r="H232" s="651"/>
      <c r="I232" s="669"/>
    </row>
    <row r="233" spans="1:9" s="655" customFormat="1">
      <c r="A233" s="620"/>
      <c r="B233" s="962"/>
      <c r="C233" s="55" t="s">
        <v>1130</v>
      </c>
      <c r="D233" s="34"/>
      <c r="E233" s="34"/>
      <c r="F233" s="29" t="s">
        <v>414</v>
      </c>
      <c r="G233" s="619">
        <f>SUM(G230:G232)</f>
        <v>3877.04</v>
      </c>
      <c r="H233" s="651"/>
      <c r="I233" s="669"/>
    </row>
    <row r="234" spans="1:9" s="655" customFormat="1" ht="22.2">
      <c r="A234" s="617" t="s">
        <v>494</v>
      </c>
      <c r="B234" s="962">
        <v>17</v>
      </c>
      <c r="C234" s="55" t="s">
        <v>1226</v>
      </c>
      <c r="D234" s="189"/>
      <c r="E234" s="34"/>
      <c r="F234" s="28"/>
      <c r="G234" s="215"/>
      <c r="H234" s="651"/>
      <c r="I234" s="669"/>
    </row>
    <row r="235" spans="1:9" s="655" customFormat="1">
      <c r="A235" s="620"/>
      <c r="B235" s="962"/>
      <c r="C235" s="54" t="s">
        <v>1227</v>
      </c>
      <c r="D235" s="189"/>
      <c r="E235" s="34"/>
      <c r="F235" s="28"/>
      <c r="G235" s="215"/>
      <c r="H235" s="651"/>
      <c r="I235" s="669"/>
    </row>
    <row r="236" spans="1:9" s="655" customFormat="1">
      <c r="A236" s="620"/>
      <c r="B236" s="962"/>
      <c r="C236" s="54" t="s">
        <v>1041</v>
      </c>
      <c r="D236" s="189"/>
      <c r="E236" s="34"/>
      <c r="F236" s="28"/>
      <c r="G236" s="215"/>
      <c r="H236" s="651"/>
      <c r="I236" s="669"/>
    </row>
    <row r="237" spans="1:9" s="655" customFormat="1">
      <c r="A237" s="620"/>
      <c r="B237" s="962"/>
      <c r="C237" s="54" t="s">
        <v>523</v>
      </c>
      <c r="D237" s="189" t="s">
        <v>347</v>
      </c>
      <c r="E237" s="34">
        <v>14.4</v>
      </c>
      <c r="F237" s="28">
        <f>'Lead- Input sheet '!R8</f>
        <v>6656</v>
      </c>
      <c r="G237" s="215">
        <f>ROUND(E237*F237/1000,2)</f>
        <v>95.85</v>
      </c>
      <c r="H237" s="651"/>
      <c r="I237" s="669"/>
    </row>
    <row r="238" spans="1:9" s="655" customFormat="1">
      <c r="A238" s="620"/>
      <c r="B238" s="962"/>
      <c r="C238" s="54" t="s">
        <v>1577</v>
      </c>
      <c r="D238" s="189" t="s">
        <v>1473</v>
      </c>
      <c r="E238" s="34">
        <v>0.03</v>
      </c>
      <c r="F238" s="211">
        <f>'Lead- Input sheet '!R11</f>
        <v>1239.6380759582803</v>
      </c>
      <c r="G238" s="215">
        <f>ROUND(E238*F238,2)</f>
        <v>37.19</v>
      </c>
      <c r="H238" s="651"/>
      <c r="I238" s="669"/>
    </row>
    <row r="239" spans="1:9" s="655" customFormat="1">
      <c r="A239" s="620"/>
      <c r="B239" s="962"/>
      <c r="C239" s="54" t="s">
        <v>340</v>
      </c>
      <c r="D239" s="189"/>
      <c r="E239" s="34"/>
      <c r="F239" s="28"/>
      <c r="G239" s="215"/>
      <c r="H239" s="651"/>
      <c r="I239" s="669"/>
    </row>
    <row r="240" spans="1:9" s="655" customFormat="1" ht="14.1">
      <c r="A240" s="620"/>
      <c r="B240" s="962"/>
      <c r="C240" s="54" t="s">
        <v>747</v>
      </c>
      <c r="D240" s="189" t="s">
        <v>1047</v>
      </c>
      <c r="E240" s="34">
        <v>0.5</v>
      </c>
      <c r="F240" s="28">
        <f>'Lead- Input sheet '!R30</f>
        <v>650</v>
      </c>
      <c r="G240" s="215">
        <f>ROUND(E240*F240,2)</f>
        <v>325</v>
      </c>
      <c r="H240" s="651"/>
      <c r="I240" s="669"/>
    </row>
    <row r="241" spans="1:9" s="655" customFormat="1">
      <c r="A241" s="620"/>
      <c r="B241" s="962"/>
      <c r="C241" s="54" t="s">
        <v>341</v>
      </c>
      <c r="D241" s="189" t="s">
        <v>1047</v>
      </c>
      <c r="E241" s="34">
        <v>0.74</v>
      </c>
      <c r="F241" s="28">
        <f>'Lead- Input sheet '!R29</f>
        <v>605</v>
      </c>
      <c r="G241" s="215">
        <f>ROUND(E241*F241,2)</f>
        <v>447.7</v>
      </c>
      <c r="H241" s="651"/>
      <c r="I241" s="669"/>
    </row>
    <row r="242" spans="1:9" s="655" customFormat="1">
      <c r="A242" s="647"/>
      <c r="B242" s="907"/>
      <c r="C242" s="643" t="s">
        <v>896</v>
      </c>
      <c r="D242" s="644"/>
      <c r="E242" s="645">
        <f>'Lead- Input sheet '!Q31</f>
        <v>0</v>
      </c>
      <c r="F242" s="922">
        <f>SUM(G240:G241)</f>
        <v>772.7</v>
      </c>
      <c r="G242" s="646">
        <f>ROUND(F242*E242,2)</f>
        <v>0</v>
      </c>
      <c r="H242" s="651"/>
      <c r="I242" s="669"/>
    </row>
    <row r="243" spans="1:9" s="655" customFormat="1">
      <c r="A243" s="617"/>
      <c r="B243" s="962"/>
      <c r="C243" s="55" t="s">
        <v>1048</v>
      </c>
      <c r="D243" s="190"/>
      <c r="E243" s="158"/>
      <c r="F243" s="29"/>
      <c r="G243" s="182">
        <f>SUM(G237:G242)</f>
        <v>905.74</v>
      </c>
      <c r="H243" s="651"/>
      <c r="I243" s="669"/>
    </row>
    <row r="244" spans="1:9" s="655" customFormat="1">
      <c r="A244" s="45"/>
      <c r="B244" s="907"/>
      <c r="C244" s="55" t="s">
        <v>1600</v>
      </c>
      <c r="D244" s="190"/>
      <c r="E244" s="158">
        <f>G243</f>
        <v>905.74</v>
      </c>
      <c r="F244" s="940">
        <f>'Lead- Input sheet '!Q32</f>
        <v>0</v>
      </c>
      <c r="G244" s="182">
        <f>ROUND(F244*E244,2)</f>
        <v>0</v>
      </c>
      <c r="H244" s="651"/>
      <c r="I244" s="669"/>
    </row>
    <row r="245" spans="1:9" s="655" customFormat="1">
      <c r="A245" s="45"/>
      <c r="B245" s="907"/>
      <c r="C245" s="55"/>
      <c r="D245" s="190"/>
      <c r="E245" s="158"/>
      <c r="F245" s="923" t="s">
        <v>1486</v>
      </c>
      <c r="G245" s="619">
        <f>SUM(G243:G244)</f>
        <v>905.74</v>
      </c>
      <c r="H245" s="651"/>
      <c r="I245" s="669"/>
    </row>
    <row r="246" spans="1:9" s="655" customFormat="1">
      <c r="A246" s="620"/>
      <c r="B246" s="962"/>
      <c r="C246" s="54" t="s">
        <v>900</v>
      </c>
      <c r="D246" s="34" t="s">
        <v>1473</v>
      </c>
      <c r="E246" s="34">
        <v>0.03</v>
      </c>
      <c r="F246" s="28">
        <f>'Lead- Input sheet '!$O$11</f>
        <v>0</v>
      </c>
      <c r="G246" s="182">
        <f>ROUND(F246*E246,2)</f>
        <v>0</v>
      </c>
      <c r="H246" s="651"/>
      <c r="I246" s="669"/>
    </row>
    <row r="247" spans="1:9" s="655" customFormat="1">
      <c r="A247" s="620"/>
      <c r="B247" s="962"/>
      <c r="C247" s="55" t="s">
        <v>1231</v>
      </c>
      <c r="D247" s="34"/>
      <c r="E247" s="34"/>
      <c r="F247" s="29" t="s">
        <v>414</v>
      </c>
      <c r="G247" s="182">
        <f>SUM(G245:G246)</f>
        <v>905.74</v>
      </c>
      <c r="H247" s="651"/>
      <c r="I247" s="669"/>
    </row>
    <row r="248" spans="1:9" s="655" customFormat="1" ht="22.2">
      <c r="A248" s="617" t="s">
        <v>1161</v>
      </c>
      <c r="B248" s="962">
        <v>18</v>
      </c>
      <c r="C248" s="55" t="s">
        <v>1206</v>
      </c>
      <c r="D248" s="189"/>
      <c r="E248" s="34"/>
      <c r="F248" s="28"/>
      <c r="G248" s="215"/>
      <c r="H248" s="651"/>
      <c r="I248" s="669"/>
    </row>
    <row r="249" spans="1:9" s="655" customFormat="1">
      <c r="A249" s="620"/>
      <c r="B249" s="962"/>
      <c r="C249" s="54" t="s">
        <v>1227</v>
      </c>
      <c r="D249" s="189"/>
      <c r="E249" s="34"/>
      <c r="F249" s="28"/>
      <c r="G249" s="215"/>
      <c r="H249" s="651"/>
      <c r="I249" s="669"/>
    </row>
    <row r="250" spans="1:9" s="655" customFormat="1">
      <c r="A250" s="620"/>
      <c r="B250" s="962"/>
      <c r="C250" s="54" t="s">
        <v>1041</v>
      </c>
      <c r="D250" s="189"/>
      <c r="E250" s="34"/>
      <c r="F250" s="28"/>
      <c r="G250" s="215"/>
      <c r="H250" s="651"/>
      <c r="I250" s="669"/>
    </row>
    <row r="251" spans="1:9" s="655" customFormat="1">
      <c r="A251" s="620"/>
      <c r="B251" s="962"/>
      <c r="C251" s="54" t="s">
        <v>523</v>
      </c>
      <c r="D251" s="189" t="s">
        <v>347</v>
      </c>
      <c r="E251" s="34">
        <v>14.4</v>
      </c>
      <c r="F251" s="28">
        <f>'Lead- Input sheet '!R8</f>
        <v>6656</v>
      </c>
      <c r="G251" s="215">
        <f>ROUND(E251*F251/1000,2)</f>
        <v>95.85</v>
      </c>
      <c r="H251" s="651"/>
      <c r="I251" s="669"/>
    </row>
    <row r="252" spans="1:9" s="655" customFormat="1">
      <c r="A252" s="620"/>
      <c r="B252" s="962"/>
      <c r="C252" s="54" t="s">
        <v>1577</v>
      </c>
      <c r="D252" s="189" t="s">
        <v>1473</v>
      </c>
      <c r="E252" s="34">
        <v>0.03</v>
      </c>
      <c r="F252" s="211">
        <f>'Lead- Input sheet '!R11</f>
        <v>1239.6380759582803</v>
      </c>
      <c r="G252" s="215">
        <f>ROUND(E252*F252,2)</f>
        <v>37.19</v>
      </c>
      <c r="H252" s="651"/>
      <c r="I252" s="669"/>
    </row>
    <row r="253" spans="1:9" s="655" customFormat="1">
      <c r="A253" s="620"/>
      <c r="B253" s="962"/>
      <c r="C253" s="54" t="s">
        <v>340</v>
      </c>
      <c r="D253" s="189"/>
      <c r="E253" s="34"/>
      <c r="F253" s="28"/>
      <c r="G253" s="215"/>
      <c r="H253" s="651"/>
      <c r="I253" s="669"/>
    </row>
    <row r="254" spans="1:9" s="655" customFormat="1" ht="14.1">
      <c r="A254" s="620"/>
      <c r="B254" s="962"/>
      <c r="C254" s="54" t="s">
        <v>747</v>
      </c>
      <c r="D254" s="189" t="s">
        <v>1047</v>
      </c>
      <c r="E254" s="34">
        <v>0.5</v>
      </c>
      <c r="F254" s="28">
        <f>'Lead- Input sheet '!R30</f>
        <v>650</v>
      </c>
      <c r="G254" s="215">
        <f>ROUND(E254*F254,2)</f>
        <v>325</v>
      </c>
      <c r="H254" s="651"/>
      <c r="I254" s="669"/>
    </row>
    <row r="255" spans="1:9" s="655" customFormat="1">
      <c r="A255" s="620"/>
      <c r="B255" s="962"/>
      <c r="C255" s="54" t="s">
        <v>341</v>
      </c>
      <c r="D255" s="189" t="s">
        <v>1047</v>
      </c>
      <c r="E255" s="34">
        <v>0.74</v>
      </c>
      <c r="F255" s="28">
        <f>'Lead- Input sheet '!R29</f>
        <v>605</v>
      </c>
      <c r="G255" s="215">
        <f>ROUND(E255*F255,2)</f>
        <v>447.7</v>
      </c>
      <c r="H255" s="651"/>
      <c r="I255" s="669"/>
    </row>
    <row r="256" spans="1:9" s="655" customFormat="1">
      <c r="A256" s="647"/>
      <c r="B256" s="907"/>
      <c r="C256" s="643" t="s">
        <v>896</v>
      </c>
      <c r="D256" s="644"/>
      <c r="E256" s="645">
        <f>'Lead- Input sheet '!Q31</f>
        <v>0</v>
      </c>
      <c r="F256" s="922">
        <f>SUM(G253:G255)</f>
        <v>772.7</v>
      </c>
      <c r="G256" s="646">
        <f>ROUND(F256*E256,2)</f>
        <v>0</v>
      </c>
      <c r="H256" s="651"/>
      <c r="I256" s="669"/>
    </row>
    <row r="257" spans="1:9" s="655" customFormat="1">
      <c r="A257" s="617"/>
      <c r="B257" s="962"/>
      <c r="C257" s="55" t="s">
        <v>1048</v>
      </c>
      <c r="D257" s="190"/>
      <c r="E257" s="158"/>
      <c r="F257" s="29"/>
      <c r="G257" s="182">
        <f>SUM(G251:G256)</f>
        <v>905.74</v>
      </c>
      <c r="H257" s="651"/>
      <c r="I257" s="669"/>
    </row>
    <row r="258" spans="1:9" s="655" customFormat="1">
      <c r="A258" s="45"/>
      <c r="B258" s="907"/>
      <c r="C258" s="55" t="s">
        <v>1600</v>
      </c>
      <c r="D258" s="190"/>
      <c r="E258" s="158">
        <f>G257</f>
        <v>905.74</v>
      </c>
      <c r="F258" s="940">
        <f>'Lead- Input sheet '!Q32</f>
        <v>0</v>
      </c>
      <c r="G258" s="182">
        <f>ROUND(F258*E258,2)</f>
        <v>0</v>
      </c>
      <c r="H258" s="651"/>
      <c r="I258" s="669"/>
    </row>
    <row r="259" spans="1:9" s="655" customFormat="1">
      <c r="A259" s="45"/>
      <c r="B259" s="907"/>
      <c r="C259" s="55"/>
      <c r="D259" s="190"/>
      <c r="E259" s="158"/>
      <c r="F259" s="923" t="s">
        <v>1486</v>
      </c>
      <c r="G259" s="619">
        <f>SUM(G257:G258)</f>
        <v>905.74</v>
      </c>
      <c r="H259" s="651"/>
      <c r="I259" s="669"/>
    </row>
    <row r="260" spans="1:9" s="655" customFormat="1">
      <c r="A260" s="620"/>
      <c r="B260" s="962"/>
      <c r="C260" s="54" t="s">
        <v>900</v>
      </c>
      <c r="D260" s="34" t="s">
        <v>1473</v>
      </c>
      <c r="E260" s="34">
        <v>0.03</v>
      </c>
      <c r="F260" s="28">
        <f>'Lead- Input sheet '!$O$11</f>
        <v>0</v>
      </c>
      <c r="G260" s="182">
        <f>ROUND(F260*E260,2)</f>
        <v>0</v>
      </c>
      <c r="H260" s="651"/>
      <c r="I260" s="669"/>
    </row>
    <row r="261" spans="1:9" s="655" customFormat="1">
      <c r="A261" s="620"/>
      <c r="B261" s="962"/>
      <c r="C261" s="55" t="s">
        <v>1231</v>
      </c>
      <c r="D261" s="34"/>
      <c r="E261" s="34"/>
      <c r="F261" s="29" t="s">
        <v>414</v>
      </c>
      <c r="G261" s="182">
        <f>SUM(G259:G260)</f>
        <v>905.74</v>
      </c>
      <c r="H261" s="651"/>
      <c r="I261" s="669"/>
    </row>
    <row r="262" spans="1:9" s="655" customFormat="1" ht="22.2">
      <c r="A262" s="617" t="s">
        <v>880</v>
      </c>
      <c r="B262" s="962">
        <v>19</v>
      </c>
      <c r="C262" s="55" t="s">
        <v>1207</v>
      </c>
      <c r="D262" s="189"/>
      <c r="E262" s="34"/>
      <c r="F262" s="28"/>
      <c r="G262" s="215"/>
      <c r="H262" s="651"/>
      <c r="I262" s="669"/>
    </row>
    <row r="263" spans="1:9" s="655" customFormat="1">
      <c r="A263" s="620"/>
      <c r="B263" s="962"/>
      <c r="C263" s="54" t="s">
        <v>1227</v>
      </c>
      <c r="D263" s="189"/>
      <c r="E263" s="34"/>
      <c r="F263" s="28"/>
      <c r="G263" s="215"/>
      <c r="H263" s="651"/>
      <c r="I263" s="669"/>
    </row>
    <row r="264" spans="1:9" s="655" customFormat="1">
      <c r="A264" s="620"/>
      <c r="B264" s="962"/>
      <c r="C264" s="54" t="s">
        <v>1041</v>
      </c>
      <c r="D264" s="189"/>
      <c r="E264" s="34"/>
      <c r="F264" s="28"/>
      <c r="G264" s="215"/>
      <c r="H264" s="651"/>
      <c r="I264" s="669"/>
    </row>
    <row r="265" spans="1:9" s="655" customFormat="1">
      <c r="A265" s="620"/>
      <c r="B265" s="962"/>
      <c r="C265" s="54" t="s">
        <v>523</v>
      </c>
      <c r="D265" s="189" t="s">
        <v>347</v>
      </c>
      <c r="E265" s="34">
        <v>28.8</v>
      </c>
      <c r="F265" s="28">
        <f>'Lead- Input sheet '!R8</f>
        <v>6656</v>
      </c>
      <c r="G265" s="215">
        <f>ROUND(E265*F265/1000,2)</f>
        <v>191.69</v>
      </c>
      <c r="H265" s="651"/>
      <c r="I265" s="669"/>
    </row>
    <row r="266" spans="1:9" s="655" customFormat="1">
      <c r="A266" s="620"/>
      <c r="B266" s="962"/>
      <c r="C266" s="54" t="s">
        <v>1578</v>
      </c>
      <c r="D266" s="189" t="s">
        <v>1473</v>
      </c>
      <c r="E266" s="34">
        <v>0.06</v>
      </c>
      <c r="F266" s="211">
        <f>'Lead- Input sheet '!R11</f>
        <v>1239.6380759582803</v>
      </c>
      <c r="G266" s="215">
        <f>ROUND(E266*F266,2)</f>
        <v>74.38</v>
      </c>
      <c r="H266" s="651"/>
      <c r="I266" s="669"/>
    </row>
    <row r="267" spans="1:9" s="655" customFormat="1">
      <c r="A267" s="620"/>
      <c r="B267" s="962"/>
      <c r="C267" s="54" t="s">
        <v>340</v>
      </c>
      <c r="D267" s="189"/>
      <c r="E267" s="34"/>
      <c r="F267" s="28"/>
      <c r="G267" s="215"/>
      <c r="H267" s="651"/>
      <c r="I267" s="669"/>
    </row>
    <row r="268" spans="1:9" s="655" customFormat="1" ht="14.1">
      <c r="A268" s="620"/>
      <c r="B268" s="962"/>
      <c r="C268" s="54" t="s">
        <v>747</v>
      </c>
      <c r="D268" s="189" t="s">
        <v>1047</v>
      </c>
      <c r="E268" s="34">
        <v>0.5</v>
      </c>
      <c r="F268" s="28">
        <f>'Lead- Input sheet '!R30</f>
        <v>650</v>
      </c>
      <c r="G268" s="215">
        <f>ROUND(E268*F268,2)</f>
        <v>325</v>
      </c>
      <c r="H268" s="651"/>
      <c r="I268" s="669"/>
    </row>
    <row r="269" spans="1:9" s="655" customFormat="1">
      <c r="A269" s="620"/>
      <c r="B269" s="962"/>
      <c r="C269" s="54" t="s">
        <v>341</v>
      </c>
      <c r="D269" s="189" t="s">
        <v>1047</v>
      </c>
      <c r="E269" s="34">
        <v>0.74</v>
      </c>
      <c r="F269" s="28">
        <f>'Lead- Input sheet '!R29</f>
        <v>605</v>
      </c>
      <c r="G269" s="215">
        <f>ROUND(E269*F269,2)</f>
        <v>447.7</v>
      </c>
      <c r="H269" s="651"/>
      <c r="I269" s="669"/>
    </row>
    <row r="270" spans="1:9" s="655" customFormat="1">
      <c r="A270" s="647"/>
      <c r="B270" s="907"/>
      <c r="C270" s="643" t="s">
        <v>896</v>
      </c>
      <c r="D270" s="644"/>
      <c r="E270" s="645">
        <f>'Lead- Input sheet '!Q31</f>
        <v>0</v>
      </c>
      <c r="F270" s="922">
        <f>SUM(G267:G269)</f>
        <v>772.7</v>
      </c>
      <c r="G270" s="646">
        <f>ROUND(F270*E270,2)</f>
        <v>0</v>
      </c>
      <c r="H270" s="651"/>
      <c r="I270" s="669"/>
    </row>
    <row r="271" spans="1:9" s="655" customFormat="1">
      <c r="A271" s="617"/>
      <c r="B271" s="962"/>
      <c r="C271" s="55" t="s">
        <v>1048</v>
      </c>
      <c r="D271" s="190"/>
      <c r="E271" s="158"/>
      <c r="F271" s="29"/>
      <c r="G271" s="182">
        <f>SUM(G265:G270)</f>
        <v>1038.77</v>
      </c>
      <c r="H271" s="651"/>
      <c r="I271" s="669"/>
    </row>
    <row r="272" spans="1:9" s="655" customFormat="1">
      <c r="A272" s="45"/>
      <c r="B272" s="907"/>
      <c r="C272" s="55" t="s">
        <v>1600</v>
      </c>
      <c r="D272" s="190"/>
      <c r="E272" s="158">
        <f>G271</f>
        <v>1038.77</v>
      </c>
      <c r="F272" s="940">
        <f>'Lead- Input sheet '!Q32</f>
        <v>0</v>
      </c>
      <c r="G272" s="182">
        <f>ROUND(F272*E272,2)</f>
        <v>0</v>
      </c>
      <c r="H272" s="651"/>
      <c r="I272" s="669"/>
    </row>
    <row r="273" spans="1:9" s="655" customFormat="1">
      <c r="A273" s="45"/>
      <c r="B273" s="907"/>
      <c r="C273" s="55"/>
      <c r="D273" s="190"/>
      <c r="E273" s="158"/>
      <c r="F273" s="923" t="s">
        <v>1486</v>
      </c>
      <c r="G273" s="619">
        <f>SUM(G271:G272)</f>
        <v>1038.77</v>
      </c>
      <c r="H273" s="651"/>
      <c r="I273" s="669"/>
    </row>
    <row r="274" spans="1:9" s="655" customFormat="1">
      <c r="A274" s="620"/>
      <c r="B274" s="962"/>
      <c r="C274" s="54" t="s">
        <v>900</v>
      </c>
      <c r="D274" s="34" t="s">
        <v>1473</v>
      </c>
      <c r="E274" s="34">
        <v>0.03</v>
      </c>
      <c r="F274" s="28">
        <f>'Lead- Input sheet '!$O$11</f>
        <v>0</v>
      </c>
      <c r="G274" s="182">
        <f>ROUND(F274*E274,2)</f>
        <v>0</v>
      </c>
      <c r="H274" s="651"/>
      <c r="I274" s="669"/>
    </row>
    <row r="275" spans="1:9" s="655" customFormat="1">
      <c r="A275" s="620"/>
      <c r="B275" s="962"/>
      <c r="C275" s="55" t="s">
        <v>1231</v>
      </c>
      <c r="D275" s="34"/>
      <c r="E275" s="34"/>
      <c r="F275" s="29" t="s">
        <v>414</v>
      </c>
      <c r="G275" s="209">
        <f>SUM(G273:G274)</f>
        <v>1038.77</v>
      </c>
      <c r="H275" s="651"/>
      <c r="I275" s="669"/>
    </row>
    <row r="276" spans="1:9" s="3" customFormat="1" ht="180" customHeight="1">
      <c r="A276" s="617" t="s">
        <v>860</v>
      </c>
      <c r="B276" s="962">
        <v>20</v>
      </c>
      <c r="C276" s="55" t="s">
        <v>1572</v>
      </c>
      <c r="D276" s="189"/>
      <c r="E276" s="34"/>
      <c r="F276" s="28"/>
      <c r="G276" s="215"/>
      <c r="H276" s="656"/>
      <c r="I276" s="12"/>
    </row>
    <row r="277" spans="1:9" s="3" customFormat="1" ht="15" customHeight="1">
      <c r="A277" s="620"/>
      <c r="B277" s="962" t="s">
        <v>350</v>
      </c>
      <c r="C277" s="355" t="s">
        <v>758</v>
      </c>
      <c r="D277" s="189"/>
      <c r="E277" s="34"/>
      <c r="F277" s="28"/>
      <c r="G277" s="215"/>
      <c r="H277" s="649"/>
      <c r="I277" s="12"/>
    </row>
    <row r="278" spans="1:9" s="3" customFormat="1" ht="15" customHeight="1">
      <c r="A278" s="620"/>
      <c r="B278" s="962"/>
      <c r="C278" s="54" t="s">
        <v>1041</v>
      </c>
      <c r="D278" s="189"/>
      <c r="E278" s="34"/>
      <c r="F278" s="28"/>
      <c r="G278" s="215"/>
      <c r="H278" s="649"/>
      <c r="I278" s="12"/>
    </row>
    <row r="279" spans="1:9" s="3" customFormat="1" ht="15" customHeight="1">
      <c r="A279" s="620"/>
      <c r="B279" s="962"/>
      <c r="C279" s="54" t="s">
        <v>759</v>
      </c>
      <c r="D279" s="189" t="s">
        <v>1473</v>
      </c>
      <c r="E279" s="34">
        <v>0.9</v>
      </c>
      <c r="F279" s="28">
        <f>'Lead- Input sheet '!R18</f>
        <v>1493.2033622320996</v>
      </c>
      <c r="G279" s="215">
        <f>ROUND(E279*F279,2)</f>
        <v>1343.88</v>
      </c>
      <c r="H279" s="649"/>
      <c r="I279" s="12"/>
    </row>
    <row r="280" spans="1:9" s="3" customFormat="1" ht="15" customHeight="1">
      <c r="A280" s="620"/>
      <c r="B280" s="962"/>
      <c r="C280" s="54" t="s">
        <v>1579</v>
      </c>
      <c r="D280" s="189" t="s">
        <v>1473</v>
      </c>
      <c r="E280" s="34">
        <v>0.45</v>
      </c>
      <c r="F280" s="28">
        <f>'Lead- Input sheet '!R13</f>
        <v>1010.6380759582802</v>
      </c>
      <c r="G280" s="215">
        <f>ROUND(E280*F280,2)</f>
        <v>454.79</v>
      </c>
      <c r="H280" s="649"/>
      <c r="I280" s="12"/>
    </row>
    <row r="281" spans="1:9" s="3" customFormat="1" ht="15" customHeight="1">
      <c r="A281" s="620"/>
      <c r="B281" s="962"/>
      <c r="C281" s="54" t="s">
        <v>1209</v>
      </c>
      <c r="D281" s="189" t="s">
        <v>1038</v>
      </c>
      <c r="E281" s="34">
        <v>400</v>
      </c>
      <c r="F281" s="28">
        <f>'Lead- Input sheet '!R8</f>
        <v>6656</v>
      </c>
      <c r="G281" s="215">
        <f>ROUND(E281*F281/1000,2)</f>
        <v>2662.4</v>
      </c>
      <c r="H281" s="649"/>
      <c r="I281" s="12"/>
    </row>
    <row r="282" spans="1:9" s="3" customFormat="1" ht="15" customHeight="1">
      <c r="A282" s="620"/>
      <c r="B282" s="962"/>
      <c r="C282" s="54" t="s">
        <v>340</v>
      </c>
      <c r="D282" s="189"/>
      <c r="E282" s="34"/>
      <c r="F282" s="28"/>
      <c r="G282" s="215"/>
      <c r="H282" s="649"/>
      <c r="I282" s="12"/>
    </row>
    <row r="283" spans="1:9" s="3" customFormat="1" ht="15" customHeight="1">
      <c r="A283" s="620"/>
      <c r="B283" s="962"/>
      <c r="C283" s="54" t="s">
        <v>932</v>
      </c>
      <c r="D283" s="189" t="s">
        <v>1047</v>
      </c>
      <c r="E283" s="34">
        <v>0.13300000000000001</v>
      </c>
      <c r="F283" s="28">
        <f>'Lead- Input sheet '!R31</f>
        <v>680</v>
      </c>
      <c r="G283" s="215">
        <f>ROUND(E283*F283,2)</f>
        <v>90.44</v>
      </c>
      <c r="H283" s="649"/>
      <c r="I283" s="12"/>
    </row>
    <row r="284" spans="1:9" s="3" customFormat="1" ht="15" customHeight="1">
      <c r="A284" s="620"/>
      <c r="B284" s="962"/>
      <c r="C284" s="54" t="s">
        <v>933</v>
      </c>
      <c r="D284" s="189" t="s">
        <v>1047</v>
      </c>
      <c r="E284" s="34">
        <v>0.26700000000000002</v>
      </c>
      <c r="F284" s="28">
        <f>'Lead- Input sheet '!R30</f>
        <v>650</v>
      </c>
      <c r="G284" s="215">
        <f t="shared" ref="G284:G290" si="0">ROUND(E284*F284,2)</f>
        <v>173.55</v>
      </c>
      <c r="H284" s="649"/>
      <c r="I284" s="12"/>
    </row>
    <row r="285" spans="1:9" s="3" customFormat="1" ht="15" customHeight="1">
      <c r="A285" s="620"/>
      <c r="B285" s="962"/>
      <c r="C285" s="54" t="s">
        <v>934</v>
      </c>
      <c r="D285" s="189" t="s">
        <v>1047</v>
      </c>
      <c r="E285" s="34">
        <v>3.6</v>
      </c>
      <c r="F285" s="28">
        <f>'Lead- Input sheet '!R29</f>
        <v>605</v>
      </c>
      <c r="G285" s="215">
        <f t="shared" si="0"/>
        <v>2178</v>
      </c>
      <c r="H285" s="649"/>
      <c r="I285" s="12"/>
    </row>
    <row r="286" spans="1:9" s="57" customFormat="1" ht="15" customHeight="1">
      <c r="A286" s="647"/>
      <c r="B286" s="907"/>
      <c r="C286" s="643" t="s">
        <v>896</v>
      </c>
      <c r="D286" s="644"/>
      <c r="E286" s="645">
        <f>'Lead- Input sheet '!Q31</f>
        <v>0</v>
      </c>
      <c r="F286" s="922">
        <f>SUM(G283:G285)</f>
        <v>2441.9899999999998</v>
      </c>
      <c r="G286" s="646">
        <f>ROUND(F286*E286,2)</f>
        <v>0</v>
      </c>
      <c r="H286" s="657"/>
      <c r="I286" s="12"/>
    </row>
    <row r="287" spans="1:9" s="3" customFormat="1" ht="15" customHeight="1">
      <c r="A287" s="620"/>
      <c r="B287" s="962"/>
      <c r="C287" s="54" t="s">
        <v>1044</v>
      </c>
      <c r="D287" s="189"/>
      <c r="E287" s="34"/>
      <c r="F287" s="28"/>
      <c r="G287" s="215"/>
      <c r="H287" s="649"/>
      <c r="I287" s="12"/>
    </row>
    <row r="288" spans="1:9" s="3" customFormat="1" ht="15" customHeight="1">
      <c r="A288" s="620"/>
      <c r="B288" s="962"/>
      <c r="C288" s="54" t="s">
        <v>344</v>
      </c>
      <c r="D288" s="189" t="s">
        <v>345</v>
      </c>
      <c r="E288" s="34">
        <v>1</v>
      </c>
      <c r="F288" s="28">
        <f>F153</f>
        <v>472.6</v>
      </c>
      <c r="G288" s="215">
        <f t="shared" si="0"/>
        <v>472.6</v>
      </c>
      <c r="H288" s="649"/>
      <c r="I288" s="12"/>
    </row>
    <row r="289" spans="1:9" s="3" customFormat="1" ht="15" customHeight="1">
      <c r="A289" s="620"/>
      <c r="B289" s="962"/>
      <c r="C289" s="54" t="s">
        <v>1232</v>
      </c>
      <c r="D289" s="189" t="s">
        <v>345</v>
      </c>
      <c r="E289" s="34">
        <v>1</v>
      </c>
      <c r="F289" s="28">
        <v>191.7</v>
      </c>
      <c r="G289" s="215">
        <f t="shared" si="0"/>
        <v>191.7</v>
      </c>
      <c r="H289" s="649"/>
      <c r="I289" s="12"/>
    </row>
    <row r="290" spans="1:9" s="3" customFormat="1" ht="15" customHeight="1">
      <c r="A290" s="620"/>
      <c r="B290" s="962"/>
      <c r="C290" s="54" t="s">
        <v>342</v>
      </c>
      <c r="D290" s="189" t="s">
        <v>343</v>
      </c>
      <c r="E290" s="34">
        <v>1.2</v>
      </c>
      <c r="F290" s="28">
        <f>IF('Lead- Input sheet '!$Q$31=40%,'Lead- Input sheet '!$P$35,'Lead- Input sheet '!$Q$35)</f>
        <v>73</v>
      </c>
      <c r="G290" s="215">
        <f t="shared" si="0"/>
        <v>87.6</v>
      </c>
      <c r="H290" s="649"/>
      <c r="I290" s="12"/>
    </row>
    <row r="291" spans="1:9" s="6" customFormat="1" ht="15" customHeight="1">
      <c r="A291" s="617"/>
      <c r="B291" s="962"/>
      <c r="C291" s="55" t="s">
        <v>1130</v>
      </c>
      <c r="D291" s="190"/>
      <c r="E291" s="158"/>
      <c r="F291" s="29" t="s">
        <v>414</v>
      </c>
      <c r="G291" s="619">
        <f>ROUND(SUM(G279:G290),2)</f>
        <v>7654.96</v>
      </c>
      <c r="H291" s="650"/>
      <c r="I291" s="12"/>
    </row>
    <row r="292" spans="1:9" s="284" customFormat="1" ht="15" customHeight="1">
      <c r="A292" s="620"/>
      <c r="B292" s="962">
        <v>1</v>
      </c>
      <c r="C292" s="280" t="s">
        <v>1474</v>
      </c>
      <c r="D292" s="189"/>
      <c r="E292" s="34"/>
      <c r="F292" s="28"/>
      <c r="G292" s="215"/>
      <c r="H292" s="651"/>
      <c r="I292" s="12"/>
    </row>
    <row r="293" spans="1:9" s="3" customFormat="1" ht="15" customHeight="1">
      <c r="A293" s="620"/>
      <c r="B293" s="962"/>
      <c r="C293" s="54" t="s">
        <v>1130</v>
      </c>
      <c r="D293" s="189"/>
      <c r="E293" s="34"/>
      <c r="F293" s="28"/>
      <c r="G293" s="182">
        <f>G291</f>
        <v>7654.96</v>
      </c>
      <c r="H293" s="649"/>
      <c r="I293" s="12"/>
    </row>
    <row r="294" spans="1:9" s="3" customFormat="1" ht="15" customHeight="1">
      <c r="A294" s="620"/>
      <c r="B294" s="962"/>
      <c r="C294" s="54" t="s">
        <v>862</v>
      </c>
      <c r="D294" s="189"/>
      <c r="E294" s="34"/>
      <c r="F294" s="28"/>
      <c r="G294" s="215">
        <v>288</v>
      </c>
      <c r="H294" s="649"/>
      <c r="I294" s="12"/>
    </row>
    <row r="295" spans="1:9" s="6" customFormat="1" ht="15" customHeight="1">
      <c r="A295" s="620"/>
      <c r="B295" s="962"/>
      <c r="C295" s="54" t="s">
        <v>863</v>
      </c>
      <c r="D295" s="189"/>
      <c r="E295" s="34"/>
      <c r="F295" s="28"/>
      <c r="G295" s="215">
        <v>601</v>
      </c>
      <c r="H295" s="651"/>
      <c r="I295" s="12"/>
    </row>
    <row r="296" spans="1:9" s="6" customFormat="1" ht="15" customHeight="1">
      <c r="A296" s="620"/>
      <c r="B296" s="962"/>
      <c r="C296" s="54" t="s">
        <v>1485</v>
      </c>
      <c r="D296" s="189"/>
      <c r="E296" s="34">
        <f>G295</f>
        <v>601</v>
      </c>
      <c r="F296" s="28">
        <f>'Lead- Input sheet '!Q31</f>
        <v>0</v>
      </c>
      <c r="G296" s="215">
        <f>ROUND(E296*F296,2)</f>
        <v>0</v>
      </c>
      <c r="H296" s="648"/>
      <c r="I296" s="12"/>
    </row>
    <row r="297" spans="1:9" s="3" customFormat="1" ht="15" customHeight="1">
      <c r="A297" s="620"/>
      <c r="B297" s="962"/>
      <c r="C297" s="54"/>
      <c r="D297" s="189"/>
      <c r="E297" s="34"/>
      <c r="F297" s="28"/>
      <c r="G297" s="215">
        <f>SUM(G293:G296)</f>
        <v>8543.9599999999991</v>
      </c>
      <c r="H297" s="649"/>
      <c r="I297" s="12"/>
    </row>
    <row r="298" spans="1:9" s="3" customFormat="1" ht="15" customHeight="1">
      <c r="A298" s="45"/>
      <c r="B298" s="907"/>
      <c r="C298" s="55" t="s">
        <v>1600</v>
      </c>
      <c r="D298" s="190"/>
      <c r="E298" s="158">
        <f>G297</f>
        <v>8543.9599999999991</v>
      </c>
      <c r="F298" s="940">
        <f>'Lead- Input sheet '!Q32</f>
        <v>0</v>
      </c>
      <c r="G298" s="182">
        <f>ROUND(F298*E298,2)</f>
        <v>0</v>
      </c>
      <c r="H298" s="649"/>
      <c r="I298" s="12"/>
    </row>
    <row r="299" spans="1:9" s="3" customFormat="1" ht="15" customHeight="1">
      <c r="A299" s="617"/>
      <c r="B299" s="962"/>
      <c r="C299" s="55" t="s">
        <v>861</v>
      </c>
      <c r="D299" s="190"/>
      <c r="E299" s="158"/>
      <c r="F299" s="923" t="s">
        <v>1486</v>
      </c>
      <c r="G299" s="619">
        <f>SUM(G297:G298)</f>
        <v>8543.9599999999991</v>
      </c>
      <c r="H299" s="649"/>
      <c r="I299" s="12"/>
    </row>
    <row r="300" spans="1:9" s="3" customFormat="1" ht="15" customHeight="1">
      <c r="A300" s="620"/>
      <c r="B300" s="962"/>
      <c r="C300" s="54" t="s">
        <v>899</v>
      </c>
      <c r="D300" s="189" t="s">
        <v>1473</v>
      </c>
      <c r="E300" s="34">
        <v>0.9</v>
      </c>
      <c r="F300" s="28">
        <f>'Lead- Input sheet '!$O$19</f>
        <v>0</v>
      </c>
      <c r="G300" s="215">
        <f>ROUND(E300*F300,2)</f>
        <v>0</v>
      </c>
      <c r="H300" s="649"/>
      <c r="I300" s="12"/>
    </row>
    <row r="301" spans="1:9" s="3" customFormat="1" ht="15" customHeight="1">
      <c r="A301" s="620"/>
      <c r="B301" s="962"/>
      <c r="C301" s="54" t="s">
        <v>900</v>
      </c>
      <c r="D301" s="189" t="s">
        <v>1473</v>
      </c>
      <c r="E301" s="34">
        <v>0.45</v>
      </c>
      <c r="F301" s="28">
        <f>'Lead- Input sheet '!$O$13</f>
        <v>0</v>
      </c>
      <c r="G301" s="215">
        <f>ROUND(E301*F301,2)</f>
        <v>0</v>
      </c>
      <c r="H301" s="649"/>
      <c r="I301" s="12"/>
    </row>
    <row r="302" spans="1:9" s="57" customFormat="1" ht="15" customHeight="1">
      <c r="A302" s="45"/>
      <c r="B302" s="907"/>
      <c r="C302" s="55" t="s">
        <v>744</v>
      </c>
      <c r="D302" s="190"/>
      <c r="E302" s="158"/>
      <c r="F302" s="29" t="s">
        <v>414</v>
      </c>
      <c r="G302" s="619">
        <f>SUM(G299:G301)</f>
        <v>8543.9599999999991</v>
      </c>
      <c r="H302" s="657"/>
      <c r="I302" s="12"/>
    </row>
    <row r="303" spans="1:9" s="3" customFormat="1" ht="15" customHeight="1">
      <c r="A303" s="620"/>
      <c r="B303" s="962" t="s">
        <v>1476</v>
      </c>
      <c r="C303" s="280" t="s">
        <v>1131</v>
      </c>
      <c r="D303" s="189"/>
      <c r="E303" s="34"/>
      <c r="F303" s="28"/>
      <c r="G303" s="215"/>
      <c r="H303" s="649"/>
      <c r="I303" s="12"/>
    </row>
    <row r="304" spans="1:9" s="3" customFormat="1" ht="15" customHeight="1">
      <c r="A304" s="620"/>
      <c r="B304" s="962"/>
      <c r="C304" s="54" t="s">
        <v>1130</v>
      </c>
      <c r="D304" s="189"/>
      <c r="E304" s="34"/>
      <c r="F304" s="28"/>
      <c r="G304" s="182">
        <f>G293</f>
        <v>7654.96</v>
      </c>
      <c r="H304" s="649"/>
      <c r="I304" s="12"/>
    </row>
    <row r="305" spans="1:9" s="3" customFormat="1" ht="15" customHeight="1">
      <c r="A305" s="620"/>
      <c r="B305" s="962"/>
      <c r="C305" s="54" t="s">
        <v>862</v>
      </c>
      <c r="D305" s="189"/>
      <c r="E305" s="34"/>
      <c r="F305" s="28"/>
      <c r="G305" s="215">
        <v>328</v>
      </c>
      <c r="H305" s="649"/>
      <c r="I305" s="12"/>
    </row>
    <row r="306" spans="1:9" s="3" customFormat="1" ht="15" customHeight="1">
      <c r="A306" s="620"/>
      <c r="B306" s="962"/>
      <c r="C306" s="54" t="s">
        <v>863</v>
      </c>
      <c r="D306" s="189"/>
      <c r="E306" s="34"/>
      <c r="F306" s="28"/>
      <c r="G306" s="215">
        <v>956</v>
      </c>
      <c r="H306" s="649"/>
      <c r="I306" s="12"/>
    </row>
    <row r="307" spans="1:9" s="6" customFormat="1" ht="15" customHeight="1">
      <c r="A307" s="620"/>
      <c r="B307" s="962"/>
      <c r="C307" s="54" t="s">
        <v>1485</v>
      </c>
      <c r="D307" s="189"/>
      <c r="E307" s="34">
        <f>G306</f>
        <v>956</v>
      </c>
      <c r="F307" s="28">
        <f>'Lead- Input sheet '!Q31</f>
        <v>0</v>
      </c>
      <c r="G307" s="215">
        <f>ROUND(E307*F307,2)</f>
        <v>0</v>
      </c>
      <c r="H307" s="650"/>
      <c r="I307" s="12"/>
    </row>
    <row r="308" spans="1:9" s="284" customFormat="1" ht="15" customHeight="1">
      <c r="A308" s="620"/>
      <c r="B308" s="962"/>
      <c r="C308" s="54"/>
      <c r="D308" s="189"/>
      <c r="E308" s="34"/>
      <c r="F308" s="28"/>
      <c r="G308" s="215">
        <f>SUM(G304:G307)</f>
        <v>8938.9599999999991</v>
      </c>
      <c r="H308" s="651"/>
      <c r="I308" s="12"/>
    </row>
    <row r="309" spans="1:9" s="6" customFormat="1" ht="15" customHeight="1">
      <c r="A309" s="45"/>
      <c r="B309" s="907"/>
      <c r="C309" s="55" t="s">
        <v>1600</v>
      </c>
      <c r="D309" s="190"/>
      <c r="E309" s="158">
        <f>G308</f>
        <v>8938.9599999999991</v>
      </c>
      <c r="F309" s="940">
        <f>'Lead- Input sheet '!Q32</f>
        <v>0</v>
      </c>
      <c r="G309" s="182">
        <f>ROUND(F309*E309,2)</f>
        <v>0</v>
      </c>
      <c r="H309" s="648"/>
      <c r="I309" s="12"/>
    </row>
    <row r="310" spans="1:9" ht="15" customHeight="1">
      <c r="A310" s="617"/>
      <c r="B310" s="962"/>
      <c r="C310" s="55" t="s">
        <v>861</v>
      </c>
      <c r="D310" s="190"/>
      <c r="E310" s="158"/>
      <c r="F310" s="923" t="s">
        <v>1486</v>
      </c>
      <c r="G310" s="619">
        <f>SUM(G308:G309)</f>
        <v>8938.9599999999991</v>
      </c>
      <c r="H310" s="649"/>
      <c r="I310" s="12"/>
    </row>
    <row r="311" spans="1:9" ht="15" customHeight="1">
      <c r="A311" s="620"/>
      <c r="B311" s="962"/>
      <c r="C311" s="54" t="s">
        <v>899</v>
      </c>
      <c r="D311" s="189" t="s">
        <v>1473</v>
      </c>
      <c r="E311" s="34">
        <v>0.9</v>
      </c>
      <c r="F311" s="28">
        <f>'Lead- Input sheet '!$O$19</f>
        <v>0</v>
      </c>
      <c r="G311" s="215">
        <f>ROUND(E311*F311,2)</f>
        <v>0</v>
      </c>
      <c r="H311" s="649"/>
      <c r="I311" s="12"/>
    </row>
    <row r="312" spans="1:9" ht="15" customHeight="1">
      <c r="A312" s="620"/>
      <c r="B312" s="962"/>
      <c r="C312" s="54" t="s">
        <v>900</v>
      </c>
      <c r="D312" s="189" t="s">
        <v>1473</v>
      </c>
      <c r="E312" s="34">
        <v>0.45</v>
      </c>
      <c r="F312" s="28">
        <f>'Lead- Input sheet '!$O$13</f>
        <v>0</v>
      </c>
      <c r="G312" s="215">
        <f>ROUND(E312*F312,2)</f>
        <v>0</v>
      </c>
      <c r="H312" s="649"/>
      <c r="I312" s="12"/>
    </row>
    <row r="313" spans="1:9" ht="15" customHeight="1">
      <c r="A313" s="45"/>
      <c r="B313" s="907"/>
      <c r="C313" s="55" t="s">
        <v>744</v>
      </c>
      <c r="D313" s="190"/>
      <c r="E313" s="158"/>
      <c r="F313" s="29" t="s">
        <v>414</v>
      </c>
      <c r="G313" s="619">
        <f>SUM(G310:G312)</f>
        <v>8938.9599999999991</v>
      </c>
      <c r="H313" s="649"/>
      <c r="I313" s="12"/>
    </row>
    <row r="314" spans="1:9" ht="15" customHeight="1">
      <c r="A314" s="620"/>
      <c r="B314" s="962" t="s">
        <v>1477</v>
      </c>
      <c r="C314" s="280" t="s">
        <v>154</v>
      </c>
      <c r="D314" s="189"/>
      <c r="E314" s="34"/>
      <c r="F314" s="28"/>
      <c r="G314" s="215"/>
      <c r="H314" s="649"/>
      <c r="I314" s="12"/>
    </row>
    <row r="315" spans="1:9" ht="15" customHeight="1">
      <c r="A315" s="620"/>
      <c r="B315" s="962"/>
      <c r="C315" s="54" t="s">
        <v>1130</v>
      </c>
      <c r="D315" s="189"/>
      <c r="E315" s="34"/>
      <c r="F315" s="28"/>
      <c r="G315" s="182">
        <f>G304</f>
        <v>7654.96</v>
      </c>
      <c r="H315" s="649"/>
      <c r="I315" s="12"/>
    </row>
    <row r="316" spans="1:9" ht="15" customHeight="1">
      <c r="A316" s="620"/>
      <c r="B316" s="962"/>
      <c r="C316" s="54" t="s">
        <v>862</v>
      </c>
      <c r="D316" s="189"/>
      <c r="E316" s="34"/>
      <c r="F316" s="28"/>
      <c r="G316" s="215">
        <v>1390</v>
      </c>
      <c r="H316" s="649"/>
      <c r="I316" s="12"/>
    </row>
    <row r="317" spans="1:9" s="3" customFormat="1" ht="15" customHeight="1">
      <c r="A317" s="620"/>
      <c r="B317" s="962"/>
      <c r="C317" s="54" t="s">
        <v>863</v>
      </c>
      <c r="D317" s="189"/>
      <c r="E317" s="34"/>
      <c r="F317" s="28"/>
      <c r="G317" s="215">
        <v>1449</v>
      </c>
      <c r="H317" s="649"/>
      <c r="I317" s="12"/>
    </row>
    <row r="318" spans="1:9" s="3" customFormat="1" ht="15" customHeight="1">
      <c r="A318" s="620"/>
      <c r="B318" s="962"/>
      <c r="C318" s="54" t="s">
        <v>1485</v>
      </c>
      <c r="D318" s="189"/>
      <c r="E318" s="34">
        <f>G317</f>
        <v>1449</v>
      </c>
      <c r="F318" s="28">
        <f>'Lead- Input sheet '!Q31</f>
        <v>0</v>
      </c>
      <c r="G318" s="215">
        <f>ROUND(E318*F318,2)</f>
        <v>0</v>
      </c>
      <c r="H318" s="648"/>
      <c r="I318" s="12"/>
    </row>
    <row r="319" spans="1:9" s="7" customFormat="1" ht="15" customHeight="1">
      <c r="A319" s="620"/>
      <c r="B319" s="962"/>
      <c r="C319" s="54"/>
      <c r="D319" s="189"/>
      <c r="E319" s="34"/>
      <c r="F319" s="28"/>
      <c r="G319" s="215">
        <f>SUM(G315:G318)</f>
        <v>10493.96</v>
      </c>
      <c r="H319" s="642"/>
      <c r="I319" s="12"/>
    </row>
    <row r="320" spans="1:9" s="3" customFormat="1" ht="15" customHeight="1">
      <c r="A320" s="45"/>
      <c r="B320" s="907"/>
      <c r="C320" s="55" t="s">
        <v>1600</v>
      </c>
      <c r="D320" s="190"/>
      <c r="E320" s="158">
        <f>G319</f>
        <v>10493.96</v>
      </c>
      <c r="F320" s="940">
        <f>'Lead- Input sheet '!Q32</f>
        <v>0</v>
      </c>
      <c r="G320" s="215">
        <f>ROUND(E320*F320,2)</f>
        <v>0</v>
      </c>
      <c r="H320" s="656"/>
      <c r="I320" s="12"/>
    </row>
    <row r="321" spans="1:9" s="3" customFormat="1" ht="15" customHeight="1">
      <c r="A321" s="617"/>
      <c r="B321" s="962"/>
      <c r="C321" s="55" t="s">
        <v>861</v>
      </c>
      <c r="D321" s="190"/>
      <c r="E321" s="158"/>
      <c r="F321" s="923" t="s">
        <v>1486</v>
      </c>
      <c r="G321" s="619">
        <f>SUM(G319:G320)</f>
        <v>10493.96</v>
      </c>
      <c r="H321" s="648"/>
      <c r="I321" s="12"/>
    </row>
    <row r="322" spans="1:9" s="3" customFormat="1" ht="15" customHeight="1">
      <c r="A322" s="620"/>
      <c r="B322" s="962"/>
      <c r="C322" s="54" t="s">
        <v>899</v>
      </c>
      <c r="D322" s="189" t="s">
        <v>1473</v>
      </c>
      <c r="E322" s="34">
        <v>0.9</v>
      </c>
      <c r="F322" s="28">
        <f>'Lead- Input sheet '!$O$19</f>
        <v>0</v>
      </c>
      <c r="G322" s="215">
        <f>ROUND(E322*F322,2)</f>
        <v>0</v>
      </c>
      <c r="H322" s="648"/>
      <c r="I322" s="12"/>
    </row>
    <row r="323" spans="1:9" s="57" customFormat="1" ht="15" customHeight="1">
      <c r="A323" s="620"/>
      <c r="B323" s="962"/>
      <c r="C323" s="54" t="s">
        <v>900</v>
      </c>
      <c r="D323" s="189" t="s">
        <v>1473</v>
      </c>
      <c r="E323" s="34">
        <v>0.45</v>
      </c>
      <c r="F323" s="28">
        <f>'Lead- Input sheet '!$O$13</f>
        <v>0</v>
      </c>
      <c r="G323" s="215">
        <f>ROUND(E323*F323,2)</f>
        <v>0</v>
      </c>
      <c r="H323" s="656"/>
      <c r="I323" s="12"/>
    </row>
    <row r="324" spans="1:9" ht="15" customHeight="1">
      <c r="A324" s="45"/>
      <c r="B324" s="907"/>
      <c r="C324" s="55" t="s">
        <v>744</v>
      </c>
      <c r="D324" s="190"/>
      <c r="E324" s="158"/>
      <c r="F324" s="29" t="s">
        <v>414</v>
      </c>
      <c r="G324" s="619">
        <f>SUM(G321:G323)</f>
        <v>10493.96</v>
      </c>
      <c r="H324" s="656"/>
      <c r="I324" s="12"/>
    </row>
    <row r="325" spans="1:9" ht="25.8">
      <c r="A325" s="620"/>
      <c r="B325" s="961" t="s">
        <v>859</v>
      </c>
      <c r="C325" s="280" t="s">
        <v>1132</v>
      </c>
      <c r="D325" s="189"/>
      <c r="E325" s="34"/>
      <c r="F325" s="28"/>
      <c r="G325" s="215"/>
      <c r="H325" s="649"/>
      <c r="I325" s="12"/>
    </row>
    <row r="326" spans="1:9">
      <c r="A326" s="620"/>
      <c r="B326" s="961"/>
      <c r="C326" s="280" t="s">
        <v>1097</v>
      </c>
      <c r="D326" s="189"/>
      <c r="E326" s="34"/>
      <c r="F326" s="28"/>
      <c r="G326" s="215"/>
      <c r="H326" s="649"/>
      <c r="I326" s="12"/>
    </row>
    <row r="327" spans="1:9">
      <c r="A327" s="620"/>
      <c r="B327" s="961"/>
      <c r="C327" s="54" t="s">
        <v>1041</v>
      </c>
      <c r="D327" s="189"/>
      <c r="E327" s="34"/>
      <c r="F327" s="28"/>
      <c r="G327" s="215"/>
      <c r="H327" s="649"/>
      <c r="I327" s="12"/>
    </row>
    <row r="328" spans="1:9">
      <c r="A328" s="620"/>
      <c r="B328" s="961"/>
      <c r="C328" s="54" t="s">
        <v>759</v>
      </c>
      <c r="D328" s="189" t="s">
        <v>1473</v>
      </c>
      <c r="E328" s="34">
        <v>0.9</v>
      </c>
      <c r="F328" s="28">
        <f>'Lead- Input sheet '!R18</f>
        <v>1493.2033622320996</v>
      </c>
      <c r="G328" s="215">
        <f>ROUND(E328*F328,2)</f>
        <v>1343.88</v>
      </c>
      <c r="H328" s="649"/>
      <c r="I328" s="12"/>
    </row>
    <row r="329" spans="1:9" s="57" customFormat="1">
      <c r="A329" s="620"/>
      <c r="B329" s="961"/>
      <c r="C329" s="54" t="s">
        <v>1579</v>
      </c>
      <c r="D329" s="189" t="s">
        <v>1473</v>
      </c>
      <c r="E329" s="34">
        <v>0.45</v>
      </c>
      <c r="F329" s="28">
        <f>'Lead- Input sheet '!R13</f>
        <v>1010.6380759582802</v>
      </c>
      <c r="G329" s="215">
        <f>ROUND(E329*F329,2)</f>
        <v>454.79</v>
      </c>
      <c r="H329" s="657"/>
      <c r="I329" s="12"/>
    </row>
    <row r="330" spans="1:9" s="3" customFormat="1">
      <c r="A330" s="620"/>
      <c r="B330" s="961"/>
      <c r="C330" s="54" t="s">
        <v>1209</v>
      </c>
      <c r="D330" s="189" t="s">
        <v>1038</v>
      </c>
      <c r="E330" s="34">
        <v>400</v>
      </c>
      <c r="F330" s="28">
        <f>'Lead- Input sheet '!R8</f>
        <v>6656</v>
      </c>
      <c r="G330" s="215">
        <f>ROUND(E330*F330/1000,2)</f>
        <v>2662.4</v>
      </c>
      <c r="H330" s="649"/>
      <c r="I330" s="12"/>
    </row>
    <row r="331" spans="1:9" s="3" customFormat="1">
      <c r="A331" s="620"/>
      <c r="B331" s="961"/>
      <c r="C331" s="54" t="s">
        <v>340</v>
      </c>
      <c r="D331" s="189"/>
      <c r="E331" s="34"/>
      <c r="F331" s="28"/>
      <c r="G331" s="215"/>
      <c r="H331" s="649"/>
      <c r="I331" s="12"/>
    </row>
    <row r="332" spans="1:9" s="3" customFormat="1">
      <c r="A332" s="620"/>
      <c r="B332" s="961"/>
      <c r="C332" s="54" t="s">
        <v>932</v>
      </c>
      <c r="D332" s="189" t="s">
        <v>1047</v>
      </c>
      <c r="E332" s="34">
        <v>0.16700000000000001</v>
      </c>
      <c r="F332" s="28">
        <f>'Lead- Input sheet '!R31</f>
        <v>680</v>
      </c>
      <c r="G332" s="215">
        <f>ROUND(E332*F332,2)</f>
        <v>113.56</v>
      </c>
      <c r="H332" s="649"/>
      <c r="I332" s="12"/>
    </row>
    <row r="333" spans="1:9" s="3" customFormat="1">
      <c r="A333" s="620"/>
      <c r="B333" s="961"/>
      <c r="C333" s="54" t="s">
        <v>933</v>
      </c>
      <c r="D333" s="189" t="s">
        <v>1047</v>
      </c>
      <c r="E333" s="34">
        <v>0.16700000000000001</v>
      </c>
      <c r="F333" s="28">
        <f>'Lead- Input sheet '!R30</f>
        <v>650</v>
      </c>
      <c r="G333" s="215">
        <f>ROUND(E333*F333,2)</f>
        <v>108.55</v>
      </c>
      <c r="H333" s="649"/>
      <c r="I333" s="12"/>
    </row>
    <row r="334" spans="1:9" s="6" customFormat="1">
      <c r="A334" s="620"/>
      <c r="B334" s="961"/>
      <c r="C334" s="54" t="s">
        <v>934</v>
      </c>
      <c r="D334" s="189" t="s">
        <v>1047</v>
      </c>
      <c r="E334" s="34">
        <v>4.7</v>
      </c>
      <c r="F334" s="28">
        <f>'Lead- Input sheet '!R29</f>
        <v>605</v>
      </c>
      <c r="G334" s="215">
        <f>ROUND(E334*F334,2)</f>
        <v>2843.5</v>
      </c>
      <c r="H334" s="650"/>
      <c r="I334" s="12"/>
    </row>
    <row r="335" spans="1:9" s="284" customFormat="1">
      <c r="A335" s="647"/>
      <c r="B335" s="917"/>
      <c r="C335" s="643" t="s">
        <v>896</v>
      </c>
      <c r="D335" s="644"/>
      <c r="E335" s="645">
        <f>'Lead- Input sheet '!Q31</f>
        <v>0</v>
      </c>
      <c r="F335" s="922">
        <f>SUM(G332:G334)</f>
        <v>3065.61</v>
      </c>
      <c r="G335" s="646">
        <f>ROUND(F335*E335,2)</f>
        <v>0</v>
      </c>
      <c r="H335" s="651"/>
      <c r="I335" s="12"/>
    </row>
    <row r="336" spans="1:9" s="3" customFormat="1">
      <c r="A336" s="620"/>
      <c r="B336" s="961"/>
      <c r="C336" s="54" t="s">
        <v>1044</v>
      </c>
      <c r="D336" s="189"/>
      <c r="E336" s="34"/>
      <c r="F336" s="28"/>
      <c r="G336" s="215"/>
      <c r="H336" s="649"/>
      <c r="I336" s="12"/>
    </row>
    <row r="337" spans="1:9" s="3" customFormat="1">
      <c r="A337" s="620"/>
      <c r="B337" s="961"/>
      <c r="C337" s="54" t="s">
        <v>344</v>
      </c>
      <c r="D337" s="189" t="s">
        <v>345</v>
      </c>
      <c r="E337" s="34">
        <v>1</v>
      </c>
      <c r="F337" s="28">
        <f>F288</f>
        <v>472.6</v>
      </c>
      <c r="G337" s="215">
        <f>ROUND(E337*F337,2)</f>
        <v>472.6</v>
      </c>
      <c r="H337" s="649"/>
      <c r="I337" s="12"/>
    </row>
    <row r="338" spans="1:9" s="6" customFormat="1">
      <c r="A338" s="620"/>
      <c r="B338" s="961"/>
      <c r="C338" s="54" t="s">
        <v>1232</v>
      </c>
      <c r="D338" s="189" t="s">
        <v>345</v>
      </c>
      <c r="E338" s="34">
        <v>1</v>
      </c>
      <c r="F338" s="28">
        <f>F289</f>
        <v>191.7</v>
      </c>
      <c r="G338" s="215">
        <f>ROUND(E338*F338,2)</f>
        <v>191.7</v>
      </c>
      <c r="H338" s="651"/>
      <c r="I338" s="12"/>
    </row>
    <row r="339" spans="1:9" s="6" customFormat="1">
      <c r="A339" s="620"/>
      <c r="B339" s="961"/>
      <c r="C339" s="54" t="s">
        <v>342</v>
      </c>
      <c r="D339" s="189" t="s">
        <v>343</v>
      </c>
      <c r="E339" s="34">
        <v>1.2</v>
      </c>
      <c r="F339" s="28">
        <f>IF('Lead- Input sheet '!$Q$31=40%,'Lead- Input sheet '!$P$35,'Lead- Input sheet '!$Q$35)</f>
        <v>73</v>
      </c>
      <c r="G339" s="215">
        <f>E339*F339</f>
        <v>87.6</v>
      </c>
      <c r="H339" s="648"/>
      <c r="I339" s="12"/>
    </row>
    <row r="340" spans="1:9">
      <c r="A340" s="620"/>
      <c r="B340" s="961"/>
      <c r="C340" s="54" t="s">
        <v>1130</v>
      </c>
      <c r="D340" s="189"/>
      <c r="E340" s="34"/>
      <c r="F340" s="923" t="s">
        <v>1486</v>
      </c>
      <c r="G340" s="619">
        <f>SUM(G328:G339)</f>
        <v>8278.58</v>
      </c>
      <c r="H340" s="649"/>
      <c r="I340" s="12"/>
    </row>
    <row r="341" spans="1:9">
      <c r="A341" s="620"/>
      <c r="B341" s="961" t="s">
        <v>1475</v>
      </c>
      <c r="C341" s="280" t="s">
        <v>1861</v>
      </c>
      <c r="D341" s="189"/>
      <c r="E341" s="34"/>
      <c r="F341" s="28"/>
      <c r="G341" s="215"/>
      <c r="H341" s="649"/>
      <c r="I341" s="12"/>
    </row>
    <row r="342" spans="1:9">
      <c r="A342" s="620"/>
      <c r="B342" s="961"/>
      <c r="C342" s="54" t="s">
        <v>1862</v>
      </c>
      <c r="D342" s="189" t="s">
        <v>464</v>
      </c>
      <c r="E342" s="34">
        <v>0.1</v>
      </c>
      <c r="F342" s="28">
        <f>G340</f>
        <v>8278.58</v>
      </c>
      <c r="G342" s="215">
        <f>E342*F342</f>
        <v>827.85800000000006</v>
      </c>
      <c r="H342" s="649"/>
      <c r="I342" s="12"/>
    </row>
    <row r="343" spans="1:9">
      <c r="A343" s="620"/>
      <c r="B343" s="961"/>
      <c r="C343" s="54" t="s">
        <v>862</v>
      </c>
      <c r="D343" s="189" t="s">
        <v>464</v>
      </c>
      <c r="E343" s="34">
        <v>1</v>
      </c>
      <c r="F343" s="28">
        <v>1206</v>
      </c>
      <c r="G343" s="215">
        <f>E343*F343</f>
        <v>1206</v>
      </c>
      <c r="H343" s="649"/>
      <c r="I343" s="12"/>
    </row>
    <row r="344" spans="1:9">
      <c r="A344" s="620"/>
      <c r="B344" s="961"/>
      <c r="C344" s="54" t="s">
        <v>863</v>
      </c>
      <c r="D344" s="189" t="s">
        <v>464</v>
      </c>
      <c r="E344" s="34">
        <v>1</v>
      </c>
      <c r="F344" s="28">
        <v>1574</v>
      </c>
      <c r="G344" s="215">
        <f>E344*F344</f>
        <v>1574</v>
      </c>
      <c r="H344" s="649"/>
      <c r="I344" s="12"/>
    </row>
    <row r="345" spans="1:9" s="57" customFormat="1">
      <c r="A345" s="620"/>
      <c r="B345" s="961"/>
      <c r="C345" s="54" t="s">
        <v>1485</v>
      </c>
      <c r="D345" s="189"/>
      <c r="E345" s="34">
        <f>G344</f>
        <v>1574</v>
      </c>
      <c r="F345" s="28">
        <f>'Lead- Input sheet '!Q31</f>
        <v>0</v>
      </c>
      <c r="G345" s="215">
        <f>ROUND(E345*F345,2)</f>
        <v>0</v>
      </c>
      <c r="H345" s="657"/>
      <c r="I345" s="12"/>
    </row>
    <row r="346" spans="1:9" s="3" customFormat="1">
      <c r="A346" s="617"/>
      <c r="B346" s="961"/>
      <c r="C346" s="55" t="s">
        <v>1863</v>
      </c>
      <c r="D346" s="190"/>
      <c r="E346" s="158"/>
      <c r="F346" s="923" t="s">
        <v>1486</v>
      </c>
      <c r="G346" s="619">
        <f>SUM(G342:G345)</f>
        <v>3607.8580000000002</v>
      </c>
      <c r="H346" s="649"/>
      <c r="I346" s="12"/>
    </row>
    <row r="347" spans="1:9" s="57" customFormat="1">
      <c r="A347" s="45"/>
      <c r="B347" s="917"/>
      <c r="C347" s="55"/>
      <c r="D347" s="129"/>
      <c r="E347" s="205"/>
      <c r="F347" s="35"/>
      <c r="G347" s="215"/>
      <c r="H347" s="656"/>
      <c r="I347" s="12"/>
    </row>
    <row r="348" spans="1:9" s="6" customFormat="1">
      <c r="A348" s="620"/>
      <c r="B348" s="962" t="s">
        <v>1134</v>
      </c>
      <c r="C348" s="280" t="s">
        <v>333</v>
      </c>
      <c r="D348" s="189"/>
      <c r="E348" s="34"/>
      <c r="F348" s="28"/>
      <c r="G348" s="215"/>
      <c r="H348" s="651"/>
      <c r="I348" s="12"/>
    </row>
    <row r="349" spans="1:9" s="6" customFormat="1">
      <c r="A349" s="620"/>
      <c r="B349" s="962"/>
      <c r="C349" s="54" t="s">
        <v>1041</v>
      </c>
      <c r="D349" s="189"/>
      <c r="E349" s="34"/>
      <c r="F349" s="28"/>
      <c r="G349" s="215"/>
      <c r="H349" s="648"/>
      <c r="I349" s="12"/>
    </row>
    <row r="350" spans="1:9" s="57" customFormat="1">
      <c r="A350" s="620"/>
      <c r="B350" s="962"/>
      <c r="C350" s="54" t="s">
        <v>759</v>
      </c>
      <c r="D350" s="189" t="s">
        <v>1473</v>
      </c>
      <c r="E350" s="34">
        <v>0.9</v>
      </c>
      <c r="F350" s="28">
        <f>'Lead- Input sheet '!R18</f>
        <v>1493.2033622320996</v>
      </c>
      <c r="G350" s="215">
        <f>ROUND(E350*F350,2)</f>
        <v>1343.88</v>
      </c>
      <c r="H350" s="656"/>
      <c r="I350" s="12"/>
    </row>
    <row r="351" spans="1:9" s="57" customFormat="1">
      <c r="A351" s="620"/>
      <c r="B351" s="962"/>
      <c r="C351" s="54" t="s">
        <v>1576</v>
      </c>
      <c r="D351" s="189" t="s">
        <v>1473</v>
      </c>
      <c r="E351" s="34">
        <v>0.45</v>
      </c>
      <c r="F351" s="28">
        <f>'Lead- Input sheet '!R13</f>
        <v>1010.6380759582802</v>
      </c>
      <c r="G351" s="215">
        <f>ROUND(E351*F351,2)</f>
        <v>454.79</v>
      </c>
      <c r="H351" s="656"/>
      <c r="I351" s="12"/>
    </row>
    <row r="352" spans="1:9" s="57" customFormat="1">
      <c r="A352" s="620"/>
      <c r="B352" s="962"/>
      <c r="C352" s="54" t="s">
        <v>1209</v>
      </c>
      <c r="D352" s="189" t="s">
        <v>1038</v>
      </c>
      <c r="E352" s="34">
        <v>400</v>
      </c>
      <c r="F352" s="28">
        <f>'Lead- Input sheet '!R8</f>
        <v>6656</v>
      </c>
      <c r="G352" s="215">
        <f>ROUND(E352*F352/1000,2)</f>
        <v>2662.4</v>
      </c>
      <c r="H352" s="656"/>
      <c r="I352" s="12"/>
    </row>
    <row r="353" spans="1:11" s="57" customFormat="1">
      <c r="A353" s="620"/>
      <c r="B353" s="962"/>
      <c r="C353" s="54" t="s">
        <v>340</v>
      </c>
      <c r="D353" s="189"/>
      <c r="E353" s="34"/>
      <c r="F353" s="28"/>
      <c r="G353" s="215"/>
      <c r="H353" s="656"/>
      <c r="I353" s="12"/>
    </row>
    <row r="354" spans="1:11" s="57" customFormat="1">
      <c r="A354" s="620"/>
      <c r="B354" s="962"/>
      <c r="C354" s="54" t="s">
        <v>932</v>
      </c>
      <c r="D354" s="189" t="s">
        <v>1047</v>
      </c>
      <c r="E354" s="34">
        <v>6.7000000000000004E-2</v>
      </c>
      <c r="F354" s="28">
        <f>'Lead- Input sheet '!R31</f>
        <v>680</v>
      </c>
      <c r="G354" s="215">
        <f>ROUND(E354*F354,2)</f>
        <v>45.56</v>
      </c>
      <c r="H354" s="656"/>
      <c r="I354" s="12"/>
    </row>
    <row r="355" spans="1:11" s="57" customFormat="1">
      <c r="A355" s="620"/>
      <c r="B355" s="962"/>
      <c r="C355" s="54" t="s">
        <v>933</v>
      </c>
      <c r="D355" s="189" t="s">
        <v>1047</v>
      </c>
      <c r="E355" s="34">
        <v>0.13300000000000001</v>
      </c>
      <c r="F355" s="28">
        <f>'Lead- Input sheet '!R30</f>
        <v>650</v>
      </c>
      <c r="G355" s="215">
        <f>ROUND(E355*F355,2)</f>
        <v>86.45</v>
      </c>
      <c r="H355" s="657"/>
      <c r="I355" s="12"/>
    </row>
    <row r="356" spans="1:11" s="3" customFormat="1">
      <c r="A356" s="620"/>
      <c r="B356" s="962"/>
      <c r="C356" s="54" t="s">
        <v>934</v>
      </c>
      <c r="D356" s="189" t="s">
        <v>1047</v>
      </c>
      <c r="E356" s="34">
        <v>2.5</v>
      </c>
      <c r="F356" s="28">
        <f>'Lead- Input sheet '!R29</f>
        <v>605</v>
      </c>
      <c r="G356" s="215">
        <f>ROUND(E356*F356,2)</f>
        <v>1512.5</v>
      </c>
      <c r="H356" s="649"/>
      <c r="I356" s="12"/>
    </row>
    <row r="357" spans="1:11" s="3" customFormat="1">
      <c r="A357" s="647"/>
      <c r="B357" s="907"/>
      <c r="C357" s="643" t="s">
        <v>896</v>
      </c>
      <c r="D357" s="644"/>
      <c r="E357" s="645">
        <f>'Lead- Input sheet '!Q31</f>
        <v>0</v>
      </c>
      <c r="F357" s="922">
        <f>SUM(G354:G356)</f>
        <v>1644.51</v>
      </c>
      <c r="G357" s="646">
        <f>ROUND(F357*E357,2)</f>
        <v>0</v>
      </c>
      <c r="H357" s="649"/>
      <c r="I357" s="12"/>
    </row>
    <row r="358" spans="1:11" s="3" customFormat="1">
      <c r="A358" s="620"/>
      <c r="B358" s="962"/>
      <c r="C358" s="54" t="s">
        <v>344</v>
      </c>
      <c r="D358" s="189" t="s">
        <v>345</v>
      </c>
      <c r="E358" s="34">
        <v>0.26700000000000002</v>
      </c>
      <c r="F358" s="28">
        <f>F337</f>
        <v>472.6</v>
      </c>
      <c r="G358" s="215">
        <f>ROUND(E358*F358,2)</f>
        <v>126.18</v>
      </c>
      <c r="H358" s="649"/>
      <c r="I358" s="12"/>
    </row>
    <row r="359" spans="1:11" s="3" customFormat="1">
      <c r="A359" s="620"/>
      <c r="B359" s="962"/>
      <c r="C359" s="54" t="s">
        <v>1232</v>
      </c>
      <c r="D359" s="189" t="s">
        <v>345</v>
      </c>
      <c r="E359" s="34">
        <v>0.26700000000000002</v>
      </c>
      <c r="F359" s="28">
        <f>$F$289</f>
        <v>191.7</v>
      </c>
      <c r="G359" s="215">
        <f>ROUND(E359*F359,2)</f>
        <v>51.18</v>
      </c>
      <c r="H359" s="649"/>
      <c r="I359" s="12"/>
    </row>
    <row r="360" spans="1:11" s="6" customFormat="1">
      <c r="A360" s="620"/>
      <c r="B360" s="962"/>
      <c r="C360" s="54" t="s">
        <v>342</v>
      </c>
      <c r="D360" s="189" t="s">
        <v>343</v>
      </c>
      <c r="E360" s="34">
        <v>1.2</v>
      </c>
      <c r="F360" s="28">
        <f>IF('Lead- Input sheet '!$Q$31=40%,'Lead- Input sheet '!$P$35,'Lead- Input sheet '!$Q$35)</f>
        <v>73</v>
      </c>
      <c r="G360" s="215">
        <f>E360*F360</f>
        <v>87.6</v>
      </c>
      <c r="H360" s="650"/>
      <c r="I360" s="12"/>
    </row>
    <row r="361" spans="1:11" s="284" customFormat="1">
      <c r="A361" s="617"/>
      <c r="B361" s="962"/>
      <c r="C361" s="55" t="s">
        <v>1130</v>
      </c>
      <c r="D361" s="190"/>
      <c r="E361" s="158"/>
      <c r="F361" s="923" t="s">
        <v>1486</v>
      </c>
      <c r="G361" s="619">
        <f>SUM(G350:G360)</f>
        <v>6370.5400000000009</v>
      </c>
      <c r="H361" s="651"/>
      <c r="I361" s="12"/>
    </row>
    <row r="362" spans="1:11" s="3" customFormat="1">
      <c r="A362" s="620"/>
      <c r="B362" s="962" t="s">
        <v>1475</v>
      </c>
      <c r="C362" s="280" t="s">
        <v>1422</v>
      </c>
      <c r="D362" s="189"/>
      <c r="E362" s="34"/>
      <c r="F362" s="28"/>
      <c r="G362" s="215"/>
      <c r="H362" s="649"/>
      <c r="I362" s="12"/>
    </row>
    <row r="363" spans="1:11" s="3" customFormat="1">
      <c r="A363" s="620"/>
      <c r="B363" s="962"/>
      <c r="C363" s="54" t="s">
        <v>1130</v>
      </c>
      <c r="D363" s="189"/>
      <c r="E363" s="34"/>
      <c r="F363" s="28"/>
      <c r="G363" s="215">
        <f>G361</f>
        <v>6370.5400000000009</v>
      </c>
      <c r="H363" s="649"/>
      <c r="I363" s="12"/>
    </row>
    <row r="364" spans="1:11" s="6" customFormat="1">
      <c r="A364" s="620"/>
      <c r="B364" s="962"/>
      <c r="C364" s="54" t="s">
        <v>862</v>
      </c>
      <c r="D364" s="189"/>
      <c r="E364" s="34"/>
      <c r="F364" s="28"/>
      <c r="G364" s="215">
        <v>2085</v>
      </c>
      <c r="H364" s="651"/>
      <c r="I364" s="12"/>
    </row>
    <row r="365" spans="1:11" s="6" customFormat="1">
      <c r="A365" s="620"/>
      <c r="B365" s="962"/>
      <c r="C365" s="54" t="s">
        <v>863</v>
      </c>
      <c r="D365" s="189"/>
      <c r="E365" s="34"/>
      <c r="F365" s="28"/>
      <c r="G365" s="215">
        <v>1812</v>
      </c>
      <c r="H365" s="648"/>
      <c r="I365" s="12"/>
    </row>
    <row r="366" spans="1:11">
      <c r="A366" s="620"/>
      <c r="B366" s="962"/>
      <c r="C366" s="54" t="s">
        <v>1485</v>
      </c>
      <c r="D366" s="189"/>
      <c r="E366" s="34">
        <f>G365</f>
        <v>1812</v>
      </c>
      <c r="F366" s="28">
        <f>'Lead- Input sheet '!Q31</f>
        <v>0</v>
      </c>
      <c r="G366" s="215">
        <f>ROUND(E366*F366,2)</f>
        <v>0</v>
      </c>
      <c r="H366" s="649"/>
      <c r="I366" s="12"/>
      <c r="J366" s="3">
        <f>0.05+0.075</f>
        <v>0.125</v>
      </c>
      <c r="K366" s="3">
        <f>J366/2</f>
        <v>6.25E-2</v>
      </c>
    </row>
    <row r="367" spans="1:11">
      <c r="A367" s="617"/>
      <c r="B367" s="962"/>
      <c r="C367" s="55" t="s">
        <v>861</v>
      </c>
      <c r="D367" s="190"/>
      <c r="E367" s="158"/>
      <c r="F367" s="923" t="s">
        <v>1486</v>
      </c>
      <c r="G367" s="619">
        <f>SUM(G363:G366)</f>
        <v>10267.540000000001</v>
      </c>
      <c r="H367" s="649"/>
      <c r="I367" s="12"/>
      <c r="J367" s="3">
        <f>0.0625*0.6</f>
        <v>3.7499999999999999E-2</v>
      </c>
    </row>
    <row r="368" spans="1:11" s="57" customFormat="1">
      <c r="A368" s="620"/>
      <c r="B368" s="962"/>
      <c r="C368" s="54"/>
      <c r="D368" s="189"/>
      <c r="E368" s="158" t="s">
        <v>1098</v>
      </c>
      <c r="F368" s="29" t="s">
        <v>1099</v>
      </c>
      <c r="G368" s="182" t="s">
        <v>1100</v>
      </c>
      <c r="H368" s="656"/>
      <c r="I368" s="12"/>
    </row>
    <row r="369" spans="1:9" s="57" customFormat="1">
      <c r="A369" s="620"/>
      <c r="B369" s="962"/>
      <c r="C369" s="54" t="s">
        <v>1101</v>
      </c>
      <c r="D369" s="189"/>
      <c r="E369" s="205">
        <f>G367</f>
        <v>10267.540000000001</v>
      </c>
      <c r="F369" s="35">
        <f>G367</f>
        <v>10267.540000000001</v>
      </c>
      <c r="G369" s="215">
        <f>G367</f>
        <v>10267.540000000001</v>
      </c>
      <c r="H369" s="656"/>
      <c r="I369" s="12"/>
    </row>
    <row r="370" spans="1:9" s="57" customFormat="1">
      <c r="A370" s="620"/>
      <c r="B370" s="962"/>
      <c r="C370" s="54" t="s">
        <v>1103</v>
      </c>
      <c r="D370" s="295" t="s">
        <v>1102</v>
      </c>
      <c r="E370" s="205">
        <v>0</v>
      </c>
      <c r="F370" s="35">
        <f>(SUM(G354:G357)+SUM(G365:G366))*D370</f>
        <v>345.65100000000007</v>
      </c>
      <c r="G370" s="215">
        <f>F370*2</f>
        <v>691.30200000000013</v>
      </c>
      <c r="H370" s="656"/>
      <c r="I370" s="12"/>
    </row>
    <row r="371" spans="1:9" s="57" customFormat="1" ht="25.8">
      <c r="A371" s="620"/>
      <c r="B371" s="962"/>
      <c r="C371" s="54" t="s">
        <v>1814</v>
      </c>
      <c r="D371" s="295" t="s">
        <v>1102</v>
      </c>
      <c r="E371" s="205"/>
      <c r="F371" s="35"/>
      <c r="G371" s="215">
        <f>ROUND(D371*G365,2)</f>
        <v>181.2</v>
      </c>
      <c r="H371" s="656"/>
      <c r="I371" s="12"/>
    </row>
    <row r="372" spans="1:9" s="6" customFormat="1">
      <c r="A372" s="45"/>
      <c r="B372" s="907"/>
      <c r="C372" s="55" t="s">
        <v>1600</v>
      </c>
      <c r="D372" s="941">
        <f>'Lead- Input sheet '!Q32</f>
        <v>0</v>
      </c>
      <c r="E372" s="205">
        <f>ROUND(SUM(E369:E371)*D372,2)</f>
        <v>0</v>
      </c>
      <c r="F372" s="35">
        <f>ROUND(SUM(F369:F371)*D372,2)</f>
        <v>0</v>
      </c>
      <c r="G372" s="215">
        <f>ROUND(SUM(G369:G371)*D372,2)</f>
        <v>0</v>
      </c>
      <c r="H372" s="650"/>
      <c r="I372" s="12"/>
    </row>
    <row r="373" spans="1:9" s="57" customFormat="1">
      <c r="A373" s="281"/>
      <c r="B373" s="907"/>
      <c r="C373" s="283" t="s">
        <v>861</v>
      </c>
      <c r="D373" s="296"/>
      <c r="E373" s="362">
        <f>SUM(E369:E372)</f>
        <v>10267.540000000001</v>
      </c>
      <c r="F373" s="927">
        <f>SUM(F369:F372)</f>
        <v>10613.191000000001</v>
      </c>
      <c r="G373" s="618">
        <f>SUM(G369:G372)</f>
        <v>11140.042000000001</v>
      </c>
      <c r="H373" s="657"/>
      <c r="I373" s="12"/>
    </row>
    <row r="374" spans="1:9" s="3" customFormat="1">
      <c r="A374" s="620"/>
      <c r="B374" s="962"/>
      <c r="C374" s="54" t="s">
        <v>899</v>
      </c>
      <c r="D374" s="34">
        <v>0.9</v>
      </c>
      <c r="E374" s="34">
        <f>'Lead- Input sheet '!$O$19*$D$374</f>
        <v>0</v>
      </c>
      <c r="F374" s="34">
        <f>'Lead- Input sheet '!$O$19*$D$374</f>
        <v>0</v>
      </c>
      <c r="G374" s="973">
        <f>'Lead- Input sheet '!$O$19*$D$374</f>
        <v>0</v>
      </c>
      <c r="H374" s="649"/>
      <c r="I374" s="12"/>
    </row>
    <row r="375" spans="1:9" s="3" customFormat="1">
      <c r="A375" s="620"/>
      <c r="B375" s="962"/>
      <c r="C375" s="54" t="s">
        <v>900</v>
      </c>
      <c r="D375" s="34">
        <v>0.45</v>
      </c>
      <c r="E375" s="34">
        <f>'Lead- Input sheet '!$O$13*$D$375</f>
        <v>0</v>
      </c>
      <c r="F375" s="34">
        <f>'Lead- Input sheet '!$O$13*$D$375</f>
        <v>0</v>
      </c>
      <c r="G375" s="973">
        <f>'Lead- Input sheet '!$O$13*$D$375</f>
        <v>0</v>
      </c>
      <c r="H375" s="649"/>
      <c r="I375" s="12"/>
    </row>
    <row r="376" spans="1:9" s="3" customFormat="1">
      <c r="A376" s="45"/>
      <c r="B376" s="907"/>
      <c r="C376" s="55" t="s">
        <v>744</v>
      </c>
      <c r="D376" s="805" t="s">
        <v>415</v>
      </c>
      <c r="E376" s="446">
        <f>SUM(E373:E375)</f>
        <v>10267.540000000001</v>
      </c>
      <c r="F376" s="928">
        <f>SUM(F373:F375)</f>
        <v>10613.191000000001</v>
      </c>
      <c r="G376" s="619">
        <f>SUM(G373:G375)</f>
        <v>11140.042000000001</v>
      </c>
      <c r="H376" s="649"/>
      <c r="I376" s="12"/>
    </row>
    <row r="377" spans="1:9" s="3" customFormat="1">
      <c r="A377" s="45"/>
      <c r="B377" s="907"/>
      <c r="C377" s="55"/>
      <c r="D377" s="129"/>
      <c r="E377" s="205"/>
      <c r="F377" s="35"/>
      <c r="G377" s="215"/>
      <c r="H377" s="649"/>
      <c r="I377" s="12"/>
    </row>
    <row r="378" spans="1:9" s="6" customFormat="1">
      <c r="A378" s="620"/>
      <c r="B378" s="962" t="s">
        <v>1476</v>
      </c>
      <c r="C378" s="355" t="s">
        <v>1601</v>
      </c>
      <c r="D378" s="189"/>
      <c r="E378" s="34"/>
      <c r="F378" s="28"/>
      <c r="G378" s="215"/>
      <c r="H378" s="650"/>
      <c r="I378" s="12"/>
    </row>
    <row r="379" spans="1:9" s="284" customFormat="1">
      <c r="A379" s="620"/>
      <c r="B379" s="962"/>
      <c r="C379" s="54" t="s">
        <v>1130</v>
      </c>
      <c r="D379" s="189" t="s">
        <v>1473</v>
      </c>
      <c r="E379" s="34">
        <v>1.1499999999999999</v>
      </c>
      <c r="F379" s="28">
        <f>G361</f>
        <v>6370.5400000000009</v>
      </c>
      <c r="G379" s="215">
        <f>ROUND(E379*F379,2)</f>
        <v>7326.12</v>
      </c>
      <c r="H379" s="651"/>
      <c r="I379" s="12"/>
    </row>
    <row r="380" spans="1:9" s="3" customFormat="1">
      <c r="A380" s="620"/>
      <c r="B380" s="962"/>
      <c r="C380" s="54" t="s">
        <v>862</v>
      </c>
      <c r="D380" s="189"/>
      <c r="E380" s="34"/>
      <c r="F380" s="28"/>
      <c r="G380" s="215">
        <v>2360</v>
      </c>
      <c r="H380" s="649"/>
      <c r="I380" s="12"/>
    </row>
    <row r="381" spans="1:9" s="3" customFormat="1">
      <c r="A381" s="620"/>
      <c r="B381" s="962"/>
      <c r="C381" s="54" t="s">
        <v>863</v>
      </c>
      <c r="D381" s="189"/>
      <c r="E381" s="34"/>
      <c r="F381" s="28"/>
      <c r="G381" s="215">
        <v>2050</v>
      </c>
      <c r="H381" s="649"/>
      <c r="I381" s="12"/>
    </row>
    <row r="382" spans="1:9" s="6" customFormat="1">
      <c r="A382" s="620"/>
      <c r="B382" s="962"/>
      <c r="C382" s="54" t="s">
        <v>1485</v>
      </c>
      <c r="D382" s="189"/>
      <c r="E382" s="34">
        <f>G381</f>
        <v>2050</v>
      </c>
      <c r="F382" s="28">
        <f>'Lead- Input sheet '!Q31</f>
        <v>0</v>
      </c>
      <c r="G382" s="215">
        <f>ROUND(E382*F382,2)</f>
        <v>0</v>
      </c>
      <c r="H382" s="651"/>
      <c r="I382" s="12"/>
    </row>
    <row r="383" spans="1:9" s="6" customFormat="1">
      <c r="A383" s="617"/>
      <c r="B383" s="962"/>
      <c r="C383" s="55" t="s">
        <v>864</v>
      </c>
      <c r="D383" s="190"/>
      <c r="E383" s="158"/>
      <c r="F383" s="923" t="s">
        <v>1486</v>
      </c>
      <c r="G383" s="619">
        <f>SUM(G379:G382)</f>
        <v>11736.119999999999</v>
      </c>
      <c r="H383" s="648"/>
      <c r="I383" s="12"/>
    </row>
    <row r="384" spans="1:9">
      <c r="A384" s="620"/>
      <c r="B384" s="962"/>
      <c r="C384" s="54"/>
      <c r="D384" s="189"/>
      <c r="E384" s="158" t="s">
        <v>1098</v>
      </c>
      <c r="F384" s="29" t="s">
        <v>1099</v>
      </c>
      <c r="G384" s="182" t="s">
        <v>1100</v>
      </c>
      <c r="H384" s="649"/>
      <c r="I384" s="12"/>
    </row>
    <row r="385" spans="1:9">
      <c r="A385" s="620"/>
      <c r="B385" s="962"/>
      <c r="C385" s="54" t="s">
        <v>1101</v>
      </c>
      <c r="D385" s="189"/>
      <c r="E385" s="205">
        <f>G383</f>
        <v>11736.119999999999</v>
      </c>
      <c r="F385" s="35">
        <f>G383</f>
        <v>11736.119999999999</v>
      </c>
      <c r="G385" s="215">
        <f>G383</f>
        <v>11736.119999999999</v>
      </c>
      <c r="H385" s="649"/>
      <c r="I385" s="12"/>
    </row>
    <row r="386" spans="1:9">
      <c r="A386" s="620"/>
      <c r="B386" s="962"/>
      <c r="C386" s="54" t="s">
        <v>1103</v>
      </c>
      <c r="D386" s="295" t="s">
        <v>1102</v>
      </c>
      <c r="E386" s="205"/>
      <c r="F386" s="35">
        <f>(SUM( G354:G357)+SUM(G381:G382))*D386</f>
        <v>369.45100000000002</v>
      </c>
      <c r="G386" s="215">
        <f>F386*2</f>
        <v>738.90200000000004</v>
      </c>
      <c r="H386" s="649"/>
      <c r="I386" s="12"/>
    </row>
    <row r="387" spans="1:9" ht="25.8">
      <c r="A387" s="620"/>
      <c r="B387" s="962"/>
      <c r="C387" s="54" t="s">
        <v>1815</v>
      </c>
      <c r="D387" s="295" t="s">
        <v>1102</v>
      </c>
      <c r="E387" s="205"/>
      <c r="F387" s="35"/>
      <c r="G387" s="215">
        <f>ROUND(D387*G381,2)</f>
        <v>205</v>
      </c>
      <c r="H387" s="649"/>
      <c r="I387" s="12"/>
    </row>
    <row r="388" spans="1:9">
      <c r="A388" s="45"/>
      <c r="B388" s="907"/>
      <c r="C388" s="55" t="s">
        <v>1600</v>
      </c>
      <c r="D388" s="941">
        <f>'Lead- Input sheet '!Q32</f>
        <v>0</v>
      </c>
      <c r="E388" s="205">
        <f>ROUND(SUM(E385:E387)*D388,2)</f>
        <v>0</v>
      </c>
      <c r="F388" s="35">
        <f>ROUND(SUM(F385:F387)*D388,2)</f>
        <v>0</v>
      </c>
      <c r="G388" s="215">
        <f>ROUND(SUM(G385:G387)*D388,2)</f>
        <v>0</v>
      </c>
      <c r="H388" s="649"/>
      <c r="I388" s="12"/>
    </row>
    <row r="389" spans="1:9" s="3" customFormat="1">
      <c r="A389" s="281"/>
      <c r="B389" s="907"/>
      <c r="C389" s="55" t="s">
        <v>864</v>
      </c>
      <c r="D389" s="296"/>
      <c r="E389" s="362">
        <f>SUM(E385:E388)</f>
        <v>11736.119999999999</v>
      </c>
      <c r="F389" s="927">
        <f>SUM(F385:F388)</f>
        <v>12105.571</v>
      </c>
      <c r="G389" s="618">
        <f>SUM(G385:G388)</f>
        <v>12680.021999999999</v>
      </c>
      <c r="H389" s="649"/>
      <c r="I389" s="12"/>
    </row>
    <row r="390" spans="1:9">
      <c r="A390" s="620"/>
      <c r="B390" s="962"/>
      <c r="C390" s="54" t="s">
        <v>899</v>
      </c>
      <c r="D390" s="34">
        <f>E379*0.9</f>
        <v>1.0349999999999999</v>
      </c>
      <c r="E390" s="34">
        <f>'Lead- Input sheet '!$O$19*$D$390</f>
        <v>0</v>
      </c>
      <c r="F390" s="34">
        <f>'Lead- Input sheet '!$O$19*$D$390</f>
        <v>0</v>
      </c>
      <c r="G390" s="973">
        <f>'Lead- Input sheet '!$O$19*$D$390</f>
        <v>0</v>
      </c>
      <c r="H390" s="649"/>
      <c r="I390" s="12"/>
    </row>
    <row r="391" spans="1:9">
      <c r="A391" s="620"/>
      <c r="B391" s="962"/>
      <c r="C391" s="54" t="s">
        <v>900</v>
      </c>
      <c r="D391" s="34">
        <f>E379*0.45</f>
        <v>0.51749999999999996</v>
      </c>
      <c r="E391" s="34">
        <f>'Lead- Input sheet '!$O$13*$D$391</f>
        <v>0</v>
      </c>
      <c r="F391" s="34">
        <f>'Lead- Input sheet '!$O$13*$D$391</f>
        <v>0</v>
      </c>
      <c r="G391" s="973">
        <f>'Lead- Input sheet '!$O$13*$D$391</f>
        <v>0</v>
      </c>
      <c r="H391" s="649"/>
      <c r="I391" s="12"/>
    </row>
    <row r="392" spans="1:9">
      <c r="A392" s="45"/>
      <c r="B392" s="907"/>
      <c r="C392" s="55" t="s">
        <v>744</v>
      </c>
      <c r="D392" s="805" t="s">
        <v>415</v>
      </c>
      <c r="E392" s="446">
        <f>SUM(E389:E391)</f>
        <v>11736.119999999999</v>
      </c>
      <c r="F392" s="928">
        <f>SUM(F389:F391)</f>
        <v>12105.571</v>
      </c>
      <c r="G392" s="619">
        <f>SUM(G389:G391)</f>
        <v>12680.021999999999</v>
      </c>
      <c r="H392" s="648"/>
      <c r="I392" s="12"/>
    </row>
    <row r="393" spans="1:9" s="7" customFormat="1">
      <c r="A393" s="45"/>
      <c r="B393" s="907"/>
      <c r="C393" s="55"/>
      <c r="D393" s="129"/>
      <c r="E393" s="205"/>
      <c r="F393" s="35"/>
      <c r="G393" s="215"/>
      <c r="H393" s="642"/>
      <c r="I393" s="12"/>
    </row>
    <row r="394" spans="1:9" s="6" customFormat="1">
      <c r="A394" s="620"/>
      <c r="B394" s="962" t="s">
        <v>1476</v>
      </c>
      <c r="C394" s="355" t="s">
        <v>223</v>
      </c>
      <c r="D394" s="189"/>
      <c r="E394" s="34"/>
      <c r="F394" s="28"/>
      <c r="G394" s="215"/>
      <c r="H394" s="650"/>
      <c r="I394" s="12"/>
    </row>
    <row r="395" spans="1:9" s="284" customFormat="1">
      <c r="A395" s="620"/>
      <c r="B395" s="962"/>
      <c r="C395" s="54" t="s">
        <v>1130</v>
      </c>
      <c r="D395" s="189" t="s">
        <v>1473</v>
      </c>
      <c r="E395" s="34">
        <v>1.1499999999999999</v>
      </c>
      <c r="F395" s="28">
        <f>G361</f>
        <v>6370.5400000000009</v>
      </c>
      <c r="G395" s="215">
        <f>ROUND(E395*F395,2)</f>
        <v>7326.12</v>
      </c>
      <c r="H395" s="651"/>
      <c r="I395" s="12"/>
    </row>
    <row r="396" spans="1:9" s="3" customFormat="1">
      <c r="A396" s="620"/>
      <c r="B396" s="962"/>
      <c r="C396" s="54" t="s">
        <v>862</v>
      </c>
      <c r="D396" s="189"/>
      <c r="E396" s="34"/>
      <c r="F396" s="28"/>
      <c r="G396" s="215">
        <v>2360</v>
      </c>
      <c r="H396" s="649"/>
      <c r="I396" s="12"/>
    </row>
    <row r="397" spans="1:9" s="3" customFormat="1">
      <c r="A397" s="620"/>
      <c r="B397" s="962"/>
      <c r="C397" s="54" t="s">
        <v>863</v>
      </c>
      <c r="D397" s="189"/>
      <c r="E397" s="34"/>
      <c r="F397" s="28"/>
      <c r="G397" s="215">
        <v>2050</v>
      </c>
      <c r="H397" s="649"/>
      <c r="I397" s="12"/>
    </row>
    <row r="398" spans="1:9" s="6" customFormat="1">
      <c r="A398" s="620"/>
      <c r="B398" s="962"/>
      <c r="C398" s="54" t="s">
        <v>1485</v>
      </c>
      <c r="D398" s="189"/>
      <c r="E398" s="34">
        <f>G397</f>
        <v>2050</v>
      </c>
      <c r="F398" s="28">
        <f>'Lead- Input sheet '!Q31</f>
        <v>0</v>
      </c>
      <c r="G398" s="215">
        <f>ROUND(E398*F398,2)</f>
        <v>0</v>
      </c>
      <c r="H398" s="651"/>
      <c r="I398" s="12"/>
    </row>
    <row r="399" spans="1:9" s="6" customFormat="1">
      <c r="A399" s="617"/>
      <c r="B399" s="962"/>
      <c r="C399" s="55" t="s">
        <v>864</v>
      </c>
      <c r="D399" s="190"/>
      <c r="E399" s="158"/>
      <c r="F399" s="923" t="s">
        <v>1486</v>
      </c>
      <c r="G399" s="619">
        <f>SUM(G395:G398)</f>
        <v>11736.119999999999</v>
      </c>
      <c r="H399" s="648"/>
      <c r="I399" s="12"/>
    </row>
    <row r="400" spans="1:9">
      <c r="A400" s="620"/>
      <c r="B400" s="962"/>
      <c r="C400" s="54"/>
      <c r="D400" s="189"/>
      <c r="E400" s="158" t="s">
        <v>1098</v>
      </c>
      <c r="F400" s="29" t="s">
        <v>1099</v>
      </c>
      <c r="G400" s="182" t="s">
        <v>1100</v>
      </c>
      <c r="H400" s="649"/>
      <c r="I400" s="12"/>
    </row>
    <row r="401" spans="1:9">
      <c r="A401" s="620"/>
      <c r="B401" s="962"/>
      <c r="C401" s="54" t="s">
        <v>1101</v>
      </c>
      <c r="D401" s="189"/>
      <c r="E401" s="205">
        <f>G399</f>
        <v>11736.119999999999</v>
      </c>
      <c r="F401" s="35">
        <f>G399</f>
        <v>11736.119999999999</v>
      </c>
      <c r="G401" s="215">
        <f>G399</f>
        <v>11736.119999999999</v>
      </c>
      <c r="H401" s="649"/>
      <c r="I401" s="12"/>
    </row>
    <row r="402" spans="1:9">
      <c r="A402" s="620"/>
      <c r="B402" s="962"/>
      <c r="C402" s="54" t="s">
        <v>1103</v>
      </c>
      <c r="D402" s="295" t="s">
        <v>1102</v>
      </c>
      <c r="E402" s="205"/>
      <c r="F402" s="35">
        <f>(SUM(G354:G357)+SUM(G397:G398))*D402</f>
        <v>369.45100000000002</v>
      </c>
      <c r="G402" s="215">
        <f>F402*2</f>
        <v>738.90200000000004</v>
      </c>
      <c r="H402" s="649"/>
      <c r="I402" s="12"/>
    </row>
    <row r="403" spans="1:9" ht="25.8">
      <c r="A403" s="620"/>
      <c r="B403" s="962"/>
      <c r="C403" s="54" t="s">
        <v>1815</v>
      </c>
      <c r="D403" s="295" t="s">
        <v>1102</v>
      </c>
      <c r="E403" s="205"/>
      <c r="F403" s="35"/>
      <c r="G403" s="215">
        <f>ROUND(D403*G397,2)</f>
        <v>205</v>
      </c>
      <c r="H403" s="649"/>
      <c r="I403" s="12"/>
    </row>
    <row r="404" spans="1:9">
      <c r="A404" s="45"/>
      <c r="B404" s="907"/>
      <c r="C404" s="55" t="s">
        <v>1600</v>
      </c>
      <c r="D404" s="941">
        <f>'Lead- Input sheet '!Q32</f>
        <v>0</v>
      </c>
      <c r="E404" s="205">
        <f>ROUND(SUM(E401:E403)*D404,2)</f>
        <v>0</v>
      </c>
      <c r="F404" s="35">
        <f>ROUND(SUM(F401:F403)*D404,2)</f>
        <v>0</v>
      </c>
      <c r="G404" s="215">
        <f>ROUND(SUM(G401:G403)*D404,2)</f>
        <v>0</v>
      </c>
      <c r="H404" s="649"/>
      <c r="I404" s="12"/>
    </row>
    <row r="405" spans="1:9" s="3" customFormat="1">
      <c r="A405" s="281"/>
      <c r="B405" s="907"/>
      <c r="C405" s="55" t="s">
        <v>864</v>
      </c>
      <c r="D405" s="296"/>
      <c r="E405" s="362">
        <f>SUM(E401:E404)</f>
        <v>11736.119999999999</v>
      </c>
      <c r="F405" s="927">
        <f>SUM(F401:F404)</f>
        <v>12105.571</v>
      </c>
      <c r="G405" s="618">
        <f>SUM(G401:G404)</f>
        <v>12680.021999999999</v>
      </c>
      <c r="H405" s="649"/>
      <c r="I405" s="12"/>
    </row>
    <row r="406" spans="1:9">
      <c r="A406" s="620"/>
      <c r="B406" s="962"/>
      <c r="C406" s="54" t="s">
        <v>899</v>
      </c>
      <c r="D406" s="34">
        <f>E395*0.9</f>
        <v>1.0349999999999999</v>
      </c>
      <c r="E406" s="34">
        <f>'Lead- Input sheet '!$O$19*$D$406</f>
        <v>0</v>
      </c>
      <c r="F406" s="34">
        <f>'Lead- Input sheet '!$O$19*$D$406</f>
        <v>0</v>
      </c>
      <c r="G406" s="973">
        <f>'Lead- Input sheet '!$O$19*$D$406</f>
        <v>0</v>
      </c>
      <c r="H406" s="649"/>
      <c r="I406" s="12"/>
    </row>
    <row r="407" spans="1:9">
      <c r="A407" s="620"/>
      <c r="B407" s="962"/>
      <c r="C407" s="54" t="s">
        <v>900</v>
      </c>
      <c r="D407" s="34">
        <f>E395*0.45</f>
        <v>0.51749999999999996</v>
      </c>
      <c r="E407" s="34">
        <f>'Lead- Input sheet '!$O$13*$D$407</f>
        <v>0</v>
      </c>
      <c r="F407" s="34">
        <f>'Lead- Input sheet '!$O$13*$D$407</f>
        <v>0</v>
      </c>
      <c r="G407" s="973">
        <f>'Lead- Input sheet '!$O$13*$D$407</f>
        <v>0</v>
      </c>
      <c r="H407" s="649"/>
      <c r="I407" s="12"/>
    </row>
    <row r="408" spans="1:9">
      <c r="A408" s="45"/>
      <c r="B408" s="907"/>
      <c r="C408" s="55" t="s">
        <v>744</v>
      </c>
      <c r="D408" s="805" t="s">
        <v>415</v>
      </c>
      <c r="E408" s="446">
        <f>SUM(E405:E407)</f>
        <v>11736.119999999999</v>
      </c>
      <c r="F408" s="928">
        <f>SUM(F405:F407)</f>
        <v>12105.571</v>
      </c>
      <c r="G408" s="619">
        <f>SUM(G405:G407)</f>
        <v>12680.021999999999</v>
      </c>
      <c r="H408" s="648"/>
      <c r="I408" s="12"/>
    </row>
    <row r="409" spans="1:9" s="7" customFormat="1">
      <c r="A409" s="45"/>
      <c r="B409" s="907"/>
      <c r="C409" s="55"/>
      <c r="D409" s="129"/>
      <c r="E409" s="205"/>
      <c r="F409" s="35"/>
      <c r="G409" s="215"/>
      <c r="H409" s="642"/>
      <c r="I409" s="12"/>
    </row>
    <row r="410" spans="1:9">
      <c r="A410" s="617"/>
      <c r="B410" s="962"/>
      <c r="C410" s="355" t="s">
        <v>1603</v>
      </c>
      <c r="D410" s="189"/>
      <c r="E410" s="34"/>
      <c r="F410" s="28"/>
      <c r="G410" s="215"/>
      <c r="H410" s="649"/>
      <c r="I410" s="12"/>
    </row>
    <row r="411" spans="1:9" s="57" customFormat="1">
      <c r="A411" s="617"/>
      <c r="B411" s="962"/>
      <c r="C411" s="54" t="s">
        <v>1130</v>
      </c>
      <c r="D411" s="189" t="s">
        <v>1473</v>
      </c>
      <c r="E411" s="34">
        <v>1.25</v>
      </c>
      <c r="F411" s="28">
        <f>G361</f>
        <v>6370.5400000000009</v>
      </c>
      <c r="G411" s="215">
        <f>ROUND(E411*F411,2)</f>
        <v>7963.18</v>
      </c>
      <c r="H411" s="656"/>
      <c r="I411" s="12"/>
    </row>
    <row r="412" spans="1:9" s="57" customFormat="1">
      <c r="A412" s="617"/>
      <c r="B412" s="962"/>
      <c r="C412" s="54" t="s">
        <v>862</v>
      </c>
      <c r="D412" s="189"/>
      <c r="E412" s="34"/>
      <c r="F412" s="28"/>
      <c r="G412" s="215">
        <v>2360</v>
      </c>
      <c r="H412" s="648"/>
      <c r="I412" s="12"/>
    </row>
    <row r="413" spans="1:9">
      <c r="A413" s="617"/>
      <c r="B413" s="962"/>
      <c r="C413" s="54" t="s">
        <v>863</v>
      </c>
      <c r="D413" s="189"/>
      <c r="E413" s="34"/>
      <c r="F413" s="28"/>
      <c r="G413" s="215">
        <v>2050</v>
      </c>
      <c r="H413" s="649"/>
      <c r="I413" s="12"/>
    </row>
    <row r="414" spans="1:9">
      <c r="A414" s="617"/>
      <c r="B414" s="962"/>
      <c r="C414" s="54" t="s">
        <v>1485</v>
      </c>
      <c r="D414" s="189"/>
      <c r="E414" s="34">
        <f>G413</f>
        <v>2050</v>
      </c>
      <c r="F414" s="28">
        <f>'Lead- Input sheet '!Q31</f>
        <v>0</v>
      </c>
      <c r="G414" s="215">
        <f>ROUND(E414*F414,2)</f>
        <v>0</v>
      </c>
      <c r="H414" s="649"/>
      <c r="I414" s="12"/>
    </row>
    <row r="415" spans="1:9">
      <c r="A415" s="617"/>
      <c r="B415" s="962"/>
      <c r="C415" s="55" t="s">
        <v>864</v>
      </c>
      <c r="D415" s="190"/>
      <c r="E415" s="158"/>
      <c r="F415" s="923" t="s">
        <v>1486</v>
      </c>
      <c r="G415" s="619">
        <f>SUM(G411:G414)</f>
        <v>12373.18</v>
      </c>
      <c r="H415" s="649"/>
      <c r="I415" s="12"/>
    </row>
    <row r="416" spans="1:9">
      <c r="A416" s="620"/>
      <c r="B416" s="962"/>
      <c r="C416" s="54"/>
      <c r="D416" s="189"/>
      <c r="E416" s="158" t="s">
        <v>1098</v>
      </c>
      <c r="F416" s="29" t="s">
        <v>1099</v>
      </c>
      <c r="G416" s="182" t="s">
        <v>1100</v>
      </c>
      <c r="H416" s="649"/>
      <c r="I416" s="12"/>
    </row>
    <row r="417" spans="1:9">
      <c r="A417" s="620"/>
      <c r="B417" s="962"/>
      <c r="C417" s="54" t="s">
        <v>1101</v>
      </c>
      <c r="D417" s="189"/>
      <c r="E417" s="363">
        <f>G415</f>
        <v>12373.18</v>
      </c>
      <c r="F417" s="929">
        <f>G415</f>
        <v>12373.18</v>
      </c>
      <c r="G417" s="215">
        <f>G415</f>
        <v>12373.18</v>
      </c>
      <c r="H417" s="649"/>
      <c r="I417" s="12"/>
    </row>
    <row r="418" spans="1:9">
      <c r="A418" s="620"/>
      <c r="B418" s="962"/>
      <c r="C418" s="54" t="s">
        <v>1103</v>
      </c>
      <c r="D418" s="295" t="s">
        <v>1102</v>
      </c>
      <c r="E418" s="205"/>
      <c r="F418" s="35">
        <f>(SUM(G354:G357)+SUM(G413:G414))*D418</f>
        <v>369.45100000000002</v>
      </c>
      <c r="G418" s="215">
        <f>F418*2</f>
        <v>738.90200000000004</v>
      </c>
      <c r="H418" s="649"/>
      <c r="I418" s="12"/>
    </row>
    <row r="419" spans="1:9" ht="25.8">
      <c r="A419" s="620"/>
      <c r="B419" s="962"/>
      <c r="C419" s="54" t="s">
        <v>1815</v>
      </c>
      <c r="D419" s="295" t="s">
        <v>1102</v>
      </c>
      <c r="E419" s="205"/>
      <c r="F419" s="35"/>
      <c r="G419" s="215">
        <f>ROUND(D419*G413,2)</f>
        <v>205</v>
      </c>
      <c r="H419" s="649"/>
      <c r="I419" s="12"/>
    </row>
    <row r="420" spans="1:9">
      <c r="A420" s="45"/>
      <c r="B420" s="907"/>
      <c r="C420" s="55" t="s">
        <v>1600</v>
      </c>
      <c r="D420" s="129">
        <f>'Lead- Input sheet '!Q32</f>
        <v>0</v>
      </c>
      <c r="E420" s="205">
        <f>ROUND(SUM(E417:E419)*D420,2)</f>
        <v>0</v>
      </c>
      <c r="F420" s="35">
        <f>ROUND(SUM(F417:F419)*D420,2)</f>
        <v>0</v>
      </c>
      <c r="G420" s="215">
        <f>ROUND(SUM(G417:G419)*D420,2)</f>
        <v>0</v>
      </c>
      <c r="H420" s="649"/>
      <c r="I420" s="12"/>
    </row>
    <row r="421" spans="1:9">
      <c r="A421" s="281"/>
      <c r="B421" s="907"/>
      <c r="C421" s="55" t="s">
        <v>864</v>
      </c>
      <c r="D421" s="296"/>
      <c r="E421" s="364">
        <f>SUM(E417:E420)</f>
        <v>12373.18</v>
      </c>
      <c r="F421" s="930">
        <f>SUM(F417:F420)</f>
        <v>12742.631000000001</v>
      </c>
      <c r="G421" s="618">
        <f>SUM(G417:G420)</f>
        <v>13317.082</v>
      </c>
      <c r="H421" s="649"/>
      <c r="I421" s="12"/>
    </row>
    <row r="422" spans="1:9">
      <c r="A422" s="620"/>
      <c r="B422" s="962"/>
      <c r="C422" s="54" t="s">
        <v>899</v>
      </c>
      <c r="D422" s="34">
        <f>E411*0.9</f>
        <v>1.125</v>
      </c>
      <c r="E422" s="34">
        <f>'Lead- Input sheet '!$O$19*$D$422</f>
        <v>0</v>
      </c>
      <c r="F422" s="34">
        <f>'Lead- Input sheet '!$O$19*$D$422</f>
        <v>0</v>
      </c>
      <c r="G422" s="973">
        <f>'Lead- Input sheet '!$O$19*$D$422</f>
        <v>0</v>
      </c>
      <c r="H422" s="649"/>
      <c r="I422" s="12"/>
    </row>
    <row r="423" spans="1:9">
      <c r="A423" s="620"/>
      <c r="B423" s="962"/>
      <c r="C423" s="54" t="s">
        <v>900</v>
      </c>
      <c r="D423" s="34">
        <f>E411*0.45</f>
        <v>0.5625</v>
      </c>
      <c r="E423" s="34">
        <f>'Lead- Input sheet '!$O$13*$D$423</f>
        <v>0</v>
      </c>
      <c r="F423" s="34">
        <f>'Lead- Input sheet '!$O$13*$D$423</f>
        <v>0</v>
      </c>
      <c r="G423" s="973">
        <f>'Lead- Input sheet '!$O$13*$D$423</f>
        <v>0</v>
      </c>
      <c r="H423" s="648"/>
      <c r="I423" s="12"/>
    </row>
    <row r="424" spans="1:9" s="7" customFormat="1">
      <c r="A424" s="45"/>
      <c r="B424" s="907"/>
      <c r="C424" s="55" t="s">
        <v>744</v>
      </c>
      <c r="D424" s="805" t="s">
        <v>415</v>
      </c>
      <c r="E424" s="446">
        <f>SUM(E421:E423)</f>
        <v>12373.18</v>
      </c>
      <c r="F424" s="928">
        <f>SUM(F421:F423)</f>
        <v>12742.631000000001</v>
      </c>
      <c r="G424" s="619">
        <f>SUM(G421:G423)</f>
        <v>13317.082</v>
      </c>
      <c r="H424" s="642"/>
      <c r="I424" s="12"/>
    </row>
    <row r="425" spans="1:9">
      <c r="A425" s="45"/>
      <c r="B425" s="907"/>
      <c r="C425" s="55"/>
      <c r="D425" s="129"/>
      <c r="E425" s="205"/>
      <c r="F425" s="35"/>
      <c r="G425" s="215"/>
      <c r="H425" s="649"/>
      <c r="I425" s="12"/>
    </row>
    <row r="426" spans="1:9" s="7" customFormat="1">
      <c r="A426" s="617"/>
      <c r="B426" s="962"/>
      <c r="C426" s="355" t="s">
        <v>126</v>
      </c>
      <c r="D426" s="189"/>
      <c r="E426" s="34"/>
      <c r="F426" s="28"/>
      <c r="G426" s="215"/>
      <c r="H426" s="642"/>
      <c r="I426" s="12"/>
    </row>
    <row r="427" spans="1:9" s="7" customFormat="1">
      <c r="A427" s="617"/>
      <c r="B427" s="962"/>
      <c r="C427" s="54" t="s">
        <v>1130</v>
      </c>
      <c r="D427" s="189" t="s">
        <v>1473</v>
      </c>
      <c r="E427" s="34">
        <v>1.75</v>
      </c>
      <c r="F427" s="28">
        <f>G361</f>
        <v>6370.5400000000009</v>
      </c>
      <c r="G427" s="215">
        <f>ROUND(E427*F427,2)</f>
        <v>11148.45</v>
      </c>
      <c r="H427" s="642"/>
      <c r="I427" s="12"/>
    </row>
    <row r="428" spans="1:9" s="7" customFormat="1">
      <c r="A428" s="617"/>
      <c r="B428" s="962"/>
      <c r="C428" s="54" t="s">
        <v>862</v>
      </c>
      <c r="D428" s="189"/>
      <c r="E428" s="34"/>
      <c r="F428" s="28"/>
      <c r="G428" s="215">
        <v>2430</v>
      </c>
      <c r="H428" s="642"/>
      <c r="I428" s="12"/>
    </row>
    <row r="429" spans="1:9" s="6" customFormat="1">
      <c r="A429" s="617"/>
      <c r="B429" s="962"/>
      <c r="C429" s="54" t="s">
        <v>863</v>
      </c>
      <c r="D429" s="189"/>
      <c r="E429" s="34"/>
      <c r="F429" s="28"/>
      <c r="G429" s="215">
        <v>2110</v>
      </c>
      <c r="H429" s="650"/>
      <c r="I429" s="12"/>
    </row>
    <row r="430" spans="1:9" s="6" customFormat="1">
      <c r="A430" s="617"/>
      <c r="B430" s="962"/>
      <c r="C430" s="54" t="s">
        <v>1485</v>
      </c>
      <c r="D430" s="189"/>
      <c r="E430" s="34">
        <f>G429</f>
        <v>2110</v>
      </c>
      <c r="F430" s="28">
        <f>'Lead- Input sheet '!Q31</f>
        <v>0</v>
      </c>
      <c r="G430" s="215">
        <f>ROUND(E430*F430,2)</f>
        <v>0</v>
      </c>
      <c r="H430" s="650"/>
      <c r="I430" s="12"/>
    </row>
    <row r="431" spans="1:9" s="6" customFormat="1">
      <c r="A431" s="617"/>
      <c r="B431" s="962"/>
      <c r="C431" s="55" t="s">
        <v>864</v>
      </c>
      <c r="D431" s="190"/>
      <c r="E431" s="158"/>
      <c r="F431" s="923" t="s">
        <v>1486</v>
      </c>
      <c r="G431" s="619">
        <f>SUM(G427:G430)</f>
        <v>15688.45</v>
      </c>
      <c r="H431" s="650"/>
      <c r="I431" s="12"/>
    </row>
    <row r="432" spans="1:9" s="3" customFormat="1">
      <c r="A432" s="620"/>
      <c r="B432" s="962"/>
      <c r="C432" s="54"/>
      <c r="D432" s="189"/>
      <c r="E432" s="158" t="s">
        <v>1098</v>
      </c>
      <c r="F432" s="29" t="s">
        <v>1099</v>
      </c>
      <c r="G432" s="182" t="s">
        <v>1100</v>
      </c>
      <c r="H432" s="649"/>
      <c r="I432" s="12"/>
    </row>
    <row r="433" spans="1:9" s="3" customFormat="1">
      <c r="A433" s="620"/>
      <c r="B433" s="962"/>
      <c r="C433" s="54" t="s">
        <v>1101</v>
      </c>
      <c r="D433" s="189"/>
      <c r="E433" s="205">
        <f>G431</f>
        <v>15688.45</v>
      </c>
      <c r="F433" s="35">
        <f>G431</f>
        <v>15688.45</v>
      </c>
      <c r="G433" s="215">
        <f>G431</f>
        <v>15688.45</v>
      </c>
      <c r="H433" s="649"/>
      <c r="I433" s="12"/>
    </row>
    <row r="434" spans="1:9" s="3" customFormat="1">
      <c r="A434" s="620"/>
      <c r="B434" s="962"/>
      <c r="C434" s="54" t="s">
        <v>1103</v>
      </c>
      <c r="D434" s="295" t="s">
        <v>1102</v>
      </c>
      <c r="E434" s="205">
        <v>0</v>
      </c>
      <c r="F434" s="35">
        <f>(SUM(G354:G357)+SUM(G429:G430))*D434</f>
        <v>375.45100000000002</v>
      </c>
      <c r="G434" s="215">
        <f>F434*2</f>
        <v>750.90200000000004</v>
      </c>
      <c r="H434" s="649"/>
      <c r="I434" s="12"/>
    </row>
    <row r="435" spans="1:9" ht="25.8">
      <c r="A435" s="620"/>
      <c r="B435" s="962"/>
      <c r="C435" s="54" t="s">
        <v>1816</v>
      </c>
      <c r="D435" s="295" t="s">
        <v>1102</v>
      </c>
      <c r="E435" s="205"/>
      <c r="F435" s="35"/>
      <c r="G435" s="215">
        <f>ROUND(D435*G429,2)</f>
        <v>211</v>
      </c>
      <c r="H435" s="649"/>
      <c r="I435" s="12"/>
    </row>
    <row r="436" spans="1:9">
      <c r="A436" s="45"/>
      <c r="B436" s="907"/>
      <c r="C436" s="55" t="s">
        <v>1600</v>
      </c>
      <c r="D436" s="941">
        <f>'Lead- Input sheet '!Q32</f>
        <v>0</v>
      </c>
      <c r="E436" s="205">
        <f>ROUND(SUM(E433:E435)*D436,2)</f>
        <v>0</v>
      </c>
      <c r="F436" s="35">
        <f>ROUND(SUM(F433:F435)*D436,2)</f>
        <v>0</v>
      </c>
      <c r="G436" s="215">
        <f>ROUND(SUM(G433:G435)*D436,2)</f>
        <v>0</v>
      </c>
      <c r="H436" s="649"/>
      <c r="I436" s="12"/>
    </row>
    <row r="437" spans="1:9">
      <c r="A437" s="281"/>
      <c r="B437" s="907"/>
      <c r="C437" s="55" t="s">
        <v>864</v>
      </c>
      <c r="D437" s="296"/>
      <c r="E437" s="362">
        <f>SUM(E433:E436)</f>
        <v>15688.45</v>
      </c>
      <c r="F437" s="927">
        <f>SUM(F433:F436)</f>
        <v>16063.901000000002</v>
      </c>
      <c r="G437" s="618">
        <f>SUM(G433:G436)</f>
        <v>16650.351999999999</v>
      </c>
      <c r="H437" s="649"/>
      <c r="I437" s="12"/>
    </row>
    <row r="438" spans="1:9">
      <c r="A438" s="620"/>
      <c r="B438" s="962"/>
      <c r="C438" s="54" t="s">
        <v>899</v>
      </c>
      <c r="D438" s="34">
        <f>E427*0.9</f>
        <v>1.575</v>
      </c>
      <c r="E438" s="34">
        <f>'Lead- Input sheet '!$O$19*$D$438</f>
        <v>0</v>
      </c>
      <c r="F438" s="34">
        <f>'Lead- Input sheet '!$O$19*$D$438</f>
        <v>0</v>
      </c>
      <c r="G438" s="973">
        <f>'Lead- Input sheet '!$O$19*$D$438</f>
        <v>0</v>
      </c>
      <c r="H438" s="649"/>
      <c r="I438" s="12"/>
    </row>
    <row r="439" spans="1:9">
      <c r="A439" s="620"/>
      <c r="B439" s="962"/>
      <c r="C439" s="54" t="s">
        <v>900</v>
      </c>
      <c r="D439" s="34">
        <f>E427*0.45</f>
        <v>0.78749999999999998</v>
      </c>
      <c r="E439" s="34">
        <f>'Lead- Input sheet '!$O$13*$D$439</f>
        <v>0</v>
      </c>
      <c r="F439" s="34">
        <f>'Lead- Input sheet '!$O$13*$D$439</f>
        <v>0</v>
      </c>
      <c r="G439" s="973">
        <f>'Lead- Input sheet '!$O$13*$D$439</f>
        <v>0</v>
      </c>
      <c r="H439" s="658"/>
      <c r="I439" s="12"/>
    </row>
    <row r="440" spans="1:9">
      <c r="A440" s="45"/>
      <c r="B440" s="907"/>
      <c r="C440" s="55" t="s">
        <v>744</v>
      </c>
      <c r="D440" s="805" t="s">
        <v>415</v>
      </c>
      <c r="E440" s="446">
        <f>SUM(E437:E439)</f>
        <v>15688.45</v>
      </c>
      <c r="F440" s="928">
        <f>SUM(F437:F439)</f>
        <v>16063.901000000002</v>
      </c>
      <c r="G440" s="619">
        <f>SUM(G437:G439)</f>
        <v>16650.351999999999</v>
      </c>
      <c r="H440" s="658"/>
      <c r="I440" s="12"/>
    </row>
    <row r="441" spans="1:9">
      <c r="A441" s="620"/>
      <c r="B441" s="961" t="s">
        <v>1477</v>
      </c>
      <c r="C441" s="355" t="s">
        <v>1423</v>
      </c>
      <c r="D441" s="189"/>
      <c r="E441" s="34"/>
      <c r="F441" s="28"/>
      <c r="G441" s="215"/>
      <c r="H441" s="649"/>
      <c r="I441" s="12"/>
    </row>
    <row r="442" spans="1:9">
      <c r="A442" s="620"/>
      <c r="B442" s="961"/>
      <c r="C442" s="54" t="s">
        <v>867</v>
      </c>
      <c r="D442" s="189" t="s">
        <v>1162</v>
      </c>
      <c r="E442" s="416">
        <v>3.7499999999999999E-2</v>
      </c>
      <c r="F442" s="28">
        <f>G361</f>
        <v>6370.5400000000009</v>
      </c>
      <c r="G442" s="215">
        <f>ROUND(E442*F442,2)</f>
        <v>238.9</v>
      </c>
      <c r="H442" s="649">
        <f>0.0625*0.6*1</f>
        <v>3.7499999999999999E-2</v>
      </c>
      <c r="I442" s="12"/>
    </row>
    <row r="443" spans="1:9">
      <c r="A443" s="617"/>
      <c r="B443" s="961"/>
      <c r="C443" s="54" t="s">
        <v>862</v>
      </c>
      <c r="D443" s="189" t="s">
        <v>1478</v>
      </c>
      <c r="E443" s="129">
        <v>0.6</v>
      </c>
      <c r="F443" s="28">
        <v>233</v>
      </c>
      <c r="G443" s="215">
        <f>ROUND(E443*F443,2)</f>
        <v>139.80000000000001</v>
      </c>
      <c r="H443" s="649"/>
      <c r="I443" s="12"/>
    </row>
    <row r="444" spans="1:9">
      <c r="A444" s="617"/>
      <c r="B444" s="961"/>
      <c r="C444" s="54" t="s">
        <v>863</v>
      </c>
      <c r="D444" s="189" t="s">
        <v>1478</v>
      </c>
      <c r="E444" s="129">
        <v>0.6</v>
      </c>
      <c r="F444" s="28">
        <v>236</v>
      </c>
      <c r="G444" s="215">
        <f>ROUND(E444*F444,2)</f>
        <v>141.6</v>
      </c>
      <c r="H444" s="648"/>
      <c r="I444" s="12"/>
    </row>
    <row r="445" spans="1:9" s="7" customFormat="1">
      <c r="A445" s="617"/>
      <c r="B445" s="961"/>
      <c r="C445" s="54" t="s">
        <v>1485</v>
      </c>
      <c r="D445" s="189"/>
      <c r="E445" s="129">
        <f>G444</f>
        <v>141.6</v>
      </c>
      <c r="F445" s="28">
        <f>'Lead- Input sheet '!Q31</f>
        <v>0</v>
      </c>
      <c r="G445" s="215">
        <f>ROUND(E445*F445,2)</f>
        <v>0</v>
      </c>
      <c r="H445" s="642"/>
      <c r="I445" s="12"/>
    </row>
    <row r="446" spans="1:9" s="6" customFormat="1">
      <c r="A446" s="617"/>
      <c r="B446" s="961"/>
      <c r="C446" s="55"/>
      <c r="D446" s="190"/>
      <c r="E446" s="158"/>
      <c r="F446" s="29"/>
      <c r="G446" s="182">
        <f>SUM(G442:G445)</f>
        <v>520.30000000000007</v>
      </c>
      <c r="H446" s="651"/>
      <c r="I446" s="12"/>
    </row>
    <row r="447" spans="1:9" s="3" customFormat="1">
      <c r="A447" s="45"/>
      <c r="B447" s="917"/>
      <c r="C447" s="55"/>
      <c r="D447" s="190"/>
      <c r="E447" s="158"/>
      <c r="F447" s="29"/>
      <c r="G447" s="182"/>
      <c r="H447" s="648"/>
      <c r="I447" s="12"/>
    </row>
    <row r="448" spans="1:9" s="3" customFormat="1">
      <c r="A448" s="617"/>
      <c r="B448" s="961"/>
      <c r="C448" s="55" t="s">
        <v>868</v>
      </c>
      <c r="D448" s="190"/>
      <c r="E448" s="158"/>
      <c r="F448" s="923" t="s">
        <v>1486</v>
      </c>
      <c r="G448" s="619">
        <f>SUM(G446:G447)</f>
        <v>520.30000000000007</v>
      </c>
      <c r="H448" s="648"/>
      <c r="I448" s="12"/>
    </row>
    <row r="449" spans="1:9" s="3" customFormat="1">
      <c r="A449" s="620"/>
      <c r="B449" s="961"/>
      <c r="C449" s="54"/>
      <c r="D449" s="189"/>
      <c r="E449" s="158" t="s">
        <v>1098</v>
      </c>
      <c r="F449" s="29" t="s">
        <v>1099</v>
      </c>
      <c r="G449" s="182" t="s">
        <v>1100</v>
      </c>
      <c r="H449" s="649"/>
      <c r="I449" s="12"/>
    </row>
    <row r="450" spans="1:9" s="3" customFormat="1">
      <c r="A450" s="620"/>
      <c r="B450" s="961"/>
      <c r="C450" s="54" t="s">
        <v>1101</v>
      </c>
      <c r="D450" s="189"/>
      <c r="E450" s="205">
        <f>G448</f>
        <v>520.30000000000007</v>
      </c>
      <c r="F450" s="35">
        <f>G448</f>
        <v>520.30000000000007</v>
      </c>
      <c r="G450" s="215">
        <f>G448</f>
        <v>520.30000000000007</v>
      </c>
      <c r="H450" s="649"/>
      <c r="I450" s="12"/>
    </row>
    <row r="451" spans="1:9" s="3" customFormat="1">
      <c r="A451" s="620"/>
      <c r="B451" s="961"/>
      <c r="C451" s="54" t="s">
        <v>1103</v>
      </c>
      <c r="D451" s="295" t="s">
        <v>1102</v>
      </c>
      <c r="E451" s="205">
        <v>0</v>
      </c>
      <c r="F451" s="35">
        <f>((SUM(G354:G357)+SUM(G444:G445)*D451))*0.0375</f>
        <v>62.200125</v>
      </c>
      <c r="G451" s="215">
        <f>F451*2</f>
        <v>124.40025</v>
      </c>
      <c r="H451" s="649"/>
      <c r="I451" s="12"/>
    </row>
    <row r="452" spans="1:9" s="3" customFormat="1" ht="25.8">
      <c r="A452" s="620"/>
      <c r="B452" s="961"/>
      <c r="C452" s="54" t="s">
        <v>1813</v>
      </c>
      <c r="D452" s="295" t="s">
        <v>1102</v>
      </c>
      <c r="E452" s="205"/>
      <c r="F452" s="35"/>
      <c r="G452" s="215">
        <f>ROUND(D452*G444,2)</f>
        <v>14.16</v>
      </c>
      <c r="H452" s="649"/>
      <c r="I452" s="12"/>
    </row>
    <row r="453" spans="1:9" s="6" customFormat="1">
      <c r="A453" s="45"/>
      <c r="B453" s="917"/>
      <c r="C453" s="55" t="s">
        <v>1600</v>
      </c>
      <c r="D453" s="941">
        <f>'Lead- Input sheet '!Q32</f>
        <v>0</v>
      </c>
      <c r="E453" s="205">
        <f>ROUND(SUM(E450:E452)*D453,2)</f>
        <v>0</v>
      </c>
      <c r="F453" s="35">
        <f>ROUND(SUM(F450:F452)*D453,2)</f>
        <v>0</v>
      </c>
      <c r="G453" s="215">
        <f>ROUND(SUM(G450:G452)*D453,2)</f>
        <v>0</v>
      </c>
      <c r="H453" s="650"/>
      <c r="I453" s="12"/>
    </row>
    <row r="454" spans="1:9" s="655" customFormat="1">
      <c r="A454" s="665"/>
      <c r="B454" s="917"/>
      <c r="C454" s="666"/>
      <c r="D454" s="433"/>
      <c r="E454" s="667">
        <f>SUM(E450:E453)</f>
        <v>520.30000000000007</v>
      </c>
      <c r="F454" s="931">
        <f>SUM(F450:F453)</f>
        <v>582.50012500000003</v>
      </c>
      <c r="G454" s="668">
        <f>SUM(G450:G453)</f>
        <v>658.86025000000006</v>
      </c>
      <c r="H454" s="651"/>
      <c r="I454" s="669"/>
    </row>
    <row r="455" spans="1:9" s="3" customFormat="1">
      <c r="A455" s="620"/>
      <c r="B455" s="961"/>
      <c r="C455" s="54" t="s">
        <v>899</v>
      </c>
      <c r="D455" s="34">
        <f>E442*0.9</f>
        <v>3.3750000000000002E-2</v>
      </c>
      <c r="E455" s="34">
        <f>'Lead- Input sheet '!$O$19*$D$455</f>
        <v>0</v>
      </c>
      <c r="F455" s="34">
        <f>'Lead- Input sheet '!$O$19*$D$455</f>
        <v>0</v>
      </c>
      <c r="G455" s="973">
        <f>'Lead- Input sheet '!$O$19*$D$455</f>
        <v>0</v>
      </c>
      <c r="H455" s="649"/>
      <c r="I455" s="12"/>
    </row>
    <row r="456" spans="1:9" s="3" customFormat="1">
      <c r="A456" s="620"/>
      <c r="B456" s="961"/>
      <c r="C456" s="54" t="s">
        <v>900</v>
      </c>
      <c r="D456" s="34">
        <f>E442*0.45</f>
        <v>1.6875000000000001E-2</v>
      </c>
      <c r="E456" s="34">
        <f>'Lead- Input sheet '!$O$13*$D$456</f>
        <v>0</v>
      </c>
      <c r="F456" s="34">
        <f>'Lead- Input sheet '!$O$13*$D$456</f>
        <v>0</v>
      </c>
      <c r="G456" s="973">
        <f>'Lead- Input sheet '!$O$13*$D$456</f>
        <v>0</v>
      </c>
      <c r="H456" s="649"/>
      <c r="I456" s="12"/>
    </row>
    <row r="457" spans="1:9" s="3" customFormat="1">
      <c r="A457" s="45"/>
      <c r="B457" s="917"/>
      <c r="C457" s="55" t="s">
        <v>868</v>
      </c>
      <c r="D457" s="805" t="s">
        <v>415</v>
      </c>
      <c r="E457" s="446">
        <f>SUM(E454:E456)</f>
        <v>520.30000000000007</v>
      </c>
      <c r="F457" s="928">
        <f>SUM(F454:F456)</f>
        <v>582.50012500000003</v>
      </c>
      <c r="G457" s="619">
        <f>SUM(G454:G456)</f>
        <v>658.86025000000006</v>
      </c>
      <c r="H457" s="649"/>
      <c r="I457" s="12"/>
    </row>
    <row r="458" spans="1:9" s="128" customFormat="1" ht="35.200000000000003" customHeight="1">
      <c r="A458" s="673" t="s">
        <v>1399</v>
      </c>
      <c r="B458" s="918">
        <v>21</v>
      </c>
      <c r="C458" s="193" t="s">
        <v>1402</v>
      </c>
      <c r="D458" s="194"/>
      <c r="E458" s="194"/>
      <c r="F458" s="932"/>
      <c r="G458" s="626"/>
      <c r="H458" s="654"/>
      <c r="I458" s="12"/>
    </row>
    <row r="459" spans="1:9" s="128" customFormat="1">
      <c r="A459" s="625"/>
      <c r="B459" s="919"/>
      <c r="C459" s="2" t="s">
        <v>1400</v>
      </c>
      <c r="D459" s="34"/>
      <c r="E459" s="34"/>
      <c r="F459" s="28"/>
      <c r="G459" s="215"/>
      <c r="H459" s="654"/>
      <c r="I459" s="12"/>
    </row>
    <row r="460" spans="1:9" s="128" customFormat="1">
      <c r="A460" s="625"/>
      <c r="B460" s="919"/>
      <c r="C460" s="2" t="s">
        <v>1040</v>
      </c>
      <c r="D460" s="34"/>
      <c r="E460" s="34"/>
      <c r="F460" s="28"/>
      <c r="G460" s="215"/>
      <c r="H460" s="654"/>
      <c r="I460" s="12"/>
    </row>
    <row r="461" spans="1:9" s="128" customFormat="1">
      <c r="A461" s="625"/>
      <c r="B461" s="919"/>
      <c r="C461" s="2" t="s">
        <v>1041</v>
      </c>
      <c r="D461" s="34"/>
      <c r="E461" s="34"/>
      <c r="F461" s="28"/>
      <c r="G461" s="215"/>
      <c r="H461" s="654"/>
      <c r="I461" s="12"/>
    </row>
    <row r="462" spans="1:9" s="128" customFormat="1">
      <c r="A462" s="625"/>
      <c r="B462" s="919"/>
      <c r="C462" s="2" t="s">
        <v>523</v>
      </c>
      <c r="D462" s="34" t="s">
        <v>338</v>
      </c>
      <c r="E462" s="34">
        <v>220</v>
      </c>
      <c r="F462" s="28">
        <f>'Lead- Input sheet '!R8</f>
        <v>6656</v>
      </c>
      <c r="G462" s="215">
        <f>ROUND(E462*F462/1000,2)</f>
        <v>1464.32</v>
      </c>
      <c r="H462" s="654"/>
      <c r="I462" s="12"/>
    </row>
    <row r="463" spans="1:9" s="128" customFormat="1">
      <c r="A463" s="625"/>
      <c r="B463" s="919"/>
      <c r="C463" s="2" t="s">
        <v>1401</v>
      </c>
      <c r="D463" s="34" t="s">
        <v>1473</v>
      </c>
      <c r="E463" s="34">
        <v>0.9</v>
      </c>
      <c r="F463" s="28">
        <f>'Lead- Input sheet '!R18</f>
        <v>1493.2033622320996</v>
      </c>
      <c r="G463" s="215">
        <f>ROUND(E463*F463,2)</f>
        <v>1343.88</v>
      </c>
      <c r="H463" s="654"/>
      <c r="I463" s="12"/>
    </row>
    <row r="464" spans="1:9" s="128" customFormat="1">
      <c r="A464" s="625"/>
      <c r="B464" s="919"/>
      <c r="C464" s="2" t="s">
        <v>1571</v>
      </c>
      <c r="D464" s="34" t="s">
        <v>1473</v>
      </c>
      <c r="E464" s="34">
        <v>0.45</v>
      </c>
      <c r="F464" s="28">
        <f>'Lead- Input sheet '!R13</f>
        <v>1010.6380759582802</v>
      </c>
      <c r="G464" s="215">
        <f>ROUND(E464*F464,2)</f>
        <v>454.79</v>
      </c>
      <c r="H464" s="654"/>
      <c r="I464" s="12"/>
    </row>
    <row r="465" spans="1:11" s="128" customFormat="1">
      <c r="A465" s="625"/>
      <c r="B465" s="919"/>
      <c r="C465" s="2" t="s">
        <v>340</v>
      </c>
      <c r="D465" s="34"/>
      <c r="E465" s="34"/>
      <c r="F465" s="28"/>
      <c r="G465" s="215"/>
      <c r="H465" s="654"/>
      <c r="I465" s="12"/>
    </row>
    <row r="466" spans="1:11" s="128" customFormat="1" ht="14.1">
      <c r="A466" s="625"/>
      <c r="B466" s="919"/>
      <c r="C466" s="2" t="s">
        <v>746</v>
      </c>
      <c r="D466" s="34" t="s">
        <v>1047</v>
      </c>
      <c r="E466" s="34">
        <v>0.1</v>
      </c>
      <c r="F466" s="28">
        <f>'Lead- Input sheet '!R31</f>
        <v>680</v>
      </c>
      <c r="G466" s="215">
        <f>ROUND(E466*F466,2)</f>
        <v>68</v>
      </c>
      <c r="H466" s="654"/>
      <c r="I466" s="12"/>
    </row>
    <row r="467" spans="1:11" s="128" customFormat="1">
      <c r="A467" s="625"/>
      <c r="B467" s="919"/>
      <c r="C467" s="2" t="s">
        <v>341</v>
      </c>
      <c r="D467" s="34" t="s">
        <v>1047</v>
      </c>
      <c r="E467" s="34">
        <v>2.36</v>
      </c>
      <c r="F467" s="28">
        <f>'Lead- Input sheet '!R29</f>
        <v>605</v>
      </c>
      <c r="G467" s="215">
        <f>ROUND(E467*F467,2)</f>
        <v>1427.8</v>
      </c>
      <c r="H467" s="648"/>
      <c r="I467" s="12"/>
    </row>
    <row r="468" spans="1:11">
      <c r="A468" s="647"/>
      <c r="B468" s="917"/>
      <c r="C468" s="643" t="s">
        <v>896</v>
      </c>
      <c r="D468" s="644"/>
      <c r="E468" s="645">
        <f>'Lead- Input sheet '!Q31</f>
        <v>0</v>
      </c>
      <c r="F468" s="922">
        <f>SUM(G466:G467)</f>
        <v>1495.8</v>
      </c>
      <c r="G468" s="646">
        <f>ROUND(F468*E468,2)</f>
        <v>0</v>
      </c>
      <c r="H468" s="648"/>
      <c r="I468" s="12"/>
    </row>
    <row r="469" spans="1:11" s="6" customFormat="1">
      <c r="A469" s="620"/>
      <c r="B469" s="961"/>
      <c r="C469" s="54" t="s">
        <v>862</v>
      </c>
      <c r="D469" s="189"/>
      <c r="E469" s="34"/>
      <c r="F469" s="28"/>
      <c r="G469" s="215">
        <v>61</v>
      </c>
      <c r="H469" s="651"/>
      <c r="I469" s="12"/>
    </row>
    <row r="470" spans="1:11" s="6" customFormat="1">
      <c r="A470" s="620"/>
      <c r="B470" s="961"/>
      <c r="C470" s="54" t="s">
        <v>863</v>
      </c>
      <c r="D470" s="189"/>
      <c r="E470" s="34"/>
      <c r="F470" s="28"/>
      <c r="G470" s="215">
        <v>274</v>
      </c>
      <c r="H470" s="648"/>
      <c r="I470" s="12"/>
    </row>
    <row r="471" spans="1:11">
      <c r="A471" s="620"/>
      <c r="B471" s="961"/>
      <c r="C471" s="54" t="s">
        <v>1485</v>
      </c>
      <c r="D471" s="189"/>
      <c r="E471" s="34">
        <f>G470</f>
        <v>274</v>
      </c>
      <c r="F471" s="28">
        <f>'Lead- Input sheet '!Q31</f>
        <v>0</v>
      </c>
      <c r="G471" s="215">
        <f>ROUND(E471*F471,2)</f>
        <v>0</v>
      </c>
      <c r="H471" s="649"/>
      <c r="I471" s="12"/>
      <c r="J471" s="3">
        <f>0.05+0.075</f>
        <v>0.125</v>
      </c>
      <c r="K471" s="3">
        <f>J471/2</f>
        <v>6.25E-2</v>
      </c>
    </row>
    <row r="472" spans="1:11" s="128" customFormat="1">
      <c r="A472" s="625"/>
      <c r="B472" s="919"/>
      <c r="C472" s="2" t="s">
        <v>1048</v>
      </c>
      <c r="D472" s="34"/>
      <c r="E472" s="34"/>
      <c r="F472" s="28"/>
      <c r="G472" s="182">
        <f>SUM(G462:G471)</f>
        <v>5093.79</v>
      </c>
      <c r="H472" s="659"/>
      <c r="I472" s="12"/>
    </row>
    <row r="473" spans="1:11" s="6" customFormat="1">
      <c r="A473" s="45"/>
      <c r="B473" s="917"/>
      <c r="C473" s="55" t="s">
        <v>1600</v>
      </c>
      <c r="D473" s="190"/>
      <c r="E473" s="158">
        <f>G472</f>
        <v>5093.79</v>
      </c>
      <c r="F473" s="29">
        <f>'Lead- Input sheet '!Q32</f>
        <v>0</v>
      </c>
      <c r="G473" s="182">
        <f>ROUND(E473*F473,2)</f>
        <v>0</v>
      </c>
      <c r="H473" s="650"/>
      <c r="I473" s="12"/>
    </row>
    <row r="474" spans="1:11" s="6" customFormat="1">
      <c r="A474" s="45"/>
      <c r="B474" s="917"/>
      <c r="C474" s="55" t="s">
        <v>1062</v>
      </c>
      <c r="D474" s="190"/>
      <c r="E474" s="158"/>
      <c r="F474" s="923" t="s">
        <v>1486</v>
      </c>
      <c r="G474" s="619">
        <f>SUM(G472:G473)</f>
        <v>5093.79</v>
      </c>
      <c r="H474" s="651"/>
      <c r="I474" s="12"/>
    </row>
    <row r="475" spans="1:11" s="3" customFormat="1">
      <c r="A475" s="620"/>
      <c r="B475" s="961"/>
      <c r="C475" s="54" t="s">
        <v>899</v>
      </c>
      <c r="D475" s="34"/>
      <c r="E475" s="34">
        <v>0.9</v>
      </c>
      <c r="F475" s="28">
        <f>'Lead- Input sheet '!$O$18</f>
        <v>0</v>
      </c>
      <c r="G475" s="215">
        <f>ROUND(E475*F475,2)</f>
        <v>0</v>
      </c>
      <c r="H475" s="649"/>
      <c r="I475" s="12"/>
    </row>
    <row r="476" spans="1:11" s="3" customFormat="1">
      <c r="A476" s="620"/>
      <c r="B476" s="961"/>
      <c r="C476" s="54" t="s">
        <v>900</v>
      </c>
      <c r="D476" s="34"/>
      <c r="E476" s="34">
        <v>0.45</v>
      </c>
      <c r="F476" s="28">
        <f>'Lead- Input sheet '!$O$11</f>
        <v>0</v>
      </c>
      <c r="G476" s="215">
        <f>ROUND(E476*F476,2)</f>
        <v>0</v>
      </c>
      <c r="H476" s="649"/>
      <c r="I476" s="12"/>
    </row>
    <row r="477" spans="1:11" s="3" customFormat="1">
      <c r="A477" s="45"/>
      <c r="B477" s="917"/>
      <c r="C477" s="55" t="s">
        <v>744</v>
      </c>
      <c r="D477" s="805" t="s">
        <v>415</v>
      </c>
      <c r="E477" s="446"/>
      <c r="F477" s="928"/>
      <c r="G477" s="619">
        <f>SUM(G474:G476)</f>
        <v>5093.79</v>
      </c>
      <c r="H477" s="649"/>
      <c r="I477" s="12"/>
    </row>
    <row r="478" spans="1:11">
      <c r="A478" s="620"/>
      <c r="B478" s="962"/>
      <c r="C478" s="356" t="s">
        <v>1424</v>
      </c>
      <c r="D478" s="189"/>
      <c r="E478" s="34"/>
      <c r="F478" s="28"/>
      <c r="G478" s="215"/>
      <c r="H478" s="649"/>
      <c r="I478" s="12"/>
    </row>
    <row r="479" spans="1:11" ht="206.4">
      <c r="A479" s="617" t="s">
        <v>426</v>
      </c>
      <c r="B479" s="920" t="s">
        <v>1218</v>
      </c>
      <c r="C479" s="54" t="s">
        <v>31</v>
      </c>
      <c r="D479" s="189"/>
      <c r="E479" s="34"/>
      <c r="F479" s="28"/>
      <c r="G479" s="215"/>
      <c r="H479" s="649"/>
      <c r="I479" s="12"/>
    </row>
    <row r="480" spans="1:11">
      <c r="A480" s="620"/>
      <c r="B480" s="2812"/>
      <c r="C480" s="54" t="s">
        <v>996</v>
      </c>
      <c r="D480" s="189"/>
      <c r="E480" s="34"/>
      <c r="F480" s="28"/>
      <c r="G480" s="215"/>
      <c r="H480" s="649"/>
      <c r="I480" s="12"/>
    </row>
    <row r="481" spans="1:9">
      <c r="A481" s="620"/>
      <c r="B481" s="2812"/>
      <c r="C481" s="54" t="s">
        <v>997</v>
      </c>
      <c r="D481" s="189"/>
      <c r="E481" s="34"/>
      <c r="F481" s="28"/>
      <c r="G481" s="215"/>
      <c r="H481" s="649"/>
      <c r="I481" s="12"/>
    </row>
    <row r="482" spans="1:9" s="3" customFormat="1">
      <c r="A482" s="620"/>
      <c r="B482" s="2812"/>
      <c r="C482" s="54" t="s">
        <v>998</v>
      </c>
      <c r="D482" s="189" t="s">
        <v>999</v>
      </c>
      <c r="E482" s="34">
        <v>1.05</v>
      </c>
      <c r="F482" s="28">
        <f>'Lead- Input sheet '!R9</f>
        <v>60180</v>
      </c>
      <c r="G482" s="215">
        <f>ROUND(E482*F482,2)</f>
        <v>63189</v>
      </c>
      <c r="H482" s="658"/>
      <c r="I482" s="12"/>
    </row>
    <row r="483" spans="1:9" s="3" customFormat="1">
      <c r="A483" s="620"/>
      <c r="B483" s="962"/>
      <c r="C483" s="54" t="s">
        <v>1631</v>
      </c>
      <c r="D483" s="189" t="s">
        <v>347</v>
      </c>
      <c r="E483" s="34">
        <v>6</v>
      </c>
      <c r="F483" s="28">
        <v>46</v>
      </c>
      <c r="G483" s="215">
        <f>ROUND(E483*F483,2)</f>
        <v>276</v>
      </c>
      <c r="H483" s="649"/>
      <c r="I483" s="12"/>
    </row>
    <row r="484" spans="1:9" ht="25.8">
      <c r="A484" s="620"/>
      <c r="B484" s="962"/>
      <c r="C484" s="54" t="s">
        <v>1338</v>
      </c>
      <c r="D484" s="189"/>
      <c r="E484" s="34"/>
      <c r="F484" s="28"/>
      <c r="G484" s="215"/>
      <c r="H484" s="649"/>
      <c r="I484" s="12"/>
    </row>
    <row r="485" spans="1:9">
      <c r="A485" s="620"/>
      <c r="B485" s="962"/>
      <c r="C485" s="54" t="s">
        <v>1339</v>
      </c>
      <c r="D485" s="189" t="s">
        <v>1047</v>
      </c>
      <c r="E485" s="34">
        <v>10</v>
      </c>
      <c r="F485" s="28">
        <f>'Lead- Input sheet '!R34</f>
        <v>805</v>
      </c>
      <c r="G485" s="215">
        <f>ROUND(E485*F485,2)</f>
        <v>8050</v>
      </c>
      <c r="H485" s="649"/>
      <c r="I485" s="12"/>
    </row>
    <row r="486" spans="1:9">
      <c r="A486" s="620"/>
      <c r="B486" s="962"/>
      <c r="C486" s="54" t="s">
        <v>348</v>
      </c>
      <c r="D486" s="189" t="s">
        <v>1047</v>
      </c>
      <c r="E486" s="34">
        <v>10</v>
      </c>
      <c r="F486" s="28">
        <f>'Lead- Input sheet '!R29</f>
        <v>605</v>
      </c>
      <c r="G486" s="215">
        <f>ROUND(E486*F486,2)</f>
        <v>6050</v>
      </c>
      <c r="H486" s="649"/>
      <c r="I486" s="12"/>
    </row>
    <row r="487" spans="1:9">
      <c r="A487" s="647"/>
      <c r="B487" s="907"/>
      <c r="C487" s="643" t="s">
        <v>896</v>
      </c>
      <c r="D487" s="644"/>
      <c r="E487" s="645">
        <f>'Lead- Input sheet '!Q31</f>
        <v>0</v>
      </c>
      <c r="F487" s="922">
        <f>SUM(G485:G486)</f>
        <v>14100</v>
      </c>
      <c r="G487" s="646">
        <f>ROUND(F487*E487,2)</f>
        <v>0</v>
      </c>
      <c r="H487" s="648"/>
      <c r="I487" s="12"/>
    </row>
    <row r="488" spans="1:9" s="7" customFormat="1">
      <c r="A488" s="620"/>
      <c r="B488" s="962"/>
      <c r="C488" s="54" t="s">
        <v>873</v>
      </c>
      <c r="D488" s="189"/>
      <c r="E488" s="34"/>
      <c r="F488" s="28"/>
      <c r="G488" s="215">
        <f>SUM(G482:G487)</f>
        <v>77565</v>
      </c>
      <c r="H488" s="642"/>
      <c r="I488" s="12"/>
    </row>
    <row r="489" spans="1:9" s="57" customFormat="1">
      <c r="A489" s="617"/>
      <c r="B489" s="962"/>
      <c r="C489" s="55" t="s">
        <v>869</v>
      </c>
      <c r="D489" s="190"/>
      <c r="E489" s="190">
        <f>G488</f>
        <v>77565</v>
      </c>
      <c r="F489" s="942">
        <f>'Lead- Input sheet '!Q32</f>
        <v>0</v>
      </c>
      <c r="G489" s="182">
        <f>ROUND(E489*F489,2)</f>
        <v>0</v>
      </c>
      <c r="H489" s="649"/>
      <c r="I489" s="12"/>
    </row>
    <row r="490" spans="1:9" s="6" customFormat="1">
      <c r="A490" s="617"/>
      <c r="B490" s="962"/>
      <c r="C490" s="55" t="s">
        <v>872</v>
      </c>
      <c r="D490" s="190"/>
      <c r="E490" s="158"/>
      <c r="F490" s="923" t="s">
        <v>1486</v>
      </c>
      <c r="G490" s="619">
        <f>SUM(G488:G489)</f>
        <v>77565</v>
      </c>
      <c r="H490" s="650"/>
      <c r="I490" s="12"/>
    </row>
    <row r="491" spans="1:9" s="6" customFormat="1" ht="25.8">
      <c r="A491" s="617" t="s">
        <v>365</v>
      </c>
      <c r="B491" s="961">
        <v>22</v>
      </c>
      <c r="C491" s="355" t="s">
        <v>77</v>
      </c>
      <c r="D491" s="189"/>
      <c r="E491" s="34"/>
      <c r="F491" s="28"/>
      <c r="G491" s="215"/>
      <c r="H491" s="651"/>
      <c r="I491" s="12"/>
    </row>
    <row r="492" spans="1:9" s="3" customFormat="1">
      <c r="A492" s="620"/>
      <c r="B492" s="961"/>
      <c r="C492" s="54" t="s">
        <v>346</v>
      </c>
      <c r="D492" s="189"/>
      <c r="E492" s="34"/>
      <c r="F492" s="28"/>
      <c r="G492" s="215"/>
      <c r="H492" s="649"/>
      <c r="I492" s="12"/>
    </row>
    <row r="493" spans="1:9" s="3" customFormat="1">
      <c r="A493" s="620"/>
      <c r="B493" s="961"/>
      <c r="C493" s="54" t="s">
        <v>1041</v>
      </c>
      <c r="D493" s="189"/>
      <c r="E493" s="34"/>
      <c r="F493" s="28"/>
      <c r="G493" s="215"/>
      <c r="H493" s="649"/>
      <c r="I493" s="12"/>
    </row>
    <row r="494" spans="1:9" s="3" customFormat="1">
      <c r="A494" s="620"/>
      <c r="B494" s="961"/>
      <c r="C494" s="54" t="s">
        <v>523</v>
      </c>
      <c r="D494" s="189" t="s">
        <v>347</v>
      </c>
      <c r="E494" s="34">
        <v>48</v>
      </c>
      <c r="F494" s="28">
        <f>'Lead- Input sheet '!R8</f>
        <v>6656</v>
      </c>
      <c r="G494" s="215">
        <f>ROUND(E494*F494/1000,2)</f>
        <v>319.49</v>
      </c>
      <c r="H494" s="649"/>
      <c r="I494" s="12"/>
    </row>
    <row r="495" spans="1:9">
      <c r="A495" s="620"/>
      <c r="B495" s="961"/>
      <c r="C495" s="54" t="s">
        <v>75</v>
      </c>
      <c r="D495" s="189" t="s">
        <v>1035</v>
      </c>
      <c r="E495" s="34">
        <v>512</v>
      </c>
      <c r="F495" s="28">
        <f>'Lead- Input sheet '!R15</f>
        <v>9331.822382607932</v>
      </c>
      <c r="G495" s="215">
        <f>ROUND(E495*F495/1000,2)</f>
        <v>4777.8900000000003</v>
      </c>
      <c r="H495" s="649"/>
      <c r="I495" s="12"/>
    </row>
    <row r="496" spans="1:9">
      <c r="A496" s="620"/>
      <c r="B496" s="961"/>
      <c r="C496" s="54" t="s">
        <v>1580</v>
      </c>
      <c r="D496" s="189" t="s">
        <v>1473</v>
      </c>
      <c r="E496" s="34">
        <v>0.2</v>
      </c>
      <c r="F496" s="28">
        <f>'Lead- Input sheet '!R11</f>
        <v>1239.6380759582803</v>
      </c>
      <c r="G496" s="215">
        <f>ROUND(E496*F496,2)</f>
        <v>247.93</v>
      </c>
      <c r="H496" s="649"/>
      <c r="I496" s="12"/>
    </row>
    <row r="497" spans="1:9">
      <c r="A497" s="620"/>
      <c r="B497" s="961"/>
      <c r="C497" s="54" t="s">
        <v>340</v>
      </c>
      <c r="D497" s="189"/>
      <c r="E497" s="34"/>
      <c r="F497" s="28"/>
      <c r="G497" s="215"/>
      <c r="H497" s="649"/>
      <c r="I497" s="12"/>
    </row>
    <row r="498" spans="1:9" ht="14.1">
      <c r="A498" s="620"/>
      <c r="B498" s="961"/>
      <c r="C498" s="54" t="s">
        <v>746</v>
      </c>
      <c r="D498" s="189" t="s">
        <v>1047</v>
      </c>
      <c r="E498" s="34">
        <v>0.24</v>
      </c>
      <c r="F498" s="28">
        <f>'Lead- Input sheet '!R31</f>
        <v>680</v>
      </c>
      <c r="G498" s="215">
        <f>ROUND(E498*F498,2)</f>
        <v>163.19999999999999</v>
      </c>
      <c r="H498" s="649"/>
      <c r="I498" s="12"/>
    </row>
    <row r="499" spans="1:9" ht="14.1">
      <c r="A499" s="620"/>
      <c r="B499" s="961"/>
      <c r="C499" s="54" t="s">
        <v>747</v>
      </c>
      <c r="D499" s="189" t="s">
        <v>1047</v>
      </c>
      <c r="E499" s="34">
        <v>0.56000000000000005</v>
      </c>
      <c r="F499" s="28">
        <f>'Lead- Input sheet '!R30</f>
        <v>650</v>
      </c>
      <c r="G499" s="215">
        <f>ROUND(E499*F499,2)</f>
        <v>364</v>
      </c>
      <c r="H499" s="649"/>
      <c r="I499" s="12"/>
    </row>
    <row r="500" spans="1:9">
      <c r="A500" s="620"/>
      <c r="B500" s="961"/>
      <c r="C500" s="54" t="s">
        <v>341</v>
      </c>
      <c r="D500" s="189" t="s">
        <v>1047</v>
      </c>
      <c r="E500" s="34">
        <v>1.89</v>
      </c>
      <c r="F500" s="28">
        <f>'Lead- Input sheet '!R29</f>
        <v>605</v>
      </c>
      <c r="G500" s="215">
        <f>ROUND(E500*F500,2)</f>
        <v>1143.45</v>
      </c>
      <c r="H500" s="649"/>
      <c r="I500" s="12"/>
    </row>
    <row r="501" spans="1:9">
      <c r="A501" s="647"/>
      <c r="B501" s="917"/>
      <c r="C501" s="643" t="s">
        <v>896</v>
      </c>
      <c r="D501" s="644"/>
      <c r="E501" s="645">
        <f>'Lead- Input sheet '!Q31</f>
        <v>0</v>
      </c>
      <c r="F501" s="922">
        <f>SUM(G498:G500)</f>
        <v>1670.65</v>
      </c>
      <c r="G501" s="646">
        <f>ROUND(F501*E501,2)</f>
        <v>0</v>
      </c>
      <c r="H501" s="648"/>
      <c r="I501" s="12"/>
    </row>
    <row r="502" spans="1:9" s="7" customFormat="1">
      <c r="A502" s="620"/>
      <c r="B502" s="961"/>
      <c r="C502" s="54" t="s">
        <v>1048</v>
      </c>
      <c r="D502" s="189"/>
      <c r="E502" s="34"/>
      <c r="F502" s="923" t="s">
        <v>1486</v>
      </c>
      <c r="G502" s="619">
        <f>SUM(G494:G501)</f>
        <v>7015.96</v>
      </c>
      <c r="H502" s="642"/>
      <c r="I502" s="12"/>
    </row>
    <row r="503" spans="1:9" s="57" customFormat="1">
      <c r="A503" s="616"/>
      <c r="B503" s="917"/>
      <c r="C503" s="55" t="s">
        <v>875</v>
      </c>
      <c r="D503" s="189"/>
      <c r="E503" s="34"/>
      <c r="F503" s="28"/>
      <c r="G503" s="215"/>
      <c r="H503" s="656"/>
      <c r="I503" s="12"/>
    </row>
    <row r="504" spans="1:9" s="6" customFormat="1">
      <c r="A504" s="616"/>
      <c r="B504" s="917"/>
      <c r="C504" s="54" t="s">
        <v>1130</v>
      </c>
      <c r="D504" s="189" t="s">
        <v>525</v>
      </c>
      <c r="E504" s="34">
        <v>1</v>
      </c>
      <c r="F504" s="28">
        <f>G502</f>
        <v>7015.96</v>
      </c>
      <c r="G504" s="215">
        <f>ROUND(E504*F504,2)</f>
        <v>7015.96</v>
      </c>
      <c r="H504" s="650"/>
      <c r="I504" s="12"/>
    </row>
    <row r="505" spans="1:9" s="6" customFormat="1">
      <c r="A505" s="616"/>
      <c r="B505" s="917"/>
      <c r="C505" s="54" t="s">
        <v>876</v>
      </c>
      <c r="D505" s="189" t="s">
        <v>525</v>
      </c>
      <c r="E505" s="34">
        <v>1</v>
      </c>
      <c r="F505" s="28">
        <f>G503</f>
        <v>0</v>
      </c>
      <c r="G505" s="215">
        <f>ROUND(E505*F505,2)</f>
        <v>0</v>
      </c>
      <c r="H505" s="648"/>
      <c r="I505" s="12"/>
    </row>
    <row r="506" spans="1:9" s="3" customFormat="1">
      <c r="A506" s="45"/>
      <c r="B506" s="917"/>
      <c r="C506" s="55"/>
      <c r="D506" s="190"/>
      <c r="E506" s="158"/>
      <c r="F506" s="29"/>
      <c r="G506" s="182">
        <f>SUM(G504:G505)</f>
        <v>7015.96</v>
      </c>
      <c r="H506" s="649"/>
      <c r="I506" s="12"/>
    </row>
    <row r="507" spans="1:9" s="3" customFormat="1">
      <c r="A507" s="45"/>
      <c r="B507" s="917"/>
      <c r="C507" s="55" t="s">
        <v>1600</v>
      </c>
      <c r="D507" s="190"/>
      <c r="E507" s="158">
        <f>G506</f>
        <v>7015.96</v>
      </c>
      <c r="F507" s="942">
        <f>'Lead- Input sheet '!Q32</f>
        <v>0</v>
      </c>
      <c r="G507" s="182">
        <f>ROUND(F507*E507,2)</f>
        <v>0</v>
      </c>
      <c r="H507" s="649"/>
      <c r="I507" s="12"/>
    </row>
    <row r="508" spans="1:9">
      <c r="A508" s="45"/>
      <c r="B508" s="917"/>
      <c r="C508" s="55"/>
      <c r="D508" s="190"/>
      <c r="E508" s="158"/>
      <c r="F508" s="923" t="s">
        <v>1486</v>
      </c>
      <c r="G508" s="619">
        <f>SUM(G506:G507)</f>
        <v>7015.96</v>
      </c>
      <c r="H508" s="649"/>
      <c r="I508" s="12"/>
    </row>
    <row r="509" spans="1:9">
      <c r="A509" s="620"/>
      <c r="B509" s="961"/>
      <c r="C509" s="54"/>
      <c r="D509" s="189"/>
      <c r="E509" s="158" t="s">
        <v>1098</v>
      </c>
      <c r="F509" s="29" t="s">
        <v>1099</v>
      </c>
      <c r="G509" s="182" t="s">
        <v>1100</v>
      </c>
      <c r="H509" s="649"/>
      <c r="I509" s="12"/>
    </row>
    <row r="510" spans="1:9">
      <c r="A510" s="620"/>
      <c r="B510" s="961"/>
      <c r="C510" s="54" t="s">
        <v>1101</v>
      </c>
      <c r="D510" s="189"/>
      <c r="E510" s="205">
        <f>G508</f>
        <v>7015.96</v>
      </c>
      <c r="F510" s="35">
        <f>G508</f>
        <v>7015.96</v>
      </c>
      <c r="G510" s="215">
        <f>G508</f>
        <v>7015.96</v>
      </c>
      <c r="H510" s="649"/>
      <c r="I510" s="12"/>
    </row>
    <row r="511" spans="1:9">
      <c r="A511" s="620"/>
      <c r="B511" s="961"/>
      <c r="C511" s="54" t="s">
        <v>1799</v>
      </c>
      <c r="D511" s="295" t="s">
        <v>1028</v>
      </c>
      <c r="E511" s="31"/>
      <c r="F511" s="35">
        <f>D511*10.32</f>
        <v>44.871360000000003</v>
      </c>
      <c r="G511" s="215">
        <f>F511*2</f>
        <v>89.742720000000006</v>
      </c>
      <c r="H511" s="649"/>
      <c r="I511" s="12"/>
    </row>
    <row r="512" spans="1:9" ht="25.8">
      <c r="A512" s="620"/>
      <c r="B512" s="961"/>
      <c r="C512" s="54" t="s">
        <v>1800</v>
      </c>
      <c r="D512" s="295" t="s">
        <v>1028</v>
      </c>
      <c r="E512" s="31"/>
      <c r="F512" s="35">
        <f>D512*75.38</f>
        <v>327.75223999999997</v>
      </c>
      <c r="G512" s="215">
        <f>D512*108.36</f>
        <v>471.14927999999998</v>
      </c>
      <c r="H512" s="649"/>
      <c r="I512" s="12"/>
    </row>
    <row r="513" spans="1:10">
      <c r="A513" s="620"/>
      <c r="B513" s="961"/>
      <c r="C513" s="54" t="s">
        <v>1029</v>
      </c>
      <c r="D513" s="189">
        <f>'Lead- Input sheet '!Q31</f>
        <v>0</v>
      </c>
      <c r="E513" s="31">
        <f>ROUND(D513*E512,2)</f>
        <v>0</v>
      </c>
      <c r="F513" s="933">
        <f>ROUND(D513*F512,2)</f>
        <v>0</v>
      </c>
      <c r="G513" s="622">
        <f>ROUND(D513*G512,2)</f>
        <v>0</v>
      </c>
      <c r="H513" s="649"/>
      <c r="I513" s="12"/>
    </row>
    <row r="514" spans="1:10" ht="25.8">
      <c r="A514" s="620"/>
      <c r="B514" s="961"/>
      <c r="C514" s="54" t="s">
        <v>1632</v>
      </c>
      <c r="D514" s="295" t="s">
        <v>129</v>
      </c>
      <c r="E514" s="205"/>
      <c r="F514" s="35"/>
      <c r="G514" s="215">
        <f>ROUND(D514*SUM(G512:G513),2)</f>
        <v>235.57</v>
      </c>
      <c r="H514" s="649"/>
      <c r="I514" s="12"/>
      <c r="J514" s="3">
        <f>334.84+66.97</f>
        <v>401.80999999999995</v>
      </c>
    </row>
    <row r="515" spans="1:10" s="7" customFormat="1">
      <c r="A515" s="45"/>
      <c r="B515" s="917"/>
      <c r="C515" s="55" t="s">
        <v>1600</v>
      </c>
      <c r="D515" s="129">
        <f>'Lead- Input sheet '!Q32</f>
        <v>0</v>
      </c>
      <c r="E515" s="205">
        <f>ROUND(SUM(E510:E514)*D515,2)</f>
        <v>0</v>
      </c>
      <c r="F515" s="35">
        <f>ROUND(SUM(F510:F514)*D515,2)</f>
        <v>0</v>
      </c>
      <c r="G515" s="215">
        <f>ROUND(SUM(G510:G514)*D515,2)</f>
        <v>0</v>
      </c>
      <c r="H515" s="642"/>
      <c r="I515" s="12"/>
    </row>
    <row r="516" spans="1:10" s="672" customFormat="1">
      <c r="A516" s="665"/>
      <c r="B516" s="917"/>
      <c r="C516" s="666" t="s">
        <v>861</v>
      </c>
      <c r="D516" s="433"/>
      <c r="E516" s="667">
        <f>SUM(E510:E515)</f>
        <v>7015.96</v>
      </c>
      <c r="F516" s="931">
        <f>SUM(F510:F515)</f>
        <v>7388.5835999999999</v>
      </c>
      <c r="G516" s="668">
        <f>SUM(G510:G515)</f>
        <v>7812.4219999999996</v>
      </c>
      <c r="H516" s="656"/>
      <c r="I516" s="669"/>
    </row>
    <row r="517" spans="1:10" s="6" customFormat="1">
      <c r="A517" s="620"/>
      <c r="B517" s="961"/>
      <c r="C517" s="54" t="s">
        <v>901</v>
      </c>
      <c r="D517" s="34">
        <v>512</v>
      </c>
      <c r="E517" s="34">
        <f>ROUND($D$517*'Lead- Input sheet '!$O$15/1000,2)</f>
        <v>0</v>
      </c>
      <c r="F517" s="34">
        <f>ROUND($D$517*'Lead- Input sheet '!$O$15/1000,2)</f>
        <v>0</v>
      </c>
      <c r="G517" s="973">
        <f>ROUND($D$517*'Lead- Input sheet '!$O$15/1000,2)</f>
        <v>0</v>
      </c>
      <c r="H517" s="650"/>
      <c r="I517" s="12"/>
    </row>
    <row r="518" spans="1:10" s="6" customFormat="1">
      <c r="A518" s="620"/>
      <c r="B518" s="961"/>
      <c r="C518" s="54" t="s">
        <v>900</v>
      </c>
      <c r="D518" s="34">
        <v>0.2</v>
      </c>
      <c r="E518" s="34">
        <f>ROUND($D$518*'Lead- Input sheet '!$O$11,2)</f>
        <v>0</v>
      </c>
      <c r="F518" s="34">
        <f>ROUND($D$518*'Lead- Input sheet '!$O$11,2)</f>
        <v>0</v>
      </c>
      <c r="G518" s="973">
        <f>ROUND($D$518*'Lead- Input sheet '!$O$11,2)</f>
        <v>0</v>
      </c>
      <c r="H518" s="650"/>
      <c r="I518" s="12"/>
    </row>
    <row r="519" spans="1:10" s="3" customFormat="1">
      <c r="A519" s="620"/>
      <c r="B519" s="961"/>
      <c r="C519" s="55" t="s">
        <v>1130</v>
      </c>
      <c r="D519" s="904" t="s">
        <v>1486</v>
      </c>
      <c r="E519" s="904">
        <f>SUM(E516:E518)</f>
        <v>7015.96</v>
      </c>
      <c r="F519" s="934">
        <f>SUM(F516:F518)</f>
        <v>7388.5835999999999</v>
      </c>
      <c r="G519" s="905">
        <f>SUM(G516:G518)</f>
        <v>7812.4219999999996</v>
      </c>
      <c r="H519" s="649"/>
      <c r="I519" s="12"/>
    </row>
    <row r="520" spans="1:10" ht="25.8">
      <c r="A520" s="617" t="s">
        <v>366</v>
      </c>
      <c r="B520" s="962">
        <v>23</v>
      </c>
      <c r="C520" s="355" t="s">
        <v>874</v>
      </c>
      <c r="D520" s="189"/>
      <c r="E520" s="34"/>
      <c r="F520" s="28"/>
      <c r="G520" s="215"/>
      <c r="H520" s="649"/>
      <c r="I520" s="12"/>
    </row>
    <row r="521" spans="1:10">
      <c r="A521" s="620"/>
      <c r="B521" s="962"/>
      <c r="C521" s="54" t="s">
        <v>346</v>
      </c>
      <c r="D521" s="189"/>
      <c r="E521" s="34"/>
      <c r="F521" s="28"/>
      <c r="G521" s="215"/>
      <c r="H521" s="649"/>
      <c r="I521" s="12"/>
    </row>
    <row r="522" spans="1:10">
      <c r="A522" s="620"/>
      <c r="B522" s="962"/>
      <c r="C522" s="54" t="s">
        <v>1041</v>
      </c>
      <c r="D522" s="189"/>
      <c r="E522" s="34"/>
      <c r="F522" s="28"/>
      <c r="G522" s="215"/>
      <c r="H522" s="649"/>
      <c r="I522" s="12"/>
    </row>
    <row r="523" spans="1:10">
      <c r="A523" s="620"/>
      <c r="B523" s="962"/>
      <c r="C523" s="54" t="s">
        <v>523</v>
      </c>
      <c r="D523" s="189" t="s">
        <v>347</v>
      </c>
      <c r="E523" s="34">
        <v>36</v>
      </c>
      <c r="F523" s="28">
        <f>'Lead- Input sheet '!R8</f>
        <v>6656</v>
      </c>
      <c r="G523" s="215">
        <f>ROUND(E523*F523/1000,2)</f>
        <v>239.62</v>
      </c>
      <c r="H523" s="648"/>
      <c r="I523" s="12"/>
    </row>
    <row r="524" spans="1:10" s="7" customFormat="1">
      <c r="A524" s="620"/>
      <c r="B524" s="962"/>
      <c r="C524" s="54" t="s">
        <v>75</v>
      </c>
      <c r="D524" s="189" t="s">
        <v>1035</v>
      </c>
      <c r="E524" s="34">
        <v>512</v>
      </c>
      <c r="F524" s="28">
        <f>'Lead- Input sheet '!R15</f>
        <v>9331.822382607932</v>
      </c>
      <c r="G524" s="215">
        <f>ROUND(E524*F524/1000,2)</f>
        <v>4777.8900000000003</v>
      </c>
      <c r="H524" s="642"/>
      <c r="I524" s="12"/>
    </row>
    <row r="525" spans="1:10" s="57" customFormat="1">
      <c r="A525" s="620"/>
      <c r="B525" s="962"/>
      <c r="C525" s="54" t="s">
        <v>1580</v>
      </c>
      <c r="D525" s="189" t="s">
        <v>1473</v>
      </c>
      <c r="E525" s="34">
        <v>0.2</v>
      </c>
      <c r="F525" s="28">
        <f>'Lead- Input sheet '!R11</f>
        <v>1239.6380759582803</v>
      </c>
      <c r="G525" s="215">
        <f>ROUND(E525*F525,2)</f>
        <v>247.93</v>
      </c>
      <c r="H525" s="656"/>
      <c r="I525" s="12"/>
    </row>
    <row r="526" spans="1:10" s="6" customFormat="1">
      <c r="A526" s="620"/>
      <c r="B526" s="962"/>
      <c r="C526" s="54" t="s">
        <v>340</v>
      </c>
      <c r="D526" s="189"/>
      <c r="E526" s="34"/>
      <c r="F526" s="28"/>
      <c r="G526" s="215"/>
      <c r="H526" s="650"/>
      <c r="I526" s="12"/>
    </row>
    <row r="527" spans="1:10" s="3" customFormat="1" ht="14.1">
      <c r="A527" s="620"/>
      <c r="B527" s="962"/>
      <c r="C527" s="54" t="s">
        <v>746</v>
      </c>
      <c r="D527" s="189" t="s">
        <v>1047</v>
      </c>
      <c r="E527" s="34">
        <v>0.24</v>
      </c>
      <c r="F527" s="28">
        <f>'Lead- Input sheet '!R31</f>
        <v>680</v>
      </c>
      <c r="G527" s="215">
        <f>ROUND(E527*F527,2)</f>
        <v>163.19999999999999</v>
      </c>
      <c r="H527" s="649"/>
      <c r="I527" s="12"/>
    </row>
    <row r="528" spans="1:10" s="3" customFormat="1" ht="14.1">
      <c r="A528" s="620"/>
      <c r="B528" s="962"/>
      <c r="C528" s="54" t="s">
        <v>747</v>
      </c>
      <c r="D528" s="189" t="s">
        <v>1047</v>
      </c>
      <c r="E528" s="34">
        <v>0.56000000000000005</v>
      </c>
      <c r="F528" s="28">
        <f>'Lead- Input sheet '!R30</f>
        <v>650</v>
      </c>
      <c r="G528" s="215">
        <f>ROUND(E528*F528,2)</f>
        <v>364</v>
      </c>
      <c r="H528" s="649"/>
      <c r="I528" s="12"/>
    </row>
    <row r="529" spans="1:9">
      <c r="A529" s="620"/>
      <c r="B529" s="962"/>
      <c r="C529" s="54" t="s">
        <v>341</v>
      </c>
      <c r="D529" s="189" t="s">
        <v>1047</v>
      </c>
      <c r="E529" s="34">
        <v>1.89</v>
      </c>
      <c r="F529" s="28">
        <f>'Lead- Input sheet '!R29</f>
        <v>605</v>
      </c>
      <c r="G529" s="215">
        <f>ROUND(E529*F529,2)</f>
        <v>1143.45</v>
      </c>
      <c r="H529" s="649"/>
      <c r="I529" s="12"/>
    </row>
    <row r="530" spans="1:9">
      <c r="A530" s="647"/>
      <c r="B530" s="907"/>
      <c r="C530" s="643" t="s">
        <v>896</v>
      </c>
      <c r="D530" s="644"/>
      <c r="E530" s="645">
        <f>'Lead- Input sheet '!Q31</f>
        <v>0</v>
      </c>
      <c r="F530" s="922">
        <f>SUM(G527:G529)</f>
        <v>1670.65</v>
      </c>
      <c r="G530" s="646">
        <f>ROUND(F530*E530,2)</f>
        <v>0</v>
      </c>
      <c r="H530" s="649"/>
      <c r="I530" s="12"/>
    </row>
    <row r="531" spans="1:9">
      <c r="A531" s="45"/>
      <c r="B531" s="907"/>
      <c r="C531" s="55" t="s">
        <v>1130</v>
      </c>
      <c r="D531" s="190"/>
      <c r="E531" s="158"/>
      <c r="F531" s="923" t="s">
        <v>1486</v>
      </c>
      <c r="G531" s="619">
        <f>SUM(G523:G530)</f>
        <v>6936.09</v>
      </c>
      <c r="H531" s="649"/>
      <c r="I531" s="12"/>
    </row>
    <row r="532" spans="1:9">
      <c r="A532" s="620"/>
      <c r="B532" s="962"/>
      <c r="C532" s="54"/>
      <c r="D532" s="189"/>
      <c r="E532" s="158" t="s">
        <v>1098</v>
      </c>
      <c r="F532" s="29" t="s">
        <v>1099</v>
      </c>
      <c r="G532" s="182" t="s">
        <v>1100</v>
      </c>
      <c r="H532" s="649"/>
      <c r="I532" s="12"/>
    </row>
    <row r="533" spans="1:9">
      <c r="A533" s="620"/>
      <c r="B533" s="962"/>
      <c r="C533" s="54" t="s">
        <v>1101</v>
      </c>
      <c r="D533" s="189"/>
      <c r="E533" s="205">
        <f>G531</f>
        <v>6936.09</v>
      </c>
      <c r="F533" s="35">
        <f>G531</f>
        <v>6936.09</v>
      </c>
      <c r="G533" s="215">
        <f>G531</f>
        <v>6936.09</v>
      </c>
      <c r="H533" s="649"/>
      <c r="I533" s="12"/>
    </row>
    <row r="534" spans="1:9">
      <c r="A534" s="620"/>
      <c r="B534" s="962"/>
      <c r="C534" s="54" t="s">
        <v>1799</v>
      </c>
      <c r="D534" s="295" t="s">
        <v>1028</v>
      </c>
      <c r="E534" s="31"/>
      <c r="F534" s="35">
        <f>D534*10.32</f>
        <v>44.871360000000003</v>
      </c>
      <c r="G534" s="215">
        <f>F534*2</f>
        <v>89.742720000000006</v>
      </c>
      <c r="H534" s="649"/>
      <c r="I534" s="12"/>
    </row>
    <row r="535" spans="1:9" ht="25.8">
      <c r="A535" s="620"/>
      <c r="B535" s="962"/>
      <c r="C535" s="54" t="s">
        <v>1800</v>
      </c>
      <c r="D535" s="295" t="s">
        <v>1028</v>
      </c>
      <c r="E535" s="31"/>
      <c r="F535" s="35">
        <f>D535*75.68</f>
        <v>329.05664000000002</v>
      </c>
      <c r="G535" s="215">
        <f>D535*108.36</f>
        <v>471.14927999999998</v>
      </c>
      <c r="H535" s="649"/>
      <c r="I535" s="12"/>
    </row>
    <row r="536" spans="1:9">
      <c r="A536" s="620"/>
      <c r="B536" s="962"/>
      <c r="C536" s="54" t="s">
        <v>1029</v>
      </c>
      <c r="D536" s="189">
        <f>'Lead- Input sheet '!Q31</f>
        <v>0</v>
      </c>
      <c r="E536" s="31">
        <f>ROUND(D536*E535,2)</f>
        <v>0</v>
      </c>
      <c r="F536" s="933">
        <f>ROUND(D536*F535,2)</f>
        <v>0</v>
      </c>
      <c r="G536" s="622">
        <f>ROUND(D536*G535,2)</f>
        <v>0</v>
      </c>
      <c r="H536" s="649"/>
      <c r="I536" s="12"/>
    </row>
    <row r="537" spans="1:9" ht="25.8">
      <c r="A537" s="620"/>
      <c r="B537" s="962"/>
      <c r="C537" s="54" t="s">
        <v>1633</v>
      </c>
      <c r="D537" s="295" t="s">
        <v>129</v>
      </c>
      <c r="E537" s="205"/>
      <c r="F537" s="35"/>
      <c r="G537" s="215">
        <f>ROUND(D537*SUM(G535:G536),2)</f>
        <v>235.57</v>
      </c>
      <c r="H537" s="649"/>
      <c r="I537" s="12"/>
    </row>
    <row r="538" spans="1:9" s="7" customFormat="1">
      <c r="A538" s="45"/>
      <c r="B538" s="907"/>
      <c r="C538" s="55" t="s">
        <v>1600</v>
      </c>
      <c r="D538" s="941">
        <f>'Lead- Input sheet '!Q32</f>
        <v>0</v>
      </c>
      <c r="E538" s="205">
        <f>ROUND(SUM(E533:E537)*D538,2)</f>
        <v>0</v>
      </c>
      <c r="F538" s="35">
        <f>ROUND(SUM(F533:F537)*D538,2)</f>
        <v>0</v>
      </c>
      <c r="G538" s="215">
        <f>ROUND(SUM(G533:G537)*D538,2)</f>
        <v>0</v>
      </c>
      <c r="H538" s="642"/>
      <c r="I538" s="12"/>
    </row>
    <row r="539" spans="1:9" s="672" customFormat="1">
      <c r="A539" s="665"/>
      <c r="B539" s="907"/>
      <c r="C539" s="666" t="s">
        <v>861</v>
      </c>
      <c r="D539" s="433"/>
      <c r="E539" s="667">
        <f>SUM(E533:E538)</f>
        <v>6936.09</v>
      </c>
      <c r="F539" s="931">
        <f>SUM(F533:F538)</f>
        <v>7310.018</v>
      </c>
      <c r="G539" s="668">
        <f>SUM(G533:G538)</f>
        <v>7732.5519999999997</v>
      </c>
      <c r="H539" s="656"/>
      <c r="I539" s="669"/>
    </row>
    <row r="540" spans="1:9" s="6" customFormat="1">
      <c r="A540" s="620"/>
      <c r="B540" s="962"/>
      <c r="C540" s="54" t="s">
        <v>901</v>
      </c>
      <c r="D540" s="34">
        <v>512</v>
      </c>
      <c r="E540" s="34">
        <f>ROUND($D$540*'Lead- Input sheet '!$O$15/1000,2)</f>
        <v>0</v>
      </c>
      <c r="F540" s="34">
        <f>ROUND($D$540*'Lead- Input sheet '!$O$15/1000,2)</f>
        <v>0</v>
      </c>
      <c r="G540" s="973">
        <f>ROUND($D$540*'Lead- Input sheet '!$O$15/1000,2)</f>
        <v>0</v>
      </c>
      <c r="H540" s="650"/>
      <c r="I540" s="12"/>
    </row>
    <row r="541" spans="1:9" s="6" customFormat="1">
      <c r="A541" s="620"/>
      <c r="B541" s="962"/>
      <c r="C541" s="54" t="s">
        <v>900</v>
      </c>
      <c r="D541" s="34">
        <v>0.2</v>
      </c>
      <c r="E541" s="34">
        <f>ROUND($D$541*'Lead- Input sheet '!$O$11,2)</f>
        <v>0</v>
      </c>
      <c r="F541" s="34">
        <f>ROUND($D$541*'Lead- Input sheet '!$O$11,2)</f>
        <v>0</v>
      </c>
      <c r="G541" s="973">
        <f>ROUND($D$541*'Lead- Input sheet '!$O$11,2)</f>
        <v>0</v>
      </c>
      <c r="H541" s="650"/>
      <c r="I541" s="12"/>
    </row>
    <row r="542" spans="1:9" s="3" customFormat="1">
      <c r="A542" s="620"/>
      <c r="B542" s="962"/>
      <c r="C542" s="55" t="s">
        <v>1130</v>
      </c>
      <c r="D542" s="904" t="s">
        <v>1486</v>
      </c>
      <c r="E542" s="904">
        <f>SUM(E539:E541)</f>
        <v>6936.09</v>
      </c>
      <c r="F542" s="934">
        <f>SUM(F539:F541)</f>
        <v>7310.018</v>
      </c>
      <c r="G542" s="905">
        <f>SUM(G539:G541)</f>
        <v>7732.5519999999997</v>
      </c>
      <c r="H542" s="649"/>
      <c r="I542" s="12"/>
    </row>
    <row r="543" spans="1:9" s="128" customFormat="1">
      <c r="A543" s="625" t="s">
        <v>1403</v>
      </c>
      <c r="B543" s="919">
        <v>24</v>
      </c>
      <c r="C543" s="156" t="s">
        <v>253</v>
      </c>
      <c r="D543" s="34"/>
      <c r="E543" s="34"/>
      <c r="F543" s="28"/>
      <c r="G543" s="215"/>
      <c r="H543" s="654"/>
      <c r="I543" s="12"/>
    </row>
    <row r="544" spans="1:9" s="128" customFormat="1">
      <c r="A544" s="625"/>
      <c r="B544" s="919"/>
      <c r="C544" s="2" t="s">
        <v>1227</v>
      </c>
      <c r="D544" s="34"/>
      <c r="E544" s="34"/>
      <c r="F544" s="28"/>
      <c r="G544" s="215"/>
      <c r="H544" s="654"/>
      <c r="I544" s="12"/>
    </row>
    <row r="545" spans="1:9" s="128" customFormat="1">
      <c r="A545" s="625"/>
      <c r="B545" s="919"/>
      <c r="C545" s="2" t="s">
        <v>1041</v>
      </c>
      <c r="D545" s="34"/>
      <c r="E545" s="34"/>
      <c r="F545" s="28"/>
      <c r="G545" s="215"/>
      <c r="H545" s="654"/>
      <c r="I545" s="12"/>
    </row>
    <row r="546" spans="1:9" s="128" customFormat="1">
      <c r="A546" s="625"/>
      <c r="B546" s="919"/>
      <c r="C546" s="2" t="s">
        <v>254</v>
      </c>
      <c r="D546" s="34" t="s">
        <v>1473</v>
      </c>
      <c r="E546" s="34">
        <v>0.15</v>
      </c>
      <c r="F546" s="28">
        <f>$G$105</f>
        <v>3339.55</v>
      </c>
      <c r="G546" s="215">
        <f>ROUND(E546*F546,2)</f>
        <v>500.93</v>
      </c>
      <c r="H546" s="654"/>
      <c r="I546" s="12"/>
    </row>
    <row r="547" spans="1:9" s="128" customFormat="1">
      <c r="A547" s="625"/>
      <c r="B547" s="919"/>
      <c r="C547" s="2" t="s">
        <v>340</v>
      </c>
      <c r="D547" s="34"/>
      <c r="E547" s="34"/>
      <c r="F547" s="28"/>
      <c r="G547" s="215"/>
      <c r="H547" s="654"/>
      <c r="I547" s="12"/>
    </row>
    <row r="548" spans="1:9" s="128" customFormat="1" ht="14.1">
      <c r="A548" s="625"/>
      <c r="B548" s="919"/>
      <c r="C548" s="2" t="s">
        <v>746</v>
      </c>
      <c r="D548" s="34" t="s">
        <v>1047</v>
      </c>
      <c r="E548" s="34">
        <v>0.6</v>
      </c>
      <c r="F548" s="28">
        <f>'Lead- Input sheet '!R31</f>
        <v>680</v>
      </c>
      <c r="G548" s="215">
        <f>ROUND(E548*F548,2)</f>
        <v>408</v>
      </c>
      <c r="H548" s="654"/>
      <c r="I548" s="12"/>
    </row>
    <row r="549" spans="1:9" s="128" customFormat="1">
      <c r="A549" s="625"/>
      <c r="B549" s="919"/>
      <c r="C549" s="2" t="s">
        <v>341</v>
      </c>
      <c r="D549" s="34" t="s">
        <v>1047</v>
      </c>
      <c r="E549" s="34">
        <v>0.96</v>
      </c>
      <c r="F549" s="28">
        <f>'Lead- Input sheet '!R29</f>
        <v>605</v>
      </c>
      <c r="G549" s="215">
        <f>ROUND(E549*F549,2)</f>
        <v>580.79999999999995</v>
      </c>
      <c r="H549" s="648"/>
      <c r="I549" s="12"/>
    </row>
    <row r="550" spans="1:9">
      <c r="A550" s="647"/>
      <c r="B550" s="917"/>
      <c r="C550" s="643" t="s">
        <v>896</v>
      </c>
      <c r="D550" s="644"/>
      <c r="E550" s="645">
        <f>'Lead- Input sheet '!Q31</f>
        <v>0</v>
      </c>
      <c r="F550" s="922">
        <f>SUM(G548:G549)</f>
        <v>988.8</v>
      </c>
      <c r="G550" s="646">
        <f>ROUND(F550*E550,2)</f>
        <v>0</v>
      </c>
      <c r="H550" s="649"/>
      <c r="I550" s="12"/>
    </row>
    <row r="551" spans="1:9" s="6" customFormat="1">
      <c r="A551" s="45"/>
      <c r="B551" s="917"/>
      <c r="C551" s="55" t="s">
        <v>1231</v>
      </c>
      <c r="D551" s="188"/>
      <c r="E551" s="158"/>
      <c r="F551" s="923" t="s">
        <v>1486</v>
      </c>
      <c r="G551" s="619">
        <f>SUM(G546:G550)</f>
        <v>1489.73</v>
      </c>
      <c r="H551" s="648"/>
      <c r="I551" s="12"/>
    </row>
    <row r="552" spans="1:9" s="3" customFormat="1">
      <c r="A552" s="620"/>
      <c r="B552" s="961"/>
      <c r="C552" s="54"/>
      <c r="D552" s="189"/>
      <c r="E552" s="158" t="s">
        <v>1098</v>
      </c>
      <c r="F552" s="29" t="s">
        <v>1099</v>
      </c>
      <c r="G552" s="182" t="s">
        <v>1100</v>
      </c>
      <c r="H552" s="648"/>
      <c r="I552" s="12"/>
    </row>
    <row r="553" spans="1:9" s="3" customFormat="1">
      <c r="A553" s="620"/>
      <c r="B553" s="961"/>
      <c r="C553" s="54" t="s">
        <v>1101</v>
      </c>
      <c r="D553" s="189"/>
      <c r="E553" s="205">
        <f>G551</f>
        <v>1489.73</v>
      </c>
      <c r="F553" s="35">
        <f>G551</f>
        <v>1489.73</v>
      </c>
      <c r="G553" s="215">
        <f>G551</f>
        <v>1489.73</v>
      </c>
      <c r="H553" s="648"/>
      <c r="I553" s="12"/>
    </row>
    <row r="554" spans="1:9" s="3" customFormat="1">
      <c r="A554" s="620"/>
      <c r="B554" s="961"/>
      <c r="C554" s="54" t="s">
        <v>1801</v>
      </c>
      <c r="D554" s="295" t="s">
        <v>1030</v>
      </c>
      <c r="E554" s="31"/>
      <c r="F554" s="35">
        <f>D554*2.46</f>
        <v>24.6</v>
      </c>
      <c r="G554" s="215">
        <f>F554*2</f>
        <v>49.2</v>
      </c>
      <c r="H554" s="649"/>
      <c r="I554" s="12"/>
    </row>
    <row r="555" spans="1:9" s="3" customFormat="1" ht="25.8">
      <c r="A555" s="620"/>
      <c r="B555" s="961"/>
      <c r="C555" s="54" t="s">
        <v>1802</v>
      </c>
      <c r="D555" s="295" t="s">
        <v>1030</v>
      </c>
      <c r="E555" s="31"/>
      <c r="F555" s="35">
        <f>D555*15.15</f>
        <v>151.5</v>
      </c>
      <c r="G555" s="215">
        <f>D555*21.5</f>
        <v>215</v>
      </c>
      <c r="H555" s="649"/>
      <c r="I555" s="12"/>
    </row>
    <row r="556" spans="1:9" s="3" customFormat="1">
      <c r="A556" s="620"/>
      <c r="B556" s="961"/>
      <c r="C556" s="54" t="s">
        <v>1029</v>
      </c>
      <c r="D556" s="189">
        <f>'Lead- Input sheet '!Q31</f>
        <v>0</v>
      </c>
      <c r="E556" s="31">
        <f>ROUND(D556*E555,2)</f>
        <v>0</v>
      </c>
      <c r="F556" s="933">
        <f>ROUND(D556*F555,2)</f>
        <v>0</v>
      </c>
      <c r="G556" s="621">
        <f>ROUND(D556*G555,2)</f>
        <v>0</v>
      </c>
      <c r="H556" s="649"/>
      <c r="I556" s="12"/>
    </row>
    <row r="557" spans="1:9" s="3" customFormat="1" ht="25.8">
      <c r="A557" s="620"/>
      <c r="B557" s="961"/>
      <c r="C557" s="54" t="s">
        <v>1634</v>
      </c>
      <c r="D557" s="295" t="s">
        <v>129</v>
      </c>
      <c r="E557" s="205"/>
      <c r="F557" s="35"/>
      <c r="G557" s="215">
        <f>ROUND(D557*G555,2)</f>
        <v>107.5</v>
      </c>
      <c r="H557" s="649"/>
      <c r="I557" s="12"/>
    </row>
    <row r="558" spans="1:9" s="6" customFormat="1">
      <c r="A558" s="45"/>
      <c r="B558" s="917"/>
      <c r="C558" s="55" t="s">
        <v>1600</v>
      </c>
      <c r="D558" s="941">
        <f>'Lead- Input sheet '!Q32</f>
        <v>0</v>
      </c>
      <c r="E558" s="205">
        <f>ROUND(SUM(E553:E557)*D558,2)</f>
        <v>0</v>
      </c>
      <c r="F558" s="35">
        <f>ROUND(SUM(F553:F557)*D558,2)</f>
        <v>0</v>
      </c>
      <c r="G558" s="215">
        <f>ROUND(SUM(G553:G557)*D558,2)</f>
        <v>0</v>
      </c>
      <c r="H558" s="650"/>
      <c r="I558" s="12"/>
    </row>
    <row r="559" spans="1:9" s="655" customFormat="1">
      <c r="A559" s="665"/>
      <c r="B559" s="917"/>
      <c r="C559" s="666"/>
      <c r="D559" s="433"/>
      <c r="E559" s="667">
        <f>SUM(E553:E558)</f>
        <v>1489.73</v>
      </c>
      <c r="F559" s="931">
        <f>SUM(F553:F558)</f>
        <v>1665.83</v>
      </c>
      <c r="G559" s="668">
        <f>SUM(G553:G558)</f>
        <v>1861.43</v>
      </c>
      <c r="H559" s="651"/>
      <c r="I559" s="669"/>
    </row>
    <row r="560" spans="1:9">
      <c r="A560" s="620"/>
      <c r="B560" s="961"/>
      <c r="C560" s="54" t="s">
        <v>903</v>
      </c>
      <c r="D560" s="34">
        <f>E546</f>
        <v>0.15</v>
      </c>
      <c r="E560" s="34">
        <f>$D$560*'Lead- Input sheet '!$O$11</f>
        <v>0</v>
      </c>
      <c r="F560" s="34">
        <f>$D$560*'Lead- Input sheet '!$O$11</f>
        <v>0</v>
      </c>
      <c r="G560" s="973">
        <f>$D$560*'Lead- Input sheet '!$O$11</f>
        <v>0</v>
      </c>
      <c r="H560" s="649"/>
      <c r="I560" s="12"/>
    </row>
    <row r="561" spans="1:9">
      <c r="A561" s="620"/>
      <c r="B561" s="961"/>
      <c r="C561" s="55" t="s">
        <v>1231</v>
      </c>
      <c r="D561" s="291" t="s">
        <v>1486</v>
      </c>
      <c r="E561" s="809">
        <f>SUM(E559:E560)</f>
        <v>1489.73</v>
      </c>
      <c r="F561" s="935">
        <f>SUM(F559:F560)</f>
        <v>1665.83</v>
      </c>
      <c r="G561" s="664">
        <f>SUM(G559:G560)</f>
        <v>1861.43</v>
      </c>
      <c r="H561" s="649"/>
      <c r="I561" s="12"/>
    </row>
    <row r="562" spans="1:9" s="3" customFormat="1">
      <c r="A562" s="45"/>
      <c r="B562" s="917"/>
      <c r="C562" s="55"/>
      <c r="D562" s="129"/>
      <c r="E562" s="205"/>
      <c r="F562" s="35"/>
      <c r="G562" s="215"/>
      <c r="H562" s="649"/>
      <c r="I562" s="12"/>
    </row>
    <row r="563" spans="1:9" s="57" customFormat="1" ht="105.75" customHeight="1">
      <c r="A563" s="617" t="s">
        <v>881</v>
      </c>
      <c r="B563" s="964">
        <v>25</v>
      </c>
      <c r="C563" s="54" t="s">
        <v>32</v>
      </c>
      <c r="D563" s="190"/>
      <c r="E563" s="158"/>
      <c r="F563" s="29"/>
      <c r="G563" s="182"/>
      <c r="H563" s="656"/>
      <c r="I563" s="12"/>
    </row>
    <row r="564" spans="1:9">
      <c r="A564" s="620"/>
      <c r="B564" s="964"/>
      <c r="C564" s="54" t="s">
        <v>1227</v>
      </c>
      <c r="D564" s="189"/>
      <c r="E564" s="34"/>
      <c r="F564" s="28"/>
      <c r="G564" s="215"/>
      <c r="H564" s="649"/>
      <c r="I564" s="12"/>
    </row>
    <row r="565" spans="1:9">
      <c r="A565" s="620"/>
      <c r="B565" s="964"/>
      <c r="C565" s="54" t="s">
        <v>1041</v>
      </c>
      <c r="D565" s="189"/>
      <c r="E565" s="34"/>
      <c r="F565" s="28"/>
      <c r="G565" s="215"/>
      <c r="H565" s="649"/>
      <c r="I565" s="12"/>
    </row>
    <row r="566" spans="1:9">
      <c r="A566" s="620"/>
      <c r="B566" s="964"/>
      <c r="C566" s="54" t="s">
        <v>534</v>
      </c>
      <c r="D566" s="189"/>
      <c r="E566" s="365"/>
      <c r="F566" s="28"/>
      <c r="G566" s="215"/>
      <c r="H566" s="649"/>
      <c r="I566" s="12"/>
    </row>
    <row r="567" spans="1:9">
      <c r="A567" s="620"/>
      <c r="B567" s="964"/>
      <c r="C567" s="54" t="s">
        <v>523</v>
      </c>
      <c r="D567" s="189" t="s">
        <v>347</v>
      </c>
      <c r="E567" s="34">
        <v>31.68</v>
      </c>
      <c r="F567" s="28">
        <f>'Lead- Input sheet '!R8</f>
        <v>6656</v>
      </c>
      <c r="G567" s="215">
        <f>ROUND(E567*F567/1000,2)</f>
        <v>210.86</v>
      </c>
      <c r="H567" s="649"/>
      <c r="I567" s="12"/>
    </row>
    <row r="568" spans="1:9">
      <c r="A568" s="620"/>
      <c r="B568" s="964"/>
      <c r="C568" s="54" t="s">
        <v>1573</v>
      </c>
      <c r="D568" s="189" t="s">
        <v>1473</v>
      </c>
      <c r="E568" s="34">
        <v>0.11</v>
      </c>
      <c r="F568" s="211">
        <f>'Lead- Input sheet '!$R$11</f>
        <v>1239.6380759582803</v>
      </c>
      <c r="G568" s="215">
        <f>ROUND(E568*F568,2)</f>
        <v>136.36000000000001</v>
      </c>
      <c r="H568" s="649"/>
      <c r="I568" s="12"/>
    </row>
    <row r="569" spans="1:9">
      <c r="A569" s="620"/>
      <c r="B569" s="964"/>
      <c r="C569" s="54" t="s">
        <v>1199</v>
      </c>
      <c r="D569" s="189"/>
      <c r="E569" s="365"/>
      <c r="F569" s="28"/>
      <c r="G569" s="215"/>
      <c r="H569" s="649"/>
      <c r="I569" s="12"/>
    </row>
    <row r="570" spans="1:9">
      <c r="A570" s="620"/>
      <c r="B570" s="964"/>
      <c r="C570" s="54" t="s">
        <v>523</v>
      </c>
      <c r="D570" s="189" t="s">
        <v>347</v>
      </c>
      <c r="E570" s="34">
        <v>19.2</v>
      </c>
      <c r="F570" s="28">
        <f>'Lead- Input sheet '!R8</f>
        <v>6656</v>
      </c>
      <c r="G570" s="215">
        <f>ROUND(E570*F570/1000,2)</f>
        <v>127.8</v>
      </c>
      <c r="H570" s="649"/>
      <c r="I570" s="12"/>
    </row>
    <row r="571" spans="1:9">
      <c r="A571" s="620"/>
      <c r="B571" s="964"/>
      <c r="C571" s="54" t="s">
        <v>1571</v>
      </c>
      <c r="D571" s="189" t="s">
        <v>1473</v>
      </c>
      <c r="E571" s="34">
        <v>0.04</v>
      </c>
      <c r="F571" s="211">
        <f>'Lead- Input sheet '!$R$11</f>
        <v>1239.6380759582803</v>
      </c>
      <c r="G571" s="215">
        <f>ROUND(E571*F571,2)</f>
        <v>49.59</v>
      </c>
      <c r="H571" s="649"/>
      <c r="I571" s="12"/>
    </row>
    <row r="572" spans="1:9">
      <c r="A572" s="620"/>
      <c r="B572" s="964"/>
      <c r="C572" s="54" t="s">
        <v>339</v>
      </c>
      <c r="D572" s="189" t="s">
        <v>1473</v>
      </c>
      <c r="E572" s="34">
        <v>0.15</v>
      </c>
      <c r="F572" s="28"/>
      <c r="G572" s="215"/>
      <c r="H572" s="649"/>
      <c r="I572" s="12"/>
    </row>
    <row r="573" spans="1:9">
      <c r="A573" s="620"/>
      <c r="B573" s="964"/>
      <c r="C573" s="54" t="s">
        <v>340</v>
      </c>
      <c r="D573" s="189"/>
      <c r="E573" s="34"/>
      <c r="F573" s="28"/>
      <c r="G573" s="215"/>
      <c r="H573" s="649"/>
      <c r="I573" s="12"/>
    </row>
    <row r="574" spans="1:9" ht="14.1">
      <c r="A574" s="620"/>
      <c r="B574" s="964"/>
      <c r="C574" s="54" t="s">
        <v>746</v>
      </c>
      <c r="D574" s="189" t="s">
        <v>1047</v>
      </c>
      <c r="E574" s="34">
        <v>0.63</v>
      </c>
      <c r="F574" s="28">
        <f>'Lead- Input sheet '!R31</f>
        <v>680</v>
      </c>
      <c r="G574" s="215">
        <f>ROUND(E574*F574,2)</f>
        <v>428.4</v>
      </c>
      <c r="H574" s="649"/>
      <c r="I574" s="12"/>
    </row>
    <row r="575" spans="1:9" ht="14.1">
      <c r="A575" s="620"/>
      <c r="B575" s="964"/>
      <c r="C575" s="54" t="s">
        <v>747</v>
      </c>
      <c r="D575" s="189" t="s">
        <v>1047</v>
      </c>
      <c r="E575" s="34">
        <v>1.47</v>
      </c>
      <c r="F575" s="28">
        <f>'Lead- Input sheet '!R30</f>
        <v>650</v>
      </c>
      <c r="G575" s="215">
        <f>ROUND(E575*F575,2)</f>
        <v>955.5</v>
      </c>
      <c r="H575" s="649"/>
      <c r="I575" s="12"/>
    </row>
    <row r="576" spans="1:9">
      <c r="A576" s="620"/>
      <c r="B576" s="964"/>
      <c r="C576" s="54" t="s">
        <v>341</v>
      </c>
      <c r="D576" s="189" t="s">
        <v>1047</v>
      </c>
      <c r="E576" s="34">
        <v>3.9</v>
      </c>
      <c r="F576" s="28">
        <f>'Lead- Input sheet '!R29</f>
        <v>605</v>
      </c>
      <c r="G576" s="215">
        <f>ROUND(E576*F576,2)</f>
        <v>2359.5</v>
      </c>
      <c r="H576" s="648"/>
      <c r="I576" s="12"/>
    </row>
    <row r="577" spans="1:9" s="7" customFormat="1">
      <c r="A577" s="647"/>
      <c r="B577" s="965"/>
      <c r="C577" s="643" t="s">
        <v>896</v>
      </c>
      <c r="D577" s="644"/>
      <c r="E577" s="645">
        <f>'Lead- Input sheet '!Q31</f>
        <v>0</v>
      </c>
      <c r="F577" s="922">
        <f>SUM(G574:G576)</f>
        <v>3743.4</v>
      </c>
      <c r="G577" s="646">
        <f>ROUND(F577*E577,2)</f>
        <v>0</v>
      </c>
      <c r="H577" s="642"/>
      <c r="I577" s="12"/>
    </row>
    <row r="578" spans="1:9" s="6" customFormat="1">
      <c r="A578" s="45"/>
      <c r="B578" s="965"/>
      <c r="C578" s="55" t="s">
        <v>1231</v>
      </c>
      <c r="D578" s="190"/>
      <c r="E578" s="158"/>
      <c r="F578" s="923" t="s">
        <v>1486</v>
      </c>
      <c r="G578" s="619">
        <f>SUM(G567:G577)</f>
        <v>4268.01</v>
      </c>
      <c r="H578" s="648"/>
      <c r="I578" s="12"/>
    </row>
    <row r="579" spans="1:9" s="3" customFormat="1">
      <c r="A579" s="620"/>
      <c r="B579" s="964"/>
      <c r="C579" s="54"/>
      <c r="D579" s="189"/>
      <c r="E579" s="158" t="s">
        <v>1098</v>
      </c>
      <c r="F579" s="29" t="s">
        <v>1099</v>
      </c>
      <c r="G579" s="182" t="s">
        <v>1100</v>
      </c>
      <c r="H579" s="648"/>
      <c r="I579" s="12"/>
    </row>
    <row r="580" spans="1:9" s="3" customFormat="1">
      <c r="A580" s="620"/>
      <c r="B580" s="964"/>
      <c r="C580" s="54" t="s">
        <v>1101</v>
      </c>
      <c r="D580" s="189"/>
      <c r="E580" s="205">
        <f>G578</f>
        <v>4268.01</v>
      </c>
      <c r="F580" s="35">
        <f>G578</f>
        <v>4268.01</v>
      </c>
      <c r="G580" s="215">
        <f>G578</f>
        <v>4268.01</v>
      </c>
      <c r="H580" s="648"/>
      <c r="I580" s="12"/>
    </row>
    <row r="581" spans="1:9" s="3" customFormat="1">
      <c r="A581" s="620"/>
      <c r="B581" s="964"/>
      <c r="C581" s="54" t="s">
        <v>1803</v>
      </c>
      <c r="D581" s="295" t="s">
        <v>1030</v>
      </c>
      <c r="E581" s="31"/>
      <c r="F581" s="35">
        <f>D581*0.99</f>
        <v>9.9</v>
      </c>
      <c r="G581" s="215">
        <f>F581*2</f>
        <v>19.8</v>
      </c>
      <c r="H581" s="649"/>
      <c r="I581" s="12"/>
    </row>
    <row r="582" spans="1:9" s="3" customFormat="1" ht="25.8">
      <c r="A582" s="620"/>
      <c r="B582" s="964"/>
      <c r="C582" s="54" t="s">
        <v>1804</v>
      </c>
      <c r="D582" s="295" t="s">
        <v>1030</v>
      </c>
      <c r="E582" s="31"/>
      <c r="F582" s="35">
        <f>D582*7.57</f>
        <v>75.7</v>
      </c>
      <c r="G582" s="177">
        <f>D582*10.84</f>
        <v>108.4</v>
      </c>
      <c r="H582" s="649"/>
      <c r="I582" s="12"/>
    </row>
    <row r="583" spans="1:9" s="3" customFormat="1">
      <c r="A583" s="620"/>
      <c r="B583" s="964"/>
      <c r="C583" s="54" t="s">
        <v>1029</v>
      </c>
      <c r="D583" s="189">
        <f>'Lead- Input sheet '!Q31</f>
        <v>0</v>
      </c>
      <c r="E583" s="31">
        <f>ROUND(D583*E582,2)</f>
        <v>0</v>
      </c>
      <c r="F583" s="933">
        <f>ROUND(D583*F582,2)</f>
        <v>0</v>
      </c>
      <c r="G583" s="622">
        <f>ROUND(D583*G582,2)</f>
        <v>0</v>
      </c>
      <c r="H583" s="649"/>
      <c r="I583" s="12"/>
    </row>
    <row r="584" spans="1:9" s="3" customFormat="1" ht="25.8">
      <c r="A584" s="620"/>
      <c r="B584" s="964"/>
      <c r="C584" s="54" t="s">
        <v>1817</v>
      </c>
      <c r="D584" s="295" t="s">
        <v>129</v>
      </c>
      <c r="E584" s="205"/>
      <c r="F584" s="35"/>
      <c r="G584" s="215">
        <f>ROUND(D584*G582,2)</f>
        <v>54.2</v>
      </c>
      <c r="H584" s="649"/>
      <c r="I584" s="12"/>
    </row>
    <row r="585" spans="1:9" s="6" customFormat="1">
      <c r="A585" s="45"/>
      <c r="B585" s="965"/>
      <c r="C585" s="55" t="s">
        <v>1600</v>
      </c>
      <c r="D585" s="129">
        <f>'Lead- Input sheet '!Q32</f>
        <v>0</v>
      </c>
      <c r="E585" s="205">
        <f>ROUND(SUM(E580:E584)*D585,2)</f>
        <v>0</v>
      </c>
      <c r="F585" s="35">
        <f>ROUND(SUM(F580:F584)*D585,2)</f>
        <v>0</v>
      </c>
      <c r="G585" s="215">
        <f>ROUND(SUM(G580:G584)*D585,2)</f>
        <v>0</v>
      </c>
      <c r="H585" s="650"/>
      <c r="I585" s="12"/>
    </row>
    <row r="586" spans="1:9" s="655" customFormat="1">
      <c r="A586" s="665"/>
      <c r="B586" s="965"/>
      <c r="C586" s="666"/>
      <c r="D586" s="433"/>
      <c r="E586" s="667">
        <f>SUM(E580:E585)</f>
        <v>4268.01</v>
      </c>
      <c r="F586" s="931">
        <f>SUM(F580:F585)</f>
        <v>4353.6099999999997</v>
      </c>
      <c r="G586" s="668">
        <f>SUM(G580:G585)</f>
        <v>4450.41</v>
      </c>
      <c r="H586" s="651"/>
      <c r="I586" s="669"/>
    </row>
    <row r="587" spans="1:9">
      <c r="A587" s="620"/>
      <c r="B587" s="964"/>
      <c r="C587" s="54" t="s">
        <v>903</v>
      </c>
      <c r="D587" s="34">
        <v>0.15</v>
      </c>
      <c r="E587" s="34">
        <f>$D$587*'Lead- Input sheet '!$O$11</f>
        <v>0</v>
      </c>
      <c r="F587" s="34">
        <f>$D$587*'Lead- Input sheet '!$O$11</f>
        <v>0</v>
      </c>
      <c r="G587" s="973">
        <f>$D$587*'Lead- Input sheet '!$O$11</f>
        <v>0</v>
      </c>
      <c r="H587" s="649"/>
      <c r="I587" s="12"/>
    </row>
    <row r="588" spans="1:9">
      <c r="A588" s="620"/>
      <c r="B588" s="964"/>
      <c r="C588" s="55" t="s">
        <v>1231</v>
      </c>
      <c r="D588" s="291" t="s">
        <v>1486</v>
      </c>
      <c r="E588" s="809">
        <f>SUM(E586:E587)</f>
        <v>4268.01</v>
      </c>
      <c r="F588" s="935">
        <f>SUM(F586:F587)</f>
        <v>4353.6099999999997</v>
      </c>
      <c r="G588" s="664">
        <f>SUM(G586:G587)</f>
        <v>4450.41</v>
      </c>
      <c r="H588" s="649"/>
      <c r="I588" s="12"/>
    </row>
    <row r="589" spans="1:9" s="57" customFormat="1" ht="38.700000000000003">
      <c r="A589" s="617" t="s">
        <v>1095</v>
      </c>
      <c r="B589" s="964">
        <v>26</v>
      </c>
      <c r="C589" s="54" t="s">
        <v>535</v>
      </c>
      <c r="D589" s="190"/>
      <c r="E589" s="158"/>
      <c r="F589" s="29"/>
      <c r="G589" s="182"/>
      <c r="H589" s="656"/>
      <c r="I589" s="12"/>
    </row>
    <row r="590" spans="1:9">
      <c r="A590" s="620"/>
      <c r="B590" s="964"/>
      <c r="C590" s="54" t="s">
        <v>1227</v>
      </c>
      <c r="D590" s="189"/>
      <c r="E590" s="34"/>
      <c r="F590" s="28"/>
      <c r="G590" s="215"/>
      <c r="H590" s="649"/>
      <c r="I590" s="12"/>
    </row>
    <row r="591" spans="1:9">
      <c r="A591" s="620"/>
      <c r="B591" s="964"/>
      <c r="C591" s="54" t="s">
        <v>1041</v>
      </c>
      <c r="D591" s="189"/>
      <c r="E591" s="34"/>
      <c r="F591" s="28"/>
      <c r="G591" s="215"/>
      <c r="H591" s="649"/>
      <c r="I591" s="12"/>
    </row>
    <row r="592" spans="1:9">
      <c r="A592" s="620"/>
      <c r="B592" s="964"/>
      <c r="C592" s="54" t="s">
        <v>809</v>
      </c>
      <c r="D592" s="189"/>
      <c r="E592" s="365"/>
      <c r="F592" s="28"/>
      <c r="G592" s="215"/>
      <c r="H592" s="649"/>
      <c r="I592" s="12"/>
    </row>
    <row r="593" spans="1:10">
      <c r="A593" s="620"/>
      <c r="B593" s="964"/>
      <c r="C593" s="54" t="s">
        <v>523</v>
      </c>
      <c r="D593" s="189" t="s">
        <v>347</v>
      </c>
      <c r="E593" s="34">
        <v>43.2</v>
      </c>
      <c r="F593" s="28">
        <f>'Lead- Input sheet '!R8</f>
        <v>6656</v>
      </c>
      <c r="G593" s="215">
        <f>ROUND(E593*F593/1000,2)</f>
        <v>287.54000000000002</v>
      </c>
      <c r="H593" s="649"/>
      <c r="I593" s="12"/>
      <c r="J593" s="3">
        <f>0.04/4*1.44</f>
        <v>1.44E-2</v>
      </c>
    </row>
    <row r="594" spans="1:10">
      <c r="A594" s="620"/>
      <c r="B594" s="964"/>
      <c r="C594" s="54" t="s">
        <v>810</v>
      </c>
      <c r="D594" s="189" t="s">
        <v>1473</v>
      </c>
      <c r="E594" s="34">
        <v>0.18</v>
      </c>
      <c r="F594" s="211">
        <f>'Lead- Input sheet '!$R$11</f>
        <v>1239.6380759582803</v>
      </c>
      <c r="G594" s="215">
        <f>ROUND(E594*F594,2)</f>
        <v>223.13</v>
      </c>
      <c r="H594" s="649"/>
      <c r="I594" s="12"/>
    </row>
    <row r="595" spans="1:10">
      <c r="A595" s="620"/>
      <c r="B595" s="964"/>
      <c r="C595" s="54" t="s">
        <v>224</v>
      </c>
      <c r="D595" s="189"/>
      <c r="E595" s="366"/>
      <c r="F595" s="28"/>
      <c r="G595" s="215"/>
      <c r="H595" s="649"/>
      <c r="I595" s="12"/>
    </row>
    <row r="596" spans="1:10">
      <c r="A596" s="620"/>
      <c r="B596" s="964"/>
      <c r="C596" s="54" t="s">
        <v>523</v>
      </c>
      <c r="D596" s="189" t="s">
        <v>347</v>
      </c>
      <c r="E596" s="34">
        <v>14.4</v>
      </c>
      <c r="F596" s="28">
        <f>'Lead- Input sheet '!R8</f>
        <v>6656</v>
      </c>
      <c r="G596" s="215">
        <f>ROUND(E596*F596/1000,2)</f>
        <v>95.85</v>
      </c>
      <c r="H596" s="649"/>
      <c r="I596" s="12"/>
    </row>
    <row r="597" spans="1:10">
      <c r="A597" s="620"/>
      <c r="B597" s="964"/>
      <c r="C597" s="54" t="s">
        <v>811</v>
      </c>
      <c r="D597" s="189" t="s">
        <v>1473</v>
      </c>
      <c r="E597" s="34">
        <v>0.04</v>
      </c>
      <c r="F597" s="211">
        <f>'Lead- Input sheet '!$R$11</f>
        <v>1239.6380759582803</v>
      </c>
      <c r="G597" s="215">
        <f>ROUND(E597*F597,2)</f>
        <v>49.59</v>
      </c>
      <c r="H597" s="649"/>
      <c r="I597" s="12"/>
    </row>
    <row r="598" spans="1:10">
      <c r="A598" s="620"/>
      <c r="B598" s="964"/>
      <c r="C598" s="54" t="s">
        <v>340</v>
      </c>
      <c r="D598" s="189"/>
      <c r="E598" s="34"/>
      <c r="F598" s="28"/>
      <c r="G598" s="215">
        <f>E598*F598</f>
        <v>0</v>
      </c>
      <c r="H598" s="649"/>
      <c r="I598" s="12"/>
    </row>
    <row r="599" spans="1:10" ht="14.1">
      <c r="A599" s="620"/>
      <c r="B599" s="964"/>
      <c r="C599" s="54" t="s">
        <v>746</v>
      </c>
      <c r="D599" s="189" t="s">
        <v>1047</v>
      </c>
      <c r="E599" s="34">
        <v>0.63</v>
      </c>
      <c r="F599" s="28">
        <f>'Lead- Input sheet '!R31</f>
        <v>680</v>
      </c>
      <c r="G599" s="215">
        <f>ROUND(E599*F599,2)</f>
        <v>428.4</v>
      </c>
      <c r="H599" s="649"/>
      <c r="I599" s="12"/>
    </row>
    <row r="600" spans="1:10" ht="14.1">
      <c r="A600" s="620"/>
      <c r="B600" s="964"/>
      <c r="C600" s="54" t="s">
        <v>747</v>
      </c>
      <c r="D600" s="189" t="s">
        <v>1047</v>
      </c>
      <c r="E600" s="34">
        <v>1.47</v>
      </c>
      <c r="F600" s="28">
        <f>'Lead- Input sheet '!R30</f>
        <v>650</v>
      </c>
      <c r="G600" s="215">
        <f>ROUND(E600*F600,2)</f>
        <v>955.5</v>
      </c>
      <c r="H600" s="649"/>
      <c r="I600" s="12"/>
    </row>
    <row r="601" spans="1:10">
      <c r="A601" s="620"/>
      <c r="B601" s="964"/>
      <c r="C601" s="54" t="s">
        <v>341</v>
      </c>
      <c r="D601" s="189" t="s">
        <v>1047</v>
      </c>
      <c r="E601" s="34">
        <v>3.9</v>
      </c>
      <c r="F601" s="28">
        <f>'Lead- Input sheet '!R29</f>
        <v>605</v>
      </c>
      <c r="G601" s="215">
        <f>ROUND(E601*F601,2)</f>
        <v>2359.5</v>
      </c>
      <c r="H601" s="648"/>
      <c r="I601" s="12"/>
    </row>
    <row r="602" spans="1:10" s="7" customFormat="1">
      <c r="A602" s="647"/>
      <c r="B602" s="965"/>
      <c r="C602" s="643" t="s">
        <v>896</v>
      </c>
      <c r="D602" s="644"/>
      <c r="E602" s="645">
        <f>'Lead- Input sheet '!Q31</f>
        <v>0</v>
      </c>
      <c r="F602" s="922">
        <f>SUM(G599:G601)</f>
        <v>3743.4</v>
      </c>
      <c r="G602" s="646">
        <f>ROUND(F602*E602,2)</f>
        <v>0</v>
      </c>
      <c r="H602" s="642"/>
      <c r="I602" s="12"/>
    </row>
    <row r="603" spans="1:10" s="6" customFormat="1">
      <c r="A603" s="45"/>
      <c r="B603" s="965"/>
      <c r="C603" s="55" t="s">
        <v>1231</v>
      </c>
      <c r="D603" s="190"/>
      <c r="E603" s="158"/>
      <c r="F603" s="923" t="s">
        <v>1486</v>
      </c>
      <c r="G603" s="619">
        <f>SUM(G593:G602)</f>
        <v>4399.51</v>
      </c>
      <c r="H603" s="648"/>
      <c r="I603" s="12"/>
    </row>
    <row r="604" spans="1:10" s="3" customFormat="1">
      <c r="A604" s="620"/>
      <c r="B604" s="964"/>
      <c r="C604" s="54"/>
      <c r="D604" s="189"/>
      <c r="E604" s="158" t="s">
        <v>1098</v>
      </c>
      <c r="F604" s="29" t="s">
        <v>1099</v>
      </c>
      <c r="G604" s="182" t="s">
        <v>1100</v>
      </c>
      <c r="H604" s="648"/>
      <c r="I604" s="12"/>
    </row>
    <row r="605" spans="1:10" s="3" customFormat="1">
      <c r="A605" s="620"/>
      <c r="B605" s="964"/>
      <c r="C605" s="54" t="s">
        <v>1101</v>
      </c>
      <c r="D605" s="189"/>
      <c r="E605" s="205">
        <f>G603</f>
        <v>4399.51</v>
      </c>
      <c r="F605" s="35">
        <f>G603</f>
        <v>4399.51</v>
      </c>
      <c r="G605" s="215">
        <f>G603</f>
        <v>4399.51</v>
      </c>
      <c r="H605" s="648"/>
      <c r="I605" s="12"/>
    </row>
    <row r="606" spans="1:10" s="3" customFormat="1">
      <c r="A606" s="620"/>
      <c r="B606" s="964"/>
      <c r="C606" s="54" t="s">
        <v>1803</v>
      </c>
      <c r="D606" s="295" t="s">
        <v>1030</v>
      </c>
      <c r="E606" s="31"/>
      <c r="F606" s="35">
        <f>D606*0.99</f>
        <v>9.9</v>
      </c>
      <c r="G606" s="215">
        <f>F606*2</f>
        <v>19.8</v>
      </c>
      <c r="H606" s="649"/>
      <c r="I606" s="12"/>
    </row>
    <row r="607" spans="1:10" s="3" customFormat="1" ht="25.8">
      <c r="A607" s="620"/>
      <c r="B607" s="964"/>
      <c r="C607" s="54" t="s">
        <v>1805</v>
      </c>
      <c r="D607" s="295" t="s">
        <v>1030</v>
      </c>
      <c r="E607" s="31"/>
      <c r="F607" s="35">
        <f>D607*7.57</f>
        <v>75.7</v>
      </c>
      <c r="G607" s="177">
        <f>D607*10.84</f>
        <v>108.4</v>
      </c>
      <c r="H607" s="649"/>
      <c r="I607" s="12"/>
    </row>
    <row r="608" spans="1:10" s="3" customFormat="1">
      <c r="A608" s="620"/>
      <c r="B608" s="964"/>
      <c r="C608" s="54" t="s">
        <v>1029</v>
      </c>
      <c r="D608" s="189">
        <f>'Lead- Input sheet '!Q31</f>
        <v>0</v>
      </c>
      <c r="E608" s="31">
        <f>ROUND(D608*E607,2)</f>
        <v>0</v>
      </c>
      <c r="F608" s="933">
        <f>ROUND(D608*F607,2)</f>
        <v>0</v>
      </c>
      <c r="G608" s="622">
        <f>ROUND(D608*G607,2)</f>
        <v>0</v>
      </c>
      <c r="H608" s="649"/>
      <c r="I608" s="12"/>
    </row>
    <row r="609" spans="1:9" s="3" customFormat="1" ht="25.8">
      <c r="A609" s="620"/>
      <c r="B609" s="964"/>
      <c r="C609" s="54" t="s">
        <v>1818</v>
      </c>
      <c r="D609" s="295" t="s">
        <v>129</v>
      </c>
      <c r="E609" s="205"/>
      <c r="F609" s="35"/>
      <c r="G609" s="215">
        <f>ROUND(D609*G607,2)</f>
        <v>54.2</v>
      </c>
      <c r="H609" s="649"/>
      <c r="I609" s="12"/>
    </row>
    <row r="610" spans="1:9" s="6" customFormat="1">
      <c r="A610" s="45"/>
      <c r="B610" s="965"/>
      <c r="C610" s="55" t="s">
        <v>1600</v>
      </c>
      <c r="D610" s="941">
        <f>'Lead- Input sheet '!Q32</f>
        <v>0</v>
      </c>
      <c r="E610" s="205">
        <f>ROUND(SUM(E605:E609)*D610,2)</f>
        <v>0</v>
      </c>
      <c r="F610" s="35">
        <f>ROUND(SUM(F605:F609)*D610,2)</f>
        <v>0</v>
      </c>
      <c r="G610" s="215">
        <f>ROUND(SUM(G605:G609)*D610,2)</f>
        <v>0</v>
      </c>
      <c r="H610" s="650"/>
      <c r="I610" s="12"/>
    </row>
    <row r="611" spans="1:9" s="655" customFormat="1">
      <c r="A611" s="665"/>
      <c r="B611" s="965"/>
      <c r="C611" s="666"/>
      <c r="D611" s="433"/>
      <c r="E611" s="667">
        <f>SUM(E605:E610)</f>
        <v>4399.51</v>
      </c>
      <c r="F611" s="931">
        <f>SUM(F605:F610)</f>
        <v>4485.1099999999997</v>
      </c>
      <c r="G611" s="668">
        <f>SUM(G605:G610)</f>
        <v>4581.91</v>
      </c>
      <c r="H611" s="651"/>
      <c r="I611" s="669"/>
    </row>
    <row r="612" spans="1:9">
      <c r="A612" s="620"/>
      <c r="B612" s="964"/>
      <c r="C612" s="54" t="s">
        <v>903</v>
      </c>
      <c r="D612" s="34">
        <v>0.22</v>
      </c>
      <c r="E612" s="34">
        <f>$D$612*'Lead- Input sheet '!$O$11</f>
        <v>0</v>
      </c>
      <c r="F612" s="34">
        <f>$D$612*'Lead- Input sheet '!$O$11</f>
        <v>0</v>
      </c>
      <c r="G612" s="973">
        <f>$D$612*'Lead- Input sheet '!$O$11</f>
        <v>0</v>
      </c>
      <c r="H612" s="649"/>
      <c r="I612" s="12"/>
    </row>
    <row r="613" spans="1:9">
      <c r="A613" s="620"/>
      <c r="B613" s="964"/>
      <c r="C613" s="55" t="s">
        <v>1231</v>
      </c>
      <c r="D613" s="291" t="s">
        <v>1486</v>
      </c>
      <c r="E613" s="809">
        <f>SUM(E611:E612)</f>
        <v>4399.51</v>
      </c>
      <c r="F613" s="935">
        <f>SUM(F611:F612)</f>
        <v>4485.1099999999997</v>
      </c>
      <c r="G613" s="664">
        <f>SUM(G611:G612)</f>
        <v>4581.91</v>
      </c>
      <c r="H613" s="649"/>
      <c r="I613" s="12"/>
    </row>
    <row r="614" spans="1:9" s="6" customFormat="1">
      <c r="A614" s="45"/>
      <c r="B614" s="965"/>
      <c r="C614" s="55"/>
      <c r="D614" s="129"/>
      <c r="E614" s="205"/>
      <c r="F614" s="35"/>
      <c r="G614" s="215"/>
      <c r="H614" s="648"/>
      <c r="I614" s="12"/>
    </row>
    <row r="615" spans="1:9" ht="138" customHeight="1">
      <c r="A615" s="617" t="s">
        <v>1220</v>
      </c>
      <c r="B615" s="962">
        <v>27</v>
      </c>
      <c r="C615" s="54" t="s">
        <v>33</v>
      </c>
      <c r="D615" s="189"/>
      <c r="E615" s="34"/>
      <c r="F615" s="28"/>
      <c r="G615" s="215"/>
      <c r="H615" s="649"/>
      <c r="I615" s="12"/>
    </row>
    <row r="616" spans="1:9">
      <c r="A616" s="620"/>
      <c r="B616" s="962"/>
      <c r="C616" s="54" t="s">
        <v>1118</v>
      </c>
      <c r="D616" s="189"/>
      <c r="E616" s="34"/>
      <c r="F616" s="28"/>
      <c r="G616" s="215"/>
      <c r="H616" s="649"/>
      <c r="I616" s="12"/>
    </row>
    <row r="617" spans="1:9">
      <c r="A617" s="620"/>
      <c r="B617" s="962"/>
      <c r="C617" s="54" t="s">
        <v>1119</v>
      </c>
      <c r="D617" s="189"/>
      <c r="E617" s="34"/>
      <c r="F617" s="28"/>
      <c r="G617" s="215"/>
      <c r="H617" s="649"/>
      <c r="I617" s="12"/>
    </row>
    <row r="618" spans="1:9">
      <c r="A618" s="620"/>
      <c r="B618" s="962"/>
      <c r="C618" s="54" t="s">
        <v>1635</v>
      </c>
      <c r="D618" s="189" t="s">
        <v>987</v>
      </c>
      <c r="E618" s="34">
        <v>13.3</v>
      </c>
      <c r="F618" s="28">
        <v>17</v>
      </c>
      <c r="G618" s="215">
        <f>ROUND(E618*F618,2)</f>
        <v>226.1</v>
      </c>
      <c r="H618" s="649"/>
      <c r="I618" s="12"/>
    </row>
    <row r="619" spans="1:9">
      <c r="A619" s="620"/>
      <c r="B619" s="962"/>
      <c r="C619" s="54" t="s">
        <v>1120</v>
      </c>
      <c r="D619" s="189" t="s">
        <v>1473</v>
      </c>
      <c r="E619" s="34">
        <v>0.25</v>
      </c>
      <c r="F619" s="28">
        <f>G85</f>
        <v>4617.5</v>
      </c>
      <c r="G619" s="215">
        <f>ROUND(E619*F619,2)</f>
        <v>1154.3800000000001</v>
      </c>
      <c r="H619" s="649">
        <f>0.25/3*1.44*1000</f>
        <v>120</v>
      </c>
      <c r="I619" s="12"/>
    </row>
    <row r="620" spans="1:9">
      <c r="A620" s="620"/>
      <c r="B620" s="962"/>
      <c r="C620" s="54" t="s">
        <v>1121</v>
      </c>
      <c r="D620" s="189" t="s">
        <v>347</v>
      </c>
      <c r="E620" s="34">
        <v>50</v>
      </c>
      <c r="F620" s="28">
        <f>'Lead- Input sheet '!R8</f>
        <v>6656</v>
      </c>
      <c r="G620" s="215">
        <f>ROUND(E620*F620/1000,2)</f>
        <v>332.8</v>
      </c>
      <c r="H620" s="649">
        <v>50</v>
      </c>
      <c r="I620" s="12"/>
    </row>
    <row r="621" spans="1:9" ht="38.700000000000003">
      <c r="A621" s="620"/>
      <c r="B621" s="962"/>
      <c r="C621" s="54" t="s">
        <v>618</v>
      </c>
      <c r="D621" s="189" t="s">
        <v>987</v>
      </c>
      <c r="E621" s="670" t="s">
        <v>617</v>
      </c>
      <c r="F621" s="28">
        <f>AVERAGE(G75,G95)</f>
        <v>5016.8599999999997</v>
      </c>
      <c r="G621" s="215">
        <f>ROUND(0.26*F621,2)</f>
        <v>1304.3800000000001</v>
      </c>
      <c r="H621" s="649">
        <f>0.26/3*1.44*1000</f>
        <v>124.8</v>
      </c>
      <c r="I621" s="12"/>
    </row>
    <row r="622" spans="1:9">
      <c r="A622" s="620"/>
      <c r="B622" s="962"/>
      <c r="C622" s="54" t="s">
        <v>1122</v>
      </c>
      <c r="D622" s="189"/>
      <c r="E622" s="34"/>
      <c r="F622" s="28"/>
      <c r="G622" s="215"/>
      <c r="H622" s="649"/>
      <c r="I622" s="12"/>
    </row>
    <row r="623" spans="1:9">
      <c r="A623" s="620"/>
      <c r="B623" s="962"/>
      <c r="C623" s="54" t="s">
        <v>1123</v>
      </c>
      <c r="D623" s="189"/>
      <c r="E623" s="34"/>
      <c r="F623" s="28"/>
      <c r="G623" s="215"/>
      <c r="H623" s="649"/>
      <c r="I623" s="12"/>
    </row>
    <row r="624" spans="1:9">
      <c r="A624" s="620"/>
      <c r="B624" s="962"/>
      <c r="C624" s="54" t="s">
        <v>932</v>
      </c>
      <c r="D624" s="189" t="s">
        <v>1047</v>
      </c>
      <c r="E624" s="34">
        <v>8</v>
      </c>
      <c r="F624" s="28">
        <f>'Lead- Input sheet '!R31</f>
        <v>680</v>
      </c>
      <c r="G624" s="215">
        <f>ROUND(E624*F624,2)</f>
        <v>5440</v>
      </c>
      <c r="H624" s="649"/>
      <c r="I624" s="12"/>
    </row>
    <row r="625" spans="1:9">
      <c r="A625" s="620"/>
      <c r="B625" s="962"/>
      <c r="C625" s="54" t="s">
        <v>1124</v>
      </c>
      <c r="D625" s="189" t="s">
        <v>1047</v>
      </c>
      <c r="E625" s="34">
        <v>1</v>
      </c>
      <c r="F625" s="28">
        <f>'Lead- Input sheet '!R30</f>
        <v>650</v>
      </c>
      <c r="G625" s="215">
        <f>ROUND(E625*F625,2)</f>
        <v>650</v>
      </c>
      <c r="H625" s="649"/>
      <c r="I625" s="12"/>
    </row>
    <row r="626" spans="1:9">
      <c r="A626" s="620"/>
      <c r="B626" s="962"/>
      <c r="C626" s="54" t="s">
        <v>341</v>
      </c>
      <c r="D626" s="189" t="s">
        <v>1047</v>
      </c>
      <c r="E626" s="34">
        <v>10</v>
      </c>
      <c r="F626" s="28">
        <f>'Lead- Input sheet '!R29</f>
        <v>605</v>
      </c>
      <c r="G626" s="215">
        <f>ROUND(E626*F626,2)</f>
        <v>6050</v>
      </c>
      <c r="H626" s="648"/>
      <c r="I626" s="12"/>
    </row>
    <row r="627" spans="1:9" s="7" customFormat="1">
      <c r="A627" s="647"/>
      <c r="B627" s="907"/>
      <c r="C627" s="643" t="s">
        <v>896</v>
      </c>
      <c r="D627" s="644"/>
      <c r="E627" s="645">
        <f>'Lead- Input sheet '!Q31</f>
        <v>0</v>
      </c>
      <c r="F627" s="922">
        <f>SUM(G624:G626)</f>
        <v>12140</v>
      </c>
      <c r="G627" s="646">
        <f>ROUND(F627*E627,2)</f>
        <v>0</v>
      </c>
      <c r="H627" s="642"/>
      <c r="I627" s="12"/>
    </row>
    <row r="628" spans="1:9">
      <c r="A628" s="620"/>
      <c r="B628" s="962"/>
      <c r="C628" s="54" t="s">
        <v>1222</v>
      </c>
      <c r="D628" s="189"/>
      <c r="E628" s="34"/>
      <c r="F628" s="28"/>
      <c r="G628" s="215"/>
      <c r="H628" s="649"/>
      <c r="I628" s="12"/>
    </row>
    <row r="629" spans="1:9">
      <c r="A629" s="620"/>
      <c r="B629" s="962"/>
      <c r="C629" s="54" t="s">
        <v>1230</v>
      </c>
      <c r="D629" s="189" t="s">
        <v>1216</v>
      </c>
      <c r="E629" s="34">
        <v>2</v>
      </c>
      <c r="F629" s="28">
        <f>F358</f>
        <v>472.6</v>
      </c>
      <c r="G629" s="215">
        <f>ROUND(E629*F629,2)</f>
        <v>945.2</v>
      </c>
      <c r="H629" s="649"/>
      <c r="I629" s="12"/>
    </row>
    <row r="630" spans="1:9" s="57" customFormat="1">
      <c r="A630" s="617"/>
      <c r="B630" s="962"/>
      <c r="C630" s="55" t="s">
        <v>1231</v>
      </c>
      <c r="D630" s="190"/>
      <c r="E630" s="158"/>
      <c r="F630" s="29"/>
      <c r="G630" s="182">
        <f>SUM(G618:G629)</f>
        <v>16102.86</v>
      </c>
      <c r="H630" s="656"/>
      <c r="I630" s="12"/>
    </row>
    <row r="631" spans="1:9" s="6" customFormat="1">
      <c r="A631" s="45"/>
      <c r="B631" s="907"/>
      <c r="C631" s="55" t="s">
        <v>1600</v>
      </c>
      <c r="D631" s="190"/>
      <c r="E631" s="158">
        <f>G630</f>
        <v>16102.86</v>
      </c>
      <c r="F631" s="29">
        <f>'Lead- Input sheet '!Q32</f>
        <v>0</v>
      </c>
      <c r="G631" s="182">
        <f>ROUND(F631*E631,2)</f>
        <v>0</v>
      </c>
      <c r="H631" s="650"/>
      <c r="I631" s="12"/>
    </row>
    <row r="632" spans="1:9" s="6" customFormat="1">
      <c r="A632" s="45"/>
      <c r="B632" s="907"/>
      <c r="C632" s="55"/>
      <c r="D632" s="190"/>
      <c r="E632" s="158"/>
      <c r="F632" s="923" t="s">
        <v>1486</v>
      </c>
      <c r="G632" s="619">
        <f>SUM(G630:G631)</f>
        <v>16102.86</v>
      </c>
      <c r="H632" s="650"/>
      <c r="I632" s="12"/>
    </row>
    <row r="633" spans="1:9">
      <c r="A633" s="620"/>
      <c r="B633" s="962"/>
      <c r="C633" s="54" t="s">
        <v>225</v>
      </c>
      <c r="D633" s="34"/>
      <c r="E633" s="34">
        <f>0.26+0.25</f>
        <v>0.51</v>
      </c>
      <c r="F633" s="28">
        <f>'Lead- Input sheet '!O11</f>
        <v>0</v>
      </c>
      <c r="G633" s="215">
        <f>ROUND(E633*F633,2)</f>
        <v>0</v>
      </c>
      <c r="H633" s="649"/>
      <c r="I633" s="12"/>
    </row>
    <row r="634" spans="1:9">
      <c r="A634" s="620"/>
      <c r="B634" s="962"/>
      <c r="C634" s="55" t="s">
        <v>1231</v>
      </c>
      <c r="D634" s="809"/>
      <c r="E634" s="809"/>
      <c r="F634" s="923" t="s">
        <v>1486</v>
      </c>
      <c r="G634" s="664">
        <f>SUM(G632:G633)</f>
        <v>16102.86</v>
      </c>
      <c r="H634" s="649"/>
      <c r="I634" s="12"/>
    </row>
    <row r="635" spans="1:9" ht="123" customHeight="1">
      <c r="A635" s="617" t="s">
        <v>619</v>
      </c>
      <c r="B635" s="962">
        <v>28</v>
      </c>
      <c r="C635" s="54" t="s">
        <v>34</v>
      </c>
      <c r="D635" s="189"/>
      <c r="E635" s="34"/>
      <c r="F635" s="28"/>
      <c r="G635" s="215"/>
      <c r="H635" s="649"/>
      <c r="I635" s="12"/>
    </row>
    <row r="636" spans="1:9">
      <c r="A636" s="620"/>
      <c r="B636" s="962"/>
      <c r="C636" s="54" t="s">
        <v>1227</v>
      </c>
      <c r="D636" s="189"/>
      <c r="E636" s="34"/>
      <c r="F636" s="28"/>
      <c r="G636" s="215"/>
      <c r="H636" s="649"/>
      <c r="I636" s="12"/>
    </row>
    <row r="637" spans="1:9">
      <c r="A637" s="620"/>
      <c r="B637" s="962"/>
      <c r="C637" s="54" t="s">
        <v>1041</v>
      </c>
      <c r="D637" s="189"/>
      <c r="E637" s="34"/>
      <c r="F637" s="28"/>
      <c r="G637" s="215"/>
      <c r="H637" s="649"/>
      <c r="I637" s="12"/>
    </row>
    <row r="638" spans="1:9" ht="25.8">
      <c r="A638" s="620"/>
      <c r="B638" s="962"/>
      <c r="C638" s="54" t="s">
        <v>699</v>
      </c>
      <c r="D638" s="189" t="s">
        <v>987</v>
      </c>
      <c r="E638" s="34">
        <v>11</v>
      </c>
      <c r="F638" s="28">
        <f>'Lead- Input sheet '!R26</f>
        <v>3209.0725256348192</v>
      </c>
      <c r="G638" s="215">
        <f>ROUND(E638*F638/10,2)</f>
        <v>3529.98</v>
      </c>
      <c r="H638" s="658"/>
      <c r="I638" s="12"/>
    </row>
    <row r="639" spans="1:9" s="3" customFormat="1">
      <c r="A639" s="620"/>
      <c r="B639" s="962"/>
      <c r="C639" s="54" t="s">
        <v>700</v>
      </c>
      <c r="D639" s="189" t="s">
        <v>1042</v>
      </c>
      <c r="E639" s="34">
        <v>21.6</v>
      </c>
      <c r="F639" s="28">
        <f>'Lead- Input sheet '!R8</f>
        <v>6656</v>
      </c>
      <c r="G639" s="215">
        <f>ROUND(E639*F639/1000,2)</f>
        <v>143.77000000000001</v>
      </c>
      <c r="H639" s="649"/>
      <c r="I639" s="12"/>
    </row>
    <row r="640" spans="1:9" s="3" customFormat="1">
      <c r="A640" s="620"/>
      <c r="B640" s="962"/>
      <c r="C640" s="54" t="s">
        <v>701</v>
      </c>
      <c r="D640" s="189" t="s">
        <v>1042</v>
      </c>
      <c r="E640" s="34">
        <v>33</v>
      </c>
      <c r="F640" s="28">
        <f>F639</f>
        <v>6656</v>
      </c>
      <c r="G640" s="215">
        <f>ROUND(E640*F640/1000,2)</f>
        <v>219.65</v>
      </c>
      <c r="H640" s="649"/>
      <c r="I640" s="12"/>
    </row>
    <row r="641" spans="1:9" s="3" customFormat="1">
      <c r="A641" s="620"/>
      <c r="B641" s="962"/>
      <c r="C641" s="54" t="s">
        <v>702</v>
      </c>
      <c r="D641" s="189" t="s">
        <v>1042</v>
      </c>
      <c r="E641" s="34">
        <v>20</v>
      </c>
      <c r="F641" s="28">
        <f>F640</f>
        <v>6656</v>
      </c>
      <c r="G641" s="215">
        <f>ROUND(E641*F641/1000,2)</f>
        <v>133.12</v>
      </c>
      <c r="H641" s="649"/>
      <c r="I641" s="12"/>
    </row>
    <row r="642" spans="1:9" s="3" customFormat="1">
      <c r="A642" s="620"/>
      <c r="B642" s="962"/>
      <c r="C642" s="54" t="s">
        <v>703</v>
      </c>
      <c r="D642" s="189" t="s">
        <v>1473</v>
      </c>
      <c r="E642" s="34">
        <v>0.12</v>
      </c>
      <c r="F642" s="28">
        <f>'Lead- Input sheet '!R11</f>
        <v>1239.6380759582803</v>
      </c>
      <c r="G642" s="215">
        <f>ROUND(E642*F642,2)</f>
        <v>148.76</v>
      </c>
      <c r="H642" s="649"/>
      <c r="I642" s="12"/>
    </row>
    <row r="643" spans="1:9">
      <c r="A643" s="620"/>
      <c r="B643" s="962"/>
      <c r="C643" s="54" t="s">
        <v>340</v>
      </c>
      <c r="D643" s="189"/>
      <c r="E643" s="34"/>
      <c r="F643" s="28"/>
      <c r="G643" s="215"/>
      <c r="H643" s="649"/>
      <c r="I643" s="12"/>
    </row>
    <row r="644" spans="1:9" ht="14.1">
      <c r="A644" s="620"/>
      <c r="B644" s="962"/>
      <c r="C644" s="54" t="s">
        <v>746</v>
      </c>
      <c r="D644" s="189" t="s">
        <v>1047</v>
      </c>
      <c r="E644" s="34">
        <v>3.1</v>
      </c>
      <c r="F644" s="28">
        <f>'Lead- Input sheet '!R31</f>
        <v>680</v>
      </c>
      <c r="G644" s="215">
        <f>ROUND(E644*F644,2)</f>
        <v>2108</v>
      </c>
      <c r="H644" s="649"/>
      <c r="I644" s="12"/>
    </row>
    <row r="645" spans="1:9" ht="14.1">
      <c r="A645" s="620"/>
      <c r="B645" s="962"/>
      <c r="C645" s="54" t="s">
        <v>747</v>
      </c>
      <c r="D645" s="189" t="s">
        <v>1047</v>
      </c>
      <c r="E645" s="34">
        <v>1.1000000000000001</v>
      </c>
      <c r="F645" s="28">
        <f>'Lead- Input sheet '!R30</f>
        <v>650</v>
      </c>
      <c r="G645" s="215">
        <f>ROUND(E645*F645,2)</f>
        <v>715</v>
      </c>
      <c r="H645" s="649"/>
      <c r="I645" s="12"/>
    </row>
    <row r="646" spans="1:9">
      <c r="A646" s="620"/>
      <c r="B646" s="962"/>
      <c r="C646" s="54" t="s">
        <v>341</v>
      </c>
      <c r="D646" s="189" t="s">
        <v>1047</v>
      </c>
      <c r="E646" s="34">
        <v>0.86</v>
      </c>
      <c r="F646" s="28">
        <f>'Lead- Input sheet '!R29</f>
        <v>605</v>
      </c>
      <c r="G646" s="215">
        <f>ROUND(E646*F646,2)</f>
        <v>520.29999999999995</v>
      </c>
      <c r="H646" s="648"/>
      <c r="I646" s="12"/>
    </row>
    <row r="647" spans="1:9" s="7" customFormat="1">
      <c r="A647" s="647"/>
      <c r="B647" s="907"/>
      <c r="C647" s="643" t="s">
        <v>896</v>
      </c>
      <c r="D647" s="644"/>
      <c r="E647" s="645">
        <f>'Lead- Input sheet '!Q31</f>
        <v>0</v>
      </c>
      <c r="F647" s="922">
        <f>SUM(G644:G646)</f>
        <v>3343.3</v>
      </c>
      <c r="G647" s="646">
        <f>ROUND(F647*E647,2)</f>
        <v>0</v>
      </c>
      <c r="H647" s="642"/>
      <c r="I647" s="12"/>
    </row>
    <row r="648" spans="1:9">
      <c r="A648" s="620"/>
      <c r="B648" s="962"/>
      <c r="C648" s="54" t="s">
        <v>1221</v>
      </c>
      <c r="D648" s="189"/>
      <c r="E648" s="34">
        <v>0.01</v>
      </c>
      <c r="F648" s="28">
        <f>SUM(G638:G647)</f>
        <v>7518.58</v>
      </c>
      <c r="G648" s="623">
        <f>ROUND(E648*F648,2)</f>
        <v>75.19</v>
      </c>
      <c r="H648" s="649"/>
      <c r="I648" s="12"/>
    </row>
    <row r="649" spans="1:9">
      <c r="A649" s="620"/>
      <c r="B649" s="962"/>
      <c r="C649" s="54"/>
      <c r="D649" s="189"/>
      <c r="E649" s="34"/>
      <c r="F649" s="28"/>
      <c r="G649" s="215">
        <f>SUM(G638:G648)</f>
        <v>7593.7699999999995</v>
      </c>
      <c r="H649" s="649"/>
      <c r="I649" s="12"/>
    </row>
    <row r="650" spans="1:9" s="6" customFormat="1">
      <c r="A650" s="45"/>
      <c r="B650" s="907"/>
      <c r="C650" s="55" t="s">
        <v>1231</v>
      </c>
      <c r="D650" s="190"/>
      <c r="E650" s="158"/>
      <c r="F650" s="923" t="s">
        <v>1486</v>
      </c>
      <c r="G650" s="619">
        <f>SUM(G649:G649)</f>
        <v>7593.7699999999995</v>
      </c>
      <c r="H650" s="651"/>
      <c r="I650" s="12"/>
    </row>
    <row r="651" spans="1:9" s="3" customFormat="1">
      <c r="A651" s="620"/>
      <c r="B651" s="962"/>
      <c r="C651" s="54"/>
      <c r="D651" s="189"/>
      <c r="E651" s="158" t="s">
        <v>1098</v>
      </c>
      <c r="F651" s="29" t="s">
        <v>1099</v>
      </c>
      <c r="G651" s="182" t="s">
        <v>1100</v>
      </c>
      <c r="H651" s="648"/>
      <c r="I651" s="12"/>
    </row>
    <row r="652" spans="1:9" s="3" customFormat="1">
      <c r="A652" s="620"/>
      <c r="B652" s="962"/>
      <c r="C652" s="54" t="s">
        <v>1101</v>
      </c>
      <c r="D652" s="189"/>
      <c r="E652" s="205">
        <f>G650</f>
        <v>7593.7699999999995</v>
      </c>
      <c r="F652" s="35">
        <f>G650</f>
        <v>7593.7699999999995</v>
      </c>
      <c r="G652" s="215">
        <f>G650</f>
        <v>7593.7699999999995</v>
      </c>
      <c r="H652" s="648"/>
      <c r="I652" s="12"/>
    </row>
    <row r="653" spans="1:9" s="3" customFormat="1">
      <c r="A653" s="620"/>
      <c r="B653" s="962"/>
      <c r="C653" s="54" t="s">
        <v>536</v>
      </c>
      <c r="D653" s="295"/>
      <c r="E653" s="31"/>
      <c r="F653" s="35">
        <f>SUM(G644:G647)*10%</f>
        <v>334.33000000000004</v>
      </c>
      <c r="G653" s="215">
        <f>F653*2</f>
        <v>668.66000000000008</v>
      </c>
      <c r="H653" s="649"/>
      <c r="I653" s="12"/>
    </row>
    <row r="654" spans="1:9" s="6" customFormat="1">
      <c r="A654" s="45"/>
      <c r="B654" s="907"/>
      <c r="C654" s="55" t="s">
        <v>1600</v>
      </c>
      <c r="D654" s="158">
        <f>'Lead- Input sheet '!Q32</f>
        <v>0</v>
      </c>
      <c r="E654" s="205">
        <f>ROUND(SUM(E652:E653)*D654,2)</f>
        <v>0</v>
      </c>
      <c r="F654" s="35">
        <f>ROUND(SUM(F652:F653)*D654,2)</f>
        <v>0</v>
      </c>
      <c r="G654" s="215">
        <f>ROUND(SUM(G652:G653)*D654,2)</f>
        <v>0</v>
      </c>
      <c r="H654" s="650"/>
      <c r="I654" s="12"/>
    </row>
    <row r="655" spans="1:9" s="655" customFormat="1">
      <c r="A655" s="665"/>
      <c r="B655" s="907"/>
      <c r="C655" s="666"/>
      <c r="D655" s="433"/>
      <c r="E655" s="671">
        <f>SUM(E652:E654)</f>
        <v>7593.7699999999995</v>
      </c>
      <c r="F655" s="936">
        <f>SUM(F652:F654)</f>
        <v>7928.0999999999995</v>
      </c>
      <c r="G655" s="641">
        <f>SUM(G652:G654)</f>
        <v>8262.43</v>
      </c>
      <c r="H655" s="651"/>
      <c r="I655" s="669"/>
    </row>
    <row r="656" spans="1:9" s="3" customFormat="1">
      <c r="A656" s="620"/>
      <c r="B656" s="962"/>
      <c r="C656" s="54" t="s">
        <v>904</v>
      </c>
      <c r="D656" s="34">
        <v>1.1000000000000001</v>
      </c>
      <c r="E656" s="105">
        <f>$D$656*'Lead- Input sheet '!$O$26</f>
        <v>0</v>
      </c>
      <c r="F656" s="105">
        <f>$D$656*'Lead- Input sheet '!$O$26</f>
        <v>0</v>
      </c>
      <c r="G656" s="974">
        <f>$D$656*'Lead- Input sheet '!$O$26</f>
        <v>0</v>
      </c>
      <c r="H656" s="649"/>
      <c r="I656" s="12"/>
    </row>
    <row r="657" spans="1:9" s="3" customFormat="1">
      <c r="A657" s="620"/>
      <c r="B657" s="962"/>
      <c r="C657" s="54" t="s">
        <v>900</v>
      </c>
      <c r="D657" s="34">
        <f>E642</f>
        <v>0.12</v>
      </c>
      <c r="E657" s="25">
        <f>$D$657*'Lead- Input sheet '!$O$11</f>
        <v>0</v>
      </c>
      <c r="F657" s="25">
        <f>$D$657*'Lead- Input sheet '!$O$11</f>
        <v>0</v>
      </c>
      <c r="G657" s="169">
        <f>$D$657*'Lead- Input sheet '!$O$11</f>
        <v>0</v>
      </c>
      <c r="H657" s="649"/>
      <c r="I657" s="12"/>
    </row>
    <row r="658" spans="1:9" s="3" customFormat="1">
      <c r="A658" s="620"/>
      <c r="B658" s="962"/>
      <c r="C658" s="666" t="s">
        <v>1231</v>
      </c>
      <c r="D658" s="291" t="s">
        <v>1486</v>
      </c>
      <c r="E658" s="810">
        <f>SUM(E655:E657)</f>
        <v>7593.7699999999995</v>
      </c>
      <c r="F658" s="938">
        <f>SUM(F655:F657)</f>
        <v>7928.0999999999995</v>
      </c>
      <c r="G658" s="209">
        <f>SUM(G655:G657)</f>
        <v>8262.43</v>
      </c>
      <c r="H658" s="649"/>
      <c r="I658" s="12"/>
    </row>
    <row r="659" spans="1:9" s="655" customFormat="1">
      <c r="A659" s="665"/>
      <c r="B659" s="907"/>
      <c r="C659" s="666"/>
      <c r="D659" s="433"/>
      <c r="E659" s="667"/>
      <c r="F659" s="931"/>
      <c r="G659" s="668"/>
      <c r="H659" s="651"/>
      <c r="I659" s="669"/>
    </row>
    <row r="660" spans="1:9" ht="123.75" customHeight="1">
      <c r="A660" s="617" t="s">
        <v>620</v>
      </c>
      <c r="B660" s="962">
        <v>29</v>
      </c>
      <c r="C660" s="54" t="s">
        <v>35</v>
      </c>
      <c r="D660" s="189"/>
      <c r="E660" s="34"/>
      <c r="F660" s="28"/>
      <c r="G660" s="215"/>
      <c r="H660" s="649"/>
      <c r="I660" s="12"/>
    </row>
    <row r="661" spans="1:9">
      <c r="A661" s="620"/>
      <c r="B661" s="962"/>
      <c r="C661" s="54" t="s">
        <v>1227</v>
      </c>
      <c r="D661" s="189"/>
      <c r="E661" s="34"/>
      <c r="F661" s="28"/>
      <c r="G661" s="215"/>
      <c r="H661" s="649"/>
      <c r="I661" s="12"/>
    </row>
    <row r="662" spans="1:9">
      <c r="A662" s="620"/>
      <c r="B662" s="962"/>
      <c r="C662" s="54" t="s">
        <v>1041</v>
      </c>
      <c r="D662" s="189"/>
      <c r="E662" s="34"/>
      <c r="F662" s="28"/>
      <c r="G662" s="215"/>
      <c r="H662" s="649"/>
      <c r="I662" s="12"/>
    </row>
    <row r="663" spans="1:9" ht="25.8">
      <c r="A663" s="620" t="s">
        <v>1636</v>
      </c>
      <c r="B663" s="962"/>
      <c r="C663" s="54" t="s">
        <v>1581</v>
      </c>
      <c r="D663" s="189" t="s">
        <v>987</v>
      </c>
      <c r="E663" s="34">
        <v>10.5</v>
      </c>
      <c r="F663" s="943">
        <v>950</v>
      </c>
      <c r="G663" s="215">
        <f>ROUND(E663*F663/10,2)</f>
        <v>997.5</v>
      </c>
      <c r="H663" s="649"/>
      <c r="I663" s="12"/>
    </row>
    <row r="664" spans="1:9" s="3" customFormat="1">
      <c r="A664" s="620"/>
      <c r="B664" s="962"/>
      <c r="C664" s="54" t="s">
        <v>700</v>
      </c>
      <c r="D664" s="189" t="s">
        <v>1042</v>
      </c>
      <c r="E664" s="34">
        <v>21.6</v>
      </c>
      <c r="F664" s="28">
        <f>'Lead- Input sheet '!R8</f>
        <v>6656</v>
      </c>
      <c r="G664" s="215">
        <f>ROUND(E664*F664/1000,2)</f>
        <v>143.77000000000001</v>
      </c>
      <c r="H664" s="649"/>
      <c r="I664" s="12"/>
    </row>
    <row r="665" spans="1:9" s="3" customFormat="1">
      <c r="A665" s="620"/>
      <c r="B665" s="962"/>
      <c r="C665" s="54" t="s">
        <v>704</v>
      </c>
      <c r="D665" s="189" t="s">
        <v>1042</v>
      </c>
      <c r="E665" s="34">
        <v>9.6</v>
      </c>
      <c r="F665" s="28">
        <f>'Lead- Input sheet '!R8</f>
        <v>6656</v>
      </c>
      <c r="G665" s="215">
        <f>ROUND(E665*F665/1000,2)</f>
        <v>63.9</v>
      </c>
      <c r="H665" s="649"/>
      <c r="I665" s="12"/>
    </row>
    <row r="666" spans="1:9">
      <c r="A666" s="620"/>
      <c r="B666" s="962"/>
      <c r="C666" s="54" t="s">
        <v>703</v>
      </c>
      <c r="D666" s="189" t="s">
        <v>1473</v>
      </c>
      <c r="E666" s="34">
        <v>0.12</v>
      </c>
      <c r="F666" s="28">
        <f>'Lead- Input sheet '!R11</f>
        <v>1239.6380759582803</v>
      </c>
      <c r="G666" s="215">
        <f>ROUND(E666*F666,2)</f>
        <v>148.76</v>
      </c>
      <c r="H666" s="649"/>
      <c r="I666" s="12"/>
    </row>
    <row r="667" spans="1:9">
      <c r="A667" s="620"/>
      <c r="B667" s="962"/>
      <c r="C667" s="54" t="s">
        <v>705</v>
      </c>
      <c r="D667" s="189" t="s">
        <v>1473</v>
      </c>
      <c r="E667" s="34">
        <v>0.02</v>
      </c>
      <c r="F667" s="28">
        <f>'Lead- Input sheet '!R11</f>
        <v>1239.6380759582803</v>
      </c>
      <c r="G667" s="215">
        <f>ROUND(E667*F667,2)</f>
        <v>24.79</v>
      </c>
      <c r="H667" s="649"/>
      <c r="I667" s="12"/>
    </row>
    <row r="668" spans="1:9">
      <c r="A668" s="620"/>
      <c r="B668" s="962"/>
      <c r="C668" s="54" t="s">
        <v>340</v>
      </c>
      <c r="D668" s="189"/>
      <c r="E668" s="34"/>
      <c r="F668" s="28"/>
      <c r="G668" s="215"/>
      <c r="H668" s="649"/>
      <c r="I668" s="12"/>
    </row>
    <row r="669" spans="1:9" ht="14.1">
      <c r="A669" s="620"/>
      <c r="B669" s="962"/>
      <c r="C669" s="54" t="s">
        <v>746</v>
      </c>
      <c r="D669" s="189" t="s">
        <v>1047</v>
      </c>
      <c r="E669" s="34">
        <v>0.96</v>
      </c>
      <c r="F669" s="28">
        <f>'Lead- Input sheet '!R31</f>
        <v>680</v>
      </c>
      <c r="G669" s="215">
        <f>ROUND(E669*F669,2)</f>
        <v>652.79999999999995</v>
      </c>
      <c r="H669" s="649"/>
      <c r="I669" s="12"/>
    </row>
    <row r="670" spans="1:9" ht="14.1">
      <c r="A670" s="620"/>
      <c r="B670" s="962"/>
      <c r="C670" s="54" t="s">
        <v>747</v>
      </c>
      <c r="D670" s="189" t="s">
        <v>1047</v>
      </c>
      <c r="E670" s="34">
        <v>2.2400000000000002</v>
      </c>
      <c r="F670" s="28">
        <f>'Lead- Input sheet '!R30</f>
        <v>650</v>
      </c>
      <c r="G670" s="215">
        <f>ROUND(E670*F670,2)</f>
        <v>1456</v>
      </c>
      <c r="H670" s="649"/>
      <c r="I670" s="12"/>
    </row>
    <row r="671" spans="1:9">
      <c r="A671" s="620"/>
      <c r="B671" s="962"/>
      <c r="C671" s="54" t="s">
        <v>341</v>
      </c>
      <c r="D671" s="189" t="s">
        <v>1047</v>
      </c>
      <c r="E671" s="34">
        <v>3.3</v>
      </c>
      <c r="F671" s="28">
        <f>'Lead- Input sheet '!R29</f>
        <v>605</v>
      </c>
      <c r="G671" s="215">
        <f>ROUND(E671*F671,2)</f>
        <v>1996.5</v>
      </c>
      <c r="H671" s="648"/>
      <c r="I671" s="12"/>
    </row>
    <row r="672" spans="1:9" s="7" customFormat="1">
      <c r="A672" s="647"/>
      <c r="B672" s="907"/>
      <c r="C672" s="643" t="s">
        <v>896</v>
      </c>
      <c r="D672" s="644"/>
      <c r="E672" s="645">
        <f>'Lead- Input sheet '!Q31</f>
        <v>0</v>
      </c>
      <c r="F672" s="922">
        <f>SUM(G669:G671)</f>
        <v>4105.3</v>
      </c>
      <c r="G672" s="646">
        <f>ROUND(F672*E672,2)</f>
        <v>0</v>
      </c>
      <c r="H672" s="642"/>
      <c r="I672" s="12"/>
    </row>
    <row r="673" spans="1:9">
      <c r="A673" s="620"/>
      <c r="B673" s="962"/>
      <c r="C673" s="54" t="s">
        <v>1221</v>
      </c>
      <c r="D673" s="189"/>
      <c r="E673" s="34">
        <v>0.01</v>
      </c>
      <c r="F673" s="28">
        <f>SUM(G663:G671)</f>
        <v>5484.02</v>
      </c>
      <c r="G673" s="215">
        <f>ROUND(E673*F673,2)</f>
        <v>54.84</v>
      </c>
      <c r="H673" s="649"/>
      <c r="I673" s="12"/>
    </row>
    <row r="674" spans="1:9" s="57" customFormat="1">
      <c r="A674" s="617"/>
      <c r="B674" s="962"/>
      <c r="C674" s="55" t="s">
        <v>522</v>
      </c>
      <c r="D674" s="190"/>
      <c r="E674" s="158"/>
      <c r="F674" s="29"/>
      <c r="G674" s="182">
        <f>SUM(G663:G673)</f>
        <v>5538.8600000000006</v>
      </c>
      <c r="H674" s="656"/>
      <c r="I674" s="12"/>
    </row>
    <row r="675" spans="1:9" s="6" customFormat="1">
      <c r="A675" s="45"/>
      <c r="B675" s="907"/>
      <c r="C675" s="55" t="s">
        <v>1600</v>
      </c>
      <c r="D675" s="190"/>
      <c r="E675" s="158">
        <f>G674</f>
        <v>5538.8600000000006</v>
      </c>
      <c r="F675" s="942">
        <f>'Lead- Input sheet '!Q32</f>
        <v>0</v>
      </c>
      <c r="G675" s="182">
        <f>ROUND(F675*E675,2)</f>
        <v>0</v>
      </c>
      <c r="H675" s="650"/>
      <c r="I675" s="12"/>
    </row>
    <row r="676" spans="1:9" s="6" customFormat="1">
      <c r="A676" s="45"/>
      <c r="B676" s="907"/>
      <c r="C676" s="55"/>
      <c r="D676" s="190"/>
      <c r="E676" s="158"/>
      <c r="F676" s="923" t="s">
        <v>1486</v>
      </c>
      <c r="G676" s="619">
        <f>SUM(G674:G675)</f>
        <v>5538.8600000000006</v>
      </c>
      <c r="H676" s="650"/>
      <c r="I676" s="12"/>
    </row>
    <row r="677" spans="1:9" s="3" customFormat="1">
      <c r="A677" s="620"/>
      <c r="B677" s="962"/>
      <c r="C677" s="54" t="s">
        <v>904</v>
      </c>
      <c r="D677" s="25" t="s">
        <v>1478</v>
      </c>
      <c r="E677" s="34">
        <f>E663</f>
        <v>10.5</v>
      </c>
      <c r="F677" s="937">
        <f>'Lead- Input sheet '!O26</f>
        <v>0</v>
      </c>
      <c r="G677" s="215">
        <f>ROUND(E677*F677,2)</f>
        <v>0</v>
      </c>
      <c r="H677" s="649"/>
      <c r="I677" s="12"/>
    </row>
    <row r="678" spans="1:9" s="3" customFormat="1">
      <c r="A678" s="620"/>
      <c r="B678" s="962"/>
      <c r="C678" s="54" t="s">
        <v>900</v>
      </c>
      <c r="D678" s="25" t="s">
        <v>525</v>
      </c>
      <c r="E678" s="34">
        <f>E667+E666</f>
        <v>0.13999999999999999</v>
      </c>
      <c r="F678" s="937">
        <f>'Lead- Input sheet '!O11</f>
        <v>0</v>
      </c>
      <c r="G678" s="215">
        <f>ROUND(E678*F678,2)</f>
        <v>0</v>
      </c>
      <c r="H678" s="649"/>
      <c r="I678" s="12"/>
    </row>
    <row r="679" spans="1:9" s="3" customFormat="1">
      <c r="A679" s="620"/>
      <c r="B679" s="962"/>
      <c r="C679" s="666" t="s">
        <v>1231</v>
      </c>
      <c r="D679" s="34"/>
      <c r="E679" s="677"/>
      <c r="F679" s="923" t="s">
        <v>1486</v>
      </c>
      <c r="G679" s="209">
        <f>SUM(G676:G678)</f>
        <v>5538.8600000000006</v>
      </c>
      <c r="H679" s="649"/>
      <c r="I679" s="12"/>
    </row>
    <row r="680" spans="1:9" ht="125.25" customHeight="1">
      <c r="A680" s="617" t="s">
        <v>621</v>
      </c>
      <c r="B680" s="962">
        <v>30</v>
      </c>
      <c r="C680" s="54" t="s">
        <v>373</v>
      </c>
      <c r="D680" s="189"/>
      <c r="E680" s="34"/>
      <c r="F680" s="28"/>
      <c r="G680" s="215"/>
      <c r="H680" s="649"/>
      <c r="I680" s="12"/>
    </row>
    <row r="681" spans="1:9">
      <c r="A681" s="620"/>
      <c r="B681" s="962"/>
      <c r="C681" s="54" t="s">
        <v>1227</v>
      </c>
      <c r="D681" s="189"/>
      <c r="E681" s="34"/>
      <c r="F681" s="28"/>
      <c r="G681" s="215"/>
      <c r="H681" s="649"/>
      <c r="I681" s="12"/>
    </row>
    <row r="682" spans="1:9">
      <c r="A682" s="620"/>
      <c r="B682" s="962"/>
      <c r="C682" s="54" t="s">
        <v>1041</v>
      </c>
      <c r="D682" s="189"/>
      <c r="E682" s="34"/>
      <c r="F682" s="28"/>
      <c r="G682" s="215"/>
      <c r="H682" s="649"/>
      <c r="I682" s="12"/>
    </row>
    <row r="683" spans="1:9">
      <c r="A683" s="620" t="s">
        <v>1608</v>
      </c>
      <c r="B683" s="962"/>
      <c r="C683" s="54" t="s">
        <v>1637</v>
      </c>
      <c r="D683" s="189" t="s">
        <v>987</v>
      </c>
      <c r="E683" s="34">
        <v>10.5</v>
      </c>
      <c r="F683" s="28">
        <v>409</v>
      </c>
      <c r="G683" s="215">
        <f>ROUND(E683*F683,2)</f>
        <v>4294.5</v>
      </c>
      <c r="H683" s="649"/>
      <c r="I683" s="12"/>
    </row>
    <row r="684" spans="1:9">
      <c r="A684" s="620"/>
      <c r="B684" s="962"/>
      <c r="C684" s="54" t="s">
        <v>991</v>
      </c>
      <c r="D684" s="189" t="s">
        <v>1042</v>
      </c>
      <c r="E684" s="34">
        <v>21.6</v>
      </c>
      <c r="F684" s="28">
        <f>'Lead- Input sheet '!R8</f>
        <v>6656</v>
      </c>
      <c r="G684" s="215">
        <f>ROUND(E684*F684/1000,2)</f>
        <v>143.77000000000001</v>
      </c>
      <c r="H684" s="649"/>
      <c r="I684" s="12"/>
    </row>
    <row r="685" spans="1:9">
      <c r="A685" s="620"/>
      <c r="B685" s="962"/>
      <c r="C685" s="54" t="s">
        <v>701</v>
      </c>
      <c r="D685" s="189" t="s">
        <v>1042</v>
      </c>
      <c r="E685" s="34">
        <v>33</v>
      </c>
      <c r="F685" s="28">
        <f>'Lead- Input sheet '!R8</f>
        <v>6656</v>
      </c>
      <c r="G685" s="215">
        <f>ROUND(E685*F685/1000,2)</f>
        <v>219.65</v>
      </c>
      <c r="H685" s="649"/>
      <c r="I685" s="12"/>
    </row>
    <row r="686" spans="1:9">
      <c r="A686" s="620" t="s">
        <v>1609</v>
      </c>
      <c r="B686" s="962"/>
      <c r="C686" s="54" t="s">
        <v>905</v>
      </c>
      <c r="D686" s="189" t="s">
        <v>1042</v>
      </c>
      <c r="E686" s="34">
        <v>2</v>
      </c>
      <c r="F686" s="28">
        <v>29</v>
      </c>
      <c r="G686" s="215">
        <f>ROUND(E686*F686,2)</f>
        <v>58</v>
      </c>
      <c r="H686" s="649"/>
      <c r="I686" s="12"/>
    </row>
    <row r="687" spans="1:9">
      <c r="A687" s="620"/>
      <c r="B687" s="962"/>
      <c r="C687" s="54" t="s">
        <v>990</v>
      </c>
      <c r="D687" s="189" t="s">
        <v>1473</v>
      </c>
      <c r="E687" s="34">
        <v>0.12</v>
      </c>
      <c r="F687" s="28">
        <f>'Lead- Input sheet '!R11</f>
        <v>1239.6380759582803</v>
      </c>
      <c r="G687" s="215">
        <f>ROUND(E687*F687,2)</f>
        <v>148.76</v>
      </c>
      <c r="H687" s="649"/>
      <c r="I687" s="12"/>
    </row>
    <row r="688" spans="1:9">
      <c r="A688" s="620"/>
      <c r="B688" s="962"/>
      <c r="C688" s="54" t="s">
        <v>653</v>
      </c>
      <c r="D688" s="189"/>
      <c r="E688" s="34"/>
      <c r="F688" s="28"/>
      <c r="G688" s="215"/>
      <c r="H688" s="649"/>
      <c r="I688" s="12"/>
    </row>
    <row r="689" spans="1:9" ht="14.1">
      <c r="A689" s="620"/>
      <c r="B689" s="962"/>
      <c r="C689" s="54" t="s">
        <v>746</v>
      </c>
      <c r="D689" s="189" t="s">
        <v>1047</v>
      </c>
      <c r="E689" s="34">
        <v>0.96</v>
      </c>
      <c r="F689" s="28">
        <f>'Lead- Input sheet '!R31</f>
        <v>680</v>
      </c>
      <c r="G689" s="215">
        <f>ROUND(E689*F689,2)</f>
        <v>652.79999999999995</v>
      </c>
      <c r="H689" s="649"/>
      <c r="I689" s="12"/>
    </row>
    <row r="690" spans="1:9" ht="14.1">
      <c r="A690" s="620"/>
      <c r="B690" s="962"/>
      <c r="C690" s="54" t="s">
        <v>747</v>
      </c>
      <c r="D690" s="189" t="s">
        <v>1047</v>
      </c>
      <c r="E690" s="34">
        <v>2.2400000000000002</v>
      </c>
      <c r="F690" s="28">
        <f>'Lead- Input sheet '!R30</f>
        <v>650</v>
      </c>
      <c r="G690" s="215">
        <f>ROUND(E690*F690,2)</f>
        <v>1456</v>
      </c>
      <c r="H690" s="649"/>
      <c r="I690" s="12"/>
    </row>
    <row r="691" spans="1:9">
      <c r="A691" s="620"/>
      <c r="B691" s="962"/>
      <c r="C691" s="54" t="s">
        <v>706</v>
      </c>
      <c r="D691" s="189" t="s">
        <v>1047</v>
      </c>
      <c r="E691" s="34">
        <v>3.3</v>
      </c>
      <c r="F691" s="28">
        <f>'Lead- Input sheet '!R29</f>
        <v>605</v>
      </c>
      <c r="G691" s="215">
        <f>ROUND(E691*F691,2)</f>
        <v>1996.5</v>
      </c>
      <c r="H691" s="648"/>
      <c r="I691" s="12"/>
    </row>
    <row r="692" spans="1:9" s="7" customFormat="1">
      <c r="A692" s="647"/>
      <c r="B692" s="907"/>
      <c r="C692" s="643" t="s">
        <v>896</v>
      </c>
      <c r="D692" s="644"/>
      <c r="E692" s="645">
        <f>'Lead- Input sheet '!Q31</f>
        <v>0</v>
      </c>
      <c r="F692" s="922">
        <f>SUM(G689:G691)</f>
        <v>4105.3</v>
      </c>
      <c r="G692" s="646">
        <f>ROUND(F692*E692,2)</f>
        <v>0</v>
      </c>
      <c r="H692" s="642"/>
      <c r="I692" s="12"/>
    </row>
    <row r="693" spans="1:9" s="3" customFormat="1">
      <c r="A693" s="620"/>
      <c r="B693" s="962"/>
      <c r="C693" s="54" t="s">
        <v>1221</v>
      </c>
      <c r="D693" s="189"/>
      <c r="E693" s="34">
        <v>0.01</v>
      </c>
      <c r="F693" s="28">
        <f>SUM(G683:G692)</f>
        <v>8969.98</v>
      </c>
      <c r="G693" s="215">
        <f>E693*F693</f>
        <v>89.699799999999996</v>
      </c>
      <c r="H693" s="649"/>
      <c r="I693" s="12"/>
    </row>
    <row r="694" spans="1:9" s="57" customFormat="1">
      <c r="A694" s="617"/>
      <c r="B694" s="962"/>
      <c r="C694" s="55" t="s">
        <v>1048</v>
      </c>
      <c r="D694" s="190"/>
      <c r="E694" s="158"/>
      <c r="F694" s="29"/>
      <c r="G694" s="182">
        <f>SUM(G683:G693)</f>
        <v>9059.6797999999999</v>
      </c>
      <c r="H694" s="656"/>
      <c r="I694" s="12"/>
    </row>
    <row r="695" spans="1:9" s="6" customFormat="1">
      <c r="A695" s="45"/>
      <c r="B695" s="907"/>
      <c r="C695" s="55" t="s">
        <v>1600</v>
      </c>
      <c r="D695" s="190"/>
      <c r="E695" s="158">
        <f>G694</f>
        <v>9059.6797999999999</v>
      </c>
      <c r="F695" s="29">
        <f>'Lead- Input sheet '!Q32</f>
        <v>0</v>
      </c>
      <c r="G695" s="182">
        <f>ROUND(F695*E695,2)</f>
        <v>0</v>
      </c>
      <c r="H695" s="650"/>
      <c r="I695" s="12"/>
    </row>
    <row r="696" spans="1:9" s="6" customFormat="1">
      <c r="A696" s="45"/>
      <c r="B696" s="907"/>
      <c r="C696" s="55"/>
      <c r="D696" s="190"/>
      <c r="E696" s="158"/>
      <c r="F696" s="923" t="s">
        <v>1486</v>
      </c>
      <c r="G696" s="619">
        <f>SUM(G694:G695)</f>
        <v>9059.6797999999999</v>
      </c>
      <c r="H696" s="648"/>
      <c r="I696" s="12"/>
    </row>
    <row r="697" spans="1:9" s="3" customFormat="1">
      <c r="A697" s="620"/>
      <c r="B697" s="962"/>
      <c r="C697" s="54" t="s">
        <v>900</v>
      </c>
      <c r="D697" s="25" t="s">
        <v>525</v>
      </c>
      <c r="E697" s="34">
        <f>E687</f>
        <v>0.12</v>
      </c>
      <c r="F697" s="937">
        <f>'Lead- Input sheet '!O11</f>
        <v>0</v>
      </c>
      <c r="G697" s="215">
        <f>ROUND(E697*F697,2)</f>
        <v>0</v>
      </c>
      <c r="H697" s="649"/>
      <c r="I697" s="12"/>
    </row>
    <row r="698" spans="1:9" s="3" customFormat="1">
      <c r="A698" s="620"/>
      <c r="B698" s="962"/>
      <c r="C698" s="666" t="s">
        <v>1231</v>
      </c>
      <c r="D698" s="34"/>
      <c r="E698" s="677"/>
      <c r="F698" s="923" t="s">
        <v>1486</v>
      </c>
      <c r="G698" s="209">
        <f>SUM(G696:G697)</f>
        <v>9059.6797999999999</v>
      </c>
      <c r="H698" s="649"/>
      <c r="I698" s="12"/>
    </row>
    <row r="699" spans="1:9" ht="135.75" customHeight="1">
      <c r="A699" s="617" t="s">
        <v>622</v>
      </c>
      <c r="B699" s="961">
        <v>31</v>
      </c>
      <c r="C699" s="54" t="s">
        <v>36</v>
      </c>
      <c r="D699" s="189"/>
      <c r="E699" s="34"/>
      <c r="F699" s="28"/>
      <c r="G699" s="215"/>
      <c r="H699" s="649"/>
      <c r="I699" s="12"/>
    </row>
    <row r="700" spans="1:9">
      <c r="A700" s="620"/>
      <c r="B700" s="961"/>
      <c r="C700" s="643" t="s">
        <v>1060</v>
      </c>
      <c r="D700" s="189"/>
      <c r="E700" s="34"/>
      <c r="F700" s="28"/>
      <c r="G700" s="215"/>
      <c r="H700" s="649"/>
      <c r="I700" s="12"/>
    </row>
    <row r="701" spans="1:9">
      <c r="A701" s="620"/>
      <c r="B701" s="961"/>
      <c r="C701" s="54" t="s">
        <v>1041</v>
      </c>
      <c r="D701" s="189"/>
      <c r="E701" s="34"/>
      <c r="F701" s="28"/>
      <c r="G701" s="215"/>
      <c r="H701" s="649"/>
      <c r="I701" s="12"/>
    </row>
    <row r="702" spans="1:9">
      <c r="A702" s="624" t="s">
        <v>1610</v>
      </c>
      <c r="B702" s="961"/>
      <c r="C702" s="24" t="s">
        <v>1638</v>
      </c>
      <c r="D702" s="189" t="s">
        <v>987</v>
      </c>
      <c r="E702" s="34">
        <v>10.5</v>
      </c>
      <c r="F702" s="28">
        <v>599</v>
      </c>
      <c r="G702" s="215">
        <f>ROUND(E702*F702,2)</f>
        <v>6289.5</v>
      </c>
      <c r="H702" s="649"/>
      <c r="I702" s="12"/>
    </row>
    <row r="703" spans="1:9">
      <c r="A703" s="620"/>
      <c r="B703" s="961"/>
      <c r="C703" s="54" t="s">
        <v>624</v>
      </c>
      <c r="D703" s="189" t="s">
        <v>1473</v>
      </c>
      <c r="E703" s="34">
        <v>0.12</v>
      </c>
      <c r="F703" s="28">
        <f>'Lead- Input sheet '!R11</f>
        <v>1239.6380759582803</v>
      </c>
      <c r="G703" s="215">
        <f>ROUND(E703*F703,2)</f>
        <v>148.76</v>
      </c>
      <c r="H703" s="649"/>
      <c r="I703" s="12"/>
    </row>
    <row r="704" spans="1:9">
      <c r="A704" s="620"/>
      <c r="B704" s="961"/>
      <c r="C704" s="54" t="s">
        <v>625</v>
      </c>
      <c r="D704" s="189" t="s">
        <v>1217</v>
      </c>
      <c r="E704" s="34">
        <v>57.6</v>
      </c>
      <c r="F704" s="28">
        <f>'Lead- Input sheet '!R8</f>
        <v>6656</v>
      </c>
      <c r="G704" s="215">
        <f>ROUND(E704*F704/1000,2)</f>
        <v>383.39</v>
      </c>
      <c r="H704" s="649"/>
      <c r="I704" s="12"/>
    </row>
    <row r="705" spans="1:9">
      <c r="A705" s="620"/>
      <c r="B705" s="961"/>
      <c r="C705" s="54" t="s">
        <v>484</v>
      </c>
      <c r="D705" s="189" t="s">
        <v>1217</v>
      </c>
      <c r="E705" s="34">
        <v>33</v>
      </c>
      <c r="F705" s="28">
        <f>'Lead- Input sheet '!R8</f>
        <v>6656</v>
      </c>
      <c r="G705" s="215">
        <f>ROUND(E705*F705/1000,2)</f>
        <v>219.65</v>
      </c>
      <c r="H705" s="649"/>
      <c r="I705" s="12"/>
    </row>
    <row r="706" spans="1:9">
      <c r="A706" s="620"/>
      <c r="B706" s="961"/>
      <c r="C706" s="54" t="s">
        <v>992</v>
      </c>
      <c r="D706" s="189" t="s">
        <v>1217</v>
      </c>
      <c r="E706" s="34">
        <v>6</v>
      </c>
      <c r="F706" s="28">
        <f>F686</f>
        <v>29</v>
      </c>
      <c r="G706" s="215">
        <f>ROUND(E706*F706,2)</f>
        <v>174</v>
      </c>
      <c r="H706" s="649"/>
      <c r="I706" s="12"/>
    </row>
    <row r="707" spans="1:9">
      <c r="A707" s="620"/>
      <c r="B707" s="961"/>
      <c r="C707" s="54" t="s">
        <v>653</v>
      </c>
      <c r="D707" s="189"/>
      <c r="E707" s="34"/>
      <c r="F707" s="28"/>
      <c r="G707" s="215"/>
      <c r="H707" s="649"/>
      <c r="I707" s="12"/>
    </row>
    <row r="708" spans="1:9" ht="14.1">
      <c r="A708" s="620"/>
      <c r="B708" s="961"/>
      <c r="C708" s="54" t="s">
        <v>746</v>
      </c>
      <c r="D708" s="189" t="s">
        <v>1047</v>
      </c>
      <c r="E708" s="34">
        <v>0.9</v>
      </c>
      <c r="F708" s="28">
        <f>'Lead- Input sheet '!R31</f>
        <v>680</v>
      </c>
      <c r="G708" s="215">
        <f>ROUND(E708*F708,2)</f>
        <v>612</v>
      </c>
      <c r="H708" s="649"/>
      <c r="I708" s="12"/>
    </row>
    <row r="709" spans="1:9">
      <c r="A709" s="620"/>
      <c r="B709" s="961"/>
      <c r="C709" s="54" t="s">
        <v>706</v>
      </c>
      <c r="D709" s="189" t="s">
        <v>1047</v>
      </c>
      <c r="E709" s="34">
        <v>0.8</v>
      </c>
      <c r="F709" s="28">
        <f>'Lead- Input sheet '!R29</f>
        <v>605</v>
      </c>
      <c r="G709" s="215">
        <f>ROUND(E709*F709,2)</f>
        <v>484</v>
      </c>
      <c r="H709" s="648"/>
      <c r="I709" s="12"/>
    </row>
    <row r="710" spans="1:9" s="7" customFormat="1">
      <c r="A710" s="647"/>
      <c r="B710" s="917"/>
      <c r="C710" s="643" t="s">
        <v>896</v>
      </c>
      <c r="D710" s="644"/>
      <c r="E710" s="645">
        <f>'Lead- Input sheet '!Q31</f>
        <v>0</v>
      </c>
      <c r="F710" s="922">
        <f>SUM(G708:G709)</f>
        <v>1096</v>
      </c>
      <c r="G710" s="646">
        <f>ROUND(F710*E710,2)</f>
        <v>0</v>
      </c>
      <c r="H710" s="642"/>
      <c r="I710" s="12"/>
    </row>
    <row r="711" spans="1:9" s="57" customFormat="1">
      <c r="A711" s="617"/>
      <c r="B711" s="961"/>
      <c r="C711" s="55" t="s">
        <v>1048</v>
      </c>
      <c r="D711" s="190"/>
      <c r="E711" s="158"/>
      <c r="F711" s="29"/>
      <c r="G711" s="182">
        <f>SUM(G702:G710)</f>
        <v>8311.2999999999993</v>
      </c>
      <c r="H711" s="656"/>
      <c r="I711" s="12"/>
    </row>
    <row r="712" spans="1:9" s="6" customFormat="1">
      <c r="A712" s="45"/>
      <c r="B712" s="917"/>
      <c r="C712" s="55" t="s">
        <v>1600</v>
      </c>
      <c r="D712" s="190"/>
      <c r="E712" s="158">
        <f>G711</f>
        <v>8311.2999999999993</v>
      </c>
      <c r="F712" s="940">
        <f>'Lead- Input sheet '!Q32</f>
        <v>0</v>
      </c>
      <c r="G712" s="182">
        <f>ROUND(F712*E712,2)</f>
        <v>0</v>
      </c>
      <c r="H712" s="650"/>
      <c r="I712" s="12"/>
    </row>
    <row r="713" spans="1:9" s="6" customFormat="1">
      <c r="A713" s="45"/>
      <c r="B713" s="917"/>
      <c r="C713" s="55"/>
      <c r="D713" s="190"/>
      <c r="E713" s="158"/>
      <c r="F713" s="923" t="s">
        <v>1486</v>
      </c>
      <c r="G713" s="619">
        <f>SUM(G711:G712)</f>
        <v>8311.2999999999993</v>
      </c>
      <c r="H713" s="648"/>
      <c r="I713" s="12"/>
    </row>
    <row r="714" spans="1:9" s="3" customFormat="1">
      <c r="A714" s="620"/>
      <c r="B714" s="961"/>
      <c r="C714" s="54" t="s">
        <v>900</v>
      </c>
      <c r="D714" s="25" t="s">
        <v>525</v>
      </c>
      <c r="E714" s="34">
        <f>E703</f>
        <v>0.12</v>
      </c>
      <c r="F714" s="937">
        <f>'Lead- Input sheet '!O11</f>
        <v>0</v>
      </c>
      <c r="G714" s="215">
        <f>ROUND(E714*F714,2)</f>
        <v>0</v>
      </c>
      <c r="H714" s="649"/>
      <c r="I714" s="12"/>
    </row>
    <row r="715" spans="1:9" s="3" customFormat="1">
      <c r="A715" s="620"/>
      <c r="B715" s="961"/>
      <c r="C715" s="666" t="s">
        <v>1231</v>
      </c>
      <c r="D715" s="34"/>
      <c r="E715" s="677"/>
      <c r="F715" s="923" t="s">
        <v>1486</v>
      </c>
      <c r="G715" s="209">
        <f>SUM(G713:G714)</f>
        <v>8311.2999999999993</v>
      </c>
      <c r="H715" s="649"/>
      <c r="I715" s="12"/>
    </row>
    <row r="716" spans="1:9" ht="135.75" customHeight="1">
      <c r="A716" s="617" t="s">
        <v>623</v>
      </c>
      <c r="B716" s="962">
        <v>32</v>
      </c>
      <c r="C716" s="54" t="s">
        <v>359</v>
      </c>
      <c r="D716" s="189"/>
      <c r="E716" s="34"/>
      <c r="F716" s="28"/>
      <c r="G716" s="215"/>
      <c r="H716" s="649"/>
      <c r="I716" s="12"/>
    </row>
    <row r="717" spans="1:9">
      <c r="A717" s="620"/>
      <c r="B717" s="962"/>
      <c r="C717" s="54" t="s">
        <v>1227</v>
      </c>
      <c r="D717" s="189"/>
      <c r="E717" s="34"/>
      <c r="F717" s="28"/>
      <c r="G717" s="215"/>
      <c r="H717" s="649"/>
      <c r="I717" s="12"/>
    </row>
    <row r="718" spans="1:9">
      <c r="A718" s="620"/>
      <c r="B718" s="962"/>
      <c r="C718" s="54" t="s">
        <v>1041</v>
      </c>
      <c r="D718" s="189"/>
      <c r="E718" s="34"/>
      <c r="F718" s="28"/>
      <c r="G718" s="215"/>
      <c r="H718" s="649"/>
      <c r="I718" s="12"/>
    </row>
    <row r="719" spans="1:9">
      <c r="A719" s="620"/>
      <c r="B719" s="962"/>
      <c r="C719" s="54" t="s">
        <v>1582</v>
      </c>
      <c r="D719" s="189" t="s">
        <v>987</v>
      </c>
      <c r="E719" s="34">
        <v>11</v>
      </c>
      <c r="F719" s="28">
        <f>'Lead- Input sheet '!R26</f>
        <v>3209.0725256348192</v>
      </c>
      <c r="G719" s="215">
        <f>ROUND(E719*F719/10,2)</f>
        <v>3529.98</v>
      </c>
      <c r="H719" s="649"/>
      <c r="I719" s="12"/>
    </row>
    <row r="720" spans="1:9">
      <c r="A720" s="620"/>
      <c r="B720" s="962"/>
      <c r="C720" s="54" t="s">
        <v>624</v>
      </c>
      <c r="D720" s="189" t="s">
        <v>1473</v>
      </c>
      <c r="E720" s="34">
        <v>0.12</v>
      </c>
      <c r="F720" s="28">
        <f>'Lead- Input sheet '!R11</f>
        <v>1239.6380759582803</v>
      </c>
      <c r="G720" s="215">
        <f>ROUND(E720*F720,2)</f>
        <v>148.76</v>
      </c>
      <c r="H720" s="649"/>
      <c r="I720" s="12"/>
    </row>
    <row r="721" spans="1:9">
      <c r="A721" s="620"/>
      <c r="B721" s="962"/>
      <c r="C721" s="54" t="s">
        <v>625</v>
      </c>
      <c r="D721" s="189" t="s">
        <v>1217</v>
      </c>
      <c r="E721" s="34">
        <v>57.6</v>
      </c>
      <c r="F721" s="28">
        <f>'Lead- Input sheet '!R8</f>
        <v>6656</v>
      </c>
      <c r="G721" s="215">
        <f>ROUND(F721/1000*E721,2)</f>
        <v>383.39</v>
      </c>
      <c r="H721" s="649"/>
      <c r="I721" s="12"/>
    </row>
    <row r="722" spans="1:9">
      <c r="A722" s="620"/>
      <c r="B722" s="962"/>
      <c r="C722" s="54" t="s">
        <v>484</v>
      </c>
      <c r="D722" s="189" t="s">
        <v>1217</v>
      </c>
      <c r="E722" s="34">
        <v>33</v>
      </c>
      <c r="F722" s="28">
        <f>'Lead- Input sheet '!R8</f>
        <v>6656</v>
      </c>
      <c r="G722" s="215">
        <f>ROUND(F722/1000*E722,2)</f>
        <v>219.65</v>
      </c>
      <c r="H722" s="649"/>
      <c r="I722" s="12"/>
    </row>
    <row r="723" spans="1:9">
      <c r="A723" s="620"/>
      <c r="B723" s="962"/>
      <c r="C723" s="54" t="s">
        <v>653</v>
      </c>
      <c r="D723" s="189"/>
      <c r="E723" s="34"/>
      <c r="F723" s="28"/>
      <c r="G723" s="215"/>
      <c r="H723" s="649"/>
      <c r="I723" s="12"/>
    </row>
    <row r="724" spans="1:9">
      <c r="A724" s="620"/>
      <c r="B724" s="962"/>
      <c r="C724" s="54" t="s">
        <v>496</v>
      </c>
      <c r="D724" s="189" t="s">
        <v>1047</v>
      </c>
      <c r="E724" s="34">
        <v>0.96</v>
      </c>
      <c r="F724" s="28">
        <f>'Lead- Input sheet '!R31</f>
        <v>680</v>
      </c>
      <c r="G724" s="215">
        <f>ROUND(E724*F724,2)</f>
        <v>652.79999999999995</v>
      </c>
      <c r="H724" s="649"/>
      <c r="I724" s="12"/>
    </row>
    <row r="725" spans="1:9">
      <c r="A725" s="620"/>
      <c r="B725" s="962"/>
      <c r="C725" s="54" t="s">
        <v>654</v>
      </c>
      <c r="D725" s="189" t="s">
        <v>1047</v>
      </c>
      <c r="E725" s="34">
        <v>2.2400000000000002</v>
      </c>
      <c r="F725" s="28">
        <f>'Lead- Input sheet '!R30</f>
        <v>650</v>
      </c>
      <c r="G725" s="215">
        <f>ROUND(E725*F725,2)</f>
        <v>1456</v>
      </c>
      <c r="H725" s="649"/>
      <c r="I725" s="12"/>
    </row>
    <row r="726" spans="1:9">
      <c r="A726" s="620"/>
      <c r="B726" s="962"/>
      <c r="C726" s="54" t="s">
        <v>706</v>
      </c>
      <c r="D726" s="189" t="s">
        <v>1047</v>
      </c>
      <c r="E726" s="34">
        <v>3.1</v>
      </c>
      <c r="F726" s="28">
        <f>'Lead- Input sheet '!R29</f>
        <v>605</v>
      </c>
      <c r="G726" s="215">
        <f>ROUND(E726*F726,2)</f>
        <v>1875.5</v>
      </c>
      <c r="H726" s="648"/>
      <c r="I726" s="12"/>
    </row>
    <row r="727" spans="1:9" s="7" customFormat="1">
      <c r="A727" s="647"/>
      <c r="B727" s="907"/>
      <c r="C727" s="643" t="s">
        <v>896</v>
      </c>
      <c r="D727" s="644"/>
      <c r="E727" s="645">
        <f>'Lead- Input sheet '!Q31</f>
        <v>0</v>
      </c>
      <c r="F727" s="922">
        <f>SUM(G724:G726)</f>
        <v>3984.3</v>
      </c>
      <c r="G727" s="646">
        <f>ROUND(F727*E727,2)</f>
        <v>0</v>
      </c>
      <c r="H727" s="642"/>
      <c r="I727" s="12"/>
    </row>
    <row r="728" spans="1:9" s="3" customFormat="1">
      <c r="A728" s="620"/>
      <c r="B728" s="962"/>
      <c r="C728" s="54" t="s">
        <v>1221</v>
      </c>
      <c r="D728" s="189"/>
      <c r="E728" s="34">
        <v>0.01</v>
      </c>
      <c r="F728" s="28">
        <f>SUM(G719:G727)</f>
        <v>8266.08</v>
      </c>
      <c r="G728" s="623">
        <f>ROUND(E728*F728,2)</f>
        <v>82.66</v>
      </c>
      <c r="H728" s="649"/>
      <c r="I728" s="12"/>
    </row>
    <row r="729" spans="1:9">
      <c r="A729" s="620"/>
      <c r="B729" s="962"/>
      <c r="C729" s="54" t="s">
        <v>1048</v>
      </c>
      <c r="D729" s="189"/>
      <c r="E729" s="34"/>
      <c r="F729" s="28"/>
      <c r="G729" s="215">
        <f>SUM(G719:G728)</f>
        <v>8348.74</v>
      </c>
      <c r="H729" s="649"/>
      <c r="I729" s="12"/>
    </row>
    <row r="730" spans="1:9" s="6" customFormat="1">
      <c r="A730" s="45"/>
      <c r="B730" s="907"/>
      <c r="C730" s="55" t="s">
        <v>1600</v>
      </c>
      <c r="D730" s="190"/>
      <c r="E730" s="367">
        <f>G729</f>
        <v>8348.74</v>
      </c>
      <c r="F730" s="940">
        <f>'Lead- Input sheet '!Q32</f>
        <v>0</v>
      </c>
      <c r="G730" s="215">
        <f>ROUND(E730*F730,2)</f>
        <v>0</v>
      </c>
      <c r="H730" s="650"/>
      <c r="I730" s="12"/>
    </row>
    <row r="731" spans="1:9" s="6" customFormat="1">
      <c r="A731" s="45"/>
      <c r="B731" s="907"/>
      <c r="C731" s="55"/>
      <c r="D731" s="190"/>
      <c r="E731" s="158"/>
      <c r="F731" s="29" t="s">
        <v>1486</v>
      </c>
      <c r="G731" s="619">
        <f>SUM(G729:G730)</f>
        <v>8348.74</v>
      </c>
      <c r="H731" s="648"/>
      <c r="I731" s="12"/>
    </row>
    <row r="732" spans="1:9" s="3" customFormat="1">
      <c r="A732" s="620"/>
      <c r="B732" s="962"/>
      <c r="C732" s="54" t="s">
        <v>904</v>
      </c>
      <c r="D732" s="25" t="s">
        <v>1478</v>
      </c>
      <c r="E732" s="34">
        <v>1.1000000000000001</v>
      </c>
      <c r="F732" s="937">
        <f>'Lead- Input sheet '!O26</f>
        <v>0</v>
      </c>
      <c r="G732" s="215">
        <f>ROUND(E732*F732,2)</f>
        <v>0</v>
      </c>
      <c r="H732" s="649"/>
      <c r="I732" s="12"/>
    </row>
    <row r="733" spans="1:9" s="3" customFormat="1">
      <c r="A733" s="620"/>
      <c r="B733" s="962"/>
      <c r="C733" s="54" t="s">
        <v>900</v>
      </c>
      <c r="D733" s="25" t="s">
        <v>525</v>
      </c>
      <c r="E733" s="34">
        <f>E720</f>
        <v>0.12</v>
      </c>
      <c r="F733" s="937">
        <f>'Lead- Input sheet '!O11</f>
        <v>0</v>
      </c>
      <c r="G733" s="215">
        <f>ROUND(E733*F733,2)</f>
        <v>0</v>
      </c>
      <c r="H733" s="649"/>
      <c r="I733" s="12"/>
    </row>
    <row r="734" spans="1:9" s="3" customFormat="1">
      <c r="A734" s="620"/>
      <c r="B734" s="962"/>
      <c r="C734" s="666" t="s">
        <v>1231</v>
      </c>
      <c r="D734" s="34"/>
      <c r="E734" s="677"/>
      <c r="F734" s="923" t="s">
        <v>1486</v>
      </c>
      <c r="G734" s="209">
        <f>SUM(G731:G733)</f>
        <v>8348.74</v>
      </c>
      <c r="H734" s="649"/>
      <c r="I734" s="12"/>
    </row>
    <row r="735" spans="1:9" ht="122.25" customHeight="1">
      <c r="A735" s="617" t="s">
        <v>1471</v>
      </c>
      <c r="B735" s="962">
        <v>33</v>
      </c>
      <c r="C735" s="54" t="s">
        <v>360</v>
      </c>
      <c r="D735" s="189"/>
      <c r="E735" s="34"/>
      <c r="F735" s="28"/>
      <c r="G735" s="215"/>
      <c r="H735" s="649"/>
      <c r="I735" s="12"/>
    </row>
    <row r="736" spans="1:9">
      <c r="A736" s="620"/>
      <c r="B736" s="962"/>
      <c r="C736" s="54" t="s">
        <v>1227</v>
      </c>
      <c r="D736" s="189"/>
      <c r="E736" s="34"/>
      <c r="F736" s="28"/>
      <c r="G736" s="215"/>
      <c r="H736" s="649"/>
      <c r="I736" s="12"/>
    </row>
    <row r="737" spans="1:9">
      <c r="A737" s="620"/>
      <c r="B737" s="962"/>
      <c r="C737" s="54" t="s">
        <v>1041</v>
      </c>
      <c r="D737" s="189"/>
      <c r="E737" s="34"/>
      <c r="F737" s="28"/>
      <c r="G737" s="215"/>
      <c r="H737" s="649"/>
      <c r="I737" s="12"/>
    </row>
    <row r="738" spans="1:9" s="3" customFormat="1">
      <c r="A738" s="620"/>
      <c r="B738" s="962"/>
      <c r="C738" s="54" t="s">
        <v>1032</v>
      </c>
      <c r="D738" s="189" t="s">
        <v>1473</v>
      </c>
      <c r="E738" s="34">
        <v>0.21</v>
      </c>
      <c r="F738" s="28">
        <f>G85</f>
        <v>4617.5</v>
      </c>
      <c r="G738" s="215">
        <f>ROUND(E738*F738,2)</f>
        <v>969.68</v>
      </c>
      <c r="H738" s="649"/>
      <c r="I738" s="12"/>
    </row>
    <row r="739" spans="1:9">
      <c r="A739" s="624" t="s">
        <v>1611</v>
      </c>
      <c r="B739" s="960"/>
      <c r="C739" s="54" t="s">
        <v>1639</v>
      </c>
      <c r="D739" s="189" t="s">
        <v>347</v>
      </c>
      <c r="E739" s="34">
        <v>2</v>
      </c>
      <c r="F739" s="28">
        <v>79</v>
      </c>
      <c r="G739" s="215">
        <f>ROUND(E739*F739,2)</f>
        <v>158</v>
      </c>
      <c r="H739" s="649"/>
      <c r="I739" s="12"/>
    </row>
    <row r="740" spans="1:9">
      <c r="A740" s="620"/>
      <c r="B740" s="962"/>
      <c r="C740" s="54" t="s">
        <v>653</v>
      </c>
      <c r="D740" s="189"/>
      <c r="E740" s="34"/>
      <c r="F740" s="28"/>
      <c r="G740" s="215"/>
      <c r="H740" s="649"/>
      <c r="I740" s="12"/>
    </row>
    <row r="741" spans="1:9" ht="14.1">
      <c r="A741" s="620"/>
      <c r="B741" s="962"/>
      <c r="C741" s="54" t="s">
        <v>746</v>
      </c>
      <c r="D741" s="189" t="s">
        <v>1047</v>
      </c>
      <c r="E741" s="34">
        <v>0.66</v>
      </c>
      <c r="F741" s="28">
        <f>'Lead- Input sheet '!R31</f>
        <v>680</v>
      </c>
      <c r="G741" s="215">
        <f>ROUND(E741*F741,2)</f>
        <v>448.8</v>
      </c>
      <c r="H741" s="649"/>
      <c r="I741" s="12"/>
    </row>
    <row r="742" spans="1:9" ht="14.1">
      <c r="A742" s="620"/>
      <c r="B742" s="962"/>
      <c r="C742" s="54" t="s">
        <v>747</v>
      </c>
      <c r="D742" s="189" t="s">
        <v>1047</v>
      </c>
      <c r="E742" s="34">
        <v>1.54</v>
      </c>
      <c r="F742" s="28">
        <f>'Lead- Input sheet '!R30</f>
        <v>650</v>
      </c>
      <c r="G742" s="215">
        <f>ROUND(E742*F742,2)</f>
        <v>1001</v>
      </c>
      <c r="H742" s="649"/>
      <c r="I742" s="12"/>
    </row>
    <row r="743" spans="1:9">
      <c r="A743" s="620"/>
      <c r="B743" s="962"/>
      <c r="C743" s="54" t="s">
        <v>706</v>
      </c>
      <c r="D743" s="189" t="s">
        <v>1047</v>
      </c>
      <c r="E743" s="34">
        <v>3.7</v>
      </c>
      <c r="F743" s="28">
        <f>'Lead- Input sheet '!R29</f>
        <v>605</v>
      </c>
      <c r="G743" s="215">
        <f>ROUND(E743*F743,2)</f>
        <v>2238.5</v>
      </c>
      <c r="H743" s="648"/>
      <c r="I743" s="12"/>
    </row>
    <row r="744" spans="1:9" s="7" customFormat="1">
      <c r="A744" s="647"/>
      <c r="B744" s="907"/>
      <c r="C744" s="643" t="s">
        <v>896</v>
      </c>
      <c r="D744" s="644"/>
      <c r="E744" s="645">
        <f>'Lead- Input sheet '!Q31</f>
        <v>0</v>
      </c>
      <c r="F744" s="922">
        <f>SUM(G741:G743)</f>
        <v>3688.3</v>
      </c>
      <c r="G744" s="646">
        <f>ROUND(F744*E744,2)</f>
        <v>0</v>
      </c>
      <c r="H744" s="642"/>
      <c r="I744" s="12"/>
    </row>
    <row r="745" spans="1:9">
      <c r="A745" s="620"/>
      <c r="B745" s="962"/>
      <c r="C745" s="54" t="s">
        <v>1048</v>
      </c>
      <c r="D745" s="189"/>
      <c r="E745" s="34"/>
      <c r="F745" s="28"/>
      <c r="G745" s="215">
        <f>SUM(G738:G744)</f>
        <v>4815.9799999999996</v>
      </c>
      <c r="H745" s="649"/>
      <c r="I745" s="12"/>
    </row>
    <row r="746" spans="1:9" s="6" customFormat="1">
      <c r="A746" s="45"/>
      <c r="B746" s="907"/>
      <c r="C746" s="55"/>
      <c r="D746" s="190"/>
      <c r="E746" s="158"/>
      <c r="F746" s="29"/>
      <c r="G746" s="182"/>
      <c r="H746" s="650"/>
      <c r="I746" s="12"/>
    </row>
    <row r="747" spans="1:9" s="6" customFormat="1">
      <c r="A747" s="45"/>
      <c r="B747" s="907"/>
      <c r="C747" s="55"/>
      <c r="D747" s="190"/>
      <c r="E747" s="158"/>
      <c r="F747" s="923" t="s">
        <v>1486</v>
      </c>
      <c r="G747" s="619">
        <f>SUM(G745:G746)</f>
        <v>4815.9799999999996</v>
      </c>
      <c r="H747" s="648"/>
      <c r="I747" s="12"/>
    </row>
    <row r="748" spans="1:9" s="3" customFormat="1">
      <c r="A748" s="620"/>
      <c r="B748" s="962"/>
      <c r="C748" s="54"/>
      <c r="D748" s="189"/>
      <c r="E748" s="158" t="s">
        <v>1098</v>
      </c>
      <c r="F748" s="29" t="s">
        <v>1099</v>
      </c>
      <c r="G748" s="182" t="s">
        <v>1100</v>
      </c>
      <c r="H748" s="648"/>
      <c r="I748" s="12"/>
    </row>
    <row r="749" spans="1:9" s="3" customFormat="1">
      <c r="A749" s="620"/>
      <c r="B749" s="962"/>
      <c r="C749" s="54" t="s">
        <v>1101</v>
      </c>
      <c r="D749" s="189"/>
      <c r="E749" s="205">
        <f>G747</f>
        <v>4815.9799999999996</v>
      </c>
      <c r="F749" s="35">
        <f>G747</f>
        <v>4815.9799999999996</v>
      </c>
      <c r="G749" s="215">
        <f>G747</f>
        <v>4815.9799999999996</v>
      </c>
      <c r="H749" s="648"/>
      <c r="I749" s="12"/>
    </row>
    <row r="750" spans="1:9" s="3" customFormat="1">
      <c r="A750" s="620"/>
      <c r="B750" s="962"/>
      <c r="C750" s="54" t="s">
        <v>1583</v>
      </c>
      <c r="D750" s="295" t="s">
        <v>1102</v>
      </c>
      <c r="E750" s="31"/>
      <c r="F750" s="933">
        <f>ROUND($D$750*SUM($G$741:$G$744),2)</f>
        <v>368.83</v>
      </c>
      <c r="G750" s="171">
        <f>ROUND($D$750*SUM($G$741:$G$744)*2,2)</f>
        <v>737.66</v>
      </c>
      <c r="H750" s="649"/>
      <c r="I750" s="12"/>
    </row>
    <row r="751" spans="1:9" s="6" customFormat="1">
      <c r="A751" s="45"/>
      <c r="B751" s="907"/>
      <c r="C751" s="55" t="s">
        <v>1600</v>
      </c>
      <c r="D751" s="941">
        <f>'Lead- Input sheet '!Q32</f>
        <v>0</v>
      </c>
      <c r="E751" s="205">
        <f>ROUND(SUM(E749:E750)*$D$751,2)</f>
        <v>0</v>
      </c>
      <c r="F751" s="35">
        <f>ROUND(SUM(F749:F750)*$D$751,2)</f>
        <v>0</v>
      </c>
      <c r="G751" s="177">
        <f>ROUND(SUM(G749:G750)*$D$751,2)</f>
        <v>0</v>
      </c>
      <c r="H751" s="650"/>
      <c r="I751" s="12"/>
    </row>
    <row r="752" spans="1:9" s="655" customFormat="1">
      <c r="A752" s="665"/>
      <c r="B752" s="907"/>
      <c r="C752" s="666"/>
      <c r="D752" s="433"/>
      <c r="E752" s="667">
        <f>SUM(E749:E751)</f>
        <v>4815.9799999999996</v>
      </c>
      <c r="F752" s="931">
        <f>SUM(F749:F751)</f>
        <v>5184.8099999999995</v>
      </c>
      <c r="G752" s="668">
        <f>SUM(G749:G751)</f>
        <v>5553.6399999999994</v>
      </c>
      <c r="H752" s="651"/>
      <c r="I752" s="669"/>
    </row>
    <row r="753" spans="1:9">
      <c r="A753" s="620"/>
      <c r="B753" s="962"/>
      <c r="C753" s="54" t="s">
        <v>903</v>
      </c>
      <c r="D753" s="34">
        <v>0.21</v>
      </c>
      <c r="E753" s="34">
        <f>'Lead- Input sheet '!$O$11*$D$753</f>
        <v>0</v>
      </c>
      <c r="F753" s="34">
        <f>'Lead- Input sheet '!$O$11*$D$753</f>
        <v>0</v>
      </c>
      <c r="G753" s="973">
        <f>'Lead- Input sheet '!$O$11*$D$753</f>
        <v>0</v>
      </c>
      <c r="H753" s="649"/>
      <c r="I753" s="12"/>
    </row>
    <row r="754" spans="1:9">
      <c r="A754" s="620"/>
      <c r="B754" s="962"/>
      <c r="C754" s="55" t="s">
        <v>1231</v>
      </c>
      <c r="D754" s="291" t="s">
        <v>1486</v>
      </c>
      <c r="E754" s="809">
        <f>SUM(E752:E753)</f>
        <v>4815.9799999999996</v>
      </c>
      <c r="F754" s="935">
        <f>SUM(F752:F753)</f>
        <v>5184.8099999999995</v>
      </c>
      <c r="G754" s="664">
        <f>SUM(G752:G753)</f>
        <v>5553.6399999999994</v>
      </c>
      <c r="H754" s="649"/>
      <c r="I754" s="12"/>
    </row>
    <row r="755" spans="1:9" ht="93.75" customHeight="1">
      <c r="A755" s="617" t="s">
        <v>1470</v>
      </c>
      <c r="B755" s="962">
        <v>34</v>
      </c>
      <c r="C755" s="54" t="s">
        <v>361</v>
      </c>
      <c r="D755" s="189"/>
      <c r="E755" s="34"/>
      <c r="F755" s="28"/>
      <c r="G755" s="215"/>
      <c r="H755" s="649"/>
      <c r="I755" s="12"/>
    </row>
    <row r="756" spans="1:9">
      <c r="A756" s="620"/>
      <c r="B756" s="962"/>
      <c r="C756" s="54" t="s">
        <v>1394</v>
      </c>
      <c r="D756" s="189"/>
      <c r="E756" s="34"/>
      <c r="F756" s="28"/>
      <c r="G756" s="215"/>
      <c r="H756" s="649"/>
      <c r="I756" s="12"/>
    </row>
    <row r="757" spans="1:9">
      <c r="A757" s="620"/>
      <c r="B757" s="962"/>
      <c r="C757" s="54" t="s">
        <v>1395</v>
      </c>
      <c r="D757" s="189"/>
      <c r="E757" s="34"/>
      <c r="F757" s="28"/>
      <c r="G757" s="215"/>
      <c r="H757" s="649"/>
      <c r="I757" s="12"/>
    </row>
    <row r="758" spans="1:9" s="3" customFormat="1">
      <c r="A758" s="620" t="s">
        <v>1609</v>
      </c>
      <c r="B758" s="962"/>
      <c r="C758" s="54" t="s">
        <v>906</v>
      </c>
      <c r="D758" s="189" t="s">
        <v>1055</v>
      </c>
      <c r="E758" s="34">
        <v>2</v>
      </c>
      <c r="F758" s="28">
        <f>F706</f>
        <v>29</v>
      </c>
      <c r="G758" s="215">
        <f t="shared" ref="G758:G764" si="1">ROUND(E758*F758,2)</f>
        <v>58</v>
      </c>
      <c r="H758" s="649"/>
      <c r="I758" s="12"/>
    </row>
    <row r="759" spans="1:9" ht="25.8">
      <c r="A759" s="620"/>
      <c r="B759" s="962"/>
      <c r="C759" s="54" t="s">
        <v>1396</v>
      </c>
      <c r="D759" s="189" t="s">
        <v>1397</v>
      </c>
      <c r="E759" s="34">
        <v>1</v>
      </c>
      <c r="F759" s="28"/>
      <c r="G759" s="215">
        <v>10</v>
      </c>
      <c r="H759" s="649"/>
      <c r="I759" s="12"/>
    </row>
    <row r="760" spans="1:9">
      <c r="A760" s="620"/>
      <c r="B760" s="962"/>
      <c r="C760" s="54" t="s">
        <v>653</v>
      </c>
      <c r="D760" s="189"/>
      <c r="E760" s="34"/>
      <c r="F760" s="28"/>
      <c r="G760" s="215"/>
      <c r="H760" s="649"/>
      <c r="I760" s="12"/>
    </row>
    <row r="761" spans="1:9">
      <c r="A761" s="620"/>
      <c r="B761" s="962"/>
      <c r="C761" s="54" t="s">
        <v>627</v>
      </c>
      <c r="D761" s="189" t="s">
        <v>1047</v>
      </c>
      <c r="E761" s="34">
        <v>0.21</v>
      </c>
      <c r="F761" s="28">
        <f>'Lead- Input sheet '!R36</f>
        <v>650</v>
      </c>
      <c r="G761" s="215">
        <f t="shared" si="1"/>
        <v>136.5</v>
      </c>
      <c r="H761" s="649"/>
      <c r="I761" s="12"/>
    </row>
    <row r="762" spans="1:9">
      <c r="A762" s="620"/>
      <c r="B762" s="962"/>
      <c r="C762" s="54" t="s">
        <v>341</v>
      </c>
      <c r="D762" s="189" t="s">
        <v>1047</v>
      </c>
      <c r="E762" s="34">
        <v>0.32</v>
      </c>
      <c r="F762" s="28">
        <f>F709</f>
        <v>605</v>
      </c>
      <c r="G762" s="215">
        <f t="shared" si="1"/>
        <v>193.6</v>
      </c>
      <c r="H762" s="648"/>
      <c r="I762" s="12"/>
    </row>
    <row r="763" spans="1:9" s="7" customFormat="1">
      <c r="A763" s="647"/>
      <c r="B763" s="907"/>
      <c r="C763" s="643" t="s">
        <v>896</v>
      </c>
      <c r="D763" s="644"/>
      <c r="E763" s="645">
        <f>'Lead- Input sheet '!Q31</f>
        <v>0</v>
      </c>
      <c r="F763" s="922">
        <f>SUM(G761:G762)</f>
        <v>330.1</v>
      </c>
      <c r="G763" s="646">
        <f>ROUND(F763*E763,2)</f>
        <v>0</v>
      </c>
      <c r="H763" s="642"/>
      <c r="I763" s="12"/>
    </row>
    <row r="764" spans="1:9">
      <c r="A764" s="620"/>
      <c r="B764" s="962"/>
      <c r="C764" s="54" t="s">
        <v>628</v>
      </c>
      <c r="D764" s="189"/>
      <c r="E764" s="34">
        <v>0.01</v>
      </c>
      <c r="F764" s="28">
        <f>SUM(G758:G763)</f>
        <v>398.1</v>
      </c>
      <c r="G764" s="215">
        <f t="shared" si="1"/>
        <v>3.98</v>
      </c>
      <c r="H764" s="649"/>
      <c r="I764" s="12"/>
    </row>
    <row r="765" spans="1:9">
      <c r="A765" s="620"/>
      <c r="B765" s="962"/>
      <c r="C765" s="54" t="s">
        <v>1398</v>
      </c>
      <c r="D765" s="189"/>
      <c r="E765" s="34"/>
      <c r="F765" s="28"/>
      <c r="G765" s="215">
        <f>SUM(G758:G764)</f>
        <v>402.08000000000004</v>
      </c>
      <c r="H765" s="649"/>
      <c r="I765" s="12"/>
    </row>
    <row r="766" spans="1:9" s="6" customFormat="1">
      <c r="A766" s="45"/>
      <c r="B766" s="907"/>
      <c r="C766" s="55" t="s">
        <v>1600</v>
      </c>
      <c r="D766" s="190"/>
      <c r="E766" s="158">
        <f>G765</f>
        <v>402.08000000000004</v>
      </c>
      <c r="F766" s="940">
        <f>'Lead- Input sheet '!Q32</f>
        <v>0</v>
      </c>
      <c r="G766" s="182">
        <f>ROUND(E766*F766,2)</f>
        <v>0</v>
      </c>
      <c r="H766" s="650"/>
      <c r="I766" s="12"/>
    </row>
    <row r="767" spans="1:9" s="6" customFormat="1">
      <c r="A767" s="45"/>
      <c r="B767" s="907"/>
      <c r="C767" s="55" t="s">
        <v>1231</v>
      </c>
      <c r="D767" s="190"/>
      <c r="E767" s="158"/>
      <c r="F767" s="29" t="s">
        <v>1486</v>
      </c>
      <c r="G767" s="619">
        <f>SUM(G765:G766)</f>
        <v>402.08000000000004</v>
      </c>
      <c r="H767" s="648"/>
      <c r="I767" s="12"/>
    </row>
    <row r="768" spans="1:9" s="57" customFormat="1" ht="119.25" customHeight="1">
      <c r="A768" s="617" t="s">
        <v>1233</v>
      </c>
      <c r="B768" s="962">
        <v>35</v>
      </c>
      <c r="C768" s="54" t="s">
        <v>362</v>
      </c>
      <c r="D768" s="190"/>
      <c r="E768" s="158"/>
      <c r="F768" s="29"/>
      <c r="G768" s="182"/>
      <c r="H768" s="656"/>
      <c r="I768" s="12"/>
    </row>
    <row r="769" spans="1:9">
      <c r="A769" s="620"/>
      <c r="B769" s="962"/>
      <c r="C769" s="54" t="s">
        <v>90</v>
      </c>
      <c r="D769" s="189"/>
      <c r="E769" s="34"/>
      <c r="F769" s="28"/>
      <c r="G769" s="215"/>
      <c r="H769" s="649"/>
      <c r="I769" s="12"/>
    </row>
    <row r="770" spans="1:9">
      <c r="A770" s="624" t="s">
        <v>1612</v>
      </c>
      <c r="B770" s="962"/>
      <c r="C770" s="54" t="s">
        <v>907</v>
      </c>
      <c r="D770" s="189" t="s">
        <v>91</v>
      </c>
      <c r="E770" s="34">
        <v>0.5</v>
      </c>
      <c r="F770" s="28">
        <v>150</v>
      </c>
      <c r="G770" s="215">
        <f t="shared" ref="G770:G775" si="2">ROUND(E770*F770,2)</f>
        <v>75</v>
      </c>
      <c r="H770" s="649"/>
      <c r="I770" s="12"/>
    </row>
    <row r="771" spans="1:9">
      <c r="A771" s="620"/>
      <c r="B771" s="962"/>
      <c r="C771" s="54" t="s">
        <v>92</v>
      </c>
      <c r="D771" s="189" t="s">
        <v>1035</v>
      </c>
      <c r="E771" s="34">
        <v>0.08</v>
      </c>
      <c r="F771" s="28">
        <f>'Lead- Input sheet '!R32</f>
        <v>780</v>
      </c>
      <c r="G771" s="215">
        <f t="shared" si="2"/>
        <v>62.4</v>
      </c>
      <c r="H771" s="649"/>
      <c r="I771" s="12"/>
    </row>
    <row r="772" spans="1:9">
      <c r="A772" s="620"/>
      <c r="B772" s="962"/>
      <c r="C772" s="54" t="s">
        <v>1858</v>
      </c>
      <c r="D772" s="189" t="s">
        <v>1035</v>
      </c>
      <c r="E772" s="34">
        <v>0.19</v>
      </c>
      <c r="F772" s="28">
        <f>'Lead- Input sheet '!R36</f>
        <v>650</v>
      </c>
      <c r="G772" s="215">
        <f t="shared" si="2"/>
        <v>123.5</v>
      </c>
      <c r="H772" s="649"/>
      <c r="I772" s="12"/>
    </row>
    <row r="773" spans="1:9">
      <c r="A773" s="624" t="s">
        <v>1613</v>
      </c>
      <c r="B773" s="962"/>
      <c r="C773" s="54" t="s">
        <v>94</v>
      </c>
      <c r="D773" s="189" t="s">
        <v>91</v>
      </c>
      <c r="E773" s="34">
        <v>1.7</v>
      </c>
      <c r="F773" s="28">
        <v>82</v>
      </c>
      <c r="G773" s="215">
        <f t="shared" si="2"/>
        <v>139.4</v>
      </c>
      <c r="H773" s="649"/>
      <c r="I773" s="12"/>
    </row>
    <row r="774" spans="1:9">
      <c r="A774" s="620"/>
      <c r="B774" s="962"/>
      <c r="C774" s="54" t="s">
        <v>95</v>
      </c>
      <c r="D774" s="189" t="s">
        <v>1035</v>
      </c>
      <c r="E774" s="34">
        <v>0.36</v>
      </c>
      <c r="F774" s="28">
        <f>'Lead- Input sheet '!R32</f>
        <v>780</v>
      </c>
      <c r="G774" s="215">
        <f t="shared" si="2"/>
        <v>280.8</v>
      </c>
      <c r="H774" s="649"/>
      <c r="I774" s="12"/>
    </row>
    <row r="775" spans="1:9">
      <c r="A775" s="620"/>
      <c r="B775" s="962"/>
      <c r="C775" s="54" t="s">
        <v>96</v>
      </c>
      <c r="D775" s="189" t="s">
        <v>1035</v>
      </c>
      <c r="E775" s="34">
        <v>0.84</v>
      </c>
      <c r="F775" s="28">
        <f>'Lead- Input sheet '!R36</f>
        <v>650</v>
      </c>
      <c r="G775" s="215">
        <f t="shared" si="2"/>
        <v>546</v>
      </c>
      <c r="H775" s="649"/>
      <c r="I775" s="12"/>
    </row>
    <row r="776" spans="1:9" s="7" customFormat="1">
      <c r="A776" s="647"/>
      <c r="B776" s="907"/>
      <c r="C776" s="643" t="s">
        <v>896</v>
      </c>
      <c r="D776" s="644"/>
      <c r="E776" s="645">
        <f>'Lead- Input sheet '!Q31</f>
        <v>0</v>
      </c>
      <c r="F776" s="922">
        <f>SUM(G774:G775)+SUM(G771:G772)</f>
        <v>1012.6999999999999</v>
      </c>
      <c r="G776" s="646">
        <f>ROUND(F776*E776,2)</f>
        <v>0</v>
      </c>
      <c r="H776" s="642"/>
      <c r="I776" s="12"/>
    </row>
    <row r="777" spans="1:9">
      <c r="A777" s="620"/>
      <c r="B777" s="962"/>
      <c r="C777" s="54" t="s">
        <v>97</v>
      </c>
      <c r="D777" s="189"/>
      <c r="E777" s="34"/>
      <c r="F777" s="28"/>
      <c r="G777" s="215">
        <f>SUM(G770:G776)</f>
        <v>1227.0999999999999</v>
      </c>
      <c r="H777" s="649"/>
      <c r="I777" s="12"/>
    </row>
    <row r="778" spans="1:9" s="6" customFormat="1">
      <c r="A778" s="45"/>
      <c r="B778" s="907"/>
      <c r="C778" s="55" t="s">
        <v>1600</v>
      </c>
      <c r="D778" s="190"/>
      <c r="E778" s="158">
        <f>G777</f>
        <v>1227.0999999999999</v>
      </c>
      <c r="F778" s="940">
        <f>'Lead- Input sheet '!Q32</f>
        <v>0</v>
      </c>
      <c r="G778" s="182">
        <f>ROUND(E778*F778,2)</f>
        <v>0</v>
      </c>
      <c r="H778" s="650"/>
      <c r="I778" s="12"/>
    </row>
    <row r="779" spans="1:9" s="6" customFormat="1">
      <c r="A779" s="45"/>
      <c r="B779" s="907"/>
      <c r="C779" s="55" t="s">
        <v>1231</v>
      </c>
      <c r="D779" s="190"/>
      <c r="E779" s="158"/>
      <c r="F779" s="923" t="s">
        <v>1486</v>
      </c>
      <c r="G779" s="707">
        <f>SUM(G777:G778)</f>
        <v>1227.0999999999999</v>
      </c>
      <c r="H779" s="650"/>
      <c r="I779" s="12"/>
    </row>
    <row r="780" spans="1:9" ht="22.2">
      <c r="A780" s="617" t="s">
        <v>1234</v>
      </c>
      <c r="B780" s="962">
        <v>36</v>
      </c>
      <c r="C780" s="54" t="s">
        <v>98</v>
      </c>
      <c r="D780" s="189"/>
      <c r="E780" s="34"/>
      <c r="F780" s="28"/>
      <c r="G780" s="215"/>
      <c r="H780" s="649"/>
      <c r="I780" s="12"/>
    </row>
    <row r="781" spans="1:9">
      <c r="A781" s="620"/>
      <c r="B781" s="962"/>
      <c r="C781" s="54" t="s">
        <v>1394</v>
      </c>
      <c r="D781" s="189"/>
      <c r="E781" s="34"/>
      <c r="F781" s="28"/>
      <c r="G781" s="215"/>
      <c r="H781" s="649"/>
      <c r="I781" s="12"/>
    </row>
    <row r="782" spans="1:9">
      <c r="A782" s="620"/>
      <c r="B782" s="962"/>
      <c r="C782" s="54" t="s">
        <v>1395</v>
      </c>
      <c r="D782" s="189"/>
      <c r="E782" s="34"/>
      <c r="F782" s="28"/>
      <c r="G782" s="215"/>
      <c r="H782" s="649"/>
      <c r="I782" s="12"/>
    </row>
    <row r="783" spans="1:9" s="3" customFormat="1">
      <c r="A783" s="620"/>
      <c r="B783" s="962"/>
      <c r="C783" s="54" t="s">
        <v>1088</v>
      </c>
      <c r="D783" s="189" t="s">
        <v>347</v>
      </c>
      <c r="E783" s="34">
        <v>1</v>
      </c>
      <c r="F783" s="28">
        <v>150</v>
      </c>
      <c r="G783" s="215">
        <f>ROUND(E783*F783,2)</f>
        <v>150</v>
      </c>
      <c r="H783" s="649"/>
      <c r="I783" s="12"/>
    </row>
    <row r="784" spans="1:9">
      <c r="A784" s="620"/>
      <c r="B784" s="962"/>
      <c r="C784" s="54" t="s">
        <v>653</v>
      </c>
      <c r="D784" s="189"/>
      <c r="E784" s="34"/>
      <c r="F784" s="28"/>
      <c r="G784" s="215"/>
      <c r="H784" s="649"/>
      <c r="I784" s="12"/>
    </row>
    <row r="785" spans="1:9">
      <c r="A785" s="620"/>
      <c r="B785" s="962"/>
      <c r="C785" s="54" t="s">
        <v>989</v>
      </c>
      <c r="D785" s="189" t="s">
        <v>1047</v>
      </c>
      <c r="E785" s="34">
        <v>0.7</v>
      </c>
      <c r="F785" s="28">
        <f>'Lead- Input sheet '!R30</f>
        <v>650</v>
      </c>
      <c r="G785" s="215">
        <f>ROUND(E785*F785,2)</f>
        <v>455</v>
      </c>
      <c r="H785" s="649"/>
      <c r="I785" s="12"/>
    </row>
    <row r="786" spans="1:9" s="7" customFormat="1">
      <c r="A786" s="647"/>
      <c r="B786" s="907"/>
      <c r="C786" s="643" t="s">
        <v>896</v>
      </c>
      <c r="D786" s="644"/>
      <c r="E786" s="645">
        <f>'Lead- Input sheet '!Q31</f>
        <v>0</v>
      </c>
      <c r="F786" s="922">
        <f>SUM(G785:G785)</f>
        <v>455</v>
      </c>
      <c r="G786" s="646">
        <f>ROUND(F786*E786,2)</f>
        <v>0</v>
      </c>
      <c r="H786" s="642"/>
      <c r="I786" s="12"/>
    </row>
    <row r="787" spans="1:9">
      <c r="A787" s="620"/>
      <c r="B787" s="962"/>
      <c r="C787" s="54" t="s">
        <v>99</v>
      </c>
      <c r="D787" s="189"/>
      <c r="E787" s="198">
        <v>5.0000000000000001E-3</v>
      </c>
      <c r="F787" s="28">
        <f>SUM(G783:G786)</f>
        <v>605</v>
      </c>
      <c r="G787" s="215">
        <f>ROUND(E787*F787,2)</f>
        <v>3.03</v>
      </c>
      <c r="H787" s="649"/>
      <c r="I787" s="12"/>
    </row>
    <row r="788" spans="1:9">
      <c r="A788" s="620"/>
      <c r="B788" s="962"/>
      <c r="C788" s="54" t="s">
        <v>100</v>
      </c>
      <c r="D788" s="189"/>
      <c r="E788" s="34"/>
      <c r="F788" s="28"/>
      <c r="G788" s="215">
        <f>SUM(G783:G787)</f>
        <v>608.03</v>
      </c>
      <c r="H788" s="649"/>
      <c r="I788" s="12"/>
    </row>
    <row r="789" spans="1:9" s="6" customFormat="1">
      <c r="A789" s="45"/>
      <c r="B789" s="907"/>
      <c r="C789" s="55" t="s">
        <v>1600</v>
      </c>
      <c r="D789" s="190"/>
      <c r="E789" s="158">
        <f>G788</f>
        <v>608.03</v>
      </c>
      <c r="F789" s="940">
        <f>'Lead- Input sheet '!Q32</f>
        <v>0</v>
      </c>
      <c r="G789" s="215">
        <f>ROUND(E789*F789,2)</f>
        <v>0</v>
      </c>
      <c r="H789" s="650"/>
      <c r="I789" s="12"/>
    </row>
    <row r="790" spans="1:9" s="6" customFormat="1">
      <c r="A790" s="45"/>
      <c r="B790" s="907"/>
      <c r="C790" s="55" t="s">
        <v>1231</v>
      </c>
      <c r="D790" s="190"/>
      <c r="E790" s="158"/>
      <c r="F790" s="923" t="s">
        <v>1486</v>
      </c>
      <c r="G790" s="707">
        <f>SUM(G788:G789)</f>
        <v>608.03</v>
      </c>
      <c r="H790" s="650"/>
      <c r="I790" s="12"/>
    </row>
    <row r="791" spans="1:9" s="57" customFormat="1" ht="123.75" customHeight="1">
      <c r="A791" s="617" t="s">
        <v>1235</v>
      </c>
      <c r="B791" s="962">
        <v>37</v>
      </c>
      <c r="C791" s="54" t="s">
        <v>363</v>
      </c>
      <c r="D791" s="190"/>
      <c r="E791" s="158"/>
      <c r="F791" s="29"/>
      <c r="G791" s="182"/>
      <c r="H791" s="656"/>
      <c r="I791" s="12"/>
    </row>
    <row r="792" spans="1:9">
      <c r="A792" s="624" t="s">
        <v>1612</v>
      </c>
      <c r="B792" s="962"/>
      <c r="C792" s="54" t="s">
        <v>1614</v>
      </c>
      <c r="D792" s="189" t="s">
        <v>347</v>
      </c>
      <c r="E792" s="34">
        <v>1</v>
      </c>
      <c r="F792" s="28">
        <v>150</v>
      </c>
      <c r="G792" s="215">
        <f t="shared" ref="G792:G798" si="3">ROUND(E792*F792,2)</f>
        <v>150</v>
      </c>
      <c r="H792" s="649"/>
      <c r="I792" s="12"/>
    </row>
    <row r="793" spans="1:9">
      <c r="A793" s="620"/>
      <c r="B793" s="962"/>
      <c r="C793" s="54" t="s">
        <v>1413</v>
      </c>
      <c r="D793" s="189" t="s">
        <v>1047</v>
      </c>
      <c r="E793" s="34">
        <v>0.21</v>
      </c>
      <c r="F793" s="28">
        <f>'Lead- Input sheet '!R32</f>
        <v>780</v>
      </c>
      <c r="G793" s="215">
        <f t="shared" si="3"/>
        <v>163.80000000000001</v>
      </c>
      <c r="H793" s="649"/>
      <c r="I793" s="12"/>
    </row>
    <row r="794" spans="1:9">
      <c r="A794" s="620"/>
      <c r="B794" s="962"/>
      <c r="C794" s="54" t="s">
        <v>1414</v>
      </c>
      <c r="D794" s="189" t="s">
        <v>1047</v>
      </c>
      <c r="E794" s="34">
        <v>0.49</v>
      </c>
      <c r="F794" s="28">
        <f>'Lead- Input sheet '!R36</f>
        <v>650</v>
      </c>
      <c r="G794" s="215">
        <f t="shared" si="3"/>
        <v>318.5</v>
      </c>
      <c r="H794" s="649"/>
      <c r="I794" s="12"/>
    </row>
    <row r="795" spans="1:9">
      <c r="A795" s="624" t="s">
        <v>1611</v>
      </c>
      <c r="B795" s="962"/>
      <c r="C795" s="54" t="s">
        <v>1415</v>
      </c>
      <c r="D795" s="189" t="s">
        <v>347</v>
      </c>
      <c r="E795" s="34">
        <v>3.5</v>
      </c>
      <c r="F795" s="28">
        <v>51</v>
      </c>
      <c r="G795" s="215">
        <f t="shared" si="3"/>
        <v>178.5</v>
      </c>
      <c r="H795" s="649"/>
      <c r="I795" s="12"/>
    </row>
    <row r="796" spans="1:9">
      <c r="A796" s="620"/>
      <c r="B796" s="962"/>
      <c r="C796" s="54" t="s">
        <v>95</v>
      </c>
      <c r="D796" s="189" t="s">
        <v>1047</v>
      </c>
      <c r="E796" s="34">
        <v>0.15</v>
      </c>
      <c r="F796" s="28">
        <f>F793</f>
        <v>780</v>
      </c>
      <c r="G796" s="215">
        <f t="shared" si="3"/>
        <v>117</v>
      </c>
      <c r="H796" s="649"/>
      <c r="I796" s="12"/>
    </row>
    <row r="797" spans="1:9">
      <c r="A797" s="620"/>
      <c r="B797" s="962"/>
      <c r="C797" s="54" t="s">
        <v>1414</v>
      </c>
      <c r="D797" s="189" t="s">
        <v>1047</v>
      </c>
      <c r="E797" s="34">
        <v>0.35</v>
      </c>
      <c r="F797" s="28">
        <f>F794</f>
        <v>650</v>
      </c>
      <c r="G797" s="215">
        <f t="shared" si="3"/>
        <v>227.5</v>
      </c>
      <c r="H797" s="649"/>
      <c r="I797" s="12"/>
    </row>
    <row r="798" spans="1:9">
      <c r="A798" s="620"/>
      <c r="B798" s="962"/>
      <c r="C798" s="54" t="s">
        <v>341</v>
      </c>
      <c r="D798" s="189" t="s">
        <v>1047</v>
      </c>
      <c r="E798" s="34">
        <v>1.5</v>
      </c>
      <c r="F798" s="28">
        <f>'Lead- Input sheet '!R29</f>
        <v>605</v>
      </c>
      <c r="G798" s="215">
        <f t="shared" si="3"/>
        <v>907.5</v>
      </c>
      <c r="H798" s="648"/>
      <c r="I798" s="12"/>
    </row>
    <row r="799" spans="1:9" s="7" customFormat="1">
      <c r="A799" s="647"/>
      <c r="B799" s="907"/>
      <c r="C799" s="643" t="s">
        <v>896</v>
      </c>
      <c r="D799" s="644"/>
      <c r="E799" s="645">
        <f>'Lead- Input sheet '!Q31</f>
        <v>0</v>
      </c>
      <c r="F799" s="922">
        <f>SUM(G796:G798)+SUM(G793:G794)</f>
        <v>1734.3</v>
      </c>
      <c r="G799" s="646">
        <f>ROUND(F799*E799,2)</f>
        <v>0</v>
      </c>
      <c r="H799" s="642"/>
      <c r="I799" s="12"/>
    </row>
    <row r="800" spans="1:9">
      <c r="A800" s="620"/>
      <c r="B800" s="962"/>
      <c r="C800" s="54" t="s">
        <v>1416</v>
      </c>
      <c r="D800" s="189"/>
      <c r="E800" s="34"/>
      <c r="F800" s="28"/>
      <c r="G800" s="215">
        <f>SUM(G792:G799)</f>
        <v>2062.8000000000002</v>
      </c>
      <c r="H800" s="649"/>
      <c r="I800" s="12"/>
    </row>
    <row r="801" spans="1:9" s="6" customFormat="1">
      <c r="A801" s="45"/>
      <c r="B801" s="907"/>
      <c r="C801" s="55" t="s">
        <v>1600</v>
      </c>
      <c r="D801" s="190"/>
      <c r="E801" s="158">
        <f>G800</f>
        <v>2062.8000000000002</v>
      </c>
      <c r="F801" s="940">
        <f>'Lead- Input sheet '!Q32</f>
        <v>0</v>
      </c>
      <c r="G801" s="182">
        <f>ROUND(E801*F801,2)</f>
        <v>0</v>
      </c>
      <c r="H801" s="650"/>
      <c r="I801" s="12"/>
    </row>
    <row r="802" spans="1:9" s="6" customFormat="1">
      <c r="A802" s="45"/>
      <c r="B802" s="907"/>
      <c r="C802" s="55" t="s">
        <v>1231</v>
      </c>
      <c r="D802" s="190"/>
      <c r="E802" s="158"/>
      <c r="F802" s="923" t="s">
        <v>1486</v>
      </c>
      <c r="G802" s="619">
        <f>SUM(G800:G801)</f>
        <v>2062.8000000000002</v>
      </c>
      <c r="H802" s="650"/>
      <c r="I802" s="12"/>
    </row>
    <row r="803" spans="1:9" s="57" customFormat="1" ht="25.8">
      <c r="A803" s="617"/>
      <c r="B803" s="962" t="s">
        <v>76</v>
      </c>
      <c r="C803" s="55" t="s">
        <v>1168</v>
      </c>
      <c r="D803" s="190"/>
      <c r="E803" s="158"/>
      <c r="F803" s="29"/>
      <c r="G803" s="182"/>
      <c r="H803" s="656"/>
      <c r="I803" s="12"/>
    </row>
    <row r="804" spans="1:9">
      <c r="A804" s="620"/>
      <c r="B804" s="962"/>
      <c r="C804" s="54" t="s">
        <v>1395</v>
      </c>
      <c r="D804" s="189"/>
      <c r="E804" s="34"/>
      <c r="F804" s="28"/>
      <c r="G804" s="215"/>
      <c r="H804" s="649"/>
      <c r="I804" s="12"/>
    </row>
    <row r="805" spans="1:9" ht="25.8">
      <c r="A805" s="624" t="s">
        <v>1615</v>
      </c>
      <c r="B805" s="959">
        <v>39</v>
      </c>
      <c r="C805" s="54" t="s">
        <v>1167</v>
      </c>
      <c r="D805" s="189" t="s">
        <v>1417</v>
      </c>
      <c r="E805" s="34">
        <v>1.2</v>
      </c>
      <c r="F805" s="28">
        <v>251</v>
      </c>
      <c r="G805" s="215">
        <f>ROUND(E805*F805,2)</f>
        <v>301.2</v>
      </c>
      <c r="H805" s="649"/>
      <c r="I805" s="12"/>
    </row>
    <row r="806" spans="1:9">
      <c r="A806" s="620"/>
      <c r="B806" s="962"/>
      <c r="C806" s="54" t="s">
        <v>653</v>
      </c>
      <c r="D806" s="189"/>
      <c r="E806" s="34"/>
      <c r="F806" s="28"/>
      <c r="G806" s="215">
        <f>E806*F806</f>
        <v>0</v>
      </c>
      <c r="H806" s="649"/>
      <c r="I806" s="12"/>
    </row>
    <row r="807" spans="1:9">
      <c r="A807" s="620"/>
      <c r="B807" s="962"/>
      <c r="C807" s="54" t="s">
        <v>989</v>
      </c>
      <c r="D807" s="189" t="s">
        <v>1047</v>
      </c>
      <c r="E807" s="34">
        <v>1.2</v>
      </c>
      <c r="F807" s="28">
        <f>'Lead- Input sheet '!R36</f>
        <v>650</v>
      </c>
      <c r="G807" s="215">
        <f>E807*F807</f>
        <v>780</v>
      </c>
      <c r="H807" s="649"/>
      <c r="I807" s="12"/>
    </row>
    <row r="808" spans="1:9" s="7" customFormat="1">
      <c r="A808" s="647"/>
      <c r="B808" s="907"/>
      <c r="C808" s="643" t="s">
        <v>896</v>
      </c>
      <c r="D808" s="644"/>
      <c r="E808" s="645">
        <f>'Lead- Input sheet '!Q31</f>
        <v>0</v>
      </c>
      <c r="F808" s="922">
        <f>G807</f>
        <v>780</v>
      </c>
      <c r="G808" s="646">
        <f>ROUND(F808*E808,2)</f>
        <v>0</v>
      </c>
      <c r="H808" s="642"/>
      <c r="I808" s="12"/>
    </row>
    <row r="809" spans="1:9">
      <c r="A809" s="620"/>
      <c r="B809" s="962"/>
      <c r="C809" s="54" t="s">
        <v>1166</v>
      </c>
      <c r="D809" s="189"/>
      <c r="E809" s="34">
        <v>1</v>
      </c>
      <c r="F809" s="28">
        <v>10</v>
      </c>
      <c r="G809" s="215">
        <f>E809*F809</f>
        <v>10</v>
      </c>
      <c r="H809" s="649"/>
      <c r="I809" s="12"/>
    </row>
    <row r="810" spans="1:9">
      <c r="A810" s="620"/>
      <c r="B810" s="962"/>
      <c r="C810" s="54" t="s">
        <v>1398</v>
      </c>
      <c r="D810" s="189"/>
      <c r="E810" s="34"/>
      <c r="F810" s="28"/>
      <c r="G810" s="215">
        <f>SUM(G805:G809)</f>
        <v>1091.2</v>
      </c>
      <c r="H810" s="649"/>
      <c r="I810" s="12"/>
    </row>
    <row r="811" spans="1:9" s="6" customFormat="1">
      <c r="A811" s="45"/>
      <c r="B811" s="907"/>
      <c r="C811" s="55" t="s">
        <v>1600</v>
      </c>
      <c r="D811" s="190"/>
      <c r="E811" s="158">
        <f>G810</f>
        <v>1091.2</v>
      </c>
      <c r="F811" s="940">
        <f>'Lead- Input sheet '!Q32</f>
        <v>0</v>
      </c>
      <c r="G811" s="182" t="s">
        <v>1774</v>
      </c>
      <c r="H811" s="650"/>
      <c r="I811" s="12"/>
    </row>
    <row r="812" spans="1:9" s="6" customFormat="1">
      <c r="A812" s="45"/>
      <c r="B812" s="907"/>
      <c r="C812" s="55" t="s">
        <v>1231</v>
      </c>
      <c r="D812" s="190"/>
      <c r="E812" s="158"/>
      <c r="F812" s="923" t="s">
        <v>1486</v>
      </c>
      <c r="G812" s="619">
        <f>SUM(G810:G811)</f>
        <v>1091.2</v>
      </c>
      <c r="H812" s="650"/>
      <c r="I812" s="12"/>
    </row>
    <row r="813" spans="1:9" ht="33.299999999999997">
      <c r="A813" s="723" t="s">
        <v>367</v>
      </c>
      <c r="B813" s="962">
        <v>40</v>
      </c>
      <c r="C813" s="59" t="s">
        <v>795</v>
      </c>
      <c r="D813" s="191"/>
      <c r="E813" s="34"/>
      <c r="F813" s="28"/>
      <c r="G813" s="215"/>
      <c r="H813" s="654"/>
      <c r="I813" s="12"/>
    </row>
    <row r="814" spans="1:9">
      <c r="A814" s="61"/>
      <c r="B814" s="962"/>
      <c r="C814" s="54" t="s">
        <v>1394</v>
      </c>
      <c r="D814" s="191"/>
      <c r="E814" s="34"/>
      <c r="F814" s="28"/>
      <c r="G814" s="215"/>
      <c r="H814" s="654"/>
      <c r="I814" s="12"/>
    </row>
    <row r="815" spans="1:9">
      <c r="A815" s="61"/>
      <c r="B815" s="962"/>
      <c r="C815" s="59" t="s">
        <v>1395</v>
      </c>
      <c r="D815" s="191"/>
      <c r="E815" s="34"/>
      <c r="F815" s="28"/>
      <c r="G815" s="215"/>
      <c r="H815" s="654"/>
      <c r="I815" s="12"/>
    </row>
    <row r="816" spans="1:9">
      <c r="A816" s="624" t="s">
        <v>1616</v>
      </c>
      <c r="B816" s="962"/>
      <c r="C816" s="60" t="s">
        <v>796</v>
      </c>
      <c r="D816" s="191" t="s">
        <v>1417</v>
      </c>
      <c r="E816" s="34">
        <v>0.7</v>
      </c>
      <c r="F816" s="28">
        <v>144</v>
      </c>
      <c r="G816" s="215">
        <f>E816*F816</f>
        <v>100.8</v>
      </c>
      <c r="H816" s="654"/>
      <c r="I816" s="12"/>
    </row>
    <row r="817" spans="1:256">
      <c r="A817" s="61"/>
      <c r="B817" s="962"/>
      <c r="C817" s="59" t="s">
        <v>653</v>
      </c>
      <c r="D817" s="191"/>
      <c r="E817" s="34"/>
      <c r="F817" s="28"/>
      <c r="G817" s="215"/>
      <c r="H817" s="654"/>
      <c r="I817" s="12"/>
    </row>
    <row r="818" spans="1:256">
      <c r="A818" s="61"/>
      <c r="B818" s="962"/>
      <c r="C818" s="60" t="s">
        <v>989</v>
      </c>
      <c r="D818" s="189" t="s">
        <v>1047</v>
      </c>
      <c r="E818" s="368">
        <v>0.7</v>
      </c>
      <c r="F818" s="28">
        <f>'Lead- Input sheet '!R36</f>
        <v>650</v>
      </c>
      <c r="G818" s="215">
        <f>E818*F818</f>
        <v>454.99999999999994</v>
      </c>
      <c r="H818" s="654"/>
      <c r="I818" s="12"/>
    </row>
    <row r="819" spans="1:256" s="7" customFormat="1">
      <c r="A819" s="647"/>
      <c r="B819" s="907"/>
      <c r="C819" s="643" t="s">
        <v>896</v>
      </c>
      <c r="D819" s="644"/>
      <c r="E819" s="645">
        <f>'Lead- Input sheet '!Q31</f>
        <v>0</v>
      </c>
      <c r="F819" s="922">
        <f>G818</f>
        <v>454.99999999999994</v>
      </c>
      <c r="G819" s="646">
        <f>ROUND(F819*E819,2)</f>
        <v>0</v>
      </c>
      <c r="H819" s="642"/>
      <c r="I819" s="12"/>
    </row>
    <row r="820" spans="1:256">
      <c r="A820" s="61"/>
      <c r="B820" s="962"/>
      <c r="C820" s="60" t="s">
        <v>1166</v>
      </c>
      <c r="D820" s="189"/>
      <c r="E820" s="368">
        <v>0.01</v>
      </c>
      <c r="F820" s="28">
        <f>SUM(G816:G819)</f>
        <v>555.79999999999995</v>
      </c>
      <c r="G820" s="215">
        <f>E820*F820</f>
        <v>5.5579999999999998</v>
      </c>
      <c r="H820" s="654"/>
      <c r="I820" s="12"/>
    </row>
    <row r="821" spans="1:256">
      <c r="A821" s="61"/>
      <c r="B821" s="962"/>
      <c r="C821" s="59" t="s">
        <v>1398</v>
      </c>
      <c r="D821" s="191"/>
      <c r="E821" s="368"/>
      <c r="F821" s="28"/>
      <c r="G821" s="182">
        <f>SUM(G816:G820)</f>
        <v>561.35799999999995</v>
      </c>
      <c r="H821" s="654"/>
      <c r="I821" s="12"/>
    </row>
    <row r="822" spans="1:256" s="6" customFormat="1">
      <c r="A822" s="45"/>
      <c r="B822" s="907"/>
      <c r="C822" s="55" t="s">
        <v>1600</v>
      </c>
      <c r="D822" s="190"/>
      <c r="E822" s="158">
        <f>G821</f>
        <v>561.35799999999995</v>
      </c>
      <c r="F822" s="29">
        <f>'Lead- Input sheet '!Q32</f>
        <v>0</v>
      </c>
      <c r="G822" s="182">
        <f>ROUND(E822*F822,2)</f>
        <v>0</v>
      </c>
      <c r="H822" s="650"/>
      <c r="I822" s="12"/>
    </row>
    <row r="823" spans="1:256" s="6" customFormat="1">
      <c r="A823" s="45"/>
      <c r="B823" s="907"/>
      <c r="C823" s="55" t="s">
        <v>1231</v>
      </c>
      <c r="D823" s="190"/>
      <c r="E823" s="158"/>
      <c r="F823" s="923" t="s">
        <v>1486</v>
      </c>
      <c r="G823" s="619">
        <f>SUM(G821:G822)</f>
        <v>561.35799999999995</v>
      </c>
      <c r="H823" s="650"/>
      <c r="I823" s="12"/>
    </row>
    <row r="824" spans="1:256" s="6" customFormat="1">
      <c r="A824" s="45"/>
      <c r="B824" s="907"/>
      <c r="C824" s="55"/>
      <c r="D824" s="129"/>
      <c r="E824" s="205"/>
      <c r="F824" s="35"/>
      <c r="G824" s="215"/>
      <c r="H824" s="648"/>
      <c r="I824" s="12"/>
    </row>
    <row r="825" spans="1:256" ht="135.75" customHeight="1">
      <c r="A825" s="591" t="s">
        <v>368</v>
      </c>
      <c r="B825" s="963">
        <v>41</v>
      </c>
      <c r="C825" s="54" t="s">
        <v>364</v>
      </c>
      <c r="D825" s="201"/>
      <c r="E825" s="369"/>
      <c r="F825" s="369"/>
      <c r="G825" s="629"/>
      <c r="H825" s="660"/>
      <c r="I825" s="12"/>
      <c r="J825" s="300"/>
      <c r="K825" s="294"/>
      <c r="L825" s="294"/>
      <c r="M825" s="305"/>
      <c r="N825" s="305"/>
      <c r="O825" s="306"/>
      <c r="P825" s="307"/>
      <c r="Q825" s="308"/>
      <c r="R825" s="300"/>
      <c r="S825" s="294"/>
      <c r="T825" s="294"/>
      <c r="U825" s="305"/>
      <c r="V825" s="305"/>
      <c r="W825" s="306"/>
      <c r="X825" s="307"/>
      <c r="Y825" s="308"/>
      <c r="Z825" s="300"/>
      <c r="AA825" s="294"/>
      <c r="AB825" s="294"/>
      <c r="AC825" s="305"/>
      <c r="AD825" s="305"/>
      <c r="AE825" s="306"/>
      <c r="AF825" s="307"/>
      <c r="AG825" s="308"/>
      <c r="AH825" s="300"/>
      <c r="AI825" s="294"/>
      <c r="AJ825" s="294"/>
      <c r="AK825" s="305"/>
      <c r="AL825" s="305"/>
      <c r="AM825" s="306"/>
      <c r="AN825" s="307"/>
      <c r="AO825" s="308"/>
      <c r="AP825" s="300"/>
      <c r="AQ825" s="294"/>
      <c r="AR825" s="294"/>
      <c r="AS825" s="305"/>
      <c r="AT825" s="305"/>
      <c r="AU825" s="306"/>
      <c r="AV825" s="307"/>
      <c r="AW825" s="308"/>
      <c r="AX825" s="300"/>
      <c r="AY825" s="294"/>
      <c r="AZ825" s="294"/>
      <c r="BA825" s="305"/>
      <c r="BB825" s="305"/>
      <c r="BC825" s="306"/>
      <c r="BD825" s="307"/>
      <c r="BE825" s="308"/>
      <c r="BF825" s="300"/>
      <c r="BG825" s="294"/>
      <c r="BH825" s="294"/>
      <c r="BI825" s="305"/>
      <c r="BJ825" s="305"/>
      <c r="BK825" s="306"/>
      <c r="BL825" s="307"/>
      <c r="BM825" s="308"/>
      <c r="BN825" s="300"/>
      <c r="BO825" s="294"/>
      <c r="BP825" s="294"/>
      <c r="BQ825" s="305"/>
      <c r="BR825" s="305"/>
      <c r="BS825" s="306"/>
      <c r="BT825" s="307"/>
      <c r="BU825" s="308"/>
      <c r="BV825" s="300"/>
      <c r="BW825" s="294"/>
      <c r="BX825" s="294"/>
      <c r="BY825" s="305"/>
      <c r="BZ825" s="305"/>
      <c r="CA825" s="306"/>
      <c r="CB825" s="307"/>
      <c r="CC825" s="308"/>
      <c r="CD825" s="300"/>
      <c r="CE825" s="294"/>
      <c r="CF825" s="294"/>
      <c r="CG825" s="305"/>
      <c r="CH825" s="305"/>
      <c r="CI825" s="306"/>
      <c r="CJ825" s="307"/>
      <c r="CK825" s="308"/>
      <c r="CL825" s="300"/>
      <c r="CM825" s="294"/>
      <c r="CN825" s="294"/>
      <c r="CO825" s="305"/>
      <c r="CP825" s="305"/>
      <c r="CQ825" s="306"/>
      <c r="CR825" s="307"/>
      <c r="CS825" s="308"/>
      <c r="CT825" s="300"/>
      <c r="CU825" s="294"/>
      <c r="CV825" s="294"/>
      <c r="CW825" s="305"/>
      <c r="CX825" s="305"/>
      <c r="CY825" s="306"/>
      <c r="CZ825" s="307"/>
      <c r="DA825" s="308"/>
      <c r="DB825" s="300"/>
      <c r="DC825" s="294"/>
      <c r="DD825" s="294"/>
      <c r="DE825" s="305"/>
      <c r="DF825" s="305"/>
      <c r="DG825" s="306"/>
      <c r="DH825" s="307"/>
      <c r="DI825" s="308"/>
      <c r="DJ825" s="300"/>
      <c r="DK825" s="294"/>
      <c r="DL825" s="294"/>
      <c r="DM825" s="305"/>
      <c r="DN825" s="305"/>
      <c r="DO825" s="306"/>
      <c r="DP825" s="307"/>
      <c r="DQ825" s="308"/>
      <c r="DR825" s="300"/>
      <c r="DS825" s="294"/>
      <c r="DT825" s="294"/>
      <c r="DU825" s="305"/>
      <c r="DV825" s="305"/>
      <c r="DW825" s="306"/>
      <c r="DX825" s="307"/>
      <c r="DY825" s="308"/>
      <c r="DZ825" s="300"/>
      <c r="EA825" s="294"/>
      <c r="EB825" s="294"/>
      <c r="EC825" s="305"/>
      <c r="ED825" s="305"/>
      <c r="EE825" s="306"/>
      <c r="EF825" s="307"/>
      <c r="EG825" s="308"/>
      <c r="EH825" s="300"/>
      <c r="EI825" s="294"/>
      <c r="EJ825" s="294"/>
      <c r="EK825" s="305"/>
      <c r="EL825" s="305"/>
      <c r="EM825" s="306"/>
      <c r="EN825" s="307"/>
      <c r="EO825" s="308"/>
      <c r="EP825" s="300"/>
      <c r="EQ825" s="294"/>
      <c r="ER825" s="294"/>
      <c r="ES825" s="305"/>
      <c r="ET825" s="305"/>
      <c r="EU825" s="306"/>
      <c r="EV825" s="307"/>
      <c r="EW825" s="308"/>
      <c r="EX825" s="300"/>
      <c r="EY825" s="294"/>
      <c r="EZ825" s="294"/>
      <c r="FA825" s="305"/>
      <c r="FB825" s="305"/>
      <c r="FC825" s="306"/>
      <c r="FD825" s="307"/>
      <c r="FE825" s="308"/>
      <c r="FF825" s="300"/>
      <c r="FG825" s="294"/>
      <c r="FH825" s="294"/>
      <c r="FI825" s="305"/>
      <c r="FJ825" s="305"/>
      <c r="FK825" s="306"/>
      <c r="FL825" s="307"/>
      <c r="FM825" s="308"/>
      <c r="FN825" s="300"/>
      <c r="FO825" s="294"/>
      <c r="FP825" s="294"/>
      <c r="FQ825" s="305"/>
      <c r="FR825" s="305"/>
      <c r="FS825" s="306"/>
      <c r="FT825" s="307"/>
      <c r="FU825" s="308"/>
      <c r="FV825" s="300"/>
      <c r="FW825" s="294"/>
      <c r="FX825" s="294"/>
      <c r="FY825" s="305"/>
      <c r="FZ825" s="305"/>
      <c r="GA825" s="306"/>
      <c r="GB825" s="307"/>
      <c r="GC825" s="308"/>
      <c r="GD825" s="300"/>
      <c r="GE825" s="294"/>
      <c r="GF825" s="294"/>
      <c r="GG825" s="305"/>
      <c r="GH825" s="305"/>
      <c r="GI825" s="306"/>
      <c r="GJ825" s="307"/>
      <c r="GK825" s="308"/>
      <c r="GL825" s="300"/>
      <c r="GM825" s="294"/>
      <c r="GN825" s="294"/>
      <c r="GO825" s="305"/>
      <c r="GP825" s="305"/>
      <c r="GQ825" s="306"/>
      <c r="GR825" s="307"/>
      <c r="GS825" s="308"/>
      <c r="GT825" s="300"/>
      <c r="GU825" s="294"/>
      <c r="GV825" s="294"/>
      <c r="GW825" s="305"/>
      <c r="GX825" s="305"/>
      <c r="GY825" s="306"/>
      <c r="GZ825" s="307"/>
      <c r="HA825" s="308"/>
      <c r="HB825" s="300"/>
      <c r="HC825" s="294"/>
      <c r="HD825" s="294"/>
      <c r="HE825" s="305"/>
      <c r="HF825" s="305"/>
      <c r="HG825" s="306"/>
      <c r="HH825" s="307"/>
      <c r="HI825" s="308"/>
      <c r="HJ825" s="300"/>
      <c r="HK825" s="294"/>
      <c r="HL825" s="294"/>
      <c r="HM825" s="305"/>
      <c r="HN825" s="305"/>
      <c r="HO825" s="306"/>
      <c r="HP825" s="307"/>
      <c r="HQ825" s="308"/>
      <c r="HR825" s="300"/>
      <c r="HS825" s="294"/>
      <c r="HT825" s="294"/>
      <c r="HU825" s="305"/>
      <c r="HV825" s="305"/>
      <c r="HW825" s="306"/>
      <c r="HX825" s="307"/>
      <c r="HY825" s="308"/>
      <c r="HZ825" s="300"/>
      <c r="IA825" s="294"/>
      <c r="IB825" s="294"/>
      <c r="IC825" s="305"/>
      <c r="ID825" s="305"/>
      <c r="IE825" s="306"/>
      <c r="IF825" s="307"/>
      <c r="IG825" s="308"/>
      <c r="IH825" s="300"/>
      <c r="II825" s="294"/>
      <c r="IJ825" s="294"/>
      <c r="IK825" s="305"/>
      <c r="IL825" s="305"/>
      <c r="IM825" s="306"/>
      <c r="IN825" s="307"/>
      <c r="IO825" s="308"/>
      <c r="IP825" s="300"/>
      <c r="IQ825" s="294"/>
      <c r="IR825" s="294"/>
      <c r="IS825" s="305"/>
      <c r="IT825" s="305"/>
      <c r="IU825" s="306"/>
      <c r="IV825" s="307"/>
    </row>
    <row r="826" spans="1:256">
      <c r="A826" s="630"/>
      <c r="B826" s="963"/>
      <c r="C826" s="309" t="s">
        <v>1056</v>
      </c>
      <c r="D826" s="310"/>
      <c r="E826" s="369"/>
      <c r="F826" s="369"/>
      <c r="G826" s="629"/>
      <c r="H826" s="661"/>
      <c r="I826" s="12"/>
      <c r="J826" s="300"/>
      <c r="K826" s="311"/>
      <c r="L826" s="312"/>
      <c r="M826" s="305"/>
      <c r="N826" s="305"/>
      <c r="O826" s="306"/>
      <c r="P826" s="313"/>
      <c r="Q826" s="314"/>
      <c r="R826" s="300"/>
      <c r="S826" s="311"/>
      <c r="T826" s="312"/>
      <c r="U826" s="305"/>
      <c r="V826" s="305"/>
      <c r="W826" s="306"/>
      <c r="X826" s="313"/>
      <c r="Y826" s="314"/>
      <c r="Z826" s="300"/>
      <c r="AA826" s="311"/>
      <c r="AB826" s="312"/>
      <c r="AC826" s="305"/>
      <c r="AD826" s="305"/>
      <c r="AE826" s="306"/>
      <c r="AF826" s="313"/>
      <c r="AG826" s="314"/>
      <c r="AH826" s="300"/>
      <c r="AI826" s="311"/>
      <c r="AJ826" s="312"/>
      <c r="AK826" s="305"/>
      <c r="AL826" s="305"/>
      <c r="AM826" s="306"/>
      <c r="AN826" s="313"/>
      <c r="AO826" s="314"/>
      <c r="AP826" s="300"/>
      <c r="AQ826" s="311"/>
      <c r="AR826" s="312"/>
      <c r="AS826" s="305"/>
      <c r="AT826" s="305"/>
      <c r="AU826" s="306"/>
      <c r="AV826" s="313"/>
      <c r="AW826" s="314"/>
      <c r="AX826" s="300"/>
      <c r="AY826" s="311"/>
      <c r="AZ826" s="312"/>
      <c r="BA826" s="305"/>
      <c r="BB826" s="305"/>
      <c r="BC826" s="306"/>
      <c r="BD826" s="313"/>
      <c r="BE826" s="314"/>
      <c r="BF826" s="300"/>
      <c r="BG826" s="311"/>
      <c r="BH826" s="312"/>
      <c r="BI826" s="305"/>
      <c r="BJ826" s="305"/>
      <c r="BK826" s="306"/>
      <c r="BL826" s="313"/>
      <c r="BM826" s="314"/>
      <c r="BN826" s="300"/>
      <c r="BO826" s="311"/>
      <c r="BP826" s="312"/>
      <c r="BQ826" s="305"/>
      <c r="BR826" s="305"/>
      <c r="BS826" s="306"/>
      <c r="BT826" s="313"/>
      <c r="BU826" s="314"/>
      <c r="BV826" s="300"/>
      <c r="BW826" s="311"/>
      <c r="BX826" s="312"/>
      <c r="BY826" s="305"/>
      <c r="BZ826" s="305"/>
      <c r="CA826" s="306"/>
      <c r="CB826" s="313"/>
      <c r="CC826" s="314"/>
      <c r="CD826" s="300"/>
      <c r="CE826" s="311"/>
      <c r="CF826" s="312"/>
      <c r="CG826" s="305"/>
      <c r="CH826" s="305"/>
      <c r="CI826" s="306"/>
      <c r="CJ826" s="313"/>
      <c r="CK826" s="314"/>
      <c r="CL826" s="300"/>
      <c r="CM826" s="311"/>
      <c r="CN826" s="312"/>
      <c r="CO826" s="305"/>
      <c r="CP826" s="305"/>
      <c r="CQ826" s="306"/>
      <c r="CR826" s="313"/>
      <c r="CS826" s="314"/>
      <c r="CT826" s="300"/>
      <c r="CU826" s="311"/>
      <c r="CV826" s="312"/>
      <c r="CW826" s="305"/>
      <c r="CX826" s="305"/>
      <c r="CY826" s="306"/>
      <c r="CZ826" s="313"/>
      <c r="DA826" s="314"/>
      <c r="DB826" s="300"/>
      <c r="DC826" s="311"/>
      <c r="DD826" s="312"/>
      <c r="DE826" s="305"/>
      <c r="DF826" s="305"/>
      <c r="DG826" s="306"/>
      <c r="DH826" s="313"/>
      <c r="DI826" s="314"/>
      <c r="DJ826" s="300"/>
      <c r="DK826" s="311"/>
      <c r="DL826" s="312"/>
      <c r="DM826" s="305"/>
      <c r="DN826" s="305"/>
      <c r="DO826" s="306"/>
      <c r="DP826" s="313"/>
      <c r="DQ826" s="314"/>
      <c r="DR826" s="300"/>
      <c r="DS826" s="311"/>
      <c r="DT826" s="312"/>
      <c r="DU826" s="305"/>
      <c r="DV826" s="305"/>
      <c r="DW826" s="306"/>
      <c r="DX826" s="313"/>
      <c r="DY826" s="314"/>
      <c r="DZ826" s="300"/>
      <c r="EA826" s="311"/>
      <c r="EB826" s="312"/>
      <c r="EC826" s="305"/>
      <c r="ED826" s="305"/>
      <c r="EE826" s="306"/>
      <c r="EF826" s="313"/>
      <c r="EG826" s="314"/>
      <c r="EH826" s="300"/>
      <c r="EI826" s="311"/>
      <c r="EJ826" s="312"/>
      <c r="EK826" s="305"/>
      <c r="EL826" s="305"/>
      <c r="EM826" s="306"/>
      <c r="EN826" s="313"/>
      <c r="EO826" s="314"/>
      <c r="EP826" s="300"/>
      <c r="EQ826" s="311"/>
      <c r="ER826" s="312"/>
      <c r="ES826" s="305"/>
      <c r="ET826" s="305"/>
      <c r="EU826" s="306"/>
      <c r="EV826" s="313"/>
      <c r="EW826" s="314"/>
      <c r="EX826" s="300"/>
      <c r="EY826" s="311"/>
      <c r="EZ826" s="312"/>
      <c r="FA826" s="305"/>
      <c r="FB826" s="305"/>
      <c r="FC826" s="306"/>
      <c r="FD826" s="313"/>
      <c r="FE826" s="314"/>
      <c r="FF826" s="300"/>
      <c r="FG826" s="311"/>
      <c r="FH826" s="312"/>
      <c r="FI826" s="305"/>
      <c r="FJ826" s="305"/>
      <c r="FK826" s="306"/>
      <c r="FL826" s="313"/>
      <c r="FM826" s="314"/>
      <c r="FN826" s="300"/>
      <c r="FO826" s="311"/>
      <c r="FP826" s="312"/>
      <c r="FQ826" s="305"/>
      <c r="FR826" s="305"/>
      <c r="FS826" s="306"/>
      <c r="FT826" s="313"/>
      <c r="FU826" s="314"/>
      <c r="FV826" s="300"/>
      <c r="FW826" s="311"/>
      <c r="FX826" s="312"/>
      <c r="FY826" s="305"/>
      <c r="FZ826" s="305"/>
      <c r="GA826" s="306"/>
      <c r="GB826" s="313"/>
      <c r="GC826" s="314"/>
      <c r="GD826" s="300"/>
      <c r="GE826" s="311"/>
      <c r="GF826" s="312"/>
      <c r="GG826" s="305"/>
      <c r="GH826" s="305"/>
      <c r="GI826" s="306"/>
      <c r="GJ826" s="313"/>
      <c r="GK826" s="314"/>
      <c r="GL826" s="300"/>
      <c r="GM826" s="311"/>
      <c r="GN826" s="312"/>
      <c r="GO826" s="305"/>
      <c r="GP826" s="305"/>
      <c r="GQ826" s="306"/>
      <c r="GR826" s="313"/>
      <c r="GS826" s="314"/>
      <c r="GT826" s="300"/>
      <c r="GU826" s="311"/>
      <c r="GV826" s="312"/>
      <c r="GW826" s="305"/>
      <c r="GX826" s="305"/>
      <c r="GY826" s="306"/>
      <c r="GZ826" s="313"/>
      <c r="HA826" s="314"/>
      <c r="HB826" s="300"/>
      <c r="HC826" s="311"/>
      <c r="HD826" s="312"/>
      <c r="HE826" s="305"/>
      <c r="HF826" s="305"/>
      <c r="HG826" s="306"/>
      <c r="HH826" s="313"/>
      <c r="HI826" s="314"/>
      <c r="HJ826" s="300"/>
      <c r="HK826" s="311"/>
      <c r="HL826" s="312"/>
      <c r="HM826" s="305"/>
      <c r="HN826" s="305"/>
      <c r="HO826" s="306"/>
      <c r="HP826" s="313"/>
      <c r="HQ826" s="314"/>
      <c r="HR826" s="300"/>
      <c r="HS826" s="311"/>
      <c r="HT826" s="312"/>
      <c r="HU826" s="305"/>
      <c r="HV826" s="305"/>
      <c r="HW826" s="306"/>
      <c r="HX826" s="313"/>
      <c r="HY826" s="314"/>
      <c r="HZ826" s="300"/>
      <c r="IA826" s="311"/>
      <c r="IB826" s="312"/>
      <c r="IC826" s="305"/>
      <c r="ID826" s="305"/>
      <c r="IE826" s="306"/>
      <c r="IF826" s="313"/>
      <c r="IG826" s="314"/>
      <c r="IH826" s="300"/>
      <c r="II826" s="311"/>
      <c r="IJ826" s="312"/>
      <c r="IK826" s="305"/>
      <c r="IL826" s="305"/>
      <c r="IM826" s="306"/>
      <c r="IN826" s="313"/>
      <c r="IO826" s="314"/>
      <c r="IP826" s="300"/>
      <c r="IQ826" s="311"/>
      <c r="IR826" s="312"/>
      <c r="IS826" s="305"/>
      <c r="IT826" s="305"/>
      <c r="IU826" s="306"/>
      <c r="IV826" s="313"/>
    </row>
    <row r="827" spans="1:256">
      <c r="A827" s="630"/>
      <c r="B827" s="963"/>
      <c r="C827" s="309" t="s">
        <v>1041</v>
      </c>
      <c r="D827" s="310"/>
      <c r="E827" s="369"/>
      <c r="F827" s="369"/>
      <c r="G827" s="629"/>
      <c r="H827" s="661"/>
      <c r="I827" s="12"/>
      <c r="J827" s="300"/>
      <c r="K827" s="311"/>
      <c r="L827" s="312"/>
      <c r="M827" s="305"/>
      <c r="N827" s="305"/>
      <c r="O827" s="306"/>
      <c r="P827" s="313"/>
      <c r="Q827" s="314"/>
      <c r="R827" s="300"/>
      <c r="S827" s="311"/>
      <c r="T827" s="312"/>
      <c r="U827" s="305"/>
      <c r="V827" s="305"/>
      <c r="W827" s="306"/>
      <c r="X827" s="313"/>
      <c r="Y827" s="314"/>
      <c r="Z827" s="300"/>
      <c r="AA827" s="311"/>
      <c r="AB827" s="312"/>
      <c r="AC827" s="305"/>
      <c r="AD827" s="305"/>
      <c r="AE827" s="306"/>
      <c r="AF827" s="313"/>
      <c r="AG827" s="314"/>
      <c r="AH827" s="300"/>
      <c r="AI827" s="311"/>
      <c r="AJ827" s="312"/>
      <c r="AK827" s="305"/>
      <c r="AL827" s="305"/>
      <c r="AM827" s="306"/>
      <c r="AN827" s="313"/>
      <c r="AO827" s="314"/>
      <c r="AP827" s="300"/>
      <c r="AQ827" s="311"/>
      <c r="AR827" s="312"/>
      <c r="AS827" s="305"/>
      <c r="AT827" s="305"/>
      <c r="AU827" s="306"/>
      <c r="AV827" s="313"/>
      <c r="AW827" s="314"/>
      <c r="AX827" s="300"/>
      <c r="AY827" s="311"/>
      <c r="AZ827" s="312"/>
      <c r="BA827" s="305"/>
      <c r="BB827" s="305"/>
      <c r="BC827" s="306"/>
      <c r="BD827" s="313"/>
      <c r="BE827" s="314"/>
      <c r="BF827" s="300"/>
      <c r="BG827" s="311"/>
      <c r="BH827" s="312"/>
      <c r="BI827" s="305"/>
      <c r="BJ827" s="305"/>
      <c r="BK827" s="306"/>
      <c r="BL827" s="313"/>
      <c r="BM827" s="314"/>
      <c r="BN827" s="300"/>
      <c r="BO827" s="311"/>
      <c r="BP827" s="312"/>
      <c r="BQ827" s="305"/>
      <c r="BR827" s="305"/>
      <c r="BS827" s="306"/>
      <c r="BT827" s="313"/>
      <c r="BU827" s="314"/>
      <c r="BV827" s="300"/>
      <c r="BW827" s="311"/>
      <c r="BX827" s="312"/>
      <c r="BY827" s="305"/>
      <c r="BZ827" s="305"/>
      <c r="CA827" s="306"/>
      <c r="CB827" s="313"/>
      <c r="CC827" s="314"/>
      <c r="CD827" s="300"/>
      <c r="CE827" s="311"/>
      <c r="CF827" s="312"/>
      <c r="CG827" s="305"/>
      <c r="CH827" s="305"/>
      <c r="CI827" s="306"/>
      <c r="CJ827" s="313"/>
      <c r="CK827" s="314"/>
      <c r="CL827" s="300"/>
      <c r="CM827" s="311"/>
      <c r="CN827" s="312"/>
      <c r="CO827" s="305"/>
      <c r="CP827" s="305"/>
      <c r="CQ827" s="306"/>
      <c r="CR827" s="313"/>
      <c r="CS827" s="314"/>
      <c r="CT827" s="300"/>
      <c r="CU827" s="311"/>
      <c r="CV827" s="312"/>
      <c r="CW827" s="305"/>
      <c r="CX827" s="305"/>
      <c r="CY827" s="306"/>
      <c r="CZ827" s="313"/>
      <c r="DA827" s="314"/>
      <c r="DB827" s="300"/>
      <c r="DC827" s="311"/>
      <c r="DD827" s="312"/>
      <c r="DE827" s="305"/>
      <c r="DF827" s="305"/>
      <c r="DG827" s="306"/>
      <c r="DH827" s="313"/>
      <c r="DI827" s="314"/>
      <c r="DJ827" s="300"/>
      <c r="DK827" s="311"/>
      <c r="DL827" s="312"/>
      <c r="DM827" s="305"/>
      <c r="DN827" s="305"/>
      <c r="DO827" s="306"/>
      <c r="DP827" s="313"/>
      <c r="DQ827" s="314"/>
      <c r="DR827" s="300"/>
      <c r="DS827" s="311"/>
      <c r="DT827" s="312"/>
      <c r="DU827" s="305"/>
      <c r="DV827" s="305"/>
      <c r="DW827" s="306"/>
      <c r="DX827" s="313"/>
      <c r="DY827" s="314"/>
      <c r="DZ827" s="300"/>
      <c r="EA827" s="311"/>
      <c r="EB827" s="312"/>
      <c r="EC827" s="305"/>
      <c r="ED827" s="305"/>
      <c r="EE827" s="306"/>
      <c r="EF827" s="313"/>
      <c r="EG827" s="314"/>
      <c r="EH827" s="300"/>
      <c r="EI827" s="311"/>
      <c r="EJ827" s="312"/>
      <c r="EK827" s="305"/>
      <c r="EL827" s="305"/>
      <c r="EM827" s="306"/>
      <c r="EN827" s="313"/>
      <c r="EO827" s="314"/>
      <c r="EP827" s="300"/>
      <c r="EQ827" s="311"/>
      <c r="ER827" s="312"/>
      <c r="ES827" s="305"/>
      <c r="ET827" s="305"/>
      <c r="EU827" s="306"/>
      <c r="EV827" s="313"/>
      <c r="EW827" s="314"/>
      <c r="EX827" s="300"/>
      <c r="EY827" s="311"/>
      <c r="EZ827" s="312"/>
      <c r="FA827" s="305"/>
      <c r="FB827" s="305"/>
      <c r="FC827" s="306"/>
      <c r="FD827" s="313"/>
      <c r="FE827" s="314"/>
      <c r="FF827" s="300"/>
      <c r="FG827" s="311"/>
      <c r="FH827" s="312"/>
      <c r="FI827" s="305"/>
      <c r="FJ827" s="305"/>
      <c r="FK827" s="306"/>
      <c r="FL827" s="313"/>
      <c r="FM827" s="314"/>
      <c r="FN827" s="300"/>
      <c r="FO827" s="311"/>
      <c r="FP827" s="312"/>
      <c r="FQ827" s="305"/>
      <c r="FR827" s="305"/>
      <c r="FS827" s="306"/>
      <c r="FT827" s="313"/>
      <c r="FU827" s="314"/>
      <c r="FV827" s="300"/>
      <c r="FW827" s="311"/>
      <c r="FX827" s="312"/>
      <c r="FY827" s="305"/>
      <c r="FZ827" s="305"/>
      <c r="GA827" s="306"/>
      <c r="GB827" s="313"/>
      <c r="GC827" s="314"/>
      <c r="GD827" s="300"/>
      <c r="GE827" s="311"/>
      <c r="GF827" s="312"/>
      <c r="GG827" s="305"/>
      <c r="GH827" s="305"/>
      <c r="GI827" s="306"/>
      <c r="GJ827" s="313"/>
      <c r="GK827" s="314"/>
      <c r="GL827" s="300"/>
      <c r="GM827" s="311"/>
      <c r="GN827" s="312"/>
      <c r="GO827" s="305"/>
      <c r="GP827" s="305"/>
      <c r="GQ827" s="306"/>
      <c r="GR827" s="313"/>
      <c r="GS827" s="314"/>
      <c r="GT827" s="300"/>
      <c r="GU827" s="311"/>
      <c r="GV827" s="312"/>
      <c r="GW827" s="305"/>
      <c r="GX827" s="305"/>
      <c r="GY827" s="306"/>
      <c r="GZ827" s="313"/>
      <c r="HA827" s="314"/>
      <c r="HB827" s="300"/>
      <c r="HC827" s="311"/>
      <c r="HD827" s="312"/>
      <c r="HE827" s="305"/>
      <c r="HF827" s="305"/>
      <c r="HG827" s="306"/>
      <c r="HH827" s="313"/>
      <c r="HI827" s="314"/>
      <c r="HJ827" s="300"/>
      <c r="HK827" s="311"/>
      <c r="HL827" s="312"/>
      <c r="HM827" s="305"/>
      <c r="HN827" s="305"/>
      <c r="HO827" s="306"/>
      <c r="HP827" s="313"/>
      <c r="HQ827" s="314"/>
      <c r="HR827" s="300"/>
      <c r="HS827" s="311"/>
      <c r="HT827" s="312"/>
      <c r="HU827" s="305"/>
      <c r="HV827" s="305"/>
      <c r="HW827" s="306"/>
      <c r="HX827" s="313"/>
      <c r="HY827" s="314"/>
      <c r="HZ827" s="300"/>
      <c r="IA827" s="311"/>
      <c r="IB827" s="312"/>
      <c r="IC827" s="305"/>
      <c r="ID827" s="305"/>
      <c r="IE827" s="306"/>
      <c r="IF827" s="313"/>
      <c r="IG827" s="314"/>
      <c r="IH827" s="300"/>
      <c r="II827" s="311"/>
      <c r="IJ827" s="312"/>
      <c r="IK827" s="305"/>
      <c r="IL827" s="305"/>
      <c r="IM827" s="306"/>
      <c r="IN827" s="313"/>
      <c r="IO827" s="314"/>
      <c r="IP827" s="300"/>
      <c r="IQ827" s="311"/>
      <c r="IR827" s="312"/>
      <c r="IS827" s="305"/>
      <c r="IT827" s="305"/>
      <c r="IU827" s="306"/>
      <c r="IV827" s="313"/>
    </row>
    <row r="828" spans="1:256">
      <c r="A828" s="630"/>
      <c r="B828" s="963"/>
      <c r="C828" s="200" t="s">
        <v>1057</v>
      </c>
      <c r="D828" s="310" t="s">
        <v>1473</v>
      </c>
      <c r="E828" s="370">
        <v>512</v>
      </c>
      <c r="F828" s="371">
        <f>'Lead- Input sheet '!R15</f>
        <v>9331.822382607932</v>
      </c>
      <c r="G828" s="215">
        <f>ROUND(E828*F828/1000,2)</f>
        <v>4777.8900000000003</v>
      </c>
      <c r="H828" s="661"/>
      <c r="I828" s="12"/>
      <c r="J828" s="300"/>
      <c r="K828" s="199"/>
      <c r="L828" s="312"/>
      <c r="M828" s="315"/>
      <c r="N828" s="312"/>
      <c r="O828" s="316"/>
      <c r="P828" s="313"/>
      <c r="Q828" s="314"/>
      <c r="R828" s="300"/>
      <c r="S828" s="199"/>
      <c r="T828" s="312"/>
      <c r="U828" s="315"/>
      <c r="V828" s="312"/>
      <c r="W828" s="316"/>
      <c r="X828" s="313"/>
      <c r="Y828" s="314"/>
      <c r="Z828" s="300"/>
      <c r="AA828" s="199"/>
      <c r="AB828" s="312"/>
      <c r="AC828" s="315"/>
      <c r="AD828" s="312"/>
      <c r="AE828" s="316"/>
      <c r="AF828" s="313"/>
      <c r="AG828" s="314"/>
      <c r="AH828" s="300"/>
      <c r="AI828" s="199"/>
      <c r="AJ828" s="312"/>
      <c r="AK828" s="315"/>
      <c r="AL828" s="312"/>
      <c r="AM828" s="316"/>
      <c r="AN828" s="313"/>
      <c r="AO828" s="314"/>
      <c r="AP828" s="300"/>
      <c r="AQ828" s="199"/>
      <c r="AR828" s="312"/>
      <c r="AS828" s="315"/>
      <c r="AT828" s="312"/>
      <c r="AU828" s="316"/>
      <c r="AV828" s="313"/>
      <c r="AW828" s="314"/>
      <c r="AX828" s="300"/>
      <c r="AY828" s="199"/>
      <c r="AZ828" s="312"/>
      <c r="BA828" s="315"/>
      <c r="BB828" s="312"/>
      <c r="BC828" s="316"/>
      <c r="BD828" s="313"/>
      <c r="BE828" s="314"/>
      <c r="BF828" s="300"/>
      <c r="BG828" s="199"/>
      <c r="BH828" s="312"/>
      <c r="BI828" s="315"/>
      <c r="BJ828" s="312"/>
      <c r="BK828" s="316"/>
      <c r="BL828" s="313"/>
      <c r="BM828" s="314"/>
      <c r="BN828" s="300"/>
      <c r="BO828" s="199"/>
      <c r="BP828" s="312"/>
      <c r="BQ828" s="315"/>
      <c r="BR828" s="312"/>
      <c r="BS828" s="316"/>
      <c r="BT828" s="313"/>
      <c r="BU828" s="314"/>
      <c r="BV828" s="300"/>
      <c r="BW828" s="199"/>
      <c r="BX828" s="312"/>
      <c r="BY828" s="315"/>
      <c r="BZ828" s="312"/>
      <c r="CA828" s="316"/>
      <c r="CB828" s="313"/>
      <c r="CC828" s="314"/>
      <c r="CD828" s="300"/>
      <c r="CE828" s="199"/>
      <c r="CF828" s="312"/>
      <c r="CG828" s="315"/>
      <c r="CH828" s="312"/>
      <c r="CI828" s="316"/>
      <c r="CJ828" s="313"/>
      <c r="CK828" s="314"/>
      <c r="CL828" s="300"/>
      <c r="CM828" s="199"/>
      <c r="CN828" s="312"/>
      <c r="CO828" s="315"/>
      <c r="CP828" s="312"/>
      <c r="CQ828" s="316"/>
      <c r="CR828" s="313"/>
      <c r="CS828" s="314"/>
      <c r="CT828" s="300"/>
      <c r="CU828" s="199"/>
      <c r="CV828" s="312"/>
      <c r="CW828" s="315"/>
      <c r="CX828" s="312"/>
      <c r="CY828" s="316"/>
      <c r="CZ828" s="313"/>
      <c r="DA828" s="314"/>
      <c r="DB828" s="300"/>
      <c r="DC828" s="199"/>
      <c r="DD828" s="312"/>
      <c r="DE828" s="315"/>
      <c r="DF828" s="312"/>
      <c r="DG828" s="316"/>
      <c r="DH828" s="313"/>
      <c r="DI828" s="314"/>
      <c r="DJ828" s="300"/>
      <c r="DK828" s="199"/>
      <c r="DL828" s="312"/>
      <c r="DM828" s="315"/>
      <c r="DN828" s="312"/>
      <c r="DO828" s="316"/>
      <c r="DP828" s="313"/>
      <c r="DQ828" s="314"/>
      <c r="DR828" s="300"/>
      <c r="DS828" s="199"/>
      <c r="DT828" s="312"/>
      <c r="DU828" s="315"/>
      <c r="DV828" s="312"/>
      <c r="DW828" s="316"/>
      <c r="DX828" s="313"/>
      <c r="DY828" s="314"/>
      <c r="DZ828" s="300"/>
      <c r="EA828" s="199"/>
      <c r="EB828" s="312"/>
      <c r="EC828" s="315"/>
      <c r="ED828" s="312"/>
      <c r="EE828" s="316"/>
      <c r="EF828" s="313"/>
      <c r="EG828" s="314"/>
      <c r="EH828" s="300"/>
      <c r="EI828" s="199"/>
      <c r="EJ828" s="312"/>
      <c r="EK828" s="315"/>
      <c r="EL828" s="312"/>
      <c r="EM828" s="316"/>
      <c r="EN828" s="313"/>
      <c r="EO828" s="314"/>
      <c r="EP828" s="300"/>
      <c r="EQ828" s="199"/>
      <c r="ER828" s="312"/>
      <c r="ES828" s="315"/>
      <c r="ET828" s="312"/>
      <c r="EU828" s="316"/>
      <c r="EV828" s="313"/>
      <c r="EW828" s="314"/>
      <c r="EX828" s="300"/>
      <c r="EY828" s="199"/>
      <c r="EZ828" s="312"/>
      <c r="FA828" s="315"/>
      <c r="FB828" s="312"/>
      <c r="FC828" s="316"/>
      <c r="FD828" s="313"/>
      <c r="FE828" s="314"/>
      <c r="FF828" s="300"/>
      <c r="FG828" s="199"/>
      <c r="FH828" s="312"/>
      <c r="FI828" s="315"/>
      <c r="FJ828" s="312"/>
      <c r="FK828" s="316"/>
      <c r="FL828" s="313"/>
      <c r="FM828" s="314"/>
      <c r="FN828" s="300"/>
      <c r="FO828" s="199"/>
      <c r="FP828" s="312"/>
      <c r="FQ828" s="315"/>
      <c r="FR828" s="312"/>
      <c r="FS828" s="316"/>
      <c r="FT828" s="313"/>
      <c r="FU828" s="314"/>
      <c r="FV828" s="300"/>
      <c r="FW828" s="199"/>
      <c r="FX828" s="312"/>
      <c r="FY828" s="315"/>
      <c r="FZ828" s="312"/>
      <c r="GA828" s="316"/>
      <c r="GB828" s="313"/>
      <c r="GC828" s="314"/>
      <c r="GD828" s="300"/>
      <c r="GE828" s="199"/>
      <c r="GF828" s="312"/>
      <c r="GG828" s="315"/>
      <c r="GH828" s="312"/>
      <c r="GI828" s="316"/>
      <c r="GJ828" s="313"/>
      <c r="GK828" s="314"/>
      <c r="GL828" s="300"/>
      <c r="GM828" s="199"/>
      <c r="GN828" s="312"/>
      <c r="GO828" s="315"/>
      <c r="GP828" s="312"/>
      <c r="GQ828" s="316"/>
      <c r="GR828" s="313"/>
      <c r="GS828" s="314"/>
      <c r="GT828" s="300"/>
      <c r="GU828" s="199"/>
      <c r="GV828" s="312"/>
      <c r="GW828" s="315"/>
      <c r="GX828" s="312"/>
      <c r="GY828" s="316"/>
      <c r="GZ828" s="313"/>
      <c r="HA828" s="314"/>
      <c r="HB828" s="300"/>
      <c r="HC828" s="199"/>
      <c r="HD828" s="312"/>
      <c r="HE828" s="315"/>
      <c r="HF828" s="312"/>
      <c r="HG828" s="316"/>
      <c r="HH828" s="313"/>
      <c r="HI828" s="314"/>
      <c r="HJ828" s="300"/>
      <c r="HK828" s="199"/>
      <c r="HL828" s="312"/>
      <c r="HM828" s="315"/>
      <c r="HN828" s="312"/>
      <c r="HO828" s="316"/>
      <c r="HP828" s="313"/>
      <c r="HQ828" s="314"/>
      <c r="HR828" s="300"/>
      <c r="HS828" s="199"/>
      <c r="HT828" s="312"/>
      <c r="HU828" s="315"/>
      <c r="HV828" s="312"/>
      <c r="HW828" s="316"/>
      <c r="HX828" s="313"/>
      <c r="HY828" s="314"/>
      <c r="HZ828" s="300"/>
      <c r="IA828" s="199"/>
      <c r="IB828" s="312"/>
      <c r="IC828" s="315"/>
      <c r="ID828" s="312"/>
      <c r="IE828" s="316"/>
      <c r="IF828" s="313"/>
      <c r="IG828" s="314"/>
      <c r="IH828" s="300"/>
      <c r="II828" s="199"/>
      <c r="IJ828" s="312"/>
      <c r="IK828" s="315"/>
      <c r="IL828" s="312"/>
      <c r="IM828" s="316"/>
      <c r="IN828" s="313"/>
      <c r="IO828" s="314"/>
      <c r="IP828" s="300"/>
      <c r="IQ828" s="199"/>
      <c r="IR828" s="312"/>
      <c r="IS828" s="315"/>
      <c r="IT828" s="312"/>
      <c r="IU828" s="316"/>
      <c r="IV828" s="313"/>
    </row>
    <row r="829" spans="1:256">
      <c r="A829" s="630"/>
      <c r="B829" s="963"/>
      <c r="C829" s="200" t="s">
        <v>106</v>
      </c>
      <c r="D829" s="310" t="s">
        <v>1473</v>
      </c>
      <c r="E829" s="370">
        <v>0.2</v>
      </c>
      <c r="F829" s="381">
        <f>G95</f>
        <v>3818.78</v>
      </c>
      <c r="G829" s="215">
        <f>ROUND(E829*F829,2)</f>
        <v>763.76</v>
      </c>
      <c r="H829" s="661"/>
      <c r="I829" s="12"/>
      <c r="J829" s="300">
        <f>0.2/4*1.44</f>
        <v>7.1999999999999995E-2</v>
      </c>
      <c r="K829" s="199"/>
      <c r="L829" s="312"/>
      <c r="M829" s="315"/>
      <c r="N829" s="316"/>
      <c r="O829" s="316"/>
      <c r="P829" s="313"/>
      <c r="Q829" s="314"/>
      <c r="R829" s="300"/>
      <c r="S829" s="199"/>
      <c r="T829" s="312"/>
      <c r="U829" s="315"/>
      <c r="V829" s="316"/>
      <c r="W829" s="316"/>
      <c r="X829" s="313"/>
      <c r="Y829" s="314"/>
      <c r="Z829" s="300"/>
      <c r="AA829" s="199"/>
      <c r="AB829" s="312"/>
      <c r="AC829" s="315"/>
      <c r="AD829" s="316"/>
      <c r="AE829" s="316"/>
      <c r="AF829" s="313"/>
      <c r="AG829" s="314"/>
      <c r="AH829" s="300"/>
      <c r="AI829" s="199"/>
      <c r="AJ829" s="312"/>
      <c r="AK829" s="315"/>
      <c r="AL829" s="316"/>
      <c r="AM829" s="316"/>
      <c r="AN829" s="313"/>
      <c r="AO829" s="314"/>
      <c r="AP829" s="300"/>
      <c r="AQ829" s="199"/>
      <c r="AR829" s="312"/>
      <c r="AS829" s="315"/>
      <c r="AT829" s="316"/>
      <c r="AU829" s="316"/>
      <c r="AV829" s="313"/>
      <c r="AW829" s="314"/>
      <c r="AX829" s="300"/>
      <c r="AY829" s="199"/>
      <c r="AZ829" s="312"/>
      <c r="BA829" s="315"/>
      <c r="BB829" s="316"/>
      <c r="BC829" s="316"/>
      <c r="BD829" s="313"/>
      <c r="BE829" s="314"/>
      <c r="BF829" s="300"/>
      <c r="BG829" s="199"/>
      <c r="BH829" s="312"/>
      <c r="BI829" s="315"/>
      <c r="BJ829" s="316"/>
      <c r="BK829" s="316"/>
      <c r="BL829" s="313"/>
      <c r="BM829" s="314"/>
      <c r="BN829" s="300"/>
      <c r="BO829" s="199"/>
      <c r="BP829" s="312"/>
      <c r="BQ829" s="315"/>
      <c r="BR829" s="316"/>
      <c r="BS829" s="316"/>
      <c r="BT829" s="313"/>
      <c r="BU829" s="314"/>
      <c r="BV829" s="300"/>
      <c r="BW829" s="199"/>
      <c r="BX829" s="312"/>
      <c r="BY829" s="315"/>
      <c r="BZ829" s="316"/>
      <c r="CA829" s="316"/>
      <c r="CB829" s="313"/>
      <c r="CC829" s="314"/>
      <c r="CD829" s="300"/>
      <c r="CE829" s="199"/>
      <c r="CF829" s="312"/>
      <c r="CG829" s="315"/>
      <c r="CH829" s="316"/>
      <c r="CI829" s="316"/>
      <c r="CJ829" s="313"/>
      <c r="CK829" s="314"/>
      <c r="CL829" s="300"/>
      <c r="CM829" s="199"/>
      <c r="CN829" s="312"/>
      <c r="CO829" s="315"/>
      <c r="CP829" s="316"/>
      <c r="CQ829" s="316"/>
      <c r="CR829" s="313"/>
      <c r="CS829" s="314"/>
      <c r="CT829" s="300"/>
      <c r="CU829" s="199"/>
      <c r="CV829" s="312"/>
      <c r="CW829" s="315"/>
      <c r="CX829" s="316"/>
      <c r="CY829" s="316"/>
      <c r="CZ829" s="313"/>
      <c r="DA829" s="314"/>
      <c r="DB829" s="300"/>
      <c r="DC829" s="199"/>
      <c r="DD829" s="312"/>
      <c r="DE829" s="315"/>
      <c r="DF829" s="316"/>
      <c r="DG829" s="316"/>
      <c r="DH829" s="313"/>
      <c r="DI829" s="314"/>
      <c r="DJ829" s="300"/>
      <c r="DK829" s="199"/>
      <c r="DL829" s="312"/>
      <c r="DM829" s="315"/>
      <c r="DN829" s="316"/>
      <c r="DO829" s="316"/>
      <c r="DP829" s="313"/>
      <c r="DQ829" s="314"/>
      <c r="DR829" s="300"/>
      <c r="DS829" s="199"/>
      <c r="DT829" s="312"/>
      <c r="DU829" s="315"/>
      <c r="DV829" s="316"/>
      <c r="DW829" s="316"/>
      <c r="DX829" s="313"/>
      <c r="DY829" s="314"/>
      <c r="DZ829" s="300"/>
      <c r="EA829" s="199"/>
      <c r="EB829" s="312"/>
      <c r="EC829" s="315"/>
      <c r="ED829" s="316"/>
      <c r="EE829" s="316"/>
      <c r="EF829" s="313"/>
      <c r="EG829" s="314"/>
      <c r="EH829" s="300"/>
      <c r="EI829" s="199"/>
      <c r="EJ829" s="312"/>
      <c r="EK829" s="315"/>
      <c r="EL829" s="316"/>
      <c r="EM829" s="316"/>
      <c r="EN829" s="313"/>
      <c r="EO829" s="314"/>
      <c r="EP829" s="300"/>
      <c r="EQ829" s="199"/>
      <c r="ER829" s="312"/>
      <c r="ES829" s="315"/>
      <c r="ET829" s="316"/>
      <c r="EU829" s="316"/>
      <c r="EV829" s="313"/>
      <c r="EW829" s="314"/>
      <c r="EX829" s="300"/>
      <c r="EY829" s="199"/>
      <c r="EZ829" s="312"/>
      <c r="FA829" s="315"/>
      <c r="FB829" s="316"/>
      <c r="FC829" s="316"/>
      <c r="FD829" s="313"/>
      <c r="FE829" s="314"/>
      <c r="FF829" s="300"/>
      <c r="FG829" s="199"/>
      <c r="FH829" s="312"/>
      <c r="FI829" s="315"/>
      <c r="FJ829" s="316"/>
      <c r="FK829" s="316"/>
      <c r="FL829" s="313"/>
      <c r="FM829" s="314"/>
      <c r="FN829" s="300"/>
      <c r="FO829" s="199"/>
      <c r="FP829" s="312"/>
      <c r="FQ829" s="315"/>
      <c r="FR829" s="316"/>
      <c r="FS829" s="316"/>
      <c r="FT829" s="313"/>
      <c r="FU829" s="314"/>
      <c r="FV829" s="300"/>
      <c r="FW829" s="199"/>
      <c r="FX829" s="312"/>
      <c r="FY829" s="315"/>
      <c r="FZ829" s="316"/>
      <c r="GA829" s="316"/>
      <c r="GB829" s="313"/>
      <c r="GC829" s="314"/>
      <c r="GD829" s="300"/>
      <c r="GE829" s="199"/>
      <c r="GF829" s="312"/>
      <c r="GG829" s="315"/>
      <c r="GH829" s="316"/>
      <c r="GI829" s="316"/>
      <c r="GJ829" s="313"/>
      <c r="GK829" s="314"/>
      <c r="GL829" s="300"/>
      <c r="GM829" s="199"/>
      <c r="GN829" s="312"/>
      <c r="GO829" s="315"/>
      <c r="GP829" s="316"/>
      <c r="GQ829" s="316"/>
      <c r="GR829" s="313"/>
      <c r="GS829" s="314"/>
      <c r="GT829" s="300"/>
      <c r="GU829" s="199"/>
      <c r="GV829" s="312"/>
      <c r="GW829" s="315"/>
      <c r="GX829" s="316"/>
      <c r="GY829" s="316"/>
      <c r="GZ829" s="313"/>
      <c r="HA829" s="314"/>
      <c r="HB829" s="300"/>
      <c r="HC829" s="199"/>
      <c r="HD829" s="312"/>
      <c r="HE829" s="315"/>
      <c r="HF829" s="316"/>
      <c r="HG829" s="316"/>
      <c r="HH829" s="313"/>
      <c r="HI829" s="314"/>
      <c r="HJ829" s="300"/>
      <c r="HK829" s="199"/>
      <c r="HL829" s="312"/>
      <c r="HM829" s="315"/>
      <c r="HN829" s="316"/>
      <c r="HO829" s="316"/>
      <c r="HP829" s="313"/>
      <c r="HQ829" s="314"/>
      <c r="HR829" s="300"/>
      <c r="HS829" s="199"/>
      <c r="HT829" s="312"/>
      <c r="HU829" s="315"/>
      <c r="HV829" s="316"/>
      <c r="HW829" s="316"/>
      <c r="HX829" s="313"/>
      <c r="HY829" s="314"/>
      <c r="HZ829" s="300"/>
      <c r="IA829" s="199"/>
      <c r="IB829" s="312"/>
      <c r="IC829" s="315"/>
      <c r="ID829" s="316"/>
      <c r="IE829" s="316"/>
      <c r="IF829" s="313"/>
      <c r="IG829" s="314"/>
      <c r="IH829" s="300"/>
      <c r="II829" s="199"/>
      <c r="IJ829" s="312"/>
      <c r="IK829" s="315"/>
      <c r="IL829" s="316"/>
      <c r="IM829" s="316"/>
      <c r="IN829" s="313"/>
      <c r="IO829" s="314"/>
      <c r="IP829" s="300"/>
      <c r="IQ829" s="199"/>
      <c r="IR829" s="312"/>
      <c r="IS829" s="315"/>
      <c r="IT829" s="316"/>
      <c r="IU829" s="316"/>
      <c r="IV829" s="313"/>
    </row>
    <row r="830" spans="1:256" s="214" customFormat="1">
      <c r="A830" s="630"/>
      <c r="B830" s="963"/>
      <c r="C830" s="309" t="s">
        <v>340</v>
      </c>
      <c r="D830" s="310"/>
      <c r="E830" s="370"/>
      <c r="F830" s="371"/>
      <c r="G830" s="215"/>
      <c r="H830" s="661"/>
      <c r="I830" s="12"/>
      <c r="J830" s="300"/>
      <c r="K830" s="311"/>
      <c r="L830" s="312"/>
      <c r="M830" s="315"/>
      <c r="N830" s="312"/>
      <c r="O830" s="306"/>
      <c r="P830" s="313"/>
      <c r="Q830" s="314"/>
      <c r="R830" s="300"/>
      <c r="S830" s="311"/>
      <c r="T830" s="312"/>
      <c r="U830" s="315"/>
      <c r="V830" s="312"/>
      <c r="W830" s="306"/>
      <c r="X830" s="313"/>
      <c r="Y830" s="314"/>
      <c r="Z830" s="300"/>
      <c r="AA830" s="311"/>
      <c r="AB830" s="312"/>
      <c r="AC830" s="315"/>
      <c r="AD830" s="312"/>
      <c r="AE830" s="306"/>
      <c r="AF830" s="313"/>
      <c r="AG830" s="314"/>
      <c r="AH830" s="300"/>
      <c r="AI830" s="311"/>
      <c r="AJ830" s="312"/>
      <c r="AK830" s="315"/>
      <c r="AL830" s="312"/>
      <c r="AM830" s="306"/>
      <c r="AN830" s="313"/>
      <c r="AO830" s="314"/>
      <c r="AP830" s="300"/>
      <c r="AQ830" s="311"/>
      <c r="AR830" s="312"/>
      <c r="AS830" s="315"/>
      <c r="AT830" s="312"/>
      <c r="AU830" s="306"/>
      <c r="AV830" s="313"/>
      <c r="AW830" s="314"/>
      <c r="AX830" s="300"/>
      <c r="AY830" s="311"/>
      <c r="AZ830" s="312"/>
      <c r="BA830" s="315"/>
      <c r="BB830" s="312"/>
      <c r="BC830" s="306"/>
      <c r="BD830" s="313"/>
      <c r="BE830" s="314"/>
      <c r="BF830" s="300"/>
      <c r="BG830" s="311"/>
      <c r="BH830" s="312"/>
      <c r="BI830" s="315"/>
      <c r="BJ830" s="312"/>
      <c r="BK830" s="306"/>
      <c r="BL830" s="313"/>
      <c r="BM830" s="314"/>
      <c r="BN830" s="300"/>
      <c r="BO830" s="311"/>
      <c r="BP830" s="312"/>
      <c r="BQ830" s="315"/>
      <c r="BR830" s="312"/>
      <c r="BS830" s="306"/>
      <c r="BT830" s="313"/>
      <c r="BU830" s="314"/>
      <c r="BV830" s="300"/>
      <c r="BW830" s="311"/>
      <c r="BX830" s="312"/>
      <c r="BY830" s="315"/>
      <c r="BZ830" s="312"/>
      <c r="CA830" s="306"/>
      <c r="CB830" s="313"/>
      <c r="CC830" s="314"/>
      <c r="CD830" s="300"/>
      <c r="CE830" s="311"/>
      <c r="CF830" s="312"/>
      <c r="CG830" s="315"/>
      <c r="CH830" s="312"/>
      <c r="CI830" s="306"/>
      <c r="CJ830" s="313"/>
      <c r="CK830" s="314"/>
      <c r="CL830" s="300"/>
      <c r="CM830" s="311"/>
      <c r="CN830" s="312"/>
      <c r="CO830" s="315"/>
      <c r="CP830" s="312"/>
      <c r="CQ830" s="306"/>
      <c r="CR830" s="313"/>
      <c r="CS830" s="314"/>
      <c r="CT830" s="300"/>
      <c r="CU830" s="311"/>
      <c r="CV830" s="312"/>
      <c r="CW830" s="315"/>
      <c r="CX830" s="312"/>
      <c r="CY830" s="306"/>
      <c r="CZ830" s="313"/>
      <c r="DA830" s="314"/>
      <c r="DB830" s="300"/>
      <c r="DC830" s="311"/>
      <c r="DD830" s="312"/>
      <c r="DE830" s="315"/>
      <c r="DF830" s="312"/>
      <c r="DG830" s="306"/>
      <c r="DH830" s="313"/>
      <c r="DI830" s="314"/>
      <c r="DJ830" s="300"/>
      <c r="DK830" s="311"/>
      <c r="DL830" s="312"/>
      <c r="DM830" s="315"/>
      <c r="DN830" s="312"/>
      <c r="DO830" s="306"/>
      <c r="DP830" s="313"/>
      <c r="DQ830" s="314"/>
      <c r="DR830" s="300"/>
      <c r="DS830" s="311"/>
      <c r="DT830" s="312"/>
      <c r="DU830" s="315"/>
      <c r="DV830" s="312"/>
      <c r="DW830" s="306"/>
      <c r="DX830" s="313"/>
      <c r="DY830" s="314"/>
      <c r="DZ830" s="300"/>
      <c r="EA830" s="311"/>
      <c r="EB830" s="312"/>
      <c r="EC830" s="315"/>
      <c r="ED830" s="312"/>
      <c r="EE830" s="306"/>
      <c r="EF830" s="313"/>
      <c r="EG830" s="314"/>
      <c r="EH830" s="300"/>
      <c r="EI830" s="311"/>
      <c r="EJ830" s="312"/>
      <c r="EK830" s="315"/>
      <c r="EL830" s="312"/>
      <c r="EM830" s="306"/>
      <c r="EN830" s="313"/>
      <c r="EO830" s="314"/>
      <c r="EP830" s="300"/>
      <c r="EQ830" s="311"/>
      <c r="ER830" s="312"/>
      <c r="ES830" s="315"/>
      <c r="ET830" s="312"/>
      <c r="EU830" s="306"/>
      <c r="EV830" s="313"/>
      <c r="EW830" s="314"/>
      <c r="EX830" s="300"/>
      <c r="EY830" s="311"/>
      <c r="EZ830" s="312"/>
      <c r="FA830" s="315"/>
      <c r="FB830" s="312"/>
      <c r="FC830" s="306"/>
      <c r="FD830" s="313"/>
      <c r="FE830" s="314"/>
      <c r="FF830" s="300"/>
      <c r="FG830" s="311"/>
      <c r="FH830" s="312"/>
      <c r="FI830" s="315"/>
      <c r="FJ830" s="312"/>
      <c r="FK830" s="306"/>
      <c r="FL830" s="313"/>
      <c r="FM830" s="314"/>
      <c r="FN830" s="300"/>
      <c r="FO830" s="311"/>
      <c r="FP830" s="312"/>
      <c r="FQ830" s="315"/>
      <c r="FR830" s="312"/>
      <c r="FS830" s="306"/>
      <c r="FT830" s="313"/>
      <c r="FU830" s="314"/>
      <c r="FV830" s="300"/>
      <c r="FW830" s="311"/>
      <c r="FX830" s="312"/>
      <c r="FY830" s="315"/>
      <c r="FZ830" s="312"/>
      <c r="GA830" s="306"/>
      <c r="GB830" s="313"/>
      <c r="GC830" s="314"/>
      <c r="GD830" s="300"/>
      <c r="GE830" s="311"/>
      <c r="GF830" s="312"/>
      <c r="GG830" s="315"/>
      <c r="GH830" s="312"/>
      <c r="GI830" s="306"/>
      <c r="GJ830" s="313"/>
      <c r="GK830" s="314"/>
      <c r="GL830" s="300"/>
      <c r="GM830" s="311"/>
      <c r="GN830" s="312"/>
      <c r="GO830" s="315"/>
      <c r="GP830" s="312"/>
      <c r="GQ830" s="306"/>
      <c r="GR830" s="313"/>
      <c r="GS830" s="314"/>
      <c r="GT830" s="300"/>
      <c r="GU830" s="311"/>
      <c r="GV830" s="312"/>
      <c r="GW830" s="315"/>
      <c r="GX830" s="312"/>
      <c r="GY830" s="306"/>
      <c r="GZ830" s="313"/>
      <c r="HA830" s="314"/>
      <c r="HB830" s="300"/>
      <c r="HC830" s="311"/>
      <c r="HD830" s="312"/>
      <c r="HE830" s="315"/>
      <c r="HF830" s="312"/>
      <c r="HG830" s="306"/>
      <c r="HH830" s="313"/>
      <c r="HI830" s="314"/>
      <c r="HJ830" s="300"/>
      <c r="HK830" s="311"/>
      <c r="HL830" s="312"/>
      <c r="HM830" s="315"/>
      <c r="HN830" s="312"/>
      <c r="HO830" s="306"/>
      <c r="HP830" s="313"/>
      <c r="HQ830" s="314"/>
      <c r="HR830" s="300"/>
      <c r="HS830" s="311"/>
      <c r="HT830" s="312"/>
      <c r="HU830" s="315"/>
      <c r="HV830" s="312"/>
      <c r="HW830" s="306"/>
      <c r="HX830" s="313"/>
      <c r="HY830" s="314"/>
      <c r="HZ830" s="300"/>
      <c r="IA830" s="311"/>
      <c r="IB830" s="312"/>
      <c r="IC830" s="315"/>
      <c r="ID830" s="312"/>
      <c r="IE830" s="306"/>
      <c r="IF830" s="313"/>
      <c r="IG830" s="314"/>
      <c r="IH830" s="300"/>
      <c r="II830" s="311"/>
      <c r="IJ830" s="312"/>
      <c r="IK830" s="315"/>
      <c r="IL830" s="312"/>
      <c r="IM830" s="306"/>
      <c r="IN830" s="313"/>
      <c r="IO830" s="314"/>
      <c r="IP830" s="300"/>
      <c r="IQ830" s="311"/>
      <c r="IR830" s="312"/>
      <c r="IS830" s="315"/>
      <c r="IT830" s="312"/>
      <c r="IU830" s="306"/>
      <c r="IV830" s="313"/>
    </row>
    <row r="831" spans="1:256" s="214" customFormat="1" ht="13.2">
      <c r="A831" s="630"/>
      <c r="B831" s="963"/>
      <c r="C831" s="317" t="s">
        <v>130</v>
      </c>
      <c r="D831" s="310" t="s">
        <v>1047</v>
      </c>
      <c r="E831" s="370">
        <v>0.6</v>
      </c>
      <c r="F831" s="371">
        <f>'Lead- Input sheet '!R31</f>
        <v>680</v>
      </c>
      <c r="G831" s="215">
        <f>ROUND(E831*F831,2)</f>
        <v>408</v>
      </c>
      <c r="H831" s="661"/>
      <c r="I831" s="12"/>
      <c r="J831" s="300"/>
      <c r="K831" s="318"/>
      <c r="L831" s="312"/>
      <c r="M831" s="315"/>
      <c r="N831" s="312"/>
      <c r="O831" s="316"/>
      <c r="P831" s="313"/>
      <c r="Q831" s="314"/>
      <c r="R831" s="300"/>
      <c r="S831" s="318"/>
      <c r="T831" s="312"/>
      <c r="U831" s="315"/>
      <c r="V831" s="312"/>
      <c r="W831" s="316"/>
      <c r="X831" s="313"/>
      <c r="Y831" s="314"/>
      <c r="Z831" s="300"/>
      <c r="AA831" s="318"/>
      <c r="AB831" s="312"/>
      <c r="AC831" s="315"/>
      <c r="AD831" s="312"/>
      <c r="AE831" s="316"/>
      <c r="AF831" s="313"/>
      <c r="AG831" s="314"/>
      <c r="AH831" s="300"/>
      <c r="AI831" s="318"/>
      <c r="AJ831" s="312"/>
      <c r="AK831" s="315"/>
      <c r="AL831" s="312"/>
      <c r="AM831" s="316"/>
      <c r="AN831" s="313"/>
      <c r="AO831" s="314"/>
      <c r="AP831" s="300"/>
      <c r="AQ831" s="318"/>
      <c r="AR831" s="312"/>
      <c r="AS831" s="315"/>
      <c r="AT831" s="312"/>
      <c r="AU831" s="316"/>
      <c r="AV831" s="313"/>
      <c r="AW831" s="314"/>
      <c r="AX831" s="300"/>
      <c r="AY831" s="318"/>
      <c r="AZ831" s="312"/>
      <c r="BA831" s="315"/>
      <c r="BB831" s="312"/>
      <c r="BC831" s="316"/>
      <c r="BD831" s="313"/>
      <c r="BE831" s="314"/>
      <c r="BF831" s="300"/>
      <c r="BG831" s="318"/>
      <c r="BH831" s="312"/>
      <c r="BI831" s="315"/>
      <c r="BJ831" s="312"/>
      <c r="BK831" s="316"/>
      <c r="BL831" s="313"/>
      <c r="BM831" s="314"/>
      <c r="BN831" s="300"/>
      <c r="BO831" s="318"/>
      <c r="BP831" s="312"/>
      <c r="BQ831" s="315"/>
      <c r="BR831" s="312"/>
      <c r="BS831" s="316"/>
      <c r="BT831" s="313"/>
      <c r="BU831" s="314"/>
      <c r="BV831" s="300"/>
      <c r="BW831" s="318"/>
      <c r="BX831" s="312"/>
      <c r="BY831" s="315"/>
      <c r="BZ831" s="312"/>
      <c r="CA831" s="316"/>
      <c r="CB831" s="313"/>
      <c r="CC831" s="314"/>
      <c r="CD831" s="300"/>
      <c r="CE831" s="318"/>
      <c r="CF831" s="312"/>
      <c r="CG831" s="315"/>
      <c r="CH831" s="312"/>
      <c r="CI831" s="316"/>
      <c r="CJ831" s="313"/>
      <c r="CK831" s="314"/>
      <c r="CL831" s="300"/>
      <c r="CM831" s="318"/>
      <c r="CN831" s="312"/>
      <c r="CO831" s="315"/>
      <c r="CP831" s="312"/>
      <c r="CQ831" s="316"/>
      <c r="CR831" s="313"/>
      <c r="CS831" s="314"/>
      <c r="CT831" s="300"/>
      <c r="CU831" s="318"/>
      <c r="CV831" s="312"/>
      <c r="CW831" s="315"/>
      <c r="CX831" s="312"/>
      <c r="CY831" s="316"/>
      <c r="CZ831" s="313"/>
      <c r="DA831" s="314"/>
      <c r="DB831" s="300"/>
      <c r="DC831" s="318"/>
      <c r="DD831" s="312"/>
      <c r="DE831" s="315"/>
      <c r="DF831" s="312"/>
      <c r="DG831" s="316"/>
      <c r="DH831" s="313"/>
      <c r="DI831" s="314"/>
      <c r="DJ831" s="300"/>
      <c r="DK831" s="318"/>
      <c r="DL831" s="312"/>
      <c r="DM831" s="315"/>
      <c r="DN831" s="312"/>
      <c r="DO831" s="316"/>
      <c r="DP831" s="313"/>
      <c r="DQ831" s="314"/>
      <c r="DR831" s="300"/>
      <c r="DS831" s="318"/>
      <c r="DT831" s="312"/>
      <c r="DU831" s="315"/>
      <c r="DV831" s="312"/>
      <c r="DW831" s="316"/>
      <c r="DX831" s="313"/>
      <c r="DY831" s="314"/>
      <c r="DZ831" s="300"/>
      <c r="EA831" s="318"/>
      <c r="EB831" s="312"/>
      <c r="EC831" s="315"/>
      <c r="ED831" s="312"/>
      <c r="EE831" s="316"/>
      <c r="EF831" s="313"/>
      <c r="EG831" s="314"/>
      <c r="EH831" s="300"/>
      <c r="EI831" s="318"/>
      <c r="EJ831" s="312"/>
      <c r="EK831" s="315"/>
      <c r="EL831" s="312"/>
      <c r="EM831" s="316"/>
      <c r="EN831" s="313"/>
      <c r="EO831" s="314"/>
      <c r="EP831" s="300"/>
      <c r="EQ831" s="318"/>
      <c r="ER831" s="312"/>
      <c r="ES831" s="315"/>
      <c r="ET831" s="312"/>
      <c r="EU831" s="316"/>
      <c r="EV831" s="313"/>
      <c r="EW831" s="314"/>
      <c r="EX831" s="300"/>
      <c r="EY831" s="318"/>
      <c r="EZ831" s="312"/>
      <c r="FA831" s="315"/>
      <c r="FB831" s="312"/>
      <c r="FC831" s="316"/>
      <c r="FD831" s="313"/>
      <c r="FE831" s="314"/>
      <c r="FF831" s="300"/>
      <c r="FG831" s="318"/>
      <c r="FH831" s="312"/>
      <c r="FI831" s="315"/>
      <c r="FJ831" s="312"/>
      <c r="FK831" s="316"/>
      <c r="FL831" s="313"/>
      <c r="FM831" s="314"/>
      <c r="FN831" s="300"/>
      <c r="FO831" s="318"/>
      <c r="FP831" s="312"/>
      <c r="FQ831" s="315"/>
      <c r="FR831" s="312"/>
      <c r="FS831" s="316"/>
      <c r="FT831" s="313"/>
      <c r="FU831" s="314"/>
      <c r="FV831" s="300"/>
      <c r="FW831" s="318"/>
      <c r="FX831" s="312"/>
      <c r="FY831" s="315"/>
      <c r="FZ831" s="312"/>
      <c r="GA831" s="316"/>
      <c r="GB831" s="313"/>
      <c r="GC831" s="314"/>
      <c r="GD831" s="300"/>
      <c r="GE831" s="318"/>
      <c r="GF831" s="312"/>
      <c r="GG831" s="315"/>
      <c r="GH831" s="312"/>
      <c r="GI831" s="316"/>
      <c r="GJ831" s="313"/>
      <c r="GK831" s="314"/>
      <c r="GL831" s="300"/>
      <c r="GM831" s="318"/>
      <c r="GN831" s="312"/>
      <c r="GO831" s="315"/>
      <c r="GP831" s="312"/>
      <c r="GQ831" s="316"/>
      <c r="GR831" s="313"/>
      <c r="GS831" s="314"/>
      <c r="GT831" s="300"/>
      <c r="GU831" s="318"/>
      <c r="GV831" s="312"/>
      <c r="GW831" s="315"/>
      <c r="GX831" s="312"/>
      <c r="GY831" s="316"/>
      <c r="GZ831" s="313"/>
      <c r="HA831" s="314"/>
      <c r="HB831" s="300"/>
      <c r="HC831" s="318"/>
      <c r="HD831" s="312"/>
      <c r="HE831" s="315"/>
      <c r="HF831" s="312"/>
      <c r="HG831" s="316"/>
      <c r="HH831" s="313"/>
      <c r="HI831" s="314"/>
      <c r="HJ831" s="300"/>
      <c r="HK831" s="318"/>
      <c r="HL831" s="312"/>
      <c r="HM831" s="315"/>
      <c r="HN831" s="312"/>
      <c r="HO831" s="316"/>
      <c r="HP831" s="313"/>
      <c r="HQ831" s="314"/>
      <c r="HR831" s="300"/>
      <c r="HS831" s="318"/>
      <c r="HT831" s="312"/>
      <c r="HU831" s="315"/>
      <c r="HV831" s="312"/>
      <c r="HW831" s="316"/>
      <c r="HX831" s="313"/>
      <c r="HY831" s="314"/>
      <c r="HZ831" s="300"/>
      <c r="IA831" s="318"/>
      <c r="IB831" s="312"/>
      <c r="IC831" s="315"/>
      <c r="ID831" s="312"/>
      <c r="IE831" s="316"/>
      <c r="IF831" s="313"/>
      <c r="IG831" s="314"/>
      <c r="IH831" s="300"/>
      <c r="II831" s="318"/>
      <c r="IJ831" s="312"/>
      <c r="IK831" s="315"/>
      <c r="IL831" s="312"/>
      <c r="IM831" s="316"/>
      <c r="IN831" s="313"/>
      <c r="IO831" s="314"/>
      <c r="IP831" s="300"/>
      <c r="IQ831" s="318"/>
      <c r="IR831" s="312"/>
      <c r="IS831" s="315"/>
      <c r="IT831" s="312"/>
      <c r="IU831" s="316"/>
      <c r="IV831" s="313"/>
    </row>
    <row r="832" spans="1:256" ht="13.2">
      <c r="A832" s="630"/>
      <c r="B832" s="963"/>
      <c r="C832" s="317" t="s">
        <v>131</v>
      </c>
      <c r="D832" s="310" t="s">
        <v>1047</v>
      </c>
      <c r="E832" s="370">
        <v>0.6</v>
      </c>
      <c r="F832" s="371">
        <f>'Lead- Input sheet '!R36</f>
        <v>650</v>
      </c>
      <c r="G832" s="215">
        <f>ROUND(E832*F832,2)</f>
        <v>390</v>
      </c>
      <c r="H832" s="661"/>
      <c r="I832" s="12"/>
      <c r="J832" s="300"/>
      <c r="K832" s="318"/>
      <c r="L832" s="312"/>
      <c r="M832" s="315"/>
      <c r="N832" s="312"/>
      <c r="O832" s="316"/>
      <c r="P832" s="313"/>
      <c r="Q832" s="314"/>
      <c r="R832" s="300"/>
      <c r="S832" s="318"/>
      <c r="T832" s="312"/>
      <c r="U832" s="315"/>
      <c r="V832" s="312"/>
      <c r="W832" s="316"/>
      <c r="X832" s="313"/>
      <c r="Y832" s="314"/>
      <c r="Z832" s="300"/>
      <c r="AA832" s="318"/>
      <c r="AB832" s="312"/>
      <c r="AC832" s="315"/>
      <c r="AD832" s="312"/>
      <c r="AE832" s="316"/>
      <c r="AF832" s="313"/>
      <c r="AG832" s="314"/>
      <c r="AH832" s="300"/>
      <c r="AI832" s="318"/>
      <c r="AJ832" s="312"/>
      <c r="AK832" s="315"/>
      <c r="AL832" s="312"/>
      <c r="AM832" s="316"/>
      <c r="AN832" s="313"/>
      <c r="AO832" s="314"/>
      <c r="AP832" s="300"/>
      <c r="AQ832" s="318"/>
      <c r="AR832" s="312"/>
      <c r="AS832" s="315"/>
      <c r="AT832" s="312"/>
      <c r="AU832" s="316"/>
      <c r="AV832" s="313"/>
      <c r="AW832" s="314"/>
      <c r="AX832" s="300"/>
      <c r="AY832" s="318"/>
      <c r="AZ832" s="312"/>
      <c r="BA832" s="315"/>
      <c r="BB832" s="312"/>
      <c r="BC832" s="316"/>
      <c r="BD832" s="313"/>
      <c r="BE832" s="314"/>
      <c r="BF832" s="300"/>
      <c r="BG832" s="318"/>
      <c r="BH832" s="312"/>
      <c r="BI832" s="315"/>
      <c r="BJ832" s="312"/>
      <c r="BK832" s="316"/>
      <c r="BL832" s="313"/>
      <c r="BM832" s="314"/>
      <c r="BN832" s="300"/>
      <c r="BO832" s="318"/>
      <c r="BP832" s="312"/>
      <c r="BQ832" s="315"/>
      <c r="BR832" s="312"/>
      <c r="BS832" s="316"/>
      <c r="BT832" s="313"/>
      <c r="BU832" s="314"/>
      <c r="BV832" s="300"/>
      <c r="BW832" s="318"/>
      <c r="BX832" s="312"/>
      <c r="BY832" s="315"/>
      <c r="BZ832" s="312"/>
      <c r="CA832" s="316"/>
      <c r="CB832" s="313"/>
      <c r="CC832" s="314"/>
      <c r="CD832" s="300"/>
      <c r="CE832" s="318"/>
      <c r="CF832" s="312"/>
      <c r="CG832" s="315"/>
      <c r="CH832" s="312"/>
      <c r="CI832" s="316"/>
      <c r="CJ832" s="313"/>
      <c r="CK832" s="314"/>
      <c r="CL832" s="300"/>
      <c r="CM832" s="318"/>
      <c r="CN832" s="312"/>
      <c r="CO832" s="315"/>
      <c r="CP832" s="312"/>
      <c r="CQ832" s="316"/>
      <c r="CR832" s="313"/>
      <c r="CS832" s="314"/>
      <c r="CT832" s="300"/>
      <c r="CU832" s="318"/>
      <c r="CV832" s="312"/>
      <c r="CW832" s="315"/>
      <c r="CX832" s="312"/>
      <c r="CY832" s="316"/>
      <c r="CZ832" s="313"/>
      <c r="DA832" s="314"/>
      <c r="DB832" s="300"/>
      <c r="DC832" s="318"/>
      <c r="DD832" s="312"/>
      <c r="DE832" s="315"/>
      <c r="DF832" s="312"/>
      <c r="DG832" s="316"/>
      <c r="DH832" s="313"/>
      <c r="DI832" s="314"/>
      <c r="DJ832" s="300"/>
      <c r="DK832" s="318"/>
      <c r="DL832" s="312"/>
      <c r="DM832" s="315"/>
      <c r="DN832" s="312"/>
      <c r="DO832" s="316"/>
      <c r="DP832" s="313"/>
      <c r="DQ832" s="314"/>
      <c r="DR832" s="300"/>
      <c r="DS832" s="318"/>
      <c r="DT832" s="312"/>
      <c r="DU832" s="315"/>
      <c r="DV832" s="312"/>
      <c r="DW832" s="316"/>
      <c r="DX832" s="313"/>
      <c r="DY832" s="314"/>
      <c r="DZ832" s="300"/>
      <c r="EA832" s="318"/>
      <c r="EB832" s="312"/>
      <c r="EC832" s="315"/>
      <c r="ED832" s="312"/>
      <c r="EE832" s="316"/>
      <c r="EF832" s="313"/>
      <c r="EG832" s="314"/>
      <c r="EH832" s="300"/>
      <c r="EI832" s="318"/>
      <c r="EJ832" s="312"/>
      <c r="EK832" s="315"/>
      <c r="EL832" s="312"/>
      <c r="EM832" s="316"/>
      <c r="EN832" s="313"/>
      <c r="EO832" s="314"/>
      <c r="EP832" s="300"/>
      <c r="EQ832" s="318"/>
      <c r="ER832" s="312"/>
      <c r="ES832" s="315"/>
      <c r="ET832" s="312"/>
      <c r="EU832" s="316"/>
      <c r="EV832" s="313"/>
      <c r="EW832" s="314"/>
      <c r="EX832" s="300"/>
      <c r="EY832" s="318"/>
      <c r="EZ832" s="312"/>
      <c r="FA832" s="315"/>
      <c r="FB832" s="312"/>
      <c r="FC832" s="316"/>
      <c r="FD832" s="313"/>
      <c r="FE832" s="314"/>
      <c r="FF832" s="300"/>
      <c r="FG832" s="318"/>
      <c r="FH832" s="312"/>
      <c r="FI832" s="315"/>
      <c r="FJ832" s="312"/>
      <c r="FK832" s="316"/>
      <c r="FL832" s="313"/>
      <c r="FM832" s="314"/>
      <c r="FN832" s="300"/>
      <c r="FO832" s="318"/>
      <c r="FP832" s="312"/>
      <c r="FQ832" s="315"/>
      <c r="FR832" s="312"/>
      <c r="FS832" s="316"/>
      <c r="FT832" s="313"/>
      <c r="FU832" s="314"/>
      <c r="FV832" s="300"/>
      <c r="FW832" s="318"/>
      <c r="FX832" s="312"/>
      <c r="FY832" s="315"/>
      <c r="FZ832" s="312"/>
      <c r="GA832" s="316"/>
      <c r="GB832" s="313"/>
      <c r="GC832" s="314"/>
      <c r="GD832" s="300"/>
      <c r="GE832" s="318"/>
      <c r="GF832" s="312"/>
      <c r="GG832" s="315"/>
      <c r="GH832" s="312"/>
      <c r="GI832" s="316"/>
      <c r="GJ832" s="313"/>
      <c r="GK832" s="314"/>
      <c r="GL832" s="300"/>
      <c r="GM832" s="318"/>
      <c r="GN832" s="312"/>
      <c r="GO832" s="315"/>
      <c r="GP832" s="312"/>
      <c r="GQ832" s="316"/>
      <c r="GR832" s="313"/>
      <c r="GS832" s="314"/>
      <c r="GT832" s="300"/>
      <c r="GU832" s="318"/>
      <c r="GV832" s="312"/>
      <c r="GW832" s="315"/>
      <c r="GX832" s="312"/>
      <c r="GY832" s="316"/>
      <c r="GZ832" s="313"/>
      <c r="HA832" s="314"/>
      <c r="HB832" s="300"/>
      <c r="HC832" s="318"/>
      <c r="HD832" s="312"/>
      <c r="HE832" s="315"/>
      <c r="HF832" s="312"/>
      <c r="HG832" s="316"/>
      <c r="HH832" s="313"/>
      <c r="HI832" s="314"/>
      <c r="HJ832" s="300"/>
      <c r="HK832" s="318"/>
      <c r="HL832" s="312"/>
      <c r="HM832" s="315"/>
      <c r="HN832" s="312"/>
      <c r="HO832" s="316"/>
      <c r="HP832" s="313"/>
      <c r="HQ832" s="314"/>
      <c r="HR832" s="300"/>
      <c r="HS832" s="318"/>
      <c r="HT832" s="312"/>
      <c r="HU832" s="315"/>
      <c r="HV832" s="312"/>
      <c r="HW832" s="316"/>
      <c r="HX832" s="313"/>
      <c r="HY832" s="314"/>
      <c r="HZ832" s="300"/>
      <c r="IA832" s="318"/>
      <c r="IB832" s="312"/>
      <c r="IC832" s="315"/>
      <c r="ID832" s="312"/>
      <c r="IE832" s="316"/>
      <c r="IF832" s="313"/>
      <c r="IG832" s="314"/>
      <c r="IH832" s="300"/>
      <c r="II832" s="318"/>
      <c r="IJ832" s="312"/>
      <c r="IK832" s="315"/>
      <c r="IL832" s="312"/>
      <c r="IM832" s="316"/>
      <c r="IN832" s="313"/>
      <c r="IO832" s="314"/>
      <c r="IP832" s="300"/>
      <c r="IQ832" s="318"/>
      <c r="IR832" s="312"/>
      <c r="IS832" s="315"/>
      <c r="IT832" s="312"/>
      <c r="IU832" s="316"/>
      <c r="IV832" s="313"/>
    </row>
    <row r="833" spans="1:256">
      <c r="A833" s="630"/>
      <c r="B833" s="963"/>
      <c r="C833" s="317" t="s">
        <v>341</v>
      </c>
      <c r="D833" s="310" t="s">
        <v>1047</v>
      </c>
      <c r="E833" s="370">
        <v>2.75</v>
      </c>
      <c r="F833" s="371">
        <f>'Lead- Input sheet '!R28</f>
        <v>605</v>
      </c>
      <c r="G833" s="215">
        <f>ROUND(E833*F833,2)</f>
        <v>1663.75</v>
      </c>
      <c r="H833" s="662"/>
      <c r="I833" s="12"/>
      <c r="J833" s="300"/>
      <c r="K833" s="318"/>
      <c r="L833" s="312"/>
      <c r="M833" s="315"/>
      <c r="N833" s="312"/>
      <c r="O833" s="316"/>
      <c r="P833" s="313"/>
      <c r="Q833" s="314"/>
      <c r="R833" s="300"/>
      <c r="S833" s="318"/>
      <c r="T833" s="312"/>
      <c r="U833" s="315"/>
      <c r="V833" s="312"/>
      <c r="W833" s="316"/>
      <c r="X833" s="313"/>
      <c r="Y833" s="314"/>
      <c r="Z833" s="300"/>
      <c r="AA833" s="318"/>
      <c r="AB833" s="312"/>
      <c r="AC833" s="315"/>
      <c r="AD833" s="312"/>
      <c r="AE833" s="316"/>
      <c r="AF833" s="313"/>
      <c r="AG833" s="314"/>
      <c r="AH833" s="300"/>
      <c r="AI833" s="318"/>
      <c r="AJ833" s="312"/>
      <c r="AK833" s="315"/>
      <c r="AL833" s="312"/>
      <c r="AM833" s="316"/>
      <c r="AN833" s="313"/>
      <c r="AO833" s="314"/>
      <c r="AP833" s="300"/>
      <c r="AQ833" s="318"/>
      <c r="AR833" s="312"/>
      <c r="AS833" s="315"/>
      <c r="AT833" s="312"/>
      <c r="AU833" s="316"/>
      <c r="AV833" s="313"/>
      <c r="AW833" s="314"/>
      <c r="AX833" s="300"/>
      <c r="AY833" s="318"/>
      <c r="AZ833" s="312"/>
      <c r="BA833" s="315"/>
      <c r="BB833" s="312"/>
      <c r="BC833" s="316"/>
      <c r="BD833" s="313"/>
      <c r="BE833" s="314"/>
      <c r="BF833" s="300"/>
      <c r="BG833" s="318"/>
      <c r="BH833" s="312"/>
      <c r="BI833" s="315"/>
      <c r="BJ833" s="312"/>
      <c r="BK833" s="316"/>
      <c r="BL833" s="313"/>
      <c r="BM833" s="314"/>
      <c r="BN833" s="300"/>
      <c r="BO833" s="318"/>
      <c r="BP833" s="312"/>
      <c r="BQ833" s="315"/>
      <c r="BR833" s="312"/>
      <c r="BS833" s="316"/>
      <c r="BT833" s="313"/>
      <c r="BU833" s="314"/>
      <c r="BV833" s="300"/>
      <c r="BW833" s="318"/>
      <c r="BX833" s="312"/>
      <c r="BY833" s="315"/>
      <c r="BZ833" s="312"/>
      <c r="CA833" s="316"/>
      <c r="CB833" s="313"/>
      <c r="CC833" s="314"/>
      <c r="CD833" s="300"/>
      <c r="CE833" s="318"/>
      <c r="CF833" s="312"/>
      <c r="CG833" s="315"/>
      <c r="CH833" s="312"/>
      <c r="CI833" s="316"/>
      <c r="CJ833" s="313"/>
      <c r="CK833" s="314"/>
      <c r="CL833" s="300"/>
      <c r="CM833" s="318"/>
      <c r="CN833" s="312"/>
      <c r="CO833" s="315"/>
      <c r="CP833" s="312"/>
      <c r="CQ833" s="316"/>
      <c r="CR833" s="313"/>
      <c r="CS833" s="314"/>
      <c r="CT833" s="300"/>
      <c r="CU833" s="318"/>
      <c r="CV833" s="312"/>
      <c r="CW833" s="315"/>
      <c r="CX833" s="312"/>
      <c r="CY833" s="316"/>
      <c r="CZ833" s="313"/>
      <c r="DA833" s="314"/>
      <c r="DB833" s="300"/>
      <c r="DC833" s="318"/>
      <c r="DD833" s="312"/>
      <c r="DE833" s="315"/>
      <c r="DF833" s="312"/>
      <c r="DG833" s="316"/>
      <c r="DH833" s="313"/>
      <c r="DI833" s="314"/>
      <c r="DJ833" s="300"/>
      <c r="DK833" s="318"/>
      <c r="DL833" s="312"/>
      <c r="DM833" s="315"/>
      <c r="DN833" s="312"/>
      <c r="DO833" s="316"/>
      <c r="DP833" s="313"/>
      <c r="DQ833" s="314"/>
      <c r="DR833" s="300"/>
      <c r="DS833" s="318"/>
      <c r="DT833" s="312"/>
      <c r="DU833" s="315"/>
      <c r="DV833" s="312"/>
      <c r="DW833" s="316"/>
      <c r="DX833" s="313"/>
      <c r="DY833" s="314"/>
      <c r="DZ833" s="300"/>
      <c r="EA833" s="318"/>
      <c r="EB833" s="312"/>
      <c r="EC833" s="315"/>
      <c r="ED833" s="312"/>
      <c r="EE833" s="316"/>
      <c r="EF833" s="313"/>
      <c r="EG833" s="314"/>
      <c r="EH833" s="300"/>
      <c r="EI833" s="318"/>
      <c r="EJ833" s="312"/>
      <c r="EK833" s="315"/>
      <c r="EL833" s="312"/>
      <c r="EM833" s="316"/>
      <c r="EN833" s="313"/>
      <c r="EO833" s="314"/>
      <c r="EP833" s="300"/>
      <c r="EQ833" s="318"/>
      <c r="ER833" s="312"/>
      <c r="ES833" s="315"/>
      <c r="ET833" s="312"/>
      <c r="EU833" s="316"/>
      <c r="EV833" s="313"/>
      <c r="EW833" s="314"/>
      <c r="EX833" s="300"/>
      <c r="EY833" s="318"/>
      <c r="EZ833" s="312"/>
      <c r="FA833" s="315"/>
      <c r="FB833" s="312"/>
      <c r="FC833" s="316"/>
      <c r="FD833" s="313"/>
      <c r="FE833" s="314"/>
      <c r="FF833" s="300"/>
      <c r="FG833" s="318"/>
      <c r="FH833" s="312"/>
      <c r="FI833" s="315"/>
      <c r="FJ833" s="312"/>
      <c r="FK833" s="316"/>
      <c r="FL833" s="313"/>
      <c r="FM833" s="314"/>
      <c r="FN833" s="300"/>
      <c r="FO833" s="318"/>
      <c r="FP833" s="312"/>
      <c r="FQ833" s="315"/>
      <c r="FR833" s="312"/>
      <c r="FS833" s="316"/>
      <c r="FT833" s="313"/>
      <c r="FU833" s="314"/>
      <c r="FV833" s="300"/>
      <c r="FW833" s="318"/>
      <c r="FX833" s="312"/>
      <c r="FY833" s="315"/>
      <c r="FZ833" s="312"/>
      <c r="GA833" s="316"/>
      <c r="GB833" s="313"/>
      <c r="GC833" s="314"/>
      <c r="GD833" s="300"/>
      <c r="GE833" s="318"/>
      <c r="GF833" s="312"/>
      <c r="GG833" s="315"/>
      <c r="GH833" s="312"/>
      <c r="GI833" s="316"/>
      <c r="GJ833" s="313"/>
      <c r="GK833" s="314"/>
      <c r="GL833" s="300"/>
      <c r="GM833" s="318"/>
      <c r="GN833" s="312"/>
      <c r="GO833" s="315"/>
      <c r="GP833" s="312"/>
      <c r="GQ833" s="316"/>
      <c r="GR833" s="313"/>
      <c r="GS833" s="314"/>
      <c r="GT833" s="300"/>
      <c r="GU833" s="318"/>
      <c r="GV833" s="312"/>
      <c r="GW833" s="315"/>
      <c r="GX833" s="312"/>
      <c r="GY833" s="316"/>
      <c r="GZ833" s="313"/>
      <c r="HA833" s="314"/>
      <c r="HB833" s="300"/>
      <c r="HC833" s="318"/>
      <c r="HD833" s="312"/>
      <c r="HE833" s="315"/>
      <c r="HF833" s="312"/>
      <c r="HG833" s="316"/>
      <c r="HH833" s="313"/>
      <c r="HI833" s="314"/>
      <c r="HJ833" s="300"/>
      <c r="HK833" s="318"/>
      <c r="HL833" s="312"/>
      <c r="HM833" s="315"/>
      <c r="HN833" s="312"/>
      <c r="HO833" s="316"/>
      <c r="HP833" s="313"/>
      <c r="HQ833" s="314"/>
      <c r="HR833" s="300"/>
      <c r="HS833" s="318"/>
      <c r="HT833" s="312"/>
      <c r="HU833" s="315"/>
      <c r="HV833" s="312"/>
      <c r="HW833" s="316"/>
      <c r="HX833" s="313"/>
      <c r="HY833" s="314"/>
      <c r="HZ833" s="300"/>
      <c r="IA833" s="318"/>
      <c r="IB833" s="312"/>
      <c r="IC833" s="315"/>
      <c r="ID833" s="312"/>
      <c r="IE833" s="316"/>
      <c r="IF833" s="313"/>
      <c r="IG833" s="314"/>
      <c r="IH833" s="300"/>
      <c r="II833" s="318"/>
      <c r="IJ833" s="312"/>
      <c r="IK833" s="315"/>
      <c r="IL833" s="312"/>
      <c r="IM833" s="316"/>
      <c r="IN833" s="313"/>
      <c r="IO833" s="314"/>
      <c r="IP833" s="300"/>
      <c r="IQ833" s="318"/>
      <c r="IR833" s="312"/>
      <c r="IS833" s="315"/>
      <c r="IT833" s="312"/>
      <c r="IU833" s="316"/>
      <c r="IV833" s="313"/>
    </row>
    <row r="834" spans="1:256" s="7" customFormat="1">
      <c r="A834" s="647"/>
      <c r="B834" s="907"/>
      <c r="C834" s="643" t="s">
        <v>896</v>
      </c>
      <c r="D834" s="644"/>
      <c r="E834" s="645">
        <f>'Lead- Input sheet '!Q31</f>
        <v>0</v>
      </c>
      <c r="F834" s="922">
        <f>SUM(G831:G833)</f>
        <v>2461.75</v>
      </c>
      <c r="G834" s="646">
        <f>ROUND(F834*E834,2)</f>
        <v>0</v>
      </c>
      <c r="H834" s="642"/>
      <c r="I834" s="12"/>
    </row>
    <row r="835" spans="1:256" s="6" customFormat="1">
      <c r="A835" s="45"/>
      <c r="B835" s="907"/>
      <c r="C835" s="55" t="s">
        <v>1130</v>
      </c>
      <c r="D835" s="190"/>
      <c r="E835" s="158"/>
      <c r="F835" s="923" t="s">
        <v>1486</v>
      </c>
      <c r="G835" s="619">
        <f>SUM(G828:G834)</f>
        <v>8003.4000000000005</v>
      </c>
      <c r="H835" s="662"/>
      <c r="I835" s="12"/>
    </row>
    <row r="836" spans="1:256" s="3" customFormat="1">
      <c r="A836" s="620"/>
      <c r="B836" s="962"/>
      <c r="C836" s="54"/>
      <c r="D836" s="189"/>
      <c r="E836" s="158" t="s">
        <v>1098</v>
      </c>
      <c r="F836" s="29" t="s">
        <v>1099</v>
      </c>
      <c r="G836" s="182" t="s">
        <v>1100</v>
      </c>
      <c r="H836" s="648"/>
      <c r="I836" s="12"/>
    </row>
    <row r="837" spans="1:256" s="3" customFormat="1">
      <c r="A837" s="620"/>
      <c r="B837" s="962"/>
      <c r="C837" s="54" t="s">
        <v>1101</v>
      </c>
      <c r="D837" s="189"/>
      <c r="E837" s="205">
        <f>G835</f>
        <v>8003.4000000000005</v>
      </c>
      <c r="F837" s="35">
        <f>G835</f>
        <v>8003.4000000000005</v>
      </c>
      <c r="G837" s="215">
        <f>G835</f>
        <v>8003.4000000000005</v>
      </c>
      <c r="H837" s="648"/>
      <c r="I837" s="12"/>
    </row>
    <row r="838" spans="1:256" s="3" customFormat="1">
      <c r="A838" s="620"/>
      <c r="B838" s="962"/>
      <c r="C838" s="54" t="s">
        <v>1799</v>
      </c>
      <c r="D838" s="295" t="s">
        <v>1083</v>
      </c>
      <c r="E838" s="31"/>
      <c r="F838" s="35">
        <f>D838*10.32</f>
        <v>89.680799999999991</v>
      </c>
      <c r="G838" s="215">
        <f>F838*2</f>
        <v>179.36159999999998</v>
      </c>
      <c r="H838" s="649"/>
      <c r="I838" s="12"/>
    </row>
    <row r="839" spans="1:256" s="3" customFormat="1" ht="25.8">
      <c r="A839" s="620"/>
      <c r="B839" s="962"/>
      <c r="C839" s="54" t="s">
        <v>1800</v>
      </c>
      <c r="D839" s="295" t="s">
        <v>1083</v>
      </c>
      <c r="E839" s="31"/>
      <c r="F839" s="35">
        <f>D839*75.68</f>
        <v>657.65920000000006</v>
      </c>
      <c r="G839" s="215">
        <f>D839*108.36</f>
        <v>941.64839999999992</v>
      </c>
      <c r="H839" s="649"/>
      <c r="I839" s="12"/>
    </row>
    <row r="840" spans="1:256" s="3" customFormat="1">
      <c r="A840" s="620"/>
      <c r="B840" s="962"/>
      <c r="C840" s="54" t="s">
        <v>1029</v>
      </c>
      <c r="D840" s="189">
        <f>'Lead- Input sheet '!Q31</f>
        <v>0</v>
      </c>
      <c r="E840" s="31">
        <f>ROUND(D840*E839,2)</f>
        <v>0</v>
      </c>
      <c r="F840" s="933">
        <f>ROUND(D840*F839,2)</f>
        <v>0</v>
      </c>
      <c r="G840" s="622">
        <f>ROUND(D840*G839,2)</f>
        <v>0</v>
      </c>
      <c r="H840" s="649"/>
      <c r="I840" s="12"/>
    </row>
    <row r="841" spans="1:256" s="3" customFormat="1" ht="25.8">
      <c r="A841" s="620"/>
      <c r="B841" s="962"/>
      <c r="C841" s="54" t="s">
        <v>1640</v>
      </c>
      <c r="D841" s="295" t="s">
        <v>129</v>
      </c>
      <c r="E841" s="205"/>
      <c r="F841" s="35"/>
      <c r="G841" s="215">
        <f>ROUND(D841*SUM(G839:G840),2)</f>
        <v>470.82</v>
      </c>
      <c r="H841" s="649"/>
      <c r="I841" s="12"/>
    </row>
    <row r="842" spans="1:256" s="6" customFormat="1">
      <c r="A842" s="45"/>
      <c r="B842" s="907"/>
      <c r="C842" s="55" t="s">
        <v>1600</v>
      </c>
      <c r="D842" s="129">
        <f>'Lead- Input sheet '!Q32</f>
        <v>0</v>
      </c>
      <c r="E842" s="205">
        <f>ROUND(SUM(E837:E841)*D842,2)</f>
        <v>0</v>
      </c>
      <c r="F842" s="35">
        <f>ROUND(SUM(F837:F841)*D842,2)</f>
        <v>0</v>
      </c>
      <c r="G842" s="215">
        <f>ROUND(SUM(G837:G841)*D842,2)</f>
        <v>0</v>
      </c>
      <c r="H842" s="650"/>
      <c r="I842" s="12"/>
    </row>
    <row r="843" spans="1:256" s="284" customFormat="1">
      <c r="A843" s="281"/>
      <c r="B843" s="907"/>
      <c r="C843" s="283" t="s">
        <v>861</v>
      </c>
      <c r="D843" s="296"/>
      <c r="E843" s="362">
        <f>SUM(E837:E842)</f>
        <v>8003.4000000000005</v>
      </c>
      <c r="F843" s="927">
        <f>SUM(F837:F842)</f>
        <v>8750.7400000000016</v>
      </c>
      <c r="G843" s="618">
        <f>SUM(G837:G842)</f>
        <v>9595.23</v>
      </c>
      <c r="H843" s="651"/>
      <c r="I843" s="804"/>
    </row>
    <row r="844" spans="1:256">
      <c r="A844" s="620"/>
      <c r="B844" s="962"/>
      <c r="C844" s="54" t="s">
        <v>901</v>
      </c>
      <c r="D844" s="34">
        <v>512</v>
      </c>
      <c r="E844" s="34">
        <f>'Lead- Input sheet '!$O$15*$D$844/1000</f>
        <v>0</v>
      </c>
      <c r="F844" s="34">
        <f>'Lead- Input sheet '!$O$15*$D$844/1000</f>
        <v>0</v>
      </c>
      <c r="G844" s="973">
        <f>'Lead- Input sheet '!$O$15*$D$844/1000</f>
        <v>0</v>
      </c>
      <c r="H844" s="649"/>
      <c r="I844" s="12"/>
    </row>
    <row r="845" spans="1:256">
      <c r="A845" s="620"/>
      <c r="B845" s="962"/>
      <c r="C845" s="54" t="s">
        <v>900</v>
      </c>
      <c r="D845" s="34">
        <v>0.2</v>
      </c>
      <c r="E845" s="34">
        <f>'Lead- Input sheet '!$O$11*$D$845</f>
        <v>0</v>
      </c>
      <c r="F845" s="34">
        <f>'Lead- Input sheet '!$O$11*$D$845</f>
        <v>0</v>
      </c>
      <c r="G845" s="973">
        <f>'Lead- Input sheet '!$O$11*$D$845</f>
        <v>0</v>
      </c>
      <c r="H845" s="649"/>
      <c r="I845" s="12"/>
    </row>
    <row r="846" spans="1:256">
      <c r="A846" s="620"/>
      <c r="B846" s="962"/>
      <c r="C846" s="55" t="s">
        <v>1130</v>
      </c>
      <c r="D846" s="291" t="s">
        <v>1486</v>
      </c>
      <c r="E846" s="291">
        <f>SUM(E843:E845)</f>
        <v>8003.4000000000005</v>
      </c>
      <c r="F846" s="923">
        <f>SUM(F843:F845)</f>
        <v>8750.7400000000016</v>
      </c>
      <c r="G846" s="182">
        <f>SUM(G843:G845)</f>
        <v>9595.23</v>
      </c>
      <c r="H846" s="649"/>
      <c r="I846" s="12"/>
    </row>
    <row r="847" spans="1:256" ht="33.299999999999997">
      <c r="A847" s="617" t="s">
        <v>369</v>
      </c>
      <c r="B847" s="962">
        <v>42</v>
      </c>
      <c r="C847" s="54" t="s">
        <v>98</v>
      </c>
      <c r="D847" s="189"/>
      <c r="E847" s="34"/>
      <c r="F847" s="28"/>
      <c r="G847" s="215"/>
      <c r="H847" s="649"/>
      <c r="I847" s="12"/>
    </row>
    <row r="848" spans="1:256">
      <c r="A848" s="620"/>
      <c r="B848" s="962"/>
      <c r="C848" s="54" t="s">
        <v>1394</v>
      </c>
      <c r="D848" s="189"/>
      <c r="E848" s="34"/>
      <c r="F848" s="28"/>
      <c r="G848" s="215"/>
      <c r="H848" s="649"/>
      <c r="I848" s="12"/>
    </row>
    <row r="849" spans="1:9">
      <c r="A849" s="620"/>
      <c r="B849" s="962"/>
      <c r="C849" s="54" t="s">
        <v>1395</v>
      </c>
      <c r="D849" s="189"/>
      <c r="E849" s="34"/>
      <c r="F849" s="28"/>
      <c r="G849" s="215"/>
      <c r="H849" s="649"/>
      <c r="I849" s="12"/>
    </row>
    <row r="850" spans="1:9" s="3" customFormat="1">
      <c r="A850" s="624" t="s">
        <v>1641</v>
      </c>
      <c r="B850" s="962"/>
      <c r="C850" s="55" t="s">
        <v>374</v>
      </c>
      <c r="D850" s="189" t="s">
        <v>347</v>
      </c>
      <c r="E850" s="34">
        <v>1</v>
      </c>
      <c r="F850" s="28">
        <v>191</v>
      </c>
      <c r="G850" s="215">
        <f>ROUND(E850*F850,2)</f>
        <v>191</v>
      </c>
      <c r="H850" s="649"/>
      <c r="I850" s="12"/>
    </row>
    <row r="851" spans="1:9">
      <c r="A851" s="620"/>
      <c r="B851" s="962"/>
      <c r="C851" s="54" t="s">
        <v>653</v>
      </c>
      <c r="D851" s="189"/>
      <c r="E851" s="34"/>
      <c r="F851" s="28"/>
      <c r="G851" s="215"/>
      <c r="H851" s="649"/>
      <c r="I851" s="12"/>
    </row>
    <row r="852" spans="1:9">
      <c r="A852" s="620"/>
      <c r="B852" s="962"/>
      <c r="C852" s="54" t="s">
        <v>92</v>
      </c>
      <c r="D852" s="189" t="s">
        <v>1047</v>
      </c>
      <c r="E852" s="34">
        <v>0.7</v>
      </c>
      <c r="F852" s="28">
        <f>'Lead- Input sheet '!R32</f>
        <v>780</v>
      </c>
      <c r="G852" s="215">
        <f>ROUND(E852*F852,2)</f>
        <v>546</v>
      </c>
      <c r="H852" s="649"/>
      <c r="I852" s="12"/>
    </row>
    <row r="853" spans="1:9" s="7" customFormat="1">
      <c r="A853" s="647"/>
      <c r="B853" s="907"/>
      <c r="C853" s="643" t="s">
        <v>896</v>
      </c>
      <c r="D853" s="644"/>
      <c r="E853" s="645">
        <f>'Lead- Input sheet '!Q31</f>
        <v>0</v>
      </c>
      <c r="F853" s="922">
        <f>G852</f>
        <v>546</v>
      </c>
      <c r="G853" s="646">
        <f>ROUND(F853*E853,2)</f>
        <v>0</v>
      </c>
      <c r="H853" s="642"/>
      <c r="I853" s="12"/>
    </row>
    <row r="854" spans="1:9">
      <c r="A854" s="620"/>
      <c r="B854" s="962"/>
      <c r="C854" s="54" t="s">
        <v>99</v>
      </c>
      <c r="D854" s="189"/>
      <c r="E854" s="198">
        <v>5.0000000000000001E-3</v>
      </c>
      <c r="F854" s="28">
        <f>SUM(G850:G852)</f>
        <v>737</v>
      </c>
      <c r="G854" s="215">
        <f>ROUND(E854*F854,2)</f>
        <v>3.69</v>
      </c>
      <c r="H854" s="649"/>
      <c r="I854" s="12"/>
    </row>
    <row r="855" spans="1:9" s="57" customFormat="1">
      <c r="A855" s="617"/>
      <c r="B855" s="962"/>
      <c r="C855" s="55" t="s">
        <v>100</v>
      </c>
      <c r="D855" s="190"/>
      <c r="E855" s="158"/>
      <c r="F855" s="29" t="s">
        <v>414</v>
      </c>
      <c r="G855" s="182">
        <f>SUM(G850:G854)</f>
        <v>740.69</v>
      </c>
      <c r="H855" s="656"/>
      <c r="I855" s="12"/>
    </row>
    <row r="856" spans="1:9" ht="35.1">
      <c r="A856" s="724" t="s">
        <v>370</v>
      </c>
      <c r="B856" s="963">
        <v>43</v>
      </c>
      <c r="C856" s="309" t="s">
        <v>460</v>
      </c>
      <c r="D856" s="319"/>
      <c r="E856" s="371"/>
      <c r="F856" s="371"/>
      <c r="G856" s="631"/>
      <c r="H856" s="654"/>
      <c r="I856" s="12"/>
    </row>
    <row r="857" spans="1:9">
      <c r="A857" s="632"/>
      <c r="B857" s="963"/>
      <c r="C857" s="200" t="s">
        <v>1394</v>
      </c>
      <c r="D857" s="319"/>
      <c r="E857" s="371"/>
      <c r="F857" s="371"/>
      <c r="G857" s="631"/>
      <c r="H857" s="654"/>
      <c r="I857" s="12"/>
    </row>
    <row r="858" spans="1:9">
      <c r="A858" s="632"/>
      <c r="B858" s="963"/>
      <c r="C858" s="202" t="s">
        <v>1089</v>
      </c>
      <c r="D858" s="319"/>
      <c r="E858" s="371"/>
      <c r="F858" s="371"/>
      <c r="G858" s="710">
        <f>G855</f>
        <v>740.69</v>
      </c>
      <c r="H858" s="654"/>
      <c r="I858" s="12"/>
    </row>
    <row r="859" spans="1:9">
      <c r="A859" s="632"/>
      <c r="B859" s="963"/>
      <c r="C859" s="309" t="s">
        <v>1395</v>
      </c>
      <c r="D859" s="319"/>
      <c r="E859" s="371"/>
      <c r="F859" s="371"/>
      <c r="G859" s="631"/>
      <c r="H859" s="654"/>
      <c r="I859" s="12"/>
    </row>
    <row r="860" spans="1:9">
      <c r="A860" s="624" t="s">
        <v>1611</v>
      </c>
      <c r="B860" s="963"/>
      <c r="C860" s="317" t="s">
        <v>633</v>
      </c>
      <c r="D860" s="319" t="s">
        <v>347</v>
      </c>
      <c r="E860" s="370">
        <v>2</v>
      </c>
      <c r="F860" s="371">
        <v>51</v>
      </c>
      <c r="G860" s="215">
        <f>ROUND(E860*F860,2)</f>
        <v>102</v>
      </c>
      <c r="H860" s="654"/>
      <c r="I860" s="12"/>
    </row>
    <row r="861" spans="1:9">
      <c r="A861" s="632"/>
      <c r="B861" s="963"/>
      <c r="C861" s="309" t="s">
        <v>653</v>
      </c>
      <c r="D861" s="319"/>
      <c r="E861" s="370"/>
      <c r="F861" s="371"/>
      <c r="G861" s="215"/>
      <c r="H861" s="654"/>
      <c r="I861" s="12"/>
    </row>
    <row r="862" spans="1:9" s="58" customFormat="1">
      <c r="A862" s="630"/>
      <c r="B862" s="963"/>
      <c r="C862" s="317" t="s">
        <v>92</v>
      </c>
      <c r="D862" s="201" t="s">
        <v>1047</v>
      </c>
      <c r="E862" s="372">
        <v>0.3</v>
      </c>
      <c r="F862" s="371">
        <f>'Lead- Input sheet '!R32</f>
        <v>780</v>
      </c>
      <c r="G862" s="215">
        <f>ROUND(E862*F862,2)</f>
        <v>234</v>
      </c>
      <c r="H862" s="661"/>
      <c r="I862" s="12"/>
    </row>
    <row r="863" spans="1:9">
      <c r="A863" s="632"/>
      <c r="B863" s="963"/>
      <c r="C863" s="317" t="s">
        <v>341</v>
      </c>
      <c r="D863" s="201" t="s">
        <v>1047</v>
      </c>
      <c r="E863" s="372">
        <v>1.5</v>
      </c>
      <c r="F863" s="371">
        <f>'Lead- Input sheet '!R29</f>
        <v>605</v>
      </c>
      <c r="G863" s="215">
        <f>ROUND(E863*F863,2)</f>
        <v>907.5</v>
      </c>
      <c r="H863" s="662"/>
      <c r="I863" s="12"/>
    </row>
    <row r="864" spans="1:9" s="7" customFormat="1">
      <c r="A864" s="647"/>
      <c r="B864" s="907"/>
      <c r="C864" s="643" t="s">
        <v>896</v>
      </c>
      <c r="D864" s="644"/>
      <c r="E864" s="645">
        <f>'Lead- Input sheet '!Q31</f>
        <v>0</v>
      </c>
      <c r="F864" s="922">
        <f>SUM(G862:G863)</f>
        <v>1141.5</v>
      </c>
      <c r="G864" s="646">
        <f>ROUND(F864*E864,2)</f>
        <v>0</v>
      </c>
      <c r="H864" s="642"/>
      <c r="I864" s="12"/>
    </row>
    <row r="865" spans="1:9" s="58" customFormat="1">
      <c r="A865" s="630"/>
      <c r="B865" s="963"/>
      <c r="C865" s="317" t="s">
        <v>461</v>
      </c>
      <c r="D865" s="201"/>
      <c r="E865" s="373">
        <v>0.01</v>
      </c>
      <c r="F865" s="371"/>
      <c r="G865" s="215"/>
      <c r="H865" s="661"/>
      <c r="I865" s="12"/>
    </row>
    <row r="866" spans="1:9" s="57" customFormat="1">
      <c r="A866" s="617"/>
      <c r="B866" s="962"/>
      <c r="C866" s="55" t="s">
        <v>1087</v>
      </c>
      <c r="D866" s="190"/>
      <c r="E866" s="158"/>
      <c r="F866" s="29"/>
      <c r="G866" s="182">
        <f>SUM(G858:G865)</f>
        <v>1984.19</v>
      </c>
      <c r="H866" s="656"/>
      <c r="I866" s="12"/>
    </row>
    <row r="867" spans="1:9" s="6" customFormat="1">
      <c r="A867" s="45"/>
      <c r="B867" s="907"/>
      <c r="C867" s="55" t="s">
        <v>1600</v>
      </c>
      <c r="D867" s="190"/>
      <c r="E867" s="158">
        <f>G866</f>
        <v>1984.19</v>
      </c>
      <c r="F867" s="29">
        <f>'Lead- Input sheet '!Q32</f>
        <v>0</v>
      </c>
      <c r="G867" s="182">
        <f>ROUND(F867*E867,2)</f>
        <v>0</v>
      </c>
      <c r="H867" s="650"/>
      <c r="I867" s="12"/>
    </row>
    <row r="868" spans="1:9" s="6" customFormat="1">
      <c r="A868" s="45"/>
      <c r="B868" s="907"/>
      <c r="C868" s="55" t="s">
        <v>29</v>
      </c>
      <c r="D868" s="190"/>
      <c r="E868" s="158"/>
      <c r="F868" s="923" t="s">
        <v>1486</v>
      </c>
      <c r="G868" s="619">
        <f>SUM(G866:G867)</f>
        <v>1984.19</v>
      </c>
      <c r="H868" s="662"/>
      <c r="I868" s="12"/>
    </row>
    <row r="869" spans="1:9" s="6" customFormat="1" ht="90.3">
      <c r="A869" s="45"/>
      <c r="B869" s="963">
        <v>44</v>
      </c>
      <c r="C869" s="54" t="s">
        <v>371</v>
      </c>
      <c r="D869" s="190"/>
      <c r="E869" s="158"/>
      <c r="F869" s="923"/>
      <c r="G869" s="641"/>
      <c r="H869" s="662"/>
      <c r="I869" s="12"/>
    </row>
    <row r="870" spans="1:9" s="6" customFormat="1">
      <c r="A870" s="45"/>
      <c r="B870" s="907"/>
      <c r="C870" s="55" t="s">
        <v>22</v>
      </c>
      <c r="D870" s="190"/>
      <c r="E870" s="158"/>
      <c r="F870" s="923"/>
      <c r="G870" s="641"/>
      <c r="H870" s="662"/>
      <c r="I870" s="12"/>
    </row>
    <row r="871" spans="1:9" s="6" customFormat="1" ht="25.8">
      <c r="A871" s="45" t="s">
        <v>1615</v>
      </c>
      <c r="B871" s="907"/>
      <c r="C871" s="55" t="s">
        <v>23</v>
      </c>
      <c r="D871" s="190" t="s">
        <v>1417</v>
      </c>
      <c r="E871" s="158">
        <v>0.8</v>
      </c>
      <c r="F871" s="923">
        <v>251</v>
      </c>
      <c r="G871" s="215">
        <f>ROUND(E871*F871,2)</f>
        <v>200.8</v>
      </c>
      <c r="H871" s="662"/>
      <c r="I871" s="12"/>
    </row>
    <row r="872" spans="1:9" s="6" customFormat="1">
      <c r="A872" s="45"/>
      <c r="B872" s="907"/>
      <c r="C872" s="55" t="s">
        <v>24</v>
      </c>
      <c r="D872" s="190"/>
      <c r="E872" s="158"/>
      <c r="F872" s="923"/>
      <c r="G872" s="215"/>
      <c r="H872" s="662"/>
      <c r="I872" s="12"/>
    </row>
    <row r="873" spans="1:9" s="6" customFormat="1">
      <c r="A873" s="45"/>
      <c r="B873" s="907"/>
      <c r="C873" s="55" t="s">
        <v>25</v>
      </c>
      <c r="D873" s="190" t="s">
        <v>27</v>
      </c>
      <c r="E873" s="158">
        <v>0.36</v>
      </c>
      <c r="F873" s="923">
        <f>'Lead- Input sheet '!R32</f>
        <v>780</v>
      </c>
      <c r="G873" s="215">
        <f>ROUND(E873*F873,2)</f>
        <v>280.8</v>
      </c>
      <c r="H873" s="662"/>
      <c r="I873" s="12"/>
    </row>
    <row r="874" spans="1:9" s="6" customFormat="1">
      <c r="A874" s="45"/>
      <c r="B874" s="907"/>
      <c r="C874" s="55" t="s">
        <v>26</v>
      </c>
      <c r="D874" s="190" t="s">
        <v>27</v>
      </c>
      <c r="E874" s="158">
        <v>0.84</v>
      </c>
      <c r="F874" s="923">
        <f>'Lead- Input sheet '!R36</f>
        <v>650</v>
      </c>
      <c r="G874" s="215">
        <f>ROUND(E874*F874,2)</f>
        <v>546</v>
      </c>
      <c r="H874" s="662"/>
      <c r="I874" s="12"/>
    </row>
    <row r="875" spans="1:9" s="7" customFormat="1">
      <c r="A875" s="647"/>
      <c r="B875" s="907"/>
      <c r="C875" s="643" t="s">
        <v>896</v>
      </c>
      <c r="D875" s="644"/>
      <c r="E875" s="645">
        <f>'Lead- Input sheet '!Q31</f>
        <v>0</v>
      </c>
      <c r="F875" s="922">
        <f>SUM(G873:G874)</f>
        <v>826.8</v>
      </c>
      <c r="G875" s="646">
        <f>ROUND(F875*E875,2)</f>
        <v>0</v>
      </c>
      <c r="H875" s="642"/>
      <c r="I875" s="12"/>
    </row>
    <row r="876" spans="1:9" s="722" customFormat="1">
      <c r="A876" s="647"/>
      <c r="B876" s="907"/>
      <c r="C876" s="721"/>
      <c r="D876" s="191"/>
      <c r="E876" s="368"/>
      <c r="F876" s="924"/>
      <c r="G876" s="668">
        <f>SUM(G871:G875)</f>
        <v>1027.5999999999999</v>
      </c>
      <c r="H876" s="642"/>
      <c r="I876" s="669"/>
    </row>
    <row r="877" spans="1:9" s="6" customFormat="1">
      <c r="A877" s="45"/>
      <c r="B877" s="907"/>
      <c r="C877" s="55" t="s">
        <v>1600</v>
      </c>
      <c r="D877" s="190"/>
      <c r="E877" s="158">
        <f>G876</f>
        <v>1027.5999999999999</v>
      </c>
      <c r="F877" s="29">
        <f>'Lead- Input sheet '!Q32</f>
        <v>0</v>
      </c>
      <c r="G877" s="182">
        <f>ROUND(F877*E877,2)</f>
        <v>0</v>
      </c>
      <c r="H877" s="650"/>
      <c r="I877" s="12"/>
    </row>
    <row r="878" spans="1:9" s="6" customFormat="1">
      <c r="A878" s="45"/>
      <c r="B878" s="907"/>
      <c r="C878" s="55" t="s">
        <v>29</v>
      </c>
      <c r="D878" s="190"/>
      <c r="E878" s="158"/>
      <c r="F878" s="923" t="s">
        <v>1486</v>
      </c>
      <c r="G878" s="619">
        <f>SUM(G876:G877)</f>
        <v>1027.5999999999999</v>
      </c>
      <c r="H878" s="662"/>
      <c r="I878" s="12"/>
    </row>
    <row r="879" spans="1:9" s="6" customFormat="1" ht="90.3">
      <c r="A879" s="45"/>
      <c r="B879" s="907">
        <v>45</v>
      </c>
      <c r="C879" s="54" t="s">
        <v>372</v>
      </c>
      <c r="D879" s="190"/>
      <c r="E879" s="158"/>
      <c r="F879" s="923"/>
      <c r="G879" s="641"/>
      <c r="H879" s="662"/>
      <c r="I879" s="12"/>
    </row>
    <row r="880" spans="1:9" s="6" customFormat="1">
      <c r="A880" s="45"/>
      <c r="B880" s="907"/>
      <c r="C880" s="55" t="s">
        <v>22</v>
      </c>
      <c r="D880" s="190"/>
      <c r="E880" s="158"/>
      <c r="F880" s="923"/>
      <c r="G880" s="641"/>
      <c r="H880" s="662"/>
      <c r="I880" s="12"/>
    </row>
    <row r="881" spans="1:9" s="6" customFormat="1" ht="25.8">
      <c r="A881" s="45" t="s">
        <v>1615</v>
      </c>
      <c r="B881" s="907"/>
      <c r="C881" s="55" t="s">
        <v>23</v>
      </c>
      <c r="D881" s="190" t="s">
        <v>1417</v>
      </c>
      <c r="E881" s="158">
        <v>0.8</v>
      </c>
      <c r="F881" s="923">
        <v>251</v>
      </c>
      <c r="G881" s="182">
        <f>ROUND(F881*E881,2)</f>
        <v>200.8</v>
      </c>
      <c r="H881" s="662"/>
      <c r="I881" s="12"/>
    </row>
    <row r="882" spans="1:9" s="6" customFormat="1">
      <c r="A882" s="45"/>
      <c r="B882" s="907"/>
      <c r="C882" s="55" t="s">
        <v>24</v>
      </c>
      <c r="D882" s="190"/>
      <c r="E882" s="158"/>
      <c r="F882" s="923"/>
      <c r="G882" s="182"/>
      <c r="H882" s="662"/>
      <c r="I882" s="12"/>
    </row>
    <row r="883" spans="1:9" s="6" customFormat="1">
      <c r="A883" s="45"/>
      <c r="B883" s="907"/>
      <c r="C883" s="55" t="s">
        <v>25</v>
      </c>
      <c r="D883" s="190" t="s">
        <v>27</v>
      </c>
      <c r="E883" s="158">
        <v>0.21</v>
      </c>
      <c r="F883" s="923">
        <f>'Lead- Input sheet '!R32</f>
        <v>780</v>
      </c>
      <c r="G883" s="182">
        <f>ROUND(F883*E883,2)</f>
        <v>163.80000000000001</v>
      </c>
      <c r="H883" s="662"/>
      <c r="I883" s="12"/>
    </row>
    <row r="884" spans="1:9" s="6" customFormat="1">
      <c r="A884" s="45"/>
      <c r="B884" s="907"/>
      <c r="C884" s="55" t="s">
        <v>26</v>
      </c>
      <c r="D884" s="190" t="s">
        <v>27</v>
      </c>
      <c r="E884" s="158">
        <v>0.49</v>
      </c>
      <c r="F884" s="923">
        <f>'Lead- Input sheet '!R36</f>
        <v>650</v>
      </c>
      <c r="G884" s="182">
        <f>ROUND(F884*E884,2)</f>
        <v>318.5</v>
      </c>
      <c r="H884" s="662"/>
      <c r="I884" s="12"/>
    </row>
    <row r="885" spans="1:9" s="6" customFormat="1">
      <c r="A885" s="45"/>
      <c r="B885" s="907"/>
      <c r="C885" s="55" t="s">
        <v>28</v>
      </c>
      <c r="D885" s="190" t="s">
        <v>27</v>
      </c>
      <c r="E885" s="158">
        <v>1.5</v>
      </c>
      <c r="F885" s="923">
        <f>'Lead- Input sheet '!R28</f>
        <v>605</v>
      </c>
      <c r="G885" s="182">
        <f>ROUND(F885*E885,2)</f>
        <v>907.5</v>
      </c>
      <c r="H885" s="662"/>
      <c r="I885" s="12"/>
    </row>
    <row r="886" spans="1:9" s="7" customFormat="1">
      <c r="A886" s="647"/>
      <c r="B886" s="907"/>
      <c r="C886" s="643" t="s">
        <v>896</v>
      </c>
      <c r="D886" s="644"/>
      <c r="E886" s="645">
        <f>'Lead- Input sheet '!Q31</f>
        <v>0</v>
      </c>
      <c r="F886" s="922">
        <f>SUM(G883:G885)</f>
        <v>1389.8</v>
      </c>
      <c r="G886" s="646">
        <f>ROUND(F886*E886,2)</f>
        <v>0</v>
      </c>
      <c r="H886" s="642"/>
      <c r="I886" s="12"/>
    </row>
    <row r="887" spans="1:9" s="722" customFormat="1">
      <c r="A887" s="647"/>
      <c r="B887" s="907"/>
      <c r="C887" s="721"/>
      <c r="D887" s="191"/>
      <c r="E887" s="368"/>
      <c r="F887" s="924"/>
      <c r="G887" s="668">
        <f>SUM(G881:G886)</f>
        <v>1590.6</v>
      </c>
      <c r="H887" s="642"/>
      <c r="I887" s="669"/>
    </row>
    <row r="888" spans="1:9" s="6" customFormat="1">
      <c r="A888" s="45"/>
      <c r="B888" s="907"/>
      <c r="C888" s="55" t="s">
        <v>1600</v>
      </c>
      <c r="D888" s="190"/>
      <c r="E888" s="158">
        <f>G887</f>
        <v>1590.6</v>
      </c>
      <c r="F888" s="940">
        <f>'Lead- Input sheet '!Q32</f>
        <v>0</v>
      </c>
      <c r="G888" s="182">
        <f>ROUND(F888*E888,2)</f>
        <v>0</v>
      </c>
      <c r="H888" s="650"/>
      <c r="I888" s="12"/>
    </row>
    <row r="889" spans="1:9" s="6" customFormat="1">
      <c r="A889" s="45"/>
      <c r="B889" s="907"/>
      <c r="C889" s="55" t="s">
        <v>29</v>
      </c>
      <c r="D889" s="190"/>
      <c r="E889" s="158"/>
      <c r="F889" s="923" t="s">
        <v>1486</v>
      </c>
      <c r="G889" s="619">
        <f>SUM(G887:G888)</f>
        <v>1590.6</v>
      </c>
      <c r="H889" s="662"/>
      <c r="I889" s="12"/>
    </row>
    <row r="890" spans="1:9" s="7" customFormat="1" ht="93" customHeight="1">
      <c r="A890" s="617" t="s">
        <v>1574</v>
      </c>
      <c r="B890" s="907">
        <v>46</v>
      </c>
      <c r="C890" s="55" t="s">
        <v>1179</v>
      </c>
      <c r="D890" s="189"/>
      <c r="E890" s="34"/>
      <c r="F890" s="28"/>
      <c r="G890" s="215"/>
      <c r="H890" s="642"/>
      <c r="I890" s="12"/>
    </row>
    <row r="891" spans="1:9" s="7" customFormat="1">
      <c r="A891" s="616" t="s">
        <v>1480</v>
      </c>
      <c r="B891" s="907"/>
      <c r="C891" s="54" t="s">
        <v>1025</v>
      </c>
      <c r="D891" s="189"/>
      <c r="E891" s="34"/>
      <c r="F891" s="28"/>
      <c r="G891" s="215"/>
      <c r="H891" s="642"/>
      <c r="I891" s="12"/>
    </row>
    <row r="892" spans="1:9" s="7" customFormat="1">
      <c r="A892" s="616"/>
      <c r="B892" s="907"/>
      <c r="C892" s="54" t="s">
        <v>777</v>
      </c>
      <c r="D892" s="189"/>
      <c r="E892" s="34"/>
      <c r="F892" s="28"/>
      <c r="G892" s="215"/>
      <c r="H892" s="642"/>
      <c r="I892" s="12"/>
    </row>
    <row r="893" spans="1:9" s="7" customFormat="1">
      <c r="A893" s="616"/>
      <c r="B893" s="907"/>
      <c r="C893" s="54" t="s">
        <v>1171</v>
      </c>
      <c r="D893" s="189"/>
      <c r="E893" s="34"/>
      <c r="F893" s="28"/>
      <c r="G893" s="182"/>
      <c r="H893" s="654"/>
      <c r="I893" s="12"/>
    </row>
    <row r="894" spans="1:9" s="7" customFormat="1">
      <c r="A894" s="616"/>
      <c r="B894" s="907"/>
      <c r="C894" s="54" t="s">
        <v>1172</v>
      </c>
      <c r="D894" s="189" t="s">
        <v>776</v>
      </c>
      <c r="E894" s="34">
        <v>3.12</v>
      </c>
      <c r="F894" s="28">
        <f>'Lead- Input sheet '!R29</f>
        <v>605</v>
      </c>
      <c r="G894" s="215">
        <f>ROUND(F894*E894,2)</f>
        <v>1887.6</v>
      </c>
      <c r="H894" s="648"/>
      <c r="I894" s="12"/>
    </row>
    <row r="895" spans="1:9" s="7" customFormat="1">
      <c r="A895" s="616"/>
      <c r="B895" s="907"/>
      <c r="C895" s="54" t="s">
        <v>1569</v>
      </c>
      <c r="D895" s="189" t="s">
        <v>1570</v>
      </c>
      <c r="E895" s="34">
        <v>0.72</v>
      </c>
      <c r="F895" s="28">
        <f>IF('Lead- Input sheet '!$Q$31=40%,'Lead- Input sheet '!$P$35,'Lead- Input sheet '!$Q$35)</f>
        <v>73</v>
      </c>
      <c r="G895" s="215">
        <f>ROUND(F895*E895,2)</f>
        <v>52.56</v>
      </c>
      <c r="H895" s="648"/>
      <c r="I895" s="12"/>
    </row>
    <row r="896" spans="1:9" s="7" customFormat="1">
      <c r="A896" s="647"/>
      <c r="B896" s="907"/>
      <c r="C896" s="643" t="s">
        <v>896</v>
      </c>
      <c r="D896" s="644"/>
      <c r="E896" s="645">
        <f>'Lead- Input sheet '!Q31</f>
        <v>0</v>
      </c>
      <c r="F896" s="922">
        <f>SUM(G893:G894)</f>
        <v>1887.6</v>
      </c>
      <c r="G896" s="646">
        <f>ROUND(F896*E896,2)</f>
        <v>0</v>
      </c>
      <c r="H896" s="642"/>
      <c r="I896" s="12"/>
    </row>
    <row r="897" spans="1:9" s="7" customFormat="1">
      <c r="A897" s="616"/>
      <c r="B897" s="907"/>
      <c r="C897" s="54"/>
      <c r="D897" s="189"/>
      <c r="E897" s="34"/>
      <c r="F897" s="28"/>
      <c r="G897" s="215">
        <f>SUM(G894:G896)</f>
        <v>1940.1599999999999</v>
      </c>
      <c r="H897" s="649"/>
      <c r="I897" s="12"/>
    </row>
    <row r="898" spans="1:9" s="6" customFormat="1">
      <c r="A898" s="45"/>
      <c r="B898" s="907"/>
      <c r="C898" s="55" t="s">
        <v>1600</v>
      </c>
      <c r="D898" s="190"/>
      <c r="E898" s="158">
        <f>G897</f>
        <v>1940.1599999999999</v>
      </c>
      <c r="F898" s="940">
        <f>'Lead- Input sheet '!Q32</f>
        <v>0</v>
      </c>
      <c r="G898" s="182">
        <f>ROUND(F898*E898,2)</f>
        <v>0</v>
      </c>
      <c r="H898" s="650"/>
      <c r="I898" s="12"/>
    </row>
    <row r="899" spans="1:9" s="6" customFormat="1">
      <c r="A899" s="45"/>
      <c r="B899" s="907"/>
      <c r="C899" s="55" t="s">
        <v>745</v>
      </c>
      <c r="D899" s="190"/>
      <c r="E899" s="158"/>
      <c r="F899" s="29"/>
      <c r="G899" s="182">
        <f>SUM(G897:G898)</f>
        <v>1940.1599999999999</v>
      </c>
      <c r="H899" s="651"/>
      <c r="I899" s="12"/>
    </row>
    <row r="900" spans="1:9" s="6" customFormat="1">
      <c r="A900" s="45"/>
      <c r="B900" s="907" t="s">
        <v>1480</v>
      </c>
      <c r="C900" s="55" t="s">
        <v>744</v>
      </c>
      <c r="D900" s="190"/>
      <c r="E900" s="158"/>
      <c r="F900" s="923" t="s">
        <v>1486</v>
      </c>
      <c r="G900" s="619">
        <f>ROUND(G899/6,2)</f>
        <v>323.36</v>
      </c>
      <c r="H900" s="651"/>
      <c r="I900" s="12"/>
    </row>
    <row r="901" spans="1:9" ht="152.25" customHeight="1">
      <c r="A901" s="627" t="s">
        <v>1642</v>
      </c>
      <c r="B901" s="962">
        <v>47</v>
      </c>
      <c r="C901" s="54" t="s">
        <v>800</v>
      </c>
      <c r="D901" s="304"/>
      <c r="E901" s="28"/>
      <c r="F901" s="28"/>
      <c r="G901" s="711">
        <v>3094</v>
      </c>
      <c r="I901" s="12"/>
    </row>
    <row r="902" spans="1:9" s="6" customFormat="1">
      <c r="A902" s="45"/>
      <c r="B902" s="907"/>
      <c r="C902" s="55" t="s">
        <v>1600</v>
      </c>
      <c r="D902" s="190"/>
      <c r="E902" s="158">
        <f>G901</f>
        <v>3094</v>
      </c>
      <c r="F902" s="940">
        <f>'Lead- Input sheet '!Q32</f>
        <v>0</v>
      </c>
      <c r="G902" s="182">
        <f>ROUND(F902*E902,2)</f>
        <v>0</v>
      </c>
      <c r="H902" s="650"/>
      <c r="I902" s="12"/>
    </row>
    <row r="903" spans="1:9" s="6" customFormat="1">
      <c r="A903" s="45"/>
      <c r="B903" s="907"/>
      <c r="C903" s="55" t="s">
        <v>175</v>
      </c>
      <c r="D903" s="190"/>
      <c r="E903" s="158"/>
      <c r="F903" s="923" t="s">
        <v>1486</v>
      </c>
      <c r="G903" s="619">
        <f>SUM(G901:G902)</f>
        <v>3094</v>
      </c>
      <c r="H903" s="662"/>
      <c r="I903" s="12"/>
    </row>
    <row r="904" spans="1:9" ht="110.2" customHeight="1">
      <c r="A904" s="723" t="s">
        <v>174</v>
      </c>
      <c r="B904" s="962">
        <v>48</v>
      </c>
      <c r="C904" s="54" t="s">
        <v>227</v>
      </c>
      <c r="D904" s="304"/>
      <c r="E904" s="28"/>
      <c r="F904" s="28"/>
      <c r="G904" s="711"/>
      <c r="I904" s="12"/>
    </row>
    <row r="905" spans="1:9">
      <c r="A905" s="627"/>
      <c r="B905" s="962"/>
      <c r="C905" s="309" t="s">
        <v>169</v>
      </c>
      <c r="D905" s="975"/>
      <c r="E905" s="976"/>
      <c r="F905" s="28"/>
      <c r="G905" s="628"/>
      <c r="I905" s="12"/>
    </row>
    <row r="906" spans="1:9">
      <c r="A906" s="627"/>
      <c r="B906" s="962"/>
      <c r="C906" s="309" t="s">
        <v>1041</v>
      </c>
      <c r="D906" s="975"/>
      <c r="E906" s="976"/>
      <c r="F906" s="28"/>
      <c r="G906" s="628"/>
      <c r="I906" s="12"/>
    </row>
    <row r="907" spans="1:9">
      <c r="A907" s="627"/>
      <c r="B907" s="962"/>
      <c r="C907" s="317" t="s">
        <v>523</v>
      </c>
      <c r="D907" s="310" t="s">
        <v>1217</v>
      </c>
      <c r="E907" s="310">
        <v>320</v>
      </c>
      <c r="F907" s="28">
        <f>'Lead- Input sheet '!R8</f>
        <v>6656</v>
      </c>
      <c r="G907" s="628">
        <f>ROUND(F907*E907/1000,0)</f>
        <v>2130</v>
      </c>
      <c r="I907" s="12"/>
    </row>
    <row r="908" spans="1:9">
      <c r="A908" s="627"/>
      <c r="B908" s="962"/>
      <c r="C908" s="317" t="s">
        <v>226</v>
      </c>
      <c r="D908" s="310" t="s">
        <v>1473</v>
      </c>
      <c r="E908" s="310">
        <v>0.9</v>
      </c>
      <c r="F908" s="28">
        <f>'Lead- Input sheet '!R18</f>
        <v>1493.2033622320996</v>
      </c>
      <c r="G908" s="628">
        <f>ROUND(F908*E908,0)</f>
        <v>1344</v>
      </c>
      <c r="I908" s="12"/>
    </row>
    <row r="909" spans="1:9">
      <c r="A909" s="627"/>
      <c r="B909" s="962"/>
      <c r="C909" s="317" t="s">
        <v>1571</v>
      </c>
      <c r="D909" s="310" t="s">
        <v>1473</v>
      </c>
      <c r="E909" s="310">
        <v>0.45</v>
      </c>
      <c r="F909" s="28">
        <f>'Lead- Input sheet '!R11</f>
        <v>1239.6380759582803</v>
      </c>
      <c r="G909" s="628">
        <f>ROUND(F909*E909,0)</f>
        <v>558</v>
      </c>
      <c r="I909" s="12"/>
    </row>
    <row r="910" spans="1:9">
      <c r="A910" s="627"/>
      <c r="B910" s="962"/>
      <c r="C910" s="317" t="s">
        <v>170</v>
      </c>
      <c r="D910" s="310" t="s">
        <v>171</v>
      </c>
      <c r="E910" s="975"/>
      <c r="F910" s="28"/>
      <c r="G910" s="628"/>
      <c r="I910" s="12"/>
    </row>
    <row r="911" spans="1:9">
      <c r="A911" s="627"/>
      <c r="B911" s="962"/>
      <c r="C911" s="309" t="s">
        <v>1044</v>
      </c>
      <c r="D911" s="310"/>
      <c r="E911" s="976"/>
      <c r="F911" s="28"/>
      <c r="G911" s="628"/>
      <c r="I911" s="12"/>
    </row>
    <row r="912" spans="1:9">
      <c r="A912" s="627"/>
      <c r="B912" s="962"/>
      <c r="C912" s="317" t="s">
        <v>344</v>
      </c>
      <c r="D912" s="310" t="s">
        <v>345</v>
      </c>
      <c r="E912" s="310">
        <v>1</v>
      </c>
      <c r="F912" s="28">
        <f>F358</f>
        <v>472.6</v>
      </c>
      <c r="G912" s="628">
        <f>ROUND(F912*E912,0)</f>
        <v>473</v>
      </c>
      <c r="I912" s="12"/>
    </row>
    <row r="913" spans="1:9">
      <c r="A913" s="627"/>
      <c r="B913" s="962"/>
      <c r="C913" s="309" t="s">
        <v>1045</v>
      </c>
      <c r="D913" s="310"/>
      <c r="E913" s="976"/>
      <c r="F913" s="28"/>
      <c r="G913" s="628"/>
      <c r="I913" s="12"/>
    </row>
    <row r="914" spans="1:9" ht="13.2">
      <c r="A914" s="627"/>
      <c r="B914" s="962"/>
      <c r="C914" s="317" t="s">
        <v>130</v>
      </c>
      <c r="D914" s="310" t="s">
        <v>1047</v>
      </c>
      <c r="E914" s="201">
        <v>0.1</v>
      </c>
      <c r="F914" s="28">
        <f>'Lead- Input sheet '!R31</f>
        <v>680</v>
      </c>
      <c r="G914" s="628">
        <f>ROUND(F914*E914,0)</f>
        <v>68</v>
      </c>
      <c r="I914" s="12"/>
    </row>
    <row r="915" spans="1:9">
      <c r="A915" s="627"/>
      <c r="B915" s="962"/>
      <c r="C915" s="317" t="s">
        <v>341</v>
      </c>
      <c r="D915" s="310" t="s">
        <v>1047</v>
      </c>
      <c r="E915" s="201">
        <v>1.98</v>
      </c>
      <c r="F915" s="28">
        <f>'Lead- Input sheet '!R28</f>
        <v>605</v>
      </c>
      <c r="G915" s="628">
        <f>ROUND(F915*E915,0)</f>
        <v>1198</v>
      </c>
      <c r="I915" s="12"/>
    </row>
    <row r="916" spans="1:9" s="7" customFormat="1">
      <c r="A916" s="647"/>
      <c r="B916" s="907"/>
      <c r="C916" s="643" t="s">
        <v>896</v>
      </c>
      <c r="D916" s="644"/>
      <c r="E916" s="645">
        <f>'Lead- Input sheet '!Q31</f>
        <v>0</v>
      </c>
      <c r="F916" s="922">
        <f>SUM(G914:G915)</f>
        <v>1266</v>
      </c>
      <c r="G916" s="646">
        <f>ROUND(F916*E916,2)</f>
        <v>0</v>
      </c>
      <c r="H916" s="642"/>
      <c r="I916" s="12"/>
    </row>
    <row r="917" spans="1:9">
      <c r="A917" s="627"/>
      <c r="B917" s="962"/>
      <c r="C917" s="977" t="s">
        <v>172</v>
      </c>
      <c r="D917" s="310"/>
      <c r="E917" s="976"/>
      <c r="F917" s="28"/>
      <c r="G917" s="628">
        <f>SUM(G907:G916)</f>
        <v>5771</v>
      </c>
      <c r="I917" s="12"/>
    </row>
    <row r="918" spans="1:9">
      <c r="A918" s="627"/>
      <c r="B918" s="962"/>
      <c r="C918" s="977" t="s">
        <v>173</v>
      </c>
      <c r="D918" s="310"/>
      <c r="E918" s="976"/>
      <c r="F918" s="28"/>
      <c r="G918" s="628">
        <f>G917/20</f>
        <v>288.55</v>
      </c>
      <c r="I918" s="12"/>
    </row>
    <row r="919" spans="1:9" s="6" customFormat="1">
      <c r="A919" s="45"/>
      <c r="B919" s="907"/>
      <c r="C919" s="55" t="s">
        <v>1600</v>
      </c>
      <c r="D919" s="190"/>
      <c r="E919" s="158">
        <f>G918</f>
        <v>288.55</v>
      </c>
      <c r="F919" s="940">
        <f>'Lead- Input sheet '!Q32</f>
        <v>0</v>
      </c>
      <c r="G919" s="182">
        <f>ROUND(F919*E919,2)</f>
        <v>0</v>
      </c>
      <c r="H919" s="650"/>
      <c r="I919" s="12"/>
    </row>
    <row r="920" spans="1:9" s="6" customFormat="1">
      <c r="A920" s="45"/>
      <c r="B920" s="907"/>
      <c r="C920" s="55"/>
      <c r="D920" s="190"/>
      <c r="E920" s="158"/>
      <c r="F920" s="923" t="s">
        <v>1486</v>
      </c>
      <c r="G920" s="619">
        <f>SUM(G918:G919)</f>
        <v>288.55</v>
      </c>
      <c r="H920" s="662"/>
      <c r="I920" s="12"/>
    </row>
    <row r="921" spans="1:9" s="3" customFormat="1">
      <c r="A921" s="620"/>
      <c r="B921" s="962"/>
      <c r="C921" s="54" t="s">
        <v>899</v>
      </c>
      <c r="D921" s="189" t="s">
        <v>908</v>
      </c>
      <c r="E921" s="34">
        <v>0.9</v>
      </c>
      <c r="F921" s="28">
        <f>'Lead- Input sheet '!O17</f>
        <v>0</v>
      </c>
      <c r="G921" s="215">
        <f>ROUND(E921*F921/20,2)</f>
        <v>0</v>
      </c>
      <c r="H921" s="649"/>
      <c r="I921" s="12"/>
    </row>
    <row r="922" spans="1:9" s="3" customFormat="1">
      <c r="A922" s="620"/>
      <c r="B922" s="962"/>
      <c r="C922" s="54" t="s">
        <v>900</v>
      </c>
      <c r="D922" s="189" t="s">
        <v>908</v>
      </c>
      <c r="E922" s="34">
        <v>0.45</v>
      </c>
      <c r="F922" s="28">
        <f>'Lead- Input sheet '!O11</f>
        <v>0</v>
      </c>
      <c r="G922" s="215">
        <f>ROUND(E922*F922/20,2)</f>
        <v>0</v>
      </c>
      <c r="H922" s="649"/>
      <c r="I922" s="12"/>
    </row>
    <row r="923" spans="1:9" s="6" customFormat="1">
      <c r="A923" s="45"/>
      <c r="B923" s="907"/>
      <c r="C923" s="55" t="s">
        <v>175</v>
      </c>
      <c r="D923" s="190"/>
      <c r="E923" s="158"/>
      <c r="F923" s="923" t="s">
        <v>1486</v>
      </c>
      <c r="G923" s="619">
        <f>SUM(G920:G922)</f>
        <v>288.55</v>
      </c>
      <c r="H923" s="651"/>
      <c r="I923" s="12"/>
    </row>
    <row r="924" spans="1:9" s="655" customFormat="1">
      <c r="A924" s="665"/>
      <c r="B924" s="907"/>
      <c r="C924" s="666"/>
      <c r="D924" s="676"/>
      <c r="E924" s="640"/>
      <c r="F924" s="939"/>
      <c r="G924" s="641"/>
      <c r="H924" s="662"/>
      <c r="I924" s="669"/>
    </row>
    <row r="925" spans="1:9" ht="62.25" customHeight="1">
      <c r="A925" s="627" t="s">
        <v>176</v>
      </c>
      <c r="B925" s="962">
        <v>49</v>
      </c>
      <c r="C925" s="54" t="s">
        <v>909</v>
      </c>
      <c r="D925" s="304"/>
      <c r="E925" s="28"/>
      <c r="F925" s="28"/>
      <c r="G925" s="628"/>
      <c r="I925" s="12"/>
    </row>
    <row r="926" spans="1:9">
      <c r="A926" s="633"/>
      <c r="B926" s="962"/>
      <c r="C926" s="309" t="s">
        <v>177</v>
      </c>
      <c r="D926" s="975"/>
      <c r="E926" s="976"/>
      <c r="F926" s="28"/>
      <c r="G926" s="628"/>
      <c r="I926" s="12"/>
    </row>
    <row r="927" spans="1:9">
      <c r="A927" s="627"/>
      <c r="B927" s="962"/>
      <c r="C927" s="317" t="s">
        <v>178</v>
      </c>
      <c r="D927" s="310" t="s">
        <v>1217</v>
      </c>
      <c r="E927" s="310">
        <v>1</v>
      </c>
      <c r="F927" s="28">
        <f>'Lead- Input sheet '!R10/1000</f>
        <v>69.62</v>
      </c>
      <c r="G927" s="628">
        <f>F927*E927</f>
        <v>69.62</v>
      </c>
      <c r="I927" s="12"/>
    </row>
    <row r="928" spans="1:9">
      <c r="A928" s="627" t="s">
        <v>1643</v>
      </c>
      <c r="B928" s="962"/>
      <c r="C928" s="317" t="s">
        <v>1644</v>
      </c>
      <c r="D928" s="310" t="s">
        <v>1217</v>
      </c>
      <c r="E928" s="310">
        <v>1</v>
      </c>
      <c r="F928" s="28">
        <v>28</v>
      </c>
      <c r="G928" s="628">
        <f>F928*E928</f>
        <v>28</v>
      </c>
      <c r="I928" s="12"/>
    </row>
    <row r="929" spans="1:9">
      <c r="A929" s="627" t="s">
        <v>1645</v>
      </c>
      <c r="B929" s="962"/>
      <c r="C929" s="317" t="s">
        <v>1644</v>
      </c>
      <c r="D929" s="310" t="s">
        <v>1217</v>
      </c>
      <c r="E929" s="310">
        <v>1</v>
      </c>
      <c r="F929" s="28">
        <v>4</v>
      </c>
      <c r="G929" s="628">
        <f>F929*E929</f>
        <v>4</v>
      </c>
      <c r="I929" s="12"/>
    </row>
    <row r="930" spans="1:9" s="7" customFormat="1">
      <c r="A930" s="647"/>
      <c r="B930" s="907"/>
      <c r="C930" s="643" t="s">
        <v>896</v>
      </c>
      <c r="D930" s="644"/>
      <c r="E930" s="645">
        <f>'Lead- Input sheet '!Q31</f>
        <v>0</v>
      </c>
      <c r="F930" s="922">
        <f>SUM(G928:G929)</f>
        <v>32</v>
      </c>
      <c r="G930" s="646">
        <f>ROUND(F930*E930,2)</f>
        <v>0</v>
      </c>
      <c r="H930" s="642"/>
      <c r="I930" s="12"/>
    </row>
    <row r="931" spans="1:9">
      <c r="A931" s="627"/>
      <c r="B931" s="962"/>
      <c r="C931" s="317"/>
      <c r="D931" s="310"/>
      <c r="E931" s="310"/>
      <c r="F931" s="28"/>
      <c r="G931" s="628">
        <f>SUM(G927:G930)</f>
        <v>101.62</v>
      </c>
      <c r="I931" s="12"/>
    </row>
    <row r="932" spans="1:9" s="6" customFormat="1">
      <c r="A932" s="45"/>
      <c r="B932" s="907"/>
      <c r="C932" s="55" t="s">
        <v>1600</v>
      </c>
      <c r="D932" s="190"/>
      <c r="E932" s="158">
        <f>G931</f>
        <v>101.62</v>
      </c>
      <c r="F932" s="29">
        <f>'Lead- Input sheet '!Q32</f>
        <v>0</v>
      </c>
      <c r="G932" s="182">
        <f>ROUND(F932*E932,2)</f>
        <v>0</v>
      </c>
      <c r="H932" s="650"/>
      <c r="I932" s="12"/>
    </row>
    <row r="933" spans="1:9" s="6" customFormat="1">
      <c r="A933" s="45"/>
      <c r="B933" s="907"/>
      <c r="C933" s="55" t="s">
        <v>179</v>
      </c>
      <c r="D933" s="190"/>
      <c r="E933" s="158"/>
      <c r="F933" s="923" t="s">
        <v>1486</v>
      </c>
      <c r="G933" s="619">
        <f>SUM(G931:G932)</f>
        <v>101.62</v>
      </c>
      <c r="H933" s="662"/>
      <c r="I933" s="12"/>
    </row>
    <row r="934" spans="1:9">
      <c r="A934" s="627"/>
      <c r="B934" s="962"/>
      <c r="C934" s="20"/>
      <c r="D934" s="304"/>
      <c r="E934" s="28"/>
      <c r="F934" s="28"/>
      <c r="G934" s="628"/>
    </row>
    <row r="935" spans="1:9" ht="116.1">
      <c r="A935" s="617" t="s">
        <v>1233</v>
      </c>
      <c r="B935" s="962">
        <v>50</v>
      </c>
      <c r="C935" s="54" t="s">
        <v>362</v>
      </c>
      <c r="D935" s="190"/>
      <c r="E935" s="158"/>
      <c r="F935" s="29"/>
      <c r="G935" s="182"/>
    </row>
    <row r="936" spans="1:9">
      <c r="A936" s="620"/>
      <c r="B936" s="962"/>
      <c r="C936" s="54" t="s">
        <v>90</v>
      </c>
      <c r="D936" s="189"/>
      <c r="E936" s="34"/>
      <c r="F936" s="28"/>
      <c r="G936" s="215"/>
    </row>
    <row r="937" spans="1:9">
      <c r="A937" s="624" t="s">
        <v>537</v>
      </c>
      <c r="B937" s="962"/>
      <c r="C937" s="54" t="s">
        <v>907</v>
      </c>
      <c r="D937" s="189" t="s">
        <v>91</v>
      </c>
      <c r="E937" s="34">
        <v>0.5</v>
      </c>
      <c r="F937" s="28">
        <v>150</v>
      </c>
      <c r="G937" s="215">
        <f t="shared" ref="G937:G942" si="4">ROUND(E937*F937,2)</f>
        <v>75</v>
      </c>
    </row>
    <row r="938" spans="1:9">
      <c r="A938" s="620"/>
      <c r="B938" s="962"/>
      <c r="C938" s="54" t="s">
        <v>92</v>
      </c>
      <c r="D938" s="189" t="s">
        <v>1035</v>
      </c>
      <c r="E938" s="34">
        <v>0.08</v>
      </c>
      <c r="F938" s="28">
        <f>'Lead- Input sheet '!R33</f>
        <v>775</v>
      </c>
      <c r="G938" s="215">
        <f t="shared" si="4"/>
        <v>62</v>
      </c>
    </row>
    <row r="939" spans="1:9">
      <c r="A939" s="620"/>
      <c r="B939" s="962"/>
      <c r="C939" s="54" t="s">
        <v>93</v>
      </c>
      <c r="D939" s="189" t="s">
        <v>1035</v>
      </c>
      <c r="E939" s="34">
        <v>0.19</v>
      </c>
      <c r="F939" s="28">
        <f>'Lead- Input sheet '!R36</f>
        <v>650</v>
      </c>
      <c r="G939" s="215">
        <f t="shared" si="4"/>
        <v>123.5</v>
      </c>
    </row>
    <row r="940" spans="1:9">
      <c r="A940" s="624" t="s">
        <v>1613</v>
      </c>
      <c r="B940" s="962"/>
      <c r="C940" s="54" t="s">
        <v>94</v>
      </c>
      <c r="D940" s="189" t="s">
        <v>91</v>
      </c>
      <c r="E940" s="34">
        <v>1.7</v>
      </c>
      <c r="F940" s="28">
        <v>82</v>
      </c>
      <c r="G940" s="215">
        <f t="shared" si="4"/>
        <v>139.4</v>
      </c>
    </row>
    <row r="941" spans="1:9">
      <c r="A941" s="620"/>
      <c r="B941" s="962"/>
      <c r="C941" s="54" t="s">
        <v>95</v>
      </c>
      <c r="D941" s="189" t="s">
        <v>1035</v>
      </c>
      <c r="E941" s="34">
        <v>0.36</v>
      </c>
      <c r="F941" s="28">
        <f>'Lead- Input sheet '!R33</f>
        <v>775</v>
      </c>
      <c r="G941" s="215">
        <f t="shared" si="4"/>
        <v>279</v>
      </c>
    </row>
    <row r="942" spans="1:9">
      <c r="A942" s="620"/>
      <c r="B942" s="962"/>
      <c r="C942" s="54" t="s">
        <v>96</v>
      </c>
      <c r="D942" s="189" t="s">
        <v>1035</v>
      </c>
      <c r="E942" s="34">
        <v>0.84</v>
      </c>
      <c r="F942" s="28">
        <f>'Lead- Input sheet '!R36</f>
        <v>650</v>
      </c>
      <c r="G942" s="215">
        <f t="shared" si="4"/>
        <v>546</v>
      </c>
    </row>
    <row r="943" spans="1:9">
      <c r="A943" s="647"/>
      <c r="B943" s="907"/>
      <c r="C943" s="643" t="s">
        <v>896</v>
      </c>
      <c r="D943" s="644"/>
      <c r="E943" s="645">
        <f>'Lead- Input sheet '!Q31</f>
        <v>0</v>
      </c>
      <c r="F943" s="922">
        <f>SUM(G941:G942)+SUM(G938:G939)</f>
        <v>1010.5</v>
      </c>
      <c r="G943" s="646">
        <f>ROUND(F943*E943,2)</f>
        <v>0</v>
      </c>
    </row>
    <row r="944" spans="1:9">
      <c r="A944" s="620"/>
      <c r="B944" s="962"/>
      <c r="C944" s="54" t="s">
        <v>97</v>
      </c>
      <c r="D944" s="189"/>
      <c r="E944" s="34"/>
      <c r="F944" s="28"/>
      <c r="G944" s="215">
        <f>SUM(G937:G943)</f>
        <v>1224.9000000000001</v>
      </c>
    </row>
    <row r="945" spans="1:256">
      <c r="A945" s="45"/>
      <c r="B945" s="907"/>
      <c r="C945" s="55" t="s">
        <v>1600</v>
      </c>
      <c r="D945" s="190"/>
      <c r="E945" s="158">
        <f>'Lead- Input sheet '!Q32</f>
        <v>0</v>
      </c>
      <c r="F945" s="29">
        <f>G944</f>
        <v>1224.9000000000001</v>
      </c>
      <c r="G945" s="182">
        <f>ROUND(E945*F945,2)</f>
        <v>0</v>
      </c>
    </row>
    <row r="946" spans="1:256">
      <c r="A946" s="45"/>
      <c r="B946" s="907"/>
      <c r="C946" s="55" t="s">
        <v>1231</v>
      </c>
      <c r="D946" s="190"/>
      <c r="E946" s="158"/>
      <c r="F946" s="923" t="s">
        <v>1486</v>
      </c>
      <c r="G946" s="619">
        <f>SUM(G944:G945)</f>
        <v>1224.9000000000001</v>
      </c>
    </row>
    <row r="947" spans="1:256">
      <c r="A947" s="627"/>
      <c r="B947" s="962">
        <v>51</v>
      </c>
      <c r="C947" s="54" t="s">
        <v>1520</v>
      </c>
      <c r="D947" s="304"/>
      <c r="E947" s="28"/>
      <c r="F947" s="28"/>
      <c r="G947" s="628"/>
      <c r="I947" s="12"/>
    </row>
    <row r="948" spans="1:256">
      <c r="A948" s="633"/>
      <c r="B948" s="962"/>
      <c r="C948" s="309"/>
      <c r="D948" s="975"/>
      <c r="E948" s="976"/>
      <c r="F948" s="28"/>
      <c r="G948" s="628">
        <v>562</v>
      </c>
      <c r="I948" s="12"/>
    </row>
    <row r="949" spans="1:256" s="6" customFormat="1">
      <c r="A949" s="45"/>
      <c r="B949" s="907"/>
      <c r="C949" s="55" t="s">
        <v>1600</v>
      </c>
      <c r="D949" s="190"/>
      <c r="E949" s="158">
        <f>'Lead- Input sheet '!Q32</f>
        <v>0</v>
      </c>
      <c r="F949" s="29">
        <f>G948</f>
        <v>562</v>
      </c>
      <c r="G949" s="182">
        <f>ROUND(F949*E949,2)</f>
        <v>0</v>
      </c>
      <c r="H949" s="650"/>
      <c r="I949" s="12"/>
    </row>
    <row r="950" spans="1:256" s="6" customFormat="1">
      <c r="A950" s="45"/>
      <c r="B950" s="907"/>
      <c r="C950" s="55" t="s">
        <v>175</v>
      </c>
      <c r="D950" s="190"/>
      <c r="E950" s="158"/>
      <c r="F950" s="923" t="s">
        <v>1486</v>
      </c>
      <c r="G950" s="619">
        <f>SUM(G948:G949)</f>
        <v>562</v>
      </c>
      <c r="H950" s="662"/>
      <c r="I950" s="12"/>
    </row>
    <row r="951" spans="1:256" ht="245.1">
      <c r="A951" s="627"/>
      <c r="B951" s="962">
        <v>52</v>
      </c>
      <c r="C951" s="54" t="s">
        <v>1702</v>
      </c>
      <c r="D951" s="304"/>
      <c r="E951" s="28"/>
      <c r="F951" s="28"/>
      <c r="G951" s="628"/>
    </row>
    <row r="952" spans="1:256" s="663" customFormat="1">
      <c r="A952" s="627"/>
      <c r="B952" s="962"/>
      <c r="C952" s="20" t="s">
        <v>1703</v>
      </c>
      <c r="D952" s="304"/>
      <c r="E952" s="28"/>
      <c r="F952" s="28"/>
      <c r="G952" s="628"/>
      <c r="I952" s="152"/>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c r="CW952" s="3"/>
      <c r="CX952" s="3"/>
      <c r="CY952" s="3"/>
      <c r="CZ952" s="3"/>
      <c r="DA952" s="3"/>
      <c r="DB952" s="3"/>
      <c r="DC952" s="3"/>
      <c r="DD952" s="3"/>
      <c r="DE952" s="3"/>
      <c r="DF952" s="3"/>
      <c r="DG952" s="3"/>
      <c r="DH952" s="3"/>
      <c r="DI952" s="3"/>
      <c r="DJ952" s="3"/>
      <c r="DK952" s="3"/>
      <c r="DL952" s="3"/>
      <c r="DM952" s="3"/>
      <c r="DN952" s="3"/>
      <c r="DO952" s="3"/>
      <c r="DP952" s="3"/>
      <c r="DQ952" s="3"/>
      <c r="DR952" s="3"/>
      <c r="DS952" s="3"/>
      <c r="DT952" s="3"/>
      <c r="DU952" s="3"/>
      <c r="DV952" s="3"/>
      <c r="DW952" s="3"/>
      <c r="DX952" s="3"/>
      <c r="DY952" s="3"/>
      <c r="DZ952" s="3"/>
      <c r="EA952" s="3"/>
      <c r="EB952" s="3"/>
      <c r="EC952" s="3"/>
      <c r="ED952" s="3"/>
      <c r="EE952" s="3"/>
      <c r="EF952" s="3"/>
      <c r="EG952" s="3"/>
      <c r="EH952" s="3"/>
      <c r="EI952" s="3"/>
      <c r="EJ952" s="3"/>
      <c r="EK952" s="3"/>
      <c r="EL952" s="3"/>
      <c r="EM952" s="3"/>
      <c r="EN952" s="3"/>
      <c r="EO952" s="3"/>
      <c r="EP952" s="3"/>
      <c r="EQ952" s="3"/>
      <c r="ER952" s="3"/>
      <c r="ES952" s="3"/>
      <c r="ET952" s="3"/>
      <c r="EU952" s="3"/>
      <c r="EV952" s="3"/>
      <c r="EW952" s="3"/>
      <c r="EX952" s="3"/>
      <c r="EY952" s="3"/>
      <c r="EZ952" s="3"/>
      <c r="FA952" s="3"/>
      <c r="FB952" s="3"/>
      <c r="FC952" s="3"/>
      <c r="FD952" s="3"/>
      <c r="FE952" s="3"/>
      <c r="FF952" s="3"/>
      <c r="FG952" s="3"/>
      <c r="FH952" s="3"/>
      <c r="FI952" s="3"/>
      <c r="FJ952" s="3"/>
      <c r="FK952" s="3"/>
      <c r="FL952" s="3"/>
      <c r="FM952" s="3"/>
      <c r="FN952" s="3"/>
      <c r="FO952" s="3"/>
      <c r="FP952" s="3"/>
      <c r="FQ952" s="3"/>
      <c r="FR952" s="3"/>
      <c r="FS952" s="3"/>
      <c r="FT952" s="3"/>
      <c r="FU952" s="3"/>
      <c r="FV952" s="3"/>
      <c r="FW952" s="3"/>
      <c r="FX952" s="3"/>
      <c r="FY952" s="3"/>
      <c r="FZ952" s="3"/>
      <c r="GA952" s="3"/>
      <c r="GB952" s="3"/>
      <c r="GC952" s="3"/>
      <c r="GD952" s="3"/>
      <c r="GE952" s="3"/>
      <c r="GF952" s="3"/>
      <c r="GG952" s="3"/>
      <c r="GH952" s="3"/>
      <c r="GI952" s="3"/>
      <c r="GJ952" s="3"/>
      <c r="GK952" s="3"/>
      <c r="GL952" s="3"/>
      <c r="GM952" s="3"/>
      <c r="GN952" s="3"/>
      <c r="GO952" s="3"/>
      <c r="GP952" s="3"/>
      <c r="GQ952" s="3"/>
      <c r="GR952" s="3"/>
      <c r="GS952" s="3"/>
      <c r="GT952" s="3"/>
      <c r="GU952" s="3"/>
      <c r="GV952" s="3"/>
      <c r="GW952" s="3"/>
      <c r="GX952" s="3"/>
      <c r="GY952" s="3"/>
      <c r="GZ952" s="3"/>
      <c r="HA952" s="3"/>
      <c r="HB952" s="3"/>
      <c r="HC952" s="3"/>
      <c r="HD952" s="3"/>
      <c r="HE952" s="3"/>
      <c r="HF952" s="3"/>
      <c r="HG952" s="3"/>
      <c r="HH952" s="3"/>
      <c r="HI952" s="3"/>
      <c r="HJ952" s="3"/>
      <c r="HK952" s="3"/>
      <c r="HL952" s="3"/>
      <c r="HM952" s="3"/>
      <c r="HN952" s="3"/>
      <c r="HO952" s="3"/>
      <c r="HP952" s="3"/>
      <c r="HQ952" s="3"/>
      <c r="HR952" s="3"/>
      <c r="HS952" s="3"/>
      <c r="HT952" s="3"/>
      <c r="HU952" s="3"/>
      <c r="HV952" s="3"/>
      <c r="HW952" s="3"/>
      <c r="HX952" s="3"/>
      <c r="HY952" s="3"/>
      <c r="HZ952" s="3"/>
      <c r="IA952" s="3"/>
      <c r="IB952" s="3"/>
      <c r="IC952" s="3"/>
      <c r="ID952" s="3"/>
      <c r="IE952" s="3"/>
      <c r="IF952" s="3"/>
      <c r="IG952" s="3"/>
      <c r="IH952" s="3"/>
      <c r="II952" s="3"/>
      <c r="IJ952" s="3"/>
      <c r="IK952" s="3"/>
      <c r="IL952" s="3"/>
      <c r="IM952" s="3"/>
      <c r="IN952" s="3"/>
      <c r="IO952" s="3"/>
      <c r="IP952" s="3"/>
      <c r="IQ952" s="3"/>
      <c r="IR952" s="3"/>
      <c r="IS952" s="3"/>
      <c r="IT952" s="3"/>
      <c r="IU952" s="3"/>
      <c r="IV952" s="3"/>
    </row>
    <row r="953" spans="1:256" s="663" customFormat="1">
      <c r="A953" s="627"/>
      <c r="B953" s="962"/>
      <c r="C953" s="79" t="s">
        <v>1704</v>
      </c>
      <c r="D953" s="304"/>
      <c r="E953" s="28"/>
      <c r="F953" s="28"/>
      <c r="G953" s="628"/>
      <c r="I953" s="152"/>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c r="CW953" s="3"/>
      <c r="CX953" s="3"/>
      <c r="CY953" s="3"/>
      <c r="CZ953" s="3"/>
      <c r="DA953" s="3"/>
      <c r="DB953" s="3"/>
      <c r="DC953" s="3"/>
      <c r="DD953" s="3"/>
      <c r="DE953" s="3"/>
      <c r="DF953" s="3"/>
      <c r="DG953" s="3"/>
      <c r="DH953" s="3"/>
      <c r="DI953" s="3"/>
      <c r="DJ953" s="3"/>
      <c r="DK953" s="3"/>
      <c r="DL953" s="3"/>
      <c r="DM953" s="3"/>
      <c r="DN953" s="3"/>
      <c r="DO953" s="3"/>
      <c r="DP953" s="3"/>
      <c r="DQ953" s="3"/>
      <c r="DR953" s="3"/>
      <c r="DS953" s="3"/>
      <c r="DT953" s="3"/>
      <c r="DU953" s="3"/>
      <c r="DV953" s="3"/>
      <c r="DW953" s="3"/>
      <c r="DX953" s="3"/>
      <c r="DY953" s="3"/>
      <c r="DZ953" s="3"/>
      <c r="EA953" s="3"/>
      <c r="EB953" s="3"/>
      <c r="EC953" s="3"/>
      <c r="ED953" s="3"/>
      <c r="EE953" s="3"/>
      <c r="EF953" s="3"/>
      <c r="EG953" s="3"/>
      <c r="EH953" s="3"/>
      <c r="EI953" s="3"/>
      <c r="EJ953" s="3"/>
      <c r="EK953" s="3"/>
      <c r="EL953" s="3"/>
      <c r="EM953" s="3"/>
      <c r="EN953" s="3"/>
      <c r="EO953" s="3"/>
      <c r="EP953" s="3"/>
      <c r="EQ953" s="3"/>
      <c r="ER953" s="3"/>
      <c r="ES953" s="3"/>
      <c r="ET953" s="3"/>
      <c r="EU953" s="3"/>
      <c r="EV953" s="3"/>
      <c r="EW953" s="3"/>
      <c r="EX953" s="3"/>
      <c r="EY953" s="3"/>
      <c r="EZ953" s="3"/>
      <c r="FA953" s="3"/>
      <c r="FB953" s="3"/>
      <c r="FC953" s="3"/>
      <c r="FD953" s="3"/>
      <c r="FE953" s="3"/>
      <c r="FF953" s="3"/>
      <c r="FG953" s="3"/>
      <c r="FH953" s="3"/>
      <c r="FI953" s="3"/>
      <c r="FJ953" s="3"/>
      <c r="FK953" s="3"/>
      <c r="FL953" s="3"/>
      <c r="FM953" s="3"/>
      <c r="FN953" s="3"/>
      <c r="FO953" s="3"/>
      <c r="FP953" s="3"/>
      <c r="FQ953" s="3"/>
      <c r="FR953" s="3"/>
      <c r="FS953" s="3"/>
      <c r="FT953" s="3"/>
      <c r="FU953" s="3"/>
      <c r="FV953" s="3"/>
      <c r="FW953" s="3"/>
      <c r="FX953" s="3"/>
      <c r="FY953" s="3"/>
      <c r="FZ953" s="3"/>
      <c r="GA953" s="3"/>
      <c r="GB953" s="3"/>
      <c r="GC953" s="3"/>
      <c r="GD953" s="3"/>
      <c r="GE953" s="3"/>
      <c r="GF953" s="3"/>
      <c r="GG953" s="3"/>
      <c r="GH953" s="3"/>
      <c r="GI953" s="3"/>
      <c r="GJ953" s="3"/>
      <c r="GK953" s="3"/>
      <c r="GL953" s="3"/>
      <c r="GM953" s="3"/>
      <c r="GN953" s="3"/>
      <c r="GO953" s="3"/>
      <c r="GP953" s="3"/>
      <c r="GQ953" s="3"/>
      <c r="GR953" s="3"/>
      <c r="GS953" s="3"/>
      <c r="GT953" s="3"/>
      <c r="GU953" s="3"/>
      <c r="GV953" s="3"/>
      <c r="GW953" s="3"/>
      <c r="GX953" s="3"/>
      <c r="GY953" s="3"/>
      <c r="GZ953" s="3"/>
      <c r="HA953" s="3"/>
      <c r="HB953" s="3"/>
      <c r="HC953" s="3"/>
      <c r="HD953" s="3"/>
      <c r="HE953" s="3"/>
      <c r="HF953" s="3"/>
      <c r="HG953" s="3"/>
      <c r="HH953" s="3"/>
      <c r="HI953" s="3"/>
      <c r="HJ953" s="3"/>
      <c r="HK953" s="3"/>
      <c r="HL953" s="3"/>
      <c r="HM953" s="3"/>
      <c r="HN953" s="3"/>
      <c r="HO953" s="3"/>
      <c r="HP953" s="3"/>
      <c r="HQ953" s="3"/>
      <c r="HR953" s="3"/>
      <c r="HS953" s="3"/>
      <c r="HT953" s="3"/>
      <c r="HU953" s="3"/>
      <c r="HV953" s="3"/>
      <c r="HW953" s="3"/>
      <c r="HX953" s="3"/>
      <c r="HY953" s="3"/>
      <c r="HZ953" s="3"/>
      <c r="IA953" s="3"/>
      <c r="IB953" s="3"/>
      <c r="IC953" s="3"/>
      <c r="ID953" s="3"/>
      <c r="IE953" s="3"/>
      <c r="IF953" s="3"/>
      <c r="IG953" s="3"/>
      <c r="IH953" s="3"/>
      <c r="II953" s="3"/>
      <c r="IJ953" s="3"/>
      <c r="IK953" s="3"/>
      <c r="IL953" s="3"/>
      <c r="IM953" s="3"/>
      <c r="IN953" s="3"/>
      <c r="IO953" s="3"/>
      <c r="IP953" s="3"/>
      <c r="IQ953" s="3"/>
      <c r="IR953" s="3"/>
      <c r="IS953" s="3"/>
      <c r="IT953" s="3"/>
      <c r="IU953" s="3"/>
      <c r="IV953" s="3"/>
    </row>
    <row r="954" spans="1:256" s="663" customFormat="1" ht="25.8">
      <c r="A954" s="627"/>
      <c r="B954" s="962"/>
      <c r="C954" s="341" t="s">
        <v>1716</v>
      </c>
      <c r="D954" s="304" t="s">
        <v>987</v>
      </c>
      <c r="E954" s="978">
        <v>1.03</v>
      </c>
      <c r="F954" s="28">
        <v>255</v>
      </c>
      <c r="G954" s="628">
        <f t="shared" ref="G954:G962" si="5">ROUND(E954*F954,2)</f>
        <v>262.64999999999998</v>
      </c>
      <c r="I954" s="152"/>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c r="CW954" s="3"/>
      <c r="CX954" s="3"/>
      <c r="CY954" s="3"/>
      <c r="CZ954" s="3"/>
      <c r="DA954" s="3"/>
      <c r="DB954" s="3"/>
      <c r="DC954" s="3"/>
      <c r="DD954" s="3"/>
      <c r="DE954" s="3"/>
      <c r="DF954" s="3"/>
      <c r="DG954" s="3"/>
      <c r="DH954" s="3"/>
      <c r="DI954" s="3"/>
      <c r="DJ954" s="3"/>
      <c r="DK954" s="3"/>
      <c r="DL954" s="3"/>
      <c r="DM954" s="3"/>
      <c r="DN954" s="3"/>
      <c r="DO954" s="3"/>
      <c r="DP954" s="3"/>
      <c r="DQ954" s="3"/>
      <c r="DR954" s="3"/>
      <c r="DS954" s="3"/>
      <c r="DT954" s="3"/>
      <c r="DU954" s="3"/>
      <c r="DV954" s="3"/>
      <c r="DW954" s="3"/>
      <c r="DX954" s="3"/>
      <c r="DY954" s="3"/>
      <c r="DZ954" s="3"/>
      <c r="EA954" s="3"/>
      <c r="EB954" s="3"/>
      <c r="EC954" s="3"/>
      <c r="ED954" s="3"/>
      <c r="EE954" s="3"/>
      <c r="EF954" s="3"/>
      <c r="EG954" s="3"/>
      <c r="EH954" s="3"/>
      <c r="EI954" s="3"/>
      <c r="EJ954" s="3"/>
      <c r="EK954" s="3"/>
      <c r="EL954" s="3"/>
      <c r="EM954" s="3"/>
      <c r="EN954" s="3"/>
      <c r="EO954" s="3"/>
      <c r="EP954" s="3"/>
      <c r="EQ954" s="3"/>
      <c r="ER954" s="3"/>
      <c r="ES954" s="3"/>
      <c r="ET954" s="3"/>
      <c r="EU954" s="3"/>
      <c r="EV954" s="3"/>
      <c r="EW954" s="3"/>
      <c r="EX954" s="3"/>
      <c r="EY954" s="3"/>
      <c r="EZ954" s="3"/>
      <c r="FA954" s="3"/>
      <c r="FB954" s="3"/>
      <c r="FC954" s="3"/>
      <c r="FD954" s="3"/>
      <c r="FE954" s="3"/>
      <c r="FF954" s="3"/>
      <c r="FG954" s="3"/>
      <c r="FH954" s="3"/>
      <c r="FI954" s="3"/>
      <c r="FJ954" s="3"/>
      <c r="FK954" s="3"/>
      <c r="FL954" s="3"/>
      <c r="FM954" s="3"/>
      <c r="FN954" s="3"/>
      <c r="FO954" s="3"/>
      <c r="FP954" s="3"/>
      <c r="FQ954" s="3"/>
      <c r="FR954" s="3"/>
      <c r="FS954" s="3"/>
      <c r="FT954" s="3"/>
      <c r="FU954" s="3"/>
      <c r="FV954" s="3"/>
      <c r="FW954" s="3"/>
      <c r="FX954" s="3"/>
      <c r="FY954" s="3"/>
      <c r="FZ954" s="3"/>
      <c r="GA954" s="3"/>
      <c r="GB954" s="3"/>
      <c r="GC954" s="3"/>
      <c r="GD954" s="3"/>
      <c r="GE954" s="3"/>
      <c r="GF954" s="3"/>
      <c r="GG954" s="3"/>
      <c r="GH954" s="3"/>
      <c r="GI954" s="3"/>
      <c r="GJ954" s="3"/>
      <c r="GK954" s="3"/>
      <c r="GL954" s="3"/>
      <c r="GM954" s="3"/>
      <c r="GN954" s="3"/>
      <c r="GO954" s="3"/>
      <c r="GP954" s="3"/>
      <c r="GQ954" s="3"/>
      <c r="GR954" s="3"/>
      <c r="GS954" s="3"/>
      <c r="GT954" s="3"/>
      <c r="GU954" s="3"/>
      <c r="GV954" s="3"/>
      <c r="GW954" s="3"/>
      <c r="GX954" s="3"/>
      <c r="GY954" s="3"/>
      <c r="GZ954" s="3"/>
      <c r="HA954" s="3"/>
      <c r="HB954" s="3"/>
      <c r="HC954" s="3"/>
      <c r="HD954" s="3"/>
      <c r="HE954" s="3"/>
      <c r="HF954" s="3"/>
      <c r="HG954" s="3"/>
      <c r="HH954" s="3"/>
      <c r="HI954" s="3"/>
      <c r="HJ954" s="3"/>
      <c r="HK954" s="3"/>
      <c r="HL954" s="3"/>
      <c r="HM954" s="3"/>
      <c r="HN954" s="3"/>
      <c r="HO954" s="3"/>
      <c r="HP954" s="3"/>
      <c r="HQ954" s="3"/>
      <c r="HR954" s="3"/>
      <c r="HS954" s="3"/>
      <c r="HT954" s="3"/>
      <c r="HU954" s="3"/>
      <c r="HV954" s="3"/>
      <c r="HW954" s="3"/>
      <c r="HX954" s="3"/>
      <c r="HY954" s="3"/>
      <c r="HZ954" s="3"/>
      <c r="IA954" s="3"/>
      <c r="IB954" s="3"/>
      <c r="IC954" s="3"/>
      <c r="ID954" s="3"/>
      <c r="IE954" s="3"/>
      <c r="IF954" s="3"/>
      <c r="IG954" s="3"/>
      <c r="IH954" s="3"/>
      <c r="II954" s="3"/>
      <c r="IJ954" s="3"/>
      <c r="IK954" s="3"/>
      <c r="IL954" s="3"/>
      <c r="IM954" s="3"/>
      <c r="IN954" s="3"/>
      <c r="IO954" s="3"/>
      <c r="IP954" s="3"/>
      <c r="IQ954" s="3"/>
      <c r="IR954" s="3"/>
      <c r="IS954" s="3"/>
      <c r="IT954" s="3"/>
      <c r="IU954" s="3"/>
      <c r="IV954" s="3"/>
    </row>
    <row r="955" spans="1:256" s="663" customFormat="1">
      <c r="A955" s="627"/>
      <c r="B955" s="962"/>
      <c r="C955" s="79" t="s">
        <v>1714</v>
      </c>
      <c r="D955" s="304"/>
      <c r="E955" s="978"/>
      <c r="F955" s="28"/>
      <c r="G955" s="628">
        <f t="shared" si="5"/>
        <v>0</v>
      </c>
      <c r="I955" s="152"/>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c r="CW955" s="3"/>
      <c r="CX955" s="3"/>
      <c r="CY955" s="3"/>
      <c r="CZ955" s="3"/>
      <c r="DA955" s="3"/>
      <c r="DB955" s="3"/>
      <c r="DC955" s="3"/>
      <c r="DD955" s="3"/>
      <c r="DE955" s="3"/>
      <c r="DF955" s="3"/>
      <c r="DG955" s="3"/>
      <c r="DH955" s="3"/>
      <c r="DI955" s="3"/>
      <c r="DJ955" s="3"/>
      <c r="DK955" s="3"/>
      <c r="DL955" s="3"/>
      <c r="DM955" s="3"/>
      <c r="DN955" s="3"/>
      <c r="DO955" s="3"/>
      <c r="DP955" s="3"/>
      <c r="DQ955" s="3"/>
      <c r="DR955" s="3"/>
      <c r="DS955" s="3"/>
      <c r="DT955" s="3"/>
      <c r="DU955" s="3"/>
      <c r="DV955" s="3"/>
      <c r="DW955" s="3"/>
      <c r="DX955" s="3"/>
      <c r="DY955" s="3"/>
      <c r="DZ955" s="3"/>
      <c r="EA955" s="3"/>
      <c r="EB955" s="3"/>
      <c r="EC955" s="3"/>
      <c r="ED955" s="3"/>
      <c r="EE955" s="3"/>
      <c r="EF955" s="3"/>
      <c r="EG955" s="3"/>
      <c r="EH955" s="3"/>
      <c r="EI955" s="3"/>
      <c r="EJ955" s="3"/>
      <c r="EK955" s="3"/>
      <c r="EL955" s="3"/>
      <c r="EM955" s="3"/>
      <c r="EN955" s="3"/>
      <c r="EO955" s="3"/>
      <c r="EP955" s="3"/>
      <c r="EQ955" s="3"/>
      <c r="ER955" s="3"/>
      <c r="ES955" s="3"/>
      <c r="ET955" s="3"/>
      <c r="EU955" s="3"/>
      <c r="EV955" s="3"/>
      <c r="EW955" s="3"/>
      <c r="EX955" s="3"/>
      <c r="EY955" s="3"/>
      <c r="EZ955" s="3"/>
      <c r="FA955" s="3"/>
      <c r="FB955" s="3"/>
      <c r="FC955" s="3"/>
      <c r="FD955" s="3"/>
      <c r="FE955" s="3"/>
      <c r="FF955" s="3"/>
      <c r="FG955" s="3"/>
      <c r="FH955" s="3"/>
      <c r="FI955" s="3"/>
      <c r="FJ955" s="3"/>
      <c r="FK955" s="3"/>
      <c r="FL955" s="3"/>
      <c r="FM955" s="3"/>
      <c r="FN955" s="3"/>
      <c r="FO955" s="3"/>
      <c r="FP955" s="3"/>
      <c r="FQ955" s="3"/>
      <c r="FR955" s="3"/>
      <c r="FS955" s="3"/>
      <c r="FT955" s="3"/>
      <c r="FU955" s="3"/>
      <c r="FV955" s="3"/>
      <c r="FW955" s="3"/>
      <c r="FX955" s="3"/>
      <c r="FY955" s="3"/>
      <c r="FZ955" s="3"/>
      <c r="GA955" s="3"/>
      <c r="GB955" s="3"/>
      <c r="GC955" s="3"/>
      <c r="GD955" s="3"/>
      <c r="GE955" s="3"/>
      <c r="GF955" s="3"/>
      <c r="GG955" s="3"/>
      <c r="GH955" s="3"/>
      <c r="GI955" s="3"/>
      <c r="GJ955" s="3"/>
      <c r="GK955" s="3"/>
      <c r="GL955" s="3"/>
      <c r="GM955" s="3"/>
      <c r="GN955" s="3"/>
      <c r="GO955" s="3"/>
      <c r="GP955" s="3"/>
      <c r="GQ955" s="3"/>
      <c r="GR955" s="3"/>
      <c r="GS955" s="3"/>
      <c r="GT955" s="3"/>
      <c r="GU955" s="3"/>
      <c r="GV955" s="3"/>
      <c r="GW955" s="3"/>
      <c r="GX955" s="3"/>
      <c r="GY955" s="3"/>
      <c r="GZ955" s="3"/>
      <c r="HA955" s="3"/>
      <c r="HB955" s="3"/>
      <c r="HC955" s="3"/>
      <c r="HD955" s="3"/>
      <c r="HE955" s="3"/>
      <c r="HF955" s="3"/>
      <c r="HG955" s="3"/>
      <c r="HH955" s="3"/>
      <c r="HI955" s="3"/>
      <c r="HJ955" s="3"/>
      <c r="HK955" s="3"/>
      <c r="HL955" s="3"/>
      <c r="HM955" s="3"/>
      <c r="HN955" s="3"/>
      <c r="HO955" s="3"/>
      <c r="HP955" s="3"/>
      <c r="HQ955" s="3"/>
      <c r="HR955" s="3"/>
      <c r="HS955" s="3"/>
      <c r="HT955" s="3"/>
      <c r="HU955" s="3"/>
      <c r="HV955" s="3"/>
      <c r="HW955" s="3"/>
      <c r="HX955" s="3"/>
      <c r="HY955" s="3"/>
      <c r="HZ955" s="3"/>
      <c r="IA955" s="3"/>
      <c r="IB955" s="3"/>
      <c r="IC955" s="3"/>
      <c r="ID955" s="3"/>
      <c r="IE955" s="3"/>
      <c r="IF955" s="3"/>
      <c r="IG955" s="3"/>
      <c r="IH955" s="3"/>
      <c r="II955" s="3"/>
      <c r="IJ955" s="3"/>
      <c r="IK955" s="3"/>
      <c r="IL955" s="3"/>
      <c r="IM955" s="3"/>
      <c r="IN955" s="3"/>
      <c r="IO955" s="3"/>
      <c r="IP955" s="3"/>
      <c r="IQ955" s="3"/>
      <c r="IR955" s="3"/>
      <c r="IS955" s="3"/>
      <c r="IT955" s="3"/>
      <c r="IU955" s="3"/>
      <c r="IV955" s="3"/>
    </row>
    <row r="956" spans="1:256" s="663" customFormat="1">
      <c r="A956" s="627"/>
      <c r="B956" s="962"/>
      <c r="C956" s="341" t="s">
        <v>1705</v>
      </c>
      <c r="D956" s="304" t="s">
        <v>1047</v>
      </c>
      <c r="E956" s="978">
        <v>0.12</v>
      </c>
      <c r="F956" s="28">
        <v>565</v>
      </c>
      <c r="G956" s="628">
        <f t="shared" si="5"/>
        <v>67.8</v>
      </c>
      <c r="I956" s="152"/>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c r="CW956" s="3"/>
      <c r="CX956" s="3"/>
      <c r="CY956" s="3"/>
      <c r="CZ956" s="3"/>
      <c r="DA956" s="3"/>
      <c r="DB956" s="3"/>
      <c r="DC956" s="3"/>
      <c r="DD956" s="3"/>
      <c r="DE956" s="3"/>
      <c r="DF956" s="3"/>
      <c r="DG956" s="3"/>
      <c r="DH956" s="3"/>
      <c r="DI956" s="3"/>
      <c r="DJ956" s="3"/>
      <c r="DK956" s="3"/>
      <c r="DL956" s="3"/>
      <c r="DM956" s="3"/>
      <c r="DN956" s="3"/>
      <c r="DO956" s="3"/>
      <c r="DP956" s="3"/>
      <c r="DQ956" s="3"/>
      <c r="DR956" s="3"/>
      <c r="DS956" s="3"/>
      <c r="DT956" s="3"/>
      <c r="DU956" s="3"/>
      <c r="DV956" s="3"/>
      <c r="DW956" s="3"/>
      <c r="DX956" s="3"/>
      <c r="DY956" s="3"/>
      <c r="DZ956" s="3"/>
      <c r="EA956" s="3"/>
      <c r="EB956" s="3"/>
      <c r="EC956" s="3"/>
      <c r="ED956" s="3"/>
      <c r="EE956" s="3"/>
      <c r="EF956" s="3"/>
      <c r="EG956" s="3"/>
      <c r="EH956" s="3"/>
      <c r="EI956" s="3"/>
      <c r="EJ956" s="3"/>
      <c r="EK956" s="3"/>
      <c r="EL956" s="3"/>
      <c r="EM956" s="3"/>
      <c r="EN956" s="3"/>
      <c r="EO956" s="3"/>
      <c r="EP956" s="3"/>
      <c r="EQ956" s="3"/>
      <c r="ER956" s="3"/>
      <c r="ES956" s="3"/>
      <c r="ET956" s="3"/>
      <c r="EU956" s="3"/>
      <c r="EV956" s="3"/>
      <c r="EW956" s="3"/>
      <c r="EX956" s="3"/>
      <c r="EY956" s="3"/>
      <c r="EZ956" s="3"/>
      <c r="FA956" s="3"/>
      <c r="FB956" s="3"/>
      <c r="FC956" s="3"/>
      <c r="FD956" s="3"/>
      <c r="FE956" s="3"/>
      <c r="FF956" s="3"/>
      <c r="FG956" s="3"/>
      <c r="FH956" s="3"/>
      <c r="FI956" s="3"/>
      <c r="FJ956" s="3"/>
      <c r="FK956" s="3"/>
      <c r="FL956" s="3"/>
      <c r="FM956" s="3"/>
      <c r="FN956" s="3"/>
      <c r="FO956" s="3"/>
      <c r="FP956" s="3"/>
      <c r="FQ956" s="3"/>
      <c r="FR956" s="3"/>
      <c r="FS956" s="3"/>
      <c r="FT956" s="3"/>
      <c r="FU956" s="3"/>
      <c r="FV956" s="3"/>
      <c r="FW956" s="3"/>
      <c r="FX956" s="3"/>
      <c r="FY956" s="3"/>
      <c r="FZ956" s="3"/>
      <c r="GA956" s="3"/>
      <c r="GB956" s="3"/>
      <c r="GC956" s="3"/>
      <c r="GD956" s="3"/>
      <c r="GE956" s="3"/>
      <c r="GF956" s="3"/>
      <c r="GG956" s="3"/>
      <c r="GH956" s="3"/>
      <c r="GI956" s="3"/>
      <c r="GJ956" s="3"/>
      <c r="GK956" s="3"/>
      <c r="GL956" s="3"/>
      <c r="GM956" s="3"/>
      <c r="GN956" s="3"/>
      <c r="GO956" s="3"/>
      <c r="GP956" s="3"/>
      <c r="GQ956" s="3"/>
      <c r="GR956" s="3"/>
      <c r="GS956" s="3"/>
      <c r="GT956" s="3"/>
      <c r="GU956" s="3"/>
      <c r="GV956" s="3"/>
      <c r="GW956" s="3"/>
      <c r="GX956" s="3"/>
      <c r="GY956" s="3"/>
      <c r="GZ956" s="3"/>
      <c r="HA956" s="3"/>
      <c r="HB956" s="3"/>
      <c r="HC956" s="3"/>
      <c r="HD956" s="3"/>
      <c r="HE956" s="3"/>
      <c r="HF956" s="3"/>
      <c r="HG956" s="3"/>
      <c r="HH956" s="3"/>
      <c r="HI956" s="3"/>
      <c r="HJ956" s="3"/>
      <c r="HK956" s="3"/>
      <c r="HL956" s="3"/>
      <c r="HM956" s="3"/>
      <c r="HN956" s="3"/>
      <c r="HO956" s="3"/>
      <c r="HP956" s="3"/>
      <c r="HQ956" s="3"/>
      <c r="HR956" s="3"/>
      <c r="HS956" s="3"/>
      <c r="HT956" s="3"/>
      <c r="HU956" s="3"/>
      <c r="HV956" s="3"/>
      <c r="HW956" s="3"/>
      <c r="HX956" s="3"/>
      <c r="HY956" s="3"/>
      <c r="HZ956" s="3"/>
      <c r="IA956" s="3"/>
      <c r="IB956" s="3"/>
      <c r="IC956" s="3"/>
      <c r="ID956" s="3"/>
      <c r="IE956" s="3"/>
      <c r="IF956" s="3"/>
      <c r="IG956" s="3"/>
      <c r="IH956" s="3"/>
      <c r="II956" s="3"/>
      <c r="IJ956" s="3"/>
      <c r="IK956" s="3"/>
      <c r="IL956" s="3"/>
      <c r="IM956" s="3"/>
      <c r="IN956" s="3"/>
      <c r="IO956" s="3"/>
      <c r="IP956" s="3"/>
      <c r="IQ956" s="3"/>
      <c r="IR956" s="3"/>
      <c r="IS956" s="3"/>
      <c r="IT956" s="3"/>
      <c r="IU956" s="3"/>
      <c r="IV956" s="3"/>
    </row>
    <row r="957" spans="1:256" s="663" customFormat="1">
      <c r="A957" s="627"/>
      <c r="B957" s="962"/>
      <c r="C957" s="341" t="s">
        <v>1706</v>
      </c>
      <c r="D957" s="304" t="s">
        <v>1047</v>
      </c>
      <c r="E957" s="978">
        <v>0.12</v>
      </c>
      <c r="F957" s="28">
        <v>440</v>
      </c>
      <c r="G957" s="628">
        <f t="shared" si="5"/>
        <v>52.8</v>
      </c>
      <c r="I957" s="152"/>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c r="CW957" s="3"/>
      <c r="CX957" s="3"/>
      <c r="CY957" s="3"/>
      <c r="CZ957" s="3"/>
      <c r="DA957" s="3"/>
      <c r="DB957" s="3"/>
      <c r="DC957" s="3"/>
      <c r="DD957" s="3"/>
      <c r="DE957" s="3"/>
      <c r="DF957" s="3"/>
      <c r="DG957" s="3"/>
      <c r="DH957" s="3"/>
      <c r="DI957" s="3"/>
      <c r="DJ957" s="3"/>
      <c r="DK957" s="3"/>
      <c r="DL957" s="3"/>
      <c r="DM957" s="3"/>
      <c r="DN957" s="3"/>
      <c r="DO957" s="3"/>
      <c r="DP957" s="3"/>
      <c r="DQ957" s="3"/>
      <c r="DR957" s="3"/>
      <c r="DS957" s="3"/>
      <c r="DT957" s="3"/>
      <c r="DU957" s="3"/>
      <c r="DV957" s="3"/>
      <c r="DW957" s="3"/>
      <c r="DX957" s="3"/>
      <c r="DY957" s="3"/>
      <c r="DZ957" s="3"/>
      <c r="EA957" s="3"/>
      <c r="EB957" s="3"/>
      <c r="EC957" s="3"/>
      <c r="ED957" s="3"/>
      <c r="EE957" s="3"/>
      <c r="EF957" s="3"/>
      <c r="EG957" s="3"/>
      <c r="EH957" s="3"/>
      <c r="EI957" s="3"/>
      <c r="EJ957" s="3"/>
      <c r="EK957" s="3"/>
      <c r="EL957" s="3"/>
      <c r="EM957" s="3"/>
      <c r="EN957" s="3"/>
      <c r="EO957" s="3"/>
      <c r="EP957" s="3"/>
      <c r="EQ957" s="3"/>
      <c r="ER957" s="3"/>
      <c r="ES957" s="3"/>
      <c r="ET957" s="3"/>
      <c r="EU957" s="3"/>
      <c r="EV957" s="3"/>
      <c r="EW957" s="3"/>
      <c r="EX957" s="3"/>
      <c r="EY957" s="3"/>
      <c r="EZ957" s="3"/>
      <c r="FA957" s="3"/>
      <c r="FB957" s="3"/>
      <c r="FC957" s="3"/>
      <c r="FD957" s="3"/>
      <c r="FE957" s="3"/>
      <c r="FF957" s="3"/>
      <c r="FG957" s="3"/>
      <c r="FH957" s="3"/>
      <c r="FI957" s="3"/>
      <c r="FJ957" s="3"/>
      <c r="FK957" s="3"/>
      <c r="FL957" s="3"/>
      <c r="FM957" s="3"/>
      <c r="FN957" s="3"/>
      <c r="FO957" s="3"/>
      <c r="FP957" s="3"/>
      <c r="FQ957" s="3"/>
      <c r="FR957" s="3"/>
      <c r="FS957" s="3"/>
      <c r="FT957" s="3"/>
      <c r="FU957" s="3"/>
      <c r="FV957" s="3"/>
      <c r="FW957" s="3"/>
      <c r="FX957" s="3"/>
      <c r="FY957" s="3"/>
      <c r="FZ957" s="3"/>
      <c r="GA957" s="3"/>
      <c r="GB957" s="3"/>
      <c r="GC957" s="3"/>
      <c r="GD957" s="3"/>
      <c r="GE957" s="3"/>
      <c r="GF957" s="3"/>
      <c r="GG957" s="3"/>
      <c r="GH957" s="3"/>
      <c r="GI957" s="3"/>
      <c r="GJ957" s="3"/>
      <c r="GK957" s="3"/>
      <c r="GL957" s="3"/>
      <c r="GM957" s="3"/>
      <c r="GN957" s="3"/>
      <c r="GO957" s="3"/>
      <c r="GP957" s="3"/>
      <c r="GQ957" s="3"/>
      <c r="GR957" s="3"/>
      <c r="GS957" s="3"/>
      <c r="GT957" s="3"/>
      <c r="GU957" s="3"/>
      <c r="GV957" s="3"/>
      <c r="GW957" s="3"/>
      <c r="GX957" s="3"/>
      <c r="GY957" s="3"/>
      <c r="GZ957" s="3"/>
      <c r="HA957" s="3"/>
      <c r="HB957" s="3"/>
      <c r="HC957" s="3"/>
      <c r="HD957" s="3"/>
      <c r="HE957" s="3"/>
      <c r="HF957" s="3"/>
      <c r="HG957" s="3"/>
      <c r="HH957" s="3"/>
      <c r="HI957" s="3"/>
      <c r="HJ957" s="3"/>
      <c r="HK957" s="3"/>
      <c r="HL957" s="3"/>
      <c r="HM957" s="3"/>
      <c r="HN957" s="3"/>
      <c r="HO957" s="3"/>
      <c r="HP957" s="3"/>
      <c r="HQ957" s="3"/>
      <c r="HR957" s="3"/>
      <c r="HS957" s="3"/>
      <c r="HT957" s="3"/>
      <c r="HU957" s="3"/>
      <c r="HV957" s="3"/>
      <c r="HW957" s="3"/>
      <c r="HX957" s="3"/>
      <c r="HY957" s="3"/>
      <c r="HZ957" s="3"/>
      <c r="IA957" s="3"/>
      <c r="IB957" s="3"/>
      <c r="IC957" s="3"/>
      <c r="ID957" s="3"/>
      <c r="IE957" s="3"/>
      <c r="IF957" s="3"/>
      <c r="IG957" s="3"/>
      <c r="IH957" s="3"/>
      <c r="II957" s="3"/>
      <c r="IJ957" s="3"/>
      <c r="IK957" s="3"/>
      <c r="IL957" s="3"/>
      <c r="IM957" s="3"/>
      <c r="IN957" s="3"/>
      <c r="IO957" s="3"/>
      <c r="IP957" s="3"/>
      <c r="IQ957" s="3"/>
      <c r="IR957" s="3"/>
      <c r="IS957" s="3"/>
      <c r="IT957" s="3"/>
      <c r="IU957" s="3"/>
      <c r="IV957" s="3"/>
    </row>
    <row r="958" spans="1:256" s="663" customFormat="1">
      <c r="A958" s="627"/>
      <c r="B958" s="962"/>
      <c r="C958" s="341" t="s">
        <v>95</v>
      </c>
      <c r="D958" s="304" t="s">
        <v>1047</v>
      </c>
      <c r="E958" s="978">
        <v>2.4E-2</v>
      </c>
      <c r="F958" s="28">
        <v>540</v>
      </c>
      <c r="G958" s="628">
        <f t="shared" si="5"/>
        <v>12.96</v>
      </c>
      <c r="I958" s="152"/>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c r="CW958" s="3"/>
      <c r="CX958" s="3"/>
      <c r="CY958" s="3"/>
      <c r="CZ958" s="3"/>
      <c r="DA958" s="3"/>
      <c r="DB958" s="3"/>
      <c r="DC958" s="3"/>
      <c r="DD958" s="3"/>
      <c r="DE958" s="3"/>
      <c r="DF958" s="3"/>
      <c r="DG958" s="3"/>
      <c r="DH958" s="3"/>
      <c r="DI958" s="3"/>
      <c r="DJ958" s="3"/>
      <c r="DK958" s="3"/>
      <c r="DL958" s="3"/>
      <c r="DM958" s="3"/>
      <c r="DN958" s="3"/>
      <c r="DO958" s="3"/>
      <c r="DP958" s="3"/>
      <c r="DQ958" s="3"/>
      <c r="DR958" s="3"/>
      <c r="DS958" s="3"/>
      <c r="DT958" s="3"/>
      <c r="DU958" s="3"/>
      <c r="DV958" s="3"/>
      <c r="DW958" s="3"/>
      <c r="DX958" s="3"/>
      <c r="DY958" s="3"/>
      <c r="DZ958" s="3"/>
      <c r="EA958" s="3"/>
      <c r="EB958" s="3"/>
      <c r="EC958" s="3"/>
      <c r="ED958" s="3"/>
      <c r="EE958" s="3"/>
      <c r="EF958" s="3"/>
      <c r="EG958" s="3"/>
      <c r="EH958" s="3"/>
      <c r="EI958" s="3"/>
      <c r="EJ958" s="3"/>
      <c r="EK958" s="3"/>
      <c r="EL958" s="3"/>
      <c r="EM958" s="3"/>
      <c r="EN958" s="3"/>
      <c r="EO958" s="3"/>
      <c r="EP958" s="3"/>
      <c r="EQ958" s="3"/>
      <c r="ER958" s="3"/>
      <c r="ES958" s="3"/>
      <c r="ET958" s="3"/>
      <c r="EU958" s="3"/>
      <c r="EV958" s="3"/>
      <c r="EW958" s="3"/>
      <c r="EX958" s="3"/>
      <c r="EY958" s="3"/>
      <c r="EZ958" s="3"/>
      <c r="FA958" s="3"/>
      <c r="FB958" s="3"/>
      <c r="FC958" s="3"/>
      <c r="FD958" s="3"/>
      <c r="FE958" s="3"/>
      <c r="FF958" s="3"/>
      <c r="FG958" s="3"/>
      <c r="FH958" s="3"/>
      <c r="FI958" s="3"/>
      <c r="FJ958" s="3"/>
      <c r="FK958" s="3"/>
      <c r="FL958" s="3"/>
      <c r="FM958" s="3"/>
      <c r="FN958" s="3"/>
      <c r="FO958" s="3"/>
      <c r="FP958" s="3"/>
      <c r="FQ958" s="3"/>
      <c r="FR958" s="3"/>
      <c r="FS958" s="3"/>
      <c r="FT958" s="3"/>
      <c r="FU958" s="3"/>
      <c r="FV958" s="3"/>
      <c r="FW958" s="3"/>
      <c r="FX958" s="3"/>
      <c r="FY958" s="3"/>
      <c r="FZ958" s="3"/>
      <c r="GA958" s="3"/>
      <c r="GB958" s="3"/>
      <c r="GC958" s="3"/>
      <c r="GD958" s="3"/>
      <c r="GE958" s="3"/>
      <c r="GF958" s="3"/>
      <c r="GG958" s="3"/>
      <c r="GH958" s="3"/>
      <c r="GI958" s="3"/>
      <c r="GJ958" s="3"/>
      <c r="GK958" s="3"/>
      <c r="GL958" s="3"/>
      <c r="GM958" s="3"/>
      <c r="GN958" s="3"/>
      <c r="GO958" s="3"/>
      <c r="GP958" s="3"/>
      <c r="GQ958" s="3"/>
      <c r="GR958" s="3"/>
      <c r="GS958" s="3"/>
      <c r="GT958" s="3"/>
      <c r="GU958" s="3"/>
      <c r="GV958" s="3"/>
      <c r="GW958" s="3"/>
      <c r="GX958" s="3"/>
      <c r="GY958" s="3"/>
      <c r="GZ958" s="3"/>
      <c r="HA958" s="3"/>
      <c r="HB958" s="3"/>
      <c r="HC958" s="3"/>
      <c r="HD958" s="3"/>
      <c r="HE958" s="3"/>
      <c r="HF958" s="3"/>
      <c r="HG958" s="3"/>
      <c r="HH958" s="3"/>
      <c r="HI958" s="3"/>
      <c r="HJ958" s="3"/>
      <c r="HK958" s="3"/>
      <c r="HL958" s="3"/>
      <c r="HM958" s="3"/>
      <c r="HN958" s="3"/>
      <c r="HO958" s="3"/>
      <c r="HP958" s="3"/>
      <c r="HQ958" s="3"/>
      <c r="HR958" s="3"/>
      <c r="HS958" s="3"/>
      <c r="HT958" s="3"/>
      <c r="HU958" s="3"/>
      <c r="HV958" s="3"/>
      <c r="HW958" s="3"/>
      <c r="HX958" s="3"/>
      <c r="HY958" s="3"/>
      <c r="HZ958" s="3"/>
      <c r="IA958" s="3"/>
      <c r="IB958" s="3"/>
      <c r="IC958" s="3"/>
      <c r="ID958" s="3"/>
      <c r="IE958" s="3"/>
      <c r="IF958" s="3"/>
      <c r="IG958" s="3"/>
      <c r="IH958" s="3"/>
      <c r="II958" s="3"/>
      <c r="IJ958" s="3"/>
      <c r="IK958" s="3"/>
      <c r="IL958" s="3"/>
      <c r="IM958" s="3"/>
      <c r="IN958" s="3"/>
      <c r="IO958" s="3"/>
      <c r="IP958" s="3"/>
      <c r="IQ958" s="3"/>
      <c r="IR958" s="3"/>
      <c r="IS958" s="3"/>
      <c r="IT958" s="3"/>
      <c r="IU958" s="3"/>
      <c r="IV958" s="3"/>
    </row>
    <row r="959" spans="1:256" s="663" customFormat="1">
      <c r="A959" s="627"/>
      <c r="B959" s="962"/>
      <c r="C959" s="341" t="s">
        <v>1707</v>
      </c>
      <c r="D959" s="304" t="s">
        <v>1047</v>
      </c>
      <c r="E959" s="978">
        <v>2.4E-2</v>
      </c>
      <c r="F959" s="28">
        <v>420</v>
      </c>
      <c r="G959" s="628">
        <f t="shared" si="5"/>
        <v>10.08</v>
      </c>
      <c r="I959" s="152"/>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c r="CW959" s="3"/>
      <c r="CX959" s="3"/>
      <c r="CY959" s="3"/>
      <c r="CZ959" s="3"/>
      <c r="DA959" s="3"/>
      <c r="DB959" s="3"/>
      <c r="DC959" s="3"/>
      <c r="DD959" s="3"/>
      <c r="DE959" s="3"/>
      <c r="DF959" s="3"/>
      <c r="DG959" s="3"/>
      <c r="DH959" s="3"/>
      <c r="DI959" s="3"/>
      <c r="DJ959" s="3"/>
      <c r="DK959" s="3"/>
      <c r="DL959" s="3"/>
      <c r="DM959" s="3"/>
      <c r="DN959" s="3"/>
      <c r="DO959" s="3"/>
      <c r="DP959" s="3"/>
      <c r="DQ959" s="3"/>
      <c r="DR959" s="3"/>
      <c r="DS959" s="3"/>
      <c r="DT959" s="3"/>
      <c r="DU959" s="3"/>
      <c r="DV959" s="3"/>
      <c r="DW959" s="3"/>
      <c r="DX959" s="3"/>
      <c r="DY959" s="3"/>
      <c r="DZ959" s="3"/>
      <c r="EA959" s="3"/>
      <c r="EB959" s="3"/>
      <c r="EC959" s="3"/>
      <c r="ED959" s="3"/>
      <c r="EE959" s="3"/>
      <c r="EF959" s="3"/>
      <c r="EG959" s="3"/>
      <c r="EH959" s="3"/>
      <c r="EI959" s="3"/>
      <c r="EJ959" s="3"/>
      <c r="EK959" s="3"/>
      <c r="EL959" s="3"/>
      <c r="EM959" s="3"/>
      <c r="EN959" s="3"/>
      <c r="EO959" s="3"/>
      <c r="EP959" s="3"/>
      <c r="EQ959" s="3"/>
      <c r="ER959" s="3"/>
      <c r="ES959" s="3"/>
      <c r="ET959" s="3"/>
      <c r="EU959" s="3"/>
      <c r="EV959" s="3"/>
      <c r="EW959" s="3"/>
      <c r="EX959" s="3"/>
      <c r="EY959" s="3"/>
      <c r="EZ959" s="3"/>
      <c r="FA959" s="3"/>
      <c r="FB959" s="3"/>
      <c r="FC959" s="3"/>
      <c r="FD959" s="3"/>
      <c r="FE959" s="3"/>
      <c r="FF959" s="3"/>
      <c r="FG959" s="3"/>
      <c r="FH959" s="3"/>
      <c r="FI959" s="3"/>
      <c r="FJ959" s="3"/>
      <c r="FK959" s="3"/>
      <c r="FL959" s="3"/>
      <c r="FM959" s="3"/>
      <c r="FN959" s="3"/>
      <c r="FO959" s="3"/>
      <c r="FP959" s="3"/>
      <c r="FQ959" s="3"/>
      <c r="FR959" s="3"/>
      <c r="FS959" s="3"/>
      <c r="FT959" s="3"/>
      <c r="FU959" s="3"/>
      <c r="FV959" s="3"/>
      <c r="FW959" s="3"/>
      <c r="FX959" s="3"/>
      <c r="FY959" s="3"/>
      <c r="FZ959" s="3"/>
      <c r="GA959" s="3"/>
      <c r="GB959" s="3"/>
      <c r="GC959" s="3"/>
      <c r="GD959" s="3"/>
      <c r="GE959" s="3"/>
      <c r="GF959" s="3"/>
      <c r="GG959" s="3"/>
      <c r="GH959" s="3"/>
      <c r="GI959" s="3"/>
      <c r="GJ959" s="3"/>
      <c r="GK959" s="3"/>
      <c r="GL959" s="3"/>
      <c r="GM959" s="3"/>
      <c r="GN959" s="3"/>
      <c r="GO959" s="3"/>
      <c r="GP959" s="3"/>
      <c r="GQ959" s="3"/>
      <c r="GR959" s="3"/>
      <c r="GS959" s="3"/>
      <c r="GT959" s="3"/>
      <c r="GU959" s="3"/>
      <c r="GV959" s="3"/>
      <c r="GW959" s="3"/>
      <c r="GX959" s="3"/>
      <c r="GY959" s="3"/>
      <c r="GZ959" s="3"/>
      <c r="HA959" s="3"/>
      <c r="HB959" s="3"/>
      <c r="HC959" s="3"/>
      <c r="HD959" s="3"/>
      <c r="HE959" s="3"/>
      <c r="HF959" s="3"/>
      <c r="HG959" s="3"/>
      <c r="HH959" s="3"/>
      <c r="HI959" s="3"/>
      <c r="HJ959" s="3"/>
      <c r="HK959" s="3"/>
      <c r="HL959" s="3"/>
      <c r="HM959" s="3"/>
      <c r="HN959" s="3"/>
      <c r="HO959" s="3"/>
      <c r="HP959" s="3"/>
      <c r="HQ959" s="3"/>
      <c r="HR959" s="3"/>
      <c r="HS959" s="3"/>
      <c r="HT959" s="3"/>
      <c r="HU959" s="3"/>
      <c r="HV959" s="3"/>
      <c r="HW959" s="3"/>
      <c r="HX959" s="3"/>
      <c r="HY959" s="3"/>
      <c r="HZ959" s="3"/>
      <c r="IA959" s="3"/>
      <c r="IB959" s="3"/>
      <c r="IC959" s="3"/>
      <c r="ID959" s="3"/>
      <c r="IE959" s="3"/>
      <c r="IF959" s="3"/>
      <c r="IG959" s="3"/>
      <c r="IH959" s="3"/>
      <c r="II959" s="3"/>
      <c r="IJ959" s="3"/>
      <c r="IK959" s="3"/>
      <c r="IL959" s="3"/>
      <c r="IM959" s="3"/>
      <c r="IN959" s="3"/>
      <c r="IO959" s="3"/>
      <c r="IP959" s="3"/>
      <c r="IQ959" s="3"/>
      <c r="IR959" s="3"/>
      <c r="IS959" s="3"/>
      <c r="IT959" s="3"/>
      <c r="IU959" s="3"/>
      <c r="IV959" s="3"/>
    </row>
    <row r="960" spans="1:256" s="663" customFormat="1">
      <c r="A960" s="627"/>
      <c r="B960" s="962"/>
      <c r="C960" s="341" t="s">
        <v>1708</v>
      </c>
      <c r="D960" s="304" t="s">
        <v>1047</v>
      </c>
      <c r="E960" s="978">
        <v>1.2E-2</v>
      </c>
      <c r="F960" s="28">
        <v>420</v>
      </c>
      <c r="G960" s="628">
        <f t="shared" si="5"/>
        <v>5.04</v>
      </c>
      <c r="I960" s="152"/>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c r="CW960" s="3"/>
      <c r="CX960" s="3"/>
      <c r="CY960" s="3"/>
      <c r="CZ960" s="3"/>
      <c r="DA960" s="3"/>
      <c r="DB960" s="3"/>
      <c r="DC960" s="3"/>
      <c r="DD960" s="3"/>
      <c r="DE960" s="3"/>
      <c r="DF960" s="3"/>
      <c r="DG960" s="3"/>
      <c r="DH960" s="3"/>
      <c r="DI960" s="3"/>
      <c r="DJ960" s="3"/>
      <c r="DK960" s="3"/>
      <c r="DL960" s="3"/>
      <c r="DM960" s="3"/>
      <c r="DN960" s="3"/>
      <c r="DO960" s="3"/>
      <c r="DP960" s="3"/>
      <c r="DQ960" s="3"/>
      <c r="DR960" s="3"/>
      <c r="DS960" s="3"/>
      <c r="DT960" s="3"/>
      <c r="DU960" s="3"/>
      <c r="DV960" s="3"/>
      <c r="DW960" s="3"/>
      <c r="DX960" s="3"/>
      <c r="DY960" s="3"/>
      <c r="DZ960" s="3"/>
      <c r="EA960" s="3"/>
      <c r="EB960" s="3"/>
      <c r="EC960" s="3"/>
      <c r="ED960" s="3"/>
      <c r="EE960" s="3"/>
      <c r="EF960" s="3"/>
      <c r="EG960" s="3"/>
      <c r="EH960" s="3"/>
      <c r="EI960" s="3"/>
      <c r="EJ960" s="3"/>
      <c r="EK960" s="3"/>
      <c r="EL960" s="3"/>
      <c r="EM960" s="3"/>
      <c r="EN960" s="3"/>
      <c r="EO960" s="3"/>
      <c r="EP960" s="3"/>
      <c r="EQ960" s="3"/>
      <c r="ER960" s="3"/>
      <c r="ES960" s="3"/>
      <c r="ET960" s="3"/>
      <c r="EU960" s="3"/>
      <c r="EV960" s="3"/>
      <c r="EW960" s="3"/>
      <c r="EX960" s="3"/>
      <c r="EY960" s="3"/>
      <c r="EZ960" s="3"/>
      <c r="FA960" s="3"/>
      <c r="FB960" s="3"/>
      <c r="FC960" s="3"/>
      <c r="FD960" s="3"/>
      <c r="FE960" s="3"/>
      <c r="FF960" s="3"/>
      <c r="FG960" s="3"/>
      <c r="FH960" s="3"/>
      <c r="FI960" s="3"/>
      <c r="FJ960" s="3"/>
      <c r="FK960" s="3"/>
      <c r="FL960" s="3"/>
      <c r="FM960" s="3"/>
      <c r="FN960" s="3"/>
      <c r="FO960" s="3"/>
      <c r="FP960" s="3"/>
      <c r="FQ960" s="3"/>
      <c r="FR960" s="3"/>
      <c r="FS960" s="3"/>
      <c r="FT960" s="3"/>
      <c r="FU960" s="3"/>
      <c r="FV960" s="3"/>
      <c r="FW960" s="3"/>
      <c r="FX960" s="3"/>
      <c r="FY960" s="3"/>
      <c r="FZ960" s="3"/>
      <c r="GA960" s="3"/>
      <c r="GB960" s="3"/>
      <c r="GC960" s="3"/>
      <c r="GD960" s="3"/>
      <c r="GE960" s="3"/>
      <c r="GF960" s="3"/>
      <c r="GG960" s="3"/>
      <c r="GH960" s="3"/>
      <c r="GI960" s="3"/>
      <c r="GJ960" s="3"/>
      <c r="GK960" s="3"/>
      <c r="GL960" s="3"/>
      <c r="GM960" s="3"/>
      <c r="GN960" s="3"/>
      <c r="GO960" s="3"/>
      <c r="GP960" s="3"/>
      <c r="GQ960" s="3"/>
      <c r="GR960" s="3"/>
      <c r="GS960" s="3"/>
      <c r="GT960" s="3"/>
      <c r="GU960" s="3"/>
      <c r="GV960" s="3"/>
      <c r="GW960" s="3"/>
      <c r="GX960" s="3"/>
      <c r="GY960" s="3"/>
      <c r="GZ960" s="3"/>
      <c r="HA960" s="3"/>
      <c r="HB960" s="3"/>
      <c r="HC960" s="3"/>
      <c r="HD960" s="3"/>
      <c r="HE960" s="3"/>
      <c r="HF960" s="3"/>
      <c r="HG960" s="3"/>
      <c r="HH960" s="3"/>
      <c r="HI960" s="3"/>
      <c r="HJ960" s="3"/>
      <c r="HK960" s="3"/>
      <c r="HL960" s="3"/>
      <c r="HM960" s="3"/>
      <c r="HN960" s="3"/>
      <c r="HO960" s="3"/>
      <c r="HP960" s="3"/>
      <c r="HQ960" s="3"/>
      <c r="HR960" s="3"/>
      <c r="HS960" s="3"/>
      <c r="HT960" s="3"/>
      <c r="HU960" s="3"/>
      <c r="HV960" s="3"/>
      <c r="HW960" s="3"/>
      <c r="HX960" s="3"/>
      <c r="HY960" s="3"/>
      <c r="HZ960" s="3"/>
      <c r="IA960" s="3"/>
      <c r="IB960" s="3"/>
      <c r="IC960" s="3"/>
      <c r="ID960" s="3"/>
      <c r="IE960" s="3"/>
      <c r="IF960" s="3"/>
      <c r="IG960" s="3"/>
      <c r="IH960" s="3"/>
      <c r="II960" s="3"/>
      <c r="IJ960" s="3"/>
      <c r="IK960" s="3"/>
      <c r="IL960" s="3"/>
      <c r="IM960" s="3"/>
      <c r="IN960" s="3"/>
      <c r="IO960" s="3"/>
      <c r="IP960" s="3"/>
      <c r="IQ960" s="3"/>
      <c r="IR960" s="3"/>
      <c r="IS960" s="3"/>
      <c r="IT960" s="3"/>
      <c r="IU960" s="3"/>
      <c r="IV960" s="3"/>
    </row>
    <row r="961" spans="1:256" s="663" customFormat="1">
      <c r="A961" s="627"/>
      <c r="B961" s="962"/>
      <c r="C961" s="341" t="s">
        <v>1709</v>
      </c>
      <c r="D961" s="304" t="s">
        <v>1047</v>
      </c>
      <c r="E961" s="978">
        <v>2.4E-2</v>
      </c>
      <c r="F961" s="28">
        <v>420</v>
      </c>
      <c r="G961" s="628">
        <f t="shared" si="5"/>
        <v>10.08</v>
      </c>
      <c r="I961" s="152"/>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c r="CW961" s="3"/>
      <c r="CX961" s="3"/>
      <c r="CY961" s="3"/>
      <c r="CZ961" s="3"/>
      <c r="DA961" s="3"/>
      <c r="DB961" s="3"/>
      <c r="DC961" s="3"/>
      <c r="DD961" s="3"/>
      <c r="DE961" s="3"/>
      <c r="DF961" s="3"/>
      <c r="DG961" s="3"/>
      <c r="DH961" s="3"/>
      <c r="DI961" s="3"/>
      <c r="DJ961" s="3"/>
      <c r="DK961" s="3"/>
      <c r="DL961" s="3"/>
      <c r="DM961" s="3"/>
      <c r="DN961" s="3"/>
      <c r="DO961" s="3"/>
      <c r="DP961" s="3"/>
      <c r="DQ961" s="3"/>
      <c r="DR961" s="3"/>
      <c r="DS961" s="3"/>
      <c r="DT961" s="3"/>
      <c r="DU961" s="3"/>
      <c r="DV961" s="3"/>
      <c r="DW961" s="3"/>
      <c r="DX961" s="3"/>
      <c r="DY961" s="3"/>
      <c r="DZ961" s="3"/>
      <c r="EA961" s="3"/>
      <c r="EB961" s="3"/>
      <c r="EC961" s="3"/>
      <c r="ED961" s="3"/>
      <c r="EE961" s="3"/>
      <c r="EF961" s="3"/>
      <c r="EG961" s="3"/>
      <c r="EH961" s="3"/>
      <c r="EI961" s="3"/>
      <c r="EJ961" s="3"/>
      <c r="EK961" s="3"/>
      <c r="EL961" s="3"/>
      <c r="EM961" s="3"/>
      <c r="EN961" s="3"/>
      <c r="EO961" s="3"/>
      <c r="EP961" s="3"/>
      <c r="EQ961" s="3"/>
      <c r="ER961" s="3"/>
      <c r="ES961" s="3"/>
      <c r="ET961" s="3"/>
      <c r="EU961" s="3"/>
      <c r="EV961" s="3"/>
      <c r="EW961" s="3"/>
      <c r="EX961" s="3"/>
      <c r="EY961" s="3"/>
      <c r="EZ961" s="3"/>
      <c r="FA961" s="3"/>
      <c r="FB961" s="3"/>
      <c r="FC961" s="3"/>
      <c r="FD961" s="3"/>
      <c r="FE961" s="3"/>
      <c r="FF961" s="3"/>
      <c r="FG961" s="3"/>
      <c r="FH961" s="3"/>
      <c r="FI961" s="3"/>
      <c r="FJ961" s="3"/>
      <c r="FK961" s="3"/>
      <c r="FL961" s="3"/>
      <c r="FM961" s="3"/>
      <c r="FN961" s="3"/>
      <c r="FO961" s="3"/>
      <c r="FP961" s="3"/>
      <c r="FQ961" s="3"/>
      <c r="FR961" s="3"/>
      <c r="FS961" s="3"/>
      <c r="FT961" s="3"/>
      <c r="FU961" s="3"/>
      <c r="FV961" s="3"/>
      <c r="FW961" s="3"/>
      <c r="FX961" s="3"/>
      <c r="FY961" s="3"/>
      <c r="FZ961" s="3"/>
      <c r="GA961" s="3"/>
      <c r="GB961" s="3"/>
      <c r="GC961" s="3"/>
      <c r="GD961" s="3"/>
      <c r="GE961" s="3"/>
      <c r="GF961" s="3"/>
      <c r="GG961" s="3"/>
      <c r="GH961" s="3"/>
      <c r="GI961" s="3"/>
      <c r="GJ961" s="3"/>
      <c r="GK961" s="3"/>
      <c r="GL961" s="3"/>
      <c r="GM961" s="3"/>
      <c r="GN961" s="3"/>
      <c r="GO961" s="3"/>
      <c r="GP961" s="3"/>
      <c r="GQ961" s="3"/>
      <c r="GR961" s="3"/>
      <c r="GS961" s="3"/>
      <c r="GT961" s="3"/>
      <c r="GU961" s="3"/>
      <c r="GV961" s="3"/>
      <c r="GW961" s="3"/>
      <c r="GX961" s="3"/>
      <c r="GY961" s="3"/>
      <c r="GZ961" s="3"/>
      <c r="HA961" s="3"/>
      <c r="HB961" s="3"/>
      <c r="HC961" s="3"/>
      <c r="HD961" s="3"/>
      <c r="HE961" s="3"/>
      <c r="HF961" s="3"/>
      <c r="HG961" s="3"/>
      <c r="HH961" s="3"/>
      <c r="HI961" s="3"/>
      <c r="HJ961" s="3"/>
      <c r="HK961" s="3"/>
      <c r="HL961" s="3"/>
      <c r="HM961" s="3"/>
      <c r="HN961" s="3"/>
      <c r="HO961" s="3"/>
      <c r="HP961" s="3"/>
      <c r="HQ961" s="3"/>
      <c r="HR961" s="3"/>
      <c r="HS961" s="3"/>
      <c r="HT961" s="3"/>
      <c r="HU961" s="3"/>
      <c r="HV961" s="3"/>
      <c r="HW961" s="3"/>
      <c r="HX961" s="3"/>
      <c r="HY961" s="3"/>
      <c r="HZ961" s="3"/>
      <c r="IA961" s="3"/>
      <c r="IB961" s="3"/>
      <c r="IC961" s="3"/>
      <c r="ID961" s="3"/>
      <c r="IE961" s="3"/>
      <c r="IF961" s="3"/>
      <c r="IG961" s="3"/>
      <c r="IH961" s="3"/>
      <c r="II961" s="3"/>
      <c r="IJ961" s="3"/>
      <c r="IK961" s="3"/>
      <c r="IL961" s="3"/>
      <c r="IM961" s="3"/>
      <c r="IN961" s="3"/>
      <c r="IO961" s="3"/>
      <c r="IP961" s="3"/>
      <c r="IQ961" s="3"/>
      <c r="IR961" s="3"/>
      <c r="IS961" s="3"/>
      <c r="IT961" s="3"/>
      <c r="IU961" s="3"/>
      <c r="IV961" s="3"/>
    </row>
    <row r="962" spans="1:256" s="663" customFormat="1">
      <c r="A962" s="627"/>
      <c r="B962" s="962"/>
      <c r="C962" s="341" t="s">
        <v>1710</v>
      </c>
      <c r="D962" s="304" t="s">
        <v>1047</v>
      </c>
      <c r="E962" s="978">
        <v>7.1999999999999995E-2</v>
      </c>
      <c r="F962" s="28">
        <v>400</v>
      </c>
      <c r="G962" s="628">
        <f t="shared" si="5"/>
        <v>28.8</v>
      </c>
      <c r="I962" s="152"/>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c r="CW962" s="3"/>
      <c r="CX962" s="3"/>
      <c r="CY962" s="3"/>
      <c r="CZ962" s="3"/>
      <c r="DA962" s="3"/>
      <c r="DB962" s="3"/>
      <c r="DC962" s="3"/>
      <c r="DD962" s="3"/>
      <c r="DE962" s="3"/>
      <c r="DF962" s="3"/>
      <c r="DG962" s="3"/>
      <c r="DH962" s="3"/>
      <c r="DI962" s="3"/>
      <c r="DJ962" s="3"/>
      <c r="DK962" s="3"/>
      <c r="DL962" s="3"/>
      <c r="DM962" s="3"/>
      <c r="DN962" s="3"/>
      <c r="DO962" s="3"/>
      <c r="DP962" s="3"/>
      <c r="DQ962" s="3"/>
      <c r="DR962" s="3"/>
      <c r="DS962" s="3"/>
      <c r="DT962" s="3"/>
      <c r="DU962" s="3"/>
      <c r="DV962" s="3"/>
      <c r="DW962" s="3"/>
      <c r="DX962" s="3"/>
      <c r="DY962" s="3"/>
      <c r="DZ962" s="3"/>
      <c r="EA962" s="3"/>
      <c r="EB962" s="3"/>
      <c r="EC962" s="3"/>
      <c r="ED962" s="3"/>
      <c r="EE962" s="3"/>
      <c r="EF962" s="3"/>
      <c r="EG962" s="3"/>
      <c r="EH962" s="3"/>
      <c r="EI962" s="3"/>
      <c r="EJ962" s="3"/>
      <c r="EK962" s="3"/>
      <c r="EL962" s="3"/>
      <c r="EM962" s="3"/>
      <c r="EN962" s="3"/>
      <c r="EO962" s="3"/>
      <c r="EP962" s="3"/>
      <c r="EQ962" s="3"/>
      <c r="ER962" s="3"/>
      <c r="ES962" s="3"/>
      <c r="ET962" s="3"/>
      <c r="EU962" s="3"/>
      <c r="EV962" s="3"/>
      <c r="EW962" s="3"/>
      <c r="EX962" s="3"/>
      <c r="EY962" s="3"/>
      <c r="EZ962" s="3"/>
      <c r="FA962" s="3"/>
      <c r="FB962" s="3"/>
      <c r="FC962" s="3"/>
      <c r="FD962" s="3"/>
      <c r="FE962" s="3"/>
      <c r="FF962" s="3"/>
      <c r="FG962" s="3"/>
      <c r="FH962" s="3"/>
      <c r="FI962" s="3"/>
      <c r="FJ962" s="3"/>
      <c r="FK962" s="3"/>
      <c r="FL962" s="3"/>
      <c r="FM962" s="3"/>
      <c r="FN962" s="3"/>
      <c r="FO962" s="3"/>
      <c r="FP962" s="3"/>
      <c r="FQ962" s="3"/>
      <c r="FR962" s="3"/>
      <c r="FS962" s="3"/>
      <c r="FT962" s="3"/>
      <c r="FU962" s="3"/>
      <c r="FV962" s="3"/>
      <c r="FW962" s="3"/>
      <c r="FX962" s="3"/>
      <c r="FY962" s="3"/>
      <c r="FZ962" s="3"/>
      <c r="GA962" s="3"/>
      <c r="GB962" s="3"/>
      <c r="GC962" s="3"/>
      <c r="GD962" s="3"/>
      <c r="GE962" s="3"/>
      <c r="GF962" s="3"/>
      <c r="GG962" s="3"/>
      <c r="GH962" s="3"/>
      <c r="GI962" s="3"/>
      <c r="GJ962" s="3"/>
      <c r="GK962" s="3"/>
      <c r="GL962" s="3"/>
      <c r="GM962" s="3"/>
      <c r="GN962" s="3"/>
      <c r="GO962" s="3"/>
      <c r="GP962" s="3"/>
      <c r="GQ962" s="3"/>
      <c r="GR962" s="3"/>
      <c r="GS962" s="3"/>
      <c r="GT962" s="3"/>
      <c r="GU962" s="3"/>
      <c r="GV962" s="3"/>
      <c r="GW962" s="3"/>
      <c r="GX962" s="3"/>
      <c r="GY962" s="3"/>
      <c r="GZ962" s="3"/>
      <c r="HA962" s="3"/>
      <c r="HB962" s="3"/>
      <c r="HC962" s="3"/>
      <c r="HD962" s="3"/>
      <c r="HE962" s="3"/>
      <c r="HF962" s="3"/>
      <c r="HG962" s="3"/>
      <c r="HH962" s="3"/>
      <c r="HI962" s="3"/>
      <c r="HJ962" s="3"/>
      <c r="HK962" s="3"/>
      <c r="HL962" s="3"/>
      <c r="HM962" s="3"/>
      <c r="HN962" s="3"/>
      <c r="HO962" s="3"/>
      <c r="HP962" s="3"/>
      <c r="HQ962" s="3"/>
      <c r="HR962" s="3"/>
      <c r="HS962" s="3"/>
      <c r="HT962" s="3"/>
      <c r="HU962" s="3"/>
      <c r="HV962" s="3"/>
      <c r="HW962" s="3"/>
      <c r="HX962" s="3"/>
      <c r="HY962" s="3"/>
      <c r="HZ962" s="3"/>
      <c r="IA962" s="3"/>
      <c r="IB962" s="3"/>
      <c r="IC962" s="3"/>
      <c r="ID962" s="3"/>
      <c r="IE962" s="3"/>
      <c r="IF962" s="3"/>
      <c r="IG962" s="3"/>
      <c r="IH962" s="3"/>
      <c r="II962" s="3"/>
      <c r="IJ962" s="3"/>
      <c r="IK962" s="3"/>
      <c r="IL962" s="3"/>
      <c r="IM962" s="3"/>
      <c r="IN962" s="3"/>
      <c r="IO962" s="3"/>
      <c r="IP962" s="3"/>
      <c r="IQ962" s="3"/>
      <c r="IR962" s="3"/>
      <c r="IS962" s="3"/>
      <c r="IT962" s="3"/>
      <c r="IU962" s="3"/>
      <c r="IV962" s="3"/>
    </row>
    <row r="963" spans="1:256" s="663" customFormat="1">
      <c r="A963" s="647"/>
      <c r="B963" s="907"/>
      <c r="C963" s="643" t="s">
        <v>896</v>
      </c>
      <c r="D963" s="644"/>
      <c r="E963" s="645">
        <f>'Lead- Input sheet '!Q31</f>
        <v>0</v>
      </c>
      <c r="F963" s="922">
        <f>ROUND(SUM(G954:G962),2)</f>
        <v>450.21</v>
      </c>
      <c r="G963" s="646">
        <f>ROUND(F963*E963,2)</f>
        <v>0</v>
      </c>
      <c r="I963" s="152"/>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c r="CW963" s="3"/>
      <c r="CX963" s="3"/>
      <c r="CY963" s="3"/>
      <c r="CZ963" s="3"/>
      <c r="DA963" s="3"/>
      <c r="DB963" s="3"/>
      <c r="DC963" s="3"/>
      <c r="DD963" s="3"/>
      <c r="DE963" s="3"/>
      <c r="DF963" s="3"/>
      <c r="DG963" s="3"/>
      <c r="DH963" s="3"/>
      <c r="DI963" s="3"/>
      <c r="DJ963" s="3"/>
      <c r="DK963" s="3"/>
      <c r="DL963" s="3"/>
      <c r="DM963" s="3"/>
      <c r="DN963" s="3"/>
      <c r="DO963" s="3"/>
      <c r="DP963" s="3"/>
      <c r="DQ963" s="3"/>
      <c r="DR963" s="3"/>
      <c r="DS963" s="3"/>
      <c r="DT963" s="3"/>
      <c r="DU963" s="3"/>
      <c r="DV963" s="3"/>
      <c r="DW963" s="3"/>
      <c r="DX963" s="3"/>
      <c r="DY963" s="3"/>
      <c r="DZ963" s="3"/>
      <c r="EA963" s="3"/>
      <c r="EB963" s="3"/>
      <c r="EC963" s="3"/>
      <c r="ED963" s="3"/>
      <c r="EE963" s="3"/>
      <c r="EF963" s="3"/>
      <c r="EG963" s="3"/>
      <c r="EH963" s="3"/>
      <c r="EI963" s="3"/>
      <c r="EJ963" s="3"/>
      <c r="EK963" s="3"/>
      <c r="EL963" s="3"/>
      <c r="EM963" s="3"/>
      <c r="EN963" s="3"/>
      <c r="EO963" s="3"/>
      <c r="EP963" s="3"/>
      <c r="EQ963" s="3"/>
      <c r="ER963" s="3"/>
      <c r="ES963" s="3"/>
      <c r="ET963" s="3"/>
      <c r="EU963" s="3"/>
      <c r="EV963" s="3"/>
      <c r="EW963" s="3"/>
      <c r="EX963" s="3"/>
      <c r="EY963" s="3"/>
      <c r="EZ963" s="3"/>
      <c r="FA963" s="3"/>
      <c r="FB963" s="3"/>
      <c r="FC963" s="3"/>
      <c r="FD963" s="3"/>
      <c r="FE963" s="3"/>
      <c r="FF963" s="3"/>
      <c r="FG963" s="3"/>
      <c r="FH963" s="3"/>
      <c r="FI963" s="3"/>
      <c r="FJ963" s="3"/>
      <c r="FK963" s="3"/>
      <c r="FL963" s="3"/>
      <c r="FM963" s="3"/>
      <c r="FN963" s="3"/>
      <c r="FO963" s="3"/>
      <c r="FP963" s="3"/>
      <c r="FQ963" s="3"/>
      <c r="FR963" s="3"/>
      <c r="FS963" s="3"/>
      <c r="FT963" s="3"/>
      <c r="FU963" s="3"/>
      <c r="FV963" s="3"/>
      <c r="FW963" s="3"/>
      <c r="FX963" s="3"/>
      <c r="FY963" s="3"/>
      <c r="FZ963" s="3"/>
      <c r="GA963" s="3"/>
      <c r="GB963" s="3"/>
      <c r="GC963" s="3"/>
      <c r="GD963" s="3"/>
      <c r="GE963" s="3"/>
      <c r="GF963" s="3"/>
      <c r="GG963" s="3"/>
      <c r="GH963" s="3"/>
      <c r="GI963" s="3"/>
      <c r="GJ963" s="3"/>
      <c r="GK963" s="3"/>
      <c r="GL963" s="3"/>
      <c r="GM963" s="3"/>
      <c r="GN963" s="3"/>
      <c r="GO963" s="3"/>
      <c r="GP963" s="3"/>
      <c r="GQ963" s="3"/>
      <c r="GR963" s="3"/>
      <c r="GS963" s="3"/>
      <c r="GT963" s="3"/>
      <c r="GU963" s="3"/>
      <c r="GV963" s="3"/>
      <c r="GW963" s="3"/>
      <c r="GX963" s="3"/>
      <c r="GY963" s="3"/>
      <c r="GZ963" s="3"/>
      <c r="HA963" s="3"/>
      <c r="HB963" s="3"/>
      <c r="HC963" s="3"/>
      <c r="HD963" s="3"/>
      <c r="HE963" s="3"/>
      <c r="HF963" s="3"/>
      <c r="HG963" s="3"/>
      <c r="HH963" s="3"/>
      <c r="HI963" s="3"/>
      <c r="HJ963" s="3"/>
      <c r="HK963" s="3"/>
      <c r="HL963" s="3"/>
      <c r="HM963" s="3"/>
      <c r="HN963" s="3"/>
      <c r="HO963" s="3"/>
      <c r="HP963" s="3"/>
      <c r="HQ963" s="3"/>
      <c r="HR963" s="3"/>
      <c r="HS963" s="3"/>
      <c r="HT963" s="3"/>
      <c r="HU963" s="3"/>
      <c r="HV963" s="3"/>
      <c r="HW963" s="3"/>
      <c r="HX963" s="3"/>
      <c r="HY963" s="3"/>
      <c r="HZ963" s="3"/>
      <c r="IA963" s="3"/>
      <c r="IB963" s="3"/>
      <c r="IC963" s="3"/>
      <c r="ID963" s="3"/>
      <c r="IE963" s="3"/>
      <c r="IF963" s="3"/>
      <c r="IG963" s="3"/>
      <c r="IH963" s="3"/>
      <c r="II963" s="3"/>
      <c r="IJ963" s="3"/>
      <c r="IK963" s="3"/>
      <c r="IL963" s="3"/>
      <c r="IM963" s="3"/>
      <c r="IN963" s="3"/>
      <c r="IO963" s="3"/>
      <c r="IP963" s="3"/>
      <c r="IQ963" s="3"/>
      <c r="IR963" s="3"/>
      <c r="IS963" s="3"/>
      <c r="IT963" s="3"/>
      <c r="IU963" s="3"/>
      <c r="IV963" s="3"/>
    </row>
    <row r="964" spans="1:256" s="663" customFormat="1">
      <c r="A964" s="627"/>
      <c r="B964" s="962"/>
      <c r="C964" s="79" t="s">
        <v>1715</v>
      </c>
      <c r="D964" s="304"/>
      <c r="E964" s="978"/>
      <c r="F964" s="28"/>
      <c r="G964" s="628"/>
      <c r="I964" s="152"/>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c r="CW964" s="3"/>
      <c r="CX964" s="3"/>
      <c r="CY964" s="3"/>
      <c r="CZ964" s="3"/>
      <c r="DA964" s="3"/>
      <c r="DB964" s="3"/>
      <c r="DC964" s="3"/>
      <c r="DD964" s="3"/>
      <c r="DE964" s="3"/>
      <c r="DF964" s="3"/>
      <c r="DG964" s="3"/>
      <c r="DH964" s="3"/>
      <c r="DI964" s="3"/>
      <c r="DJ964" s="3"/>
      <c r="DK964" s="3"/>
      <c r="DL964" s="3"/>
      <c r="DM964" s="3"/>
      <c r="DN964" s="3"/>
      <c r="DO964" s="3"/>
      <c r="DP964" s="3"/>
      <c r="DQ964" s="3"/>
      <c r="DR964" s="3"/>
      <c r="DS964" s="3"/>
      <c r="DT964" s="3"/>
      <c r="DU964" s="3"/>
      <c r="DV964" s="3"/>
      <c r="DW964" s="3"/>
      <c r="DX964" s="3"/>
      <c r="DY964" s="3"/>
      <c r="DZ964" s="3"/>
      <c r="EA964" s="3"/>
      <c r="EB964" s="3"/>
      <c r="EC964" s="3"/>
      <c r="ED964" s="3"/>
      <c r="EE964" s="3"/>
      <c r="EF964" s="3"/>
      <c r="EG964" s="3"/>
      <c r="EH964" s="3"/>
      <c r="EI964" s="3"/>
      <c r="EJ964" s="3"/>
      <c r="EK964" s="3"/>
      <c r="EL964" s="3"/>
      <c r="EM964" s="3"/>
      <c r="EN964" s="3"/>
      <c r="EO964" s="3"/>
      <c r="EP964" s="3"/>
      <c r="EQ964" s="3"/>
      <c r="ER964" s="3"/>
      <c r="ES964" s="3"/>
      <c r="ET964" s="3"/>
      <c r="EU964" s="3"/>
      <c r="EV964" s="3"/>
      <c r="EW964" s="3"/>
      <c r="EX964" s="3"/>
      <c r="EY964" s="3"/>
      <c r="EZ964" s="3"/>
      <c r="FA964" s="3"/>
      <c r="FB964" s="3"/>
      <c r="FC964" s="3"/>
      <c r="FD964" s="3"/>
      <c r="FE964" s="3"/>
      <c r="FF964" s="3"/>
      <c r="FG964" s="3"/>
      <c r="FH964" s="3"/>
      <c r="FI964" s="3"/>
      <c r="FJ964" s="3"/>
      <c r="FK964" s="3"/>
      <c r="FL964" s="3"/>
      <c r="FM964" s="3"/>
      <c r="FN964" s="3"/>
      <c r="FO964" s="3"/>
      <c r="FP964" s="3"/>
      <c r="FQ964" s="3"/>
      <c r="FR964" s="3"/>
      <c r="FS964" s="3"/>
      <c r="FT964" s="3"/>
      <c r="FU964" s="3"/>
      <c r="FV964" s="3"/>
      <c r="FW964" s="3"/>
      <c r="FX964" s="3"/>
      <c r="FY964" s="3"/>
      <c r="FZ964" s="3"/>
      <c r="GA964" s="3"/>
      <c r="GB964" s="3"/>
      <c r="GC964" s="3"/>
      <c r="GD964" s="3"/>
      <c r="GE964" s="3"/>
      <c r="GF964" s="3"/>
      <c r="GG964" s="3"/>
      <c r="GH964" s="3"/>
      <c r="GI964" s="3"/>
      <c r="GJ964" s="3"/>
      <c r="GK964" s="3"/>
      <c r="GL964" s="3"/>
      <c r="GM964" s="3"/>
      <c r="GN964" s="3"/>
      <c r="GO964" s="3"/>
      <c r="GP964" s="3"/>
      <c r="GQ964" s="3"/>
      <c r="GR964" s="3"/>
      <c r="GS964" s="3"/>
      <c r="GT964" s="3"/>
      <c r="GU964" s="3"/>
      <c r="GV964" s="3"/>
      <c r="GW964" s="3"/>
      <c r="GX964" s="3"/>
      <c r="GY964" s="3"/>
      <c r="GZ964" s="3"/>
      <c r="HA964" s="3"/>
      <c r="HB964" s="3"/>
      <c r="HC964" s="3"/>
      <c r="HD964" s="3"/>
      <c r="HE964" s="3"/>
      <c r="HF964" s="3"/>
      <c r="HG964" s="3"/>
      <c r="HH964" s="3"/>
      <c r="HI964" s="3"/>
      <c r="HJ964" s="3"/>
      <c r="HK964" s="3"/>
      <c r="HL964" s="3"/>
      <c r="HM964" s="3"/>
      <c r="HN964" s="3"/>
      <c r="HO964" s="3"/>
      <c r="HP964" s="3"/>
      <c r="HQ964" s="3"/>
      <c r="HR964" s="3"/>
      <c r="HS964" s="3"/>
      <c r="HT964" s="3"/>
      <c r="HU964" s="3"/>
      <c r="HV964" s="3"/>
      <c r="HW964" s="3"/>
      <c r="HX964" s="3"/>
      <c r="HY964" s="3"/>
      <c r="HZ964" s="3"/>
      <c r="IA964" s="3"/>
      <c r="IB964" s="3"/>
      <c r="IC964" s="3"/>
      <c r="ID964" s="3"/>
      <c r="IE964" s="3"/>
      <c r="IF964" s="3"/>
      <c r="IG964" s="3"/>
      <c r="IH964" s="3"/>
      <c r="II964" s="3"/>
      <c r="IJ964" s="3"/>
      <c r="IK964" s="3"/>
      <c r="IL964" s="3"/>
      <c r="IM964" s="3"/>
      <c r="IN964" s="3"/>
      <c r="IO964" s="3"/>
      <c r="IP964" s="3"/>
      <c r="IQ964" s="3"/>
      <c r="IR964" s="3"/>
      <c r="IS964" s="3"/>
      <c r="IT964" s="3"/>
      <c r="IU964" s="3"/>
      <c r="IV964" s="3"/>
    </row>
    <row r="965" spans="1:256" s="663" customFormat="1">
      <c r="A965" s="627"/>
      <c r="B965" s="962"/>
      <c r="C965" s="341" t="s">
        <v>1711</v>
      </c>
      <c r="D965" s="304" t="s">
        <v>1216</v>
      </c>
      <c r="E965" s="978">
        <v>0.32</v>
      </c>
      <c r="F965" s="28">
        <v>130</v>
      </c>
      <c r="G965" s="628">
        <f>ROUND(E965*F965,2)</f>
        <v>41.6</v>
      </c>
      <c r="I965" s="152"/>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c r="CW965" s="3"/>
      <c r="CX965" s="3"/>
      <c r="CY965" s="3"/>
      <c r="CZ965" s="3"/>
      <c r="DA965" s="3"/>
      <c r="DB965" s="3"/>
      <c r="DC965" s="3"/>
      <c r="DD965" s="3"/>
      <c r="DE965" s="3"/>
      <c r="DF965" s="3"/>
      <c r="DG965" s="3"/>
      <c r="DH965" s="3"/>
      <c r="DI965" s="3"/>
      <c r="DJ965" s="3"/>
      <c r="DK965" s="3"/>
      <c r="DL965" s="3"/>
      <c r="DM965" s="3"/>
      <c r="DN965" s="3"/>
      <c r="DO965" s="3"/>
      <c r="DP965" s="3"/>
      <c r="DQ965" s="3"/>
      <c r="DR965" s="3"/>
      <c r="DS965" s="3"/>
      <c r="DT965" s="3"/>
      <c r="DU965" s="3"/>
      <c r="DV965" s="3"/>
      <c r="DW965" s="3"/>
      <c r="DX965" s="3"/>
      <c r="DY965" s="3"/>
      <c r="DZ965" s="3"/>
      <c r="EA965" s="3"/>
      <c r="EB965" s="3"/>
      <c r="EC965" s="3"/>
      <c r="ED965" s="3"/>
      <c r="EE965" s="3"/>
      <c r="EF965" s="3"/>
      <c r="EG965" s="3"/>
      <c r="EH965" s="3"/>
      <c r="EI965" s="3"/>
      <c r="EJ965" s="3"/>
      <c r="EK965" s="3"/>
      <c r="EL965" s="3"/>
      <c r="EM965" s="3"/>
      <c r="EN965" s="3"/>
      <c r="EO965" s="3"/>
      <c r="EP965" s="3"/>
      <c r="EQ965" s="3"/>
      <c r="ER965" s="3"/>
      <c r="ES965" s="3"/>
      <c r="ET965" s="3"/>
      <c r="EU965" s="3"/>
      <c r="EV965" s="3"/>
      <c r="EW965" s="3"/>
      <c r="EX965" s="3"/>
      <c r="EY965" s="3"/>
      <c r="EZ965" s="3"/>
      <c r="FA965" s="3"/>
      <c r="FB965" s="3"/>
      <c r="FC965" s="3"/>
      <c r="FD965" s="3"/>
      <c r="FE965" s="3"/>
      <c r="FF965" s="3"/>
      <c r="FG965" s="3"/>
      <c r="FH965" s="3"/>
      <c r="FI965" s="3"/>
      <c r="FJ965" s="3"/>
      <c r="FK965" s="3"/>
      <c r="FL965" s="3"/>
      <c r="FM965" s="3"/>
      <c r="FN965" s="3"/>
      <c r="FO965" s="3"/>
      <c r="FP965" s="3"/>
      <c r="FQ965" s="3"/>
      <c r="FR965" s="3"/>
      <c r="FS965" s="3"/>
      <c r="FT965" s="3"/>
      <c r="FU965" s="3"/>
      <c r="FV965" s="3"/>
      <c r="FW965" s="3"/>
      <c r="FX965" s="3"/>
      <c r="FY965" s="3"/>
      <c r="FZ965" s="3"/>
      <c r="GA965" s="3"/>
      <c r="GB965" s="3"/>
      <c r="GC965" s="3"/>
      <c r="GD965" s="3"/>
      <c r="GE965" s="3"/>
      <c r="GF965" s="3"/>
      <c r="GG965" s="3"/>
      <c r="GH965" s="3"/>
      <c r="GI965" s="3"/>
      <c r="GJ965" s="3"/>
      <c r="GK965" s="3"/>
      <c r="GL965" s="3"/>
      <c r="GM965" s="3"/>
      <c r="GN965" s="3"/>
      <c r="GO965" s="3"/>
      <c r="GP965" s="3"/>
      <c r="GQ965" s="3"/>
      <c r="GR965" s="3"/>
      <c r="GS965" s="3"/>
      <c r="GT965" s="3"/>
      <c r="GU965" s="3"/>
      <c r="GV965" s="3"/>
      <c r="GW965" s="3"/>
      <c r="GX965" s="3"/>
      <c r="GY965" s="3"/>
      <c r="GZ965" s="3"/>
      <c r="HA965" s="3"/>
      <c r="HB965" s="3"/>
      <c r="HC965" s="3"/>
      <c r="HD965" s="3"/>
      <c r="HE965" s="3"/>
      <c r="HF965" s="3"/>
      <c r="HG965" s="3"/>
      <c r="HH965" s="3"/>
      <c r="HI965" s="3"/>
      <c r="HJ965" s="3"/>
      <c r="HK965" s="3"/>
      <c r="HL965" s="3"/>
      <c r="HM965" s="3"/>
      <c r="HN965" s="3"/>
      <c r="HO965" s="3"/>
      <c r="HP965" s="3"/>
      <c r="HQ965" s="3"/>
      <c r="HR965" s="3"/>
      <c r="HS965" s="3"/>
      <c r="HT965" s="3"/>
      <c r="HU965" s="3"/>
      <c r="HV965" s="3"/>
      <c r="HW965" s="3"/>
      <c r="HX965" s="3"/>
      <c r="HY965" s="3"/>
      <c r="HZ965" s="3"/>
      <c r="IA965" s="3"/>
      <c r="IB965" s="3"/>
      <c r="IC965" s="3"/>
      <c r="ID965" s="3"/>
      <c r="IE965" s="3"/>
      <c r="IF965" s="3"/>
      <c r="IG965" s="3"/>
      <c r="IH965" s="3"/>
      <c r="II965" s="3"/>
      <c r="IJ965" s="3"/>
      <c r="IK965" s="3"/>
      <c r="IL965" s="3"/>
      <c r="IM965" s="3"/>
      <c r="IN965" s="3"/>
      <c r="IO965" s="3"/>
      <c r="IP965" s="3"/>
      <c r="IQ965" s="3"/>
      <c r="IR965" s="3"/>
      <c r="IS965" s="3"/>
      <c r="IT965" s="3"/>
      <c r="IU965" s="3"/>
      <c r="IV965" s="3"/>
    </row>
    <row r="966" spans="1:256" s="663" customFormat="1">
      <c r="A966" s="627"/>
      <c r="B966" s="962"/>
      <c r="C966" s="341" t="s">
        <v>1712</v>
      </c>
      <c r="D966" s="304" t="s">
        <v>1216</v>
      </c>
      <c r="E966" s="978">
        <v>0.64</v>
      </c>
      <c r="F966" s="28">
        <v>121</v>
      </c>
      <c r="G966" s="628">
        <f>ROUND(E966*F966,2)</f>
        <v>77.44</v>
      </c>
      <c r="I966" s="152"/>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c r="CW966" s="3"/>
      <c r="CX966" s="3"/>
      <c r="CY966" s="3"/>
      <c r="CZ966" s="3"/>
      <c r="DA966" s="3"/>
      <c r="DB966" s="3"/>
      <c r="DC966" s="3"/>
      <c r="DD966" s="3"/>
      <c r="DE966" s="3"/>
      <c r="DF966" s="3"/>
      <c r="DG966" s="3"/>
      <c r="DH966" s="3"/>
      <c r="DI966" s="3"/>
      <c r="DJ966" s="3"/>
      <c r="DK966" s="3"/>
      <c r="DL966" s="3"/>
      <c r="DM966" s="3"/>
      <c r="DN966" s="3"/>
      <c r="DO966" s="3"/>
      <c r="DP966" s="3"/>
      <c r="DQ966" s="3"/>
      <c r="DR966" s="3"/>
      <c r="DS966" s="3"/>
      <c r="DT966" s="3"/>
      <c r="DU966" s="3"/>
      <c r="DV966" s="3"/>
      <c r="DW966" s="3"/>
      <c r="DX966" s="3"/>
      <c r="DY966" s="3"/>
      <c r="DZ966" s="3"/>
      <c r="EA966" s="3"/>
      <c r="EB966" s="3"/>
      <c r="EC966" s="3"/>
      <c r="ED966" s="3"/>
      <c r="EE966" s="3"/>
      <c r="EF966" s="3"/>
      <c r="EG966" s="3"/>
      <c r="EH966" s="3"/>
      <c r="EI966" s="3"/>
      <c r="EJ966" s="3"/>
      <c r="EK966" s="3"/>
      <c r="EL966" s="3"/>
      <c r="EM966" s="3"/>
      <c r="EN966" s="3"/>
      <c r="EO966" s="3"/>
      <c r="EP966" s="3"/>
      <c r="EQ966" s="3"/>
      <c r="ER966" s="3"/>
      <c r="ES966" s="3"/>
      <c r="ET966" s="3"/>
      <c r="EU966" s="3"/>
      <c r="EV966" s="3"/>
      <c r="EW966" s="3"/>
      <c r="EX966" s="3"/>
      <c r="EY966" s="3"/>
      <c r="EZ966" s="3"/>
      <c r="FA966" s="3"/>
      <c r="FB966" s="3"/>
      <c r="FC966" s="3"/>
      <c r="FD966" s="3"/>
      <c r="FE966" s="3"/>
      <c r="FF966" s="3"/>
      <c r="FG966" s="3"/>
      <c r="FH966" s="3"/>
      <c r="FI966" s="3"/>
      <c r="FJ966" s="3"/>
      <c r="FK966" s="3"/>
      <c r="FL966" s="3"/>
      <c r="FM966" s="3"/>
      <c r="FN966" s="3"/>
      <c r="FO966" s="3"/>
      <c r="FP966" s="3"/>
      <c r="FQ966" s="3"/>
      <c r="FR966" s="3"/>
      <c r="FS966" s="3"/>
      <c r="FT966" s="3"/>
      <c r="FU966" s="3"/>
      <c r="FV966" s="3"/>
      <c r="FW966" s="3"/>
      <c r="FX966" s="3"/>
      <c r="FY966" s="3"/>
      <c r="FZ966" s="3"/>
      <c r="GA966" s="3"/>
      <c r="GB966" s="3"/>
      <c r="GC966" s="3"/>
      <c r="GD966" s="3"/>
      <c r="GE966" s="3"/>
      <c r="GF966" s="3"/>
      <c r="GG966" s="3"/>
      <c r="GH966" s="3"/>
      <c r="GI966" s="3"/>
      <c r="GJ966" s="3"/>
      <c r="GK966" s="3"/>
      <c r="GL966" s="3"/>
      <c r="GM966" s="3"/>
      <c r="GN966" s="3"/>
      <c r="GO966" s="3"/>
      <c r="GP966" s="3"/>
      <c r="GQ966" s="3"/>
      <c r="GR966" s="3"/>
      <c r="GS966" s="3"/>
      <c r="GT966" s="3"/>
      <c r="GU966" s="3"/>
      <c r="GV966" s="3"/>
      <c r="GW966" s="3"/>
      <c r="GX966" s="3"/>
      <c r="GY966" s="3"/>
      <c r="GZ966" s="3"/>
      <c r="HA966" s="3"/>
      <c r="HB966" s="3"/>
      <c r="HC966" s="3"/>
      <c r="HD966" s="3"/>
      <c r="HE966" s="3"/>
      <c r="HF966" s="3"/>
      <c r="HG966" s="3"/>
      <c r="HH966" s="3"/>
      <c r="HI966" s="3"/>
      <c r="HJ966" s="3"/>
      <c r="HK966" s="3"/>
      <c r="HL966" s="3"/>
      <c r="HM966" s="3"/>
      <c r="HN966" s="3"/>
      <c r="HO966" s="3"/>
      <c r="HP966" s="3"/>
      <c r="HQ966" s="3"/>
      <c r="HR966" s="3"/>
      <c r="HS966" s="3"/>
      <c r="HT966" s="3"/>
      <c r="HU966" s="3"/>
      <c r="HV966" s="3"/>
      <c r="HW966" s="3"/>
      <c r="HX966" s="3"/>
      <c r="HY966" s="3"/>
      <c r="HZ966" s="3"/>
      <c r="IA966" s="3"/>
      <c r="IB966" s="3"/>
      <c r="IC966" s="3"/>
      <c r="ID966" s="3"/>
      <c r="IE966" s="3"/>
      <c r="IF966" s="3"/>
      <c r="IG966" s="3"/>
      <c r="IH966" s="3"/>
      <c r="II966" s="3"/>
      <c r="IJ966" s="3"/>
      <c r="IK966" s="3"/>
      <c r="IL966" s="3"/>
      <c r="IM966" s="3"/>
      <c r="IN966" s="3"/>
      <c r="IO966" s="3"/>
      <c r="IP966" s="3"/>
      <c r="IQ966" s="3"/>
      <c r="IR966" s="3"/>
      <c r="IS966" s="3"/>
      <c r="IT966" s="3"/>
      <c r="IU966" s="3"/>
      <c r="IV966" s="3"/>
    </row>
    <row r="967" spans="1:256" s="663" customFormat="1">
      <c r="A967" s="627"/>
      <c r="B967" s="962"/>
      <c r="C967" s="341" t="s">
        <v>1713</v>
      </c>
      <c r="D967" s="304"/>
      <c r="E967" s="979">
        <v>0.01</v>
      </c>
      <c r="F967" s="28">
        <f>SUM(G954:G966)</f>
        <v>569.25</v>
      </c>
      <c r="G967" s="628">
        <f>ROUND(E967*F967,2)</f>
        <v>5.69</v>
      </c>
      <c r="I967" s="152"/>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c r="CW967" s="3"/>
      <c r="CX967" s="3"/>
      <c r="CY967" s="3"/>
      <c r="CZ967" s="3"/>
      <c r="DA967" s="3"/>
      <c r="DB967" s="3"/>
      <c r="DC967" s="3"/>
      <c r="DD967" s="3"/>
      <c r="DE967" s="3"/>
      <c r="DF967" s="3"/>
      <c r="DG967" s="3"/>
      <c r="DH967" s="3"/>
      <c r="DI967" s="3"/>
      <c r="DJ967" s="3"/>
      <c r="DK967" s="3"/>
      <c r="DL967" s="3"/>
      <c r="DM967" s="3"/>
      <c r="DN967" s="3"/>
      <c r="DO967" s="3"/>
      <c r="DP967" s="3"/>
      <c r="DQ967" s="3"/>
      <c r="DR967" s="3"/>
      <c r="DS967" s="3"/>
      <c r="DT967" s="3"/>
      <c r="DU967" s="3"/>
      <c r="DV967" s="3"/>
      <c r="DW967" s="3"/>
      <c r="DX967" s="3"/>
      <c r="DY967" s="3"/>
      <c r="DZ967" s="3"/>
      <c r="EA967" s="3"/>
      <c r="EB967" s="3"/>
      <c r="EC967" s="3"/>
      <c r="ED967" s="3"/>
      <c r="EE967" s="3"/>
      <c r="EF967" s="3"/>
      <c r="EG967" s="3"/>
      <c r="EH967" s="3"/>
      <c r="EI967" s="3"/>
      <c r="EJ967" s="3"/>
      <c r="EK967" s="3"/>
      <c r="EL967" s="3"/>
      <c r="EM967" s="3"/>
      <c r="EN967" s="3"/>
      <c r="EO967" s="3"/>
      <c r="EP967" s="3"/>
      <c r="EQ967" s="3"/>
      <c r="ER967" s="3"/>
      <c r="ES967" s="3"/>
      <c r="ET967" s="3"/>
      <c r="EU967" s="3"/>
      <c r="EV967" s="3"/>
      <c r="EW967" s="3"/>
      <c r="EX967" s="3"/>
      <c r="EY967" s="3"/>
      <c r="EZ967" s="3"/>
      <c r="FA967" s="3"/>
      <c r="FB967" s="3"/>
      <c r="FC967" s="3"/>
      <c r="FD967" s="3"/>
      <c r="FE967" s="3"/>
      <c r="FF967" s="3"/>
      <c r="FG967" s="3"/>
      <c r="FH967" s="3"/>
      <c r="FI967" s="3"/>
      <c r="FJ967" s="3"/>
      <c r="FK967" s="3"/>
      <c r="FL967" s="3"/>
      <c r="FM967" s="3"/>
      <c r="FN967" s="3"/>
      <c r="FO967" s="3"/>
      <c r="FP967" s="3"/>
      <c r="FQ967" s="3"/>
      <c r="FR967" s="3"/>
      <c r="FS967" s="3"/>
      <c r="FT967" s="3"/>
      <c r="FU967" s="3"/>
      <c r="FV967" s="3"/>
      <c r="FW967" s="3"/>
      <c r="FX967" s="3"/>
      <c r="FY967" s="3"/>
      <c r="FZ967" s="3"/>
      <c r="GA967" s="3"/>
      <c r="GB967" s="3"/>
      <c r="GC967" s="3"/>
      <c r="GD967" s="3"/>
      <c r="GE967" s="3"/>
      <c r="GF967" s="3"/>
      <c r="GG967" s="3"/>
      <c r="GH967" s="3"/>
      <c r="GI967" s="3"/>
      <c r="GJ967" s="3"/>
      <c r="GK967" s="3"/>
      <c r="GL967" s="3"/>
      <c r="GM967" s="3"/>
      <c r="GN967" s="3"/>
      <c r="GO967" s="3"/>
      <c r="GP967" s="3"/>
      <c r="GQ967" s="3"/>
      <c r="GR967" s="3"/>
      <c r="GS967" s="3"/>
      <c r="GT967" s="3"/>
      <c r="GU967" s="3"/>
      <c r="GV967" s="3"/>
      <c r="GW967" s="3"/>
      <c r="GX967" s="3"/>
      <c r="GY967" s="3"/>
      <c r="GZ967" s="3"/>
      <c r="HA967" s="3"/>
      <c r="HB967" s="3"/>
      <c r="HC967" s="3"/>
      <c r="HD967" s="3"/>
      <c r="HE967" s="3"/>
      <c r="HF967" s="3"/>
      <c r="HG967" s="3"/>
      <c r="HH967" s="3"/>
      <c r="HI967" s="3"/>
      <c r="HJ967" s="3"/>
      <c r="HK967" s="3"/>
      <c r="HL967" s="3"/>
      <c r="HM967" s="3"/>
      <c r="HN967" s="3"/>
      <c r="HO967" s="3"/>
      <c r="HP967" s="3"/>
      <c r="HQ967" s="3"/>
      <c r="HR967" s="3"/>
      <c r="HS967" s="3"/>
      <c r="HT967" s="3"/>
      <c r="HU967" s="3"/>
      <c r="HV967" s="3"/>
      <c r="HW967" s="3"/>
      <c r="HX967" s="3"/>
      <c r="HY967" s="3"/>
      <c r="HZ967" s="3"/>
      <c r="IA967" s="3"/>
      <c r="IB967" s="3"/>
      <c r="IC967" s="3"/>
      <c r="ID967" s="3"/>
      <c r="IE967" s="3"/>
      <c r="IF967" s="3"/>
      <c r="IG967" s="3"/>
      <c r="IH967" s="3"/>
      <c r="II967" s="3"/>
      <c r="IJ967" s="3"/>
      <c r="IK967" s="3"/>
      <c r="IL967" s="3"/>
      <c r="IM967" s="3"/>
      <c r="IN967" s="3"/>
      <c r="IO967" s="3"/>
      <c r="IP967" s="3"/>
      <c r="IQ967" s="3"/>
      <c r="IR967" s="3"/>
      <c r="IS967" s="3"/>
      <c r="IT967" s="3"/>
      <c r="IU967" s="3"/>
      <c r="IV967" s="3"/>
    </row>
    <row r="968" spans="1:256" s="663" customFormat="1">
      <c r="A968" s="627"/>
      <c r="B968" s="962"/>
      <c r="C968" s="20" t="s">
        <v>97</v>
      </c>
      <c r="D968" s="304"/>
      <c r="E968" s="978"/>
      <c r="F968" s="28"/>
      <c r="G968" s="628"/>
      <c r="I968" s="152"/>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c r="CW968" s="3"/>
      <c r="CX968" s="3"/>
      <c r="CY968" s="3"/>
      <c r="CZ968" s="3"/>
      <c r="DA968" s="3"/>
      <c r="DB968" s="3"/>
      <c r="DC968" s="3"/>
      <c r="DD968" s="3"/>
      <c r="DE968" s="3"/>
      <c r="DF968" s="3"/>
      <c r="DG968" s="3"/>
      <c r="DH968" s="3"/>
      <c r="DI968" s="3"/>
      <c r="DJ968" s="3"/>
      <c r="DK968" s="3"/>
      <c r="DL968" s="3"/>
      <c r="DM968" s="3"/>
      <c r="DN968" s="3"/>
      <c r="DO968" s="3"/>
      <c r="DP968" s="3"/>
      <c r="DQ968" s="3"/>
      <c r="DR968" s="3"/>
      <c r="DS968" s="3"/>
      <c r="DT968" s="3"/>
      <c r="DU968" s="3"/>
      <c r="DV968" s="3"/>
      <c r="DW968" s="3"/>
      <c r="DX968" s="3"/>
      <c r="DY968" s="3"/>
      <c r="DZ968" s="3"/>
      <c r="EA968" s="3"/>
      <c r="EB968" s="3"/>
      <c r="EC968" s="3"/>
      <c r="ED968" s="3"/>
      <c r="EE968" s="3"/>
      <c r="EF968" s="3"/>
      <c r="EG968" s="3"/>
      <c r="EH968" s="3"/>
      <c r="EI968" s="3"/>
      <c r="EJ968" s="3"/>
      <c r="EK968" s="3"/>
      <c r="EL968" s="3"/>
      <c r="EM968" s="3"/>
      <c r="EN968" s="3"/>
      <c r="EO968" s="3"/>
      <c r="EP968" s="3"/>
      <c r="EQ968" s="3"/>
      <c r="ER968" s="3"/>
      <c r="ES968" s="3"/>
      <c r="ET968" s="3"/>
      <c r="EU968" s="3"/>
      <c r="EV968" s="3"/>
      <c r="EW968" s="3"/>
      <c r="EX968" s="3"/>
      <c r="EY968" s="3"/>
      <c r="EZ968" s="3"/>
      <c r="FA968" s="3"/>
      <c r="FB968" s="3"/>
      <c r="FC968" s="3"/>
      <c r="FD968" s="3"/>
      <c r="FE968" s="3"/>
      <c r="FF968" s="3"/>
      <c r="FG968" s="3"/>
      <c r="FH968" s="3"/>
      <c r="FI968" s="3"/>
      <c r="FJ968" s="3"/>
      <c r="FK968" s="3"/>
      <c r="FL968" s="3"/>
      <c r="FM968" s="3"/>
      <c r="FN968" s="3"/>
      <c r="FO968" s="3"/>
      <c r="FP968" s="3"/>
      <c r="FQ968" s="3"/>
      <c r="FR968" s="3"/>
      <c r="FS968" s="3"/>
      <c r="FT968" s="3"/>
      <c r="FU968" s="3"/>
      <c r="FV968" s="3"/>
      <c r="FW968" s="3"/>
      <c r="FX968" s="3"/>
      <c r="FY968" s="3"/>
      <c r="FZ968" s="3"/>
      <c r="GA968" s="3"/>
      <c r="GB968" s="3"/>
      <c r="GC968" s="3"/>
      <c r="GD968" s="3"/>
      <c r="GE968" s="3"/>
      <c r="GF968" s="3"/>
      <c r="GG968" s="3"/>
      <c r="GH968" s="3"/>
      <c r="GI968" s="3"/>
      <c r="GJ968" s="3"/>
      <c r="GK968" s="3"/>
      <c r="GL968" s="3"/>
      <c r="GM968" s="3"/>
      <c r="GN968" s="3"/>
      <c r="GO968" s="3"/>
      <c r="GP968" s="3"/>
      <c r="GQ968" s="3"/>
      <c r="GR968" s="3"/>
      <c r="GS968" s="3"/>
      <c r="GT968" s="3"/>
      <c r="GU968" s="3"/>
      <c r="GV968" s="3"/>
      <c r="GW968" s="3"/>
      <c r="GX968" s="3"/>
      <c r="GY968" s="3"/>
      <c r="GZ968" s="3"/>
      <c r="HA968" s="3"/>
      <c r="HB968" s="3"/>
      <c r="HC968" s="3"/>
      <c r="HD968" s="3"/>
      <c r="HE968" s="3"/>
      <c r="HF968" s="3"/>
      <c r="HG968" s="3"/>
      <c r="HH968" s="3"/>
      <c r="HI968" s="3"/>
      <c r="HJ968" s="3"/>
      <c r="HK968" s="3"/>
      <c r="HL968" s="3"/>
      <c r="HM968" s="3"/>
      <c r="HN968" s="3"/>
      <c r="HO968" s="3"/>
      <c r="HP968" s="3"/>
      <c r="HQ968" s="3"/>
      <c r="HR968" s="3"/>
      <c r="HS968" s="3"/>
      <c r="HT968" s="3"/>
      <c r="HU968" s="3"/>
      <c r="HV968" s="3"/>
      <c r="HW968" s="3"/>
      <c r="HX968" s="3"/>
      <c r="HY968" s="3"/>
      <c r="HZ968" s="3"/>
      <c r="IA968" s="3"/>
      <c r="IB968" s="3"/>
      <c r="IC968" s="3"/>
      <c r="ID968" s="3"/>
      <c r="IE968" s="3"/>
      <c r="IF968" s="3"/>
      <c r="IG968" s="3"/>
      <c r="IH968" s="3"/>
      <c r="II968" s="3"/>
      <c r="IJ968" s="3"/>
      <c r="IK968" s="3"/>
      <c r="IL968" s="3"/>
      <c r="IM968" s="3"/>
      <c r="IN968" s="3"/>
      <c r="IO968" s="3"/>
      <c r="IP968" s="3"/>
      <c r="IQ968" s="3"/>
      <c r="IR968" s="3"/>
      <c r="IS968" s="3"/>
      <c r="IT968" s="3"/>
      <c r="IU968" s="3"/>
      <c r="IV968" s="3"/>
    </row>
    <row r="969" spans="1:256" s="663" customFormat="1">
      <c r="A969" s="45"/>
      <c r="B969" s="907"/>
      <c r="C969" s="55" t="s">
        <v>1600</v>
      </c>
      <c r="D969" s="190"/>
      <c r="E969" s="158">
        <f>'Lead- Input sheet '!Q32</f>
        <v>0</v>
      </c>
      <c r="F969" s="29">
        <f>SUM(G954:G967)</f>
        <v>574.94000000000005</v>
      </c>
      <c r="G969" s="628">
        <f>ROUND(E969*F969,2)</f>
        <v>0</v>
      </c>
      <c r="I969" s="152"/>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c r="CW969" s="3"/>
      <c r="CX969" s="3"/>
      <c r="CY969" s="3"/>
      <c r="CZ969" s="3"/>
      <c r="DA969" s="3"/>
      <c r="DB969" s="3"/>
      <c r="DC969" s="3"/>
      <c r="DD969" s="3"/>
      <c r="DE969" s="3"/>
      <c r="DF969" s="3"/>
      <c r="DG969" s="3"/>
      <c r="DH969" s="3"/>
      <c r="DI969" s="3"/>
      <c r="DJ969" s="3"/>
      <c r="DK969" s="3"/>
      <c r="DL969" s="3"/>
      <c r="DM969" s="3"/>
      <c r="DN969" s="3"/>
      <c r="DO969" s="3"/>
      <c r="DP969" s="3"/>
      <c r="DQ969" s="3"/>
      <c r="DR969" s="3"/>
      <c r="DS969" s="3"/>
      <c r="DT969" s="3"/>
      <c r="DU969" s="3"/>
      <c r="DV969" s="3"/>
      <c r="DW969" s="3"/>
      <c r="DX969" s="3"/>
      <c r="DY969" s="3"/>
      <c r="DZ969" s="3"/>
      <c r="EA969" s="3"/>
      <c r="EB969" s="3"/>
      <c r="EC969" s="3"/>
      <c r="ED969" s="3"/>
      <c r="EE969" s="3"/>
      <c r="EF969" s="3"/>
      <c r="EG969" s="3"/>
      <c r="EH969" s="3"/>
      <c r="EI969" s="3"/>
      <c r="EJ969" s="3"/>
      <c r="EK969" s="3"/>
      <c r="EL969" s="3"/>
      <c r="EM969" s="3"/>
      <c r="EN969" s="3"/>
      <c r="EO969" s="3"/>
      <c r="EP969" s="3"/>
      <c r="EQ969" s="3"/>
      <c r="ER969" s="3"/>
      <c r="ES969" s="3"/>
      <c r="ET969" s="3"/>
      <c r="EU969" s="3"/>
      <c r="EV969" s="3"/>
      <c r="EW969" s="3"/>
      <c r="EX969" s="3"/>
      <c r="EY969" s="3"/>
      <c r="EZ969" s="3"/>
      <c r="FA969" s="3"/>
      <c r="FB969" s="3"/>
      <c r="FC969" s="3"/>
      <c r="FD969" s="3"/>
      <c r="FE969" s="3"/>
      <c r="FF969" s="3"/>
      <c r="FG969" s="3"/>
      <c r="FH969" s="3"/>
      <c r="FI969" s="3"/>
      <c r="FJ969" s="3"/>
      <c r="FK969" s="3"/>
      <c r="FL969" s="3"/>
      <c r="FM969" s="3"/>
      <c r="FN969" s="3"/>
      <c r="FO969" s="3"/>
      <c r="FP969" s="3"/>
      <c r="FQ969" s="3"/>
      <c r="FR969" s="3"/>
      <c r="FS969" s="3"/>
      <c r="FT969" s="3"/>
      <c r="FU969" s="3"/>
      <c r="FV969" s="3"/>
      <c r="FW969" s="3"/>
      <c r="FX969" s="3"/>
      <c r="FY969" s="3"/>
      <c r="FZ969" s="3"/>
      <c r="GA969" s="3"/>
      <c r="GB969" s="3"/>
      <c r="GC969" s="3"/>
      <c r="GD969" s="3"/>
      <c r="GE969" s="3"/>
      <c r="GF969" s="3"/>
      <c r="GG969" s="3"/>
      <c r="GH969" s="3"/>
      <c r="GI969" s="3"/>
      <c r="GJ969" s="3"/>
      <c r="GK969" s="3"/>
      <c r="GL969" s="3"/>
      <c r="GM969" s="3"/>
      <c r="GN969" s="3"/>
      <c r="GO969" s="3"/>
      <c r="GP969" s="3"/>
      <c r="GQ969" s="3"/>
      <c r="GR969" s="3"/>
      <c r="GS969" s="3"/>
      <c r="GT969" s="3"/>
      <c r="GU969" s="3"/>
      <c r="GV969" s="3"/>
      <c r="GW969" s="3"/>
      <c r="GX969" s="3"/>
      <c r="GY969" s="3"/>
      <c r="GZ969" s="3"/>
      <c r="HA969" s="3"/>
      <c r="HB969" s="3"/>
      <c r="HC969" s="3"/>
      <c r="HD969" s="3"/>
      <c r="HE969" s="3"/>
      <c r="HF969" s="3"/>
      <c r="HG969" s="3"/>
      <c r="HH969" s="3"/>
      <c r="HI969" s="3"/>
      <c r="HJ969" s="3"/>
      <c r="HK969" s="3"/>
      <c r="HL969" s="3"/>
      <c r="HM969" s="3"/>
      <c r="HN969" s="3"/>
      <c r="HO969" s="3"/>
      <c r="HP969" s="3"/>
      <c r="HQ969" s="3"/>
      <c r="HR969" s="3"/>
      <c r="HS969" s="3"/>
      <c r="HT969" s="3"/>
      <c r="HU969" s="3"/>
      <c r="HV969" s="3"/>
      <c r="HW969" s="3"/>
      <c r="HX969" s="3"/>
      <c r="HY969" s="3"/>
      <c r="HZ969" s="3"/>
      <c r="IA969" s="3"/>
      <c r="IB969" s="3"/>
      <c r="IC969" s="3"/>
      <c r="ID969" s="3"/>
      <c r="IE969" s="3"/>
      <c r="IF969" s="3"/>
      <c r="IG969" s="3"/>
      <c r="IH969" s="3"/>
      <c r="II969" s="3"/>
      <c r="IJ969" s="3"/>
      <c r="IK969" s="3"/>
      <c r="IL969" s="3"/>
      <c r="IM969" s="3"/>
      <c r="IN969" s="3"/>
      <c r="IO969" s="3"/>
      <c r="IP969" s="3"/>
      <c r="IQ969" s="3"/>
      <c r="IR969" s="3"/>
      <c r="IS969" s="3"/>
      <c r="IT969" s="3"/>
      <c r="IU969" s="3"/>
      <c r="IV969" s="3"/>
    </row>
    <row r="970" spans="1:256" s="663" customFormat="1">
      <c r="A970" s="627"/>
      <c r="B970" s="962"/>
      <c r="C970" s="20" t="s">
        <v>1717</v>
      </c>
      <c r="D970" s="304"/>
      <c r="E970" s="978"/>
      <c r="F970" s="28"/>
      <c r="G970" s="628">
        <f>SUM(G954:G969)</f>
        <v>574.94000000000005</v>
      </c>
      <c r="I970" s="152"/>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c r="CW970" s="3"/>
      <c r="CX970" s="3"/>
      <c r="CY970" s="3"/>
      <c r="CZ970" s="3"/>
      <c r="DA970" s="3"/>
      <c r="DB970" s="3"/>
      <c r="DC970" s="3"/>
      <c r="DD970" s="3"/>
      <c r="DE970" s="3"/>
      <c r="DF970" s="3"/>
      <c r="DG970" s="3"/>
      <c r="DH970" s="3"/>
      <c r="DI970" s="3"/>
      <c r="DJ970" s="3"/>
      <c r="DK970" s="3"/>
      <c r="DL970" s="3"/>
      <c r="DM970" s="3"/>
      <c r="DN970" s="3"/>
      <c r="DO970" s="3"/>
      <c r="DP970" s="3"/>
      <c r="DQ970" s="3"/>
      <c r="DR970" s="3"/>
      <c r="DS970" s="3"/>
      <c r="DT970" s="3"/>
      <c r="DU970" s="3"/>
      <c r="DV970" s="3"/>
      <c r="DW970" s="3"/>
      <c r="DX970" s="3"/>
      <c r="DY970" s="3"/>
      <c r="DZ970" s="3"/>
      <c r="EA970" s="3"/>
      <c r="EB970" s="3"/>
      <c r="EC970" s="3"/>
      <c r="ED970" s="3"/>
      <c r="EE970" s="3"/>
      <c r="EF970" s="3"/>
      <c r="EG970" s="3"/>
      <c r="EH970" s="3"/>
      <c r="EI970" s="3"/>
      <c r="EJ970" s="3"/>
      <c r="EK970" s="3"/>
      <c r="EL970" s="3"/>
      <c r="EM970" s="3"/>
      <c r="EN970" s="3"/>
      <c r="EO970" s="3"/>
      <c r="EP970" s="3"/>
      <c r="EQ970" s="3"/>
      <c r="ER970" s="3"/>
      <c r="ES970" s="3"/>
      <c r="ET970" s="3"/>
      <c r="EU970" s="3"/>
      <c r="EV970" s="3"/>
      <c r="EW970" s="3"/>
      <c r="EX970" s="3"/>
      <c r="EY970" s="3"/>
      <c r="EZ970" s="3"/>
      <c r="FA970" s="3"/>
      <c r="FB970" s="3"/>
      <c r="FC970" s="3"/>
      <c r="FD970" s="3"/>
      <c r="FE970" s="3"/>
      <c r="FF970" s="3"/>
      <c r="FG970" s="3"/>
      <c r="FH970" s="3"/>
      <c r="FI970" s="3"/>
      <c r="FJ970" s="3"/>
      <c r="FK970" s="3"/>
      <c r="FL970" s="3"/>
      <c r="FM970" s="3"/>
      <c r="FN970" s="3"/>
      <c r="FO970" s="3"/>
      <c r="FP970" s="3"/>
      <c r="FQ970" s="3"/>
      <c r="FR970" s="3"/>
      <c r="FS970" s="3"/>
      <c r="FT970" s="3"/>
      <c r="FU970" s="3"/>
      <c r="FV970" s="3"/>
      <c r="FW970" s="3"/>
      <c r="FX970" s="3"/>
      <c r="FY970" s="3"/>
      <c r="FZ970" s="3"/>
      <c r="GA970" s="3"/>
      <c r="GB970" s="3"/>
      <c r="GC970" s="3"/>
      <c r="GD970" s="3"/>
      <c r="GE970" s="3"/>
      <c r="GF970" s="3"/>
      <c r="GG970" s="3"/>
      <c r="GH970" s="3"/>
      <c r="GI970" s="3"/>
      <c r="GJ970" s="3"/>
      <c r="GK970" s="3"/>
      <c r="GL970" s="3"/>
      <c r="GM970" s="3"/>
      <c r="GN970" s="3"/>
      <c r="GO970" s="3"/>
      <c r="GP970" s="3"/>
      <c r="GQ970" s="3"/>
      <c r="GR970" s="3"/>
      <c r="GS970" s="3"/>
      <c r="GT970" s="3"/>
      <c r="GU970" s="3"/>
      <c r="GV970" s="3"/>
      <c r="GW970" s="3"/>
      <c r="GX970" s="3"/>
      <c r="GY970" s="3"/>
      <c r="GZ970" s="3"/>
      <c r="HA970" s="3"/>
      <c r="HB970" s="3"/>
      <c r="HC970" s="3"/>
      <c r="HD970" s="3"/>
      <c r="HE970" s="3"/>
      <c r="HF970" s="3"/>
      <c r="HG970" s="3"/>
      <c r="HH970" s="3"/>
      <c r="HI970" s="3"/>
      <c r="HJ970" s="3"/>
      <c r="HK970" s="3"/>
      <c r="HL970" s="3"/>
      <c r="HM970" s="3"/>
      <c r="HN970" s="3"/>
      <c r="HO970" s="3"/>
      <c r="HP970" s="3"/>
      <c r="HQ970" s="3"/>
      <c r="HR970" s="3"/>
      <c r="HS970" s="3"/>
      <c r="HT970" s="3"/>
      <c r="HU970" s="3"/>
      <c r="HV970" s="3"/>
      <c r="HW970" s="3"/>
      <c r="HX970" s="3"/>
      <c r="HY970" s="3"/>
      <c r="HZ970" s="3"/>
      <c r="IA970" s="3"/>
      <c r="IB970" s="3"/>
      <c r="IC970" s="3"/>
      <c r="ID970" s="3"/>
      <c r="IE970" s="3"/>
      <c r="IF970" s="3"/>
      <c r="IG970" s="3"/>
      <c r="IH970" s="3"/>
      <c r="II970" s="3"/>
      <c r="IJ970" s="3"/>
      <c r="IK970" s="3"/>
      <c r="IL970" s="3"/>
      <c r="IM970" s="3"/>
      <c r="IN970" s="3"/>
      <c r="IO970" s="3"/>
      <c r="IP970" s="3"/>
      <c r="IQ970" s="3"/>
      <c r="IR970" s="3"/>
      <c r="IS970" s="3"/>
      <c r="IT970" s="3"/>
      <c r="IU970" s="3"/>
      <c r="IV970" s="3"/>
    </row>
    <row r="971" spans="1:256" s="663" customFormat="1">
      <c r="A971" s="627"/>
      <c r="B971" s="962"/>
      <c r="C971" s="20"/>
      <c r="D971" s="304"/>
      <c r="E971" s="978"/>
      <c r="F971" s="28"/>
      <c r="G971" s="628"/>
      <c r="I971" s="152"/>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c r="CW971" s="3"/>
      <c r="CX971" s="3"/>
      <c r="CY971" s="3"/>
      <c r="CZ971" s="3"/>
      <c r="DA971" s="3"/>
      <c r="DB971" s="3"/>
      <c r="DC971" s="3"/>
      <c r="DD971" s="3"/>
      <c r="DE971" s="3"/>
      <c r="DF971" s="3"/>
      <c r="DG971" s="3"/>
      <c r="DH971" s="3"/>
      <c r="DI971" s="3"/>
      <c r="DJ971" s="3"/>
      <c r="DK971" s="3"/>
      <c r="DL971" s="3"/>
      <c r="DM971" s="3"/>
      <c r="DN971" s="3"/>
      <c r="DO971" s="3"/>
      <c r="DP971" s="3"/>
      <c r="DQ971" s="3"/>
      <c r="DR971" s="3"/>
      <c r="DS971" s="3"/>
      <c r="DT971" s="3"/>
      <c r="DU971" s="3"/>
      <c r="DV971" s="3"/>
      <c r="DW971" s="3"/>
      <c r="DX971" s="3"/>
      <c r="DY971" s="3"/>
      <c r="DZ971" s="3"/>
      <c r="EA971" s="3"/>
      <c r="EB971" s="3"/>
      <c r="EC971" s="3"/>
      <c r="ED971" s="3"/>
      <c r="EE971" s="3"/>
      <c r="EF971" s="3"/>
      <c r="EG971" s="3"/>
      <c r="EH971" s="3"/>
      <c r="EI971" s="3"/>
      <c r="EJ971" s="3"/>
      <c r="EK971" s="3"/>
      <c r="EL971" s="3"/>
      <c r="EM971" s="3"/>
      <c r="EN971" s="3"/>
      <c r="EO971" s="3"/>
      <c r="EP971" s="3"/>
      <c r="EQ971" s="3"/>
      <c r="ER971" s="3"/>
      <c r="ES971" s="3"/>
      <c r="ET971" s="3"/>
      <c r="EU971" s="3"/>
      <c r="EV971" s="3"/>
      <c r="EW971" s="3"/>
      <c r="EX971" s="3"/>
      <c r="EY971" s="3"/>
      <c r="EZ971" s="3"/>
      <c r="FA971" s="3"/>
      <c r="FB971" s="3"/>
      <c r="FC971" s="3"/>
      <c r="FD971" s="3"/>
      <c r="FE971" s="3"/>
      <c r="FF971" s="3"/>
      <c r="FG971" s="3"/>
      <c r="FH971" s="3"/>
      <c r="FI971" s="3"/>
      <c r="FJ971" s="3"/>
      <c r="FK971" s="3"/>
      <c r="FL971" s="3"/>
      <c r="FM971" s="3"/>
      <c r="FN971" s="3"/>
      <c r="FO971" s="3"/>
      <c r="FP971" s="3"/>
      <c r="FQ971" s="3"/>
      <c r="FR971" s="3"/>
      <c r="FS971" s="3"/>
      <c r="FT971" s="3"/>
      <c r="FU971" s="3"/>
      <c r="FV971" s="3"/>
      <c r="FW971" s="3"/>
      <c r="FX971" s="3"/>
      <c r="FY971" s="3"/>
      <c r="FZ971" s="3"/>
      <c r="GA971" s="3"/>
      <c r="GB971" s="3"/>
      <c r="GC971" s="3"/>
      <c r="GD971" s="3"/>
      <c r="GE971" s="3"/>
      <c r="GF971" s="3"/>
      <c r="GG971" s="3"/>
      <c r="GH971" s="3"/>
      <c r="GI971" s="3"/>
      <c r="GJ971" s="3"/>
      <c r="GK971" s="3"/>
      <c r="GL971" s="3"/>
      <c r="GM971" s="3"/>
      <c r="GN971" s="3"/>
      <c r="GO971" s="3"/>
      <c r="GP971" s="3"/>
      <c r="GQ971" s="3"/>
      <c r="GR971" s="3"/>
      <c r="GS971" s="3"/>
      <c r="GT971" s="3"/>
      <c r="GU971" s="3"/>
      <c r="GV971" s="3"/>
      <c r="GW971" s="3"/>
      <c r="GX971" s="3"/>
      <c r="GY971" s="3"/>
      <c r="GZ971" s="3"/>
      <c r="HA971" s="3"/>
      <c r="HB971" s="3"/>
      <c r="HC971" s="3"/>
      <c r="HD971" s="3"/>
      <c r="HE971" s="3"/>
      <c r="HF971" s="3"/>
      <c r="HG971" s="3"/>
      <c r="HH971" s="3"/>
      <c r="HI971" s="3"/>
      <c r="HJ971" s="3"/>
      <c r="HK971" s="3"/>
      <c r="HL971" s="3"/>
      <c r="HM971" s="3"/>
      <c r="HN971" s="3"/>
      <c r="HO971" s="3"/>
      <c r="HP971" s="3"/>
      <c r="HQ971" s="3"/>
      <c r="HR971" s="3"/>
      <c r="HS971" s="3"/>
      <c r="HT971" s="3"/>
      <c r="HU971" s="3"/>
      <c r="HV971" s="3"/>
      <c r="HW971" s="3"/>
      <c r="HX971" s="3"/>
      <c r="HY971" s="3"/>
      <c r="HZ971" s="3"/>
      <c r="IA971" s="3"/>
      <c r="IB971" s="3"/>
      <c r="IC971" s="3"/>
      <c r="ID971" s="3"/>
      <c r="IE971" s="3"/>
      <c r="IF971" s="3"/>
      <c r="IG971" s="3"/>
      <c r="IH971" s="3"/>
      <c r="II971" s="3"/>
      <c r="IJ971" s="3"/>
      <c r="IK971" s="3"/>
      <c r="IL971" s="3"/>
      <c r="IM971" s="3"/>
      <c r="IN971" s="3"/>
      <c r="IO971" s="3"/>
      <c r="IP971" s="3"/>
      <c r="IQ971" s="3"/>
      <c r="IR971" s="3"/>
      <c r="IS971" s="3"/>
      <c r="IT971" s="3"/>
      <c r="IU971" s="3"/>
      <c r="IV971" s="3"/>
    </row>
    <row r="972" spans="1:256" s="663" customFormat="1" ht="219.3">
      <c r="A972" s="627"/>
      <c r="B972" s="962">
        <v>53</v>
      </c>
      <c r="C972" s="54" t="s">
        <v>1718</v>
      </c>
      <c r="D972" s="304"/>
      <c r="E972" s="978"/>
      <c r="F972" s="28"/>
      <c r="G972" s="628"/>
      <c r="I972" s="152"/>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c r="CW972" s="3"/>
      <c r="CX972" s="3"/>
      <c r="CY972" s="3"/>
      <c r="CZ972" s="3"/>
      <c r="DA972" s="3"/>
      <c r="DB972" s="3"/>
      <c r="DC972" s="3"/>
      <c r="DD972" s="3"/>
      <c r="DE972" s="3"/>
      <c r="DF972" s="3"/>
      <c r="DG972" s="3"/>
      <c r="DH972" s="3"/>
      <c r="DI972" s="3"/>
      <c r="DJ972" s="3"/>
      <c r="DK972" s="3"/>
      <c r="DL972" s="3"/>
      <c r="DM972" s="3"/>
      <c r="DN972" s="3"/>
      <c r="DO972" s="3"/>
      <c r="DP972" s="3"/>
      <c r="DQ972" s="3"/>
      <c r="DR972" s="3"/>
      <c r="DS972" s="3"/>
      <c r="DT972" s="3"/>
      <c r="DU972" s="3"/>
      <c r="DV972" s="3"/>
      <c r="DW972" s="3"/>
      <c r="DX972" s="3"/>
      <c r="DY972" s="3"/>
      <c r="DZ972" s="3"/>
      <c r="EA972" s="3"/>
      <c r="EB972" s="3"/>
      <c r="EC972" s="3"/>
      <c r="ED972" s="3"/>
      <c r="EE972" s="3"/>
      <c r="EF972" s="3"/>
      <c r="EG972" s="3"/>
      <c r="EH972" s="3"/>
      <c r="EI972" s="3"/>
      <c r="EJ972" s="3"/>
      <c r="EK972" s="3"/>
      <c r="EL972" s="3"/>
      <c r="EM972" s="3"/>
      <c r="EN972" s="3"/>
      <c r="EO972" s="3"/>
      <c r="EP972" s="3"/>
      <c r="EQ972" s="3"/>
      <c r="ER972" s="3"/>
      <c r="ES972" s="3"/>
      <c r="ET972" s="3"/>
      <c r="EU972" s="3"/>
      <c r="EV972" s="3"/>
      <c r="EW972" s="3"/>
      <c r="EX972" s="3"/>
      <c r="EY972" s="3"/>
      <c r="EZ972" s="3"/>
      <c r="FA972" s="3"/>
      <c r="FB972" s="3"/>
      <c r="FC972" s="3"/>
      <c r="FD972" s="3"/>
      <c r="FE972" s="3"/>
      <c r="FF972" s="3"/>
      <c r="FG972" s="3"/>
      <c r="FH972" s="3"/>
      <c r="FI972" s="3"/>
      <c r="FJ972" s="3"/>
      <c r="FK972" s="3"/>
      <c r="FL972" s="3"/>
      <c r="FM972" s="3"/>
      <c r="FN972" s="3"/>
      <c r="FO972" s="3"/>
      <c r="FP972" s="3"/>
      <c r="FQ972" s="3"/>
      <c r="FR972" s="3"/>
      <c r="FS972" s="3"/>
      <c r="FT972" s="3"/>
      <c r="FU972" s="3"/>
      <c r="FV972" s="3"/>
      <c r="FW972" s="3"/>
      <c r="FX972" s="3"/>
      <c r="FY972" s="3"/>
      <c r="FZ972" s="3"/>
      <c r="GA972" s="3"/>
      <c r="GB972" s="3"/>
      <c r="GC972" s="3"/>
      <c r="GD972" s="3"/>
      <c r="GE972" s="3"/>
      <c r="GF972" s="3"/>
      <c r="GG972" s="3"/>
      <c r="GH972" s="3"/>
      <c r="GI972" s="3"/>
      <c r="GJ972" s="3"/>
      <c r="GK972" s="3"/>
      <c r="GL972" s="3"/>
      <c r="GM972" s="3"/>
      <c r="GN972" s="3"/>
      <c r="GO972" s="3"/>
      <c r="GP972" s="3"/>
      <c r="GQ972" s="3"/>
      <c r="GR972" s="3"/>
      <c r="GS972" s="3"/>
      <c r="GT972" s="3"/>
      <c r="GU972" s="3"/>
      <c r="GV972" s="3"/>
      <c r="GW972" s="3"/>
      <c r="GX972" s="3"/>
      <c r="GY972" s="3"/>
      <c r="GZ972" s="3"/>
      <c r="HA972" s="3"/>
      <c r="HB972" s="3"/>
      <c r="HC972" s="3"/>
      <c r="HD972" s="3"/>
      <c r="HE972" s="3"/>
      <c r="HF972" s="3"/>
      <c r="HG972" s="3"/>
      <c r="HH972" s="3"/>
      <c r="HI972" s="3"/>
      <c r="HJ972" s="3"/>
      <c r="HK972" s="3"/>
      <c r="HL972" s="3"/>
      <c r="HM972" s="3"/>
      <c r="HN972" s="3"/>
      <c r="HO972" s="3"/>
      <c r="HP972" s="3"/>
      <c r="HQ972" s="3"/>
      <c r="HR972" s="3"/>
      <c r="HS972" s="3"/>
      <c r="HT972" s="3"/>
      <c r="HU972" s="3"/>
      <c r="HV972" s="3"/>
      <c r="HW972" s="3"/>
      <c r="HX972" s="3"/>
      <c r="HY972" s="3"/>
      <c r="HZ972" s="3"/>
      <c r="IA972" s="3"/>
      <c r="IB972" s="3"/>
      <c r="IC972" s="3"/>
      <c r="ID972" s="3"/>
      <c r="IE972" s="3"/>
      <c r="IF972" s="3"/>
      <c r="IG972" s="3"/>
      <c r="IH972" s="3"/>
      <c r="II972" s="3"/>
      <c r="IJ972" s="3"/>
      <c r="IK972" s="3"/>
      <c r="IL972" s="3"/>
      <c r="IM972" s="3"/>
      <c r="IN972" s="3"/>
      <c r="IO972" s="3"/>
      <c r="IP972" s="3"/>
      <c r="IQ972" s="3"/>
      <c r="IR972" s="3"/>
      <c r="IS972" s="3"/>
      <c r="IT972" s="3"/>
      <c r="IU972" s="3"/>
      <c r="IV972" s="3"/>
    </row>
    <row r="973" spans="1:256" s="663" customFormat="1">
      <c r="A973" s="627"/>
      <c r="B973" s="962"/>
      <c r="C973" s="20" t="s">
        <v>1703</v>
      </c>
      <c r="D973" s="304"/>
      <c r="E973" s="28"/>
      <c r="F973" s="28"/>
      <c r="G973" s="628"/>
      <c r="I973" s="152"/>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c r="CW973" s="3"/>
      <c r="CX973" s="3"/>
      <c r="CY973" s="3"/>
      <c r="CZ973" s="3"/>
      <c r="DA973" s="3"/>
      <c r="DB973" s="3"/>
      <c r="DC973" s="3"/>
      <c r="DD973" s="3"/>
      <c r="DE973" s="3"/>
      <c r="DF973" s="3"/>
      <c r="DG973" s="3"/>
      <c r="DH973" s="3"/>
      <c r="DI973" s="3"/>
      <c r="DJ973" s="3"/>
      <c r="DK973" s="3"/>
      <c r="DL973" s="3"/>
      <c r="DM973" s="3"/>
      <c r="DN973" s="3"/>
      <c r="DO973" s="3"/>
      <c r="DP973" s="3"/>
      <c r="DQ973" s="3"/>
      <c r="DR973" s="3"/>
      <c r="DS973" s="3"/>
      <c r="DT973" s="3"/>
      <c r="DU973" s="3"/>
      <c r="DV973" s="3"/>
      <c r="DW973" s="3"/>
      <c r="DX973" s="3"/>
      <c r="DY973" s="3"/>
      <c r="DZ973" s="3"/>
      <c r="EA973" s="3"/>
      <c r="EB973" s="3"/>
      <c r="EC973" s="3"/>
      <c r="ED973" s="3"/>
      <c r="EE973" s="3"/>
      <c r="EF973" s="3"/>
      <c r="EG973" s="3"/>
      <c r="EH973" s="3"/>
      <c r="EI973" s="3"/>
      <c r="EJ973" s="3"/>
      <c r="EK973" s="3"/>
      <c r="EL973" s="3"/>
      <c r="EM973" s="3"/>
      <c r="EN973" s="3"/>
      <c r="EO973" s="3"/>
      <c r="EP973" s="3"/>
      <c r="EQ973" s="3"/>
      <c r="ER973" s="3"/>
      <c r="ES973" s="3"/>
      <c r="ET973" s="3"/>
      <c r="EU973" s="3"/>
      <c r="EV973" s="3"/>
      <c r="EW973" s="3"/>
      <c r="EX973" s="3"/>
      <c r="EY973" s="3"/>
      <c r="EZ973" s="3"/>
      <c r="FA973" s="3"/>
      <c r="FB973" s="3"/>
      <c r="FC973" s="3"/>
      <c r="FD973" s="3"/>
      <c r="FE973" s="3"/>
      <c r="FF973" s="3"/>
      <c r="FG973" s="3"/>
      <c r="FH973" s="3"/>
      <c r="FI973" s="3"/>
      <c r="FJ973" s="3"/>
      <c r="FK973" s="3"/>
      <c r="FL973" s="3"/>
      <c r="FM973" s="3"/>
      <c r="FN973" s="3"/>
      <c r="FO973" s="3"/>
      <c r="FP973" s="3"/>
      <c r="FQ973" s="3"/>
      <c r="FR973" s="3"/>
      <c r="FS973" s="3"/>
      <c r="FT973" s="3"/>
      <c r="FU973" s="3"/>
      <c r="FV973" s="3"/>
      <c r="FW973" s="3"/>
      <c r="FX973" s="3"/>
      <c r="FY973" s="3"/>
      <c r="FZ973" s="3"/>
      <c r="GA973" s="3"/>
      <c r="GB973" s="3"/>
      <c r="GC973" s="3"/>
      <c r="GD973" s="3"/>
      <c r="GE973" s="3"/>
      <c r="GF973" s="3"/>
      <c r="GG973" s="3"/>
      <c r="GH973" s="3"/>
      <c r="GI973" s="3"/>
      <c r="GJ973" s="3"/>
      <c r="GK973" s="3"/>
      <c r="GL973" s="3"/>
      <c r="GM973" s="3"/>
      <c r="GN973" s="3"/>
      <c r="GO973" s="3"/>
      <c r="GP973" s="3"/>
      <c r="GQ973" s="3"/>
      <c r="GR973" s="3"/>
      <c r="GS973" s="3"/>
      <c r="GT973" s="3"/>
      <c r="GU973" s="3"/>
      <c r="GV973" s="3"/>
      <c r="GW973" s="3"/>
      <c r="GX973" s="3"/>
      <c r="GY973" s="3"/>
      <c r="GZ973" s="3"/>
      <c r="HA973" s="3"/>
      <c r="HB973" s="3"/>
      <c r="HC973" s="3"/>
      <c r="HD973" s="3"/>
      <c r="HE973" s="3"/>
      <c r="HF973" s="3"/>
      <c r="HG973" s="3"/>
      <c r="HH973" s="3"/>
      <c r="HI973" s="3"/>
      <c r="HJ973" s="3"/>
      <c r="HK973" s="3"/>
      <c r="HL973" s="3"/>
      <c r="HM973" s="3"/>
      <c r="HN973" s="3"/>
      <c r="HO973" s="3"/>
      <c r="HP973" s="3"/>
      <c r="HQ973" s="3"/>
      <c r="HR973" s="3"/>
      <c r="HS973" s="3"/>
      <c r="HT973" s="3"/>
      <c r="HU973" s="3"/>
      <c r="HV973" s="3"/>
      <c r="HW973" s="3"/>
      <c r="HX973" s="3"/>
      <c r="HY973" s="3"/>
      <c r="HZ973" s="3"/>
      <c r="IA973" s="3"/>
      <c r="IB973" s="3"/>
      <c r="IC973" s="3"/>
      <c r="ID973" s="3"/>
      <c r="IE973" s="3"/>
      <c r="IF973" s="3"/>
      <c r="IG973" s="3"/>
      <c r="IH973" s="3"/>
      <c r="II973" s="3"/>
      <c r="IJ973" s="3"/>
      <c r="IK973" s="3"/>
      <c r="IL973" s="3"/>
      <c r="IM973" s="3"/>
      <c r="IN973" s="3"/>
      <c r="IO973" s="3"/>
      <c r="IP973" s="3"/>
      <c r="IQ973" s="3"/>
      <c r="IR973" s="3"/>
      <c r="IS973" s="3"/>
      <c r="IT973" s="3"/>
      <c r="IU973" s="3"/>
      <c r="IV973" s="3"/>
    </row>
    <row r="974" spans="1:256" s="663" customFormat="1">
      <c r="A974" s="627"/>
      <c r="B974" s="962"/>
      <c r="C974" s="79" t="s">
        <v>1704</v>
      </c>
      <c r="D974" s="304"/>
      <c r="E974" s="28"/>
      <c r="F974" s="28"/>
      <c r="G974" s="628"/>
      <c r="I974" s="152"/>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c r="CW974" s="3"/>
      <c r="CX974" s="3"/>
      <c r="CY974" s="3"/>
      <c r="CZ974" s="3"/>
      <c r="DA974" s="3"/>
      <c r="DB974" s="3"/>
      <c r="DC974" s="3"/>
      <c r="DD974" s="3"/>
      <c r="DE974" s="3"/>
      <c r="DF974" s="3"/>
      <c r="DG974" s="3"/>
      <c r="DH974" s="3"/>
      <c r="DI974" s="3"/>
      <c r="DJ974" s="3"/>
      <c r="DK974" s="3"/>
      <c r="DL974" s="3"/>
      <c r="DM974" s="3"/>
      <c r="DN974" s="3"/>
      <c r="DO974" s="3"/>
      <c r="DP974" s="3"/>
      <c r="DQ974" s="3"/>
      <c r="DR974" s="3"/>
      <c r="DS974" s="3"/>
      <c r="DT974" s="3"/>
      <c r="DU974" s="3"/>
      <c r="DV974" s="3"/>
      <c r="DW974" s="3"/>
      <c r="DX974" s="3"/>
      <c r="DY974" s="3"/>
      <c r="DZ974" s="3"/>
      <c r="EA974" s="3"/>
      <c r="EB974" s="3"/>
      <c r="EC974" s="3"/>
      <c r="ED974" s="3"/>
      <c r="EE974" s="3"/>
      <c r="EF974" s="3"/>
      <c r="EG974" s="3"/>
      <c r="EH974" s="3"/>
      <c r="EI974" s="3"/>
      <c r="EJ974" s="3"/>
      <c r="EK974" s="3"/>
      <c r="EL974" s="3"/>
      <c r="EM974" s="3"/>
      <c r="EN974" s="3"/>
      <c r="EO974" s="3"/>
      <c r="EP974" s="3"/>
      <c r="EQ974" s="3"/>
      <c r="ER974" s="3"/>
      <c r="ES974" s="3"/>
      <c r="ET974" s="3"/>
      <c r="EU974" s="3"/>
      <c r="EV974" s="3"/>
      <c r="EW974" s="3"/>
      <c r="EX974" s="3"/>
      <c r="EY974" s="3"/>
      <c r="EZ974" s="3"/>
      <c r="FA974" s="3"/>
      <c r="FB974" s="3"/>
      <c r="FC974" s="3"/>
      <c r="FD974" s="3"/>
      <c r="FE974" s="3"/>
      <c r="FF974" s="3"/>
      <c r="FG974" s="3"/>
      <c r="FH974" s="3"/>
      <c r="FI974" s="3"/>
      <c r="FJ974" s="3"/>
      <c r="FK974" s="3"/>
      <c r="FL974" s="3"/>
      <c r="FM974" s="3"/>
      <c r="FN974" s="3"/>
      <c r="FO974" s="3"/>
      <c r="FP974" s="3"/>
      <c r="FQ974" s="3"/>
      <c r="FR974" s="3"/>
      <c r="FS974" s="3"/>
      <c r="FT974" s="3"/>
      <c r="FU974" s="3"/>
      <c r="FV974" s="3"/>
      <c r="FW974" s="3"/>
      <c r="FX974" s="3"/>
      <c r="FY974" s="3"/>
      <c r="FZ974" s="3"/>
      <c r="GA974" s="3"/>
      <c r="GB974" s="3"/>
      <c r="GC974" s="3"/>
      <c r="GD974" s="3"/>
      <c r="GE974" s="3"/>
      <c r="GF974" s="3"/>
      <c r="GG974" s="3"/>
      <c r="GH974" s="3"/>
      <c r="GI974" s="3"/>
      <c r="GJ974" s="3"/>
      <c r="GK974" s="3"/>
      <c r="GL974" s="3"/>
      <c r="GM974" s="3"/>
      <c r="GN974" s="3"/>
      <c r="GO974" s="3"/>
      <c r="GP974" s="3"/>
      <c r="GQ974" s="3"/>
      <c r="GR974" s="3"/>
      <c r="GS974" s="3"/>
      <c r="GT974" s="3"/>
      <c r="GU974" s="3"/>
      <c r="GV974" s="3"/>
      <c r="GW974" s="3"/>
      <c r="GX974" s="3"/>
      <c r="GY974" s="3"/>
      <c r="GZ974" s="3"/>
      <c r="HA974" s="3"/>
      <c r="HB974" s="3"/>
      <c r="HC974" s="3"/>
      <c r="HD974" s="3"/>
      <c r="HE974" s="3"/>
      <c r="HF974" s="3"/>
      <c r="HG974" s="3"/>
      <c r="HH974" s="3"/>
      <c r="HI974" s="3"/>
      <c r="HJ974" s="3"/>
      <c r="HK974" s="3"/>
      <c r="HL974" s="3"/>
      <c r="HM974" s="3"/>
      <c r="HN974" s="3"/>
      <c r="HO974" s="3"/>
      <c r="HP974" s="3"/>
      <c r="HQ974" s="3"/>
      <c r="HR974" s="3"/>
      <c r="HS974" s="3"/>
      <c r="HT974" s="3"/>
      <c r="HU974" s="3"/>
      <c r="HV974" s="3"/>
      <c r="HW974" s="3"/>
      <c r="HX974" s="3"/>
      <c r="HY974" s="3"/>
      <c r="HZ974" s="3"/>
      <c r="IA974" s="3"/>
      <c r="IB974" s="3"/>
      <c r="IC974" s="3"/>
      <c r="ID974" s="3"/>
      <c r="IE974" s="3"/>
      <c r="IF974" s="3"/>
      <c r="IG974" s="3"/>
      <c r="IH974" s="3"/>
      <c r="II974" s="3"/>
      <c r="IJ974" s="3"/>
      <c r="IK974" s="3"/>
      <c r="IL974" s="3"/>
      <c r="IM974" s="3"/>
      <c r="IN974" s="3"/>
      <c r="IO974" s="3"/>
      <c r="IP974" s="3"/>
      <c r="IQ974" s="3"/>
      <c r="IR974" s="3"/>
      <c r="IS974" s="3"/>
      <c r="IT974" s="3"/>
      <c r="IU974" s="3"/>
      <c r="IV974" s="3"/>
    </row>
    <row r="975" spans="1:256" s="663" customFormat="1" ht="25.8">
      <c r="A975" s="627"/>
      <c r="B975" s="962"/>
      <c r="C975" s="341" t="s">
        <v>1819</v>
      </c>
      <c r="D975" s="304" t="s">
        <v>987</v>
      </c>
      <c r="E975" s="978">
        <v>1</v>
      </c>
      <c r="F975" s="28">
        <v>255</v>
      </c>
      <c r="G975" s="628">
        <f>ROUND(E975*F975,2)</f>
        <v>255</v>
      </c>
      <c r="I975" s="152"/>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c r="CW975" s="3"/>
      <c r="CX975" s="3"/>
      <c r="CY975" s="3"/>
      <c r="CZ975" s="3"/>
      <c r="DA975" s="3"/>
      <c r="DB975" s="3"/>
      <c r="DC975" s="3"/>
      <c r="DD975" s="3"/>
      <c r="DE975" s="3"/>
      <c r="DF975" s="3"/>
      <c r="DG975" s="3"/>
      <c r="DH975" s="3"/>
      <c r="DI975" s="3"/>
      <c r="DJ975" s="3"/>
      <c r="DK975" s="3"/>
      <c r="DL975" s="3"/>
      <c r="DM975" s="3"/>
      <c r="DN975" s="3"/>
      <c r="DO975" s="3"/>
      <c r="DP975" s="3"/>
      <c r="DQ975" s="3"/>
      <c r="DR975" s="3"/>
      <c r="DS975" s="3"/>
      <c r="DT975" s="3"/>
      <c r="DU975" s="3"/>
      <c r="DV975" s="3"/>
      <c r="DW975" s="3"/>
      <c r="DX975" s="3"/>
      <c r="DY975" s="3"/>
      <c r="DZ975" s="3"/>
      <c r="EA975" s="3"/>
      <c r="EB975" s="3"/>
      <c r="EC975" s="3"/>
      <c r="ED975" s="3"/>
      <c r="EE975" s="3"/>
      <c r="EF975" s="3"/>
      <c r="EG975" s="3"/>
      <c r="EH975" s="3"/>
      <c r="EI975" s="3"/>
      <c r="EJ975" s="3"/>
      <c r="EK975" s="3"/>
      <c r="EL975" s="3"/>
      <c r="EM975" s="3"/>
      <c r="EN975" s="3"/>
      <c r="EO975" s="3"/>
      <c r="EP975" s="3"/>
      <c r="EQ975" s="3"/>
      <c r="ER975" s="3"/>
      <c r="ES975" s="3"/>
      <c r="ET975" s="3"/>
      <c r="EU975" s="3"/>
      <c r="EV975" s="3"/>
      <c r="EW975" s="3"/>
      <c r="EX975" s="3"/>
      <c r="EY975" s="3"/>
      <c r="EZ975" s="3"/>
      <c r="FA975" s="3"/>
      <c r="FB975" s="3"/>
      <c r="FC975" s="3"/>
      <c r="FD975" s="3"/>
      <c r="FE975" s="3"/>
      <c r="FF975" s="3"/>
      <c r="FG975" s="3"/>
      <c r="FH975" s="3"/>
      <c r="FI975" s="3"/>
      <c r="FJ975" s="3"/>
      <c r="FK975" s="3"/>
      <c r="FL975" s="3"/>
      <c r="FM975" s="3"/>
      <c r="FN975" s="3"/>
      <c r="FO975" s="3"/>
      <c r="FP975" s="3"/>
      <c r="FQ975" s="3"/>
      <c r="FR975" s="3"/>
      <c r="FS975" s="3"/>
      <c r="FT975" s="3"/>
      <c r="FU975" s="3"/>
      <c r="FV975" s="3"/>
      <c r="FW975" s="3"/>
      <c r="FX975" s="3"/>
      <c r="FY975" s="3"/>
      <c r="FZ975" s="3"/>
      <c r="GA975" s="3"/>
      <c r="GB975" s="3"/>
      <c r="GC975" s="3"/>
      <c r="GD975" s="3"/>
      <c r="GE975" s="3"/>
      <c r="GF975" s="3"/>
      <c r="GG975" s="3"/>
      <c r="GH975" s="3"/>
      <c r="GI975" s="3"/>
      <c r="GJ975" s="3"/>
      <c r="GK975" s="3"/>
      <c r="GL975" s="3"/>
      <c r="GM975" s="3"/>
      <c r="GN975" s="3"/>
      <c r="GO975" s="3"/>
      <c r="GP975" s="3"/>
      <c r="GQ975" s="3"/>
      <c r="GR975" s="3"/>
      <c r="GS975" s="3"/>
      <c r="GT975" s="3"/>
      <c r="GU975" s="3"/>
      <c r="GV975" s="3"/>
      <c r="GW975" s="3"/>
      <c r="GX975" s="3"/>
      <c r="GY975" s="3"/>
      <c r="GZ975" s="3"/>
      <c r="HA975" s="3"/>
      <c r="HB975" s="3"/>
      <c r="HC975" s="3"/>
      <c r="HD975" s="3"/>
      <c r="HE975" s="3"/>
      <c r="HF975" s="3"/>
      <c r="HG975" s="3"/>
      <c r="HH975" s="3"/>
      <c r="HI975" s="3"/>
      <c r="HJ975" s="3"/>
      <c r="HK975" s="3"/>
      <c r="HL975" s="3"/>
      <c r="HM975" s="3"/>
      <c r="HN975" s="3"/>
      <c r="HO975" s="3"/>
      <c r="HP975" s="3"/>
      <c r="HQ975" s="3"/>
      <c r="HR975" s="3"/>
      <c r="HS975" s="3"/>
      <c r="HT975" s="3"/>
      <c r="HU975" s="3"/>
      <c r="HV975" s="3"/>
      <c r="HW975" s="3"/>
      <c r="HX975" s="3"/>
      <c r="HY975" s="3"/>
      <c r="HZ975" s="3"/>
      <c r="IA975" s="3"/>
      <c r="IB975" s="3"/>
      <c r="IC975" s="3"/>
      <c r="ID975" s="3"/>
      <c r="IE975" s="3"/>
      <c r="IF975" s="3"/>
      <c r="IG975" s="3"/>
      <c r="IH975" s="3"/>
      <c r="II975" s="3"/>
      <c r="IJ975" s="3"/>
      <c r="IK975" s="3"/>
      <c r="IL975" s="3"/>
      <c r="IM975" s="3"/>
      <c r="IN975" s="3"/>
      <c r="IO975" s="3"/>
      <c r="IP975" s="3"/>
      <c r="IQ975" s="3"/>
      <c r="IR975" s="3"/>
      <c r="IS975" s="3"/>
      <c r="IT975" s="3"/>
      <c r="IU975" s="3"/>
      <c r="IV975" s="3"/>
    </row>
    <row r="976" spans="1:256" s="663" customFormat="1">
      <c r="A976" s="627"/>
      <c r="B976" s="962"/>
      <c r="C976" s="341" t="s">
        <v>1719</v>
      </c>
      <c r="D976" s="304" t="s">
        <v>452</v>
      </c>
      <c r="E976" s="978">
        <v>0.4</v>
      </c>
      <c r="F976" s="28">
        <v>38</v>
      </c>
      <c r="G976" s="628">
        <f t="shared" ref="G976:G990" si="6">ROUND(E976*F976,2)</f>
        <v>15.2</v>
      </c>
      <c r="I976" s="152"/>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c r="CW976" s="3"/>
      <c r="CX976" s="3"/>
      <c r="CY976" s="3"/>
      <c r="CZ976" s="3"/>
      <c r="DA976" s="3"/>
      <c r="DB976" s="3"/>
      <c r="DC976" s="3"/>
      <c r="DD976" s="3"/>
      <c r="DE976" s="3"/>
      <c r="DF976" s="3"/>
      <c r="DG976" s="3"/>
      <c r="DH976" s="3"/>
      <c r="DI976" s="3"/>
      <c r="DJ976" s="3"/>
      <c r="DK976" s="3"/>
      <c r="DL976" s="3"/>
      <c r="DM976" s="3"/>
      <c r="DN976" s="3"/>
      <c r="DO976" s="3"/>
      <c r="DP976" s="3"/>
      <c r="DQ976" s="3"/>
      <c r="DR976" s="3"/>
      <c r="DS976" s="3"/>
      <c r="DT976" s="3"/>
      <c r="DU976" s="3"/>
      <c r="DV976" s="3"/>
      <c r="DW976" s="3"/>
      <c r="DX976" s="3"/>
      <c r="DY976" s="3"/>
      <c r="DZ976" s="3"/>
      <c r="EA976" s="3"/>
      <c r="EB976" s="3"/>
      <c r="EC976" s="3"/>
      <c r="ED976" s="3"/>
      <c r="EE976" s="3"/>
      <c r="EF976" s="3"/>
      <c r="EG976" s="3"/>
      <c r="EH976" s="3"/>
      <c r="EI976" s="3"/>
      <c r="EJ976" s="3"/>
      <c r="EK976" s="3"/>
      <c r="EL976" s="3"/>
      <c r="EM976" s="3"/>
      <c r="EN976" s="3"/>
      <c r="EO976" s="3"/>
      <c r="EP976" s="3"/>
      <c r="EQ976" s="3"/>
      <c r="ER976" s="3"/>
      <c r="ES976" s="3"/>
      <c r="ET976" s="3"/>
      <c r="EU976" s="3"/>
      <c r="EV976" s="3"/>
      <c r="EW976" s="3"/>
      <c r="EX976" s="3"/>
      <c r="EY976" s="3"/>
      <c r="EZ976" s="3"/>
      <c r="FA976" s="3"/>
      <c r="FB976" s="3"/>
      <c r="FC976" s="3"/>
      <c r="FD976" s="3"/>
      <c r="FE976" s="3"/>
      <c r="FF976" s="3"/>
      <c r="FG976" s="3"/>
      <c r="FH976" s="3"/>
      <c r="FI976" s="3"/>
      <c r="FJ976" s="3"/>
      <c r="FK976" s="3"/>
      <c r="FL976" s="3"/>
      <c r="FM976" s="3"/>
      <c r="FN976" s="3"/>
      <c r="FO976" s="3"/>
      <c r="FP976" s="3"/>
      <c r="FQ976" s="3"/>
      <c r="FR976" s="3"/>
      <c r="FS976" s="3"/>
      <c r="FT976" s="3"/>
      <c r="FU976" s="3"/>
      <c r="FV976" s="3"/>
      <c r="FW976" s="3"/>
      <c r="FX976" s="3"/>
      <c r="FY976" s="3"/>
      <c r="FZ976" s="3"/>
      <c r="GA976" s="3"/>
      <c r="GB976" s="3"/>
      <c r="GC976" s="3"/>
      <c r="GD976" s="3"/>
      <c r="GE976" s="3"/>
      <c r="GF976" s="3"/>
      <c r="GG976" s="3"/>
      <c r="GH976" s="3"/>
      <c r="GI976" s="3"/>
      <c r="GJ976" s="3"/>
      <c r="GK976" s="3"/>
      <c r="GL976" s="3"/>
      <c r="GM976" s="3"/>
      <c r="GN976" s="3"/>
      <c r="GO976" s="3"/>
      <c r="GP976" s="3"/>
      <c r="GQ976" s="3"/>
      <c r="GR976" s="3"/>
      <c r="GS976" s="3"/>
      <c r="GT976" s="3"/>
      <c r="GU976" s="3"/>
      <c r="GV976" s="3"/>
      <c r="GW976" s="3"/>
      <c r="GX976" s="3"/>
      <c r="GY976" s="3"/>
      <c r="GZ976" s="3"/>
      <c r="HA976" s="3"/>
      <c r="HB976" s="3"/>
      <c r="HC976" s="3"/>
      <c r="HD976" s="3"/>
      <c r="HE976" s="3"/>
      <c r="HF976" s="3"/>
      <c r="HG976" s="3"/>
      <c r="HH976" s="3"/>
      <c r="HI976" s="3"/>
      <c r="HJ976" s="3"/>
      <c r="HK976" s="3"/>
      <c r="HL976" s="3"/>
      <c r="HM976" s="3"/>
      <c r="HN976" s="3"/>
      <c r="HO976" s="3"/>
      <c r="HP976" s="3"/>
      <c r="HQ976" s="3"/>
      <c r="HR976" s="3"/>
      <c r="HS976" s="3"/>
      <c r="HT976" s="3"/>
      <c r="HU976" s="3"/>
      <c r="HV976" s="3"/>
      <c r="HW976" s="3"/>
      <c r="HX976" s="3"/>
      <c r="HY976" s="3"/>
      <c r="HZ976" s="3"/>
      <c r="IA976" s="3"/>
      <c r="IB976" s="3"/>
      <c r="IC976" s="3"/>
      <c r="ID976" s="3"/>
      <c r="IE976" s="3"/>
      <c r="IF976" s="3"/>
      <c r="IG976" s="3"/>
      <c r="IH976" s="3"/>
      <c r="II976" s="3"/>
      <c r="IJ976" s="3"/>
      <c r="IK976" s="3"/>
      <c r="IL976" s="3"/>
      <c r="IM976" s="3"/>
      <c r="IN976" s="3"/>
      <c r="IO976" s="3"/>
      <c r="IP976" s="3"/>
      <c r="IQ976" s="3"/>
      <c r="IR976" s="3"/>
      <c r="IS976" s="3"/>
      <c r="IT976" s="3"/>
      <c r="IU976" s="3"/>
      <c r="IV976" s="3"/>
    </row>
    <row r="977" spans="1:256" s="663" customFormat="1">
      <c r="A977" s="627"/>
      <c r="B977" s="962"/>
      <c r="C977" s="341" t="s">
        <v>1720</v>
      </c>
      <c r="D977" s="304" t="s">
        <v>452</v>
      </c>
      <c r="E977" s="978">
        <v>3.2</v>
      </c>
      <c r="F977" s="28">
        <v>50</v>
      </c>
      <c r="G977" s="628">
        <f t="shared" si="6"/>
        <v>160</v>
      </c>
      <c r="I977" s="152"/>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c r="CW977" s="3"/>
      <c r="CX977" s="3"/>
      <c r="CY977" s="3"/>
      <c r="CZ977" s="3"/>
      <c r="DA977" s="3"/>
      <c r="DB977" s="3"/>
      <c r="DC977" s="3"/>
      <c r="DD977" s="3"/>
      <c r="DE977" s="3"/>
      <c r="DF977" s="3"/>
      <c r="DG977" s="3"/>
      <c r="DH977" s="3"/>
      <c r="DI977" s="3"/>
      <c r="DJ977" s="3"/>
      <c r="DK977" s="3"/>
      <c r="DL977" s="3"/>
      <c r="DM977" s="3"/>
      <c r="DN977" s="3"/>
      <c r="DO977" s="3"/>
      <c r="DP977" s="3"/>
      <c r="DQ977" s="3"/>
      <c r="DR977" s="3"/>
      <c r="DS977" s="3"/>
      <c r="DT977" s="3"/>
      <c r="DU977" s="3"/>
      <c r="DV977" s="3"/>
      <c r="DW977" s="3"/>
      <c r="DX977" s="3"/>
      <c r="DY977" s="3"/>
      <c r="DZ977" s="3"/>
      <c r="EA977" s="3"/>
      <c r="EB977" s="3"/>
      <c r="EC977" s="3"/>
      <c r="ED977" s="3"/>
      <c r="EE977" s="3"/>
      <c r="EF977" s="3"/>
      <c r="EG977" s="3"/>
      <c r="EH977" s="3"/>
      <c r="EI977" s="3"/>
      <c r="EJ977" s="3"/>
      <c r="EK977" s="3"/>
      <c r="EL977" s="3"/>
      <c r="EM977" s="3"/>
      <c r="EN977" s="3"/>
      <c r="EO977" s="3"/>
      <c r="EP977" s="3"/>
      <c r="EQ977" s="3"/>
      <c r="ER977" s="3"/>
      <c r="ES977" s="3"/>
      <c r="ET977" s="3"/>
      <c r="EU977" s="3"/>
      <c r="EV977" s="3"/>
      <c r="EW977" s="3"/>
      <c r="EX977" s="3"/>
      <c r="EY977" s="3"/>
      <c r="EZ977" s="3"/>
      <c r="FA977" s="3"/>
      <c r="FB977" s="3"/>
      <c r="FC977" s="3"/>
      <c r="FD977" s="3"/>
      <c r="FE977" s="3"/>
      <c r="FF977" s="3"/>
      <c r="FG977" s="3"/>
      <c r="FH977" s="3"/>
      <c r="FI977" s="3"/>
      <c r="FJ977" s="3"/>
      <c r="FK977" s="3"/>
      <c r="FL977" s="3"/>
      <c r="FM977" s="3"/>
      <c r="FN977" s="3"/>
      <c r="FO977" s="3"/>
      <c r="FP977" s="3"/>
      <c r="FQ977" s="3"/>
      <c r="FR977" s="3"/>
      <c r="FS977" s="3"/>
      <c r="FT977" s="3"/>
      <c r="FU977" s="3"/>
      <c r="FV977" s="3"/>
      <c r="FW977" s="3"/>
      <c r="FX977" s="3"/>
      <c r="FY977" s="3"/>
      <c r="FZ977" s="3"/>
      <c r="GA977" s="3"/>
      <c r="GB977" s="3"/>
      <c r="GC977" s="3"/>
      <c r="GD977" s="3"/>
      <c r="GE977" s="3"/>
      <c r="GF977" s="3"/>
      <c r="GG977" s="3"/>
      <c r="GH977" s="3"/>
      <c r="GI977" s="3"/>
      <c r="GJ977" s="3"/>
      <c r="GK977" s="3"/>
      <c r="GL977" s="3"/>
      <c r="GM977" s="3"/>
      <c r="GN977" s="3"/>
      <c r="GO977" s="3"/>
      <c r="GP977" s="3"/>
      <c r="GQ977" s="3"/>
      <c r="GR977" s="3"/>
      <c r="GS977" s="3"/>
      <c r="GT977" s="3"/>
      <c r="GU977" s="3"/>
      <c r="GV977" s="3"/>
      <c r="GW977" s="3"/>
      <c r="GX977" s="3"/>
      <c r="GY977" s="3"/>
      <c r="GZ977" s="3"/>
      <c r="HA977" s="3"/>
      <c r="HB977" s="3"/>
      <c r="HC977" s="3"/>
      <c r="HD977" s="3"/>
      <c r="HE977" s="3"/>
      <c r="HF977" s="3"/>
      <c r="HG977" s="3"/>
      <c r="HH977" s="3"/>
      <c r="HI977" s="3"/>
      <c r="HJ977" s="3"/>
      <c r="HK977" s="3"/>
      <c r="HL977" s="3"/>
      <c r="HM977" s="3"/>
      <c r="HN977" s="3"/>
      <c r="HO977" s="3"/>
      <c r="HP977" s="3"/>
      <c r="HQ977" s="3"/>
      <c r="HR977" s="3"/>
      <c r="HS977" s="3"/>
      <c r="HT977" s="3"/>
      <c r="HU977" s="3"/>
      <c r="HV977" s="3"/>
      <c r="HW977" s="3"/>
      <c r="HX977" s="3"/>
      <c r="HY977" s="3"/>
      <c r="HZ977" s="3"/>
      <c r="IA977" s="3"/>
      <c r="IB977" s="3"/>
      <c r="IC977" s="3"/>
      <c r="ID977" s="3"/>
      <c r="IE977" s="3"/>
      <c r="IF977" s="3"/>
      <c r="IG977" s="3"/>
      <c r="IH977" s="3"/>
      <c r="II977" s="3"/>
      <c r="IJ977" s="3"/>
      <c r="IK977" s="3"/>
      <c r="IL977" s="3"/>
      <c r="IM977" s="3"/>
      <c r="IN977" s="3"/>
      <c r="IO977" s="3"/>
      <c r="IP977" s="3"/>
      <c r="IQ977" s="3"/>
      <c r="IR977" s="3"/>
      <c r="IS977" s="3"/>
      <c r="IT977" s="3"/>
      <c r="IU977" s="3"/>
      <c r="IV977" s="3"/>
    </row>
    <row r="978" spans="1:256" s="663" customFormat="1">
      <c r="A978" s="627"/>
      <c r="B978" s="962"/>
      <c r="C978" s="341" t="s">
        <v>1721</v>
      </c>
      <c r="D978" s="304" t="s">
        <v>452</v>
      </c>
      <c r="E978" s="978">
        <v>1.28</v>
      </c>
      <c r="F978" s="28">
        <v>3</v>
      </c>
      <c r="G978" s="628">
        <f t="shared" si="6"/>
        <v>3.84</v>
      </c>
      <c r="I978" s="152"/>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c r="CW978" s="3"/>
      <c r="CX978" s="3"/>
      <c r="CY978" s="3"/>
      <c r="CZ978" s="3"/>
      <c r="DA978" s="3"/>
      <c r="DB978" s="3"/>
      <c r="DC978" s="3"/>
      <c r="DD978" s="3"/>
      <c r="DE978" s="3"/>
      <c r="DF978" s="3"/>
      <c r="DG978" s="3"/>
      <c r="DH978" s="3"/>
      <c r="DI978" s="3"/>
      <c r="DJ978" s="3"/>
      <c r="DK978" s="3"/>
      <c r="DL978" s="3"/>
      <c r="DM978" s="3"/>
      <c r="DN978" s="3"/>
      <c r="DO978" s="3"/>
      <c r="DP978" s="3"/>
      <c r="DQ978" s="3"/>
      <c r="DR978" s="3"/>
      <c r="DS978" s="3"/>
      <c r="DT978" s="3"/>
      <c r="DU978" s="3"/>
      <c r="DV978" s="3"/>
      <c r="DW978" s="3"/>
      <c r="DX978" s="3"/>
      <c r="DY978" s="3"/>
      <c r="DZ978" s="3"/>
      <c r="EA978" s="3"/>
      <c r="EB978" s="3"/>
      <c r="EC978" s="3"/>
      <c r="ED978" s="3"/>
      <c r="EE978" s="3"/>
      <c r="EF978" s="3"/>
      <c r="EG978" s="3"/>
      <c r="EH978" s="3"/>
      <c r="EI978" s="3"/>
      <c r="EJ978" s="3"/>
      <c r="EK978" s="3"/>
      <c r="EL978" s="3"/>
      <c r="EM978" s="3"/>
      <c r="EN978" s="3"/>
      <c r="EO978" s="3"/>
      <c r="EP978" s="3"/>
      <c r="EQ978" s="3"/>
      <c r="ER978" s="3"/>
      <c r="ES978" s="3"/>
      <c r="ET978" s="3"/>
      <c r="EU978" s="3"/>
      <c r="EV978" s="3"/>
      <c r="EW978" s="3"/>
      <c r="EX978" s="3"/>
      <c r="EY978" s="3"/>
      <c r="EZ978" s="3"/>
      <c r="FA978" s="3"/>
      <c r="FB978" s="3"/>
      <c r="FC978" s="3"/>
      <c r="FD978" s="3"/>
      <c r="FE978" s="3"/>
      <c r="FF978" s="3"/>
      <c r="FG978" s="3"/>
      <c r="FH978" s="3"/>
      <c r="FI978" s="3"/>
      <c r="FJ978" s="3"/>
      <c r="FK978" s="3"/>
      <c r="FL978" s="3"/>
      <c r="FM978" s="3"/>
      <c r="FN978" s="3"/>
      <c r="FO978" s="3"/>
      <c r="FP978" s="3"/>
      <c r="FQ978" s="3"/>
      <c r="FR978" s="3"/>
      <c r="FS978" s="3"/>
      <c r="FT978" s="3"/>
      <c r="FU978" s="3"/>
      <c r="FV978" s="3"/>
      <c r="FW978" s="3"/>
      <c r="FX978" s="3"/>
      <c r="FY978" s="3"/>
      <c r="FZ978" s="3"/>
      <c r="GA978" s="3"/>
      <c r="GB978" s="3"/>
      <c r="GC978" s="3"/>
      <c r="GD978" s="3"/>
      <c r="GE978" s="3"/>
      <c r="GF978" s="3"/>
      <c r="GG978" s="3"/>
      <c r="GH978" s="3"/>
      <c r="GI978" s="3"/>
      <c r="GJ978" s="3"/>
      <c r="GK978" s="3"/>
      <c r="GL978" s="3"/>
      <c r="GM978" s="3"/>
      <c r="GN978" s="3"/>
      <c r="GO978" s="3"/>
      <c r="GP978" s="3"/>
      <c r="GQ978" s="3"/>
      <c r="GR978" s="3"/>
      <c r="GS978" s="3"/>
      <c r="GT978" s="3"/>
      <c r="GU978" s="3"/>
      <c r="GV978" s="3"/>
      <c r="GW978" s="3"/>
      <c r="GX978" s="3"/>
      <c r="GY978" s="3"/>
      <c r="GZ978" s="3"/>
      <c r="HA978" s="3"/>
      <c r="HB978" s="3"/>
      <c r="HC978" s="3"/>
      <c r="HD978" s="3"/>
      <c r="HE978" s="3"/>
      <c r="HF978" s="3"/>
      <c r="HG978" s="3"/>
      <c r="HH978" s="3"/>
      <c r="HI978" s="3"/>
      <c r="HJ978" s="3"/>
      <c r="HK978" s="3"/>
      <c r="HL978" s="3"/>
      <c r="HM978" s="3"/>
      <c r="HN978" s="3"/>
      <c r="HO978" s="3"/>
      <c r="HP978" s="3"/>
      <c r="HQ978" s="3"/>
      <c r="HR978" s="3"/>
      <c r="HS978" s="3"/>
      <c r="HT978" s="3"/>
      <c r="HU978" s="3"/>
      <c r="HV978" s="3"/>
      <c r="HW978" s="3"/>
      <c r="HX978" s="3"/>
      <c r="HY978" s="3"/>
      <c r="HZ978" s="3"/>
      <c r="IA978" s="3"/>
      <c r="IB978" s="3"/>
      <c r="IC978" s="3"/>
      <c r="ID978" s="3"/>
      <c r="IE978" s="3"/>
      <c r="IF978" s="3"/>
      <c r="IG978" s="3"/>
      <c r="IH978" s="3"/>
      <c r="II978" s="3"/>
      <c r="IJ978" s="3"/>
      <c r="IK978" s="3"/>
      <c r="IL978" s="3"/>
      <c r="IM978" s="3"/>
      <c r="IN978" s="3"/>
      <c r="IO978" s="3"/>
      <c r="IP978" s="3"/>
      <c r="IQ978" s="3"/>
      <c r="IR978" s="3"/>
      <c r="IS978" s="3"/>
      <c r="IT978" s="3"/>
      <c r="IU978" s="3"/>
      <c r="IV978" s="3"/>
    </row>
    <row r="979" spans="1:256" s="663" customFormat="1">
      <c r="A979" s="627"/>
      <c r="B979" s="962"/>
      <c r="C979" s="341" t="s">
        <v>951</v>
      </c>
      <c r="D979" s="304" t="s">
        <v>1725</v>
      </c>
      <c r="E979" s="978">
        <v>1.28</v>
      </c>
      <c r="F979" s="28">
        <v>3</v>
      </c>
      <c r="G979" s="628">
        <f t="shared" si="6"/>
        <v>3.84</v>
      </c>
      <c r="I979" s="152"/>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c r="CW979" s="3"/>
      <c r="CX979" s="3"/>
      <c r="CY979" s="3"/>
      <c r="CZ979" s="3"/>
      <c r="DA979" s="3"/>
      <c r="DB979" s="3"/>
      <c r="DC979" s="3"/>
      <c r="DD979" s="3"/>
      <c r="DE979" s="3"/>
      <c r="DF979" s="3"/>
      <c r="DG979" s="3"/>
      <c r="DH979" s="3"/>
      <c r="DI979" s="3"/>
      <c r="DJ979" s="3"/>
      <c r="DK979" s="3"/>
      <c r="DL979" s="3"/>
      <c r="DM979" s="3"/>
      <c r="DN979" s="3"/>
      <c r="DO979" s="3"/>
      <c r="DP979" s="3"/>
      <c r="DQ979" s="3"/>
      <c r="DR979" s="3"/>
      <c r="DS979" s="3"/>
      <c r="DT979" s="3"/>
      <c r="DU979" s="3"/>
      <c r="DV979" s="3"/>
      <c r="DW979" s="3"/>
      <c r="DX979" s="3"/>
      <c r="DY979" s="3"/>
      <c r="DZ979" s="3"/>
      <c r="EA979" s="3"/>
      <c r="EB979" s="3"/>
      <c r="EC979" s="3"/>
      <c r="ED979" s="3"/>
      <c r="EE979" s="3"/>
      <c r="EF979" s="3"/>
      <c r="EG979" s="3"/>
      <c r="EH979" s="3"/>
      <c r="EI979" s="3"/>
      <c r="EJ979" s="3"/>
      <c r="EK979" s="3"/>
      <c r="EL979" s="3"/>
      <c r="EM979" s="3"/>
      <c r="EN979" s="3"/>
      <c r="EO979" s="3"/>
      <c r="EP979" s="3"/>
      <c r="EQ979" s="3"/>
      <c r="ER979" s="3"/>
      <c r="ES979" s="3"/>
      <c r="ET979" s="3"/>
      <c r="EU979" s="3"/>
      <c r="EV979" s="3"/>
      <c r="EW979" s="3"/>
      <c r="EX979" s="3"/>
      <c r="EY979" s="3"/>
      <c r="EZ979" s="3"/>
      <c r="FA979" s="3"/>
      <c r="FB979" s="3"/>
      <c r="FC979" s="3"/>
      <c r="FD979" s="3"/>
      <c r="FE979" s="3"/>
      <c r="FF979" s="3"/>
      <c r="FG979" s="3"/>
      <c r="FH979" s="3"/>
      <c r="FI979" s="3"/>
      <c r="FJ979" s="3"/>
      <c r="FK979" s="3"/>
      <c r="FL979" s="3"/>
      <c r="FM979" s="3"/>
      <c r="FN979" s="3"/>
      <c r="FO979" s="3"/>
      <c r="FP979" s="3"/>
      <c r="FQ979" s="3"/>
      <c r="FR979" s="3"/>
      <c r="FS979" s="3"/>
      <c r="FT979" s="3"/>
      <c r="FU979" s="3"/>
      <c r="FV979" s="3"/>
      <c r="FW979" s="3"/>
      <c r="FX979" s="3"/>
      <c r="FY979" s="3"/>
      <c r="FZ979" s="3"/>
      <c r="GA979" s="3"/>
      <c r="GB979" s="3"/>
      <c r="GC979" s="3"/>
      <c r="GD979" s="3"/>
      <c r="GE979" s="3"/>
      <c r="GF979" s="3"/>
      <c r="GG979" s="3"/>
      <c r="GH979" s="3"/>
      <c r="GI979" s="3"/>
      <c r="GJ979" s="3"/>
      <c r="GK979" s="3"/>
      <c r="GL979" s="3"/>
      <c r="GM979" s="3"/>
      <c r="GN979" s="3"/>
      <c r="GO979" s="3"/>
      <c r="GP979" s="3"/>
      <c r="GQ979" s="3"/>
      <c r="GR979" s="3"/>
      <c r="GS979" s="3"/>
      <c r="GT979" s="3"/>
      <c r="GU979" s="3"/>
      <c r="GV979" s="3"/>
      <c r="GW979" s="3"/>
      <c r="GX979" s="3"/>
      <c r="GY979" s="3"/>
      <c r="GZ979" s="3"/>
      <c r="HA979" s="3"/>
      <c r="HB979" s="3"/>
      <c r="HC979" s="3"/>
      <c r="HD979" s="3"/>
      <c r="HE979" s="3"/>
      <c r="HF979" s="3"/>
      <c r="HG979" s="3"/>
      <c r="HH979" s="3"/>
      <c r="HI979" s="3"/>
      <c r="HJ979" s="3"/>
      <c r="HK979" s="3"/>
      <c r="HL979" s="3"/>
      <c r="HM979" s="3"/>
      <c r="HN979" s="3"/>
      <c r="HO979" s="3"/>
      <c r="HP979" s="3"/>
      <c r="HQ979" s="3"/>
      <c r="HR979" s="3"/>
      <c r="HS979" s="3"/>
      <c r="HT979" s="3"/>
      <c r="HU979" s="3"/>
      <c r="HV979" s="3"/>
      <c r="HW979" s="3"/>
      <c r="HX979" s="3"/>
      <c r="HY979" s="3"/>
      <c r="HZ979" s="3"/>
      <c r="IA979" s="3"/>
      <c r="IB979" s="3"/>
      <c r="IC979" s="3"/>
      <c r="ID979" s="3"/>
      <c r="IE979" s="3"/>
      <c r="IF979" s="3"/>
      <c r="IG979" s="3"/>
      <c r="IH979" s="3"/>
      <c r="II979" s="3"/>
      <c r="IJ979" s="3"/>
      <c r="IK979" s="3"/>
      <c r="IL979" s="3"/>
      <c r="IM979" s="3"/>
      <c r="IN979" s="3"/>
      <c r="IO979" s="3"/>
      <c r="IP979" s="3"/>
      <c r="IQ979" s="3"/>
      <c r="IR979" s="3"/>
      <c r="IS979" s="3"/>
      <c r="IT979" s="3"/>
      <c r="IU979" s="3"/>
      <c r="IV979" s="3"/>
    </row>
    <row r="980" spans="1:256" s="663" customFormat="1">
      <c r="A980" s="627"/>
      <c r="B980" s="962"/>
      <c r="C980" s="341" t="s">
        <v>1722</v>
      </c>
      <c r="D980" s="304" t="s">
        <v>1725</v>
      </c>
      <c r="E980" s="978">
        <v>1.28</v>
      </c>
      <c r="F980" s="28">
        <v>3</v>
      </c>
      <c r="G980" s="628">
        <f t="shared" si="6"/>
        <v>3.84</v>
      </c>
      <c r="I980" s="152"/>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c r="CW980" s="3"/>
      <c r="CX980" s="3"/>
      <c r="CY980" s="3"/>
      <c r="CZ980" s="3"/>
      <c r="DA980" s="3"/>
      <c r="DB980" s="3"/>
      <c r="DC980" s="3"/>
      <c r="DD980" s="3"/>
      <c r="DE980" s="3"/>
      <c r="DF980" s="3"/>
      <c r="DG980" s="3"/>
      <c r="DH980" s="3"/>
      <c r="DI980" s="3"/>
      <c r="DJ980" s="3"/>
      <c r="DK980" s="3"/>
      <c r="DL980" s="3"/>
      <c r="DM980" s="3"/>
      <c r="DN980" s="3"/>
      <c r="DO980" s="3"/>
      <c r="DP980" s="3"/>
      <c r="DQ980" s="3"/>
      <c r="DR980" s="3"/>
      <c r="DS980" s="3"/>
      <c r="DT980" s="3"/>
      <c r="DU980" s="3"/>
      <c r="DV980" s="3"/>
      <c r="DW980" s="3"/>
      <c r="DX980" s="3"/>
      <c r="DY980" s="3"/>
      <c r="DZ980" s="3"/>
      <c r="EA980" s="3"/>
      <c r="EB980" s="3"/>
      <c r="EC980" s="3"/>
      <c r="ED980" s="3"/>
      <c r="EE980" s="3"/>
      <c r="EF980" s="3"/>
      <c r="EG980" s="3"/>
      <c r="EH980" s="3"/>
      <c r="EI980" s="3"/>
      <c r="EJ980" s="3"/>
      <c r="EK980" s="3"/>
      <c r="EL980" s="3"/>
      <c r="EM980" s="3"/>
      <c r="EN980" s="3"/>
      <c r="EO980" s="3"/>
      <c r="EP980" s="3"/>
      <c r="EQ980" s="3"/>
      <c r="ER980" s="3"/>
      <c r="ES980" s="3"/>
      <c r="ET980" s="3"/>
      <c r="EU980" s="3"/>
      <c r="EV980" s="3"/>
      <c r="EW980" s="3"/>
      <c r="EX980" s="3"/>
      <c r="EY980" s="3"/>
      <c r="EZ980" s="3"/>
      <c r="FA980" s="3"/>
      <c r="FB980" s="3"/>
      <c r="FC980" s="3"/>
      <c r="FD980" s="3"/>
      <c r="FE980" s="3"/>
      <c r="FF980" s="3"/>
      <c r="FG980" s="3"/>
      <c r="FH980" s="3"/>
      <c r="FI980" s="3"/>
      <c r="FJ980" s="3"/>
      <c r="FK980" s="3"/>
      <c r="FL980" s="3"/>
      <c r="FM980" s="3"/>
      <c r="FN980" s="3"/>
      <c r="FO980" s="3"/>
      <c r="FP980" s="3"/>
      <c r="FQ980" s="3"/>
      <c r="FR980" s="3"/>
      <c r="FS980" s="3"/>
      <c r="FT980" s="3"/>
      <c r="FU980" s="3"/>
      <c r="FV980" s="3"/>
      <c r="FW980" s="3"/>
      <c r="FX980" s="3"/>
      <c r="FY980" s="3"/>
      <c r="FZ980" s="3"/>
      <c r="GA980" s="3"/>
      <c r="GB980" s="3"/>
      <c r="GC980" s="3"/>
      <c r="GD980" s="3"/>
      <c r="GE980" s="3"/>
      <c r="GF980" s="3"/>
      <c r="GG980" s="3"/>
      <c r="GH980" s="3"/>
      <c r="GI980" s="3"/>
      <c r="GJ980" s="3"/>
      <c r="GK980" s="3"/>
      <c r="GL980" s="3"/>
      <c r="GM980" s="3"/>
      <c r="GN980" s="3"/>
      <c r="GO980" s="3"/>
      <c r="GP980" s="3"/>
      <c r="GQ980" s="3"/>
      <c r="GR980" s="3"/>
      <c r="GS980" s="3"/>
      <c r="GT980" s="3"/>
      <c r="GU980" s="3"/>
      <c r="GV980" s="3"/>
      <c r="GW980" s="3"/>
      <c r="GX980" s="3"/>
      <c r="GY980" s="3"/>
      <c r="GZ980" s="3"/>
      <c r="HA980" s="3"/>
      <c r="HB980" s="3"/>
      <c r="HC980" s="3"/>
      <c r="HD980" s="3"/>
      <c r="HE980" s="3"/>
      <c r="HF980" s="3"/>
      <c r="HG980" s="3"/>
      <c r="HH980" s="3"/>
      <c r="HI980" s="3"/>
      <c r="HJ980" s="3"/>
      <c r="HK980" s="3"/>
      <c r="HL980" s="3"/>
      <c r="HM980" s="3"/>
      <c r="HN980" s="3"/>
      <c r="HO980" s="3"/>
      <c r="HP980" s="3"/>
      <c r="HQ980" s="3"/>
      <c r="HR980" s="3"/>
      <c r="HS980" s="3"/>
      <c r="HT980" s="3"/>
      <c r="HU980" s="3"/>
      <c r="HV980" s="3"/>
      <c r="HW980" s="3"/>
      <c r="HX980" s="3"/>
      <c r="HY980" s="3"/>
      <c r="HZ980" s="3"/>
      <c r="IA980" s="3"/>
      <c r="IB980" s="3"/>
      <c r="IC980" s="3"/>
      <c r="ID980" s="3"/>
      <c r="IE980" s="3"/>
      <c r="IF980" s="3"/>
      <c r="IG980" s="3"/>
      <c r="IH980" s="3"/>
      <c r="II980" s="3"/>
      <c r="IJ980" s="3"/>
      <c r="IK980" s="3"/>
      <c r="IL980" s="3"/>
      <c r="IM980" s="3"/>
      <c r="IN980" s="3"/>
      <c r="IO980" s="3"/>
      <c r="IP980" s="3"/>
      <c r="IQ980" s="3"/>
      <c r="IR980" s="3"/>
      <c r="IS980" s="3"/>
      <c r="IT980" s="3"/>
      <c r="IU980" s="3"/>
      <c r="IV980" s="3"/>
    </row>
    <row r="981" spans="1:256" s="663" customFormat="1">
      <c r="A981" s="627"/>
      <c r="B981" s="962"/>
      <c r="C981" s="341" t="s">
        <v>1723</v>
      </c>
      <c r="D981" s="304" t="s">
        <v>1725</v>
      </c>
      <c r="E981" s="978">
        <v>5.36</v>
      </c>
      <c r="F981" s="28">
        <v>3</v>
      </c>
      <c r="G981" s="628">
        <f t="shared" si="6"/>
        <v>16.079999999999998</v>
      </c>
      <c r="I981" s="152"/>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c r="CW981" s="3"/>
      <c r="CX981" s="3"/>
      <c r="CY981" s="3"/>
      <c r="CZ981" s="3"/>
      <c r="DA981" s="3"/>
      <c r="DB981" s="3"/>
      <c r="DC981" s="3"/>
      <c r="DD981" s="3"/>
      <c r="DE981" s="3"/>
      <c r="DF981" s="3"/>
      <c r="DG981" s="3"/>
      <c r="DH981" s="3"/>
      <c r="DI981" s="3"/>
      <c r="DJ981" s="3"/>
      <c r="DK981" s="3"/>
      <c r="DL981" s="3"/>
      <c r="DM981" s="3"/>
      <c r="DN981" s="3"/>
      <c r="DO981" s="3"/>
      <c r="DP981" s="3"/>
      <c r="DQ981" s="3"/>
      <c r="DR981" s="3"/>
      <c r="DS981" s="3"/>
      <c r="DT981" s="3"/>
      <c r="DU981" s="3"/>
      <c r="DV981" s="3"/>
      <c r="DW981" s="3"/>
      <c r="DX981" s="3"/>
      <c r="DY981" s="3"/>
      <c r="DZ981" s="3"/>
      <c r="EA981" s="3"/>
      <c r="EB981" s="3"/>
      <c r="EC981" s="3"/>
      <c r="ED981" s="3"/>
      <c r="EE981" s="3"/>
      <c r="EF981" s="3"/>
      <c r="EG981" s="3"/>
      <c r="EH981" s="3"/>
      <c r="EI981" s="3"/>
      <c r="EJ981" s="3"/>
      <c r="EK981" s="3"/>
      <c r="EL981" s="3"/>
      <c r="EM981" s="3"/>
      <c r="EN981" s="3"/>
      <c r="EO981" s="3"/>
      <c r="EP981" s="3"/>
      <c r="EQ981" s="3"/>
      <c r="ER981" s="3"/>
      <c r="ES981" s="3"/>
      <c r="ET981" s="3"/>
      <c r="EU981" s="3"/>
      <c r="EV981" s="3"/>
      <c r="EW981" s="3"/>
      <c r="EX981" s="3"/>
      <c r="EY981" s="3"/>
      <c r="EZ981" s="3"/>
      <c r="FA981" s="3"/>
      <c r="FB981" s="3"/>
      <c r="FC981" s="3"/>
      <c r="FD981" s="3"/>
      <c r="FE981" s="3"/>
      <c r="FF981" s="3"/>
      <c r="FG981" s="3"/>
      <c r="FH981" s="3"/>
      <c r="FI981" s="3"/>
      <c r="FJ981" s="3"/>
      <c r="FK981" s="3"/>
      <c r="FL981" s="3"/>
      <c r="FM981" s="3"/>
      <c r="FN981" s="3"/>
      <c r="FO981" s="3"/>
      <c r="FP981" s="3"/>
      <c r="FQ981" s="3"/>
      <c r="FR981" s="3"/>
      <c r="FS981" s="3"/>
      <c r="FT981" s="3"/>
      <c r="FU981" s="3"/>
      <c r="FV981" s="3"/>
      <c r="FW981" s="3"/>
      <c r="FX981" s="3"/>
      <c r="FY981" s="3"/>
      <c r="FZ981" s="3"/>
      <c r="GA981" s="3"/>
      <c r="GB981" s="3"/>
      <c r="GC981" s="3"/>
      <c r="GD981" s="3"/>
      <c r="GE981" s="3"/>
      <c r="GF981" s="3"/>
      <c r="GG981" s="3"/>
      <c r="GH981" s="3"/>
      <c r="GI981" s="3"/>
      <c r="GJ981" s="3"/>
      <c r="GK981" s="3"/>
      <c r="GL981" s="3"/>
      <c r="GM981" s="3"/>
      <c r="GN981" s="3"/>
      <c r="GO981" s="3"/>
      <c r="GP981" s="3"/>
      <c r="GQ981" s="3"/>
      <c r="GR981" s="3"/>
      <c r="GS981" s="3"/>
      <c r="GT981" s="3"/>
      <c r="GU981" s="3"/>
      <c r="GV981" s="3"/>
      <c r="GW981" s="3"/>
      <c r="GX981" s="3"/>
      <c r="GY981" s="3"/>
      <c r="GZ981" s="3"/>
      <c r="HA981" s="3"/>
      <c r="HB981" s="3"/>
      <c r="HC981" s="3"/>
      <c r="HD981" s="3"/>
      <c r="HE981" s="3"/>
      <c r="HF981" s="3"/>
      <c r="HG981" s="3"/>
      <c r="HH981" s="3"/>
      <c r="HI981" s="3"/>
      <c r="HJ981" s="3"/>
      <c r="HK981" s="3"/>
      <c r="HL981" s="3"/>
      <c r="HM981" s="3"/>
      <c r="HN981" s="3"/>
      <c r="HO981" s="3"/>
      <c r="HP981" s="3"/>
      <c r="HQ981" s="3"/>
      <c r="HR981" s="3"/>
      <c r="HS981" s="3"/>
      <c r="HT981" s="3"/>
      <c r="HU981" s="3"/>
      <c r="HV981" s="3"/>
      <c r="HW981" s="3"/>
      <c r="HX981" s="3"/>
      <c r="HY981" s="3"/>
      <c r="HZ981" s="3"/>
      <c r="IA981" s="3"/>
      <c r="IB981" s="3"/>
      <c r="IC981" s="3"/>
      <c r="ID981" s="3"/>
      <c r="IE981" s="3"/>
      <c r="IF981" s="3"/>
      <c r="IG981" s="3"/>
      <c r="IH981" s="3"/>
      <c r="II981" s="3"/>
      <c r="IJ981" s="3"/>
      <c r="IK981" s="3"/>
      <c r="IL981" s="3"/>
      <c r="IM981" s="3"/>
      <c r="IN981" s="3"/>
      <c r="IO981" s="3"/>
      <c r="IP981" s="3"/>
      <c r="IQ981" s="3"/>
      <c r="IR981" s="3"/>
      <c r="IS981" s="3"/>
      <c r="IT981" s="3"/>
      <c r="IU981" s="3"/>
      <c r="IV981" s="3"/>
    </row>
    <row r="982" spans="1:256" s="663" customFormat="1">
      <c r="A982" s="627"/>
      <c r="B982" s="962"/>
      <c r="C982" s="341" t="s">
        <v>1724</v>
      </c>
      <c r="D982" s="304" t="s">
        <v>1726</v>
      </c>
      <c r="E982" s="978">
        <v>0.15</v>
      </c>
      <c r="F982" s="28">
        <v>129</v>
      </c>
      <c r="G982" s="628">
        <f t="shared" si="6"/>
        <v>19.350000000000001</v>
      </c>
      <c r="I982" s="152"/>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c r="CW982" s="3"/>
      <c r="CX982" s="3"/>
      <c r="CY982" s="3"/>
      <c r="CZ982" s="3"/>
      <c r="DA982" s="3"/>
      <c r="DB982" s="3"/>
      <c r="DC982" s="3"/>
      <c r="DD982" s="3"/>
      <c r="DE982" s="3"/>
      <c r="DF982" s="3"/>
      <c r="DG982" s="3"/>
      <c r="DH982" s="3"/>
      <c r="DI982" s="3"/>
      <c r="DJ982" s="3"/>
      <c r="DK982" s="3"/>
      <c r="DL982" s="3"/>
      <c r="DM982" s="3"/>
      <c r="DN982" s="3"/>
      <c r="DO982" s="3"/>
      <c r="DP982" s="3"/>
      <c r="DQ982" s="3"/>
      <c r="DR982" s="3"/>
      <c r="DS982" s="3"/>
      <c r="DT982" s="3"/>
      <c r="DU982" s="3"/>
      <c r="DV982" s="3"/>
      <c r="DW982" s="3"/>
      <c r="DX982" s="3"/>
      <c r="DY982" s="3"/>
      <c r="DZ982" s="3"/>
      <c r="EA982" s="3"/>
      <c r="EB982" s="3"/>
      <c r="EC982" s="3"/>
      <c r="ED982" s="3"/>
      <c r="EE982" s="3"/>
      <c r="EF982" s="3"/>
      <c r="EG982" s="3"/>
      <c r="EH982" s="3"/>
      <c r="EI982" s="3"/>
      <c r="EJ982" s="3"/>
      <c r="EK982" s="3"/>
      <c r="EL982" s="3"/>
      <c r="EM982" s="3"/>
      <c r="EN982" s="3"/>
      <c r="EO982" s="3"/>
      <c r="EP982" s="3"/>
      <c r="EQ982" s="3"/>
      <c r="ER982" s="3"/>
      <c r="ES982" s="3"/>
      <c r="ET982" s="3"/>
      <c r="EU982" s="3"/>
      <c r="EV982" s="3"/>
      <c r="EW982" s="3"/>
      <c r="EX982" s="3"/>
      <c r="EY982" s="3"/>
      <c r="EZ982" s="3"/>
      <c r="FA982" s="3"/>
      <c r="FB982" s="3"/>
      <c r="FC982" s="3"/>
      <c r="FD982" s="3"/>
      <c r="FE982" s="3"/>
      <c r="FF982" s="3"/>
      <c r="FG982" s="3"/>
      <c r="FH982" s="3"/>
      <c r="FI982" s="3"/>
      <c r="FJ982" s="3"/>
      <c r="FK982" s="3"/>
      <c r="FL982" s="3"/>
      <c r="FM982" s="3"/>
      <c r="FN982" s="3"/>
      <c r="FO982" s="3"/>
      <c r="FP982" s="3"/>
      <c r="FQ982" s="3"/>
      <c r="FR982" s="3"/>
      <c r="FS982" s="3"/>
      <c r="FT982" s="3"/>
      <c r="FU982" s="3"/>
      <c r="FV982" s="3"/>
      <c r="FW982" s="3"/>
      <c r="FX982" s="3"/>
      <c r="FY982" s="3"/>
      <c r="FZ982" s="3"/>
      <c r="GA982" s="3"/>
      <c r="GB982" s="3"/>
      <c r="GC982" s="3"/>
      <c r="GD982" s="3"/>
      <c r="GE982" s="3"/>
      <c r="GF982" s="3"/>
      <c r="GG982" s="3"/>
      <c r="GH982" s="3"/>
      <c r="GI982" s="3"/>
      <c r="GJ982" s="3"/>
      <c r="GK982" s="3"/>
      <c r="GL982" s="3"/>
      <c r="GM982" s="3"/>
      <c r="GN982" s="3"/>
      <c r="GO982" s="3"/>
      <c r="GP982" s="3"/>
      <c r="GQ982" s="3"/>
      <c r="GR982" s="3"/>
      <c r="GS982" s="3"/>
      <c r="GT982" s="3"/>
      <c r="GU982" s="3"/>
      <c r="GV982" s="3"/>
      <c r="GW982" s="3"/>
      <c r="GX982" s="3"/>
      <c r="GY982" s="3"/>
      <c r="GZ982" s="3"/>
      <c r="HA982" s="3"/>
      <c r="HB982" s="3"/>
      <c r="HC982" s="3"/>
      <c r="HD982" s="3"/>
      <c r="HE982" s="3"/>
      <c r="HF982" s="3"/>
      <c r="HG982" s="3"/>
      <c r="HH982" s="3"/>
      <c r="HI982" s="3"/>
      <c r="HJ982" s="3"/>
      <c r="HK982" s="3"/>
      <c r="HL982" s="3"/>
      <c r="HM982" s="3"/>
      <c r="HN982" s="3"/>
      <c r="HO982" s="3"/>
      <c r="HP982" s="3"/>
      <c r="HQ982" s="3"/>
      <c r="HR982" s="3"/>
      <c r="HS982" s="3"/>
      <c r="HT982" s="3"/>
      <c r="HU982" s="3"/>
      <c r="HV982" s="3"/>
      <c r="HW982" s="3"/>
      <c r="HX982" s="3"/>
      <c r="HY982" s="3"/>
      <c r="HZ982" s="3"/>
      <c r="IA982" s="3"/>
      <c r="IB982" s="3"/>
      <c r="IC982" s="3"/>
      <c r="ID982" s="3"/>
      <c r="IE982" s="3"/>
      <c r="IF982" s="3"/>
      <c r="IG982" s="3"/>
      <c r="IH982" s="3"/>
      <c r="II982" s="3"/>
      <c r="IJ982" s="3"/>
      <c r="IK982" s="3"/>
      <c r="IL982" s="3"/>
      <c r="IM982" s="3"/>
      <c r="IN982" s="3"/>
      <c r="IO982" s="3"/>
      <c r="IP982" s="3"/>
      <c r="IQ982" s="3"/>
      <c r="IR982" s="3"/>
      <c r="IS982" s="3"/>
      <c r="IT982" s="3"/>
      <c r="IU982" s="3"/>
      <c r="IV982" s="3"/>
    </row>
    <row r="983" spans="1:256" s="663" customFormat="1">
      <c r="A983" s="627"/>
      <c r="B983" s="962"/>
      <c r="C983" s="79" t="s">
        <v>1714</v>
      </c>
      <c r="D983" s="304"/>
      <c r="E983" s="978"/>
      <c r="F983" s="28"/>
      <c r="G983" s="628">
        <f t="shared" si="6"/>
        <v>0</v>
      </c>
      <c r="I983" s="152"/>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c r="CW983" s="3"/>
      <c r="CX983" s="3"/>
      <c r="CY983" s="3"/>
      <c r="CZ983" s="3"/>
      <c r="DA983" s="3"/>
      <c r="DB983" s="3"/>
      <c r="DC983" s="3"/>
      <c r="DD983" s="3"/>
      <c r="DE983" s="3"/>
      <c r="DF983" s="3"/>
      <c r="DG983" s="3"/>
      <c r="DH983" s="3"/>
      <c r="DI983" s="3"/>
      <c r="DJ983" s="3"/>
      <c r="DK983" s="3"/>
      <c r="DL983" s="3"/>
      <c r="DM983" s="3"/>
      <c r="DN983" s="3"/>
      <c r="DO983" s="3"/>
      <c r="DP983" s="3"/>
      <c r="DQ983" s="3"/>
      <c r="DR983" s="3"/>
      <c r="DS983" s="3"/>
      <c r="DT983" s="3"/>
      <c r="DU983" s="3"/>
      <c r="DV983" s="3"/>
      <c r="DW983" s="3"/>
      <c r="DX983" s="3"/>
      <c r="DY983" s="3"/>
      <c r="DZ983" s="3"/>
      <c r="EA983" s="3"/>
      <c r="EB983" s="3"/>
      <c r="EC983" s="3"/>
      <c r="ED983" s="3"/>
      <c r="EE983" s="3"/>
      <c r="EF983" s="3"/>
      <c r="EG983" s="3"/>
      <c r="EH983" s="3"/>
      <c r="EI983" s="3"/>
      <c r="EJ983" s="3"/>
      <c r="EK983" s="3"/>
      <c r="EL983" s="3"/>
      <c r="EM983" s="3"/>
      <c r="EN983" s="3"/>
      <c r="EO983" s="3"/>
      <c r="EP983" s="3"/>
      <c r="EQ983" s="3"/>
      <c r="ER983" s="3"/>
      <c r="ES983" s="3"/>
      <c r="ET983" s="3"/>
      <c r="EU983" s="3"/>
      <c r="EV983" s="3"/>
      <c r="EW983" s="3"/>
      <c r="EX983" s="3"/>
      <c r="EY983" s="3"/>
      <c r="EZ983" s="3"/>
      <c r="FA983" s="3"/>
      <c r="FB983" s="3"/>
      <c r="FC983" s="3"/>
      <c r="FD983" s="3"/>
      <c r="FE983" s="3"/>
      <c r="FF983" s="3"/>
      <c r="FG983" s="3"/>
      <c r="FH983" s="3"/>
      <c r="FI983" s="3"/>
      <c r="FJ983" s="3"/>
      <c r="FK983" s="3"/>
      <c r="FL983" s="3"/>
      <c r="FM983" s="3"/>
      <c r="FN983" s="3"/>
      <c r="FO983" s="3"/>
      <c r="FP983" s="3"/>
      <c r="FQ983" s="3"/>
      <c r="FR983" s="3"/>
      <c r="FS983" s="3"/>
      <c r="FT983" s="3"/>
      <c r="FU983" s="3"/>
      <c r="FV983" s="3"/>
      <c r="FW983" s="3"/>
      <c r="FX983" s="3"/>
      <c r="FY983" s="3"/>
      <c r="FZ983" s="3"/>
      <c r="GA983" s="3"/>
      <c r="GB983" s="3"/>
      <c r="GC983" s="3"/>
      <c r="GD983" s="3"/>
      <c r="GE983" s="3"/>
      <c r="GF983" s="3"/>
      <c r="GG983" s="3"/>
      <c r="GH983" s="3"/>
      <c r="GI983" s="3"/>
      <c r="GJ983" s="3"/>
      <c r="GK983" s="3"/>
      <c r="GL983" s="3"/>
      <c r="GM983" s="3"/>
      <c r="GN983" s="3"/>
      <c r="GO983" s="3"/>
      <c r="GP983" s="3"/>
      <c r="GQ983" s="3"/>
      <c r="GR983" s="3"/>
      <c r="GS983" s="3"/>
      <c r="GT983" s="3"/>
      <c r="GU983" s="3"/>
      <c r="GV983" s="3"/>
      <c r="GW983" s="3"/>
      <c r="GX983" s="3"/>
      <c r="GY983" s="3"/>
      <c r="GZ983" s="3"/>
      <c r="HA983" s="3"/>
      <c r="HB983" s="3"/>
      <c r="HC983" s="3"/>
      <c r="HD983" s="3"/>
      <c r="HE983" s="3"/>
      <c r="HF983" s="3"/>
      <c r="HG983" s="3"/>
      <c r="HH983" s="3"/>
      <c r="HI983" s="3"/>
      <c r="HJ983" s="3"/>
      <c r="HK983" s="3"/>
      <c r="HL983" s="3"/>
      <c r="HM983" s="3"/>
      <c r="HN983" s="3"/>
      <c r="HO983" s="3"/>
      <c r="HP983" s="3"/>
      <c r="HQ983" s="3"/>
      <c r="HR983" s="3"/>
      <c r="HS983" s="3"/>
      <c r="HT983" s="3"/>
      <c r="HU983" s="3"/>
      <c r="HV983" s="3"/>
      <c r="HW983" s="3"/>
      <c r="HX983" s="3"/>
      <c r="HY983" s="3"/>
      <c r="HZ983" s="3"/>
      <c r="IA983" s="3"/>
      <c r="IB983" s="3"/>
      <c r="IC983" s="3"/>
      <c r="ID983" s="3"/>
      <c r="IE983" s="3"/>
      <c r="IF983" s="3"/>
      <c r="IG983" s="3"/>
      <c r="IH983" s="3"/>
      <c r="II983" s="3"/>
      <c r="IJ983" s="3"/>
      <c r="IK983" s="3"/>
      <c r="IL983" s="3"/>
      <c r="IM983" s="3"/>
      <c r="IN983" s="3"/>
      <c r="IO983" s="3"/>
      <c r="IP983" s="3"/>
      <c r="IQ983" s="3"/>
      <c r="IR983" s="3"/>
      <c r="IS983" s="3"/>
      <c r="IT983" s="3"/>
      <c r="IU983" s="3"/>
      <c r="IV983" s="3"/>
    </row>
    <row r="984" spans="1:256" s="663" customFormat="1">
      <c r="A984" s="627"/>
      <c r="B984" s="962"/>
      <c r="C984" s="341" t="s">
        <v>1705</v>
      </c>
      <c r="D984" s="304" t="s">
        <v>1047</v>
      </c>
      <c r="E984" s="978">
        <v>0.12</v>
      </c>
      <c r="F984" s="28">
        <v>565</v>
      </c>
      <c r="G984" s="628">
        <f t="shared" si="6"/>
        <v>67.8</v>
      </c>
      <c r="I984" s="152"/>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c r="CW984" s="3"/>
      <c r="CX984" s="3"/>
      <c r="CY984" s="3"/>
      <c r="CZ984" s="3"/>
      <c r="DA984" s="3"/>
      <c r="DB984" s="3"/>
      <c r="DC984" s="3"/>
      <c r="DD984" s="3"/>
      <c r="DE984" s="3"/>
      <c r="DF984" s="3"/>
      <c r="DG984" s="3"/>
      <c r="DH984" s="3"/>
      <c r="DI984" s="3"/>
      <c r="DJ984" s="3"/>
      <c r="DK984" s="3"/>
      <c r="DL984" s="3"/>
      <c r="DM984" s="3"/>
      <c r="DN984" s="3"/>
      <c r="DO984" s="3"/>
      <c r="DP984" s="3"/>
      <c r="DQ984" s="3"/>
      <c r="DR984" s="3"/>
      <c r="DS984" s="3"/>
      <c r="DT984" s="3"/>
      <c r="DU984" s="3"/>
      <c r="DV984" s="3"/>
      <c r="DW984" s="3"/>
      <c r="DX984" s="3"/>
      <c r="DY984" s="3"/>
      <c r="DZ984" s="3"/>
      <c r="EA984" s="3"/>
      <c r="EB984" s="3"/>
      <c r="EC984" s="3"/>
      <c r="ED984" s="3"/>
      <c r="EE984" s="3"/>
      <c r="EF984" s="3"/>
      <c r="EG984" s="3"/>
      <c r="EH984" s="3"/>
      <c r="EI984" s="3"/>
      <c r="EJ984" s="3"/>
      <c r="EK984" s="3"/>
      <c r="EL984" s="3"/>
      <c r="EM984" s="3"/>
      <c r="EN984" s="3"/>
      <c r="EO984" s="3"/>
      <c r="EP984" s="3"/>
      <c r="EQ984" s="3"/>
      <c r="ER984" s="3"/>
      <c r="ES984" s="3"/>
      <c r="ET984" s="3"/>
      <c r="EU984" s="3"/>
      <c r="EV984" s="3"/>
      <c r="EW984" s="3"/>
      <c r="EX984" s="3"/>
      <c r="EY984" s="3"/>
      <c r="EZ984" s="3"/>
      <c r="FA984" s="3"/>
      <c r="FB984" s="3"/>
      <c r="FC984" s="3"/>
      <c r="FD984" s="3"/>
      <c r="FE984" s="3"/>
      <c r="FF984" s="3"/>
      <c r="FG984" s="3"/>
      <c r="FH984" s="3"/>
      <c r="FI984" s="3"/>
      <c r="FJ984" s="3"/>
      <c r="FK984" s="3"/>
      <c r="FL984" s="3"/>
      <c r="FM984" s="3"/>
      <c r="FN984" s="3"/>
      <c r="FO984" s="3"/>
      <c r="FP984" s="3"/>
      <c r="FQ984" s="3"/>
      <c r="FR984" s="3"/>
      <c r="FS984" s="3"/>
      <c r="FT984" s="3"/>
      <c r="FU984" s="3"/>
      <c r="FV984" s="3"/>
      <c r="FW984" s="3"/>
      <c r="FX984" s="3"/>
      <c r="FY984" s="3"/>
      <c r="FZ984" s="3"/>
      <c r="GA984" s="3"/>
      <c r="GB984" s="3"/>
      <c r="GC984" s="3"/>
      <c r="GD984" s="3"/>
      <c r="GE984" s="3"/>
      <c r="GF984" s="3"/>
      <c r="GG984" s="3"/>
      <c r="GH984" s="3"/>
      <c r="GI984" s="3"/>
      <c r="GJ984" s="3"/>
      <c r="GK984" s="3"/>
      <c r="GL984" s="3"/>
      <c r="GM984" s="3"/>
      <c r="GN984" s="3"/>
      <c r="GO984" s="3"/>
      <c r="GP984" s="3"/>
      <c r="GQ984" s="3"/>
      <c r="GR984" s="3"/>
      <c r="GS984" s="3"/>
      <c r="GT984" s="3"/>
      <c r="GU984" s="3"/>
      <c r="GV984" s="3"/>
      <c r="GW984" s="3"/>
      <c r="GX984" s="3"/>
      <c r="GY984" s="3"/>
      <c r="GZ984" s="3"/>
      <c r="HA984" s="3"/>
      <c r="HB984" s="3"/>
      <c r="HC984" s="3"/>
      <c r="HD984" s="3"/>
      <c r="HE984" s="3"/>
      <c r="HF984" s="3"/>
      <c r="HG984" s="3"/>
      <c r="HH984" s="3"/>
      <c r="HI984" s="3"/>
      <c r="HJ984" s="3"/>
      <c r="HK984" s="3"/>
      <c r="HL984" s="3"/>
      <c r="HM984" s="3"/>
      <c r="HN984" s="3"/>
      <c r="HO984" s="3"/>
      <c r="HP984" s="3"/>
      <c r="HQ984" s="3"/>
      <c r="HR984" s="3"/>
      <c r="HS984" s="3"/>
      <c r="HT984" s="3"/>
      <c r="HU984" s="3"/>
      <c r="HV984" s="3"/>
      <c r="HW984" s="3"/>
      <c r="HX984" s="3"/>
      <c r="HY984" s="3"/>
      <c r="HZ984" s="3"/>
      <c r="IA984" s="3"/>
      <c r="IB984" s="3"/>
      <c r="IC984" s="3"/>
      <c r="ID984" s="3"/>
      <c r="IE984" s="3"/>
      <c r="IF984" s="3"/>
      <c r="IG984" s="3"/>
      <c r="IH984" s="3"/>
      <c r="II984" s="3"/>
      <c r="IJ984" s="3"/>
      <c r="IK984" s="3"/>
      <c r="IL984" s="3"/>
      <c r="IM984" s="3"/>
      <c r="IN984" s="3"/>
      <c r="IO984" s="3"/>
      <c r="IP984" s="3"/>
      <c r="IQ984" s="3"/>
      <c r="IR984" s="3"/>
      <c r="IS984" s="3"/>
      <c r="IT984" s="3"/>
      <c r="IU984" s="3"/>
      <c r="IV984" s="3"/>
    </row>
    <row r="985" spans="1:256" s="663" customFormat="1">
      <c r="A985" s="627"/>
      <c r="B985" s="962"/>
      <c r="C985" s="341" t="s">
        <v>1706</v>
      </c>
      <c r="D985" s="304" t="s">
        <v>1047</v>
      </c>
      <c r="E985" s="978">
        <v>0.12</v>
      </c>
      <c r="F985" s="28">
        <v>440</v>
      </c>
      <c r="G985" s="628">
        <f t="shared" si="6"/>
        <v>52.8</v>
      </c>
      <c r="I985" s="152"/>
      <c r="J985" s="3"/>
      <c r="K985" s="3"/>
      <c r="L985" s="3"/>
      <c r="M985" s="3"/>
      <c r="N985" s="3"/>
      <c r="O985" s="3"/>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c r="AY985" s="3"/>
      <c r="AZ985" s="3"/>
      <c r="BA985" s="3"/>
      <c r="BB985" s="3"/>
      <c r="BC985" s="3"/>
      <c r="BD985" s="3"/>
      <c r="BE985" s="3"/>
      <c r="BF985" s="3"/>
      <c r="BG985" s="3"/>
      <c r="BH985" s="3"/>
      <c r="BI985" s="3"/>
      <c r="BJ985" s="3"/>
      <c r="BK985" s="3"/>
      <c r="BL985" s="3"/>
      <c r="BM985" s="3"/>
      <c r="BN985" s="3"/>
      <c r="BO985" s="3"/>
      <c r="BP985" s="3"/>
      <c r="BQ985" s="3"/>
      <c r="BR985" s="3"/>
      <c r="BS985" s="3"/>
      <c r="BT985" s="3"/>
      <c r="BU985" s="3"/>
      <c r="BV985" s="3"/>
      <c r="BW985" s="3"/>
      <c r="BX985" s="3"/>
      <c r="BY985" s="3"/>
      <c r="BZ985" s="3"/>
      <c r="CA985" s="3"/>
      <c r="CB985" s="3"/>
      <c r="CC985" s="3"/>
      <c r="CD985" s="3"/>
      <c r="CE985" s="3"/>
      <c r="CF985" s="3"/>
      <c r="CG985" s="3"/>
      <c r="CH985" s="3"/>
      <c r="CI985" s="3"/>
      <c r="CJ985" s="3"/>
      <c r="CK985" s="3"/>
      <c r="CL985" s="3"/>
      <c r="CM985" s="3"/>
      <c r="CN985" s="3"/>
      <c r="CO985" s="3"/>
      <c r="CP985" s="3"/>
      <c r="CQ985" s="3"/>
      <c r="CR985" s="3"/>
      <c r="CS985" s="3"/>
      <c r="CT985" s="3"/>
      <c r="CU985" s="3"/>
      <c r="CV985" s="3"/>
      <c r="CW985" s="3"/>
      <c r="CX985" s="3"/>
      <c r="CY985" s="3"/>
      <c r="CZ985" s="3"/>
      <c r="DA985" s="3"/>
      <c r="DB985" s="3"/>
      <c r="DC985" s="3"/>
      <c r="DD985" s="3"/>
      <c r="DE985" s="3"/>
      <c r="DF985" s="3"/>
      <c r="DG985" s="3"/>
      <c r="DH985" s="3"/>
      <c r="DI985" s="3"/>
      <c r="DJ985" s="3"/>
      <c r="DK985" s="3"/>
      <c r="DL985" s="3"/>
      <c r="DM985" s="3"/>
      <c r="DN985" s="3"/>
      <c r="DO985" s="3"/>
      <c r="DP985" s="3"/>
      <c r="DQ985" s="3"/>
      <c r="DR985" s="3"/>
      <c r="DS985" s="3"/>
      <c r="DT985" s="3"/>
      <c r="DU985" s="3"/>
      <c r="DV985" s="3"/>
      <c r="DW985" s="3"/>
      <c r="DX985" s="3"/>
      <c r="DY985" s="3"/>
      <c r="DZ985" s="3"/>
      <c r="EA985" s="3"/>
      <c r="EB985" s="3"/>
      <c r="EC985" s="3"/>
      <c r="ED985" s="3"/>
      <c r="EE985" s="3"/>
      <c r="EF985" s="3"/>
      <c r="EG985" s="3"/>
      <c r="EH985" s="3"/>
      <c r="EI985" s="3"/>
      <c r="EJ985" s="3"/>
      <c r="EK985" s="3"/>
      <c r="EL985" s="3"/>
      <c r="EM985" s="3"/>
      <c r="EN985" s="3"/>
      <c r="EO985" s="3"/>
      <c r="EP985" s="3"/>
      <c r="EQ985" s="3"/>
      <c r="ER985" s="3"/>
      <c r="ES985" s="3"/>
      <c r="ET985" s="3"/>
      <c r="EU985" s="3"/>
      <c r="EV985" s="3"/>
      <c r="EW985" s="3"/>
      <c r="EX985" s="3"/>
      <c r="EY985" s="3"/>
      <c r="EZ985" s="3"/>
      <c r="FA985" s="3"/>
      <c r="FB985" s="3"/>
      <c r="FC985" s="3"/>
      <c r="FD985" s="3"/>
      <c r="FE985" s="3"/>
      <c r="FF985" s="3"/>
      <c r="FG985" s="3"/>
      <c r="FH985" s="3"/>
      <c r="FI985" s="3"/>
      <c r="FJ985" s="3"/>
      <c r="FK985" s="3"/>
      <c r="FL985" s="3"/>
      <c r="FM985" s="3"/>
      <c r="FN985" s="3"/>
      <c r="FO985" s="3"/>
      <c r="FP985" s="3"/>
      <c r="FQ985" s="3"/>
      <c r="FR985" s="3"/>
      <c r="FS985" s="3"/>
      <c r="FT985" s="3"/>
      <c r="FU985" s="3"/>
      <c r="FV985" s="3"/>
      <c r="FW985" s="3"/>
      <c r="FX985" s="3"/>
      <c r="FY985" s="3"/>
      <c r="FZ985" s="3"/>
      <c r="GA985" s="3"/>
      <c r="GB985" s="3"/>
      <c r="GC985" s="3"/>
      <c r="GD985" s="3"/>
      <c r="GE985" s="3"/>
      <c r="GF985" s="3"/>
      <c r="GG985" s="3"/>
      <c r="GH985" s="3"/>
      <c r="GI985" s="3"/>
      <c r="GJ985" s="3"/>
      <c r="GK985" s="3"/>
      <c r="GL985" s="3"/>
      <c r="GM985" s="3"/>
      <c r="GN985" s="3"/>
      <c r="GO985" s="3"/>
      <c r="GP985" s="3"/>
      <c r="GQ985" s="3"/>
      <c r="GR985" s="3"/>
      <c r="GS985" s="3"/>
      <c r="GT985" s="3"/>
      <c r="GU985" s="3"/>
      <c r="GV985" s="3"/>
      <c r="GW985" s="3"/>
      <c r="GX985" s="3"/>
      <c r="GY985" s="3"/>
      <c r="GZ985" s="3"/>
      <c r="HA985" s="3"/>
      <c r="HB985" s="3"/>
      <c r="HC985" s="3"/>
      <c r="HD985" s="3"/>
      <c r="HE985" s="3"/>
      <c r="HF985" s="3"/>
      <c r="HG985" s="3"/>
      <c r="HH985" s="3"/>
      <c r="HI985" s="3"/>
      <c r="HJ985" s="3"/>
      <c r="HK985" s="3"/>
      <c r="HL985" s="3"/>
      <c r="HM985" s="3"/>
      <c r="HN985" s="3"/>
      <c r="HO985" s="3"/>
      <c r="HP985" s="3"/>
      <c r="HQ985" s="3"/>
      <c r="HR985" s="3"/>
      <c r="HS985" s="3"/>
      <c r="HT985" s="3"/>
      <c r="HU985" s="3"/>
      <c r="HV985" s="3"/>
      <c r="HW985" s="3"/>
      <c r="HX985" s="3"/>
      <c r="HY985" s="3"/>
      <c r="HZ985" s="3"/>
      <c r="IA985" s="3"/>
      <c r="IB985" s="3"/>
      <c r="IC985" s="3"/>
      <c r="ID985" s="3"/>
      <c r="IE985" s="3"/>
      <c r="IF985" s="3"/>
      <c r="IG985" s="3"/>
      <c r="IH985" s="3"/>
      <c r="II985" s="3"/>
      <c r="IJ985" s="3"/>
      <c r="IK985" s="3"/>
      <c r="IL985" s="3"/>
      <c r="IM985" s="3"/>
      <c r="IN985" s="3"/>
      <c r="IO985" s="3"/>
      <c r="IP985" s="3"/>
      <c r="IQ985" s="3"/>
      <c r="IR985" s="3"/>
      <c r="IS985" s="3"/>
      <c r="IT985" s="3"/>
      <c r="IU985" s="3"/>
      <c r="IV985" s="3"/>
    </row>
    <row r="986" spans="1:256" s="663" customFormat="1">
      <c r="A986" s="627"/>
      <c r="B986" s="962"/>
      <c r="C986" s="341" t="s">
        <v>95</v>
      </c>
      <c r="D986" s="304" t="s">
        <v>1047</v>
      </c>
      <c r="E986" s="978">
        <v>2.4E-2</v>
      </c>
      <c r="F986" s="28">
        <v>515</v>
      </c>
      <c r="G986" s="628">
        <f t="shared" si="6"/>
        <v>12.36</v>
      </c>
      <c r="I986" s="152"/>
      <c r="J986" s="3"/>
      <c r="K986" s="3"/>
      <c r="L986" s="3"/>
      <c r="M986" s="3"/>
      <c r="N986" s="3"/>
      <c r="O986" s="3"/>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c r="AY986" s="3"/>
      <c r="AZ986" s="3"/>
      <c r="BA986" s="3"/>
      <c r="BB986" s="3"/>
      <c r="BC986" s="3"/>
      <c r="BD986" s="3"/>
      <c r="BE986" s="3"/>
      <c r="BF986" s="3"/>
      <c r="BG986" s="3"/>
      <c r="BH986" s="3"/>
      <c r="BI986" s="3"/>
      <c r="BJ986" s="3"/>
      <c r="BK986" s="3"/>
      <c r="BL986" s="3"/>
      <c r="BM986" s="3"/>
      <c r="BN986" s="3"/>
      <c r="BO986" s="3"/>
      <c r="BP986" s="3"/>
      <c r="BQ986" s="3"/>
      <c r="BR986" s="3"/>
      <c r="BS986" s="3"/>
      <c r="BT986" s="3"/>
      <c r="BU986" s="3"/>
      <c r="BV986" s="3"/>
      <c r="BW986" s="3"/>
      <c r="BX986" s="3"/>
      <c r="BY986" s="3"/>
      <c r="BZ986" s="3"/>
      <c r="CA986" s="3"/>
      <c r="CB986" s="3"/>
      <c r="CC986" s="3"/>
      <c r="CD986" s="3"/>
      <c r="CE986" s="3"/>
      <c r="CF986" s="3"/>
      <c r="CG986" s="3"/>
      <c r="CH986" s="3"/>
      <c r="CI986" s="3"/>
      <c r="CJ986" s="3"/>
      <c r="CK986" s="3"/>
      <c r="CL986" s="3"/>
      <c r="CM986" s="3"/>
      <c r="CN986" s="3"/>
      <c r="CO986" s="3"/>
      <c r="CP986" s="3"/>
      <c r="CQ986" s="3"/>
      <c r="CR986" s="3"/>
      <c r="CS986" s="3"/>
      <c r="CT986" s="3"/>
      <c r="CU986" s="3"/>
      <c r="CV986" s="3"/>
      <c r="CW986" s="3"/>
      <c r="CX986" s="3"/>
      <c r="CY986" s="3"/>
      <c r="CZ986" s="3"/>
      <c r="DA986" s="3"/>
      <c r="DB986" s="3"/>
      <c r="DC986" s="3"/>
      <c r="DD986" s="3"/>
      <c r="DE986" s="3"/>
      <c r="DF986" s="3"/>
      <c r="DG986" s="3"/>
      <c r="DH986" s="3"/>
      <c r="DI986" s="3"/>
      <c r="DJ986" s="3"/>
      <c r="DK986" s="3"/>
      <c r="DL986" s="3"/>
      <c r="DM986" s="3"/>
      <c r="DN986" s="3"/>
      <c r="DO986" s="3"/>
      <c r="DP986" s="3"/>
      <c r="DQ986" s="3"/>
      <c r="DR986" s="3"/>
      <c r="DS986" s="3"/>
      <c r="DT986" s="3"/>
      <c r="DU986" s="3"/>
      <c r="DV986" s="3"/>
      <c r="DW986" s="3"/>
      <c r="DX986" s="3"/>
      <c r="DY986" s="3"/>
      <c r="DZ986" s="3"/>
      <c r="EA986" s="3"/>
      <c r="EB986" s="3"/>
      <c r="EC986" s="3"/>
      <c r="ED986" s="3"/>
      <c r="EE986" s="3"/>
      <c r="EF986" s="3"/>
      <c r="EG986" s="3"/>
      <c r="EH986" s="3"/>
      <c r="EI986" s="3"/>
      <c r="EJ986" s="3"/>
      <c r="EK986" s="3"/>
      <c r="EL986" s="3"/>
      <c r="EM986" s="3"/>
      <c r="EN986" s="3"/>
      <c r="EO986" s="3"/>
      <c r="EP986" s="3"/>
      <c r="EQ986" s="3"/>
      <c r="ER986" s="3"/>
      <c r="ES986" s="3"/>
      <c r="ET986" s="3"/>
      <c r="EU986" s="3"/>
      <c r="EV986" s="3"/>
      <c r="EW986" s="3"/>
      <c r="EX986" s="3"/>
      <c r="EY986" s="3"/>
      <c r="EZ986" s="3"/>
      <c r="FA986" s="3"/>
      <c r="FB986" s="3"/>
      <c r="FC986" s="3"/>
      <c r="FD986" s="3"/>
      <c r="FE986" s="3"/>
      <c r="FF986" s="3"/>
      <c r="FG986" s="3"/>
      <c r="FH986" s="3"/>
      <c r="FI986" s="3"/>
      <c r="FJ986" s="3"/>
      <c r="FK986" s="3"/>
      <c r="FL986" s="3"/>
      <c r="FM986" s="3"/>
      <c r="FN986" s="3"/>
      <c r="FO986" s="3"/>
      <c r="FP986" s="3"/>
      <c r="FQ986" s="3"/>
      <c r="FR986" s="3"/>
      <c r="FS986" s="3"/>
      <c r="FT986" s="3"/>
      <c r="FU986" s="3"/>
      <c r="FV986" s="3"/>
      <c r="FW986" s="3"/>
      <c r="FX986" s="3"/>
      <c r="FY986" s="3"/>
      <c r="FZ986" s="3"/>
      <c r="GA986" s="3"/>
      <c r="GB986" s="3"/>
      <c r="GC986" s="3"/>
      <c r="GD986" s="3"/>
      <c r="GE986" s="3"/>
      <c r="GF986" s="3"/>
      <c r="GG986" s="3"/>
      <c r="GH986" s="3"/>
      <c r="GI986" s="3"/>
      <c r="GJ986" s="3"/>
      <c r="GK986" s="3"/>
      <c r="GL986" s="3"/>
      <c r="GM986" s="3"/>
      <c r="GN986" s="3"/>
      <c r="GO986" s="3"/>
      <c r="GP986" s="3"/>
      <c r="GQ986" s="3"/>
      <c r="GR986" s="3"/>
      <c r="GS986" s="3"/>
      <c r="GT986" s="3"/>
      <c r="GU986" s="3"/>
      <c r="GV986" s="3"/>
      <c r="GW986" s="3"/>
      <c r="GX986" s="3"/>
      <c r="GY986" s="3"/>
      <c r="GZ986" s="3"/>
      <c r="HA986" s="3"/>
      <c r="HB986" s="3"/>
      <c r="HC986" s="3"/>
      <c r="HD986" s="3"/>
      <c r="HE986" s="3"/>
      <c r="HF986" s="3"/>
      <c r="HG986" s="3"/>
      <c r="HH986" s="3"/>
      <c r="HI986" s="3"/>
      <c r="HJ986" s="3"/>
      <c r="HK986" s="3"/>
      <c r="HL986" s="3"/>
      <c r="HM986" s="3"/>
      <c r="HN986" s="3"/>
      <c r="HO986" s="3"/>
      <c r="HP986" s="3"/>
      <c r="HQ986" s="3"/>
      <c r="HR986" s="3"/>
      <c r="HS986" s="3"/>
      <c r="HT986" s="3"/>
      <c r="HU986" s="3"/>
      <c r="HV986" s="3"/>
      <c r="HW986" s="3"/>
      <c r="HX986" s="3"/>
      <c r="HY986" s="3"/>
      <c r="HZ986" s="3"/>
      <c r="IA986" s="3"/>
      <c r="IB986" s="3"/>
      <c r="IC986" s="3"/>
      <c r="ID986" s="3"/>
      <c r="IE986" s="3"/>
      <c r="IF986" s="3"/>
      <c r="IG986" s="3"/>
      <c r="IH986" s="3"/>
      <c r="II986" s="3"/>
      <c r="IJ986" s="3"/>
      <c r="IK986" s="3"/>
      <c r="IL986" s="3"/>
      <c r="IM986" s="3"/>
      <c r="IN986" s="3"/>
      <c r="IO986" s="3"/>
      <c r="IP986" s="3"/>
      <c r="IQ986" s="3"/>
      <c r="IR986" s="3"/>
      <c r="IS986" s="3"/>
      <c r="IT986" s="3"/>
      <c r="IU986" s="3"/>
      <c r="IV986" s="3"/>
    </row>
    <row r="987" spans="1:256" s="663" customFormat="1">
      <c r="A987" s="627"/>
      <c r="B987" s="962"/>
      <c r="C987" s="341" t="s">
        <v>1707</v>
      </c>
      <c r="D987" s="304" t="s">
        <v>1047</v>
      </c>
      <c r="E987" s="978">
        <v>2.4E-2</v>
      </c>
      <c r="F987" s="28">
        <v>540</v>
      </c>
      <c r="G987" s="628">
        <f t="shared" si="6"/>
        <v>12.96</v>
      </c>
      <c r="I987" s="152"/>
      <c r="J987" s="3"/>
      <c r="K987" s="3"/>
      <c r="L987" s="3"/>
      <c r="M987" s="3"/>
      <c r="N987" s="3"/>
      <c r="O987" s="3"/>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c r="AY987" s="3"/>
      <c r="AZ987" s="3"/>
      <c r="BA987" s="3"/>
      <c r="BB987" s="3"/>
      <c r="BC987" s="3"/>
      <c r="BD987" s="3"/>
      <c r="BE987" s="3"/>
      <c r="BF987" s="3"/>
      <c r="BG987" s="3"/>
      <c r="BH987" s="3"/>
      <c r="BI987" s="3"/>
      <c r="BJ987" s="3"/>
      <c r="BK987" s="3"/>
      <c r="BL987" s="3"/>
      <c r="BM987" s="3"/>
      <c r="BN987" s="3"/>
      <c r="BO987" s="3"/>
      <c r="BP987" s="3"/>
      <c r="BQ987" s="3"/>
      <c r="BR987" s="3"/>
      <c r="BS987" s="3"/>
      <c r="BT987" s="3"/>
      <c r="BU987" s="3"/>
      <c r="BV987" s="3"/>
      <c r="BW987" s="3"/>
      <c r="BX987" s="3"/>
      <c r="BY987" s="3"/>
      <c r="BZ987" s="3"/>
      <c r="CA987" s="3"/>
      <c r="CB987" s="3"/>
      <c r="CC987" s="3"/>
      <c r="CD987" s="3"/>
      <c r="CE987" s="3"/>
      <c r="CF987" s="3"/>
      <c r="CG987" s="3"/>
      <c r="CH987" s="3"/>
      <c r="CI987" s="3"/>
      <c r="CJ987" s="3"/>
      <c r="CK987" s="3"/>
      <c r="CL987" s="3"/>
      <c r="CM987" s="3"/>
      <c r="CN987" s="3"/>
      <c r="CO987" s="3"/>
      <c r="CP987" s="3"/>
      <c r="CQ987" s="3"/>
      <c r="CR987" s="3"/>
      <c r="CS987" s="3"/>
      <c r="CT987" s="3"/>
      <c r="CU987" s="3"/>
      <c r="CV987" s="3"/>
      <c r="CW987" s="3"/>
      <c r="CX987" s="3"/>
      <c r="CY987" s="3"/>
      <c r="CZ987" s="3"/>
      <c r="DA987" s="3"/>
      <c r="DB987" s="3"/>
      <c r="DC987" s="3"/>
      <c r="DD987" s="3"/>
      <c r="DE987" s="3"/>
      <c r="DF987" s="3"/>
      <c r="DG987" s="3"/>
      <c r="DH987" s="3"/>
      <c r="DI987" s="3"/>
      <c r="DJ987" s="3"/>
      <c r="DK987" s="3"/>
      <c r="DL987" s="3"/>
      <c r="DM987" s="3"/>
      <c r="DN987" s="3"/>
      <c r="DO987" s="3"/>
      <c r="DP987" s="3"/>
      <c r="DQ987" s="3"/>
      <c r="DR987" s="3"/>
      <c r="DS987" s="3"/>
      <c r="DT987" s="3"/>
      <c r="DU987" s="3"/>
      <c r="DV987" s="3"/>
      <c r="DW987" s="3"/>
      <c r="DX987" s="3"/>
      <c r="DY987" s="3"/>
      <c r="DZ987" s="3"/>
      <c r="EA987" s="3"/>
      <c r="EB987" s="3"/>
      <c r="EC987" s="3"/>
      <c r="ED987" s="3"/>
      <c r="EE987" s="3"/>
      <c r="EF987" s="3"/>
      <c r="EG987" s="3"/>
      <c r="EH987" s="3"/>
      <c r="EI987" s="3"/>
      <c r="EJ987" s="3"/>
      <c r="EK987" s="3"/>
      <c r="EL987" s="3"/>
      <c r="EM987" s="3"/>
      <c r="EN987" s="3"/>
      <c r="EO987" s="3"/>
      <c r="EP987" s="3"/>
      <c r="EQ987" s="3"/>
      <c r="ER987" s="3"/>
      <c r="ES987" s="3"/>
      <c r="ET987" s="3"/>
      <c r="EU987" s="3"/>
      <c r="EV987" s="3"/>
      <c r="EW987" s="3"/>
      <c r="EX987" s="3"/>
      <c r="EY987" s="3"/>
      <c r="EZ987" s="3"/>
      <c r="FA987" s="3"/>
      <c r="FB987" s="3"/>
      <c r="FC987" s="3"/>
      <c r="FD987" s="3"/>
      <c r="FE987" s="3"/>
      <c r="FF987" s="3"/>
      <c r="FG987" s="3"/>
      <c r="FH987" s="3"/>
      <c r="FI987" s="3"/>
      <c r="FJ987" s="3"/>
      <c r="FK987" s="3"/>
      <c r="FL987" s="3"/>
      <c r="FM987" s="3"/>
      <c r="FN987" s="3"/>
      <c r="FO987" s="3"/>
      <c r="FP987" s="3"/>
      <c r="FQ987" s="3"/>
      <c r="FR987" s="3"/>
      <c r="FS987" s="3"/>
      <c r="FT987" s="3"/>
      <c r="FU987" s="3"/>
      <c r="FV987" s="3"/>
      <c r="FW987" s="3"/>
      <c r="FX987" s="3"/>
      <c r="FY987" s="3"/>
      <c r="FZ987" s="3"/>
      <c r="GA987" s="3"/>
      <c r="GB987" s="3"/>
      <c r="GC987" s="3"/>
      <c r="GD987" s="3"/>
      <c r="GE987" s="3"/>
      <c r="GF987" s="3"/>
      <c r="GG987" s="3"/>
      <c r="GH987" s="3"/>
      <c r="GI987" s="3"/>
      <c r="GJ987" s="3"/>
      <c r="GK987" s="3"/>
      <c r="GL987" s="3"/>
      <c r="GM987" s="3"/>
      <c r="GN987" s="3"/>
      <c r="GO987" s="3"/>
      <c r="GP987" s="3"/>
      <c r="GQ987" s="3"/>
      <c r="GR987" s="3"/>
      <c r="GS987" s="3"/>
      <c r="GT987" s="3"/>
      <c r="GU987" s="3"/>
      <c r="GV987" s="3"/>
      <c r="GW987" s="3"/>
      <c r="GX987" s="3"/>
      <c r="GY987" s="3"/>
      <c r="GZ987" s="3"/>
      <c r="HA987" s="3"/>
      <c r="HB987" s="3"/>
      <c r="HC987" s="3"/>
      <c r="HD987" s="3"/>
      <c r="HE987" s="3"/>
      <c r="HF987" s="3"/>
      <c r="HG987" s="3"/>
      <c r="HH987" s="3"/>
      <c r="HI987" s="3"/>
      <c r="HJ987" s="3"/>
      <c r="HK987" s="3"/>
      <c r="HL987" s="3"/>
      <c r="HM987" s="3"/>
      <c r="HN987" s="3"/>
      <c r="HO987" s="3"/>
      <c r="HP987" s="3"/>
      <c r="HQ987" s="3"/>
      <c r="HR987" s="3"/>
      <c r="HS987" s="3"/>
      <c r="HT987" s="3"/>
      <c r="HU987" s="3"/>
      <c r="HV987" s="3"/>
      <c r="HW987" s="3"/>
      <c r="HX987" s="3"/>
      <c r="HY987" s="3"/>
      <c r="HZ987" s="3"/>
      <c r="IA987" s="3"/>
      <c r="IB987" s="3"/>
      <c r="IC987" s="3"/>
      <c r="ID987" s="3"/>
      <c r="IE987" s="3"/>
      <c r="IF987" s="3"/>
      <c r="IG987" s="3"/>
      <c r="IH987" s="3"/>
      <c r="II987" s="3"/>
      <c r="IJ987" s="3"/>
      <c r="IK987" s="3"/>
      <c r="IL987" s="3"/>
      <c r="IM987" s="3"/>
      <c r="IN987" s="3"/>
      <c r="IO987" s="3"/>
      <c r="IP987" s="3"/>
      <c r="IQ987" s="3"/>
      <c r="IR987" s="3"/>
      <c r="IS987" s="3"/>
      <c r="IT987" s="3"/>
      <c r="IU987" s="3"/>
      <c r="IV987" s="3"/>
    </row>
    <row r="988" spans="1:256" s="663" customFormat="1">
      <c r="A988" s="627"/>
      <c r="B988" s="962"/>
      <c r="C988" s="341" t="s">
        <v>1708</v>
      </c>
      <c r="D988" s="304" t="s">
        <v>1047</v>
      </c>
      <c r="E988" s="978">
        <v>1.2E-2</v>
      </c>
      <c r="F988" s="28">
        <v>440</v>
      </c>
      <c r="G988" s="628">
        <f t="shared" si="6"/>
        <v>5.28</v>
      </c>
      <c r="I988" s="152"/>
      <c r="J988" s="3"/>
      <c r="K988" s="3"/>
      <c r="L988" s="3"/>
      <c r="M988" s="3"/>
      <c r="N988" s="3"/>
      <c r="O988" s="3"/>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c r="AY988" s="3"/>
      <c r="AZ988" s="3"/>
      <c r="BA988" s="3"/>
      <c r="BB988" s="3"/>
      <c r="BC988" s="3"/>
      <c r="BD988" s="3"/>
      <c r="BE988" s="3"/>
      <c r="BF988" s="3"/>
      <c r="BG988" s="3"/>
      <c r="BH988" s="3"/>
      <c r="BI988" s="3"/>
      <c r="BJ988" s="3"/>
      <c r="BK988" s="3"/>
      <c r="BL988" s="3"/>
      <c r="BM988" s="3"/>
      <c r="BN988" s="3"/>
      <c r="BO988" s="3"/>
      <c r="BP988" s="3"/>
      <c r="BQ988" s="3"/>
      <c r="BR988" s="3"/>
      <c r="BS988" s="3"/>
      <c r="BT988" s="3"/>
      <c r="BU988" s="3"/>
      <c r="BV988" s="3"/>
      <c r="BW988" s="3"/>
      <c r="BX988" s="3"/>
      <c r="BY988" s="3"/>
      <c r="BZ988" s="3"/>
      <c r="CA988" s="3"/>
      <c r="CB988" s="3"/>
      <c r="CC988" s="3"/>
      <c r="CD988" s="3"/>
      <c r="CE988" s="3"/>
      <c r="CF988" s="3"/>
      <c r="CG988" s="3"/>
      <c r="CH988" s="3"/>
      <c r="CI988" s="3"/>
      <c r="CJ988" s="3"/>
      <c r="CK988" s="3"/>
      <c r="CL988" s="3"/>
      <c r="CM988" s="3"/>
      <c r="CN988" s="3"/>
      <c r="CO988" s="3"/>
      <c r="CP988" s="3"/>
      <c r="CQ988" s="3"/>
      <c r="CR988" s="3"/>
      <c r="CS988" s="3"/>
      <c r="CT988" s="3"/>
      <c r="CU988" s="3"/>
      <c r="CV988" s="3"/>
      <c r="CW988" s="3"/>
      <c r="CX988" s="3"/>
      <c r="CY988" s="3"/>
      <c r="CZ988" s="3"/>
      <c r="DA988" s="3"/>
      <c r="DB988" s="3"/>
      <c r="DC988" s="3"/>
      <c r="DD988" s="3"/>
      <c r="DE988" s="3"/>
      <c r="DF988" s="3"/>
      <c r="DG988" s="3"/>
      <c r="DH988" s="3"/>
      <c r="DI988" s="3"/>
      <c r="DJ988" s="3"/>
      <c r="DK988" s="3"/>
      <c r="DL988" s="3"/>
      <c r="DM988" s="3"/>
      <c r="DN988" s="3"/>
      <c r="DO988" s="3"/>
      <c r="DP988" s="3"/>
      <c r="DQ988" s="3"/>
      <c r="DR988" s="3"/>
      <c r="DS988" s="3"/>
      <c r="DT988" s="3"/>
      <c r="DU988" s="3"/>
      <c r="DV988" s="3"/>
      <c r="DW988" s="3"/>
      <c r="DX988" s="3"/>
      <c r="DY988" s="3"/>
      <c r="DZ988" s="3"/>
      <c r="EA988" s="3"/>
      <c r="EB988" s="3"/>
      <c r="EC988" s="3"/>
      <c r="ED988" s="3"/>
      <c r="EE988" s="3"/>
      <c r="EF988" s="3"/>
      <c r="EG988" s="3"/>
      <c r="EH988" s="3"/>
      <c r="EI988" s="3"/>
      <c r="EJ988" s="3"/>
      <c r="EK988" s="3"/>
      <c r="EL988" s="3"/>
      <c r="EM988" s="3"/>
      <c r="EN988" s="3"/>
      <c r="EO988" s="3"/>
      <c r="EP988" s="3"/>
      <c r="EQ988" s="3"/>
      <c r="ER988" s="3"/>
      <c r="ES988" s="3"/>
      <c r="ET988" s="3"/>
      <c r="EU988" s="3"/>
      <c r="EV988" s="3"/>
      <c r="EW988" s="3"/>
      <c r="EX988" s="3"/>
      <c r="EY988" s="3"/>
      <c r="EZ988" s="3"/>
      <c r="FA988" s="3"/>
      <c r="FB988" s="3"/>
      <c r="FC988" s="3"/>
      <c r="FD988" s="3"/>
      <c r="FE988" s="3"/>
      <c r="FF988" s="3"/>
      <c r="FG988" s="3"/>
      <c r="FH988" s="3"/>
      <c r="FI988" s="3"/>
      <c r="FJ988" s="3"/>
      <c r="FK988" s="3"/>
      <c r="FL988" s="3"/>
      <c r="FM988" s="3"/>
      <c r="FN988" s="3"/>
      <c r="FO988" s="3"/>
      <c r="FP988" s="3"/>
      <c r="FQ988" s="3"/>
      <c r="FR988" s="3"/>
      <c r="FS988" s="3"/>
      <c r="FT988" s="3"/>
      <c r="FU988" s="3"/>
      <c r="FV988" s="3"/>
      <c r="FW988" s="3"/>
      <c r="FX988" s="3"/>
      <c r="FY988" s="3"/>
      <c r="FZ988" s="3"/>
      <c r="GA988" s="3"/>
      <c r="GB988" s="3"/>
      <c r="GC988" s="3"/>
      <c r="GD988" s="3"/>
      <c r="GE988" s="3"/>
      <c r="GF988" s="3"/>
      <c r="GG988" s="3"/>
      <c r="GH988" s="3"/>
      <c r="GI988" s="3"/>
      <c r="GJ988" s="3"/>
      <c r="GK988" s="3"/>
      <c r="GL988" s="3"/>
      <c r="GM988" s="3"/>
      <c r="GN988" s="3"/>
      <c r="GO988" s="3"/>
      <c r="GP988" s="3"/>
      <c r="GQ988" s="3"/>
      <c r="GR988" s="3"/>
      <c r="GS988" s="3"/>
      <c r="GT988" s="3"/>
      <c r="GU988" s="3"/>
      <c r="GV988" s="3"/>
      <c r="GW988" s="3"/>
      <c r="GX988" s="3"/>
      <c r="GY988" s="3"/>
      <c r="GZ988" s="3"/>
      <c r="HA988" s="3"/>
      <c r="HB988" s="3"/>
      <c r="HC988" s="3"/>
      <c r="HD988" s="3"/>
      <c r="HE988" s="3"/>
      <c r="HF988" s="3"/>
      <c r="HG988" s="3"/>
      <c r="HH988" s="3"/>
      <c r="HI988" s="3"/>
      <c r="HJ988" s="3"/>
      <c r="HK988" s="3"/>
      <c r="HL988" s="3"/>
      <c r="HM988" s="3"/>
      <c r="HN988" s="3"/>
      <c r="HO988" s="3"/>
      <c r="HP988" s="3"/>
      <c r="HQ988" s="3"/>
      <c r="HR988" s="3"/>
      <c r="HS988" s="3"/>
      <c r="HT988" s="3"/>
      <c r="HU988" s="3"/>
      <c r="HV988" s="3"/>
      <c r="HW988" s="3"/>
      <c r="HX988" s="3"/>
      <c r="HY988" s="3"/>
      <c r="HZ988" s="3"/>
      <c r="IA988" s="3"/>
      <c r="IB988" s="3"/>
      <c r="IC988" s="3"/>
      <c r="ID988" s="3"/>
      <c r="IE988" s="3"/>
      <c r="IF988" s="3"/>
      <c r="IG988" s="3"/>
      <c r="IH988" s="3"/>
      <c r="II988" s="3"/>
      <c r="IJ988" s="3"/>
      <c r="IK988" s="3"/>
      <c r="IL988" s="3"/>
      <c r="IM988" s="3"/>
      <c r="IN988" s="3"/>
      <c r="IO988" s="3"/>
      <c r="IP988" s="3"/>
      <c r="IQ988" s="3"/>
      <c r="IR988" s="3"/>
      <c r="IS988" s="3"/>
      <c r="IT988" s="3"/>
      <c r="IU988" s="3"/>
      <c r="IV988" s="3"/>
    </row>
    <row r="989" spans="1:256" s="663" customFormat="1">
      <c r="A989" s="627"/>
      <c r="B989" s="962"/>
      <c r="C989" s="341" t="s">
        <v>1709</v>
      </c>
      <c r="D989" s="304" t="s">
        <v>1047</v>
      </c>
      <c r="E989" s="978">
        <v>1.2E-2</v>
      </c>
      <c r="F989" s="28">
        <v>440</v>
      </c>
      <c r="G989" s="628">
        <f t="shared" si="6"/>
        <v>5.28</v>
      </c>
      <c r="I989" s="152"/>
      <c r="J989" s="3"/>
      <c r="K989" s="3"/>
      <c r="L989" s="3"/>
      <c r="M989" s="3"/>
      <c r="N989" s="3"/>
      <c r="O989" s="3"/>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c r="AY989" s="3"/>
      <c r="AZ989" s="3"/>
      <c r="BA989" s="3"/>
      <c r="BB989" s="3"/>
      <c r="BC989" s="3"/>
      <c r="BD989" s="3"/>
      <c r="BE989" s="3"/>
      <c r="BF989" s="3"/>
      <c r="BG989" s="3"/>
      <c r="BH989" s="3"/>
      <c r="BI989" s="3"/>
      <c r="BJ989" s="3"/>
      <c r="BK989" s="3"/>
      <c r="BL989" s="3"/>
      <c r="BM989" s="3"/>
      <c r="BN989" s="3"/>
      <c r="BO989" s="3"/>
      <c r="BP989" s="3"/>
      <c r="BQ989" s="3"/>
      <c r="BR989" s="3"/>
      <c r="BS989" s="3"/>
      <c r="BT989" s="3"/>
      <c r="BU989" s="3"/>
      <c r="BV989" s="3"/>
      <c r="BW989" s="3"/>
      <c r="BX989" s="3"/>
      <c r="BY989" s="3"/>
      <c r="BZ989" s="3"/>
      <c r="CA989" s="3"/>
      <c r="CB989" s="3"/>
      <c r="CC989" s="3"/>
      <c r="CD989" s="3"/>
      <c r="CE989" s="3"/>
      <c r="CF989" s="3"/>
      <c r="CG989" s="3"/>
      <c r="CH989" s="3"/>
      <c r="CI989" s="3"/>
      <c r="CJ989" s="3"/>
      <c r="CK989" s="3"/>
      <c r="CL989" s="3"/>
      <c r="CM989" s="3"/>
      <c r="CN989" s="3"/>
      <c r="CO989" s="3"/>
      <c r="CP989" s="3"/>
      <c r="CQ989" s="3"/>
      <c r="CR989" s="3"/>
      <c r="CS989" s="3"/>
      <c r="CT989" s="3"/>
      <c r="CU989" s="3"/>
      <c r="CV989" s="3"/>
      <c r="CW989" s="3"/>
      <c r="CX989" s="3"/>
      <c r="CY989" s="3"/>
      <c r="CZ989" s="3"/>
      <c r="DA989" s="3"/>
      <c r="DB989" s="3"/>
      <c r="DC989" s="3"/>
      <c r="DD989" s="3"/>
      <c r="DE989" s="3"/>
      <c r="DF989" s="3"/>
      <c r="DG989" s="3"/>
      <c r="DH989" s="3"/>
      <c r="DI989" s="3"/>
      <c r="DJ989" s="3"/>
      <c r="DK989" s="3"/>
      <c r="DL989" s="3"/>
      <c r="DM989" s="3"/>
      <c r="DN989" s="3"/>
      <c r="DO989" s="3"/>
      <c r="DP989" s="3"/>
      <c r="DQ989" s="3"/>
      <c r="DR989" s="3"/>
      <c r="DS989" s="3"/>
      <c r="DT989" s="3"/>
      <c r="DU989" s="3"/>
      <c r="DV989" s="3"/>
      <c r="DW989" s="3"/>
      <c r="DX989" s="3"/>
      <c r="DY989" s="3"/>
      <c r="DZ989" s="3"/>
      <c r="EA989" s="3"/>
      <c r="EB989" s="3"/>
      <c r="EC989" s="3"/>
      <c r="ED989" s="3"/>
      <c r="EE989" s="3"/>
      <c r="EF989" s="3"/>
      <c r="EG989" s="3"/>
      <c r="EH989" s="3"/>
      <c r="EI989" s="3"/>
      <c r="EJ989" s="3"/>
      <c r="EK989" s="3"/>
      <c r="EL989" s="3"/>
      <c r="EM989" s="3"/>
      <c r="EN989" s="3"/>
      <c r="EO989" s="3"/>
      <c r="EP989" s="3"/>
      <c r="EQ989" s="3"/>
      <c r="ER989" s="3"/>
      <c r="ES989" s="3"/>
      <c r="ET989" s="3"/>
      <c r="EU989" s="3"/>
      <c r="EV989" s="3"/>
      <c r="EW989" s="3"/>
      <c r="EX989" s="3"/>
      <c r="EY989" s="3"/>
      <c r="EZ989" s="3"/>
      <c r="FA989" s="3"/>
      <c r="FB989" s="3"/>
      <c r="FC989" s="3"/>
      <c r="FD989" s="3"/>
      <c r="FE989" s="3"/>
      <c r="FF989" s="3"/>
      <c r="FG989" s="3"/>
      <c r="FH989" s="3"/>
      <c r="FI989" s="3"/>
      <c r="FJ989" s="3"/>
      <c r="FK989" s="3"/>
      <c r="FL989" s="3"/>
      <c r="FM989" s="3"/>
      <c r="FN989" s="3"/>
      <c r="FO989" s="3"/>
      <c r="FP989" s="3"/>
      <c r="FQ989" s="3"/>
      <c r="FR989" s="3"/>
      <c r="FS989" s="3"/>
      <c r="FT989" s="3"/>
      <c r="FU989" s="3"/>
      <c r="FV989" s="3"/>
      <c r="FW989" s="3"/>
      <c r="FX989" s="3"/>
      <c r="FY989" s="3"/>
      <c r="FZ989" s="3"/>
      <c r="GA989" s="3"/>
      <c r="GB989" s="3"/>
      <c r="GC989" s="3"/>
      <c r="GD989" s="3"/>
      <c r="GE989" s="3"/>
      <c r="GF989" s="3"/>
      <c r="GG989" s="3"/>
      <c r="GH989" s="3"/>
      <c r="GI989" s="3"/>
      <c r="GJ989" s="3"/>
      <c r="GK989" s="3"/>
      <c r="GL989" s="3"/>
      <c r="GM989" s="3"/>
      <c r="GN989" s="3"/>
      <c r="GO989" s="3"/>
      <c r="GP989" s="3"/>
      <c r="GQ989" s="3"/>
      <c r="GR989" s="3"/>
      <c r="GS989" s="3"/>
      <c r="GT989" s="3"/>
      <c r="GU989" s="3"/>
      <c r="GV989" s="3"/>
      <c r="GW989" s="3"/>
      <c r="GX989" s="3"/>
      <c r="GY989" s="3"/>
      <c r="GZ989" s="3"/>
      <c r="HA989" s="3"/>
      <c r="HB989" s="3"/>
      <c r="HC989" s="3"/>
      <c r="HD989" s="3"/>
      <c r="HE989" s="3"/>
      <c r="HF989" s="3"/>
      <c r="HG989" s="3"/>
      <c r="HH989" s="3"/>
      <c r="HI989" s="3"/>
      <c r="HJ989" s="3"/>
      <c r="HK989" s="3"/>
      <c r="HL989" s="3"/>
      <c r="HM989" s="3"/>
      <c r="HN989" s="3"/>
      <c r="HO989" s="3"/>
      <c r="HP989" s="3"/>
      <c r="HQ989" s="3"/>
      <c r="HR989" s="3"/>
      <c r="HS989" s="3"/>
      <c r="HT989" s="3"/>
      <c r="HU989" s="3"/>
      <c r="HV989" s="3"/>
      <c r="HW989" s="3"/>
      <c r="HX989" s="3"/>
      <c r="HY989" s="3"/>
      <c r="HZ989" s="3"/>
      <c r="IA989" s="3"/>
      <c r="IB989" s="3"/>
      <c r="IC989" s="3"/>
      <c r="ID989" s="3"/>
      <c r="IE989" s="3"/>
      <c r="IF989" s="3"/>
      <c r="IG989" s="3"/>
      <c r="IH989" s="3"/>
      <c r="II989" s="3"/>
      <c r="IJ989" s="3"/>
      <c r="IK989" s="3"/>
      <c r="IL989" s="3"/>
      <c r="IM989" s="3"/>
      <c r="IN989" s="3"/>
      <c r="IO989" s="3"/>
      <c r="IP989" s="3"/>
      <c r="IQ989" s="3"/>
      <c r="IR989" s="3"/>
      <c r="IS989" s="3"/>
      <c r="IT989" s="3"/>
      <c r="IU989" s="3"/>
      <c r="IV989" s="3"/>
    </row>
    <row r="990" spans="1:256" s="663" customFormat="1">
      <c r="A990" s="627"/>
      <c r="B990" s="962"/>
      <c r="C990" s="341" t="s">
        <v>1710</v>
      </c>
      <c r="D990" s="304" t="s">
        <v>1047</v>
      </c>
      <c r="E990" s="978">
        <v>7.1999999999999995E-2</v>
      </c>
      <c r="F990" s="28">
        <v>400</v>
      </c>
      <c r="G990" s="628">
        <f t="shared" si="6"/>
        <v>28.8</v>
      </c>
      <c r="I990" s="152"/>
      <c r="J990" s="3"/>
      <c r="K990" s="3"/>
      <c r="L990" s="3"/>
      <c r="M990" s="3"/>
      <c r="N990" s="3"/>
      <c r="O990" s="3"/>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c r="AY990" s="3"/>
      <c r="AZ990" s="3"/>
      <c r="BA990" s="3"/>
      <c r="BB990" s="3"/>
      <c r="BC990" s="3"/>
      <c r="BD990" s="3"/>
      <c r="BE990" s="3"/>
      <c r="BF990" s="3"/>
      <c r="BG990" s="3"/>
      <c r="BH990" s="3"/>
      <c r="BI990" s="3"/>
      <c r="BJ990" s="3"/>
      <c r="BK990" s="3"/>
      <c r="BL990" s="3"/>
      <c r="BM990" s="3"/>
      <c r="BN990" s="3"/>
      <c r="BO990" s="3"/>
      <c r="BP990" s="3"/>
      <c r="BQ990" s="3"/>
      <c r="BR990" s="3"/>
      <c r="BS990" s="3"/>
      <c r="BT990" s="3"/>
      <c r="BU990" s="3"/>
      <c r="BV990" s="3"/>
      <c r="BW990" s="3"/>
      <c r="BX990" s="3"/>
      <c r="BY990" s="3"/>
      <c r="BZ990" s="3"/>
      <c r="CA990" s="3"/>
      <c r="CB990" s="3"/>
      <c r="CC990" s="3"/>
      <c r="CD990" s="3"/>
      <c r="CE990" s="3"/>
      <c r="CF990" s="3"/>
      <c r="CG990" s="3"/>
      <c r="CH990" s="3"/>
      <c r="CI990" s="3"/>
      <c r="CJ990" s="3"/>
      <c r="CK990" s="3"/>
      <c r="CL990" s="3"/>
      <c r="CM990" s="3"/>
      <c r="CN990" s="3"/>
      <c r="CO990" s="3"/>
      <c r="CP990" s="3"/>
      <c r="CQ990" s="3"/>
      <c r="CR990" s="3"/>
      <c r="CS990" s="3"/>
      <c r="CT990" s="3"/>
      <c r="CU990" s="3"/>
      <c r="CV990" s="3"/>
      <c r="CW990" s="3"/>
      <c r="CX990" s="3"/>
      <c r="CY990" s="3"/>
      <c r="CZ990" s="3"/>
      <c r="DA990" s="3"/>
      <c r="DB990" s="3"/>
      <c r="DC990" s="3"/>
      <c r="DD990" s="3"/>
      <c r="DE990" s="3"/>
      <c r="DF990" s="3"/>
      <c r="DG990" s="3"/>
      <c r="DH990" s="3"/>
      <c r="DI990" s="3"/>
      <c r="DJ990" s="3"/>
      <c r="DK990" s="3"/>
      <c r="DL990" s="3"/>
      <c r="DM990" s="3"/>
      <c r="DN990" s="3"/>
      <c r="DO990" s="3"/>
      <c r="DP990" s="3"/>
      <c r="DQ990" s="3"/>
      <c r="DR990" s="3"/>
      <c r="DS990" s="3"/>
      <c r="DT990" s="3"/>
      <c r="DU990" s="3"/>
      <c r="DV990" s="3"/>
      <c r="DW990" s="3"/>
      <c r="DX990" s="3"/>
      <c r="DY990" s="3"/>
      <c r="DZ990" s="3"/>
      <c r="EA990" s="3"/>
      <c r="EB990" s="3"/>
      <c r="EC990" s="3"/>
      <c r="ED990" s="3"/>
      <c r="EE990" s="3"/>
      <c r="EF990" s="3"/>
      <c r="EG990" s="3"/>
      <c r="EH990" s="3"/>
      <c r="EI990" s="3"/>
      <c r="EJ990" s="3"/>
      <c r="EK990" s="3"/>
      <c r="EL990" s="3"/>
      <c r="EM990" s="3"/>
      <c r="EN990" s="3"/>
      <c r="EO990" s="3"/>
      <c r="EP990" s="3"/>
      <c r="EQ990" s="3"/>
      <c r="ER990" s="3"/>
      <c r="ES990" s="3"/>
      <c r="ET990" s="3"/>
      <c r="EU990" s="3"/>
      <c r="EV990" s="3"/>
      <c r="EW990" s="3"/>
      <c r="EX990" s="3"/>
      <c r="EY990" s="3"/>
      <c r="EZ990" s="3"/>
      <c r="FA990" s="3"/>
      <c r="FB990" s="3"/>
      <c r="FC990" s="3"/>
      <c r="FD990" s="3"/>
      <c r="FE990" s="3"/>
      <c r="FF990" s="3"/>
      <c r="FG990" s="3"/>
      <c r="FH990" s="3"/>
      <c r="FI990" s="3"/>
      <c r="FJ990" s="3"/>
      <c r="FK990" s="3"/>
      <c r="FL990" s="3"/>
      <c r="FM990" s="3"/>
      <c r="FN990" s="3"/>
      <c r="FO990" s="3"/>
      <c r="FP990" s="3"/>
      <c r="FQ990" s="3"/>
      <c r="FR990" s="3"/>
      <c r="FS990" s="3"/>
      <c r="FT990" s="3"/>
      <c r="FU990" s="3"/>
      <c r="FV990" s="3"/>
      <c r="FW990" s="3"/>
      <c r="FX990" s="3"/>
      <c r="FY990" s="3"/>
      <c r="FZ990" s="3"/>
      <c r="GA990" s="3"/>
      <c r="GB990" s="3"/>
      <c r="GC990" s="3"/>
      <c r="GD990" s="3"/>
      <c r="GE990" s="3"/>
      <c r="GF990" s="3"/>
      <c r="GG990" s="3"/>
      <c r="GH990" s="3"/>
      <c r="GI990" s="3"/>
      <c r="GJ990" s="3"/>
      <c r="GK990" s="3"/>
      <c r="GL990" s="3"/>
      <c r="GM990" s="3"/>
      <c r="GN990" s="3"/>
      <c r="GO990" s="3"/>
      <c r="GP990" s="3"/>
      <c r="GQ990" s="3"/>
      <c r="GR990" s="3"/>
      <c r="GS990" s="3"/>
      <c r="GT990" s="3"/>
      <c r="GU990" s="3"/>
      <c r="GV990" s="3"/>
      <c r="GW990" s="3"/>
      <c r="GX990" s="3"/>
      <c r="GY990" s="3"/>
      <c r="GZ990" s="3"/>
      <c r="HA990" s="3"/>
      <c r="HB990" s="3"/>
      <c r="HC990" s="3"/>
      <c r="HD990" s="3"/>
      <c r="HE990" s="3"/>
      <c r="HF990" s="3"/>
      <c r="HG990" s="3"/>
      <c r="HH990" s="3"/>
      <c r="HI990" s="3"/>
      <c r="HJ990" s="3"/>
      <c r="HK990" s="3"/>
      <c r="HL990" s="3"/>
      <c r="HM990" s="3"/>
      <c r="HN990" s="3"/>
      <c r="HO990" s="3"/>
      <c r="HP990" s="3"/>
      <c r="HQ990" s="3"/>
      <c r="HR990" s="3"/>
      <c r="HS990" s="3"/>
      <c r="HT990" s="3"/>
      <c r="HU990" s="3"/>
      <c r="HV990" s="3"/>
      <c r="HW990" s="3"/>
      <c r="HX990" s="3"/>
      <c r="HY990" s="3"/>
      <c r="HZ990" s="3"/>
      <c r="IA990" s="3"/>
      <c r="IB990" s="3"/>
      <c r="IC990" s="3"/>
      <c r="ID990" s="3"/>
      <c r="IE990" s="3"/>
      <c r="IF990" s="3"/>
      <c r="IG990" s="3"/>
      <c r="IH990" s="3"/>
      <c r="II990" s="3"/>
      <c r="IJ990" s="3"/>
      <c r="IK990" s="3"/>
      <c r="IL990" s="3"/>
      <c r="IM990" s="3"/>
      <c r="IN990" s="3"/>
      <c r="IO990" s="3"/>
      <c r="IP990" s="3"/>
      <c r="IQ990" s="3"/>
      <c r="IR990" s="3"/>
      <c r="IS990" s="3"/>
      <c r="IT990" s="3"/>
      <c r="IU990" s="3"/>
      <c r="IV990" s="3"/>
    </row>
    <row r="991" spans="1:256" s="663" customFormat="1">
      <c r="A991" s="647"/>
      <c r="B991" s="907"/>
      <c r="C991" s="643" t="s">
        <v>896</v>
      </c>
      <c r="D991" s="644"/>
      <c r="E991" s="645">
        <f>'Lead- Input sheet '!Q31</f>
        <v>0</v>
      </c>
      <c r="F991" s="922">
        <f>ROUND(SUM(G984:G990),2)</f>
        <v>185.28</v>
      </c>
      <c r="G991" s="646">
        <f>ROUND(F991*E991,2)</f>
        <v>0</v>
      </c>
      <c r="I991" s="152"/>
      <c r="J991" s="3"/>
      <c r="K991" s="3"/>
      <c r="L991" s="3"/>
      <c r="M991" s="3"/>
      <c r="N991" s="3"/>
      <c r="O991" s="3"/>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c r="AY991" s="3"/>
      <c r="AZ991" s="3"/>
      <c r="BA991" s="3"/>
      <c r="BB991" s="3"/>
      <c r="BC991" s="3"/>
      <c r="BD991" s="3"/>
      <c r="BE991" s="3"/>
      <c r="BF991" s="3"/>
      <c r="BG991" s="3"/>
      <c r="BH991" s="3"/>
      <c r="BI991" s="3"/>
      <c r="BJ991" s="3"/>
      <c r="BK991" s="3"/>
      <c r="BL991" s="3"/>
      <c r="BM991" s="3"/>
      <c r="BN991" s="3"/>
      <c r="BO991" s="3"/>
      <c r="BP991" s="3"/>
      <c r="BQ991" s="3"/>
      <c r="BR991" s="3"/>
      <c r="BS991" s="3"/>
      <c r="BT991" s="3"/>
      <c r="BU991" s="3"/>
      <c r="BV991" s="3"/>
      <c r="BW991" s="3"/>
      <c r="BX991" s="3"/>
      <c r="BY991" s="3"/>
      <c r="BZ991" s="3"/>
      <c r="CA991" s="3"/>
      <c r="CB991" s="3"/>
      <c r="CC991" s="3"/>
      <c r="CD991" s="3"/>
      <c r="CE991" s="3"/>
      <c r="CF991" s="3"/>
      <c r="CG991" s="3"/>
      <c r="CH991" s="3"/>
      <c r="CI991" s="3"/>
      <c r="CJ991" s="3"/>
      <c r="CK991" s="3"/>
      <c r="CL991" s="3"/>
      <c r="CM991" s="3"/>
      <c r="CN991" s="3"/>
      <c r="CO991" s="3"/>
      <c r="CP991" s="3"/>
      <c r="CQ991" s="3"/>
      <c r="CR991" s="3"/>
      <c r="CS991" s="3"/>
      <c r="CT991" s="3"/>
      <c r="CU991" s="3"/>
      <c r="CV991" s="3"/>
      <c r="CW991" s="3"/>
      <c r="CX991" s="3"/>
      <c r="CY991" s="3"/>
      <c r="CZ991" s="3"/>
      <c r="DA991" s="3"/>
      <c r="DB991" s="3"/>
      <c r="DC991" s="3"/>
      <c r="DD991" s="3"/>
      <c r="DE991" s="3"/>
      <c r="DF991" s="3"/>
      <c r="DG991" s="3"/>
      <c r="DH991" s="3"/>
      <c r="DI991" s="3"/>
      <c r="DJ991" s="3"/>
      <c r="DK991" s="3"/>
      <c r="DL991" s="3"/>
      <c r="DM991" s="3"/>
      <c r="DN991" s="3"/>
      <c r="DO991" s="3"/>
      <c r="DP991" s="3"/>
      <c r="DQ991" s="3"/>
      <c r="DR991" s="3"/>
      <c r="DS991" s="3"/>
      <c r="DT991" s="3"/>
      <c r="DU991" s="3"/>
      <c r="DV991" s="3"/>
      <c r="DW991" s="3"/>
      <c r="DX991" s="3"/>
      <c r="DY991" s="3"/>
      <c r="DZ991" s="3"/>
      <c r="EA991" s="3"/>
      <c r="EB991" s="3"/>
      <c r="EC991" s="3"/>
      <c r="ED991" s="3"/>
      <c r="EE991" s="3"/>
      <c r="EF991" s="3"/>
      <c r="EG991" s="3"/>
      <c r="EH991" s="3"/>
      <c r="EI991" s="3"/>
      <c r="EJ991" s="3"/>
      <c r="EK991" s="3"/>
      <c r="EL991" s="3"/>
      <c r="EM991" s="3"/>
      <c r="EN991" s="3"/>
      <c r="EO991" s="3"/>
      <c r="EP991" s="3"/>
      <c r="EQ991" s="3"/>
      <c r="ER991" s="3"/>
      <c r="ES991" s="3"/>
      <c r="ET991" s="3"/>
      <c r="EU991" s="3"/>
      <c r="EV991" s="3"/>
      <c r="EW991" s="3"/>
      <c r="EX991" s="3"/>
      <c r="EY991" s="3"/>
      <c r="EZ991" s="3"/>
      <c r="FA991" s="3"/>
      <c r="FB991" s="3"/>
      <c r="FC991" s="3"/>
      <c r="FD991" s="3"/>
      <c r="FE991" s="3"/>
      <c r="FF991" s="3"/>
      <c r="FG991" s="3"/>
      <c r="FH991" s="3"/>
      <c r="FI991" s="3"/>
      <c r="FJ991" s="3"/>
      <c r="FK991" s="3"/>
      <c r="FL991" s="3"/>
      <c r="FM991" s="3"/>
      <c r="FN991" s="3"/>
      <c r="FO991" s="3"/>
      <c r="FP991" s="3"/>
      <c r="FQ991" s="3"/>
      <c r="FR991" s="3"/>
      <c r="FS991" s="3"/>
      <c r="FT991" s="3"/>
      <c r="FU991" s="3"/>
      <c r="FV991" s="3"/>
      <c r="FW991" s="3"/>
      <c r="FX991" s="3"/>
      <c r="FY991" s="3"/>
      <c r="FZ991" s="3"/>
      <c r="GA991" s="3"/>
      <c r="GB991" s="3"/>
      <c r="GC991" s="3"/>
      <c r="GD991" s="3"/>
      <c r="GE991" s="3"/>
      <c r="GF991" s="3"/>
      <c r="GG991" s="3"/>
      <c r="GH991" s="3"/>
      <c r="GI991" s="3"/>
      <c r="GJ991" s="3"/>
      <c r="GK991" s="3"/>
      <c r="GL991" s="3"/>
      <c r="GM991" s="3"/>
      <c r="GN991" s="3"/>
      <c r="GO991" s="3"/>
      <c r="GP991" s="3"/>
      <c r="GQ991" s="3"/>
      <c r="GR991" s="3"/>
      <c r="GS991" s="3"/>
      <c r="GT991" s="3"/>
      <c r="GU991" s="3"/>
      <c r="GV991" s="3"/>
      <c r="GW991" s="3"/>
      <c r="GX991" s="3"/>
      <c r="GY991" s="3"/>
      <c r="GZ991" s="3"/>
      <c r="HA991" s="3"/>
      <c r="HB991" s="3"/>
      <c r="HC991" s="3"/>
      <c r="HD991" s="3"/>
      <c r="HE991" s="3"/>
      <c r="HF991" s="3"/>
      <c r="HG991" s="3"/>
      <c r="HH991" s="3"/>
      <c r="HI991" s="3"/>
      <c r="HJ991" s="3"/>
      <c r="HK991" s="3"/>
      <c r="HL991" s="3"/>
      <c r="HM991" s="3"/>
      <c r="HN991" s="3"/>
      <c r="HO991" s="3"/>
      <c r="HP991" s="3"/>
      <c r="HQ991" s="3"/>
      <c r="HR991" s="3"/>
      <c r="HS991" s="3"/>
      <c r="HT991" s="3"/>
      <c r="HU991" s="3"/>
      <c r="HV991" s="3"/>
      <c r="HW991" s="3"/>
      <c r="HX991" s="3"/>
      <c r="HY991" s="3"/>
      <c r="HZ991" s="3"/>
      <c r="IA991" s="3"/>
      <c r="IB991" s="3"/>
      <c r="IC991" s="3"/>
      <c r="ID991" s="3"/>
      <c r="IE991" s="3"/>
      <c r="IF991" s="3"/>
      <c r="IG991" s="3"/>
      <c r="IH991" s="3"/>
      <c r="II991" s="3"/>
      <c r="IJ991" s="3"/>
      <c r="IK991" s="3"/>
      <c r="IL991" s="3"/>
      <c r="IM991" s="3"/>
      <c r="IN991" s="3"/>
      <c r="IO991" s="3"/>
      <c r="IP991" s="3"/>
      <c r="IQ991" s="3"/>
      <c r="IR991" s="3"/>
      <c r="IS991" s="3"/>
      <c r="IT991" s="3"/>
      <c r="IU991" s="3"/>
      <c r="IV991" s="3"/>
    </row>
    <row r="992" spans="1:256" s="663" customFormat="1">
      <c r="A992" s="627"/>
      <c r="B992" s="962"/>
      <c r="C992" s="79" t="s">
        <v>1715</v>
      </c>
      <c r="D992" s="304"/>
      <c r="E992" s="978"/>
      <c r="F992" s="28"/>
      <c r="G992" s="628"/>
      <c r="I992" s="152"/>
      <c r="J992" s="3"/>
      <c r="K992" s="3"/>
      <c r="L992" s="3"/>
      <c r="M992" s="3"/>
      <c r="N992" s="3"/>
      <c r="O992" s="3"/>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c r="AY992" s="3"/>
      <c r="AZ992" s="3"/>
      <c r="BA992" s="3"/>
      <c r="BB992" s="3"/>
      <c r="BC992" s="3"/>
      <c r="BD992" s="3"/>
      <c r="BE992" s="3"/>
      <c r="BF992" s="3"/>
      <c r="BG992" s="3"/>
      <c r="BH992" s="3"/>
      <c r="BI992" s="3"/>
      <c r="BJ992" s="3"/>
      <c r="BK992" s="3"/>
      <c r="BL992" s="3"/>
      <c r="BM992" s="3"/>
      <c r="BN992" s="3"/>
      <c r="BO992" s="3"/>
      <c r="BP992" s="3"/>
      <c r="BQ992" s="3"/>
      <c r="BR992" s="3"/>
      <c r="BS992" s="3"/>
      <c r="BT992" s="3"/>
      <c r="BU992" s="3"/>
      <c r="BV992" s="3"/>
      <c r="BW992" s="3"/>
      <c r="BX992" s="3"/>
      <c r="BY992" s="3"/>
      <c r="BZ992" s="3"/>
      <c r="CA992" s="3"/>
      <c r="CB992" s="3"/>
      <c r="CC992" s="3"/>
      <c r="CD992" s="3"/>
      <c r="CE992" s="3"/>
      <c r="CF992" s="3"/>
      <c r="CG992" s="3"/>
      <c r="CH992" s="3"/>
      <c r="CI992" s="3"/>
      <c r="CJ992" s="3"/>
      <c r="CK992" s="3"/>
      <c r="CL992" s="3"/>
      <c r="CM992" s="3"/>
      <c r="CN992" s="3"/>
      <c r="CO992" s="3"/>
      <c r="CP992" s="3"/>
      <c r="CQ992" s="3"/>
      <c r="CR992" s="3"/>
      <c r="CS992" s="3"/>
      <c r="CT992" s="3"/>
      <c r="CU992" s="3"/>
      <c r="CV992" s="3"/>
      <c r="CW992" s="3"/>
      <c r="CX992" s="3"/>
      <c r="CY992" s="3"/>
      <c r="CZ992" s="3"/>
      <c r="DA992" s="3"/>
      <c r="DB992" s="3"/>
      <c r="DC992" s="3"/>
      <c r="DD992" s="3"/>
      <c r="DE992" s="3"/>
      <c r="DF992" s="3"/>
      <c r="DG992" s="3"/>
      <c r="DH992" s="3"/>
      <c r="DI992" s="3"/>
      <c r="DJ992" s="3"/>
      <c r="DK992" s="3"/>
      <c r="DL992" s="3"/>
      <c r="DM992" s="3"/>
      <c r="DN992" s="3"/>
      <c r="DO992" s="3"/>
      <c r="DP992" s="3"/>
      <c r="DQ992" s="3"/>
      <c r="DR992" s="3"/>
      <c r="DS992" s="3"/>
      <c r="DT992" s="3"/>
      <c r="DU992" s="3"/>
      <c r="DV992" s="3"/>
      <c r="DW992" s="3"/>
      <c r="DX992" s="3"/>
      <c r="DY992" s="3"/>
      <c r="DZ992" s="3"/>
      <c r="EA992" s="3"/>
      <c r="EB992" s="3"/>
      <c r="EC992" s="3"/>
      <c r="ED992" s="3"/>
      <c r="EE992" s="3"/>
      <c r="EF992" s="3"/>
      <c r="EG992" s="3"/>
      <c r="EH992" s="3"/>
      <c r="EI992" s="3"/>
      <c r="EJ992" s="3"/>
      <c r="EK992" s="3"/>
      <c r="EL992" s="3"/>
      <c r="EM992" s="3"/>
      <c r="EN992" s="3"/>
      <c r="EO992" s="3"/>
      <c r="EP992" s="3"/>
      <c r="EQ992" s="3"/>
      <c r="ER992" s="3"/>
      <c r="ES992" s="3"/>
      <c r="ET992" s="3"/>
      <c r="EU992" s="3"/>
      <c r="EV992" s="3"/>
      <c r="EW992" s="3"/>
      <c r="EX992" s="3"/>
      <c r="EY992" s="3"/>
      <c r="EZ992" s="3"/>
      <c r="FA992" s="3"/>
      <c r="FB992" s="3"/>
      <c r="FC992" s="3"/>
      <c r="FD992" s="3"/>
      <c r="FE992" s="3"/>
      <c r="FF992" s="3"/>
      <c r="FG992" s="3"/>
      <c r="FH992" s="3"/>
      <c r="FI992" s="3"/>
      <c r="FJ992" s="3"/>
      <c r="FK992" s="3"/>
      <c r="FL992" s="3"/>
      <c r="FM992" s="3"/>
      <c r="FN992" s="3"/>
      <c r="FO992" s="3"/>
      <c r="FP992" s="3"/>
      <c r="FQ992" s="3"/>
      <c r="FR992" s="3"/>
      <c r="FS992" s="3"/>
      <c r="FT992" s="3"/>
      <c r="FU992" s="3"/>
      <c r="FV992" s="3"/>
      <c r="FW992" s="3"/>
      <c r="FX992" s="3"/>
      <c r="FY992" s="3"/>
      <c r="FZ992" s="3"/>
      <c r="GA992" s="3"/>
      <c r="GB992" s="3"/>
      <c r="GC992" s="3"/>
      <c r="GD992" s="3"/>
      <c r="GE992" s="3"/>
      <c r="GF992" s="3"/>
      <c r="GG992" s="3"/>
      <c r="GH992" s="3"/>
      <c r="GI992" s="3"/>
      <c r="GJ992" s="3"/>
      <c r="GK992" s="3"/>
      <c r="GL992" s="3"/>
      <c r="GM992" s="3"/>
      <c r="GN992" s="3"/>
      <c r="GO992" s="3"/>
      <c r="GP992" s="3"/>
      <c r="GQ992" s="3"/>
      <c r="GR992" s="3"/>
      <c r="GS992" s="3"/>
      <c r="GT992" s="3"/>
      <c r="GU992" s="3"/>
      <c r="GV992" s="3"/>
      <c r="GW992" s="3"/>
      <c r="GX992" s="3"/>
      <c r="GY992" s="3"/>
      <c r="GZ992" s="3"/>
      <c r="HA992" s="3"/>
      <c r="HB992" s="3"/>
      <c r="HC992" s="3"/>
      <c r="HD992" s="3"/>
      <c r="HE992" s="3"/>
      <c r="HF992" s="3"/>
      <c r="HG992" s="3"/>
      <c r="HH992" s="3"/>
      <c r="HI992" s="3"/>
      <c r="HJ992" s="3"/>
      <c r="HK992" s="3"/>
      <c r="HL992" s="3"/>
      <c r="HM992" s="3"/>
      <c r="HN992" s="3"/>
      <c r="HO992" s="3"/>
      <c r="HP992" s="3"/>
      <c r="HQ992" s="3"/>
      <c r="HR992" s="3"/>
      <c r="HS992" s="3"/>
      <c r="HT992" s="3"/>
      <c r="HU992" s="3"/>
      <c r="HV992" s="3"/>
      <c r="HW992" s="3"/>
      <c r="HX992" s="3"/>
      <c r="HY992" s="3"/>
      <c r="HZ992" s="3"/>
      <c r="IA992" s="3"/>
      <c r="IB992" s="3"/>
      <c r="IC992" s="3"/>
      <c r="ID992" s="3"/>
      <c r="IE992" s="3"/>
      <c r="IF992" s="3"/>
      <c r="IG992" s="3"/>
      <c r="IH992" s="3"/>
      <c r="II992" s="3"/>
      <c r="IJ992" s="3"/>
      <c r="IK992" s="3"/>
      <c r="IL992" s="3"/>
      <c r="IM992" s="3"/>
      <c r="IN992" s="3"/>
      <c r="IO992" s="3"/>
      <c r="IP992" s="3"/>
      <c r="IQ992" s="3"/>
      <c r="IR992" s="3"/>
      <c r="IS992" s="3"/>
      <c r="IT992" s="3"/>
      <c r="IU992" s="3"/>
      <c r="IV992" s="3"/>
    </row>
    <row r="993" spans="1:256" s="663" customFormat="1">
      <c r="A993" s="627"/>
      <c r="B993" s="962"/>
      <c r="C993" s="341" t="s">
        <v>1711</v>
      </c>
      <c r="D993" s="304" t="s">
        <v>1216</v>
      </c>
      <c r="E993" s="978">
        <v>0.32</v>
      </c>
      <c r="F993" s="28">
        <v>130</v>
      </c>
      <c r="G993" s="628">
        <f>ROUND(E993*F993,2)</f>
        <v>41.6</v>
      </c>
      <c r="I993" s="152"/>
      <c r="J993" s="3"/>
      <c r="K993" s="3"/>
      <c r="L993" s="3"/>
      <c r="M993" s="3"/>
      <c r="N993" s="3"/>
      <c r="O993" s="3"/>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c r="AY993" s="3"/>
      <c r="AZ993" s="3"/>
      <c r="BA993" s="3"/>
      <c r="BB993" s="3"/>
      <c r="BC993" s="3"/>
      <c r="BD993" s="3"/>
      <c r="BE993" s="3"/>
      <c r="BF993" s="3"/>
      <c r="BG993" s="3"/>
      <c r="BH993" s="3"/>
      <c r="BI993" s="3"/>
      <c r="BJ993" s="3"/>
      <c r="BK993" s="3"/>
      <c r="BL993" s="3"/>
      <c r="BM993" s="3"/>
      <c r="BN993" s="3"/>
      <c r="BO993" s="3"/>
      <c r="BP993" s="3"/>
      <c r="BQ993" s="3"/>
      <c r="BR993" s="3"/>
      <c r="BS993" s="3"/>
      <c r="BT993" s="3"/>
      <c r="BU993" s="3"/>
      <c r="BV993" s="3"/>
      <c r="BW993" s="3"/>
      <c r="BX993" s="3"/>
      <c r="BY993" s="3"/>
      <c r="BZ993" s="3"/>
      <c r="CA993" s="3"/>
      <c r="CB993" s="3"/>
      <c r="CC993" s="3"/>
      <c r="CD993" s="3"/>
      <c r="CE993" s="3"/>
      <c r="CF993" s="3"/>
      <c r="CG993" s="3"/>
      <c r="CH993" s="3"/>
      <c r="CI993" s="3"/>
      <c r="CJ993" s="3"/>
      <c r="CK993" s="3"/>
      <c r="CL993" s="3"/>
      <c r="CM993" s="3"/>
      <c r="CN993" s="3"/>
      <c r="CO993" s="3"/>
      <c r="CP993" s="3"/>
      <c r="CQ993" s="3"/>
      <c r="CR993" s="3"/>
      <c r="CS993" s="3"/>
      <c r="CT993" s="3"/>
      <c r="CU993" s="3"/>
      <c r="CV993" s="3"/>
      <c r="CW993" s="3"/>
      <c r="CX993" s="3"/>
      <c r="CY993" s="3"/>
      <c r="CZ993" s="3"/>
      <c r="DA993" s="3"/>
      <c r="DB993" s="3"/>
      <c r="DC993" s="3"/>
      <c r="DD993" s="3"/>
      <c r="DE993" s="3"/>
      <c r="DF993" s="3"/>
      <c r="DG993" s="3"/>
      <c r="DH993" s="3"/>
      <c r="DI993" s="3"/>
      <c r="DJ993" s="3"/>
      <c r="DK993" s="3"/>
      <c r="DL993" s="3"/>
      <c r="DM993" s="3"/>
      <c r="DN993" s="3"/>
      <c r="DO993" s="3"/>
      <c r="DP993" s="3"/>
      <c r="DQ993" s="3"/>
      <c r="DR993" s="3"/>
      <c r="DS993" s="3"/>
      <c r="DT993" s="3"/>
      <c r="DU993" s="3"/>
      <c r="DV993" s="3"/>
      <c r="DW993" s="3"/>
      <c r="DX993" s="3"/>
      <c r="DY993" s="3"/>
      <c r="DZ993" s="3"/>
      <c r="EA993" s="3"/>
      <c r="EB993" s="3"/>
      <c r="EC993" s="3"/>
      <c r="ED993" s="3"/>
      <c r="EE993" s="3"/>
      <c r="EF993" s="3"/>
      <c r="EG993" s="3"/>
      <c r="EH993" s="3"/>
      <c r="EI993" s="3"/>
      <c r="EJ993" s="3"/>
      <c r="EK993" s="3"/>
      <c r="EL993" s="3"/>
      <c r="EM993" s="3"/>
      <c r="EN993" s="3"/>
      <c r="EO993" s="3"/>
      <c r="EP993" s="3"/>
      <c r="EQ993" s="3"/>
      <c r="ER993" s="3"/>
      <c r="ES993" s="3"/>
      <c r="ET993" s="3"/>
      <c r="EU993" s="3"/>
      <c r="EV993" s="3"/>
      <c r="EW993" s="3"/>
      <c r="EX993" s="3"/>
      <c r="EY993" s="3"/>
      <c r="EZ993" s="3"/>
      <c r="FA993" s="3"/>
      <c r="FB993" s="3"/>
      <c r="FC993" s="3"/>
      <c r="FD993" s="3"/>
      <c r="FE993" s="3"/>
      <c r="FF993" s="3"/>
      <c r="FG993" s="3"/>
      <c r="FH993" s="3"/>
      <c r="FI993" s="3"/>
      <c r="FJ993" s="3"/>
      <c r="FK993" s="3"/>
      <c r="FL993" s="3"/>
      <c r="FM993" s="3"/>
      <c r="FN993" s="3"/>
      <c r="FO993" s="3"/>
      <c r="FP993" s="3"/>
      <c r="FQ993" s="3"/>
      <c r="FR993" s="3"/>
      <c r="FS993" s="3"/>
      <c r="FT993" s="3"/>
      <c r="FU993" s="3"/>
      <c r="FV993" s="3"/>
      <c r="FW993" s="3"/>
      <c r="FX993" s="3"/>
      <c r="FY993" s="3"/>
      <c r="FZ993" s="3"/>
      <c r="GA993" s="3"/>
      <c r="GB993" s="3"/>
      <c r="GC993" s="3"/>
      <c r="GD993" s="3"/>
      <c r="GE993" s="3"/>
      <c r="GF993" s="3"/>
      <c r="GG993" s="3"/>
      <c r="GH993" s="3"/>
      <c r="GI993" s="3"/>
      <c r="GJ993" s="3"/>
      <c r="GK993" s="3"/>
      <c r="GL993" s="3"/>
      <c r="GM993" s="3"/>
      <c r="GN993" s="3"/>
      <c r="GO993" s="3"/>
      <c r="GP993" s="3"/>
      <c r="GQ993" s="3"/>
      <c r="GR993" s="3"/>
      <c r="GS993" s="3"/>
      <c r="GT993" s="3"/>
      <c r="GU993" s="3"/>
      <c r="GV993" s="3"/>
      <c r="GW993" s="3"/>
      <c r="GX993" s="3"/>
      <c r="GY993" s="3"/>
      <c r="GZ993" s="3"/>
      <c r="HA993" s="3"/>
      <c r="HB993" s="3"/>
      <c r="HC993" s="3"/>
      <c r="HD993" s="3"/>
      <c r="HE993" s="3"/>
      <c r="HF993" s="3"/>
      <c r="HG993" s="3"/>
      <c r="HH993" s="3"/>
      <c r="HI993" s="3"/>
      <c r="HJ993" s="3"/>
      <c r="HK993" s="3"/>
      <c r="HL993" s="3"/>
      <c r="HM993" s="3"/>
      <c r="HN993" s="3"/>
      <c r="HO993" s="3"/>
      <c r="HP993" s="3"/>
      <c r="HQ993" s="3"/>
      <c r="HR993" s="3"/>
      <c r="HS993" s="3"/>
      <c r="HT993" s="3"/>
      <c r="HU993" s="3"/>
      <c r="HV993" s="3"/>
      <c r="HW993" s="3"/>
      <c r="HX993" s="3"/>
      <c r="HY993" s="3"/>
      <c r="HZ993" s="3"/>
      <c r="IA993" s="3"/>
      <c r="IB993" s="3"/>
      <c r="IC993" s="3"/>
      <c r="ID993" s="3"/>
      <c r="IE993" s="3"/>
      <c r="IF993" s="3"/>
      <c r="IG993" s="3"/>
      <c r="IH993" s="3"/>
      <c r="II993" s="3"/>
      <c r="IJ993" s="3"/>
      <c r="IK993" s="3"/>
      <c r="IL993" s="3"/>
      <c r="IM993" s="3"/>
      <c r="IN993" s="3"/>
      <c r="IO993" s="3"/>
      <c r="IP993" s="3"/>
      <c r="IQ993" s="3"/>
      <c r="IR993" s="3"/>
      <c r="IS993" s="3"/>
      <c r="IT993" s="3"/>
      <c r="IU993" s="3"/>
      <c r="IV993" s="3"/>
    </row>
    <row r="994" spans="1:256" s="663" customFormat="1">
      <c r="A994" s="627"/>
      <c r="B994" s="962"/>
      <c r="C994" s="341" t="s">
        <v>1712</v>
      </c>
      <c r="D994" s="304" t="s">
        <v>1216</v>
      </c>
      <c r="E994" s="978">
        <v>0.32</v>
      </c>
      <c r="F994" s="28">
        <v>121</v>
      </c>
      <c r="G994" s="628">
        <f>ROUND(E994*F994,2)</f>
        <v>38.72</v>
      </c>
      <c r="I994" s="152"/>
      <c r="J994" s="3"/>
      <c r="K994" s="3"/>
      <c r="L994" s="3"/>
      <c r="M994" s="3"/>
      <c r="N994" s="3"/>
      <c r="O994" s="3"/>
      <c r="P994" s="3"/>
      <c r="Q994" s="3"/>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c r="AU994" s="3"/>
      <c r="AV994" s="3"/>
      <c r="AW994" s="3"/>
      <c r="AX994" s="3"/>
      <c r="AY994" s="3"/>
      <c r="AZ994" s="3"/>
      <c r="BA994" s="3"/>
      <c r="BB994" s="3"/>
      <c r="BC994" s="3"/>
      <c r="BD994" s="3"/>
      <c r="BE994" s="3"/>
      <c r="BF994" s="3"/>
      <c r="BG994" s="3"/>
      <c r="BH994" s="3"/>
      <c r="BI994" s="3"/>
      <c r="BJ994" s="3"/>
      <c r="BK994" s="3"/>
      <c r="BL994" s="3"/>
      <c r="BM994" s="3"/>
      <c r="BN994" s="3"/>
      <c r="BO994" s="3"/>
      <c r="BP994" s="3"/>
      <c r="BQ994" s="3"/>
      <c r="BR994" s="3"/>
      <c r="BS994" s="3"/>
      <c r="BT994" s="3"/>
      <c r="BU994" s="3"/>
      <c r="BV994" s="3"/>
      <c r="BW994" s="3"/>
      <c r="BX994" s="3"/>
      <c r="BY994" s="3"/>
      <c r="BZ994" s="3"/>
      <c r="CA994" s="3"/>
      <c r="CB994" s="3"/>
      <c r="CC994" s="3"/>
      <c r="CD994" s="3"/>
      <c r="CE994" s="3"/>
      <c r="CF994" s="3"/>
      <c r="CG994" s="3"/>
      <c r="CH994" s="3"/>
      <c r="CI994" s="3"/>
      <c r="CJ994" s="3"/>
      <c r="CK994" s="3"/>
      <c r="CL994" s="3"/>
      <c r="CM994" s="3"/>
      <c r="CN994" s="3"/>
      <c r="CO994" s="3"/>
      <c r="CP994" s="3"/>
      <c r="CQ994" s="3"/>
      <c r="CR994" s="3"/>
      <c r="CS994" s="3"/>
      <c r="CT994" s="3"/>
      <c r="CU994" s="3"/>
      <c r="CV994" s="3"/>
      <c r="CW994" s="3"/>
      <c r="CX994" s="3"/>
      <c r="CY994" s="3"/>
      <c r="CZ994" s="3"/>
      <c r="DA994" s="3"/>
      <c r="DB994" s="3"/>
      <c r="DC994" s="3"/>
      <c r="DD994" s="3"/>
      <c r="DE994" s="3"/>
      <c r="DF994" s="3"/>
      <c r="DG994" s="3"/>
      <c r="DH994" s="3"/>
      <c r="DI994" s="3"/>
      <c r="DJ994" s="3"/>
      <c r="DK994" s="3"/>
      <c r="DL994" s="3"/>
      <c r="DM994" s="3"/>
      <c r="DN994" s="3"/>
      <c r="DO994" s="3"/>
      <c r="DP994" s="3"/>
      <c r="DQ994" s="3"/>
      <c r="DR994" s="3"/>
      <c r="DS994" s="3"/>
      <c r="DT994" s="3"/>
      <c r="DU994" s="3"/>
      <c r="DV994" s="3"/>
      <c r="DW994" s="3"/>
      <c r="DX994" s="3"/>
      <c r="DY994" s="3"/>
      <c r="DZ994" s="3"/>
      <c r="EA994" s="3"/>
      <c r="EB994" s="3"/>
      <c r="EC994" s="3"/>
      <c r="ED994" s="3"/>
      <c r="EE994" s="3"/>
      <c r="EF994" s="3"/>
      <c r="EG994" s="3"/>
      <c r="EH994" s="3"/>
      <c r="EI994" s="3"/>
      <c r="EJ994" s="3"/>
      <c r="EK994" s="3"/>
      <c r="EL994" s="3"/>
      <c r="EM994" s="3"/>
      <c r="EN994" s="3"/>
      <c r="EO994" s="3"/>
      <c r="EP994" s="3"/>
      <c r="EQ994" s="3"/>
      <c r="ER994" s="3"/>
      <c r="ES994" s="3"/>
      <c r="ET994" s="3"/>
      <c r="EU994" s="3"/>
      <c r="EV994" s="3"/>
      <c r="EW994" s="3"/>
      <c r="EX994" s="3"/>
      <c r="EY994" s="3"/>
      <c r="EZ994" s="3"/>
      <c r="FA994" s="3"/>
      <c r="FB994" s="3"/>
      <c r="FC994" s="3"/>
      <c r="FD994" s="3"/>
      <c r="FE994" s="3"/>
      <c r="FF994" s="3"/>
      <c r="FG994" s="3"/>
      <c r="FH994" s="3"/>
      <c r="FI994" s="3"/>
      <c r="FJ994" s="3"/>
      <c r="FK994" s="3"/>
      <c r="FL994" s="3"/>
      <c r="FM994" s="3"/>
      <c r="FN994" s="3"/>
      <c r="FO994" s="3"/>
      <c r="FP994" s="3"/>
      <c r="FQ994" s="3"/>
      <c r="FR994" s="3"/>
      <c r="FS994" s="3"/>
      <c r="FT994" s="3"/>
      <c r="FU994" s="3"/>
      <c r="FV994" s="3"/>
      <c r="FW994" s="3"/>
      <c r="FX994" s="3"/>
      <c r="FY994" s="3"/>
      <c r="FZ994" s="3"/>
      <c r="GA994" s="3"/>
      <c r="GB994" s="3"/>
      <c r="GC994" s="3"/>
      <c r="GD994" s="3"/>
      <c r="GE994" s="3"/>
      <c r="GF994" s="3"/>
      <c r="GG994" s="3"/>
      <c r="GH994" s="3"/>
      <c r="GI994" s="3"/>
      <c r="GJ994" s="3"/>
      <c r="GK994" s="3"/>
      <c r="GL994" s="3"/>
      <c r="GM994" s="3"/>
      <c r="GN994" s="3"/>
      <c r="GO994" s="3"/>
      <c r="GP994" s="3"/>
      <c r="GQ994" s="3"/>
      <c r="GR994" s="3"/>
      <c r="GS994" s="3"/>
      <c r="GT994" s="3"/>
      <c r="GU994" s="3"/>
      <c r="GV994" s="3"/>
      <c r="GW994" s="3"/>
      <c r="GX994" s="3"/>
      <c r="GY994" s="3"/>
      <c r="GZ994" s="3"/>
      <c r="HA994" s="3"/>
      <c r="HB994" s="3"/>
      <c r="HC994" s="3"/>
      <c r="HD994" s="3"/>
      <c r="HE994" s="3"/>
      <c r="HF994" s="3"/>
      <c r="HG994" s="3"/>
      <c r="HH994" s="3"/>
      <c r="HI994" s="3"/>
      <c r="HJ994" s="3"/>
      <c r="HK994" s="3"/>
      <c r="HL994" s="3"/>
      <c r="HM994" s="3"/>
      <c r="HN994" s="3"/>
      <c r="HO994" s="3"/>
      <c r="HP994" s="3"/>
      <c r="HQ994" s="3"/>
      <c r="HR994" s="3"/>
      <c r="HS994" s="3"/>
      <c r="HT994" s="3"/>
      <c r="HU994" s="3"/>
      <c r="HV994" s="3"/>
      <c r="HW994" s="3"/>
      <c r="HX994" s="3"/>
      <c r="HY994" s="3"/>
      <c r="HZ994" s="3"/>
      <c r="IA994" s="3"/>
      <c r="IB994" s="3"/>
      <c r="IC994" s="3"/>
      <c r="ID994" s="3"/>
      <c r="IE994" s="3"/>
      <c r="IF994" s="3"/>
      <c r="IG994" s="3"/>
      <c r="IH994" s="3"/>
      <c r="II994" s="3"/>
      <c r="IJ994" s="3"/>
      <c r="IK994" s="3"/>
      <c r="IL994" s="3"/>
      <c r="IM994" s="3"/>
      <c r="IN994" s="3"/>
      <c r="IO994" s="3"/>
      <c r="IP994" s="3"/>
      <c r="IQ994" s="3"/>
      <c r="IR994" s="3"/>
      <c r="IS994" s="3"/>
      <c r="IT994" s="3"/>
      <c r="IU994" s="3"/>
      <c r="IV994" s="3"/>
    </row>
    <row r="995" spans="1:256" s="663" customFormat="1">
      <c r="A995" s="627"/>
      <c r="B995" s="962"/>
      <c r="C995" s="341" t="s">
        <v>1713</v>
      </c>
      <c r="D995" s="304"/>
      <c r="E995" s="979">
        <v>0.01</v>
      </c>
      <c r="F995" s="28">
        <f>SUM(G975:G994)</f>
        <v>742.74999999999989</v>
      </c>
      <c r="G995" s="628">
        <f>ROUND(E995*F995,2)</f>
        <v>7.43</v>
      </c>
      <c r="I995" s="152"/>
      <c r="J995" s="3"/>
      <c r="K995" s="3"/>
      <c r="L995" s="3"/>
      <c r="M995" s="3"/>
      <c r="N995" s="3"/>
      <c r="O995" s="3"/>
      <c r="P995" s="3"/>
      <c r="Q995" s="3"/>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c r="AV995" s="3"/>
      <c r="AW995" s="3"/>
      <c r="AX995" s="3"/>
      <c r="AY995" s="3"/>
      <c r="AZ995" s="3"/>
      <c r="BA995" s="3"/>
      <c r="BB995" s="3"/>
      <c r="BC995" s="3"/>
      <c r="BD995" s="3"/>
      <c r="BE995" s="3"/>
      <c r="BF995" s="3"/>
      <c r="BG995" s="3"/>
      <c r="BH995" s="3"/>
      <c r="BI995" s="3"/>
      <c r="BJ995" s="3"/>
      <c r="BK995" s="3"/>
      <c r="BL995" s="3"/>
      <c r="BM995" s="3"/>
      <c r="BN995" s="3"/>
      <c r="BO995" s="3"/>
      <c r="BP995" s="3"/>
      <c r="BQ995" s="3"/>
      <c r="BR995" s="3"/>
      <c r="BS995" s="3"/>
      <c r="BT995" s="3"/>
      <c r="BU995" s="3"/>
      <c r="BV995" s="3"/>
      <c r="BW995" s="3"/>
      <c r="BX995" s="3"/>
      <c r="BY995" s="3"/>
      <c r="BZ995" s="3"/>
      <c r="CA995" s="3"/>
      <c r="CB995" s="3"/>
      <c r="CC995" s="3"/>
      <c r="CD995" s="3"/>
      <c r="CE995" s="3"/>
      <c r="CF995" s="3"/>
      <c r="CG995" s="3"/>
      <c r="CH995" s="3"/>
      <c r="CI995" s="3"/>
      <c r="CJ995" s="3"/>
      <c r="CK995" s="3"/>
      <c r="CL995" s="3"/>
      <c r="CM995" s="3"/>
      <c r="CN995" s="3"/>
      <c r="CO995" s="3"/>
      <c r="CP995" s="3"/>
      <c r="CQ995" s="3"/>
      <c r="CR995" s="3"/>
      <c r="CS995" s="3"/>
      <c r="CT995" s="3"/>
      <c r="CU995" s="3"/>
      <c r="CV995" s="3"/>
      <c r="CW995" s="3"/>
      <c r="CX995" s="3"/>
      <c r="CY995" s="3"/>
      <c r="CZ995" s="3"/>
      <c r="DA995" s="3"/>
      <c r="DB995" s="3"/>
      <c r="DC995" s="3"/>
      <c r="DD995" s="3"/>
      <c r="DE995" s="3"/>
      <c r="DF995" s="3"/>
      <c r="DG995" s="3"/>
      <c r="DH995" s="3"/>
      <c r="DI995" s="3"/>
      <c r="DJ995" s="3"/>
      <c r="DK995" s="3"/>
      <c r="DL995" s="3"/>
      <c r="DM995" s="3"/>
      <c r="DN995" s="3"/>
      <c r="DO995" s="3"/>
      <c r="DP995" s="3"/>
      <c r="DQ995" s="3"/>
      <c r="DR995" s="3"/>
      <c r="DS995" s="3"/>
      <c r="DT995" s="3"/>
      <c r="DU995" s="3"/>
      <c r="DV995" s="3"/>
      <c r="DW995" s="3"/>
      <c r="DX995" s="3"/>
      <c r="DY995" s="3"/>
      <c r="DZ995" s="3"/>
      <c r="EA995" s="3"/>
      <c r="EB995" s="3"/>
      <c r="EC995" s="3"/>
      <c r="ED995" s="3"/>
      <c r="EE995" s="3"/>
      <c r="EF995" s="3"/>
      <c r="EG995" s="3"/>
      <c r="EH995" s="3"/>
      <c r="EI995" s="3"/>
      <c r="EJ995" s="3"/>
      <c r="EK995" s="3"/>
      <c r="EL995" s="3"/>
      <c r="EM995" s="3"/>
      <c r="EN995" s="3"/>
      <c r="EO995" s="3"/>
      <c r="EP995" s="3"/>
      <c r="EQ995" s="3"/>
      <c r="ER995" s="3"/>
      <c r="ES995" s="3"/>
      <c r="ET995" s="3"/>
      <c r="EU995" s="3"/>
      <c r="EV995" s="3"/>
      <c r="EW995" s="3"/>
      <c r="EX995" s="3"/>
      <c r="EY995" s="3"/>
      <c r="EZ995" s="3"/>
      <c r="FA995" s="3"/>
      <c r="FB995" s="3"/>
      <c r="FC995" s="3"/>
      <c r="FD995" s="3"/>
      <c r="FE995" s="3"/>
      <c r="FF995" s="3"/>
      <c r="FG995" s="3"/>
      <c r="FH995" s="3"/>
      <c r="FI995" s="3"/>
      <c r="FJ995" s="3"/>
      <c r="FK995" s="3"/>
      <c r="FL995" s="3"/>
      <c r="FM995" s="3"/>
      <c r="FN995" s="3"/>
      <c r="FO995" s="3"/>
      <c r="FP995" s="3"/>
      <c r="FQ995" s="3"/>
      <c r="FR995" s="3"/>
      <c r="FS995" s="3"/>
      <c r="FT995" s="3"/>
      <c r="FU995" s="3"/>
      <c r="FV995" s="3"/>
      <c r="FW995" s="3"/>
      <c r="FX995" s="3"/>
      <c r="FY995" s="3"/>
      <c r="FZ995" s="3"/>
      <c r="GA995" s="3"/>
      <c r="GB995" s="3"/>
      <c r="GC995" s="3"/>
      <c r="GD995" s="3"/>
      <c r="GE995" s="3"/>
      <c r="GF995" s="3"/>
      <c r="GG995" s="3"/>
      <c r="GH995" s="3"/>
      <c r="GI995" s="3"/>
      <c r="GJ995" s="3"/>
      <c r="GK995" s="3"/>
      <c r="GL995" s="3"/>
      <c r="GM995" s="3"/>
      <c r="GN995" s="3"/>
      <c r="GO995" s="3"/>
      <c r="GP995" s="3"/>
      <c r="GQ995" s="3"/>
      <c r="GR995" s="3"/>
      <c r="GS995" s="3"/>
      <c r="GT995" s="3"/>
      <c r="GU995" s="3"/>
      <c r="GV995" s="3"/>
      <c r="GW995" s="3"/>
      <c r="GX995" s="3"/>
      <c r="GY995" s="3"/>
      <c r="GZ995" s="3"/>
      <c r="HA995" s="3"/>
      <c r="HB995" s="3"/>
      <c r="HC995" s="3"/>
      <c r="HD995" s="3"/>
      <c r="HE995" s="3"/>
      <c r="HF995" s="3"/>
      <c r="HG995" s="3"/>
      <c r="HH995" s="3"/>
      <c r="HI995" s="3"/>
      <c r="HJ995" s="3"/>
      <c r="HK995" s="3"/>
      <c r="HL995" s="3"/>
      <c r="HM995" s="3"/>
      <c r="HN995" s="3"/>
      <c r="HO995" s="3"/>
      <c r="HP995" s="3"/>
      <c r="HQ995" s="3"/>
      <c r="HR995" s="3"/>
      <c r="HS995" s="3"/>
      <c r="HT995" s="3"/>
      <c r="HU995" s="3"/>
      <c r="HV995" s="3"/>
      <c r="HW995" s="3"/>
      <c r="HX995" s="3"/>
      <c r="HY995" s="3"/>
      <c r="HZ995" s="3"/>
      <c r="IA995" s="3"/>
      <c r="IB995" s="3"/>
      <c r="IC995" s="3"/>
      <c r="ID995" s="3"/>
      <c r="IE995" s="3"/>
      <c r="IF995" s="3"/>
      <c r="IG995" s="3"/>
      <c r="IH995" s="3"/>
      <c r="II995" s="3"/>
      <c r="IJ995" s="3"/>
      <c r="IK995" s="3"/>
      <c r="IL995" s="3"/>
      <c r="IM995" s="3"/>
      <c r="IN995" s="3"/>
      <c r="IO995" s="3"/>
      <c r="IP995" s="3"/>
      <c r="IQ995" s="3"/>
      <c r="IR995" s="3"/>
      <c r="IS995" s="3"/>
      <c r="IT995" s="3"/>
      <c r="IU995" s="3"/>
      <c r="IV995" s="3"/>
    </row>
    <row r="996" spans="1:256" s="663" customFormat="1">
      <c r="A996" s="627"/>
      <c r="B996" s="962"/>
      <c r="C996" s="20" t="s">
        <v>97</v>
      </c>
      <c r="D996" s="304"/>
      <c r="E996" s="978"/>
      <c r="F996" s="28"/>
      <c r="G996" s="628"/>
      <c r="I996" s="152"/>
      <c r="J996" s="3"/>
      <c r="K996" s="3"/>
      <c r="L996" s="3"/>
      <c r="M996" s="3"/>
      <c r="N996" s="3"/>
      <c r="O996" s="3"/>
      <c r="P996" s="3"/>
      <c r="Q996" s="3"/>
      <c r="R996" s="3"/>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c r="AU996" s="3"/>
      <c r="AV996" s="3"/>
      <c r="AW996" s="3"/>
      <c r="AX996" s="3"/>
      <c r="AY996" s="3"/>
      <c r="AZ996" s="3"/>
      <c r="BA996" s="3"/>
      <c r="BB996" s="3"/>
      <c r="BC996" s="3"/>
      <c r="BD996" s="3"/>
      <c r="BE996" s="3"/>
      <c r="BF996" s="3"/>
      <c r="BG996" s="3"/>
      <c r="BH996" s="3"/>
      <c r="BI996" s="3"/>
      <c r="BJ996" s="3"/>
      <c r="BK996" s="3"/>
      <c r="BL996" s="3"/>
      <c r="BM996" s="3"/>
      <c r="BN996" s="3"/>
      <c r="BO996" s="3"/>
      <c r="BP996" s="3"/>
      <c r="BQ996" s="3"/>
      <c r="BR996" s="3"/>
      <c r="BS996" s="3"/>
      <c r="BT996" s="3"/>
      <c r="BU996" s="3"/>
      <c r="BV996" s="3"/>
      <c r="BW996" s="3"/>
      <c r="BX996" s="3"/>
      <c r="BY996" s="3"/>
      <c r="BZ996" s="3"/>
      <c r="CA996" s="3"/>
      <c r="CB996" s="3"/>
      <c r="CC996" s="3"/>
      <c r="CD996" s="3"/>
      <c r="CE996" s="3"/>
      <c r="CF996" s="3"/>
      <c r="CG996" s="3"/>
      <c r="CH996" s="3"/>
      <c r="CI996" s="3"/>
      <c r="CJ996" s="3"/>
      <c r="CK996" s="3"/>
      <c r="CL996" s="3"/>
      <c r="CM996" s="3"/>
      <c r="CN996" s="3"/>
      <c r="CO996" s="3"/>
      <c r="CP996" s="3"/>
      <c r="CQ996" s="3"/>
      <c r="CR996" s="3"/>
      <c r="CS996" s="3"/>
      <c r="CT996" s="3"/>
      <c r="CU996" s="3"/>
      <c r="CV996" s="3"/>
      <c r="CW996" s="3"/>
      <c r="CX996" s="3"/>
      <c r="CY996" s="3"/>
      <c r="CZ996" s="3"/>
      <c r="DA996" s="3"/>
      <c r="DB996" s="3"/>
      <c r="DC996" s="3"/>
      <c r="DD996" s="3"/>
      <c r="DE996" s="3"/>
      <c r="DF996" s="3"/>
      <c r="DG996" s="3"/>
      <c r="DH996" s="3"/>
      <c r="DI996" s="3"/>
      <c r="DJ996" s="3"/>
      <c r="DK996" s="3"/>
      <c r="DL996" s="3"/>
      <c r="DM996" s="3"/>
      <c r="DN996" s="3"/>
      <c r="DO996" s="3"/>
      <c r="DP996" s="3"/>
      <c r="DQ996" s="3"/>
      <c r="DR996" s="3"/>
      <c r="DS996" s="3"/>
      <c r="DT996" s="3"/>
      <c r="DU996" s="3"/>
      <c r="DV996" s="3"/>
      <c r="DW996" s="3"/>
      <c r="DX996" s="3"/>
      <c r="DY996" s="3"/>
      <c r="DZ996" s="3"/>
      <c r="EA996" s="3"/>
      <c r="EB996" s="3"/>
      <c r="EC996" s="3"/>
      <c r="ED996" s="3"/>
      <c r="EE996" s="3"/>
      <c r="EF996" s="3"/>
      <c r="EG996" s="3"/>
      <c r="EH996" s="3"/>
      <c r="EI996" s="3"/>
      <c r="EJ996" s="3"/>
      <c r="EK996" s="3"/>
      <c r="EL996" s="3"/>
      <c r="EM996" s="3"/>
      <c r="EN996" s="3"/>
      <c r="EO996" s="3"/>
      <c r="EP996" s="3"/>
      <c r="EQ996" s="3"/>
      <c r="ER996" s="3"/>
      <c r="ES996" s="3"/>
      <c r="ET996" s="3"/>
      <c r="EU996" s="3"/>
      <c r="EV996" s="3"/>
      <c r="EW996" s="3"/>
      <c r="EX996" s="3"/>
      <c r="EY996" s="3"/>
      <c r="EZ996" s="3"/>
      <c r="FA996" s="3"/>
      <c r="FB996" s="3"/>
      <c r="FC996" s="3"/>
      <c r="FD996" s="3"/>
      <c r="FE996" s="3"/>
      <c r="FF996" s="3"/>
      <c r="FG996" s="3"/>
      <c r="FH996" s="3"/>
      <c r="FI996" s="3"/>
      <c r="FJ996" s="3"/>
      <c r="FK996" s="3"/>
      <c r="FL996" s="3"/>
      <c r="FM996" s="3"/>
      <c r="FN996" s="3"/>
      <c r="FO996" s="3"/>
      <c r="FP996" s="3"/>
      <c r="FQ996" s="3"/>
      <c r="FR996" s="3"/>
      <c r="FS996" s="3"/>
      <c r="FT996" s="3"/>
      <c r="FU996" s="3"/>
      <c r="FV996" s="3"/>
      <c r="FW996" s="3"/>
      <c r="FX996" s="3"/>
      <c r="FY996" s="3"/>
      <c r="FZ996" s="3"/>
      <c r="GA996" s="3"/>
      <c r="GB996" s="3"/>
      <c r="GC996" s="3"/>
      <c r="GD996" s="3"/>
      <c r="GE996" s="3"/>
      <c r="GF996" s="3"/>
      <c r="GG996" s="3"/>
      <c r="GH996" s="3"/>
      <c r="GI996" s="3"/>
      <c r="GJ996" s="3"/>
      <c r="GK996" s="3"/>
      <c r="GL996" s="3"/>
      <c r="GM996" s="3"/>
      <c r="GN996" s="3"/>
      <c r="GO996" s="3"/>
      <c r="GP996" s="3"/>
      <c r="GQ996" s="3"/>
      <c r="GR996" s="3"/>
      <c r="GS996" s="3"/>
      <c r="GT996" s="3"/>
      <c r="GU996" s="3"/>
      <c r="GV996" s="3"/>
      <c r="GW996" s="3"/>
      <c r="GX996" s="3"/>
      <c r="GY996" s="3"/>
      <c r="GZ996" s="3"/>
      <c r="HA996" s="3"/>
      <c r="HB996" s="3"/>
      <c r="HC996" s="3"/>
      <c r="HD996" s="3"/>
      <c r="HE996" s="3"/>
      <c r="HF996" s="3"/>
      <c r="HG996" s="3"/>
      <c r="HH996" s="3"/>
      <c r="HI996" s="3"/>
      <c r="HJ996" s="3"/>
      <c r="HK996" s="3"/>
      <c r="HL996" s="3"/>
      <c r="HM996" s="3"/>
      <c r="HN996" s="3"/>
      <c r="HO996" s="3"/>
      <c r="HP996" s="3"/>
      <c r="HQ996" s="3"/>
      <c r="HR996" s="3"/>
      <c r="HS996" s="3"/>
      <c r="HT996" s="3"/>
      <c r="HU996" s="3"/>
      <c r="HV996" s="3"/>
      <c r="HW996" s="3"/>
      <c r="HX996" s="3"/>
      <c r="HY996" s="3"/>
      <c r="HZ996" s="3"/>
      <c r="IA996" s="3"/>
      <c r="IB996" s="3"/>
      <c r="IC996" s="3"/>
      <c r="ID996" s="3"/>
      <c r="IE996" s="3"/>
      <c r="IF996" s="3"/>
      <c r="IG996" s="3"/>
      <c r="IH996" s="3"/>
      <c r="II996" s="3"/>
      <c r="IJ996" s="3"/>
      <c r="IK996" s="3"/>
      <c r="IL996" s="3"/>
      <c r="IM996" s="3"/>
      <c r="IN996" s="3"/>
      <c r="IO996" s="3"/>
      <c r="IP996" s="3"/>
      <c r="IQ996" s="3"/>
      <c r="IR996" s="3"/>
      <c r="IS996" s="3"/>
      <c r="IT996" s="3"/>
      <c r="IU996" s="3"/>
      <c r="IV996" s="3"/>
    </row>
    <row r="997" spans="1:256" s="663" customFormat="1">
      <c r="A997" s="45"/>
      <c r="B997" s="907"/>
      <c r="C997" s="55" t="s">
        <v>1600</v>
      </c>
      <c r="D997" s="190"/>
      <c r="E997" s="158">
        <f>'Lead- Input sheet '!$Q$32</f>
        <v>0</v>
      </c>
      <c r="F997" s="29">
        <f>SUM(G975:G995)</f>
        <v>750.17999999999984</v>
      </c>
      <c r="G997" s="628">
        <f>ROUND(E997*F997,2)</f>
        <v>0</v>
      </c>
      <c r="I997" s="152"/>
      <c r="J997" s="3"/>
      <c r="K997" s="3"/>
      <c r="L997" s="3"/>
      <c r="M997" s="3"/>
      <c r="N997" s="3"/>
      <c r="O997" s="3"/>
      <c r="P997" s="3"/>
      <c r="Q997" s="3"/>
      <c r="R997" s="3"/>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c r="AU997" s="3"/>
      <c r="AV997" s="3"/>
      <c r="AW997" s="3"/>
      <c r="AX997" s="3"/>
      <c r="AY997" s="3"/>
      <c r="AZ997" s="3"/>
      <c r="BA997" s="3"/>
      <c r="BB997" s="3"/>
      <c r="BC997" s="3"/>
      <c r="BD997" s="3"/>
      <c r="BE997" s="3"/>
      <c r="BF997" s="3"/>
      <c r="BG997" s="3"/>
      <c r="BH997" s="3"/>
      <c r="BI997" s="3"/>
      <c r="BJ997" s="3"/>
      <c r="BK997" s="3"/>
      <c r="BL997" s="3"/>
      <c r="BM997" s="3"/>
      <c r="BN997" s="3"/>
      <c r="BO997" s="3"/>
      <c r="BP997" s="3"/>
      <c r="BQ997" s="3"/>
      <c r="BR997" s="3"/>
      <c r="BS997" s="3"/>
      <c r="BT997" s="3"/>
      <c r="BU997" s="3"/>
      <c r="BV997" s="3"/>
      <c r="BW997" s="3"/>
      <c r="BX997" s="3"/>
      <c r="BY997" s="3"/>
      <c r="BZ997" s="3"/>
      <c r="CA997" s="3"/>
      <c r="CB997" s="3"/>
      <c r="CC997" s="3"/>
      <c r="CD997" s="3"/>
      <c r="CE997" s="3"/>
      <c r="CF997" s="3"/>
      <c r="CG997" s="3"/>
      <c r="CH997" s="3"/>
      <c r="CI997" s="3"/>
      <c r="CJ997" s="3"/>
      <c r="CK997" s="3"/>
      <c r="CL997" s="3"/>
      <c r="CM997" s="3"/>
      <c r="CN997" s="3"/>
      <c r="CO997" s="3"/>
      <c r="CP997" s="3"/>
      <c r="CQ997" s="3"/>
      <c r="CR997" s="3"/>
      <c r="CS997" s="3"/>
      <c r="CT997" s="3"/>
      <c r="CU997" s="3"/>
      <c r="CV997" s="3"/>
      <c r="CW997" s="3"/>
      <c r="CX997" s="3"/>
      <c r="CY997" s="3"/>
      <c r="CZ997" s="3"/>
      <c r="DA997" s="3"/>
      <c r="DB997" s="3"/>
      <c r="DC997" s="3"/>
      <c r="DD997" s="3"/>
      <c r="DE997" s="3"/>
      <c r="DF997" s="3"/>
      <c r="DG997" s="3"/>
      <c r="DH997" s="3"/>
      <c r="DI997" s="3"/>
      <c r="DJ997" s="3"/>
      <c r="DK997" s="3"/>
      <c r="DL997" s="3"/>
      <c r="DM997" s="3"/>
      <c r="DN997" s="3"/>
      <c r="DO997" s="3"/>
      <c r="DP997" s="3"/>
      <c r="DQ997" s="3"/>
      <c r="DR997" s="3"/>
      <c r="DS997" s="3"/>
      <c r="DT997" s="3"/>
      <c r="DU997" s="3"/>
      <c r="DV997" s="3"/>
      <c r="DW997" s="3"/>
      <c r="DX997" s="3"/>
      <c r="DY997" s="3"/>
      <c r="DZ997" s="3"/>
      <c r="EA997" s="3"/>
      <c r="EB997" s="3"/>
      <c r="EC997" s="3"/>
      <c r="ED997" s="3"/>
      <c r="EE997" s="3"/>
      <c r="EF997" s="3"/>
      <c r="EG997" s="3"/>
      <c r="EH997" s="3"/>
      <c r="EI997" s="3"/>
      <c r="EJ997" s="3"/>
      <c r="EK997" s="3"/>
      <c r="EL997" s="3"/>
      <c r="EM997" s="3"/>
      <c r="EN997" s="3"/>
      <c r="EO997" s="3"/>
      <c r="EP997" s="3"/>
      <c r="EQ997" s="3"/>
      <c r="ER997" s="3"/>
      <c r="ES997" s="3"/>
      <c r="ET997" s="3"/>
      <c r="EU997" s="3"/>
      <c r="EV997" s="3"/>
      <c r="EW997" s="3"/>
      <c r="EX997" s="3"/>
      <c r="EY997" s="3"/>
      <c r="EZ997" s="3"/>
      <c r="FA997" s="3"/>
      <c r="FB997" s="3"/>
      <c r="FC997" s="3"/>
      <c r="FD997" s="3"/>
      <c r="FE997" s="3"/>
      <c r="FF997" s="3"/>
      <c r="FG997" s="3"/>
      <c r="FH997" s="3"/>
      <c r="FI997" s="3"/>
      <c r="FJ997" s="3"/>
      <c r="FK997" s="3"/>
      <c r="FL997" s="3"/>
      <c r="FM997" s="3"/>
      <c r="FN997" s="3"/>
      <c r="FO997" s="3"/>
      <c r="FP997" s="3"/>
      <c r="FQ997" s="3"/>
      <c r="FR997" s="3"/>
      <c r="FS997" s="3"/>
      <c r="FT997" s="3"/>
      <c r="FU997" s="3"/>
      <c r="FV997" s="3"/>
      <c r="FW997" s="3"/>
      <c r="FX997" s="3"/>
      <c r="FY997" s="3"/>
      <c r="FZ997" s="3"/>
      <c r="GA997" s="3"/>
      <c r="GB997" s="3"/>
      <c r="GC997" s="3"/>
      <c r="GD997" s="3"/>
      <c r="GE997" s="3"/>
      <c r="GF997" s="3"/>
      <c r="GG997" s="3"/>
      <c r="GH997" s="3"/>
      <c r="GI997" s="3"/>
      <c r="GJ997" s="3"/>
      <c r="GK997" s="3"/>
      <c r="GL997" s="3"/>
      <c r="GM997" s="3"/>
      <c r="GN997" s="3"/>
      <c r="GO997" s="3"/>
      <c r="GP997" s="3"/>
      <c r="GQ997" s="3"/>
      <c r="GR997" s="3"/>
      <c r="GS997" s="3"/>
      <c r="GT997" s="3"/>
      <c r="GU997" s="3"/>
      <c r="GV997" s="3"/>
      <c r="GW997" s="3"/>
      <c r="GX997" s="3"/>
      <c r="GY997" s="3"/>
      <c r="GZ997" s="3"/>
      <c r="HA997" s="3"/>
      <c r="HB997" s="3"/>
      <c r="HC997" s="3"/>
      <c r="HD997" s="3"/>
      <c r="HE997" s="3"/>
      <c r="HF997" s="3"/>
      <c r="HG997" s="3"/>
      <c r="HH997" s="3"/>
      <c r="HI997" s="3"/>
      <c r="HJ997" s="3"/>
      <c r="HK997" s="3"/>
      <c r="HL997" s="3"/>
      <c r="HM997" s="3"/>
      <c r="HN997" s="3"/>
      <c r="HO997" s="3"/>
      <c r="HP997" s="3"/>
      <c r="HQ997" s="3"/>
      <c r="HR997" s="3"/>
      <c r="HS997" s="3"/>
      <c r="HT997" s="3"/>
      <c r="HU997" s="3"/>
      <c r="HV997" s="3"/>
      <c r="HW997" s="3"/>
      <c r="HX997" s="3"/>
      <c r="HY997" s="3"/>
      <c r="HZ997" s="3"/>
      <c r="IA997" s="3"/>
      <c r="IB997" s="3"/>
      <c r="IC997" s="3"/>
      <c r="ID997" s="3"/>
      <c r="IE997" s="3"/>
      <c r="IF997" s="3"/>
      <c r="IG997" s="3"/>
      <c r="IH997" s="3"/>
      <c r="II997" s="3"/>
      <c r="IJ997" s="3"/>
      <c r="IK997" s="3"/>
      <c r="IL997" s="3"/>
      <c r="IM997" s="3"/>
      <c r="IN997" s="3"/>
      <c r="IO997" s="3"/>
      <c r="IP997" s="3"/>
      <c r="IQ997" s="3"/>
      <c r="IR997" s="3"/>
      <c r="IS997" s="3"/>
      <c r="IT997" s="3"/>
      <c r="IU997" s="3"/>
      <c r="IV997" s="3"/>
    </row>
    <row r="998" spans="1:256" s="663" customFormat="1">
      <c r="A998" s="627"/>
      <c r="B998" s="962"/>
      <c r="C998" s="20" t="s">
        <v>1717</v>
      </c>
      <c r="D998" s="304"/>
      <c r="E998" s="978"/>
      <c r="F998" s="28"/>
      <c r="G998" s="628">
        <f>SUM(G975:G997)</f>
        <v>750.17999999999984</v>
      </c>
      <c r="I998" s="152"/>
      <c r="J998" s="3"/>
      <c r="K998" s="3"/>
      <c r="L998" s="3"/>
      <c r="M998" s="3"/>
      <c r="N998" s="3"/>
      <c r="O998" s="3"/>
      <c r="P998" s="3"/>
      <c r="Q998" s="3"/>
      <c r="R998" s="3"/>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c r="AU998" s="3"/>
      <c r="AV998" s="3"/>
      <c r="AW998" s="3"/>
      <c r="AX998" s="3"/>
      <c r="AY998" s="3"/>
      <c r="AZ998" s="3"/>
      <c r="BA998" s="3"/>
      <c r="BB998" s="3"/>
      <c r="BC998" s="3"/>
      <c r="BD998" s="3"/>
      <c r="BE998" s="3"/>
      <c r="BF998" s="3"/>
      <c r="BG998" s="3"/>
      <c r="BH998" s="3"/>
      <c r="BI998" s="3"/>
      <c r="BJ998" s="3"/>
      <c r="BK998" s="3"/>
      <c r="BL998" s="3"/>
      <c r="BM998" s="3"/>
      <c r="BN998" s="3"/>
      <c r="BO998" s="3"/>
      <c r="BP998" s="3"/>
      <c r="BQ998" s="3"/>
      <c r="BR998" s="3"/>
      <c r="BS998" s="3"/>
      <c r="BT998" s="3"/>
      <c r="BU998" s="3"/>
      <c r="BV998" s="3"/>
      <c r="BW998" s="3"/>
      <c r="BX998" s="3"/>
      <c r="BY998" s="3"/>
      <c r="BZ998" s="3"/>
      <c r="CA998" s="3"/>
      <c r="CB998" s="3"/>
      <c r="CC998" s="3"/>
      <c r="CD998" s="3"/>
      <c r="CE998" s="3"/>
      <c r="CF998" s="3"/>
      <c r="CG998" s="3"/>
      <c r="CH998" s="3"/>
      <c r="CI998" s="3"/>
      <c r="CJ998" s="3"/>
      <c r="CK998" s="3"/>
      <c r="CL998" s="3"/>
      <c r="CM998" s="3"/>
      <c r="CN998" s="3"/>
      <c r="CO998" s="3"/>
      <c r="CP998" s="3"/>
      <c r="CQ998" s="3"/>
      <c r="CR998" s="3"/>
      <c r="CS998" s="3"/>
      <c r="CT998" s="3"/>
      <c r="CU998" s="3"/>
      <c r="CV998" s="3"/>
      <c r="CW998" s="3"/>
      <c r="CX998" s="3"/>
      <c r="CY998" s="3"/>
      <c r="CZ998" s="3"/>
      <c r="DA998" s="3"/>
      <c r="DB998" s="3"/>
      <c r="DC998" s="3"/>
      <c r="DD998" s="3"/>
      <c r="DE998" s="3"/>
      <c r="DF998" s="3"/>
      <c r="DG998" s="3"/>
      <c r="DH998" s="3"/>
      <c r="DI998" s="3"/>
      <c r="DJ998" s="3"/>
      <c r="DK998" s="3"/>
      <c r="DL998" s="3"/>
      <c r="DM998" s="3"/>
      <c r="DN998" s="3"/>
      <c r="DO998" s="3"/>
      <c r="DP998" s="3"/>
      <c r="DQ998" s="3"/>
      <c r="DR998" s="3"/>
      <c r="DS998" s="3"/>
      <c r="DT998" s="3"/>
      <c r="DU998" s="3"/>
      <c r="DV998" s="3"/>
      <c r="DW998" s="3"/>
      <c r="DX998" s="3"/>
      <c r="DY998" s="3"/>
      <c r="DZ998" s="3"/>
      <c r="EA998" s="3"/>
      <c r="EB998" s="3"/>
      <c r="EC998" s="3"/>
      <c r="ED998" s="3"/>
      <c r="EE998" s="3"/>
      <c r="EF998" s="3"/>
      <c r="EG998" s="3"/>
      <c r="EH998" s="3"/>
      <c r="EI998" s="3"/>
      <c r="EJ998" s="3"/>
      <c r="EK998" s="3"/>
      <c r="EL998" s="3"/>
      <c r="EM998" s="3"/>
      <c r="EN998" s="3"/>
      <c r="EO998" s="3"/>
      <c r="EP998" s="3"/>
      <c r="EQ998" s="3"/>
      <c r="ER998" s="3"/>
      <c r="ES998" s="3"/>
      <c r="ET998" s="3"/>
      <c r="EU998" s="3"/>
      <c r="EV998" s="3"/>
      <c r="EW998" s="3"/>
      <c r="EX998" s="3"/>
      <c r="EY998" s="3"/>
      <c r="EZ998" s="3"/>
      <c r="FA998" s="3"/>
      <c r="FB998" s="3"/>
      <c r="FC998" s="3"/>
      <c r="FD998" s="3"/>
      <c r="FE998" s="3"/>
      <c r="FF998" s="3"/>
      <c r="FG998" s="3"/>
      <c r="FH998" s="3"/>
      <c r="FI998" s="3"/>
      <c r="FJ998" s="3"/>
      <c r="FK998" s="3"/>
      <c r="FL998" s="3"/>
      <c r="FM998" s="3"/>
      <c r="FN998" s="3"/>
      <c r="FO998" s="3"/>
      <c r="FP998" s="3"/>
      <c r="FQ998" s="3"/>
      <c r="FR998" s="3"/>
      <c r="FS998" s="3"/>
      <c r="FT998" s="3"/>
      <c r="FU998" s="3"/>
      <c r="FV998" s="3"/>
      <c r="FW998" s="3"/>
      <c r="FX998" s="3"/>
      <c r="FY998" s="3"/>
      <c r="FZ998" s="3"/>
      <c r="GA998" s="3"/>
      <c r="GB998" s="3"/>
      <c r="GC998" s="3"/>
      <c r="GD998" s="3"/>
      <c r="GE998" s="3"/>
      <c r="GF998" s="3"/>
      <c r="GG998" s="3"/>
      <c r="GH998" s="3"/>
      <c r="GI998" s="3"/>
      <c r="GJ998" s="3"/>
      <c r="GK998" s="3"/>
      <c r="GL998" s="3"/>
      <c r="GM998" s="3"/>
      <c r="GN998" s="3"/>
      <c r="GO998" s="3"/>
      <c r="GP998" s="3"/>
      <c r="GQ998" s="3"/>
      <c r="GR998" s="3"/>
      <c r="GS998" s="3"/>
      <c r="GT998" s="3"/>
      <c r="GU998" s="3"/>
      <c r="GV998" s="3"/>
      <c r="GW998" s="3"/>
      <c r="GX998" s="3"/>
      <c r="GY998" s="3"/>
      <c r="GZ998" s="3"/>
      <c r="HA998" s="3"/>
      <c r="HB998" s="3"/>
      <c r="HC998" s="3"/>
      <c r="HD998" s="3"/>
      <c r="HE998" s="3"/>
      <c r="HF998" s="3"/>
      <c r="HG998" s="3"/>
      <c r="HH998" s="3"/>
      <c r="HI998" s="3"/>
      <c r="HJ998" s="3"/>
      <c r="HK998" s="3"/>
      <c r="HL998" s="3"/>
      <c r="HM998" s="3"/>
      <c r="HN998" s="3"/>
      <c r="HO998" s="3"/>
      <c r="HP998" s="3"/>
      <c r="HQ998" s="3"/>
      <c r="HR998" s="3"/>
      <c r="HS998" s="3"/>
      <c r="HT998" s="3"/>
      <c r="HU998" s="3"/>
      <c r="HV998" s="3"/>
      <c r="HW998" s="3"/>
      <c r="HX998" s="3"/>
      <c r="HY998" s="3"/>
      <c r="HZ998" s="3"/>
      <c r="IA998" s="3"/>
      <c r="IB998" s="3"/>
      <c r="IC998" s="3"/>
      <c r="ID998" s="3"/>
      <c r="IE998" s="3"/>
      <c r="IF998" s="3"/>
      <c r="IG998" s="3"/>
      <c r="IH998" s="3"/>
      <c r="II998" s="3"/>
      <c r="IJ998" s="3"/>
      <c r="IK998" s="3"/>
      <c r="IL998" s="3"/>
      <c r="IM998" s="3"/>
      <c r="IN998" s="3"/>
      <c r="IO998" s="3"/>
      <c r="IP998" s="3"/>
      <c r="IQ998" s="3"/>
      <c r="IR998" s="3"/>
      <c r="IS998" s="3"/>
      <c r="IT998" s="3"/>
      <c r="IU998" s="3"/>
      <c r="IV998" s="3"/>
    </row>
    <row r="999" spans="1:256" s="663" customFormat="1" ht="154.80000000000001">
      <c r="A999" s="627"/>
      <c r="B999" s="962">
        <v>54</v>
      </c>
      <c r="C999" s="54" t="s">
        <v>1727</v>
      </c>
      <c r="D999" s="304"/>
      <c r="E999" s="28"/>
      <c r="F999" s="28"/>
      <c r="G999" s="628"/>
      <c r="I999" s="152"/>
      <c r="J999" s="3"/>
      <c r="K999" s="3"/>
      <c r="L999" s="3"/>
      <c r="M999" s="3"/>
      <c r="N999" s="3"/>
      <c r="O999" s="3"/>
      <c r="P999" s="3"/>
      <c r="Q999" s="3"/>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c r="AU999" s="3"/>
      <c r="AV999" s="3"/>
      <c r="AW999" s="3"/>
      <c r="AX999" s="3"/>
      <c r="AY999" s="3"/>
      <c r="AZ999" s="3"/>
      <c r="BA999" s="3"/>
      <c r="BB999" s="3"/>
      <c r="BC999" s="3"/>
      <c r="BD999" s="3"/>
      <c r="BE999" s="3"/>
      <c r="BF999" s="3"/>
      <c r="BG999" s="3"/>
      <c r="BH999" s="3"/>
      <c r="BI999" s="3"/>
      <c r="BJ999" s="3"/>
      <c r="BK999" s="3"/>
      <c r="BL999" s="3"/>
      <c r="BM999" s="3"/>
      <c r="BN999" s="3"/>
      <c r="BO999" s="3"/>
      <c r="BP999" s="3"/>
      <c r="BQ999" s="3"/>
      <c r="BR999" s="3"/>
      <c r="BS999" s="3"/>
      <c r="BT999" s="3"/>
      <c r="BU999" s="3"/>
      <c r="BV999" s="3"/>
      <c r="BW999" s="3"/>
      <c r="BX999" s="3"/>
      <c r="BY999" s="3"/>
      <c r="BZ999" s="3"/>
      <c r="CA999" s="3"/>
      <c r="CB999" s="3"/>
      <c r="CC999" s="3"/>
      <c r="CD999" s="3"/>
      <c r="CE999" s="3"/>
      <c r="CF999" s="3"/>
      <c r="CG999" s="3"/>
      <c r="CH999" s="3"/>
      <c r="CI999" s="3"/>
      <c r="CJ999" s="3"/>
      <c r="CK999" s="3"/>
      <c r="CL999" s="3"/>
      <c r="CM999" s="3"/>
      <c r="CN999" s="3"/>
      <c r="CO999" s="3"/>
      <c r="CP999" s="3"/>
      <c r="CQ999" s="3"/>
      <c r="CR999" s="3"/>
      <c r="CS999" s="3"/>
      <c r="CT999" s="3"/>
      <c r="CU999" s="3"/>
      <c r="CV999" s="3"/>
      <c r="CW999" s="3"/>
      <c r="CX999" s="3"/>
      <c r="CY999" s="3"/>
      <c r="CZ999" s="3"/>
      <c r="DA999" s="3"/>
      <c r="DB999" s="3"/>
      <c r="DC999" s="3"/>
      <c r="DD999" s="3"/>
      <c r="DE999" s="3"/>
      <c r="DF999" s="3"/>
      <c r="DG999" s="3"/>
      <c r="DH999" s="3"/>
      <c r="DI999" s="3"/>
      <c r="DJ999" s="3"/>
      <c r="DK999" s="3"/>
      <c r="DL999" s="3"/>
      <c r="DM999" s="3"/>
      <c r="DN999" s="3"/>
      <c r="DO999" s="3"/>
      <c r="DP999" s="3"/>
      <c r="DQ999" s="3"/>
      <c r="DR999" s="3"/>
      <c r="DS999" s="3"/>
      <c r="DT999" s="3"/>
      <c r="DU999" s="3"/>
      <c r="DV999" s="3"/>
      <c r="DW999" s="3"/>
      <c r="DX999" s="3"/>
      <c r="DY999" s="3"/>
      <c r="DZ999" s="3"/>
      <c r="EA999" s="3"/>
      <c r="EB999" s="3"/>
      <c r="EC999" s="3"/>
      <c r="ED999" s="3"/>
      <c r="EE999" s="3"/>
      <c r="EF999" s="3"/>
      <c r="EG999" s="3"/>
      <c r="EH999" s="3"/>
      <c r="EI999" s="3"/>
      <c r="EJ999" s="3"/>
      <c r="EK999" s="3"/>
      <c r="EL999" s="3"/>
      <c r="EM999" s="3"/>
      <c r="EN999" s="3"/>
      <c r="EO999" s="3"/>
      <c r="EP999" s="3"/>
      <c r="EQ999" s="3"/>
      <c r="ER999" s="3"/>
      <c r="ES999" s="3"/>
      <c r="ET999" s="3"/>
      <c r="EU999" s="3"/>
      <c r="EV999" s="3"/>
      <c r="EW999" s="3"/>
      <c r="EX999" s="3"/>
      <c r="EY999" s="3"/>
      <c r="EZ999" s="3"/>
      <c r="FA999" s="3"/>
      <c r="FB999" s="3"/>
      <c r="FC999" s="3"/>
      <c r="FD999" s="3"/>
      <c r="FE999" s="3"/>
      <c r="FF999" s="3"/>
      <c r="FG999" s="3"/>
      <c r="FH999" s="3"/>
      <c r="FI999" s="3"/>
      <c r="FJ999" s="3"/>
      <c r="FK999" s="3"/>
      <c r="FL999" s="3"/>
      <c r="FM999" s="3"/>
      <c r="FN999" s="3"/>
      <c r="FO999" s="3"/>
      <c r="FP999" s="3"/>
      <c r="FQ999" s="3"/>
      <c r="FR999" s="3"/>
      <c r="FS999" s="3"/>
      <c r="FT999" s="3"/>
      <c r="FU999" s="3"/>
      <c r="FV999" s="3"/>
      <c r="FW999" s="3"/>
      <c r="FX999" s="3"/>
      <c r="FY999" s="3"/>
      <c r="FZ999" s="3"/>
      <c r="GA999" s="3"/>
      <c r="GB999" s="3"/>
      <c r="GC999" s="3"/>
      <c r="GD999" s="3"/>
      <c r="GE999" s="3"/>
      <c r="GF999" s="3"/>
      <c r="GG999" s="3"/>
      <c r="GH999" s="3"/>
      <c r="GI999" s="3"/>
      <c r="GJ999" s="3"/>
      <c r="GK999" s="3"/>
      <c r="GL999" s="3"/>
      <c r="GM999" s="3"/>
      <c r="GN999" s="3"/>
      <c r="GO999" s="3"/>
      <c r="GP999" s="3"/>
      <c r="GQ999" s="3"/>
      <c r="GR999" s="3"/>
      <c r="GS999" s="3"/>
      <c r="GT999" s="3"/>
      <c r="GU999" s="3"/>
      <c r="GV999" s="3"/>
      <c r="GW999" s="3"/>
      <c r="GX999" s="3"/>
      <c r="GY999" s="3"/>
      <c r="GZ999" s="3"/>
      <c r="HA999" s="3"/>
      <c r="HB999" s="3"/>
      <c r="HC999" s="3"/>
      <c r="HD999" s="3"/>
      <c r="HE999" s="3"/>
      <c r="HF999" s="3"/>
      <c r="HG999" s="3"/>
      <c r="HH999" s="3"/>
      <c r="HI999" s="3"/>
      <c r="HJ999" s="3"/>
      <c r="HK999" s="3"/>
      <c r="HL999" s="3"/>
      <c r="HM999" s="3"/>
      <c r="HN999" s="3"/>
      <c r="HO999" s="3"/>
      <c r="HP999" s="3"/>
      <c r="HQ999" s="3"/>
      <c r="HR999" s="3"/>
      <c r="HS999" s="3"/>
      <c r="HT999" s="3"/>
      <c r="HU999" s="3"/>
      <c r="HV999" s="3"/>
      <c r="HW999" s="3"/>
      <c r="HX999" s="3"/>
      <c r="HY999" s="3"/>
      <c r="HZ999" s="3"/>
      <c r="IA999" s="3"/>
      <c r="IB999" s="3"/>
      <c r="IC999" s="3"/>
      <c r="ID999" s="3"/>
      <c r="IE999" s="3"/>
      <c r="IF999" s="3"/>
      <c r="IG999" s="3"/>
      <c r="IH999" s="3"/>
      <c r="II999" s="3"/>
      <c r="IJ999" s="3"/>
      <c r="IK999" s="3"/>
      <c r="IL999" s="3"/>
      <c r="IM999" s="3"/>
      <c r="IN999" s="3"/>
      <c r="IO999" s="3"/>
      <c r="IP999" s="3"/>
      <c r="IQ999" s="3"/>
      <c r="IR999" s="3"/>
      <c r="IS999" s="3"/>
      <c r="IT999" s="3"/>
      <c r="IU999" s="3"/>
      <c r="IV999" s="3"/>
    </row>
    <row r="1000" spans="1:256" s="663" customFormat="1">
      <c r="A1000" s="627"/>
      <c r="B1000" s="962"/>
      <c r="C1000" s="20" t="s">
        <v>1728</v>
      </c>
      <c r="D1000" s="304"/>
      <c r="E1000" s="28"/>
      <c r="F1000" s="28"/>
      <c r="G1000" s="628"/>
      <c r="I1000" s="152"/>
      <c r="J1000" s="3"/>
      <c r="K1000" s="3"/>
      <c r="L1000" s="3"/>
      <c r="M1000" s="3"/>
      <c r="N1000" s="3"/>
      <c r="O1000" s="3"/>
      <c r="P1000" s="3"/>
      <c r="Q1000" s="3"/>
      <c r="R1000" s="3"/>
      <c r="S1000" s="3"/>
      <c r="T1000" s="3"/>
      <c r="U1000" s="3"/>
      <c r="V1000" s="3"/>
      <c r="W1000" s="3"/>
      <c r="X1000" s="3"/>
      <c r="Y1000" s="3"/>
      <c r="Z1000" s="3"/>
      <c r="AA1000" s="3"/>
      <c r="AB1000" s="3"/>
      <c r="AC1000" s="3"/>
      <c r="AD1000" s="3"/>
      <c r="AE1000" s="3"/>
      <c r="AF1000" s="3"/>
      <c r="AG1000" s="3"/>
      <c r="AH1000" s="3"/>
      <c r="AI1000" s="3"/>
      <c r="AJ1000" s="3"/>
      <c r="AK1000" s="3"/>
      <c r="AL1000" s="3"/>
      <c r="AM1000" s="3"/>
      <c r="AN1000" s="3"/>
      <c r="AO1000" s="3"/>
      <c r="AP1000" s="3"/>
      <c r="AQ1000" s="3"/>
      <c r="AR1000" s="3"/>
      <c r="AS1000" s="3"/>
      <c r="AT1000" s="3"/>
      <c r="AU1000" s="3"/>
      <c r="AV1000" s="3"/>
      <c r="AW1000" s="3"/>
      <c r="AX1000" s="3"/>
      <c r="AY1000" s="3"/>
      <c r="AZ1000" s="3"/>
      <c r="BA1000" s="3"/>
      <c r="BB1000" s="3"/>
      <c r="BC1000" s="3"/>
      <c r="BD1000" s="3"/>
      <c r="BE1000" s="3"/>
      <c r="BF1000" s="3"/>
      <c r="BG1000" s="3"/>
      <c r="BH1000" s="3"/>
      <c r="BI1000" s="3"/>
      <c r="BJ1000" s="3"/>
      <c r="BK1000" s="3"/>
      <c r="BL1000" s="3"/>
      <c r="BM1000" s="3"/>
      <c r="BN1000" s="3"/>
      <c r="BO1000" s="3"/>
      <c r="BP1000" s="3"/>
      <c r="BQ1000" s="3"/>
      <c r="BR1000" s="3"/>
      <c r="BS1000" s="3"/>
      <c r="BT1000" s="3"/>
      <c r="BU1000" s="3"/>
      <c r="BV1000" s="3"/>
      <c r="BW1000" s="3"/>
      <c r="BX1000" s="3"/>
      <c r="BY1000" s="3"/>
      <c r="BZ1000" s="3"/>
      <c r="CA1000" s="3"/>
      <c r="CB1000" s="3"/>
      <c r="CC1000" s="3"/>
      <c r="CD1000" s="3"/>
      <c r="CE1000" s="3"/>
      <c r="CF1000" s="3"/>
      <c r="CG1000" s="3"/>
      <c r="CH1000" s="3"/>
      <c r="CI1000" s="3"/>
      <c r="CJ1000" s="3"/>
      <c r="CK1000" s="3"/>
      <c r="CL1000" s="3"/>
      <c r="CM1000" s="3"/>
      <c r="CN1000" s="3"/>
      <c r="CO1000" s="3"/>
      <c r="CP1000" s="3"/>
      <c r="CQ1000" s="3"/>
      <c r="CR1000" s="3"/>
      <c r="CS1000" s="3"/>
      <c r="CT1000" s="3"/>
      <c r="CU1000" s="3"/>
      <c r="CV1000" s="3"/>
      <c r="CW1000" s="3"/>
      <c r="CX1000" s="3"/>
      <c r="CY1000" s="3"/>
      <c r="CZ1000" s="3"/>
      <c r="DA1000" s="3"/>
      <c r="DB1000" s="3"/>
      <c r="DC1000" s="3"/>
      <c r="DD1000" s="3"/>
      <c r="DE1000" s="3"/>
      <c r="DF1000" s="3"/>
      <c r="DG1000" s="3"/>
      <c r="DH1000" s="3"/>
      <c r="DI1000" s="3"/>
      <c r="DJ1000" s="3"/>
      <c r="DK1000" s="3"/>
      <c r="DL1000" s="3"/>
      <c r="DM1000" s="3"/>
      <c r="DN1000" s="3"/>
      <c r="DO1000" s="3"/>
      <c r="DP1000" s="3"/>
      <c r="DQ1000" s="3"/>
      <c r="DR1000" s="3"/>
      <c r="DS1000" s="3"/>
      <c r="DT1000" s="3"/>
      <c r="DU1000" s="3"/>
      <c r="DV1000" s="3"/>
      <c r="DW1000" s="3"/>
      <c r="DX1000" s="3"/>
      <c r="DY1000" s="3"/>
      <c r="DZ1000" s="3"/>
      <c r="EA1000" s="3"/>
      <c r="EB1000" s="3"/>
      <c r="EC1000" s="3"/>
      <c r="ED1000" s="3"/>
      <c r="EE1000" s="3"/>
      <c r="EF1000" s="3"/>
      <c r="EG1000" s="3"/>
      <c r="EH1000" s="3"/>
      <c r="EI1000" s="3"/>
      <c r="EJ1000" s="3"/>
      <c r="EK1000" s="3"/>
      <c r="EL1000" s="3"/>
      <c r="EM1000" s="3"/>
      <c r="EN1000" s="3"/>
      <c r="EO1000" s="3"/>
      <c r="EP1000" s="3"/>
      <c r="EQ1000" s="3"/>
      <c r="ER1000" s="3"/>
      <c r="ES1000" s="3"/>
      <c r="ET1000" s="3"/>
      <c r="EU1000" s="3"/>
      <c r="EV1000" s="3"/>
      <c r="EW1000" s="3"/>
      <c r="EX1000" s="3"/>
      <c r="EY1000" s="3"/>
      <c r="EZ1000" s="3"/>
      <c r="FA1000" s="3"/>
      <c r="FB1000" s="3"/>
      <c r="FC1000" s="3"/>
      <c r="FD1000" s="3"/>
      <c r="FE1000" s="3"/>
      <c r="FF1000" s="3"/>
      <c r="FG1000" s="3"/>
      <c r="FH1000" s="3"/>
      <c r="FI1000" s="3"/>
      <c r="FJ1000" s="3"/>
      <c r="FK1000" s="3"/>
      <c r="FL1000" s="3"/>
      <c r="FM1000" s="3"/>
      <c r="FN1000" s="3"/>
      <c r="FO1000" s="3"/>
      <c r="FP1000" s="3"/>
      <c r="FQ1000" s="3"/>
      <c r="FR1000" s="3"/>
      <c r="FS1000" s="3"/>
      <c r="FT1000" s="3"/>
      <c r="FU1000" s="3"/>
      <c r="FV1000" s="3"/>
      <c r="FW1000" s="3"/>
      <c r="FX1000" s="3"/>
      <c r="FY1000" s="3"/>
      <c r="FZ1000" s="3"/>
      <c r="GA1000" s="3"/>
      <c r="GB1000" s="3"/>
      <c r="GC1000" s="3"/>
      <c r="GD1000" s="3"/>
      <c r="GE1000" s="3"/>
      <c r="GF1000" s="3"/>
      <c r="GG1000" s="3"/>
      <c r="GH1000" s="3"/>
      <c r="GI1000" s="3"/>
      <c r="GJ1000" s="3"/>
      <c r="GK1000" s="3"/>
      <c r="GL1000" s="3"/>
      <c r="GM1000" s="3"/>
      <c r="GN1000" s="3"/>
      <c r="GO1000" s="3"/>
      <c r="GP1000" s="3"/>
      <c r="GQ1000" s="3"/>
      <c r="GR1000" s="3"/>
      <c r="GS1000" s="3"/>
      <c r="GT1000" s="3"/>
      <c r="GU1000" s="3"/>
      <c r="GV1000" s="3"/>
      <c r="GW1000" s="3"/>
      <c r="GX1000" s="3"/>
      <c r="GY1000" s="3"/>
      <c r="GZ1000" s="3"/>
      <c r="HA1000" s="3"/>
      <c r="HB1000" s="3"/>
      <c r="HC1000" s="3"/>
      <c r="HD1000" s="3"/>
      <c r="HE1000" s="3"/>
      <c r="HF1000" s="3"/>
      <c r="HG1000" s="3"/>
      <c r="HH1000" s="3"/>
      <c r="HI1000" s="3"/>
      <c r="HJ1000" s="3"/>
      <c r="HK1000" s="3"/>
      <c r="HL1000" s="3"/>
      <c r="HM1000" s="3"/>
      <c r="HN1000" s="3"/>
      <c r="HO1000" s="3"/>
      <c r="HP1000" s="3"/>
      <c r="HQ1000" s="3"/>
      <c r="HR1000" s="3"/>
      <c r="HS1000" s="3"/>
      <c r="HT1000" s="3"/>
      <c r="HU1000" s="3"/>
      <c r="HV1000" s="3"/>
      <c r="HW1000" s="3"/>
      <c r="HX1000" s="3"/>
      <c r="HY1000" s="3"/>
      <c r="HZ1000" s="3"/>
      <c r="IA1000" s="3"/>
      <c r="IB1000" s="3"/>
      <c r="IC1000" s="3"/>
      <c r="ID1000" s="3"/>
      <c r="IE1000" s="3"/>
      <c r="IF1000" s="3"/>
      <c r="IG1000" s="3"/>
      <c r="IH1000" s="3"/>
      <c r="II1000" s="3"/>
      <c r="IJ1000" s="3"/>
      <c r="IK1000" s="3"/>
      <c r="IL1000" s="3"/>
      <c r="IM1000" s="3"/>
      <c r="IN1000" s="3"/>
      <c r="IO1000" s="3"/>
      <c r="IP1000" s="3"/>
      <c r="IQ1000" s="3"/>
      <c r="IR1000" s="3"/>
      <c r="IS1000" s="3"/>
      <c r="IT1000" s="3"/>
      <c r="IU1000" s="3"/>
      <c r="IV1000" s="3"/>
    </row>
    <row r="1001" spans="1:256" s="663" customFormat="1">
      <c r="A1001" s="627"/>
      <c r="B1001" s="962"/>
      <c r="C1001" s="79"/>
      <c r="D1001" s="304"/>
      <c r="E1001" s="28"/>
      <c r="F1001" s="28"/>
      <c r="G1001" s="628"/>
      <c r="I1001" s="152"/>
      <c r="J1001" s="3"/>
      <c r="K1001" s="3"/>
      <c r="L1001" s="3"/>
      <c r="M1001" s="3"/>
      <c r="N1001" s="3"/>
      <c r="O1001" s="3"/>
      <c r="P1001" s="3"/>
      <c r="Q1001" s="3"/>
      <c r="R1001" s="3"/>
      <c r="S1001" s="3"/>
      <c r="T1001" s="3"/>
      <c r="U1001" s="3"/>
      <c r="V1001" s="3"/>
      <c r="W1001" s="3"/>
      <c r="X1001" s="3"/>
      <c r="Y1001" s="3"/>
      <c r="Z1001" s="3"/>
      <c r="AA1001" s="3"/>
      <c r="AB1001" s="3"/>
      <c r="AC1001" s="3"/>
      <c r="AD1001" s="3"/>
      <c r="AE1001" s="3"/>
      <c r="AF1001" s="3"/>
      <c r="AG1001" s="3"/>
      <c r="AH1001" s="3"/>
      <c r="AI1001" s="3"/>
      <c r="AJ1001" s="3"/>
      <c r="AK1001" s="3"/>
      <c r="AL1001" s="3"/>
      <c r="AM1001" s="3"/>
      <c r="AN1001" s="3"/>
      <c r="AO1001" s="3"/>
      <c r="AP1001" s="3"/>
      <c r="AQ1001" s="3"/>
      <c r="AR1001" s="3"/>
      <c r="AS1001" s="3"/>
      <c r="AT1001" s="3"/>
      <c r="AU1001" s="3"/>
      <c r="AV1001" s="3"/>
      <c r="AW1001" s="3"/>
      <c r="AX1001" s="3"/>
      <c r="AY1001" s="3"/>
      <c r="AZ1001" s="3"/>
      <c r="BA1001" s="3"/>
      <c r="BB1001" s="3"/>
      <c r="BC1001" s="3"/>
      <c r="BD1001" s="3"/>
      <c r="BE1001" s="3"/>
      <c r="BF1001" s="3"/>
      <c r="BG1001" s="3"/>
      <c r="BH1001" s="3"/>
      <c r="BI1001" s="3"/>
      <c r="BJ1001" s="3"/>
      <c r="BK1001" s="3"/>
      <c r="BL1001" s="3"/>
      <c r="BM1001" s="3"/>
      <c r="BN1001" s="3"/>
      <c r="BO1001" s="3"/>
      <c r="BP1001" s="3"/>
      <c r="BQ1001" s="3"/>
      <c r="BR1001" s="3"/>
      <c r="BS1001" s="3"/>
      <c r="BT1001" s="3"/>
      <c r="BU1001" s="3"/>
      <c r="BV1001" s="3"/>
      <c r="BW1001" s="3"/>
      <c r="BX1001" s="3"/>
      <c r="BY1001" s="3"/>
      <c r="BZ1001" s="3"/>
      <c r="CA1001" s="3"/>
      <c r="CB1001" s="3"/>
      <c r="CC1001" s="3"/>
      <c r="CD1001" s="3"/>
      <c r="CE1001" s="3"/>
      <c r="CF1001" s="3"/>
      <c r="CG1001" s="3"/>
      <c r="CH1001" s="3"/>
      <c r="CI1001" s="3"/>
      <c r="CJ1001" s="3"/>
      <c r="CK1001" s="3"/>
      <c r="CL1001" s="3"/>
      <c r="CM1001" s="3"/>
      <c r="CN1001" s="3"/>
      <c r="CO1001" s="3"/>
      <c r="CP1001" s="3"/>
      <c r="CQ1001" s="3"/>
      <c r="CR1001" s="3"/>
      <c r="CS1001" s="3"/>
      <c r="CT1001" s="3"/>
      <c r="CU1001" s="3"/>
      <c r="CV1001" s="3"/>
      <c r="CW1001" s="3"/>
      <c r="CX1001" s="3"/>
      <c r="CY1001" s="3"/>
      <c r="CZ1001" s="3"/>
      <c r="DA1001" s="3"/>
      <c r="DB1001" s="3"/>
      <c r="DC1001" s="3"/>
      <c r="DD1001" s="3"/>
      <c r="DE1001" s="3"/>
      <c r="DF1001" s="3"/>
      <c r="DG1001" s="3"/>
      <c r="DH1001" s="3"/>
      <c r="DI1001" s="3"/>
      <c r="DJ1001" s="3"/>
      <c r="DK1001" s="3"/>
      <c r="DL1001" s="3"/>
      <c r="DM1001" s="3"/>
      <c r="DN1001" s="3"/>
      <c r="DO1001" s="3"/>
      <c r="DP1001" s="3"/>
      <c r="DQ1001" s="3"/>
      <c r="DR1001" s="3"/>
      <c r="DS1001" s="3"/>
      <c r="DT1001" s="3"/>
      <c r="DU1001" s="3"/>
      <c r="DV1001" s="3"/>
      <c r="DW1001" s="3"/>
      <c r="DX1001" s="3"/>
      <c r="DY1001" s="3"/>
      <c r="DZ1001" s="3"/>
      <c r="EA1001" s="3"/>
      <c r="EB1001" s="3"/>
      <c r="EC1001" s="3"/>
      <c r="ED1001" s="3"/>
      <c r="EE1001" s="3"/>
      <c r="EF1001" s="3"/>
      <c r="EG1001" s="3"/>
      <c r="EH1001" s="3"/>
      <c r="EI1001" s="3"/>
      <c r="EJ1001" s="3"/>
      <c r="EK1001" s="3"/>
      <c r="EL1001" s="3"/>
      <c r="EM1001" s="3"/>
      <c r="EN1001" s="3"/>
      <c r="EO1001" s="3"/>
      <c r="EP1001" s="3"/>
      <c r="EQ1001" s="3"/>
      <c r="ER1001" s="3"/>
      <c r="ES1001" s="3"/>
      <c r="ET1001" s="3"/>
      <c r="EU1001" s="3"/>
      <c r="EV1001" s="3"/>
      <c r="EW1001" s="3"/>
      <c r="EX1001" s="3"/>
      <c r="EY1001" s="3"/>
      <c r="EZ1001" s="3"/>
      <c r="FA1001" s="3"/>
      <c r="FB1001" s="3"/>
      <c r="FC1001" s="3"/>
      <c r="FD1001" s="3"/>
      <c r="FE1001" s="3"/>
      <c r="FF1001" s="3"/>
      <c r="FG1001" s="3"/>
      <c r="FH1001" s="3"/>
      <c r="FI1001" s="3"/>
      <c r="FJ1001" s="3"/>
      <c r="FK1001" s="3"/>
      <c r="FL1001" s="3"/>
      <c r="FM1001" s="3"/>
      <c r="FN1001" s="3"/>
      <c r="FO1001" s="3"/>
      <c r="FP1001" s="3"/>
      <c r="FQ1001" s="3"/>
      <c r="FR1001" s="3"/>
      <c r="FS1001" s="3"/>
      <c r="FT1001" s="3"/>
      <c r="FU1001" s="3"/>
      <c r="FV1001" s="3"/>
      <c r="FW1001" s="3"/>
      <c r="FX1001" s="3"/>
      <c r="FY1001" s="3"/>
      <c r="FZ1001" s="3"/>
      <c r="GA1001" s="3"/>
      <c r="GB1001" s="3"/>
      <c r="GC1001" s="3"/>
      <c r="GD1001" s="3"/>
      <c r="GE1001" s="3"/>
      <c r="GF1001" s="3"/>
      <c r="GG1001" s="3"/>
      <c r="GH1001" s="3"/>
      <c r="GI1001" s="3"/>
      <c r="GJ1001" s="3"/>
      <c r="GK1001" s="3"/>
      <c r="GL1001" s="3"/>
      <c r="GM1001" s="3"/>
      <c r="GN1001" s="3"/>
      <c r="GO1001" s="3"/>
      <c r="GP1001" s="3"/>
      <c r="GQ1001" s="3"/>
      <c r="GR1001" s="3"/>
      <c r="GS1001" s="3"/>
      <c r="GT1001" s="3"/>
      <c r="GU1001" s="3"/>
      <c r="GV1001" s="3"/>
      <c r="GW1001" s="3"/>
      <c r="GX1001" s="3"/>
      <c r="GY1001" s="3"/>
      <c r="GZ1001" s="3"/>
      <c r="HA1001" s="3"/>
      <c r="HB1001" s="3"/>
      <c r="HC1001" s="3"/>
      <c r="HD1001" s="3"/>
      <c r="HE1001" s="3"/>
      <c r="HF1001" s="3"/>
      <c r="HG1001" s="3"/>
      <c r="HH1001" s="3"/>
      <c r="HI1001" s="3"/>
      <c r="HJ1001" s="3"/>
      <c r="HK1001" s="3"/>
      <c r="HL1001" s="3"/>
      <c r="HM1001" s="3"/>
      <c r="HN1001" s="3"/>
      <c r="HO1001" s="3"/>
      <c r="HP1001" s="3"/>
      <c r="HQ1001" s="3"/>
      <c r="HR1001" s="3"/>
      <c r="HS1001" s="3"/>
      <c r="HT1001" s="3"/>
      <c r="HU1001" s="3"/>
      <c r="HV1001" s="3"/>
      <c r="HW1001" s="3"/>
      <c r="HX1001" s="3"/>
      <c r="HY1001" s="3"/>
      <c r="HZ1001" s="3"/>
      <c r="IA1001" s="3"/>
      <c r="IB1001" s="3"/>
      <c r="IC1001" s="3"/>
      <c r="ID1001" s="3"/>
      <c r="IE1001" s="3"/>
      <c r="IF1001" s="3"/>
      <c r="IG1001" s="3"/>
      <c r="IH1001" s="3"/>
      <c r="II1001" s="3"/>
      <c r="IJ1001" s="3"/>
      <c r="IK1001" s="3"/>
      <c r="IL1001" s="3"/>
      <c r="IM1001" s="3"/>
      <c r="IN1001" s="3"/>
      <c r="IO1001" s="3"/>
      <c r="IP1001" s="3"/>
      <c r="IQ1001" s="3"/>
      <c r="IR1001" s="3"/>
      <c r="IS1001" s="3"/>
      <c r="IT1001" s="3"/>
      <c r="IU1001" s="3"/>
      <c r="IV1001" s="3"/>
    </row>
    <row r="1002" spans="1:256" s="663" customFormat="1">
      <c r="A1002" s="627"/>
      <c r="B1002" s="962"/>
      <c r="C1002" s="341" t="s">
        <v>1729</v>
      </c>
      <c r="D1002" s="304" t="s">
        <v>1730</v>
      </c>
      <c r="E1002" s="978">
        <v>23</v>
      </c>
      <c r="F1002" s="28">
        <v>41</v>
      </c>
      <c r="G1002" s="628">
        <f>ROUND(E1002*F1002,2)</f>
        <v>943</v>
      </c>
      <c r="I1002" s="152"/>
      <c r="J1002" s="3"/>
      <c r="K1002" s="3"/>
      <c r="L1002" s="3"/>
      <c r="M1002" s="3"/>
      <c r="N1002" s="3"/>
      <c r="O1002" s="3"/>
      <c r="P1002" s="3"/>
      <c r="Q1002" s="3"/>
      <c r="R1002" s="3"/>
      <c r="S1002" s="3"/>
      <c r="T1002" s="3"/>
      <c r="U1002" s="3"/>
      <c r="V1002" s="3"/>
      <c r="W1002" s="3"/>
      <c r="X1002" s="3"/>
      <c r="Y1002" s="3"/>
      <c r="Z1002" s="3"/>
      <c r="AA1002" s="3"/>
      <c r="AB1002" s="3"/>
      <c r="AC1002" s="3"/>
      <c r="AD1002" s="3"/>
      <c r="AE1002" s="3"/>
      <c r="AF1002" s="3"/>
      <c r="AG1002" s="3"/>
      <c r="AH1002" s="3"/>
      <c r="AI1002" s="3"/>
      <c r="AJ1002" s="3"/>
      <c r="AK1002" s="3"/>
      <c r="AL1002" s="3"/>
      <c r="AM1002" s="3"/>
      <c r="AN1002" s="3"/>
      <c r="AO1002" s="3"/>
      <c r="AP1002" s="3"/>
      <c r="AQ1002" s="3"/>
      <c r="AR1002" s="3"/>
      <c r="AS1002" s="3"/>
      <c r="AT1002" s="3"/>
      <c r="AU1002" s="3"/>
      <c r="AV1002" s="3"/>
      <c r="AW1002" s="3"/>
      <c r="AX1002" s="3"/>
      <c r="AY1002" s="3"/>
      <c r="AZ1002" s="3"/>
      <c r="BA1002" s="3"/>
      <c r="BB1002" s="3"/>
      <c r="BC1002" s="3"/>
      <c r="BD1002" s="3"/>
      <c r="BE1002" s="3"/>
      <c r="BF1002" s="3"/>
      <c r="BG1002" s="3"/>
      <c r="BH1002" s="3"/>
      <c r="BI1002" s="3"/>
      <c r="BJ1002" s="3"/>
      <c r="BK1002" s="3"/>
      <c r="BL1002" s="3"/>
      <c r="BM1002" s="3"/>
      <c r="BN1002" s="3"/>
      <c r="BO1002" s="3"/>
      <c r="BP1002" s="3"/>
      <c r="BQ1002" s="3"/>
      <c r="BR1002" s="3"/>
      <c r="BS1002" s="3"/>
      <c r="BT1002" s="3"/>
      <c r="BU1002" s="3"/>
      <c r="BV1002" s="3"/>
      <c r="BW1002" s="3"/>
      <c r="BX1002" s="3"/>
      <c r="BY1002" s="3"/>
      <c r="BZ1002" s="3"/>
      <c r="CA1002" s="3"/>
      <c r="CB1002" s="3"/>
      <c r="CC1002" s="3"/>
      <c r="CD1002" s="3"/>
      <c r="CE1002" s="3"/>
      <c r="CF1002" s="3"/>
      <c r="CG1002" s="3"/>
      <c r="CH1002" s="3"/>
      <c r="CI1002" s="3"/>
      <c r="CJ1002" s="3"/>
      <c r="CK1002" s="3"/>
      <c r="CL1002" s="3"/>
      <c r="CM1002" s="3"/>
      <c r="CN1002" s="3"/>
      <c r="CO1002" s="3"/>
      <c r="CP1002" s="3"/>
      <c r="CQ1002" s="3"/>
      <c r="CR1002" s="3"/>
      <c r="CS1002" s="3"/>
      <c r="CT1002" s="3"/>
      <c r="CU1002" s="3"/>
      <c r="CV1002" s="3"/>
      <c r="CW1002" s="3"/>
      <c r="CX1002" s="3"/>
      <c r="CY1002" s="3"/>
      <c r="CZ1002" s="3"/>
      <c r="DA1002" s="3"/>
      <c r="DB1002" s="3"/>
      <c r="DC1002" s="3"/>
      <c r="DD1002" s="3"/>
      <c r="DE1002" s="3"/>
      <c r="DF1002" s="3"/>
      <c r="DG1002" s="3"/>
      <c r="DH1002" s="3"/>
      <c r="DI1002" s="3"/>
      <c r="DJ1002" s="3"/>
      <c r="DK1002" s="3"/>
      <c r="DL1002" s="3"/>
      <c r="DM1002" s="3"/>
      <c r="DN1002" s="3"/>
      <c r="DO1002" s="3"/>
      <c r="DP1002" s="3"/>
      <c r="DQ1002" s="3"/>
      <c r="DR1002" s="3"/>
      <c r="DS1002" s="3"/>
      <c r="DT1002" s="3"/>
      <c r="DU1002" s="3"/>
      <c r="DV1002" s="3"/>
      <c r="DW1002" s="3"/>
      <c r="DX1002" s="3"/>
      <c r="DY1002" s="3"/>
      <c r="DZ1002" s="3"/>
      <c r="EA1002" s="3"/>
      <c r="EB1002" s="3"/>
      <c r="EC1002" s="3"/>
      <c r="ED1002" s="3"/>
      <c r="EE1002" s="3"/>
      <c r="EF1002" s="3"/>
      <c r="EG1002" s="3"/>
      <c r="EH1002" s="3"/>
      <c r="EI1002" s="3"/>
      <c r="EJ1002" s="3"/>
      <c r="EK1002" s="3"/>
      <c r="EL1002" s="3"/>
      <c r="EM1002" s="3"/>
      <c r="EN1002" s="3"/>
      <c r="EO1002" s="3"/>
      <c r="EP1002" s="3"/>
      <c r="EQ1002" s="3"/>
      <c r="ER1002" s="3"/>
      <c r="ES1002" s="3"/>
      <c r="ET1002" s="3"/>
      <c r="EU1002" s="3"/>
      <c r="EV1002" s="3"/>
      <c r="EW1002" s="3"/>
      <c r="EX1002" s="3"/>
      <c r="EY1002" s="3"/>
      <c r="EZ1002" s="3"/>
      <c r="FA1002" s="3"/>
      <c r="FB1002" s="3"/>
      <c r="FC1002" s="3"/>
      <c r="FD1002" s="3"/>
      <c r="FE1002" s="3"/>
      <c r="FF1002" s="3"/>
      <c r="FG1002" s="3"/>
      <c r="FH1002" s="3"/>
      <c r="FI1002" s="3"/>
      <c r="FJ1002" s="3"/>
      <c r="FK1002" s="3"/>
      <c r="FL1002" s="3"/>
      <c r="FM1002" s="3"/>
      <c r="FN1002" s="3"/>
      <c r="FO1002" s="3"/>
      <c r="FP1002" s="3"/>
      <c r="FQ1002" s="3"/>
      <c r="FR1002" s="3"/>
      <c r="FS1002" s="3"/>
      <c r="FT1002" s="3"/>
      <c r="FU1002" s="3"/>
      <c r="FV1002" s="3"/>
      <c r="FW1002" s="3"/>
      <c r="FX1002" s="3"/>
      <c r="FY1002" s="3"/>
      <c r="FZ1002" s="3"/>
      <c r="GA1002" s="3"/>
      <c r="GB1002" s="3"/>
      <c r="GC1002" s="3"/>
      <c r="GD1002" s="3"/>
      <c r="GE1002" s="3"/>
      <c r="GF1002" s="3"/>
      <c r="GG1002" s="3"/>
      <c r="GH1002" s="3"/>
      <c r="GI1002" s="3"/>
      <c r="GJ1002" s="3"/>
      <c r="GK1002" s="3"/>
      <c r="GL1002" s="3"/>
      <c r="GM1002" s="3"/>
      <c r="GN1002" s="3"/>
      <c r="GO1002" s="3"/>
      <c r="GP1002" s="3"/>
      <c r="GQ1002" s="3"/>
      <c r="GR1002" s="3"/>
      <c r="GS1002" s="3"/>
      <c r="GT1002" s="3"/>
      <c r="GU1002" s="3"/>
      <c r="GV1002" s="3"/>
      <c r="GW1002" s="3"/>
      <c r="GX1002" s="3"/>
      <c r="GY1002" s="3"/>
      <c r="GZ1002" s="3"/>
      <c r="HA1002" s="3"/>
      <c r="HB1002" s="3"/>
      <c r="HC1002" s="3"/>
      <c r="HD1002" s="3"/>
      <c r="HE1002" s="3"/>
      <c r="HF1002" s="3"/>
      <c r="HG1002" s="3"/>
      <c r="HH1002" s="3"/>
      <c r="HI1002" s="3"/>
      <c r="HJ1002" s="3"/>
      <c r="HK1002" s="3"/>
      <c r="HL1002" s="3"/>
      <c r="HM1002" s="3"/>
      <c r="HN1002" s="3"/>
      <c r="HO1002" s="3"/>
      <c r="HP1002" s="3"/>
      <c r="HQ1002" s="3"/>
      <c r="HR1002" s="3"/>
      <c r="HS1002" s="3"/>
      <c r="HT1002" s="3"/>
      <c r="HU1002" s="3"/>
      <c r="HV1002" s="3"/>
      <c r="HW1002" s="3"/>
      <c r="HX1002" s="3"/>
      <c r="HY1002" s="3"/>
      <c r="HZ1002" s="3"/>
      <c r="IA1002" s="3"/>
      <c r="IB1002" s="3"/>
      <c r="IC1002" s="3"/>
      <c r="ID1002" s="3"/>
      <c r="IE1002" s="3"/>
      <c r="IF1002" s="3"/>
      <c r="IG1002" s="3"/>
      <c r="IH1002" s="3"/>
      <c r="II1002" s="3"/>
      <c r="IJ1002" s="3"/>
      <c r="IK1002" s="3"/>
      <c r="IL1002" s="3"/>
      <c r="IM1002" s="3"/>
      <c r="IN1002" s="3"/>
      <c r="IO1002" s="3"/>
      <c r="IP1002" s="3"/>
      <c r="IQ1002" s="3"/>
      <c r="IR1002" s="3"/>
      <c r="IS1002" s="3"/>
      <c r="IT1002" s="3"/>
      <c r="IU1002" s="3"/>
      <c r="IV1002" s="3"/>
    </row>
    <row r="1003" spans="1:256" s="663" customFormat="1">
      <c r="A1003" s="627"/>
      <c r="B1003" s="962"/>
      <c r="C1003" s="79" t="s">
        <v>1714</v>
      </c>
      <c r="D1003" s="304"/>
      <c r="E1003" s="978"/>
      <c r="F1003" s="28"/>
      <c r="G1003" s="628">
        <f>ROUND(E1003*F1003,2)</f>
        <v>0</v>
      </c>
      <c r="I1003" s="152"/>
      <c r="J1003" s="3"/>
      <c r="K1003" s="3"/>
      <c r="L1003" s="3"/>
      <c r="M1003" s="3"/>
      <c r="N1003" s="3"/>
      <c r="O1003" s="3"/>
      <c r="P1003" s="3"/>
      <c r="Q1003" s="3"/>
      <c r="R1003" s="3"/>
      <c r="S1003" s="3"/>
      <c r="T1003" s="3"/>
      <c r="U1003" s="3"/>
      <c r="V1003" s="3"/>
      <c r="W1003" s="3"/>
      <c r="X1003" s="3"/>
      <c r="Y1003" s="3"/>
      <c r="Z1003" s="3"/>
      <c r="AA1003" s="3"/>
      <c r="AB1003" s="3"/>
      <c r="AC1003" s="3"/>
      <c r="AD1003" s="3"/>
      <c r="AE1003" s="3"/>
      <c r="AF1003" s="3"/>
      <c r="AG1003" s="3"/>
      <c r="AH1003" s="3"/>
      <c r="AI1003" s="3"/>
      <c r="AJ1003" s="3"/>
      <c r="AK1003" s="3"/>
      <c r="AL1003" s="3"/>
      <c r="AM1003" s="3"/>
      <c r="AN1003" s="3"/>
      <c r="AO1003" s="3"/>
      <c r="AP1003" s="3"/>
      <c r="AQ1003" s="3"/>
      <c r="AR1003" s="3"/>
      <c r="AS1003" s="3"/>
      <c r="AT1003" s="3"/>
      <c r="AU1003" s="3"/>
      <c r="AV1003" s="3"/>
      <c r="AW1003" s="3"/>
      <c r="AX1003" s="3"/>
      <c r="AY1003" s="3"/>
      <c r="AZ1003" s="3"/>
      <c r="BA1003" s="3"/>
      <c r="BB1003" s="3"/>
      <c r="BC1003" s="3"/>
      <c r="BD1003" s="3"/>
      <c r="BE1003" s="3"/>
      <c r="BF1003" s="3"/>
      <c r="BG1003" s="3"/>
      <c r="BH1003" s="3"/>
      <c r="BI1003" s="3"/>
      <c r="BJ1003" s="3"/>
      <c r="BK1003" s="3"/>
      <c r="BL1003" s="3"/>
      <c r="BM1003" s="3"/>
      <c r="BN1003" s="3"/>
      <c r="BO1003" s="3"/>
      <c r="BP1003" s="3"/>
      <c r="BQ1003" s="3"/>
      <c r="BR1003" s="3"/>
      <c r="BS1003" s="3"/>
      <c r="BT1003" s="3"/>
      <c r="BU1003" s="3"/>
      <c r="BV1003" s="3"/>
      <c r="BW1003" s="3"/>
      <c r="BX1003" s="3"/>
      <c r="BY1003" s="3"/>
      <c r="BZ1003" s="3"/>
      <c r="CA1003" s="3"/>
      <c r="CB1003" s="3"/>
      <c r="CC1003" s="3"/>
      <c r="CD1003" s="3"/>
      <c r="CE1003" s="3"/>
      <c r="CF1003" s="3"/>
      <c r="CG1003" s="3"/>
      <c r="CH1003" s="3"/>
      <c r="CI1003" s="3"/>
      <c r="CJ1003" s="3"/>
      <c r="CK1003" s="3"/>
      <c r="CL1003" s="3"/>
      <c r="CM1003" s="3"/>
      <c r="CN1003" s="3"/>
      <c r="CO1003" s="3"/>
      <c r="CP1003" s="3"/>
      <c r="CQ1003" s="3"/>
      <c r="CR1003" s="3"/>
      <c r="CS1003" s="3"/>
      <c r="CT1003" s="3"/>
      <c r="CU1003" s="3"/>
      <c r="CV1003" s="3"/>
      <c r="CW1003" s="3"/>
      <c r="CX1003" s="3"/>
      <c r="CY1003" s="3"/>
      <c r="CZ1003" s="3"/>
      <c r="DA1003" s="3"/>
      <c r="DB1003" s="3"/>
      <c r="DC1003" s="3"/>
      <c r="DD1003" s="3"/>
      <c r="DE1003" s="3"/>
      <c r="DF1003" s="3"/>
      <c r="DG1003" s="3"/>
      <c r="DH1003" s="3"/>
      <c r="DI1003" s="3"/>
      <c r="DJ1003" s="3"/>
      <c r="DK1003" s="3"/>
      <c r="DL1003" s="3"/>
      <c r="DM1003" s="3"/>
      <c r="DN1003" s="3"/>
      <c r="DO1003" s="3"/>
      <c r="DP1003" s="3"/>
      <c r="DQ1003" s="3"/>
      <c r="DR1003" s="3"/>
      <c r="DS1003" s="3"/>
      <c r="DT1003" s="3"/>
      <c r="DU1003" s="3"/>
      <c r="DV1003" s="3"/>
      <c r="DW1003" s="3"/>
      <c r="DX1003" s="3"/>
      <c r="DY1003" s="3"/>
      <c r="DZ1003" s="3"/>
      <c r="EA1003" s="3"/>
      <c r="EB1003" s="3"/>
      <c r="EC1003" s="3"/>
      <c r="ED1003" s="3"/>
      <c r="EE1003" s="3"/>
      <c r="EF1003" s="3"/>
      <c r="EG1003" s="3"/>
      <c r="EH1003" s="3"/>
      <c r="EI1003" s="3"/>
      <c r="EJ1003" s="3"/>
      <c r="EK1003" s="3"/>
      <c r="EL1003" s="3"/>
      <c r="EM1003" s="3"/>
      <c r="EN1003" s="3"/>
      <c r="EO1003" s="3"/>
      <c r="EP1003" s="3"/>
      <c r="EQ1003" s="3"/>
      <c r="ER1003" s="3"/>
      <c r="ES1003" s="3"/>
      <c r="ET1003" s="3"/>
      <c r="EU1003" s="3"/>
      <c r="EV1003" s="3"/>
      <c r="EW1003" s="3"/>
      <c r="EX1003" s="3"/>
      <c r="EY1003" s="3"/>
      <c r="EZ1003" s="3"/>
      <c r="FA1003" s="3"/>
      <c r="FB1003" s="3"/>
      <c r="FC1003" s="3"/>
      <c r="FD1003" s="3"/>
      <c r="FE1003" s="3"/>
      <c r="FF1003" s="3"/>
      <c r="FG1003" s="3"/>
      <c r="FH1003" s="3"/>
      <c r="FI1003" s="3"/>
      <c r="FJ1003" s="3"/>
      <c r="FK1003" s="3"/>
      <c r="FL1003" s="3"/>
      <c r="FM1003" s="3"/>
      <c r="FN1003" s="3"/>
      <c r="FO1003" s="3"/>
      <c r="FP1003" s="3"/>
      <c r="FQ1003" s="3"/>
      <c r="FR1003" s="3"/>
      <c r="FS1003" s="3"/>
      <c r="FT1003" s="3"/>
      <c r="FU1003" s="3"/>
      <c r="FV1003" s="3"/>
      <c r="FW1003" s="3"/>
      <c r="FX1003" s="3"/>
      <c r="FY1003" s="3"/>
      <c r="FZ1003" s="3"/>
      <c r="GA1003" s="3"/>
      <c r="GB1003" s="3"/>
      <c r="GC1003" s="3"/>
      <c r="GD1003" s="3"/>
      <c r="GE1003" s="3"/>
      <c r="GF1003" s="3"/>
      <c r="GG1003" s="3"/>
      <c r="GH1003" s="3"/>
      <c r="GI1003" s="3"/>
      <c r="GJ1003" s="3"/>
      <c r="GK1003" s="3"/>
      <c r="GL1003" s="3"/>
      <c r="GM1003" s="3"/>
      <c r="GN1003" s="3"/>
      <c r="GO1003" s="3"/>
      <c r="GP1003" s="3"/>
      <c r="GQ1003" s="3"/>
      <c r="GR1003" s="3"/>
      <c r="GS1003" s="3"/>
      <c r="GT1003" s="3"/>
      <c r="GU1003" s="3"/>
      <c r="GV1003" s="3"/>
      <c r="GW1003" s="3"/>
      <c r="GX1003" s="3"/>
      <c r="GY1003" s="3"/>
      <c r="GZ1003" s="3"/>
      <c r="HA1003" s="3"/>
      <c r="HB1003" s="3"/>
      <c r="HC1003" s="3"/>
      <c r="HD1003" s="3"/>
      <c r="HE1003" s="3"/>
      <c r="HF1003" s="3"/>
      <c r="HG1003" s="3"/>
      <c r="HH1003" s="3"/>
      <c r="HI1003" s="3"/>
      <c r="HJ1003" s="3"/>
      <c r="HK1003" s="3"/>
      <c r="HL1003" s="3"/>
      <c r="HM1003" s="3"/>
      <c r="HN1003" s="3"/>
      <c r="HO1003" s="3"/>
      <c r="HP1003" s="3"/>
      <c r="HQ1003" s="3"/>
      <c r="HR1003" s="3"/>
      <c r="HS1003" s="3"/>
      <c r="HT1003" s="3"/>
      <c r="HU1003" s="3"/>
      <c r="HV1003" s="3"/>
      <c r="HW1003" s="3"/>
      <c r="HX1003" s="3"/>
      <c r="HY1003" s="3"/>
      <c r="HZ1003" s="3"/>
      <c r="IA1003" s="3"/>
      <c r="IB1003" s="3"/>
      <c r="IC1003" s="3"/>
      <c r="ID1003" s="3"/>
      <c r="IE1003" s="3"/>
      <c r="IF1003" s="3"/>
      <c r="IG1003" s="3"/>
      <c r="IH1003" s="3"/>
      <c r="II1003" s="3"/>
      <c r="IJ1003" s="3"/>
      <c r="IK1003" s="3"/>
      <c r="IL1003" s="3"/>
      <c r="IM1003" s="3"/>
      <c r="IN1003" s="3"/>
      <c r="IO1003" s="3"/>
      <c r="IP1003" s="3"/>
      <c r="IQ1003" s="3"/>
      <c r="IR1003" s="3"/>
      <c r="IS1003" s="3"/>
      <c r="IT1003" s="3"/>
      <c r="IU1003" s="3"/>
      <c r="IV1003" s="3"/>
    </row>
    <row r="1004" spans="1:256" s="663" customFormat="1">
      <c r="A1004" s="627"/>
      <c r="B1004" s="962"/>
      <c r="C1004" s="341" t="s">
        <v>95</v>
      </c>
      <c r="D1004" s="304" t="s">
        <v>1047</v>
      </c>
      <c r="E1004" s="978">
        <v>0.27300000000000002</v>
      </c>
      <c r="F1004" s="28">
        <v>540</v>
      </c>
      <c r="G1004" s="628">
        <f>ROUND(E1004*F1004,2)</f>
        <v>147.41999999999999</v>
      </c>
      <c r="I1004" s="152"/>
      <c r="J1004" s="3"/>
      <c r="K1004" s="3"/>
      <c r="L1004" s="3"/>
      <c r="M1004" s="3"/>
      <c r="N1004" s="3"/>
      <c r="O1004" s="3"/>
      <c r="P1004" s="3"/>
      <c r="Q1004" s="3"/>
      <c r="R1004" s="3"/>
      <c r="S1004" s="3"/>
      <c r="T1004" s="3"/>
      <c r="U1004" s="3"/>
      <c r="V1004" s="3"/>
      <c r="W1004" s="3"/>
      <c r="X1004" s="3"/>
      <c r="Y1004" s="3"/>
      <c r="Z1004" s="3"/>
      <c r="AA1004" s="3"/>
      <c r="AB1004" s="3"/>
      <c r="AC1004" s="3"/>
      <c r="AD1004" s="3"/>
      <c r="AE1004" s="3"/>
      <c r="AF1004" s="3"/>
      <c r="AG1004" s="3"/>
      <c r="AH1004" s="3"/>
      <c r="AI1004" s="3"/>
      <c r="AJ1004" s="3"/>
      <c r="AK1004" s="3"/>
      <c r="AL1004" s="3"/>
      <c r="AM1004" s="3"/>
      <c r="AN1004" s="3"/>
      <c r="AO1004" s="3"/>
      <c r="AP1004" s="3"/>
      <c r="AQ1004" s="3"/>
      <c r="AR1004" s="3"/>
      <c r="AS1004" s="3"/>
      <c r="AT1004" s="3"/>
      <c r="AU1004" s="3"/>
      <c r="AV1004" s="3"/>
      <c r="AW1004" s="3"/>
      <c r="AX1004" s="3"/>
      <c r="AY1004" s="3"/>
      <c r="AZ1004" s="3"/>
      <c r="BA1004" s="3"/>
      <c r="BB1004" s="3"/>
      <c r="BC1004" s="3"/>
      <c r="BD1004" s="3"/>
      <c r="BE1004" s="3"/>
      <c r="BF1004" s="3"/>
      <c r="BG1004" s="3"/>
      <c r="BH1004" s="3"/>
      <c r="BI1004" s="3"/>
      <c r="BJ1004" s="3"/>
      <c r="BK1004" s="3"/>
      <c r="BL1004" s="3"/>
      <c r="BM1004" s="3"/>
      <c r="BN1004" s="3"/>
      <c r="BO1004" s="3"/>
      <c r="BP1004" s="3"/>
      <c r="BQ1004" s="3"/>
      <c r="BR1004" s="3"/>
      <c r="BS1004" s="3"/>
      <c r="BT1004" s="3"/>
      <c r="BU1004" s="3"/>
      <c r="BV1004" s="3"/>
      <c r="BW1004" s="3"/>
      <c r="BX1004" s="3"/>
      <c r="BY1004" s="3"/>
      <c r="BZ1004" s="3"/>
      <c r="CA1004" s="3"/>
      <c r="CB1004" s="3"/>
      <c r="CC1004" s="3"/>
      <c r="CD1004" s="3"/>
      <c r="CE1004" s="3"/>
      <c r="CF1004" s="3"/>
      <c r="CG1004" s="3"/>
      <c r="CH1004" s="3"/>
      <c r="CI1004" s="3"/>
      <c r="CJ1004" s="3"/>
      <c r="CK1004" s="3"/>
      <c r="CL1004" s="3"/>
      <c r="CM1004" s="3"/>
      <c r="CN1004" s="3"/>
      <c r="CO1004" s="3"/>
      <c r="CP1004" s="3"/>
      <c r="CQ1004" s="3"/>
      <c r="CR1004" s="3"/>
      <c r="CS1004" s="3"/>
      <c r="CT1004" s="3"/>
      <c r="CU1004" s="3"/>
      <c r="CV1004" s="3"/>
      <c r="CW1004" s="3"/>
      <c r="CX1004" s="3"/>
      <c r="CY1004" s="3"/>
      <c r="CZ1004" s="3"/>
      <c r="DA1004" s="3"/>
      <c r="DB1004" s="3"/>
      <c r="DC1004" s="3"/>
      <c r="DD1004" s="3"/>
      <c r="DE1004" s="3"/>
      <c r="DF1004" s="3"/>
      <c r="DG1004" s="3"/>
      <c r="DH1004" s="3"/>
      <c r="DI1004" s="3"/>
      <c r="DJ1004" s="3"/>
      <c r="DK1004" s="3"/>
      <c r="DL1004" s="3"/>
      <c r="DM1004" s="3"/>
      <c r="DN1004" s="3"/>
      <c r="DO1004" s="3"/>
      <c r="DP1004" s="3"/>
      <c r="DQ1004" s="3"/>
      <c r="DR1004" s="3"/>
      <c r="DS1004" s="3"/>
      <c r="DT1004" s="3"/>
      <c r="DU1004" s="3"/>
      <c r="DV1004" s="3"/>
      <c r="DW1004" s="3"/>
      <c r="DX1004" s="3"/>
      <c r="DY1004" s="3"/>
      <c r="DZ1004" s="3"/>
      <c r="EA1004" s="3"/>
      <c r="EB1004" s="3"/>
      <c r="EC1004" s="3"/>
      <c r="ED1004" s="3"/>
      <c r="EE1004" s="3"/>
      <c r="EF1004" s="3"/>
      <c r="EG1004" s="3"/>
      <c r="EH1004" s="3"/>
      <c r="EI1004" s="3"/>
      <c r="EJ1004" s="3"/>
      <c r="EK1004" s="3"/>
      <c r="EL1004" s="3"/>
      <c r="EM1004" s="3"/>
      <c r="EN1004" s="3"/>
      <c r="EO1004" s="3"/>
      <c r="EP1004" s="3"/>
      <c r="EQ1004" s="3"/>
      <c r="ER1004" s="3"/>
      <c r="ES1004" s="3"/>
      <c r="ET1004" s="3"/>
      <c r="EU1004" s="3"/>
      <c r="EV1004" s="3"/>
      <c r="EW1004" s="3"/>
      <c r="EX1004" s="3"/>
      <c r="EY1004" s="3"/>
      <c r="EZ1004" s="3"/>
      <c r="FA1004" s="3"/>
      <c r="FB1004" s="3"/>
      <c r="FC1004" s="3"/>
      <c r="FD1004" s="3"/>
      <c r="FE1004" s="3"/>
      <c r="FF1004" s="3"/>
      <c r="FG1004" s="3"/>
      <c r="FH1004" s="3"/>
      <c r="FI1004" s="3"/>
      <c r="FJ1004" s="3"/>
      <c r="FK1004" s="3"/>
      <c r="FL1004" s="3"/>
      <c r="FM1004" s="3"/>
      <c r="FN1004" s="3"/>
      <c r="FO1004" s="3"/>
      <c r="FP1004" s="3"/>
      <c r="FQ1004" s="3"/>
      <c r="FR1004" s="3"/>
      <c r="FS1004" s="3"/>
      <c r="FT1004" s="3"/>
      <c r="FU1004" s="3"/>
      <c r="FV1004" s="3"/>
      <c r="FW1004" s="3"/>
      <c r="FX1004" s="3"/>
      <c r="FY1004" s="3"/>
      <c r="FZ1004" s="3"/>
      <c r="GA1004" s="3"/>
      <c r="GB1004" s="3"/>
      <c r="GC1004" s="3"/>
      <c r="GD1004" s="3"/>
      <c r="GE1004" s="3"/>
      <c r="GF1004" s="3"/>
      <c r="GG1004" s="3"/>
      <c r="GH1004" s="3"/>
      <c r="GI1004" s="3"/>
      <c r="GJ1004" s="3"/>
      <c r="GK1004" s="3"/>
      <c r="GL1004" s="3"/>
      <c r="GM1004" s="3"/>
      <c r="GN1004" s="3"/>
      <c r="GO1004" s="3"/>
      <c r="GP1004" s="3"/>
      <c r="GQ1004" s="3"/>
      <c r="GR1004" s="3"/>
      <c r="GS1004" s="3"/>
      <c r="GT1004" s="3"/>
      <c r="GU1004" s="3"/>
      <c r="GV1004" s="3"/>
      <c r="GW1004" s="3"/>
      <c r="GX1004" s="3"/>
      <c r="GY1004" s="3"/>
      <c r="GZ1004" s="3"/>
      <c r="HA1004" s="3"/>
      <c r="HB1004" s="3"/>
      <c r="HC1004" s="3"/>
      <c r="HD1004" s="3"/>
      <c r="HE1004" s="3"/>
      <c r="HF1004" s="3"/>
      <c r="HG1004" s="3"/>
      <c r="HH1004" s="3"/>
      <c r="HI1004" s="3"/>
      <c r="HJ1004" s="3"/>
      <c r="HK1004" s="3"/>
      <c r="HL1004" s="3"/>
      <c r="HM1004" s="3"/>
      <c r="HN1004" s="3"/>
      <c r="HO1004" s="3"/>
      <c r="HP1004" s="3"/>
      <c r="HQ1004" s="3"/>
      <c r="HR1004" s="3"/>
      <c r="HS1004" s="3"/>
      <c r="HT1004" s="3"/>
      <c r="HU1004" s="3"/>
      <c r="HV1004" s="3"/>
      <c r="HW1004" s="3"/>
      <c r="HX1004" s="3"/>
      <c r="HY1004" s="3"/>
      <c r="HZ1004" s="3"/>
      <c r="IA1004" s="3"/>
      <c r="IB1004" s="3"/>
      <c r="IC1004" s="3"/>
      <c r="ID1004" s="3"/>
      <c r="IE1004" s="3"/>
      <c r="IF1004" s="3"/>
      <c r="IG1004" s="3"/>
      <c r="IH1004" s="3"/>
      <c r="II1004" s="3"/>
      <c r="IJ1004" s="3"/>
      <c r="IK1004" s="3"/>
      <c r="IL1004" s="3"/>
      <c r="IM1004" s="3"/>
      <c r="IN1004" s="3"/>
      <c r="IO1004" s="3"/>
      <c r="IP1004" s="3"/>
      <c r="IQ1004" s="3"/>
      <c r="IR1004" s="3"/>
      <c r="IS1004" s="3"/>
      <c r="IT1004" s="3"/>
      <c r="IU1004" s="3"/>
      <c r="IV1004" s="3"/>
    </row>
    <row r="1005" spans="1:256" s="663" customFormat="1">
      <c r="A1005" s="627"/>
      <c r="B1005" s="962"/>
      <c r="C1005" s="341" t="s">
        <v>1707</v>
      </c>
      <c r="D1005" s="304" t="s">
        <v>1047</v>
      </c>
      <c r="E1005" s="978">
        <v>0.63700000000000001</v>
      </c>
      <c r="F1005" s="28">
        <v>420</v>
      </c>
      <c r="G1005" s="628">
        <f>ROUND(E1005*F1005,2)</f>
        <v>267.54000000000002</v>
      </c>
      <c r="I1005" s="152"/>
      <c r="J1005" s="3"/>
      <c r="K1005" s="3"/>
      <c r="L1005" s="3"/>
      <c r="M1005" s="3"/>
      <c r="N1005" s="3"/>
      <c r="O1005" s="3"/>
      <c r="P1005" s="3"/>
      <c r="Q1005" s="3"/>
      <c r="R1005" s="3"/>
      <c r="S1005" s="3"/>
      <c r="T1005" s="3"/>
      <c r="U1005" s="3"/>
      <c r="V1005" s="3"/>
      <c r="W1005" s="3"/>
      <c r="X1005" s="3"/>
      <c r="Y1005" s="3"/>
      <c r="Z1005" s="3"/>
      <c r="AA1005" s="3"/>
      <c r="AB1005" s="3"/>
      <c r="AC1005" s="3"/>
      <c r="AD1005" s="3"/>
      <c r="AE1005" s="3"/>
      <c r="AF1005" s="3"/>
      <c r="AG1005" s="3"/>
      <c r="AH1005" s="3"/>
      <c r="AI1005" s="3"/>
      <c r="AJ1005" s="3"/>
      <c r="AK1005" s="3"/>
      <c r="AL1005" s="3"/>
      <c r="AM1005" s="3"/>
      <c r="AN1005" s="3"/>
      <c r="AO1005" s="3"/>
      <c r="AP1005" s="3"/>
      <c r="AQ1005" s="3"/>
      <c r="AR1005" s="3"/>
      <c r="AS1005" s="3"/>
      <c r="AT1005" s="3"/>
      <c r="AU1005" s="3"/>
      <c r="AV1005" s="3"/>
      <c r="AW1005" s="3"/>
      <c r="AX1005" s="3"/>
      <c r="AY1005" s="3"/>
      <c r="AZ1005" s="3"/>
      <c r="BA1005" s="3"/>
      <c r="BB1005" s="3"/>
      <c r="BC1005" s="3"/>
      <c r="BD1005" s="3"/>
      <c r="BE1005" s="3"/>
      <c r="BF1005" s="3"/>
      <c r="BG1005" s="3"/>
      <c r="BH1005" s="3"/>
      <c r="BI1005" s="3"/>
      <c r="BJ1005" s="3"/>
      <c r="BK1005" s="3"/>
      <c r="BL1005" s="3"/>
      <c r="BM1005" s="3"/>
      <c r="BN1005" s="3"/>
      <c r="BO1005" s="3"/>
      <c r="BP1005" s="3"/>
      <c r="BQ1005" s="3"/>
      <c r="BR1005" s="3"/>
      <c r="BS1005" s="3"/>
      <c r="BT1005" s="3"/>
      <c r="BU1005" s="3"/>
      <c r="BV1005" s="3"/>
      <c r="BW1005" s="3"/>
      <c r="BX1005" s="3"/>
      <c r="BY1005" s="3"/>
      <c r="BZ1005" s="3"/>
      <c r="CA1005" s="3"/>
      <c r="CB1005" s="3"/>
      <c r="CC1005" s="3"/>
      <c r="CD1005" s="3"/>
      <c r="CE1005" s="3"/>
      <c r="CF1005" s="3"/>
      <c r="CG1005" s="3"/>
      <c r="CH1005" s="3"/>
      <c r="CI1005" s="3"/>
      <c r="CJ1005" s="3"/>
      <c r="CK1005" s="3"/>
      <c r="CL1005" s="3"/>
      <c r="CM1005" s="3"/>
      <c r="CN1005" s="3"/>
      <c r="CO1005" s="3"/>
      <c r="CP1005" s="3"/>
      <c r="CQ1005" s="3"/>
      <c r="CR1005" s="3"/>
      <c r="CS1005" s="3"/>
      <c r="CT1005" s="3"/>
      <c r="CU1005" s="3"/>
      <c r="CV1005" s="3"/>
      <c r="CW1005" s="3"/>
      <c r="CX1005" s="3"/>
      <c r="CY1005" s="3"/>
      <c r="CZ1005" s="3"/>
      <c r="DA1005" s="3"/>
      <c r="DB1005" s="3"/>
      <c r="DC1005" s="3"/>
      <c r="DD1005" s="3"/>
      <c r="DE1005" s="3"/>
      <c r="DF1005" s="3"/>
      <c r="DG1005" s="3"/>
      <c r="DH1005" s="3"/>
      <c r="DI1005" s="3"/>
      <c r="DJ1005" s="3"/>
      <c r="DK1005" s="3"/>
      <c r="DL1005" s="3"/>
      <c r="DM1005" s="3"/>
      <c r="DN1005" s="3"/>
      <c r="DO1005" s="3"/>
      <c r="DP1005" s="3"/>
      <c r="DQ1005" s="3"/>
      <c r="DR1005" s="3"/>
      <c r="DS1005" s="3"/>
      <c r="DT1005" s="3"/>
      <c r="DU1005" s="3"/>
      <c r="DV1005" s="3"/>
      <c r="DW1005" s="3"/>
      <c r="DX1005" s="3"/>
      <c r="DY1005" s="3"/>
      <c r="DZ1005" s="3"/>
      <c r="EA1005" s="3"/>
      <c r="EB1005" s="3"/>
      <c r="EC1005" s="3"/>
      <c r="ED1005" s="3"/>
      <c r="EE1005" s="3"/>
      <c r="EF1005" s="3"/>
      <c r="EG1005" s="3"/>
      <c r="EH1005" s="3"/>
      <c r="EI1005" s="3"/>
      <c r="EJ1005" s="3"/>
      <c r="EK1005" s="3"/>
      <c r="EL1005" s="3"/>
      <c r="EM1005" s="3"/>
      <c r="EN1005" s="3"/>
      <c r="EO1005" s="3"/>
      <c r="EP1005" s="3"/>
      <c r="EQ1005" s="3"/>
      <c r="ER1005" s="3"/>
      <c r="ES1005" s="3"/>
      <c r="ET1005" s="3"/>
      <c r="EU1005" s="3"/>
      <c r="EV1005" s="3"/>
      <c r="EW1005" s="3"/>
      <c r="EX1005" s="3"/>
      <c r="EY1005" s="3"/>
      <c r="EZ1005" s="3"/>
      <c r="FA1005" s="3"/>
      <c r="FB1005" s="3"/>
      <c r="FC1005" s="3"/>
      <c r="FD1005" s="3"/>
      <c r="FE1005" s="3"/>
      <c r="FF1005" s="3"/>
      <c r="FG1005" s="3"/>
      <c r="FH1005" s="3"/>
      <c r="FI1005" s="3"/>
      <c r="FJ1005" s="3"/>
      <c r="FK1005" s="3"/>
      <c r="FL1005" s="3"/>
      <c r="FM1005" s="3"/>
      <c r="FN1005" s="3"/>
      <c r="FO1005" s="3"/>
      <c r="FP1005" s="3"/>
      <c r="FQ1005" s="3"/>
      <c r="FR1005" s="3"/>
      <c r="FS1005" s="3"/>
      <c r="FT1005" s="3"/>
      <c r="FU1005" s="3"/>
      <c r="FV1005" s="3"/>
      <c r="FW1005" s="3"/>
      <c r="FX1005" s="3"/>
      <c r="FY1005" s="3"/>
      <c r="FZ1005" s="3"/>
      <c r="GA1005" s="3"/>
      <c r="GB1005" s="3"/>
      <c r="GC1005" s="3"/>
      <c r="GD1005" s="3"/>
      <c r="GE1005" s="3"/>
      <c r="GF1005" s="3"/>
      <c r="GG1005" s="3"/>
      <c r="GH1005" s="3"/>
      <c r="GI1005" s="3"/>
      <c r="GJ1005" s="3"/>
      <c r="GK1005" s="3"/>
      <c r="GL1005" s="3"/>
      <c r="GM1005" s="3"/>
      <c r="GN1005" s="3"/>
      <c r="GO1005" s="3"/>
      <c r="GP1005" s="3"/>
      <c r="GQ1005" s="3"/>
      <c r="GR1005" s="3"/>
      <c r="GS1005" s="3"/>
      <c r="GT1005" s="3"/>
      <c r="GU1005" s="3"/>
      <c r="GV1005" s="3"/>
      <c r="GW1005" s="3"/>
      <c r="GX1005" s="3"/>
      <c r="GY1005" s="3"/>
      <c r="GZ1005" s="3"/>
      <c r="HA1005" s="3"/>
      <c r="HB1005" s="3"/>
      <c r="HC1005" s="3"/>
      <c r="HD1005" s="3"/>
      <c r="HE1005" s="3"/>
      <c r="HF1005" s="3"/>
      <c r="HG1005" s="3"/>
      <c r="HH1005" s="3"/>
      <c r="HI1005" s="3"/>
      <c r="HJ1005" s="3"/>
      <c r="HK1005" s="3"/>
      <c r="HL1005" s="3"/>
      <c r="HM1005" s="3"/>
      <c r="HN1005" s="3"/>
      <c r="HO1005" s="3"/>
      <c r="HP1005" s="3"/>
      <c r="HQ1005" s="3"/>
      <c r="HR1005" s="3"/>
      <c r="HS1005" s="3"/>
      <c r="HT1005" s="3"/>
      <c r="HU1005" s="3"/>
      <c r="HV1005" s="3"/>
      <c r="HW1005" s="3"/>
      <c r="HX1005" s="3"/>
      <c r="HY1005" s="3"/>
      <c r="HZ1005" s="3"/>
      <c r="IA1005" s="3"/>
      <c r="IB1005" s="3"/>
      <c r="IC1005" s="3"/>
      <c r="ID1005" s="3"/>
      <c r="IE1005" s="3"/>
      <c r="IF1005" s="3"/>
      <c r="IG1005" s="3"/>
      <c r="IH1005" s="3"/>
      <c r="II1005" s="3"/>
      <c r="IJ1005" s="3"/>
      <c r="IK1005" s="3"/>
      <c r="IL1005" s="3"/>
      <c r="IM1005" s="3"/>
      <c r="IN1005" s="3"/>
      <c r="IO1005" s="3"/>
      <c r="IP1005" s="3"/>
      <c r="IQ1005" s="3"/>
      <c r="IR1005" s="3"/>
      <c r="IS1005" s="3"/>
      <c r="IT1005" s="3"/>
      <c r="IU1005" s="3"/>
      <c r="IV1005" s="3"/>
    </row>
    <row r="1006" spans="1:256" s="663" customFormat="1">
      <c r="A1006" s="627"/>
      <c r="B1006" s="962"/>
      <c r="C1006" s="341" t="s">
        <v>1710</v>
      </c>
      <c r="D1006" s="304" t="s">
        <v>1047</v>
      </c>
      <c r="E1006" s="978">
        <v>0.91</v>
      </c>
      <c r="F1006" s="28">
        <v>400</v>
      </c>
      <c r="G1006" s="628">
        <f>ROUND(E1006*F1006,2)</f>
        <v>364</v>
      </c>
      <c r="I1006" s="152"/>
      <c r="J1006" s="3"/>
      <c r="K1006" s="3"/>
      <c r="L1006" s="3"/>
      <c r="M1006" s="3"/>
      <c r="N1006" s="3"/>
      <c r="O1006" s="3"/>
      <c r="P1006" s="3"/>
      <c r="Q1006" s="3"/>
      <c r="R1006" s="3"/>
      <c r="S1006" s="3"/>
      <c r="T1006" s="3"/>
      <c r="U1006" s="3"/>
      <c r="V1006" s="3"/>
      <c r="W1006" s="3"/>
      <c r="X1006" s="3"/>
      <c r="Y1006" s="3"/>
      <c r="Z1006" s="3"/>
      <c r="AA1006" s="3"/>
      <c r="AB1006" s="3"/>
      <c r="AC1006" s="3"/>
      <c r="AD1006" s="3"/>
      <c r="AE1006" s="3"/>
      <c r="AF1006" s="3"/>
      <c r="AG1006" s="3"/>
      <c r="AH1006" s="3"/>
      <c r="AI1006" s="3"/>
      <c r="AJ1006" s="3"/>
      <c r="AK1006" s="3"/>
      <c r="AL1006" s="3"/>
      <c r="AM1006" s="3"/>
      <c r="AN1006" s="3"/>
      <c r="AO1006" s="3"/>
      <c r="AP1006" s="3"/>
      <c r="AQ1006" s="3"/>
      <c r="AR1006" s="3"/>
      <c r="AS1006" s="3"/>
      <c r="AT1006" s="3"/>
      <c r="AU1006" s="3"/>
      <c r="AV1006" s="3"/>
      <c r="AW1006" s="3"/>
      <c r="AX1006" s="3"/>
      <c r="AY1006" s="3"/>
      <c r="AZ1006" s="3"/>
      <c r="BA1006" s="3"/>
      <c r="BB1006" s="3"/>
      <c r="BC1006" s="3"/>
      <c r="BD1006" s="3"/>
      <c r="BE1006" s="3"/>
      <c r="BF1006" s="3"/>
      <c r="BG1006" s="3"/>
      <c r="BH1006" s="3"/>
      <c r="BI1006" s="3"/>
      <c r="BJ1006" s="3"/>
      <c r="BK1006" s="3"/>
      <c r="BL1006" s="3"/>
      <c r="BM1006" s="3"/>
      <c r="BN1006" s="3"/>
      <c r="BO1006" s="3"/>
      <c r="BP1006" s="3"/>
      <c r="BQ1006" s="3"/>
      <c r="BR1006" s="3"/>
      <c r="BS1006" s="3"/>
      <c r="BT1006" s="3"/>
      <c r="BU1006" s="3"/>
      <c r="BV1006" s="3"/>
      <c r="BW1006" s="3"/>
      <c r="BX1006" s="3"/>
      <c r="BY1006" s="3"/>
      <c r="BZ1006" s="3"/>
      <c r="CA1006" s="3"/>
      <c r="CB1006" s="3"/>
      <c r="CC1006" s="3"/>
      <c r="CD1006" s="3"/>
      <c r="CE1006" s="3"/>
      <c r="CF1006" s="3"/>
      <c r="CG1006" s="3"/>
      <c r="CH1006" s="3"/>
      <c r="CI1006" s="3"/>
      <c r="CJ1006" s="3"/>
      <c r="CK1006" s="3"/>
      <c r="CL1006" s="3"/>
      <c r="CM1006" s="3"/>
      <c r="CN1006" s="3"/>
      <c r="CO1006" s="3"/>
      <c r="CP1006" s="3"/>
      <c r="CQ1006" s="3"/>
      <c r="CR1006" s="3"/>
      <c r="CS1006" s="3"/>
      <c r="CT1006" s="3"/>
      <c r="CU1006" s="3"/>
      <c r="CV1006" s="3"/>
      <c r="CW1006" s="3"/>
      <c r="CX1006" s="3"/>
      <c r="CY1006" s="3"/>
      <c r="CZ1006" s="3"/>
      <c r="DA1006" s="3"/>
      <c r="DB1006" s="3"/>
      <c r="DC1006" s="3"/>
      <c r="DD1006" s="3"/>
      <c r="DE1006" s="3"/>
      <c r="DF1006" s="3"/>
      <c r="DG1006" s="3"/>
      <c r="DH1006" s="3"/>
      <c r="DI1006" s="3"/>
      <c r="DJ1006" s="3"/>
      <c r="DK1006" s="3"/>
      <c r="DL1006" s="3"/>
      <c r="DM1006" s="3"/>
      <c r="DN1006" s="3"/>
      <c r="DO1006" s="3"/>
      <c r="DP1006" s="3"/>
      <c r="DQ1006" s="3"/>
      <c r="DR1006" s="3"/>
      <c r="DS1006" s="3"/>
      <c r="DT1006" s="3"/>
      <c r="DU1006" s="3"/>
      <c r="DV1006" s="3"/>
      <c r="DW1006" s="3"/>
      <c r="DX1006" s="3"/>
      <c r="DY1006" s="3"/>
      <c r="DZ1006" s="3"/>
      <c r="EA1006" s="3"/>
      <c r="EB1006" s="3"/>
      <c r="EC1006" s="3"/>
      <c r="ED1006" s="3"/>
      <c r="EE1006" s="3"/>
      <c r="EF1006" s="3"/>
      <c r="EG1006" s="3"/>
      <c r="EH1006" s="3"/>
      <c r="EI1006" s="3"/>
      <c r="EJ1006" s="3"/>
      <c r="EK1006" s="3"/>
      <c r="EL1006" s="3"/>
      <c r="EM1006" s="3"/>
      <c r="EN1006" s="3"/>
      <c r="EO1006" s="3"/>
      <c r="EP1006" s="3"/>
      <c r="EQ1006" s="3"/>
      <c r="ER1006" s="3"/>
      <c r="ES1006" s="3"/>
      <c r="ET1006" s="3"/>
      <c r="EU1006" s="3"/>
      <c r="EV1006" s="3"/>
      <c r="EW1006" s="3"/>
      <c r="EX1006" s="3"/>
      <c r="EY1006" s="3"/>
      <c r="EZ1006" s="3"/>
      <c r="FA1006" s="3"/>
      <c r="FB1006" s="3"/>
      <c r="FC1006" s="3"/>
      <c r="FD1006" s="3"/>
      <c r="FE1006" s="3"/>
      <c r="FF1006" s="3"/>
      <c r="FG1006" s="3"/>
      <c r="FH1006" s="3"/>
      <c r="FI1006" s="3"/>
      <c r="FJ1006" s="3"/>
      <c r="FK1006" s="3"/>
      <c r="FL1006" s="3"/>
      <c r="FM1006" s="3"/>
      <c r="FN1006" s="3"/>
      <c r="FO1006" s="3"/>
      <c r="FP1006" s="3"/>
      <c r="FQ1006" s="3"/>
      <c r="FR1006" s="3"/>
      <c r="FS1006" s="3"/>
      <c r="FT1006" s="3"/>
      <c r="FU1006" s="3"/>
      <c r="FV1006" s="3"/>
      <c r="FW1006" s="3"/>
      <c r="FX1006" s="3"/>
      <c r="FY1006" s="3"/>
      <c r="FZ1006" s="3"/>
      <c r="GA1006" s="3"/>
      <c r="GB1006" s="3"/>
      <c r="GC1006" s="3"/>
      <c r="GD1006" s="3"/>
      <c r="GE1006" s="3"/>
      <c r="GF1006" s="3"/>
      <c r="GG1006" s="3"/>
      <c r="GH1006" s="3"/>
      <c r="GI1006" s="3"/>
      <c r="GJ1006" s="3"/>
      <c r="GK1006" s="3"/>
      <c r="GL1006" s="3"/>
      <c r="GM1006" s="3"/>
      <c r="GN1006" s="3"/>
      <c r="GO1006" s="3"/>
      <c r="GP1006" s="3"/>
      <c r="GQ1006" s="3"/>
      <c r="GR1006" s="3"/>
      <c r="GS1006" s="3"/>
      <c r="GT1006" s="3"/>
      <c r="GU1006" s="3"/>
      <c r="GV1006" s="3"/>
      <c r="GW1006" s="3"/>
      <c r="GX1006" s="3"/>
      <c r="GY1006" s="3"/>
      <c r="GZ1006" s="3"/>
      <c r="HA1006" s="3"/>
      <c r="HB1006" s="3"/>
      <c r="HC1006" s="3"/>
      <c r="HD1006" s="3"/>
      <c r="HE1006" s="3"/>
      <c r="HF1006" s="3"/>
      <c r="HG1006" s="3"/>
      <c r="HH1006" s="3"/>
      <c r="HI1006" s="3"/>
      <c r="HJ1006" s="3"/>
      <c r="HK1006" s="3"/>
      <c r="HL1006" s="3"/>
      <c r="HM1006" s="3"/>
      <c r="HN1006" s="3"/>
      <c r="HO1006" s="3"/>
      <c r="HP1006" s="3"/>
      <c r="HQ1006" s="3"/>
      <c r="HR1006" s="3"/>
      <c r="HS1006" s="3"/>
      <c r="HT1006" s="3"/>
      <c r="HU1006" s="3"/>
      <c r="HV1006" s="3"/>
      <c r="HW1006" s="3"/>
      <c r="HX1006" s="3"/>
      <c r="HY1006" s="3"/>
      <c r="HZ1006" s="3"/>
      <c r="IA1006" s="3"/>
      <c r="IB1006" s="3"/>
      <c r="IC1006" s="3"/>
      <c r="ID1006" s="3"/>
      <c r="IE1006" s="3"/>
      <c r="IF1006" s="3"/>
      <c r="IG1006" s="3"/>
      <c r="IH1006" s="3"/>
      <c r="II1006" s="3"/>
      <c r="IJ1006" s="3"/>
      <c r="IK1006" s="3"/>
      <c r="IL1006" s="3"/>
      <c r="IM1006" s="3"/>
      <c r="IN1006" s="3"/>
      <c r="IO1006" s="3"/>
      <c r="IP1006" s="3"/>
      <c r="IQ1006" s="3"/>
      <c r="IR1006" s="3"/>
      <c r="IS1006" s="3"/>
      <c r="IT1006" s="3"/>
      <c r="IU1006" s="3"/>
      <c r="IV1006" s="3"/>
    </row>
    <row r="1007" spans="1:256" s="663" customFormat="1">
      <c r="A1007" s="627"/>
      <c r="B1007" s="962"/>
      <c r="C1007" s="643" t="s">
        <v>896</v>
      </c>
      <c r="D1007" s="644"/>
      <c r="E1007" s="645">
        <f>'Lead- Input sheet '!Q61</f>
        <v>0</v>
      </c>
      <c r="F1007" s="922">
        <f>ROUND(SUM(G1004:G1006),2)</f>
        <v>778.96</v>
      </c>
      <c r="G1007" s="646">
        <f>ROUND(F1007*E1007,2)</f>
        <v>0</v>
      </c>
      <c r="I1007" s="152"/>
      <c r="J1007" s="3"/>
      <c r="K1007" s="3"/>
      <c r="L1007" s="3"/>
      <c r="M1007" s="3"/>
      <c r="N1007" s="3"/>
      <c r="O1007" s="3"/>
      <c r="P1007" s="3"/>
      <c r="Q1007" s="3"/>
      <c r="R1007" s="3"/>
      <c r="S1007" s="3"/>
      <c r="T1007" s="3"/>
      <c r="U1007" s="3"/>
      <c r="V1007" s="3"/>
      <c r="W1007" s="3"/>
      <c r="X1007" s="3"/>
      <c r="Y1007" s="3"/>
      <c r="Z1007" s="3"/>
      <c r="AA1007" s="3"/>
      <c r="AB1007" s="3"/>
      <c r="AC1007" s="3"/>
      <c r="AD1007" s="3"/>
      <c r="AE1007" s="3"/>
      <c r="AF1007" s="3"/>
      <c r="AG1007" s="3"/>
      <c r="AH1007" s="3"/>
      <c r="AI1007" s="3"/>
      <c r="AJ1007" s="3"/>
      <c r="AK1007" s="3"/>
      <c r="AL1007" s="3"/>
      <c r="AM1007" s="3"/>
      <c r="AN1007" s="3"/>
      <c r="AO1007" s="3"/>
      <c r="AP1007" s="3"/>
      <c r="AQ1007" s="3"/>
      <c r="AR1007" s="3"/>
      <c r="AS1007" s="3"/>
      <c r="AT1007" s="3"/>
      <c r="AU1007" s="3"/>
      <c r="AV1007" s="3"/>
      <c r="AW1007" s="3"/>
      <c r="AX1007" s="3"/>
      <c r="AY1007" s="3"/>
      <c r="AZ1007" s="3"/>
      <c r="BA1007" s="3"/>
      <c r="BB1007" s="3"/>
      <c r="BC1007" s="3"/>
      <c r="BD1007" s="3"/>
      <c r="BE1007" s="3"/>
      <c r="BF1007" s="3"/>
      <c r="BG1007" s="3"/>
      <c r="BH1007" s="3"/>
      <c r="BI1007" s="3"/>
      <c r="BJ1007" s="3"/>
      <c r="BK1007" s="3"/>
      <c r="BL1007" s="3"/>
      <c r="BM1007" s="3"/>
      <c r="BN1007" s="3"/>
      <c r="BO1007" s="3"/>
      <c r="BP1007" s="3"/>
      <c r="BQ1007" s="3"/>
      <c r="BR1007" s="3"/>
      <c r="BS1007" s="3"/>
      <c r="BT1007" s="3"/>
      <c r="BU1007" s="3"/>
      <c r="BV1007" s="3"/>
      <c r="BW1007" s="3"/>
      <c r="BX1007" s="3"/>
      <c r="BY1007" s="3"/>
      <c r="BZ1007" s="3"/>
      <c r="CA1007" s="3"/>
      <c r="CB1007" s="3"/>
      <c r="CC1007" s="3"/>
      <c r="CD1007" s="3"/>
      <c r="CE1007" s="3"/>
      <c r="CF1007" s="3"/>
      <c r="CG1007" s="3"/>
      <c r="CH1007" s="3"/>
      <c r="CI1007" s="3"/>
      <c r="CJ1007" s="3"/>
      <c r="CK1007" s="3"/>
      <c r="CL1007" s="3"/>
      <c r="CM1007" s="3"/>
      <c r="CN1007" s="3"/>
      <c r="CO1007" s="3"/>
      <c r="CP1007" s="3"/>
      <c r="CQ1007" s="3"/>
      <c r="CR1007" s="3"/>
      <c r="CS1007" s="3"/>
      <c r="CT1007" s="3"/>
      <c r="CU1007" s="3"/>
      <c r="CV1007" s="3"/>
      <c r="CW1007" s="3"/>
      <c r="CX1007" s="3"/>
      <c r="CY1007" s="3"/>
      <c r="CZ1007" s="3"/>
      <c r="DA1007" s="3"/>
      <c r="DB1007" s="3"/>
      <c r="DC1007" s="3"/>
      <c r="DD1007" s="3"/>
      <c r="DE1007" s="3"/>
      <c r="DF1007" s="3"/>
      <c r="DG1007" s="3"/>
      <c r="DH1007" s="3"/>
      <c r="DI1007" s="3"/>
      <c r="DJ1007" s="3"/>
      <c r="DK1007" s="3"/>
      <c r="DL1007" s="3"/>
      <c r="DM1007" s="3"/>
      <c r="DN1007" s="3"/>
      <c r="DO1007" s="3"/>
      <c r="DP1007" s="3"/>
      <c r="DQ1007" s="3"/>
      <c r="DR1007" s="3"/>
      <c r="DS1007" s="3"/>
      <c r="DT1007" s="3"/>
      <c r="DU1007" s="3"/>
      <c r="DV1007" s="3"/>
      <c r="DW1007" s="3"/>
      <c r="DX1007" s="3"/>
      <c r="DY1007" s="3"/>
      <c r="DZ1007" s="3"/>
      <c r="EA1007" s="3"/>
      <c r="EB1007" s="3"/>
      <c r="EC1007" s="3"/>
      <c r="ED1007" s="3"/>
      <c r="EE1007" s="3"/>
      <c r="EF1007" s="3"/>
      <c r="EG1007" s="3"/>
      <c r="EH1007" s="3"/>
      <c r="EI1007" s="3"/>
      <c r="EJ1007" s="3"/>
      <c r="EK1007" s="3"/>
      <c r="EL1007" s="3"/>
      <c r="EM1007" s="3"/>
      <c r="EN1007" s="3"/>
      <c r="EO1007" s="3"/>
      <c r="EP1007" s="3"/>
      <c r="EQ1007" s="3"/>
      <c r="ER1007" s="3"/>
      <c r="ES1007" s="3"/>
      <c r="ET1007" s="3"/>
      <c r="EU1007" s="3"/>
      <c r="EV1007" s="3"/>
      <c r="EW1007" s="3"/>
      <c r="EX1007" s="3"/>
      <c r="EY1007" s="3"/>
      <c r="EZ1007" s="3"/>
      <c r="FA1007" s="3"/>
      <c r="FB1007" s="3"/>
      <c r="FC1007" s="3"/>
      <c r="FD1007" s="3"/>
      <c r="FE1007" s="3"/>
      <c r="FF1007" s="3"/>
      <c r="FG1007" s="3"/>
      <c r="FH1007" s="3"/>
      <c r="FI1007" s="3"/>
      <c r="FJ1007" s="3"/>
      <c r="FK1007" s="3"/>
      <c r="FL1007" s="3"/>
      <c r="FM1007" s="3"/>
      <c r="FN1007" s="3"/>
      <c r="FO1007" s="3"/>
      <c r="FP1007" s="3"/>
      <c r="FQ1007" s="3"/>
      <c r="FR1007" s="3"/>
      <c r="FS1007" s="3"/>
      <c r="FT1007" s="3"/>
      <c r="FU1007" s="3"/>
      <c r="FV1007" s="3"/>
      <c r="FW1007" s="3"/>
      <c r="FX1007" s="3"/>
      <c r="FY1007" s="3"/>
      <c r="FZ1007" s="3"/>
      <c r="GA1007" s="3"/>
      <c r="GB1007" s="3"/>
      <c r="GC1007" s="3"/>
      <c r="GD1007" s="3"/>
      <c r="GE1007" s="3"/>
      <c r="GF1007" s="3"/>
      <c r="GG1007" s="3"/>
      <c r="GH1007" s="3"/>
      <c r="GI1007" s="3"/>
      <c r="GJ1007" s="3"/>
      <c r="GK1007" s="3"/>
      <c r="GL1007" s="3"/>
      <c r="GM1007" s="3"/>
      <c r="GN1007" s="3"/>
      <c r="GO1007" s="3"/>
      <c r="GP1007" s="3"/>
      <c r="GQ1007" s="3"/>
      <c r="GR1007" s="3"/>
      <c r="GS1007" s="3"/>
      <c r="GT1007" s="3"/>
      <c r="GU1007" s="3"/>
      <c r="GV1007" s="3"/>
      <c r="GW1007" s="3"/>
      <c r="GX1007" s="3"/>
      <c r="GY1007" s="3"/>
      <c r="GZ1007" s="3"/>
      <c r="HA1007" s="3"/>
      <c r="HB1007" s="3"/>
      <c r="HC1007" s="3"/>
      <c r="HD1007" s="3"/>
      <c r="HE1007" s="3"/>
      <c r="HF1007" s="3"/>
      <c r="HG1007" s="3"/>
      <c r="HH1007" s="3"/>
      <c r="HI1007" s="3"/>
      <c r="HJ1007" s="3"/>
      <c r="HK1007" s="3"/>
      <c r="HL1007" s="3"/>
      <c r="HM1007" s="3"/>
      <c r="HN1007" s="3"/>
      <c r="HO1007" s="3"/>
      <c r="HP1007" s="3"/>
      <c r="HQ1007" s="3"/>
      <c r="HR1007" s="3"/>
      <c r="HS1007" s="3"/>
      <c r="HT1007" s="3"/>
      <c r="HU1007" s="3"/>
      <c r="HV1007" s="3"/>
      <c r="HW1007" s="3"/>
      <c r="HX1007" s="3"/>
      <c r="HY1007" s="3"/>
      <c r="HZ1007" s="3"/>
      <c r="IA1007" s="3"/>
      <c r="IB1007" s="3"/>
      <c r="IC1007" s="3"/>
      <c r="ID1007" s="3"/>
      <c r="IE1007" s="3"/>
      <c r="IF1007" s="3"/>
      <c r="IG1007" s="3"/>
      <c r="IH1007" s="3"/>
      <c r="II1007" s="3"/>
      <c r="IJ1007" s="3"/>
      <c r="IK1007" s="3"/>
      <c r="IL1007" s="3"/>
      <c r="IM1007" s="3"/>
      <c r="IN1007" s="3"/>
      <c r="IO1007" s="3"/>
      <c r="IP1007" s="3"/>
      <c r="IQ1007" s="3"/>
      <c r="IR1007" s="3"/>
      <c r="IS1007" s="3"/>
      <c r="IT1007" s="3"/>
      <c r="IU1007" s="3"/>
      <c r="IV1007" s="3"/>
    </row>
    <row r="1008" spans="1:256" s="663" customFormat="1">
      <c r="A1008" s="627"/>
      <c r="B1008" s="962"/>
      <c r="C1008" s="20" t="s">
        <v>97</v>
      </c>
      <c r="D1008" s="304"/>
      <c r="E1008" s="978"/>
      <c r="F1008" s="28"/>
      <c r="G1008" s="628">
        <f>SUM(G1002:G1007)</f>
        <v>1721.96</v>
      </c>
      <c r="I1008" s="152"/>
      <c r="J1008" s="3"/>
      <c r="K1008" s="3"/>
      <c r="L1008" s="3"/>
      <c r="M1008" s="3"/>
      <c r="N1008" s="3"/>
      <c r="O1008" s="3"/>
      <c r="P1008" s="3"/>
      <c r="Q1008" s="3"/>
      <c r="R1008" s="3"/>
      <c r="S1008" s="3"/>
      <c r="T1008" s="3"/>
      <c r="U1008" s="3"/>
      <c r="V1008" s="3"/>
      <c r="W1008" s="3"/>
      <c r="X1008" s="3"/>
      <c r="Y1008" s="3"/>
      <c r="Z1008" s="3"/>
      <c r="AA1008" s="3"/>
      <c r="AB1008" s="3"/>
      <c r="AC1008" s="3"/>
      <c r="AD1008" s="3"/>
      <c r="AE1008" s="3"/>
      <c r="AF1008" s="3"/>
      <c r="AG1008" s="3"/>
      <c r="AH1008" s="3"/>
      <c r="AI1008" s="3"/>
      <c r="AJ1008" s="3"/>
      <c r="AK1008" s="3"/>
      <c r="AL1008" s="3"/>
      <c r="AM1008" s="3"/>
      <c r="AN1008" s="3"/>
      <c r="AO1008" s="3"/>
      <c r="AP1008" s="3"/>
      <c r="AQ1008" s="3"/>
      <c r="AR1008" s="3"/>
      <c r="AS1008" s="3"/>
      <c r="AT1008" s="3"/>
      <c r="AU1008" s="3"/>
      <c r="AV1008" s="3"/>
      <c r="AW1008" s="3"/>
      <c r="AX1008" s="3"/>
      <c r="AY1008" s="3"/>
      <c r="AZ1008" s="3"/>
      <c r="BA1008" s="3"/>
      <c r="BB1008" s="3"/>
      <c r="BC1008" s="3"/>
      <c r="BD1008" s="3"/>
      <c r="BE1008" s="3"/>
      <c r="BF1008" s="3"/>
      <c r="BG1008" s="3"/>
      <c r="BH1008" s="3"/>
      <c r="BI1008" s="3"/>
      <c r="BJ1008" s="3"/>
      <c r="BK1008" s="3"/>
      <c r="BL1008" s="3"/>
      <c r="BM1008" s="3"/>
      <c r="BN1008" s="3"/>
      <c r="BO1008" s="3"/>
      <c r="BP1008" s="3"/>
      <c r="BQ1008" s="3"/>
      <c r="BR1008" s="3"/>
      <c r="BS1008" s="3"/>
      <c r="BT1008" s="3"/>
      <c r="BU1008" s="3"/>
      <c r="BV1008" s="3"/>
      <c r="BW1008" s="3"/>
      <c r="BX1008" s="3"/>
      <c r="BY1008" s="3"/>
      <c r="BZ1008" s="3"/>
      <c r="CA1008" s="3"/>
      <c r="CB1008" s="3"/>
      <c r="CC1008" s="3"/>
      <c r="CD1008" s="3"/>
      <c r="CE1008" s="3"/>
      <c r="CF1008" s="3"/>
      <c r="CG1008" s="3"/>
      <c r="CH1008" s="3"/>
      <c r="CI1008" s="3"/>
      <c r="CJ1008" s="3"/>
      <c r="CK1008" s="3"/>
      <c r="CL1008" s="3"/>
      <c r="CM1008" s="3"/>
      <c r="CN1008" s="3"/>
      <c r="CO1008" s="3"/>
      <c r="CP1008" s="3"/>
      <c r="CQ1008" s="3"/>
      <c r="CR1008" s="3"/>
      <c r="CS1008" s="3"/>
      <c r="CT1008" s="3"/>
      <c r="CU1008" s="3"/>
      <c r="CV1008" s="3"/>
      <c r="CW1008" s="3"/>
      <c r="CX1008" s="3"/>
      <c r="CY1008" s="3"/>
      <c r="CZ1008" s="3"/>
      <c r="DA1008" s="3"/>
      <c r="DB1008" s="3"/>
      <c r="DC1008" s="3"/>
      <c r="DD1008" s="3"/>
      <c r="DE1008" s="3"/>
      <c r="DF1008" s="3"/>
      <c r="DG1008" s="3"/>
      <c r="DH1008" s="3"/>
      <c r="DI1008" s="3"/>
      <c r="DJ1008" s="3"/>
      <c r="DK1008" s="3"/>
      <c r="DL1008" s="3"/>
      <c r="DM1008" s="3"/>
      <c r="DN1008" s="3"/>
      <c r="DO1008" s="3"/>
      <c r="DP1008" s="3"/>
      <c r="DQ1008" s="3"/>
      <c r="DR1008" s="3"/>
      <c r="DS1008" s="3"/>
      <c r="DT1008" s="3"/>
      <c r="DU1008" s="3"/>
      <c r="DV1008" s="3"/>
      <c r="DW1008" s="3"/>
      <c r="DX1008" s="3"/>
      <c r="DY1008" s="3"/>
      <c r="DZ1008" s="3"/>
      <c r="EA1008" s="3"/>
      <c r="EB1008" s="3"/>
      <c r="EC1008" s="3"/>
      <c r="ED1008" s="3"/>
      <c r="EE1008" s="3"/>
      <c r="EF1008" s="3"/>
      <c r="EG1008" s="3"/>
      <c r="EH1008" s="3"/>
      <c r="EI1008" s="3"/>
      <c r="EJ1008" s="3"/>
      <c r="EK1008" s="3"/>
      <c r="EL1008" s="3"/>
      <c r="EM1008" s="3"/>
      <c r="EN1008" s="3"/>
      <c r="EO1008" s="3"/>
      <c r="EP1008" s="3"/>
      <c r="EQ1008" s="3"/>
      <c r="ER1008" s="3"/>
      <c r="ES1008" s="3"/>
      <c r="ET1008" s="3"/>
      <c r="EU1008" s="3"/>
      <c r="EV1008" s="3"/>
      <c r="EW1008" s="3"/>
      <c r="EX1008" s="3"/>
      <c r="EY1008" s="3"/>
      <c r="EZ1008" s="3"/>
      <c r="FA1008" s="3"/>
      <c r="FB1008" s="3"/>
      <c r="FC1008" s="3"/>
      <c r="FD1008" s="3"/>
      <c r="FE1008" s="3"/>
      <c r="FF1008" s="3"/>
      <c r="FG1008" s="3"/>
      <c r="FH1008" s="3"/>
      <c r="FI1008" s="3"/>
      <c r="FJ1008" s="3"/>
      <c r="FK1008" s="3"/>
      <c r="FL1008" s="3"/>
      <c r="FM1008" s="3"/>
      <c r="FN1008" s="3"/>
      <c r="FO1008" s="3"/>
      <c r="FP1008" s="3"/>
      <c r="FQ1008" s="3"/>
      <c r="FR1008" s="3"/>
      <c r="FS1008" s="3"/>
      <c r="FT1008" s="3"/>
      <c r="FU1008" s="3"/>
      <c r="FV1008" s="3"/>
      <c r="FW1008" s="3"/>
      <c r="FX1008" s="3"/>
      <c r="FY1008" s="3"/>
      <c r="FZ1008" s="3"/>
      <c r="GA1008" s="3"/>
      <c r="GB1008" s="3"/>
      <c r="GC1008" s="3"/>
      <c r="GD1008" s="3"/>
      <c r="GE1008" s="3"/>
      <c r="GF1008" s="3"/>
      <c r="GG1008" s="3"/>
      <c r="GH1008" s="3"/>
      <c r="GI1008" s="3"/>
      <c r="GJ1008" s="3"/>
      <c r="GK1008" s="3"/>
      <c r="GL1008" s="3"/>
      <c r="GM1008" s="3"/>
      <c r="GN1008" s="3"/>
      <c r="GO1008" s="3"/>
      <c r="GP1008" s="3"/>
      <c r="GQ1008" s="3"/>
      <c r="GR1008" s="3"/>
      <c r="GS1008" s="3"/>
      <c r="GT1008" s="3"/>
      <c r="GU1008" s="3"/>
      <c r="GV1008" s="3"/>
      <c r="GW1008" s="3"/>
      <c r="GX1008" s="3"/>
      <c r="GY1008" s="3"/>
      <c r="GZ1008" s="3"/>
      <c r="HA1008" s="3"/>
      <c r="HB1008" s="3"/>
      <c r="HC1008" s="3"/>
      <c r="HD1008" s="3"/>
      <c r="HE1008" s="3"/>
      <c r="HF1008" s="3"/>
      <c r="HG1008" s="3"/>
      <c r="HH1008" s="3"/>
      <c r="HI1008" s="3"/>
      <c r="HJ1008" s="3"/>
      <c r="HK1008" s="3"/>
      <c r="HL1008" s="3"/>
      <c r="HM1008" s="3"/>
      <c r="HN1008" s="3"/>
      <c r="HO1008" s="3"/>
      <c r="HP1008" s="3"/>
      <c r="HQ1008" s="3"/>
      <c r="HR1008" s="3"/>
      <c r="HS1008" s="3"/>
      <c r="HT1008" s="3"/>
      <c r="HU1008" s="3"/>
      <c r="HV1008" s="3"/>
      <c r="HW1008" s="3"/>
      <c r="HX1008" s="3"/>
      <c r="HY1008" s="3"/>
      <c r="HZ1008" s="3"/>
      <c r="IA1008" s="3"/>
      <c r="IB1008" s="3"/>
      <c r="IC1008" s="3"/>
      <c r="ID1008" s="3"/>
      <c r="IE1008" s="3"/>
      <c r="IF1008" s="3"/>
      <c r="IG1008" s="3"/>
      <c r="IH1008" s="3"/>
      <c r="II1008" s="3"/>
      <c r="IJ1008" s="3"/>
      <c r="IK1008" s="3"/>
      <c r="IL1008" s="3"/>
      <c r="IM1008" s="3"/>
      <c r="IN1008" s="3"/>
      <c r="IO1008" s="3"/>
      <c r="IP1008" s="3"/>
      <c r="IQ1008" s="3"/>
      <c r="IR1008" s="3"/>
      <c r="IS1008" s="3"/>
      <c r="IT1008" s="3"/>
      <c r="IU1008" s="3"/>
      <c r="IV1008" s="3"/>
    </row>
    <row r="1009" spans="1:256" s="663" customFormat="1">
      <c r="A1009" s="627"/>
      <c r="B1009" s="962"/>
      <c r="C1009" s="55" t="s">
        <v>1600</v>
      </c>
      <c r="D1009" s="190"/>
      <c r="E1009" s="158">
        <f>'Lead- Input sheet '!$Q$32</f>
        <v>0</v>
      </c>
      <c r="F1009" s="29">
        <f>SUM(G1002:G1007)</f>
        <v>1721.96</v>
      </c>
      <c r="G1009" s="628">
        <f>ROUND(E1009*F1009,2)</f>
        <v>0</v>
      </c>
      <c r="I1009" s="152"/>
      <c r="J1009" s="3"/>
      <c r="K1009" s="3"/>
      <c r="L1009" s="3"/>
      <c r="M1009" s="3"/>
      <c r="N1009" s="3"/>
      <c r="O1009" s="3"/>
      <c r="P1009" s="3"/>
      <c r="Q1009" s="3"/>
      <c r="R1009" s="3"/>
      <c r="S1009" s="3"/>
      <c r="T1009" s="3"/>
      <c r="U1009" s="3"/>
      <c r="V1009" s="3"/>
      <c r="W1009" s="3"/>
      <c r="X1009" s="3"/>
      <c r="Y1009" s="3"/>
      <c r="Z1009" s="3"/>
      <c r="AA1009" s="3"/>
      <c r="AB1009" s="3"/>
      <c r="AC1009" s="3"/>
      <c r="AD1009" s="3"/>
      <c r="AE1009" s="3"/>
      <c r="AF1009" s="3"/>
      <c r="AG1009" s="3"/>
      <c r="AH1009" s="3"/>
      <c r="AI1009" s="3"/>
      <c r="AJ1009" s="3"/>
      <c r="AK1009" s="3"/>
      <c r="AL1009" s="3"/>
      <c r="AM1009" s="3"/>
      <c r="AN1009" s="3"/>
      <c r="AO1009" s="3"/>
      <c r="AP1009" s="3"/>
      <c r="AQ1009" s="3"/>
      <c r="AR1009" s="3"/>
      <c r="AS1009" s="3"/>
      <c r="AT1009" s="3"/>
      <c r="AU1009" s="3"/>
      <c r="AV1009" s="3"/>
      <c r="AW1009" s="3"/>
      <c r="AX1009" s="3"/>
      <c r="AY1009" s="3"/>
      <c r="AZ1009" s="3"/>
      <c r="BA1009" s="3"/>
      <c r="BB1009" s="3"/>
      <c r="BC1009" s="3"/>
      <c r="BD1009" s="3"/>
      <c r="BE1009" s="3"/>
      <c r="BF1009" s="3"/>
      <c r="BG1009" s="3"/>
      <c r="BH1009" s="3"/>
      <c r="BI1009" s="3"/>
      <c r="BJ1009" s="3"/>
      <c r="BK1009" s="3"/>
      <c r="BL1009" s="3"/>
      <c r="BM1009" s="3"/>
      <c r="BN1009" s="3"/>
      <c r="BO1009" s="3"/>
      <c r="BP1009" s="3"/>
      <c r="BQ1009" s="3"/>
      <c r="BR1009" s="3"/>
      <c r="BS1009" s="3"/>
      <c r="BT1009" s="3"/>
      <c r="BU1009" s="3"/>
      <c r="BV1009" s="3"/>
      <c r="BW1009" s="3"/>
      <c r="BX1009" s="3"/>
      <c r="BY1009" s="3"/>
      <c r="BZ1009" s="3"/>
      <c r="CA1009" s="3"/>
      <c r="CB1009" s="3"/>
      <c r="CC1009" s="3"/>
      <c r="CD1009" s="3"/>
      <c r="CE1009" s="3"/>
      <c r="CF1009" s="3"/>
      <c r="CG1009" s="3"/>
      <c r="CH1009" s="3"/>
      <c r="CI1009" s="3"/>
      <c r="CJ1009" s="3"/>
      <c r="CK1009" s="3"/>
      <c r="CL1009" s="3"/>
      <c r="CM1009" s="3"/>
      <c r="CN1009" s="3"/>
      <c r="CO1009" s="3"/>
      <c r="CP1009" s="3"/>
      <c r="CQ1009" s="3"/>
      <c r="CR1009" s="3"/>
      <c r="CS1009" s="3"/>
      <c r="CT1009" s="3"/>
      <c r="CU1009" s="3"/>
      <c r="CV1009" s="3"/>
      <c r="CW1009" s="3"/>
      <c r="CX1009" s="3"/>
      <c r="CY1009" s="3"/>
      <c r="CZ1009" s="3"/>
      <c r="DA1009" s="3"/>
      <c r="DB1009" s="3"/>
      <c r="DC1009" s="3"/>
      <c r="DD1009" s="3"/>
      <c r="DE1009" s="3"/>
      <c r="DF1009" s="3"/>
      <c r="DG1009" s="3"/>
      <c r="DH1009" s="3"/>
      <c r="DI1009" s="3"/>
      <c r="DJ1009" s="3"/>
      <c r="DK1009" s="3"/>
      <c r="DL1009" s="3"/>
      <c r="DM1009" s="3"/>
      <c r="DN1009" s="3"/>
      <c r="DO1009" s="3"/>
      <c r="DP1009" s="3"/>
      <c r="DQ1009" s="3"/>
      <c r="DR1009" s="3"/>
      <c r="DS1009" s="3"/>
      <c r="DT1009" s="3"/>
      <c r="DU1009" s="3"/>
      <c r="DV1009" s="3"/>
      <c r="DW1009" s="3"/>
      <c r="DX1009" s="3"/>
      <c r="DY1009" s="3"/>
      <c r="DZ1009" s="3"/>
      <c r="EA1009" s="3"/>
      <c r="EB1009" s="3"/>
      <c r="EC1009" s="3"/>
      <c r="ED1009" s="3"/>
      <c r="EE1009" s="3"/>
      <c r="EF1009" s="3"/>
      <c r="EG1009" s="3"/>
      <c r="EH1009" s="3"/>
      <c r="EI1009" s="3"/>
      <c r="EJ1009" s="3"/>
      <c r="EK1009" s="3"/>
      <c r="EL1009" s="3"/>
      <c r="EM1009" s="3"/>
      <c r="EN1009" s="3"/>
      <c r="EO1009" s="3"/>
      <c r="EP1009" s="3"/>
      <c r="EQ1009" s="3"/>
      <c r="ER1009" s="3"/>
      <c r="ES1009" s="3"/>
      <c r="ET1009" s="3"/>
      <c r="EU1009" s="3"/>
      <c r="EV1009" s="3"/>
      <c r="EW1009" s="3"/>
      <c r="EX1009" s="3"/>
      <c r="EY1009" s="3"/>
      <c r="EZ1009" s="3"/>
      <c r="FA1009" s="3"/>
      <c r="FB1009" s="3"/>
      <c r="FC1009" s="3"/>
      <c r="FD1009" s="3"/>
      <c r="FE1009" s="3"/>
      <c r="FF1009" s="3"/>
      <c r="FG1009" s="3"/>
      <c r="FH1009" s="3"/>
      <c r="FI1009" s="3"/>
      <c r="FJ1009" s="3"/>
      <c r="FK1009" s="3"/>
      <c r="FL1009" s="3"/>
      <c r="FM1009" s="3"/>
      <c r="FN1009" s="3"/>
      <c r="FO1009" s="3"/>
      <c r="FP1009" s="3"/>
      <c r="FQ1009" s="3"/>
      <c r="FR1009" s="3"/>
      <c r="FS1009" s="3"/>
      <c r="FT1009" s="3"/>
      <c r="FU1009" s="3"/>
      <c r="FV1009" s="3"/>
      <c r="FW1009" s="3"/>
      <c r="FX1009" s="3"/>
      <c r="FY1009" s="3"/>
      <c r="FZ1009" s="3"/>
      <c r="GA1009" s="3"/>
      <c r="GB1009" s="3"/>
      <c r="GC1009" s="3"/>
      <c r="GD1009" s="3"/>
      <c r="GE1009" s="3"/>
      <c r="GF1009" s="3"/>
      <c r="GG1009" s="3"/>
      <c r="GH1009" s="3"/>
      <c r="GI1009" s="3"/>
      <c r="GJ1009" s="3"/>
      <c r="GK1009" s="3"/>
      <c r="GL1009" s="3"/>
      <c r="GM1009" s="3"/>
      <c r="GN1009" s="3"/>
      <c r="GO1009" s="3"/>
      <c r="GP1009" s="3"/>
      <c r="GQ1009" s="3"/>
      <c r="GR1009" s="3"/>
      <c r="GS1009" s="3"/>
      <c r="GT1009" s="3"/>
      <c r="GU1009" s="3"/>
      <c r="GV1009" s="3"/>
      <c r="GW1009" s="3"/>
      <c r="GX1009" s="3"/>
      <c r="GY1009" s="3"/>
      <c r="GZ1009" s="3"/>
      <c r="HA1009" s="3"/>
      <c r="HB1009" s="3"/>
      <c r="HC1009" s="3"/>
      <c r="HD1009" s="3"/>
      <c r="HE1009" s="3"/>
      <c r="HF1009" s="3"/>
      <c r="HG1009" s="3"/>
      <c r="HH1009" s="3"/>
      <c r="HI1009" s="3"/>
      <c r="HJ1009" s="3"/>
      <c r="HK1009" s="3"/>
      <c r="HL1009" s="3"/>
      <c r="HM1009" s="3"/>
      <c r="HN1009" s="3"/>
      <c r="HO1009" s="3"/>
      <c r="HP1009" s="3"/>
      <c r="HQ1009" s="3"/>
      <c r="HR1009" s="3"/>
      <c r="HS1009" s="3"/>
      <c r="HT1009" s="3"/>
      <c r="HU1009" s="3"/>
      <c r="HV1009" s="3"/>
      <c r="HW1009" s="3"/>
      <c r="HX1009" s="3"/>
      <c r="HY1009" s="3"/>
      <c r="HZ1009" s="3"/>
      <c r="IA1009" s="3"/>
      <c r="IB1009" s="3"/>
      <c r="IC1009" s="3"/>
      <c r="ID1009" s="3"/>
      <c r="IE1009" s="3"/>
      <c r="IF1009" s="3"/>
      <c r="IG1009" s="3"/>
      <c r="IH1009" s="3"/>
      <c r="II1009" s="3"/>
      <c r="IJ1009" s="3"/>
      <c r="IK1009" s="3"/>
      <c r="IL1009" s="3"/>
      <c r="IM1009" s="3"/>
      <c r="IN1009" s="3"/>
      <c r="IO1009" s="3"/>
      <c r="IP1009" s="3"/>
      <c r="IQ1009" s="3"/>
      <c r="IR1009" s="3"/>
      <c r="IS1009" s="3"/>
      <c r="IT1009" s="3"/>
      <c r="IU1009" s="3"/>
      <c r="IV1009" s="3"/>
    </row>
    <row r="1010" spans="1:256" s="663" customFormat="1">
      <c r="A1010" s="627"/>
      <c r="B1010" s="962"/>
      <c r="C1010" s="20" t="s">
        <v>1731</v>
      </c>
      <c r="D1010" s="304"/>
      <c r="E1010" s="28"/>
      <c r="F1010" s="28"/>
      <c r="G1010" s="628">
        <f>SUM(G1008:G1009)</f>
        <v>1721.96</v>
      </c>
      <c r="I1010" s="152"/>
      <c r="J1010" s="3"/>
      <c r="K1010" s="3"/>
      <c r="L1010" s="3"/>
      <c r="M1010" s="3"/>
      <c r="N1010" s="3"/>
      <c r="O1010" s="3"/>
      <c r="P1010" s="3"/>
      <c r="Q1010" s="3"/>
      <c r="R1010" s="3"/>
      <c r="S1010" s="3"/>
      <c r="T1010" s="3"/>
      <c r="U1010" s="3"/>
      <c r="V1010" s="3"/>
      <c r="W1010" s="3"/>
      <c r="X1010" s="3"/>
      <c r="Y1010" s="3"/>
      <c r="Z1010" s="3"/>
      <c r="AA1010" s="3"/>
      <c r="AB1010" s="3"/>
      <c r="AC1010" s="3"/>
      <c r="AD1010" s="3"/>
      <c r="AE1010" s="3"/>
      <c r="AF1010" s="3"/>
      <c r="AG1010" s="3"/>
      <c r="AH1010" s="3"/>
      <c r="AI1010" s="3"/>
      <c r="AJ1010" s="3"/>
      <c r="AK1010" s="3"/>
      <c r="AL1010" s="3"/>
      <c r="AM1010" s="3"/>
      <c r="AN1010" s="3"/>
      <c r="AO1010" s="3"/>
      <c r="AP1010" s="3"/>
      <c r="AQ1010" s="3"/>
      <c r="AR1010" s="3"/>
      <c r="AS1010" s="3"/>
      <c r="AT1010" s="3"/>
      <c r="AU1010" s="3"/>
      <c r="AV1010" s="3"/>
      <c r="AW1010" s="3"/>
      <c r="AX1010" s="3"/>
      <c r="AY1010" s="3"/>
      <c r="AZ1010" s="3"/>
      <c r="BA1010" s="3"/>
      <c r="BB1010" s="3"/>
      <c r="BC1010" s="3"/>
      <c r="BD1010" s="3"/>
      <c r="BE1010" s="3"/>
      <c r="BF1010" s="3"/>
      <c r="BG1010" s="3"/>
      <c r="BH1010" s="3"/>
      <c r="BI1010" s="3"/>
      <c r="BJ1010" s="3"/>
      <c r="BK1010" s="3"/>
      <c r="BL1010" s="3"/>
      <c r="BM1010" s="3"/>
      <c r="BN1010" s="3"/>
      <c r="BO1010" s="3"/>
      <c r="BP1010" s="3"/>
      <c r="BQ1010" s="3"/>
      <c r="BR1010" s="3"/>
      <c r="BS1010" s="3"/>
      <c r="BT1010" s="3"/>
      <c r="BU1010" s="3"/>
      <c r="BV1010" s="3"/>
      <c r="BW1010" s="3"/>
      <c r="BX1010" s="3"/>
      <c r="BY1010" s="3"/>
      <c r="BZ1010" s="3"/>
      <c r="CA1010" s="3"/>
      <c r="CB1010" s="3"/>
      <c r="CC1010" s="3"/>
      <c r="CD1010" s="3"/>
      <c r="CE1010" s="3"/>
      <c r="CF1010" s="3"/>
      <c r="CG1010" s="3"/>
      <c r="CH1010" s="3"/>
      <c r="CI1010" s="3"/>
      <c r="CJ1010" s="3"/>
      <c r="CK1010" s="3"/>
      <c r="CL1010" s="3"/>
      <c r="CM1010" s="3"/>
      <c r="CN1010" s="3"/>
      <c r="CO1010" s="3"/>
      <c r="CP1010" s="3"/>
      <c r="CQ1010" s="3"/>
      <c r="CR1010" s="3"/>
      <c r="CS1010" s="3"/>
      <c r="CT1010" s="3"/>
      <c r="CU1010" s="3"/>
      <c r="CV1010" s="3"/>
      <c r="CW1010" s="3"/>
      <c r="CX1010" s="3"/>
      <c r="CY1010" s="3"/>
      <c r="CZ1010" s="3"/>
      <c r="DA1010" s="3"/>
      <c r="DB1010" s="3"/>
      <c r="DC1010" s="3"/>
      <c r="DD1010" s="3"/>
      <c r="DE1010" s="3"/>
      <c r="DF1010" s="3"/>
      <c r="DG1010" s="3"/>
      <c r="DH1010" s="3"/>
      <c r="DI1010" s="3"/>
      <c r="DJ1010" s="3"/>
      <c r="DK1010" s="3"/>
      <c r="DL1010" s="3"/>
      <c r="DM1010" s="3"/>
      <c r="DN1010" s="3"/>
      <c r="DO1010" s="3"/>
      <c r="DP1010" s="3"/>
      <c r="DQ1010" s="3"/>
      <c r="DR1010" s="3"/>
      <c r="DS1010" s="3"/>
      <c r="DT1010" s="3"/>
      <c r="DU1010" s="3"/>
      <c r="DV1010" s="3"/>
      <c r="DW1010" s="3"/>
      <c r="DX1010" s="3"/>
      <c r="DY1010" s="3"/>
      <c r="DZ1010" s="3"/>
      <c r="EA1010" s="3"/>
      <c r="EB1010" s="3"/>
      <c r="EC1010" s="3"/>
      <c r="ED1010" s="3"/>
      <c r="EE1010" s="3"/>
      <c r="EF1010" s="3"/>
      <c r="EG1010" s="3"/>
      <c r="EH1010" s="3"/>
      <c r="EI1010" s="3"/>
      <c r="EJ1010" s="3"/>
      <c r="EK1010" s="3"/>
      <c r="EL1010" s="3"/>
      <c r="EM1010" s="3"/>
      <c r="EN1010" s="3"/>
      <c r="EO1010" s="3"/>
      <c r="EP1010" s="3"/>
      <c r="EQ1010" s="3"/>
      <c r="ER1010" s="3"/>
      <c r="ES1010" s="3"/>
      <c r="ET1010" s="3"/>
      <c r="EU1010" s="3"/>
      <c r="EV1010" s="3"/>
      <c r="EW1010" s="3"/>
      <c r="EX1010" s="3"/>
      <c r="EY1010" s="3"/>
      <c r="EZ1010" s="3"/>
      <c r="FA1010" s="3"/>
      <c r="FB1010" s="3"/>
      <c r="FC1010" s="3"/>
      <c r="FD1010" s="3"/>
      <c r="FE1010" s="3"/>
      <c r="FF1010" s="3"/>
      <c r="FG1010" s="3"/>
      <c r="FH1010" s="3"/>
      <c r="FI1010" s="3"/>
      <c r="FJ1010" s="3"/>
      <c r="FK1010" s="3"/>
      <c r="FL1010" s="3"/>
      <c r="FM1010" s="3"/>
      <c r="FN1010" s="3"/>
      <c r="FO1010" s="3"/>
      <c r="FP1010" s="3"/>
      <c r="FQ1010" s="3"/>
      <c r="FR1010" s="3"/>
      <c r="FS1010" s="3"/>
      <c r="FT1010" s="3"/>
      <c r="FU1010" s="3"/>
      <c r="FV1010" s="3"/>
      <c r="FW1010" s="3"/>
      <c r="FX1010" s="3"/>
      <c r="FY1010" s="3"/>
      <c r="FZ1010" s="3"/>
      <c r="GA1010" s="3"/>
      <c r="GB1010" s="3"/>
      <c r="GC1010" s="3"/>
      <c r="GD1010" s="3"/>
      <c r="GE1010" s="3"/>
      <c r="GF1010" s="3"/>
      <c r="GG1010" s="3"/>
      <c r="GH1010" s="3"/>
      <c r="GI1010" s="3"/>
      <c r="GJ1010" s="3"/>
      <c r="GK1010" s="3"/>
      <c r="GL1010" s="3"/>
      <c r="GM1010" s="3"/>
      <c r="GN1010" s="3"/>
      <c r="GO1010" s="3"/>
      <c r="GP1010" s="3"/>
      <c r="GQ1010" s="3"/>
      <c r="GR1010" s="3"/>
      <c r="GS1010" s="3"/>
      <c r="GT1010" s="3"/>
      <c r="GU1010" s="3"/>
      <c r="GV1010" s="3"/>
      <c r="GW1010" s="3"/>
      <c r="GX1010" s="3"/>
      <c r="GY1010" s="3"/>
      <c r="GZ1010" s="3"/>
      <c r="HA1010" s="3"/>
      <c r="HB1010" s="3"/>
      <c r="HC1010" s="3"/>
      <c r="HD1010" s="3"/>
      <c r="HE1010" s="3"/>
      <c r="HF1010" s="3"/>
      <c r="HG1010" s="3"/>
      <c r="HH1010" s="3"/>
      <c r="HI1010" s="3"/>
      <c r="HJ1010" s="3"/>
      <c r="HK1010" s="3"/>
      <c r="HL1010" s="3"/>
      <c r="HM1010" s="3"/>
      <c r="HN1010" s="3"/>
      <c r="HO1010" s="3"/>
      <c r="HP1010" s="3"/>
      <c r="HQ1010" s="3"/>
      <c r="HR1010" s="3"/>
      <c r="HS1010" s="3"/>
      <c r="HT1010" s="3"/>
      <c r="HU1010" s="3"/>
      <c r="HV1010" s="3"/>
      <c r="HW1010" s="3"/>
      <c r="HX1010" s="3"/>
      <c r="HY1010" s="3"/>
      <c r="HZ1010" s="3"/>
      <c r="IA1010" s="3"/>
      <c r="IB1010" s="3"/>
      <c r="IC1010" s="3"/>
      <c r="ID1010" s="3"/>
      <c r="IE1010" s="3"/>
      <c r="IF1010" s="3"/>
      <c r="IG1010" s="3"/>
      <c r="IH1010" s="3"/>
      <c r="II1010" s="3"/>
      <c r="IJ1010" s="3"/>
      <c r="IK1010" s="3"/>
      <c r="IL1010" s="3"/>
      <c r="IM1010" s="3"/>
      <c r="IN1010" s="3"/>
      <c r="IO1010" s="3"/>
      <c r="IP1010" s="3"/>
      <c r="IQ1010" s="3"/>
      <c r="IR1010" s="3"/>
      <c r="IS1010" s="3"/>
      <c r="IT1010" s="3"/>
      <c r="IU1010" s="3"/>
      <c r="IV1010" s="3"/>
    </row>
    <row r="1011" spans="1:256" s="663" customFormat="1" ht="117">
      <c r="A1011" s="627"/>
      <c r="B1011" s="963">
        <v>55</v>
      </c>
      <c r="C1011" s="309" t="s">
        <v>1732</v>
      </c>
      <c r="D1011" s="310"/>
      <c r="E1011" s="310"/>
      <c r="F1011" s="28"/>
      <c r="G1011" s="628"/>
      <c r="I1011" s="152"/>
      <c r="J1011" s="3"/>
      <c r="K1011" s="3"/>
      <c r="L1011" s="3"/>
      <c r="M1011" s="3"/>
      <c r="N1011" s="3"/>
      <c r="O1011" s="3"/>
      <c r="P1011" s="3"/>
      <c r="Q1011" s="3"/>
      <c r="R1011" s="3"/>
      <c r="S1011" s="3"/>
      <c r="T1011" s="3"/>
      <c r="U1011" s="3"/>
      <c r="V1011" s="3"/>
      <c r="W1011" s="3"/>
      <c r="X1011" s="3"/>
      <c r="Y1011" s="3"/>
      <c r="Z1011" s="3"/>
      <c r="AA1011" s="3"/>
      <c r="AB1011" s="3"/>
      <c r="AC1011" s="3"/>
      <c r="AD1011" s="3"/>
      <c r="AE1011" s="3"/>
      <c r="AF1011" s="3"/>
      <c r="AG1011" s="3"/>
      <c r="AH1011" s="3"/>
      <c r="AI1011" s="3"/>
      <c r="AJ1011" s="3"/>
      <c r="AK1011" s="3"/>
      <c r="AL1011" s="3"/>
      <c r="AM1011" s="3"/>
      <c r="AN1011" s="3"/>
      <c r="AO1011" s="3"/>
      <c r="AP1011" s="3"/>
      <c r="AQ1011" s="3"/>
      <c r="AR1011" s="3"/>
      <c r="AS1011" s="3"/>
      <c r="AT1011" s="3"/>
      <c r="AU1011" s="3"/>
      <c r="AV1011" s="3"/>
      <c r="AW1011" s="3"/>
      <c r="AX1011" s="3"/>
      <c r="AY1011" s="3"/>
      <c r="AZ1011" s="3"/>
      <c r="BA1011" s="3"/>
      <c r="BB1011" s="3"/>
      <c r="BC1011" s="3"/>
      <c r="BD1011" s="3"/>
      <c r="BE1011" s="3"/>
      <c r="BF1011" s="3"/>
      <c r="BG1011" s="3"/>
      <c r="BH1011" s="3"/>
      <c r="BI1011" s="3"/>
      <c r="BJ1011" s="3"/>
      <c r="BK1011" s="3"/>
      <c r="BL1011" s="3"/>
      <c r="BM1011" s="3"/>
      <c r="BN1011" s="3"/>
      <c r="BO1011" s="3"/>
      <c r="BP1011" s="3"/>
      <c r="BQ1011" s="3"/>
      <c r="BR1011" s="3"/>
      <c r="BS1011" s="3"/>
      <c r="BT1011" s="3"/>
      <c r="BU1011" s="3"/>
      <c r="BV1011" s="3"/>
      <c r="BW1011" s="3"/>
      <c r="BX1011" s="3"/>
      <c r="BY1011" s="3"/>
      <c r="BZ1011" s="3"/>
      <c r="CA1011" s="3"/>
      <c r="CB1011" s="3"/>
      <c r="CC1011" s="3"/>
      <c r="CD1011" s="3"/>
      <c r="CE1011" s="3"/>
      <c r="CF1011" s="3"/>
      <c r="CG1011" s="3"/>
      <c r="CH1011" s="3"/>
      <c r="CI1011" s="3"/>
      <c r="CJ1011" s="3"/>
      <c r="CK1011" s="3"/>
      <c r="CL1011" s="3"/>
      <c r="CM1011" s="3"/>
      <c r="CN1011" s="3"/>
      <c r="CO1011" s="3"/>
      <c r="CP1011" s="3"/>
      <c r="CQ1011" s="3"/>
      <c r="CR1011" s="3"/>
      <c r="CS1011" s="3"/>
      <c r="CT1011" s="3"/>
      <c r="CU1011" s="3"/>
      <c r="CV1011" s="3"/>
      <c r="CW1011" s="3"/>
      <c r="CX1011" s="3"/>
      <c r="CY1011" s="3"/>
      <c r="CZ1011" s="3"/>
      <c r="DA1011" s="3"/>
      <c r="DB1011" s="3"/>
      <c r="DC1011" s="3"/>
      <c r="DD1011" s="3"/>
      <c r="DE1011" s="3"/>
      <c r="DF1011" s="3"/>
      <c r="DG1011" s="3"/>
      <c r="DH1011" s="3"/>
      <c r="DI1011" s="3"/>
      <c r="DJ1011" s="3"/>
      <c r="DK1011" s="3"/>
      <c r="DL1011" s="3"/>
      <c r="DM1011" s="3"/>
      <c r="DN1011" s="3"/>
      <c r="DO1011" s="3"/>
      <c r="DP1011" s="3"/>
      <c r="DQ1011" s="3"/>
      <c r="DR1011" s="3"/>
      <c r="DS1011" s="3"/>
      <c r="DT1011" s="3"/>
      <c r="DU1011" s="3"/>
      <c r="DV1011" s="3"/>
      <c r="DW1011" s="3"/>
      <c r="DX1011" s="3"/>
      <c r="DY1011" s="3"/>
      <c r="DZ1011" s="3"/>
      <c r="EA1011" s="3"/>
      <c r="EB1011" s="3"/>
      <c r="EC1011" s="3"/>
      <c r="ED1011" s="3"/>
      <c r="EE1011" s="3"/>
      <c r="EF1011" s="3"/>
      <c r="EG1011" s="3"/>
      <c r="EH1011" s="3"/>
      <c r="EI1011" s="3"/>
      <c r="EJ1011" s="3"/>
      <c r="EK1011" s="3"/>
      <c r="EL1011" s="3"/>
      <c r="EM1011" s="3"/>
      <c r="EN1011" s="3"/>
      <c r="EO1011" s="3"/>
      <c r="EP1011" s="3"/>
      <c r="EQ1011" s="3"/>
      <c r="ER1011" s="3"/>
      <c r="ES1011" s="3"/>
      <c r="ET1011" s="3"/>
      <c r="EU1011" s="3"/>
      <c r="EV1011" s="3"/>
      <c r="EW1011" s="3"/>
      <c r="EX1011" s="3"/>
      <c r="EY1011" s="3"/>
      <c r="EZ1011" s="3"/>
      <c r="FA1011" s="3"/>
      <c r="FB1011" s="3"/>
      <c r="FC1011" s="3"/>
      <c r="FD1011" s="3"/>
      <c r="FE1011" s="3"/>
      <c r="FF1011" s="3"/>
      <c r="FG1011" s="3"/>
      <c r="FH1011" s="3"/>
      <c r="FI1011" s="3"/>
      <c r="FJ1011" s="3"/>
      <c r="FK1011" s="3"/>
      <c r="FL1011" s="3"/>
      <c r="FM1011" s="3"/>
      <c r="FN1011" s="3"/>
      <c r="FO1011" s="3"/>
      <c r="FP1011" s="3"/>
      <c r="FQ1011" s="3"/>
      <c r="FR1011" s="3"/>
      <c r="FS1011" s="3"/>
      <c r="FT1011" s="3"/>
      <c r="FU1011" s="3"/>
      <c r="FV1011" s="3"/>
      <c r="FW1011" s="3"/>
      <c r="FX1011" s="3"/>
      <c r="FY1011" s="3"/>
      <c r="FZ1011" s="3"/>
      <c r="GA1011" s="3"/>
      <c r="GB1011" s="3"/>
      <c r="GC1011" s="3"/>
      <c r="GD1011" s="3"/>
      <c r="GE1011" s="3"/>
      <c r="GF1011" s="3"/>
      <c r="GG1011" s="3"/>
      <c r="GH1011" s="3"/>
      <c r="GI1011" s="3"/>
      <c r="GJ1011" s="3"/>
      <c r="GK1011" s="3"/>
      <c r="GL1011" s="3"/>
      <c r="GM1011" s="3"/>
      <c r="GN1011" s="3"/>
      <c r="GO1011" s="3"/>
      <c r="GP1011" s="3"/>
      <c r="GQ1011" s="3"/>
      <c r="GR1011" s="3"/>
      <c r="GS1011" s="3"/>
      <c r="GT1011" s="3"/>
      <c r="GU1011" s="3"/>
      <c r="GV1011" s="3"/>
      <c r="GW1011" s="3"/>
      <c r="GX1011" s="3"/>
      <c r="GY1011" s="3"/>
      <c r="GZ1011" s="3"/>
      <c r="HA1011" s="3"/>
      <c r="HB1011" s="3"/>
      <c r="HC1011" s="3"/>
      <c r="HD1011" s="3"/>
      <c r="HE1011" s="3"/>
      <c r="HF1011" s="3"/>
      <c r="HG1011" s="3"/>
      <c r="HH1011" s="3"/>
      <c r="HI1011" s="3"/>
      <c r="HJ1011" s="3"/>
      <c r="HK1011" s="3"/>
      <c r="HL1011" s="3"/>
      <c r="HM1011" s="3"/>
      <c r="HN1011" s="3"/>
      <c r="HO1011" s="3"/>
      <c r="HP1011" s="3"/>
      <c r="HQ1011" s="3"/>
      <c r="HR1011" s="3"/>
      <c r="HS1011" s="3"/>
      <c r="HT1011" s="3"/>
      <c r="HU1011" s="3"/>
      <c r="HV1011" s="3"/>
      <c r="HW1011" s="3"/>
      <c r="HX1011" s="3"/>
      <c r="HY1011" s="3"/>
      <c r="HZ1011" s="3"/>
      <c r="IA1011" s="3"/>
      <c r="IB1011" s="3"/>
      <c r="IC1011" s="3"/>
      <c r="ID1011" s="3"/>
      <c r="IE1011" s="3"/>
      <c r="IF1011" s="3"/>
      <c r="IG1011" s="3"/>
      <c r="IH1011" s="3"/>
      <c r="II1011" s="3"/>
      <c r="IJ1011" s="3"/>
      <c r="IK1011" s="3"/>
      <c r="IL1011" s="3"/>
      <c r="IM1011" s="3"/>
      <c r="IN1011" s="3"/>
      <c r="IO1011" s="3"/>
      <c r="IP1011" s="3"/>
      <c r="IQ1011" s="3"/>
      <c r="IR1011" s="3"/>
      <c r="IS1011" s="3"/>
      <c r="IT1011" s="3"/>
      <c r="IU1011" s="3"/>
      <c r="IV1011" s="3"/>
    </row>
    <row r="1012" spans="1:256" s="663" customFormat="1">
      <c r="A1012" s="627"/>
      <c r="B1012" s="963"/>
      <c r="C1012" s="309" t="s">
        <v>1227</v>
      </c>
      <c r="D1012" s="310"/>
      <c r="E1012" s="310"/>
      <c r="F1012" s="28"/>
      <c r="G1012" s="628"/>
      <c r="I1012" s="152"/>
      <c r="J1012" s="3"/>
      <c r="K1012" s="3"/>
      <c r="L1012" s="3"/>
      <c r="M1012" s="3"/>
      <c r="N1012" s="3"/>
      <c r="O1012" s="3"/>
      <c r="P1012" s="3"/>
      <c r="Q1012" s="3"/>
      <c r="R1012" s="3"/>
      <c r="S1012" s="3"/>
      <c r="T1012" s="3"/>
      <c r="U1012" s="3"/>
      <c r="V1012" s="3"/>
      <c r="W1012" s="3"/>
      <c r="X1012" s="3"/>
      <c r="Y1012" s="3"/>
      <c r="Z1012" s="3"/>
      <c r="AA1012" s="3"/>
      <c r="AB1012" s="3"/>
      <c r="AC1012" s="3"/>
      <c r="AD1012" s="3"/>
      <c r="AE1012" s="3"/>
      <c r="AF1012" s="3"/>
      <c r="AG1012" s="3"/>
      <c r="AH1012" s="3"/>
      <c r="AI1012" s="3"/>
      <c r="AJ1012" s="3"/>
      <c r="AK1012" s="3"/>
      <c r="AL1012" s="3"/>
      <c r="AM1012" s="3"/>
      <c r="AN1012" s="3"/>
      <c r="AO1012" s="3"/>
      <c r="AP1012" s="3"/>
      <c r="AQ1012" s="3"/>
      <c r="AR1012" s="3"/>
      <c r="AS1012" s="3"/>
      <c r="AT1012" s="3"/>
      <c r="AU1012" s="3"/>
      <c r="AV1012" s="3"/>
      <c r="AW1012" s="3"/>
      <c r="AX1012" s="3"/>
      <c r="AY1012" s="3"/>
      <c r="AZ1012" s="3"/>
      <c r="BA1012" s="3"/>
      <c r="BB1012" s="3"/>
      <c r="BC1012" s="3"/>
      <c r="BD1012" s="3"/>
      <c r="BE1012" s="3"/>
      <c r="BF1012" s="3"/>
      <c r="BG1012" s="3"/>
      <c r="BH1012" s="3"/>
      <c r="BI1012" s="3"/>
      <c r="BJ1012" s="3"/>
      <c r="BK1012" s="3"/>
      <c r="BL1012" s="3"/>
      <c r="BM1012" s="3"/>
      <c r="BN1012" s="3"/>
      <c r="BO1012" s="3"/>
      <c r="BP1012" s="3"/>
      <c r="BQ1012" s="3"/>
      <c r="BR1012" s="3"/>
      <c r="BS1012" s="3"/>
      <c r="BT1012" s="3"/>
      <c r="BU1012" s="3"/>
      <c r="BV1012" s="3"/>
      <c r="BW1012" s="3"/>
      <c r="BX1012" s="3"/>
      <c r="BY1012" s="3"/>
      <c r="BZ1012" s="3"/>
      <c r="CA1012" s="3"/>
      <c r="CB1012" s="3"/>
      <c r="CC1012" s="3"/>
      <c r="CD1012" s="3"/>
      <c r="CE1012" s="3"/>
      <c r="CF1012" s="3"/>
      <c r="CG1012" s="3"/>
      <c r="CH1012" s="3"/>
      <c r="CI1012" s="3"/>
      <c r="CJ1012" s="3"/>
      <c r="CK1012" s="3"/>
      <c r="CL1012" s="3"/>
      <c r="CM1012" s="3"/>
      <c r="CN1012" s="3"/>
      <c r="CO1012" s="3"/>
      <c r="CP1012" s="3"/>
      <c r="CQ1012" s="3"/>
      <c r="CR1012" s="3"/>
      <c r="CS1012" s="3"/>
      <c r="CT1012" s="3"/>
      <c r="CU1012" s="3"/>
      <c r="CV1012" s="3"/>
      <c r="CW1012" s="3"/>
      <c r="CX1012" s="3"/>
      <c r="CY1012" s="3"/>
      <c r="CZ1012" s="3"/>
      <c r="DA1012" s="3"/>
      <c r="DB1012" s="3"/>
      <c r="DC1012" s="3"/>
      <c r="DD1012" s="3"/>
      <c r="DE1012" s="3"/>
      <c r="DF1012" s="3"/>
      <c r="DG1012" s="3"/>
      <c r="DH1012" s="3"/>
      <c r="DI1012" s="3"/>
      <c r="DJ1012" s="3"/>
      <c r="DK1012" s="3"/>
      <c r="DL1012" s="3"/>
      <c r="DM1012" s="3"/>
      <c r="DN1012" s="3"/>
      <c r="DO1012" s="3"/>
      <c r="DP1012" s="3"/>
      <c r="DQ1012" s="3"/>
      <c r="DR1012" s="3"/>
      <c r="DS1012" s="3"/>
      <c r="DT1012" s="3"/>
      <c r="DU1012" s="3"/>
      <c r="DV1012" s="3"/>
      <c r="DW1012" s="3"/>
      <c r="DX1012" s="3"/>
      <c r="DY1012" s="3"/>
      <c r="DZ1012" s="3"/>
      <c r="EA1012" s="3"/>
      <c r="EB1012" s="3"/>
      <c r="EC1012" s="3"/>
      <c r="ED1012" s="3"/>
      <c r="EE1012" s="3"/>
      <c r="EF1012" s="3"/>
      <c r="EG1012" s="3"/>
      <c r="EH1012" s="3"/>
      <c r="EI1012" s="3"/>
      <c r="EJ1012" s="3"/>
      <c r="EK1012" s="3"/>
      <c r="EL1012" s="3"/>
      <c r="EM1012" s="3"/>
      <c r="EN1012" s="3"/>
      <c r="EO1012" s="3"/>
      <c r="EP1012" s="3"/>
      <c r="EQ1012" s="3"/>
      <c r="ER1012" s="3"/>
      <c r="ES1012" s="3"/>
      <c r="ET1012" s="3"/>
      <c r="EU1012" s="3"/>
      <c r="EV1012" s="3"/>
      <c r="EW1012" s="3"/>
      <c r="EX1012" s="3"/>
      <c r="EY1012" s="3"/>
      <c r="EZ1012" s="3"/>
      <c r="FA1012" s="3"/>
      <c r="FB1012" s="3"/>
      <c r="FC1012" s="3"/>
      <c r="FD1012" s="3"/>
      <c r="FE1012" s="3"/>
      <c r="FF1012" s="3"/>
      <c r="FG1012" s="3"/>
      <c r="FH1012" s="3"/>
      <c r="FI1012" s="3"/>
      <c r="FJ1012" s="3"/>
      <c r="FK1012" s="3"/>
      <c r="FL1012" s="3"/>
      <c r="FM1012" s="3"/>
      <c r="FN1012" s="3"/>
      <c r="FO1012" s="3"/>
      <c r="FP1012" s="3"/>
      <c r="FQ1012" s="3"/>
      <c r="FR1012" s="3"/>
      <c r="FS1012" s="3"/>
      <c r="FT1012" s="3"/>
      <c r="FU1012" s="3"/>
      <c r="FV1012" s="3"/>
      <c r="FW1012" s="3"/>
      <c r="FX1012" s="3"/>
      <c r="FY1012" s="3"/>
      <c r="FZ1012" s="3"/>
      <c r="GA1012" s="3"/>
      <c r="GB1012" s="3"/>
      <c r="GC1012" s="3"/>
      <c r="GD1012" s="3"/>
      <c r="GE1012" s="3"/>
      <c r="GF1012" s="3"/>
      <c r="GG1012" s="3"/>
      <c r="GH1012" s="3"/>
      <c r="GI1012" s="3"/>
      <c r="GJ1012" s="3"/>
      <c r="GK1012" s="3"/>
      <c r="GL1012" s="3"/>
      <c r="GM1012" s="3"/>
      <c r="GN1012" s="3"/>
      <c r="GO1012" s="3"/>
      <c r="GP1012" s="3"/>
      <c r="GQ1012" s="3"/>
      <c r="GR1012" s="3"/>
      <c r="GS1012" s="3"/>
      <c r="GT1012" s="3"/>
      <c r="GU1012" s="3"/>
      <c r="GV1012" s="3"/>
      <c r="GW1012" s="3"/>
      <c r="GX1012" s="3"/>
      <c r="GY1012" s="3"/>
      <c r="GZ1012" s="3"/>
      <c r="HA1012" s="3"/>
      <c r="HB1012" s="3"/>
      <c r="HC1012" s="3"/>
      <c r="HD1012" s="3"/>
      <c r="HE1012" s="3"/>
      <c r="HF1012" s="3"/>
      <c r="HG1012" s="3"/>
      <c r="HH1012" s="3"/>
      <c r="HI1012" s="3"/>
      <c r="HJ1012" s="3"/>
      <c r="HK1012" s="3"/>
      <c r="HL1012" s="3"/>
      <c r="HM1012" s="3"/>
      <c r="HN1012" s="3"/>
      <c r="HO1012" s="3"/>
      <c r="HP1012" s="3"/>
      <c r="HQ1012" s="3"/>
      <c r="HR1012" s="3"/>
      <c r="HS1012" s="3"/>
      <c r="HT1012" s="3"/>
      <c r="HU1012" s="3"/>
      <c r="HV1012" s="3"/>
      <c r="HW1012" s="3"/>
      <c r="HX1012" s="3"/>
      <c r="HY1012" s="3"/>
      <c r="HZ1012" s="3"/>
      <c r="IA1012" s="3"/>
      <c r="IB1012" s="3"/>
      <c r="IC1012" s="3"/>
      <c r="ID1012" s="3"/>
      <c r="IE1012" s="3"/>
      <c r="IF1012" s="3"/>
      <c r="IG1012" s="3"/>
      <c r="IH1012" s="3"/>
      <c r="II1012" s="3"/>
      <c r="IJ1012" s="3"/>
      <c r="IK1012" s="3"/>
      <c r="IL1012" s="3"/>
      <c r="IM1012" s="3"/>
      <c r="IN1012" s="3"/>
      <c r="IO1012" s="3"/>
      <c r="IP1012" s="3"/>
      <c r="IQ1012" s="3"/>
      <c r="IR1012" s="3"/>
      <c r="IS1012" s="3"/>
      <c r="IT1012" s="3"/>
      <c r="IU1012" s="3"/>
      <c r="IV1012" s="3"/>
    </row>
    <row r="1013" spans="1:256" s="663" customFormat="1">
      <c r="A1013" s="627"/>
      <c r="B1013" s="963"/>
      <c r="C1013" s="309" t="s">
        <v>1041</v>
      </c>
      <c r="D1013" s="310"/>
      <c r="E1013" s="310"/>
      <c r="F1013" s="28"/>
      <c r="G1013" s="628"/>
      <c r="I1013" s="152"/>
      <c r="J1013" s="3"/>
      <c r="K1013" s="3"/>
      <c r="L1013" s="3"/>
      <c r="M1013" s="3"/>
      <c r="N1013" s="3"/>
      <c r="O1013" s="3"/>
      <c r="P1013" s="3"/>
      <c r="Q1013" s="3"/>
      <c r="R1013" s="3"/>
      <c r="S1013" s="3"/>
      <c r="T1013" s="3"/>
      <c r="U1013" s="3"/>
      <c r="V1013" s="3"/>
      <c r="W1013" s="3"/>
      <c r="X1013" s="3"/>
      <c r="Y1013" s="3"/>
      <c r="Z1013" s="3"/>
      <c r="AA1013" s="3"/>
      <c r="AB1013" s="3"/>
      <c r="AC1013" s="3"/>
      <c r="AD1013" s="3"/>
      <c r="AE1013" s="3"/>
      <c r="AF1013" s="3"/>
      <c r="AG1013" s="3"/>
      <c r="AH1013" s="3"/>
      <c r="AI1013" s="3"/>
      <c r="AJ1013" s="3"/>
      <c r="AK1013" s="3"/>
      <c r="AL1013" s="3"/>
      <c r="AM1013" s="3"/>
      <c r="AN1013" s="3"/>
      <c r="AO1013" s="3"/>
      <c r="AP1013" s="3"/>
      <c r="AQ1013" s="3"/>
      <c r="AR1013" s="3"/>
      <c r="AS1013" s="3"/>
      <c r="AT1013" s="3"/>
      <c r="AU1013" s="3"/>
      <c r="AV1013" s="3"/>
      <c r="AW1013" s="3"/>
      <c r="AX1013" s="3"/>
      <c r="AY1013" s="3"/>
      <c r="AZ1013" s="3"/>
      <c r="BA1013" s="3"/>
      <c r="BB1013" s="3"/>
      <c r="BC1013" s="3"/>
      <c r="BD1013" s="3"/>
      <c r="BE1013" s="3"/>
      <c r="BF1013" s="3"/>
      <c r="BG1013" s="3"/>
      <c r="BH1013" s="3"/>
      <c r="BI1013" s="3"/>
      <c r="BJ1013" s="3"/>
      <c r="BK1013" s="3"/>
      <c r="BL1013" s="3"/>
      <c r="BM1013" s="3"/>
      <c r="BN1013" s="3"/>
      <c r="BO1013" s="3"/>
      <c r="BP1013" s="3"/>
      <c r="BQ1013" s="3"/>
      <c r="BR1013" s="3"/>
      <c r="BS1013" s="3"/>
      <c r="BT1013" s="3"/>
      <c r="BU1013" s="3"/>
      <c r="BV1013" s="3"/>
      <c r="BW1013" s="3"/>
      <c r="BX1013" s="3"/>
      <c r="BY1013" s="3"/>
      <c r="BZ1013" s="3"/>
      <c r="CA1013" s="3"/>
      <c r="CB1013" s="3"/>
      <c r="CC1013" s="3"/>
      <c r="CD1013" s="3"/>
      <c r="CE1013" s="3"/>
      <c r="CF1013" s="3"/>
      <c r="CG1013" s="3"/>
      <c r="CH1013" s="3"/>
      <c r="CI1013" s="3"/>
      <c r="CJ1013" s="3"/>
      <c r="CK1013" s="3"/>
      <c r="CL1013" s="3"/>
      <c r="CM1013" s="3"/>
      <c r="CN1013" s="3"/>
      <c r="CO1013" s="3"/>
      <c r="CP1013" s="3"/>
      <c r="CQ1013" s="3"/>
      <c r="CR1013" s="3"/>
      <c r="CS1013" s="3"/>
      <c r="CT1013" s="3"/>
      <c r="CU1013" s="3"/>
      <c r="CV1013" s="3"/>
      <c r="CW1013" s="3"/>
      <c r="CX1013" s="3"/>
      <c r="CY1013" s="3"/>
      <c r="CZ1013" s="3"/>
      <c r="DA1013" s="3"/>
      <c r="DB1013" s="3"/>
      <c r="DC1013" s="3"/>
      <c r="DD1013" s="3"/>
      <c r="DE1013" s="3"/>
      <c r="DF1013" s="3"/>
      <c r="DG1013" s="3"/>
      <c r="DH1013" s="3"/>
      <c r="DI1013" s="3"/>
      <c r="DJ1013" s="3"/>
      <c r="DK1013" s="3"/>
      <c r="DL1013" s="3"/>
      <c r="DM1013" s="3"/>
      <c r="DN1013" s="3"/>
      <c r="DO1013" s="3"/>
      <c r="DP1013" s="3"/>
      <c r="DQ1013" s="3"/>
      <c r="DR1013" s="3"/>
      <c r="DS1013" s="3"/>
      <c r="DT1013" s="3"/>
      <c r="DU1013" s="3"/>
      <c r="DV1013" s="3"/>
      <c r="DW1013" s="3"/>
      <c r="DX1013" s="3"/>
      <c r="DY1013" s="3"/>
      <c r="DZ1013" s="3"/>
      <c r="EA1013" s="3"/>
      <c r="EB1013" s="3"/>
      <c r="EC1013" s="3"/>
      <c r="ED1013" s="3"/>
      <c r="EE1013" s="3"/>
      <c r="EF1013" s="3"/>
      <c r="EG1013" s="3"/>
      <c r="EH1013" s="3"/>
      <c r="EI1013" s="3"/>
      <c r="EJ1013" s="3"/>
      <c r="EK1013" s="3"/>
      <c r="EL1013" s="3"/>
      <c r="EM1013" s="3"/>
      <c r="EN1013" s="3"/>
      <c r="EO1013" s="3"/>
      <c r="EP1013" s="3"/>
      <c r="EQ1013" s="3"/>
      <c r="ER1013" s="3"/>
      <c r="ES1013" s="3"/>
      <c r="ET1013" s="3"/>
      <c r="EU1013" s="3"/>
      <c r="EV1013" s="3"/>
      <c r="EW1013" s="3"/>
      <c r="EX1013" s="3"/>
      <c r="EY1013" s="3"/>
      <c r="EZ1013" s="3"/>
      <c r="FA1013" s="3"/>
      <c r="FB1013" s="3"/>
      <c r="FC1013" s="3"/>
      <c r="FD1013" s="3"/>
      <c r="FE1013" s="3"/>
      <c r="FF1013" s="3"/>
      <c r="FG1013" s="3"/>
      <c r="FH1013" s="3"/>
      <c r="FI1013" s="3"/>
      <c r="FJ1013" s="3"/>
      <c r="FK1013" s="3"/>
      <c r="FL1013" s="3"/>
      <c r="FM1013" s="3"/>
      <c r="FN1013" s="3"/>
      <c r="FO1013" s="3"/>
      <c r="FP1013" s="3"/>
      <c r="FQ1013" s="3"/>
      <c r="FR1013" s="3"/>
      <c r="FS1013" s="3"/>
      <c r="FT1013" s="3"/>
      <c r="FU1013" s="3"/>
      <c r="FV1013" s="3"/>
      <c r="FW1013" s="3"/>
      <c r="FX1013" s="3"/>
      <c r="FY1013" s="3"/>
      <c r="FZ1013" s="3"/>
      <c r="GA1013" s="3"/>
      <c r="GB1013" s="3"/>
      <c r="GC1013" s="3"/>
      <c r="GD1013" s="3"/>
      <c r="GE1013" s="3"/>
      <c r="GF1013" s="3"/>
      <c r="GG1013" s="3"/>
      <c r="GH1013" s="3"/>
      <c r="GI1013" s="3"/>
      <c r="GJ1013" s="3"/>
      <c r="GK1013" s="3"/>
      <c r="GL1013" s="3"/>
      <c r="GM1013" s="3"/>
      <c r="GN1013" s="3"/>
      <c r="GO1013" s="3"/>
      <c r="GP1013" s="3"/>
      <c r="GQ1013" s="3"/>
      <c r="GR1013" s="3"/>
      <c r="GS1013" s="3"/>
      <c r="GT1013" s="3"/>
      <c r="GU1013" s="3"/>
      <c r="GV1013" s="3"/>
      <c r="GW1013" s="3"/>
      <c r="GX1013" s="3"/>
      <c r="GY1013" s="3"/>
      <c r="GZ1013" s="3"/>
      <c r="HA1013" s="3"/>
      <c r="HB1013" s="3"/>
      <c r="HC1013" s="3"/>
      <c r="HD1013" s="3"/>
      <c r="HE1013" s="3"/>
      <c r="HF1013" s="3"/>
      <c r="HG1013" s="3"/>
      <c r="HH1013" s="3"/>
      <c r="HI1013" s="3"/>
      <c r="HJ1013" s="3"/>
      <c r="HK1013" s="3"/>
      <c r="HL1013" s="3"/>
      <c r="HM1013" s="3"/>
      <c r="HN1013" s="3"/>
      <c r="HO1013" s="3"/>
      <c r="HP1013" s="3"/>
      <c r="HQ1013" s="3"/>
      <c r="HR1013" s="3"/>
      <c r="HS1013" s="3"/>
      <c r="HT1013" s="3"/>
      <c r="HU1013" s="3"/>
      <c r="HV1013" s="3"/>
      <c r="HW1013" s="3"/>
      <c r="HX1013" s="3"/>
      <c r="HY1013" s="3"/>
      <c r="HZ1013" s="3"/>
      <c r="IA1013" s="3"/>
      <c r="IB1013" s="3"/>
      <c r="IC1013" s="3"/>
      <c r="ID1013" s="3"/>
      <c r="IE1013" s="3"/>
      <c r="IF1013" s="3"/>
      <c r="IG1013" s="3"/>
      <c r="IH1013" s="3"/>
      <c r="II1013" s="3"/>
      <c r="IJ1013" s="3"/>
      <c r="IK1013" s="3"/>
      <c r="IL1013" s="3"/>
      <c r="IM1013" s="3"/>
      <c r="IN1013" s="3"/>
      <c r="IO1013" s="3"/>
      <c r="IP1013" s="3"/>
      <c r="IQ1013" s="3"/>
      <c r="IR1013" s="3"/>
      <c r="IS1013" s="3"/>
      <c r="IT1013" s="3"/>
      <c r="IU1013" s="3"/>
      <c r="IV1013" s="3"/>
    </row>
    <row r="1014" spans="1:256" s="663" customFormat="1">
      <c r="A1014" s="627"/>
      <c r="B1014" s="963"/>
      <c r="C1014" s="317" t="s">
        <v>1733</v>
      </c>
      <c r="D1014" s="310" t="s">
        <v>987</v>
      </c>
      <c r="E1014" s="310">
        <v>10.1</v>
      </c>
      <c r="F1014" s="28">
        <v>2709</v>
      </c>
      <c r="G1014" s="215">
        <f>ROUND(E1014*F1014/10,2)</f>
        <v>2736.09</v>
      </c>
      <c r="I1014" s="152"/>
      <c r="J1014" s="3"/>
      <c r="K1014" s="3"/>
      <c r="L1014" s="3"/>
      <c r="M1014" s="3"/>
      <c r="N1014" s="3"/>
      <c r="O1014" s="3"/>
      <c r="P1014" s="3"/>
      <c r="Q1014" s="3"/>
      <c r="R1014" s="3"/>
      <c r="S1014" s="3"/>
      <c r="T1014" s="3"/>
      <c r="U1014" s="3"/>
      <c r="V1014" s="3"/>
      <c r="W1014" s="3"/>
      <c r="X1014" s="3"/>
      <c r="Y1014" s="3"/>
      <c r="Z1014" s="3"/>
      <c r="AA1014" s="3"/>
      <c r="AB1014" s="3"/>
      <c r="AC1014" s="3"/>
      <c r="AD1014" s="3"/>
      <c r="AE1014" s="3"/>
      <c r="AF1014" s="3"/>
      <c r="AG1014" s="3"/>
      <c r="AH1014" s="3"/>
      <c r="AI1014" s="3"/>
      <c r="AJ1014" s="3"/>
      <c r="AK1014" s="3"/>
      <c r="AL1014" s="3"/>
      <c r="AM1014" s="3"/>
      <c r="AN1014" s="3"/>
      <c r="AO1014" s="3"/>
      <c r="AP1014" s="3"/>
      <c r="AQ1014" s="3"/>
      <c r="AR1014" s="3"/>
      <c r="AS1014" s="3"/>
      <c r="AT1014" s="3"/>
      <c r="AU1014" s="3"/>
      <c r="AV1014" s="3"/>
      <c r="AW1014" s="3"/>
      <c r="AX1014" s="3"/>
      <c r="AY1014" s="3"/>
      <c r="AZ1014" s="3"/>
      <c r="BA1014" s="3"/>
      <c r="BB1014" s="3"/>
      <c r="BC1014" s="3"/>
      <c r="BD1014" s="3"/>
      <c r="BE1014" s="3"/>
      <c r="BF1014" s="3"/>
      <c r="BG1014" s="3"/>
      <c r="BH1014" s="3"/>
      <c r="BI1014" s="3"/>
      <c r="BJ1014" s="3"/>
      <c r="BK1014" s="3"/>
      <c r="BL1014" s="3"/>
      <c r="BM1014" s="3"/>
      <c r="BN1014" s="3"/>
      <c r="BO1014" s="3"/>
      <c r="BP1014" s="3"/>
      <c r="BQ1014" s="3"/>
      <c r="BR1014" s="3"/>
      <c r="BS1014" s="3"/>
      <c r="BT1014" s="3"/>
      <c r="BU1014" s="3"/>
      <c r="BV1014" s="3"/>
      <c r="BW1014" s="3"/>
      <c r="BX1014" s="3"/>
      <c r="BY1014" s="3"/>
      <c r="BZ1014" s="3"/>
      <c r="CA1014" s="3"/>
      <c r="CB1014" s="3"/>
      <c r="CC1014" s="3"/>
      <c r="CD1014" s="3"/>
      <c r="CE1014" s="3"/>
      <c r="CF1014" s="3"/>
      <c r="CG1014" s="3"/>
      <c r="CH1014" s="3"/>
      <c r="CI1014" s="3"/>
      <c r="CJ1014" s="3"/>
      <c r="CK1014" s="3"/>
      <c r="CL1014" s="3"/>
      <c r="CM1014" s="3"/>
      <c r="CN1014" s="3"/>
      <c r="CO1014" s="3"/>
      <c r="CP1014" s="3"/>
      <c r="CQ1014" s="3"/>
      <c r="CR1014" s="3"/>
      <c r="CS1014" s="3"/>
      <c r="CT1014" s="3"/>
      <c r="CU1014" s="3"/>
      <c r="CV1014" s="3"/>
      <c r="CW1014" s="3"/>
      <c r="CX1014" s="3"/>
      <c r="CY1014" s="3"/>
      <c r="CZ1014" s="3"/>
      <c r="DA1014" s="3"/>
      <c r="DB1014" s="3"/>
      <c r="DC1014" s="3"/>
      <c r="DD1014" s="3"/>
      <c r="DE1014" s="3"/>
      <c r="DF1014" s="3"/>
      <c r="DG1014" s="3"/>
      <c r="DH1014" s="3"/>
      <c r="DI1014" s="3"/>
      <c r="DJ1014" s="3"/>
      <c r="DK1014" s="3"/>
      <c r="DL1014" s="3"/>
      <c r="DM1014" s="3"/>
      <c r="DN1014" s="3"/>
      <c r="DO1014" s="3"/>
      <c r="DP1014" s="3"/>
      <c r="DQ1014" s="3"/>
      <c r="DR1014" s="3"/>
      <c r="DS1014" s="3"/>
      <c r="DT1014" s="3"/>
      <c r="DU1014" s="3"/>
      <c r="DV1014" s="3"/>
      <c r="DW1014" s="3"/>
      <c r="DX1014" s="3"/>
      <c r="DY1014" s="3"/>
      <c r="DZ1014" s="3"/>
      <c r="EA1014" s="3"/>
      <c r="EB1014" s="3"/>
      <c r="EC1014" s="3"/>
      <c r="ED1014" s="3"/>
      <c r="EE1014" s="3"/>
      <c r="EF1014" s="3"/>
      <c r="EG1014" s="3"/>
      <c r="EH1014" s="3"/>
      <c r="EI1014" s="3"/>
      <c r="EJ1014" s="3"/>
      <c r="EK1014" s="3"/>
      <c r="EL1014" s="3"/>
      <c r="EM1014" s="3"/>
      <c r="EN1014" s="3"/>
      <c r="EO1014" s="3"/>
      <c r="EP1014" s="3"/>
      <c r="EQ1014" s="3"/>
      <c r="ER1014" s="3"/>
      <c r="ES1014" s="3"/>
      <c r="ET1014" s="3"/>
      <c r="EU1014" s="3"/>
      <c r="EV1014" s="3"/>
      <c r="EW1014" s="3"/>
      <c r="EX1014" s="3"/>
      <c r="EY1014" s="3"/>
      <c r="EZ1014" s="3"/>
      <c r="FA1014" s="3"/>
      <c r="FB1014" s="3"/>
      <c r="FC1014" s="3"/>
      <c r="FD1014" s="3"/>
      <c r="FE1014" s="3"/>
      <c r="FF1014" s="3"/>
      <c r="FG1014" s="3"/>
      <c r="FH1014" s="3"/>
      <c r="FI1014" s="3"/>
      <c r="FJ1014" s="3"/>
      <c r="FK1014" s="3"/>
      <c r="FL1014" s="3"/>
      <c r="FM1014" s="3"/>
      <c r="FN1014" s="3"/>
      <c r="FO1014" s="3"/>
      <c r="FP1014" s="3"/>
      <c r="FQ1014" s="3"/>
      <c r="FR1014" s="3"/>
      <c r="FS1014" s="3"/>
      <c r="FT1014" s="3"/>
      <c r="FU1014" s="3"/>
      <c r="FV1014" s="3"/>
      <c r="FW1014" s="3"/>
      <c r="FX1014" s="3"/>
      <c r="FY1014" s="3"/>
      <c r="FZ1014" s="3"/>
      <c r="GA1014" s="3"/>
      <c r="GB1014" s="3"/>
      <c r="GC1014" s="3"/>
      <c r="GD1014" s="3"/>
      <c r="GE1014" s="3"/>
      <c r="GF1014" s="3"/>
      <c r="GG1014" s="3"/>
      <c r="GH1014" s="3"/>
      <c r="GI1014" s="3"/>
      <c r="GJ1014" s="3"/>
      <c r="GK1014" s="3"/>
      <c r="GL1014" s="3"/>
      <c r="GM1014" s="3"/>
      <c r="GN1014" s="3"/>
      <c r="GO1014" s="3"/>
      <c r="GP1014" s="3"/>
      <c r="GQ1014" s="3"/>
      <c r="GR1014" s="3"/>
      <c r="GS1014" s="3"/>
      <c r="GT1014" s="3"/>
      <c r="GU1014" s="3"/>
      <c r="GV1014" s="3"/>
      <c r="GW1014" s="3"/>
      <c r="GX1014" s="3"/>
      <c r="GY1014" s="3"/>
      <c r="GZ1014" s="3"/>
      <c r="HA1014" s="3"/>
      <c r="HB1014" s="3"/>
      <c r="HC1014" s="3"/>
      <c r="HD1014" s="3"/>
      <c r="HE1014" s="3"/>
      <c r="HF1014" s="3"/>
      <c r="HG1014" s="3"/>
      <c r="HH1014" s="3"/>
      <c r="HI1014" s="3"/>
      <c r="HJ1014" s="3"/>
      <c r="HK1014" s="3"/>
      <c r="HL1014" s="3"/>
      <c r="HM1014" s="3"/>
      <c r="HN1014" s="3"/>
      <c r="HO1014" s="3"/>
      <c r="HP1014" s="3"/>
      <c r="HQ1014" s="3"/>
      <c r="HR1014" s="3"/>
      <c r="HS1014" s="3"/>
      <c r="HT1014" s="3"/>
      <c r="HU1014" s="3"/>
      <c r="HV1014" s="3"/>
      <c r="HW1014" s="3"/>
      <c r="HX1014" s="3"/>
      <c r="HY1014" s="3"/>
      <c r="HZ1014" s="3"/>
      <c r="IA1014" s="3"/>
      <c r="IB1014" s="3"/>
      <c r="IC1014" s="3"/>
      <c r="ID1014" s="3"/>
      <c r="IE1014" s="3"/>
      <c r="IF1014" s="3"/>
      <c r="IG1014" s="3"/>
      <c r="IH1014" s="3"/>
      <c r="II1014" s="3"/>
      <c r="IJ1014" s="3"/>
      <c r="IK1014" s="3"/>
      <c r="IL1014" s="3"/>
      <c r="IM1014" s="3"/>
      <c r="IN1014" s="3"/>
      <c r="IO1014" s="3"/>
      <c r="IP1014" s="3"/>
      <c r="IQ1014" s="3"/>
      <c r="IR1014" s="3"/>
      <c r="IS1014" s="3"/>
      <c r="IT1014" s="3"/>
      <c r="IU1014" s="3"/>
      <c r="IV1014" s="3"/>
    </row>
    <row r="1015" spans="1:256" s="663" customFormat="1">
      <c r="A1015" s="627"/>
      <c r="B1015" s="963"/>
      <c r="C1015" s="317" t="s">
        <v>991</v>
      </c>
      <c r="D1015" s="310" t="s">
        <v>1042</v>
      </c>
      <c r="E1015" s="310">
        <v>36</v>
      </c>
      <c r="F1015" s="28">
        <f>'Lead- Input sheet '!R8</f>
        <v>6656</v>
      </c>
      <c r="G1015" s="215">
        <f>ROUND(E1015*F1015/1000,2)</f>
        <v>239.62</v>
      </c>
      <c r="I1015" s="152"/>
      <c r="J1015" s="3"/>
      <c r="K1015" s="3"/>
      <c r="L1015" s="3"/>
      <c r="M1015" s="3"/>
      <c r="N1015" s="3"/>
      <c r="O1015" s="3"/>
      <c r="P1015" s="3"/>
      <c r="Q1015" s="3"/>
      <c r="R1015" s="3"/>
      <c r="S1015" s="3"/>
      <c r="T1015" s="3"/>
      <c r="U1015" s="3"/>
      <c r="V1015" s="3"/>
      <c r="W1015" s="3"/>
      <c r="X1015" s="3"/>
      <c r="Y1015" s="3"/>
      <c r="Z1015" s="3"/>
      <c r="AA1015" s="3"/>
      <c r="AB1015" s="3"/>
      <c r="AC1015" s="3"/>
      <c r="AD1015" s="3"/>
      <c r="AE1015" s="3"/>
      <c r="AF1015" s="3"/>
      <c r="AG1015" s="3"/>
      <c r="AH1015" s="3"/>
      <c r="AI1015" s="3"/>
      <c r="AJ1015" s="3"/>
      <c r="AK1015" s="3"/>
      <c r="AL1015" s="3"/>
      <c r="AM1015" s="3"/>
      <c r="AN1015" s="3"/>
      <c r="AO1015" s="3"/>
      <c r="AP1015" s="3"/>
      <c r="AQ1015" s="3"/>
      <c r="AR1015" s="3"/>
      <c r="AS1015" s="3"/>
      <c r="AT1015" s="3"/>
      <c r="AU1015" s="3"/>
      <c r="AV1015" s="3"/>
      <c r="AW1015" s="3"/>
      <c r="AX1015" s="3"/>
      <c r="AY1015" s="3"/>
      <c r="AZ1015" s="3"/>
      <c r="BA1015" s="3"/>
      <c r="BB1015" s="3"/>
      <c r="BC1015" s="3"/>
      <c r="BD1015" s="3"/>
      <c r="BE1015" s="3"/>
      <c r="BF1015" s="3"/>
      <c r="BG1015" s="3"/>
      <c r="BH1015" s="3"/>
      <c r="BI1015" s="3"/>
      <c r="BJ1015" s="3"/>
      <c r="BK1015" s="3"/>
      <c r="BL1015" s="3"/>
      <c r="BM1015" s="3"/>
      <c r="BN1015" s="3"/>
      <c r="BO1015" s="3"/>
      <c r="BP1015" s="3"/>
      <c r="BQ1015" s="3"/>
      <c r="BR1015" s="3"/>
      <c r="BS1015" s="3"/>
      <c r="BT1015" s="3"/>
      <c r="BU1015" s="3"/>
      <c r="BV1015" s="3"/>
      <c r="BW1015" s="3"/>
      <c r="BX1015" s="3"/>
      <c r="BY1015" s="3"/>
      <c r="BZ1015" s="3"/>
      <c r="CA1015" s="3"/>
      <c r="CB1015" s="3"/>
      <c r="CC1015" s="3"/>
      <c r="CD1015" s="3"/>
      <c r="CE1015" s="3"/>
      <c r="CF1015" s="3"/>
      <c r="CG1015" s="3"/>
      <c r="CH1015" s="3"/>
      <c r="CI1015" s="3"/>
      <c r="CJ1015" s="3"/>
      <c r="CK1015" s="3"/>
      <c r="CL1015" s="3"/>
      <c r="CM1015" s="3"/>
      <c r="CN1015" s="3"/>
      <c r="CO1015" s="3"/>
      <c r="CP1015" s="3"/>
      <c r="CQ1015" s="3"/>
      <c r="CR1015" s="3"/>
      <c r="CS1015" s="3"/>
      <c r="CT1015" s="3"/>
      <c r="CU1015" s="3"/>
      <c r="CV1015" s="3"/>
      <c r="CW1015" s="3"/>
      <c r="CX1015" s="3"/>
      <c r="CY1015" s="3"/>
      <c r="CZ1015" s="3"/>
      <c r="DA1015" s="3"/>
      <c r="DB1015" s="3"/>
      <c r="DC1015" s="3"/>
      <c r="DD1015" s="3"/>
      <c r="DE1015" s="3"/>
      <c r="DF1015" s="3"/>
      <c r="DG1015" s="3"/>
      <c r="DH1015" s="3"/>
      <c r="DI1015" s="3"/>
      <c r="DJ1015" s="3"/>
      <c r="DK1015" s="3"/>
      <c r="DL1015" s="3"/>
      <c r="DM1015" s="3"/>
      <c r="DN1015" s="3"/>
      <c r="DO1015" s="3"/>
      <c r="DP1015" s="3"/>
      <c r="DQ1015" s="3"/>
      <c r="DR1015" s="3"/>
      <c r="DS1015" s="3"/>
      <c r="DT1015" s="3"/>
      <c r="DU1015" s="3"/>
      <c r="DV1015" s="3"/>
      <c r="DW1015" s="3"/>
      <c r="DX1015" s="3"/>
      <c r="DY1015" s="3"/>
      <c r="DZ1015" s="3"/>
      <c r="EA1015" s="3"/>
      <c r="EB1015" s="3"/>
      <c r="EC1015" s="3"/>
      <c r="ED1015" s="3"/>
      <c r="EE1015" s="3"/>
      <c r="EF1015" s="3"/>
      <c r="EG1015" s="3"/>
      <c r="EH1015" s="3"/>
      <c r="EI1015" s="3"/>
      <c r="EJ1015" s="3"/>
      <c r="EK1015" s="3"/>
      <c r="EL1015" s="3"/>
      <c r="EM1015" s="3"/>
      <c r="EN1015" s="3"/>
      <c r="EO1015" s="3"/>
      <c r="EP1015" s="3"/>
      <c r="EQ1015" s="3"/>
      <c r="ER1015" s="3"/>
      <c r="ES1015" s="3"/>
      <c r="ET1015" s="3"/>
      <c r="EU1015" s="3"/>
      <c r="EV1015" s="3"/>
      <c r="EW1015" s="3"/>
      <c r="EX1015" s="3"/>
      <c r="EY1015" s="3"/>
      <c r="EZ1015" s="3"/>
      <c r="FA1015" s="3"/>
      <c r="FB1015" s="3"/>
      <c r="FC1015" s="3"/>
      <c r="FD1015" s="3"/>
      <c r="FE1015" s="3"/>
      <c r="FF1015" s="3"/>
      <c r="FG1015" s="3"/>
      <c r="FH1015" s="3"/>
      <c r="FI1015" s="3"/>
      <c r="FJ1015" s="3"/>
      <c r="FK1015" s="3"/>
      <c r="FL1015" s="3"/>
      <c r="FM1015" s="3"/>
      <c r="FN1015" s="3"/>
      <c r="FO1015" s="3"/>
      <c r="FP1015" s="3"/>
      <c r="FQ1015" s="3"/>
      <c r="FR1015" s="3"/>
      <c r="FS1015" s="3"/>
      <c r="FT1015" s="3"/>
      <c r="FU1015" s="3"/>
      <c r="FV1015" s="3"/>
      <c r="FW1015" s="3"/>
      <c r="FX1015" s="3"/>
      <c r="FY1015" s="3"/>
      <c r="FZ1015" s="3"/>
      <c r="GA1015" s="3"/>
      <c r="GB1015" s="3"/>
      <c r="GC1015" s="3"/>
      <c r="GD1015" s="3"/>
      <c r="GE1015" s="3"/>
      <c r="GF1015" s="3"/>
      <c r="GG1015" s="3"/>
      <c r="GH1015" s="3"/>
      <c r="GI1015" s="3"/>
      <c r="GJ1015" s="3"/>
      <c r="GK1015" s="3"/>
      <c r="GL1015" s="3"/>
      <c r="GM1015" s="3"/>
      <c r="GN1015" s="3"/>
      <c r="GO1015" s="3"/>
      <c r="GP1015" s="3"/>
      <c r="GQ1015" s="3"/>
      <c r="GR1015" s="3"/>
      <c r="GS1015" s="3"/>
      <c r="GT1015" s="3"/>
      <c r="GU1015" s="3"/>
      <c r="GV1015" s="3"/>
      <c r="GW1015" s="3"/>
      <c r="GX1015" s="3"/>
      <c r="GY1015" s="3"/>
      <c r="GZ1015" s="3"/>
      <c r="HA1015" s="3"/>
      <c r="HB1015" s="3"/>
      <c r="HC1015" s="3"/>
      <c r="HD1015" s="3"/>
      <c r="HE1015" s="3"/>
      <c r="HF1015" s="3"/>
      <c r="HG1015" s="3"/>
      <c r="HH1015" s="3"/>
      <c r="HI1015" s="3"/>
      <c r="HJ1015" s="3"/>
      <c r="HK1015" s="3"/>
      <c r="HL1015" s="3"/>
      <c r="HM1015" s="3"/>
      <c r="HN1015" s="3"/>
      <c r="HO1015" s="3"/>
      <c r="HP1015" s="3"/>
      <c r="HQ1015" s="3"/>
      <c r="HR1015" s="3"/>
      <c r="HS1015" s="3"/>
      <c r="HT1015" s="3"/>
      <c r="HU1015" s="3"/>
      <c r="HV1015" s="3"/>
      <c r="HW1015" s="3"/>
      <c r="HX1015" s="3"/>
      <c r="HY1015" s="3"/>
      <c r="HZ1015" s="3"/>
      <c r="IA1015" s="3"/>
      <c r="IB1015" s="3"/>
      <c r="IC1015" s="3"/>
      <c r="ID1015" s="3"/>
      <c r="IE1015" s="3"/>
      <c r="IF1015" s="3"/>
      <c r="IG1015" s="3"/>
      <c r="IH1015" s="3"/>
      <c r="II1015" s="3"/>
      <c r="IJ1015" s="3"/>
      <c r="IK1015" s="3"/>
      <c r="IL1015" s="3"/>
      <c r="IM1015" s="3"/>
      <c r="IN1015" s="3"/>
      <c r="IO1015" s="3"/>
      <c r="IP1015" s="3"/>
      <c r="IQ1015" s="3"/>
      <c r="IR1015" s="3"/>
      <c r="IS1015" s="3"/>
      <c r="IT1015" s="3"/>
      <c r="IU1015" s="3"/>
      <c r="IV1015" s="3"/>
    </row>
    <row r="1016" spans="1:256">
      <c r="A1016" s="627"/>
      <c r="B1016" s="963"/>
      <c r="C1016" s="317" t="s">
        <v>701</v>
      </c>
      <c r="D1016" s="310" t="s">
        <v>1734</v>
      </c>
      <c r="E1016" s="310">
        <v>33</v>
      </c>
      <c r="F1016" s="28">
        <f>'Lead- Input sheet '!R8</f>
        <v>6656</v>
      </c>
      <c r="G1016" s="215">
        <f>ROUND(E1016*F1016/1000,2)</f>
        <v>219.65</v>
      </c>
    </row>
    <row r="1017" spans="1:256">
      <c r="A1017" s="627"/>
      <c r="B1017" s="963"/>
      <c r="C1017" s="317" t="s">
        <v>992</v>
      </c>
      <c r="D1017" s="310" t="s">
        <v>1042</v>
      </c>
      <c r="E1017" s="310">
        <v>6</v>
      </c>
      <c r="F1017" s="28">
        <v>29</v>
      </c>
      <c r="G1017" s="215">
        <f>ROUND(E1017*F1017/1000,2)</f>
        <v>0.17</v>
      </c>
    </row>
    <row r="1018" spans="1:256">
      <c r="A1018" s="627"/>
      <c r="B1018" s="963"/>
      <c r="C1018" s="317" t="s">
        <v>702</v>
      </c>
      <c r="D1018" s="310" t="s">
        <v>1042</v>
      </c>
      <c r="E1018" s="310"/>
      <c r="F1018" s="28">
        <f>'Lead- Input sheet '!R399</f>
        <v>0</v>
      </c>
      <c r="G1018" s="215">
        <f>ROUND(E1018*F1018,2)</f>
        <v>0</v>
      </c>
    </row>
    <row r="1019" spans="1:256">
      <c r="A1019" s="627"/>
      <c r="B1019" s="963"/>
      <c r="C1019" s="317" t="s">
        <v>990</v>
      </c>
      <c r="D1019" s="310" t="s">
        <v>1473</v>
      </c>
      <c r="E1019" s="310">
        <v>0.2</v>
      </c>
      <c r="F1019" s="28"/>
      <c r="G1019" s="215"/>
    </row>
    <row r="1020" spans="1:256">
      <c r="A1020" s="627"/>
      <c r="B1020" s="963"/>
      <c r="C1020" s="317" t="s">
        <v>1735</v>
      </c>
      <c r="D1020" s="310" t="s">
        <v>1473</v>
      </c>
      <c r="E1020" s="310">
        <v>0.2</v>
      </c>
      <c r="F1020" s="28">
        <f>'Lead- Input sheet '!R417</f>
        <v>0</v>
      </c>
      <c r="G1020" s="215">
        <f>ROUND(E1020*F1020,2)</f>
        <v>0</v>
      </c>
    </row>
    <row r="1021" spans="1:256">
      <c r="A1021" s="627"/>
      <c r="B1021" s="963"/>
      <c r="C1021" s="309" t="s">
        <v>653</v>
      </c>
      <c r="D1021" s="310"/>
      <c r="E1021" s="310"/>
      <c r="F1021" s="28">
        <f>'Lead- Input sheet '!R416</f>
        <v>0</v>
      </c>
      <c r="G1021" s="215">
        <f>ROUND(E1021*F1021,2)</f>
        <v>0</v>
      </c>
    </row>
    <row r="1022" spans="1:256" ht="13.2">
      <c r="A1022" s="627"/>
      <c r="B1022" s="963"/>
      <c r="C1022" s="317" t="s">
        <v>130</v>
      </c>
      <c r="D1022" s="310" t="s">
        <v>1047</v>
      </c>
      <c r="E1022" s="310">
        <v>3</v>
      </c>
      <c r="F1022" s="28">
        <f>'Lead- Input sheet '!R31</f>
        <v>680</v>
      </c>
      <c r="G1022" s="215">
        <f>ROUND(E1022*F1022,2)</f>
        <v>2040</v>
      </c>
    </row>
    <row r="1023" spans="1:256" ht="13.2">
      <c r="A1023" s="627"/>
      <c r="B1023" s="963"/>
      <c r="C1023" s="317" t="s">
        <v>131</v>
      </c>
      <c r="D1023" s="310" t="s">
        <v>1047</v>
      </c>
      <c r="E1023" s="310">
        <v>1</v>
      </c>
      <c r="F1023" s="28">
        <f>'Lead- Input sheet '!R30</f>
        <v>650</v>
      </c>
      <c r="G1023" s="646">
        <f>ROUND(F1023*E1023,2)</f>
        <v>650</v>
      </c>
    </row>
    <row r="1024" spans="1:256">
      <c r="A1024" s="627"/>
      <c r="B1024" s="963"/>
      <c r="C1024" s="317" t="s">
        <v>706</v>
      </c>
      <c r="D1024" s="310" t="s">
        <v>1047</v>
      </c>
      <c r="E1024" s="310">
        <v>8</v>
      </c>
      <c r="F1024" s="28">
        <f>'Lead- Input sheet '!R29</f>
        <v>605</v>
      </c>
      <c r="G1024" s="623">
        <f>ROUND(E1024*F1024,2)</f>
        <v>4840</v>
      </c>
    </row>
    <row r="1025" spans="1:9">
      <c r="A1025" s="627"/>
      <c r="B1025" s="963"/>
      <c r="C1025" s="317" t="s">
        <v>1221</v>
      </c>
      <c r="D1025" s="310"/>
      <c r="E1025" s="980">
        <v>0.01</v>
      </c>
      <c r="F1025" s="28"/>
      <c r="G1025" s="215">
        <f>SUM(G1014:G1024)</f>
        <v>10725.53</v>
      </c>
    </row>
    <row r="1026" spans="1:9">
      <c r="A1026" s="627"/>
      <c r="B1026" s="962"/>
      <c r="C1026" s="643" t="s">
        <v>896</v>
      </c>
      <c r="D1026" s="644"/>
      <c r="E1026" s="645">
        <f>'Lead- Input sheet '!Q88</f>
        <v>0</v>
      </c>
      <c r="F1026" s="922">
        <f>ROUND(SUM(G1022:G1024),2)</f>
        <v>7530</v>
      </c>
      <c r="G1026" s="646">
        <f>ROUND(F1026*E1026,2)</f>
        <v>0</v>
      </c>
    </row>
    <row r="1027" spans="1:9">
      <c r="A1027" s="627"/>
      <c r="B1027" s="963"/>
      <c r="C1027" s="977" t="s">
        <v>1048</v>
      </c>
      <c r="D1027" s="310"/>
      <c r="E1027" s="976"/>
      <c r="F1027" s="923" t="s">
        <v>1486</v>
      </c>
      <c r="G1027" s="619">
        <f>SUM(G1025:G1025)</f>
        <v>10725.53</v>
      </c>
    </row>
    <row r="1028" spans="1:9" ht="141.9">
      <c r="A1028" s="981" t="s">
        <v>1753</v>
      </c>
      <c r="B1028" s="963">
        <v>56</v>
      </c>
      <c r="C1028" s="982" t="s">
        <v>1822</v>
      </c>
      <c r="D1028" s="983"/>
      <c r="E1028" s="983"/>
      <c r="F1028" s="924"/>
      <c r="G1028" s="984"/>
    </row>
    <row r="1029" spans="1:9">
      <c r="A1029" s="985"/>
      <c r="B1029" s="963"/>
      <c r="C1029" s="986" t="s">
        <v>1736</v>
      </c>
      <c r="D1029" s="983"/>
      <c r="E1029" s="983"/>
      <c r="F1029" s="924"/>
      <c r="G1029" s="984"/>
    </row>
    <row r="1030" spans="1:9">
      <c r="A1030" s="985"/>
      <c r="B1030" s="963"/>
      <c r="C1030" s="986" t="s">
        <v>1041</v>
      </c>
      <c r="D1030" s="983"/>
      <c r="E1030" s="983"/>
      <c r="F1030" s="924"/>
      <c r="G1030" s="984"/>
    </row>
    <row r="1031" spans="1:9">
      <c r="A1031" s="985"/>
      <c r="B1031" s="963"/>
      <c r="C1031" s="982" t="s">
        <v>1820</v>
      </c>
      <c r="D1031" s="983" t="s">
        <v>987</v>
      </c>
      <c r="E1031" s="983">
        <v>10</v>
      </c>
      <c r="F1031" s="924">
        <v>376.8</v>
      </c>
      <c r="G1031" s="911">
        <f>ROUND(E1031*F1031,2)</f>
        <v>3768</v>
      </c>
      <c r="I1031" s="152">
        <f>1*1*0.8/1000*7850*60</f>
        <v>376.8</v>
      </c>
    </row>
    <row r="1032" spans="1:9">
      <c r="A1032" s="985"/>
      <c r="B1032" s="963"/>
      <c r="C1032" s="982" t="s">
        <v>1737</v>
      </c>
      <c r="D1032" s="983" t="s">
        <v>882</v>
      </c>
      <c r="E1032" s="983">
        <f>884/18.45</f>
        <v>47.913279132791331</v>
      </c>
      <c r="F1032" s="924">
        <v>6</v>
      </c>
      <c r="G1032" s="911">
        <f>ROUND(E1032*F1032,2)</f>
        <v>287.48</v>
      </c>
    </row>
    <row r="1033" spans="1:9">
      <c r="A1033" s="985"/>
      <c r="B1033" s="963"/>
      <c r="C1033" s="982" t="s">
        <v>1738</v>
      </c>
      <c r="D1033" s="983" t="s">
        <v>882</v>
      </c>
      <c r="E1033" s="983"/>
      <c r="F1033" s="924"/>
      <c r="G1033" s="984"/>
    </row>
    <row r="1034" spans="1:9" ht="23.4">
      <c r="A1034" s="985"/>
      <c r="B1034" s="963"/>
      <c r="C1034" s="982" t="s">
        <v>1739</v>
      </c>
      <c r="D1034" s="983" t="s">
        <v>882</v>
      </c>
      <c r="E1034" s="983">
        <f>810/18.45</f>
        <v>43.902439024390247</v>
      </c>
      <c r="F1034" s="924">
        <v>10</v>
      </c>
      <c r="G1034" s="911">
        <f>ROUND(E1034*F1034,2)</f>
        <v>439.02</v>
      </c>
    </row>
    <row r="1035" spans="1:9">
      <c r="A1035" s="985"/>
      <c r="B1035" s="963"/>
      <c r="C1035" s="982" t="s">
        <v>1740</v>
      </c>
      <c r="D1035" s="983" t="s">
        <v>882</v>
      </c>
      <c r="E1035" s="983">
        <f>1694/18.45</f>
        <v>91.815718157181578</v>
      </c>
      <c r="F1035" s="924">
        <v>2</v>
      </c>
      <c r="G1035" s="911">
        <f>ROUND(E1035*F1035,2)</f>
        <v>183.63</v>
      </c>
    </row>
    <row r="1036" spans="1:9">
      <c r="A1036" s="985"/>
      <c r="B1036" s="963"/>
      <c r="C1036" s="982" t="s">
        <v>1741</v>
      </c>
      <c r="D1036" s="983" t="s">
        <v>882</v>
      </c>
      <c r="E1036" s="983">
        <f>1694/18.45</f>
        <v>91.815718157181578</v>
      </c>
      <c r="F1036" s="924">
        <v>2</v>
      </c>
      <c r="G1036" s="911">
        <f>ROUND(E1036*F1036,2)</f>
        <v>183.63</v>
      </c>
    </row>
    <row r="1037" spans="1:9">
      <c r="A1037" s="985"/>
      <c r="B1037" s="963"/>
      <c r="C1037" s="982" t="s">
        <v>1742</v>
      </c>
      <c r="D1037" s="983" t="s">
        <v>1743</v>
      </c>
      <c r="E1037" s="983">
        <f>2.53/18.45</f>
        <v>0.13712737127371274</v>
      </c>
      <c r="F1037" s="924">
        <v>185</v>
      </c>
      <c r="G1037" s="911">
        <f>ROUND(E1037*F1037,2)</f>
        <v>25.37</v>
      </c>
    </row>
    <row r="1038" spans="1:9">
      <c r="A1038" s="985"/>
      <c r="B1038" s="963"/>
      <c r="C1038" s="982" t="s">
        <v>1744</v>
      </c>
      <c r="D1038" s="983" t="s">
        <v>1743</v>
      </c>
      <c r="E1038" s="983">
        <f>3.75/18.45</f>
        <v>0.2032520325203252</v>
      </c>
      <c r="F1038" s="924">
        <v>251</v>
      </c>
      <c r="G1038" s="911">
        <f>ROUND(E1038*F1038,2)</f>
        <v>51.02</v>
      </c>
    </row>
    <row r="1039" spans="1:9">
      <c r="A1039" s="985"/>
      <c r="B1039" s="963"/>
      <c r="C1039" s="986" t="s">
        <v>653</v>
      </c>
      <c r="D1039" s="983"/>
      <c r="E1039" s="983"/>
      <c r="F1039" s="924"/>
      <c r="G1039" s="984"/>
    </row>
    <row r="1040" spans="1:9">
      <c r="A1040" s="985"/>
      <c r="B1040" s="963"/>
      <c r="C1040" s="987" t="s">
        <v>1745</v>
      </c>
      <c r="D1040" s="983"/>
      <c r="E1040" s="983"/>
      <c r="F1040" s="924"/>
      <c r="G1040" s="984"/>
    </row>
    <row r="1041" spans="1:256">
      <c r="A1041" s="985"/>
      <c r="B1041" s="963"/>
      <c r="C1041" s="982" t="s">
        <v>1746</v>
      </c>
      <c r="D1041" s="983" t="s">
        <v>1047</v>
      </c>
      <c r="E1041" s="983">
        <f>15.5/18.45</f>
        <v>0.84010840108401086</v>
      </c>
      <c r="F1041" s="924">
        <f>F985</f>
        <v>440</v>
      </c>
      <c r="G1041" s="911">
        <f>ROUND(E1041*F1041,2)</f>
        <v>369.65</v>
      </c>
    </row>
    <row r="1042" spans="1:256">
      <c r="A1042" s="985"/>
      <c r="B1042" s="963"/>
      <c r="C1042" s="982" t="s">
        <v>1747</v>
      </c>
      <c r="D1042" s="983" t="s">
        <v>1047</v>
      </c>
      <c r="E1042" s="983">
        <f>16.8/18.45</f>
        <v>0.91056910569105698</v>
      </c>
      <c r="F1042" s="924">
        <v>400</v>
      </c>
      <c r="G1042" s="911">
        <f>ROUND(E1042*F1042,2)</f>
        <v>364.23</v>
      </c>
    </row>
    <row r="1043" spans="1:256">
      <c r="A1043" s="985"/>
      <c r="B1043" s="963"/>
      <c r="C1043" s="987" t="s">
        <v>1748</v>
      </c>
      <c r="D1043" s="983"/>
      <c r="E1043" s="983"/>
      <c r="F1043" s="924"/>
      <c r="G1043" s="984"/>
    </row>
    <row r="1044" spans="1:256">
      <c r="A1044" s="985"/>
      <c r="B1044" s="963"/>
      <c r="C1044" s="982" t="s">
        <v>989</v>
      </c>
      <c r="D1044" s="983" t="s">
        <v>1047</v>
      </c>
      <c r="E1044" s="983">
        <f>1.13/18.45</f>
        <v>6.1246612466124659E-2</v>
      </c>
      <c r="F1044" s="924">
        <v>420</v>
      </c>
      <c r="G1044" s="911">
        <f>ROUND(E1044*F1044,2)</f>
        <v>25.72</v>
      </c>
    </row>
    <row r="1045" spans="1:256">
      <c r="A1045" s="985"/>
      <c r="B1045" s="963"/>
      <c r="C1045" s="982" t="s">
        <v>1749</v>
      </c>
      <c r="D1045" s="983" t="s">
        <v>1047</v>
      </c>
      <c r="E1045" s="983">
        <f>1.13/18.45</f>
        <v>6.1246612466124659E-2</v>
      </c>
      <c r="F1045" s="958">
        <v>400</v>
      </c>
      <c r="G1045" s="911">
        <f>ROUND(E1045*F1045,2)</f>
        <v>24.5</v>
      </c>
      <c r="H1045" s="9"/>
      <c r="J1045" s="9"/>
      <c r="K1045" s="9"/>
    </row>
    <row r="1046" spans="1:256">
      <c r="A1046" s="985"/>
      <c r="B1046" s="963"/>
      <c r="C1046" s="987" t="s">
        <v>1750</v>
      </c>
      <c r="D1046" s="983"/>
      <c r="E1046" s="983"/>
      <c r="F1046" s="958"/>
      <c r="G1046" s="988"/>
      <c r="H1046" s="9"/>
      <c r="J1046" s="9"/>
      <c r="K1046" s="9"/>
    </row>
    <row r="1047" spans="1:256">
      <c r="A1047" s="985"/>
      <c r="B1047" s="963"/>
      <c r="C1047" s="982" t="s">
        <v>989</v>
      </c>
      <c r="D1047" s="983" t="s">
        <v>1047</v>
      </c>
      <c r="E1047" s="983">
        <f>2.53/18.45</f>
        <v>0.13712737127371274</v>
      </c>
      <c r="F1047" s="924">
        <v>420</v>
      </c>
      <c r="G1047" s="911">
        <f>ROUND(E1047*F1047,2)</f>
        <v>57.59</v>
      </c>
    </row>
    <row r="1048" spans="1:256" s="663" customFormat="1">
      <c r="A1048" s="985"/>
      <c r="B1048" s="963"/>
      <c r="C1048" s="982" t="s">
        <v>1751</v>
      </c>
      <c r="D1048" s="983" t="s">
        <v>1047</v>
      </c>
      <c r="E1048" s="983">
        <f>2.53/18.45</f>
        <v>0.13712737127371274</v>
      </c>
      <c r="F1048" s="924">
        <v>400</v>
      </c>
      <c r="G1048" s="911">
        <f>ROUND(E1048*F1048,2)</f>
        <v>54.85</v>
      </c>
      <c r="I1048" s="152"/>
      <c r="J1048" s="3"/>
      <c r="K1048" s="3"/>
      <c r="L1048" s="3"/>
      <c r="M1048" s="3"/>
      <c r="N1048" s="3"/>
      <c r="O1048" s="3"/>
      <c r="P1048" s="3"/>
      <c r="Q1048" s="3"/>
      <c r="R1048" s="3"/>
      <c r="S1048" s="3"/>
      <c r="T1048" s="3"/>
      <c r="U1048" s="3"/>
      <c r="V1048" s="3"/>
      <c r="W1048" s="3"/>
      <c r="X1048" s="3"/>
      <c r="Y1048" s="3"/>
      <c r="Z1048" s="3"/>
      <c r="AA1048" s="3"/>
      <c r="AB1048" s="3"/>
      <c r="AC1048" s="3"/>
      <c r="AD1048" s="3"/>
      <c r="AE1048" s="3"/>
      <c r="AF1048" s="3"/>
      <c r="AG1048" s="3"/>
      <c r="AH1048" s="3"/>
      <c r="AI1048" s="3"/>
      <c r="AJ1048" s="3"/>
      <c r="AK1048" s="3"/>
      <c r="AL1048" s="3"/>
      <c r="AM1048" s="3"/>
      <c r="AN1048" s="3"/>
      <c r="AO1048" s="3"/>
      <c r="AP1048" s="3"/>
      <c r="AQ1048" s="3"/>
      <c r="AR1048" s="3"/>
      <c r="AS1048" s="3"/>
      <c r="AT1048" s="3"/>
      <c r="AU1048" s="3"/>
      <c r="AV1048" s="3"/>
      <c r="AW1048" s="3"/>
      <c r="AX1048" s="3"/>
      <c r="AY1048" s="3"/>
      <c r="AZ1048" s="3"/>
      <c r="BA1048" s="3"/>
      <c r="BB1048" s="3"/>
      <c r="BC1048" s="3"/>
      <c r="BD1048" s="3"/>
      <c r="BE1048" s="3"/>
      <c r="BF1048" s="3"/>
      <c r="BG1048" s="3"/>
      <c r="BH1048" s="3"/>
      <c r="BI1048" s="3"/>
      <c r="BJ1048" s="3"/>
      <c r="BK1048" s="3"/>
      <c r="BL1048" s="3"/>
      <c r="BM1048" s="3"/>
      <c r="BN1048" s="3"/>
      <c r="BO1048" s="3"/>
      <c r="BP1048" s="3"/>
      <c r="BQ1048" s="3"/>
      <c r="BR1048" s="3"/>
      <c r="BS1048" s="3"/>
      <c r="BT1048" s="3"/>
      <c r="BU1048" s="3"/>
      <c r="BV1048" s="3"/>
      <c r="BW1048" s="3"/>
      <c r="BX1048" s="3"/>
      <c r="BY1048" s="3"/>
      <c r="BZ1048" s="3"/>
      <c r="CA1048" s="3"/>
      <c r="CB1048" s="3"/>
      <c r="CC1048" s="3"/>
      <c r="CD1048" s="3"/>
      <c r="CE1048" s="3"/>
      <c r="CF1048" s="3"/>
      <c r="CG1048" s="3"/>
      <c r="CH1048" s="3"/>
      <c r="CI1048" s="3"/>
      <c r="CJ1048" s="3"/>
      <c r="CK1048" s="3"/>
      <c r="CL1048" s="3"/>
      <c r="CM1048" s="3"/>
      <c r="CN1048" s="3"/>
      <c r="CO1048" s="3"/>
      <c r="CP1048" s="3"/>
      <c r="CQ1048" s="3"/>
      <c r="CR1048" s="3"/>
      <c r="CS1048" s="3"/>
      <c r="CT1048" s="3"/>
      <c r="CU1048" s="3"/>
      <c r="CV1048" s="3"/>
      <c r="CW1048" s="3"/>
      <c r="CX1048" s="3"/>
      <c r="CY1048" s="3"/>
      <c r="CZ1048" s="3"/>
      <c r="DA1048" s="3"/>
      <c r="DB1048" s="3"/>
      <c r="DC1048" s="3"/>
      <c r="DD1048" s="3"/>
      <c r="DE1048" s="3"/>
      <c r="DF1048" s="3"/>
      <c r="DG1048" s="3"/>
      <c r="DH1048" s="3"/>
      <c r="DI1048" s="3"/>
      <c r="DJ1048" s="3"/>
      <c r="DK1048" s="3"/>
      <c r="DL1048" s="3"/>
      <c r="DM1048" s="3"/>
      <c r="DN1048" s="3"/>
      <c r="DO1048" s="3"/>
      <c r="DP1048" s="3"/>
      <c r="DQ1048" s="3"/>
      <c r="DR1048" s="3"/>
      <c r="DS1048" s="3"/>
      <c r="DT1048" s="3"/>
      <c r="DU1048" s="3"/>
      <c r="DV1048" s="3"/>
      <c r="DW1048" s="3"/>
      <c r="DX1048" s="3"/>
      <c r="DY1048" s="3"/>
      <c r="DZ1048" s="3"/>
      <c r="EA1048" s="3"/>
      <c r="EB1048" s="3"/>
      <c r="EC1048" s="3"/>
      <c r="ED1048" s="3"/>
      <c r="EE1048" s="3"/>
      <c r="EF1048" s="3"/>
      <c r="EG1048" s="3"/>
      <c r="EH1048" s="3"/>
      <c r="EI1048" s="3"/>
      <c r="EJ1048" s="3"/>
      <c r="EK1048" s="3"/>
      <c r="EL1048" s="3"/>
      <c r="EM1048" s="3"/>
      <c r="EN1048" s="3"/>
      <c r="EO1048" s="3"/>
      <c r="EP1048" s="3"/>
      <c r="EQ1048" s="3"/>
      <c r="ER1048" s="3"/>
      <c r="ES1048" s="3"/>
      <c r="ET1048" s="3"/>
      <c r="EU1048" s="3"/>
      <c r="EV1048" s="3"/>
      <c r="EW1048" s="3"/>
      <c r="EX1048" s="3"/>
      <c r="EY1048" s="3"/>
      <c r="EZ1048" s="3"/>
      <c r="FA1048" s="3"/>
      <c r="FB1048" s="3"/>
      <c r="FC1048" s="3"/>
      <c r="FD1048" s="3"/>
      <c r="FE1048" s="3"/>
      <c r="FF1048" s="3"/>
      <c r="FG1048" s="3"/>
      <c r="FH1048" s="3"/>
      <c r="FI1048" s="3"/>
      <c r="FJ1048" s="3"/>
      <c r="FK1048" s="3"/>
      <c r="FL1048" s="3"/>
      <c r="FM1048" s="3"/>
      <c r="FN1048" s="3"/>
      <c r="FO1048" s="3"/>
      <c r="FP1048" s="3"/>
      <c r="FQ1048" s="3"/>
      <c r="FR1048" s="3"/>
      <c r="FS1048" s="3"/>
      <c r="FT1048" s="3"/>
      <c r="FU1048" s="3"/>
      <c r="FV1048" s="3"/>
      <c r="FW1048" s="3"/>
      <c r="FX1048" s="3"/>
      <c r="FY1048" s="3"/>
      <c r="FZ1048" s="3"/>
      <c r="GA1048" s="3"/>
      <c r="GB1048" s="3"/>
      <c r="GC1048" s="3"/>
      <c r="GD1048" s="3"/>
      <c r="GE1048" s="3"/>
      <c r="GF1048" s="3"/>
      <c r="GG1048" s="3"/>
      <c r="GH1048" s="3"/>
      <c r="GI1048" s="3"/>
      <c r="GJ1048" s="3"/>
      <c r="GK1048" s="3"/>
      <c r="GL1048" s="3"/>
      <c r="GM1048" s="3"/>
      <c r="GN1048" s="3"/>
      <c r="GO1048" s="3"/>
      <c r="GP1048" s="3"/>
      <c r="GQ1048" s="3"/>
      <c r="GR1048" s="3"/>
      <c r="GS1048" s="3"/>
      <c r="GT1048" s="3"/>
      <c r="GU1048" s="3"/>
      <c r="GV1048" s="3"/>
      <c r="GW1048" s="3"/>
      <c r="GX1048" s="3"/>
      <c r="GY1048" s="3"/>
      <c r="GZ1048" s="3"/>
      <c r="HA1048" s="3"/>
      <c r="HB1048" s="3"/>
      <c r="HC1048" s="3"/>
      <c r="HD1048" s="3"/>
      <c r="HE1048" s="3"/>
      <c r="HF1048" s="3"/>
      <c r="HG1048" s="3"/>
      <c r="HH1048" s="3"/>
      <c r="HI1048" s="3"/>
      <c r="HJ1048" s="3"/>
      <c r="HK1048" s="3"/>
      <c r="HL1048" s="3"/>
      <c r="HM1048" s="3"/>
      <c r="HN1048" s="3"/>
      <c r="HO1048" s="3"/>
      <c r="HP1048" s="3"/>
      <c r="HQ1048" s="3"/>
      <c r="HR1048" s="3"/>
      <c r="HS1048" s="3"/>
      <c r="HT1048" s="3"/>
      <c r="HU1048" s="3"/>
      <c r="HV1048" s="3"/>
      <c r="HW1048" s="3"/>
      <c r="HX1048" s="3"/>
      <c r="HY1048" s="3"/>
      <c r="HZ1048" s="3"/>
      <c r="IA1048" s="3"/>
      <c r="IB1048" s="3"/>
      <c r="IC1048" s="3"/>
      <c r="ID1048" s="3"/>
      <c r="IE1048" s="3"/>
      <c r="IF1048" s="3"/>
      <c r="IG1048" s="3"/>
      <c r="IH1048" s="3"/>
      <c r="II1048" s="3"/>
      <c r="IJ1048" s="3"/>
      <c r="IK1048" s="3"/>
      <c r="IL1048" s="3"/>
      <c r="IM1048" s="3"/>
      <c r="IN1048" s="3"/>
      <c r="IO1048" s="3"/>
      <c r="IP1048" s="3"/>
      <c r="IQ1048" s="3"/>
      <c r="IR1048" s="3"/>
      <c r="IS1048" s="3"/>
      <c r="IT1048" s="3"/>
      <c r="IU1048" s="3"/>
      <c r="IV1048" s="3"/>
    </row>
    <row r="1049" spans="1:256" s="663" customFormat="1">
      <c r="A1049" s="985"/>
      <c r="B1049" s="963"/>
      <c r="C1049" s="986" t="s">
        <v>1048</v>
      </c>
      <c r="D1049" s="983"/>
      <c r="E1049" s="983"/>
      <c r="F1049" s="924"/>
      <c r="G1049" s="984">
        <f>SUM(G1031:G1048)</f>
        <v>5834.6900000000014</v>
      </c>
      <c r="I1049" s="152"/>
      <c r="J1049" s="3"/>
      <c r="K1049" s="3"/>
      <c r="L1049" s="3"/>
      <c r="M1049" s="3"/>
      <c r="N1049" s="3"/>
      <c r="O1049" s="3"/>
      <c r="P1049" s="3"/>
      <c r="Q1049" s="3"/>
      <c r="R1049" s="3"/>
      <c r="S1049" s="3"/>
      <c r="T1049" s="3"/>
      <c r="U1049" s="3"/>
      <c r="V1049" s="3"/>
      <c r="W1049" s="3"/>
      <c r="X1049" s="3"/>
      <c r="Y1049" s="3"/>
      <c r="Z1049" s="3"/>
      <c r="AA1049" s="3"/>
      <c r="AB1049" s="3"/>
      <c r="AC1049" s="3"/>
      <c r="AD1049" s="3"/>
      <c r="AE1049" s="3"/>
      <c r="AF1049" s="3"/>
      <c r="AG1049" s="3"/>
      <c r="AH1049" s="3"/>
      <c r="AI1049" s="3"/>
      <c r="AJ1049" s="3"/>
      <c r="AK1049" s="3"/>
      <c r="AL1049" s="3"/>
      <c r="AM1049" s="3"/>
      <c r="AN1049" s="3"/>
      <c r="AO1049" s="3"/>
      <c r="AP1049" s="3"/>
      <c r="AQ1049" s="3"/>
      <c r="AR1049" s="3"/>
      <c r="AS1049" s="3"/>
      <c r="AT1049" s="3"/>
      <c r="AU1049" s="3"/>
      <c r="AV1049" s="3"/>
      <c r="AW1049" s="3"/>
      <c r="AX1049" s="3"/>
      <c r="AY1049" s="3"/>
      <c r="AZ1049" s="3"/>
      <c r="BA1049" s="3"/>
      <c r="BB1049" s="3"/>
      <c r="BC1049" s="3"/>
      <c r="BD1049" s="3"/>
      <c r="BE1049" s="3"/>
      <c r="BF1049" s="3"/>
      <c r="BG1049" s="3"/>
      <c r="BH1049" s="3"/>
      <c r="BI1049" s="3"/>
      <c r="BJ1049" s="3"/>
      <c r="BK1049" s="3"/>
      <c r="BL1049" s="3"/>
      <c r="BM1049" s="3"/>
      <c r="BN1049" s="3"/>
      <c r="BO1049" s="3"/>
      <c r="BP1049" s="3"/>
      <c r="BQ1049" s="3"/>
      <c r="BR1049" s="3"/>
      <c r="BS1049" s="3"/>
      <c r="BT1049" s="3"/>
      <c r="BU1049" s="3"/>
      <c r="BV1049" s="3"/>
      <c r="BW1049" s="3"/>
      <c r="BX1049" s="3"/>
      <c r="BY1049" s="3"/>
      <c r="BZ1049" s="3"/>
      <c r="CA1049" s="3"/>
      <c r="CB1049" s="3"/>
      <c r="CC1049" s="3"/>
      <c r="CD1049" s="3"/>
      <c r="CE1049" s="3"/>
      <c r="CF1049" s="3"/>
      <c r="CG1049" s="3"/>
      <c r="CH1049" s="3"/>
      <c r="CI1049" s="3"/>
      <c r="CJ1049" s="3"/>
      <c r="CK1049" s="3"/>
      <c r="CL1049" s="3"/>
      <c r="CM1049" s="3"/>
      <c r="CN1049" s="3"/>
      <c r="CO1049" s="3"/>
      <c r="CP1049" s="3"/>
      <c r="CQ1049" s="3"/>
      <c r="CR1049" s="3"/>
      <c r="CS1049" s="3"/>
      <c r="CT1049" s="3"/>
      <c r="CU1049" s="3"/>
      <c r="CV1049" s="3"/>
      <c r="CW1049" s="3"/>
      <c r="CX1049" s="3"/>
      <c r="CY1049" s="3"/>
      <c r="CZ1049" s="3"/>
      <c r="DA1049" s="3"/>
      <c r="DB1049" s="3"/>
      <c r="DC1049" s="3"/>
      <c r="DD1049" s="3"/>
      <c r="DE1049" s="3"/>
      <c r="DF1049" s="3"/>
      <c r="DG1049" s="3"/>
      <c r="DH1049" s="3"/>
      <c r="DI1049" s="3"/>
      <c r="DJ1049" s="3"/>
      <c r="DK1049" s="3"/>
      <c r="DL1049" s="3"/>
      <c r="DM1049" s="3"/>
      <c r="DN1049" s="3"/>
      <c r="DO1049" s="3"/>
      <c r="DP1049" s="3"/>
      <c r="DQ1049" s="3"/>
      <c r="DR1049" s="3"/>
      <c r="DS1049" s="3"/>
      <c r="DT1049" s="3"/>
      <c r="DU1049" s="3"/>
      <c r="DV1049" s="3"/>
      <c r="DW1049" s="3"/>
      <c r="DX1049" s="3"/>
      <c r="DY1049" s="3"/>
      <c r="DZ1049" s="3"/>
      <c r="EA1049" s="3"/>
      <c r="EB1049" s="3"/>
      <c r="EC1049" s="3"/>
      <c r="ED1049" s="3"/>
      <c r="EE1049" s="3"/>
      <c r="EF1049" s="3"/>
      <c r="EG1049" s="3"/>
      <c r="EH1049" s="3"/>
      <c r="EI1049" s="3"/>
      <c r="EJ1049" s="3"/>
      <c r="EK1049" s="3"/>
      <c r="EL1049" s="3"/>
      <c r="EM1049" s="3"/>
      <c r="EN1049" s="3"/>
      <c r="EO1049" s="3"/>
      <c r="EP1049" s="3"/>
      <c r="EQ1049" s="3"/>
      <c r="ER1049" s="3"/>
      <c r="ES1049" s="3"/>
      <c r="ET1049" s="3"/>
      <c r="EU1049" s="3"/>
      <c r="EV1049" s="3"/>
      <c r="EW1049" s="3"/>
      <c r="EX1049" s="3"/>
      <c r="EY1049" s="3"/>
      <c r="EZ1049" s="3"/>
      <c r="FA1049" s="3"/>
      <c r="FB1049" s="3"/>
      <c r="FC1049" s="3"/>
      <c r="FD1049" s="3"/>
      <c r="FE1049" s="3"/>
      <c r="FF1049" s="3"/>
      <c r="FG1049" s="3"/>
      <c r="FH1049" s="3"/>
      <c r="FI1049" s="3"/>
      <c r="FJ1049" s="3"/>
      <c r="FK1049" s="3"/>
      <c r="FL1049" s="3"/>
      <c r="FM1049" s="3"/>
      <c r="FN1049" s="3"/>
      <c r="FO1049" s="3"/>
      <c r="FP1049" s="3"/>
      <c r="FQ1049" s="3"/>
      <c r="FR1049" s="3"/>
      <c r="FS1049" s="3"/>
      <c r="FT1049" s="3"/>
      <c r="FU1049" s="3"/>
      <c r="FV1049" s="3"/>
      <c r="FW1049" s="3"/>
      <c r="FX1049" s="3"/>
      <c r="FY1049" s="3"/>
      <c r="FZ1049" s="3"/>
      <c r="GA1049" s="3"/>
      <c r="GB1049" s="3"/>
      <c r="GC1049" s="3"/>
      <c r="GD1049" s="3"/>
      <c r="GE1049" s="3"/>
      <c r="GF1049" s="3"/>
      <c r="GG1049" s="3"/>
      <c r="GH1049" s="3"/>
      <c r="GI1049" s="3"/>
      <c r="GJ1049" s="3"/>
      <c r="GK1049" s="3"/>
      <c r="GL1049" s="3"/>
      <c r="GM1049" s="3"/>
      <c r="GN1049" s="3"/>
      <c r="GO1049" s="3"/>
      <c r="GP1049" s="3"/>
      <c r="GQ1049" s="3"/>
      <c r="GR1049" s="3"/>
      <c r="GS1049" s="3"/>
      <c r="GT1049" s="3"/>
      <c r="GU1049" s="3"/>
      <c r="GV1049" s="3"/>
      <c r="GW1049" s="3"/>
      <c r="GX1049" s="3"/>
      <c r="GY1049" s="3"/>
      <c r="GZ1049" s="3"/>
      <c r="HA1049" s="3"/>
      <c r="HB1049" s="3"/>
      <c r="HC1049" s="3"/>
      <c r="HD1049" s="3"/>
      <c r="HE1049" s="3"/>
      <c r="HF1049" s="3"/>
      <c r="HG1049" s="3"/>
      <c r="HH1049" s="3"/>
      <c r="HI1049" s="3"/>
      <c r="HJ1049" s="3"/>
      <c r="HK1049" s="3"/>
      <c r="HL1049" s="3"/>
      <c r="HM1049" s="3"/>
      <c r="HN1049" s="3"/>
      <c r="HO1049" s="3"/>
      <c r="HP1049" s="3"/>
      <c r="HQ1049" s="3"/>
      <c r="HR1049" s="3"/>
      <c r="HS1049" s="3"/>
      <c r="HT1049" s="3"/>
      <c r="HU1049" s="3"/>
      <c r="HV1049" s="3"/>
      <c r="HW1049" s="3"/>
      <c r="HX1049" s="3"/>
      <c r="HY1049" s="3"/>
      <c r="HZ1049" s="3"/>
      <c r="IA1049" s="3"/>
      <c r="IB1049" s="3"/>
      <c r="IC1049" s="3"/>
      <c r="ID1049" s="3"/>
      <c r="IE1049" s="3"/>
      <c r="IF1049" s="3"/>
      <c r="IG1049" s="3"/>
      <c r="IH1049" s="3"/>
      <c r="II1049" s="3"/>
      <c r="IJ1049" s="3"/>
      <c r="IK1049" s="3"/>
      <c r="IL1049" s="3"/>
      <c r="IM1049" s="3"/>
      <c r="IN1049" s="3"/>
      <c r="IO1049" s="3"/>
      <c r="IP1049" s="3"/>
      <c r="IQ1049" s="3"/>
      <c r="IR1049" s="3"/>
      <c r="IS1049" s="3"/>
      <c r="IT1049" s="3"/>
      <c r="IU1049" s="3"/>
      <c r="IV1049" s="3"/>
    </row>
    <row r="1050" spans="1:256" s="663" customFormat="1">
      <c r="A1050" s="985"/>
      <c r="B1050" s="963"/>
      <c r="C1050" s="986" t="s">
        <v>1752</v>
      </c>
      <c r="D1050" s="983"/>
      <c r="E1050" s="983"/>
      <c r="F1050" s="924"/>
      <c r="G1050" s="984">
        <f>ROUND(G1049/10,2)</f>
        <v>583.47</v>
      </c>
      <c r="I1050" s="152"/>
      <c r="J1050" s="3"/>
      <c r="K1050" s="3"/>
      <c r="L1050" s="3"/>
      <c r="M1050" s="3"/>
      <c r="N1050" s="3"/>
      <c r="O1050" s="3"/>
      <c r="P1050" s="3"/>
      <c r="Q1050" s="3"/>
      <c r="R1050" s="3"/>
      <c r="S1050" s="3"/>
      <c r="T1050" s="3"/>
      <c r="U1050" s="3"/>
      <c r="V1050" s="3"/>
      <c r="W1050" s="3"/>
      <c r="X1050" s="3"/>
      <c r="Y1050" s="3"/>
      <c r="Z1050" s="3"/>
      <c r="AA1050" s="3"/>
      <c r="AB1050" s="3"/>
      <c r="AC1050" s="3"/>
      <c r="AD1050" s="3"/>
      <c r="AE1050" s="3"/>
      <c r="AF1050" s="3"/>
      <c r="AG1050" s="3"/>
      <c r="AH1050" s="3"/>
      <c r="AI1050" s="3"/>
      <c r="AJ1050" s="3"/>
      <c r="AK1050" s="3"/>
      <c r="AL1050" s="3"/>
      <c r="AM1050" s="3"/>
      <c r="AN1050" s="3"/>
      <c r="AO1050" s="3"/>
      <c r="AP1050" s="3"/>
      <c r="AQ1050" s="3"/>
      <c r="AR1050" s="3"/>
      <c r="AS1050" s="3"/>
      <c r="AT1050" s="3"/>
      <c r="AU1050" s="3"/>
      <c r="AV1050" s="3"/>
      <c r="AW1050" s="3"/>
      <c r="AX1050" s="3"/>
      <c r="AY1050" s="3"/>
      <c r="AZ1050" s="3"/>
      <c r="BA1050" s="3"/>
      <c r="BB1050" s="3"/>
      <c r="BC1050" s="3"/>
      <c r="BD1050" s="3"/>
      <c r="BE1050" s="3"/>
      <c r="BF1050" s="3"/>
      <c r="BG1050" s="3"/>
      <c r="BH1050" s="3"/>
      <c r="BI1050" s="3"/>
      <c r="BJ1050" s="3"/>
      <c r="BK1050" s="3"/>
      <c r="BL1050" s="3"/>
      <c r="BM1050" s="3"/>
      <c r="BN1050" s="3"/>
      <c r="BO1050" s="3"/>
      <c r="BP1050" s="3"/>
      <c r="BQ1050" s="3"/>
      <c r="BR1050" s="3"/>
      <c r="BS1050" s="3"/>
      <c r="BT1050" s="3"/>
      <c r="BU1050" s="3"/>
      <c r="BV1050" s="3"/>
      <c r="BW1050" s="3"/>
      <c r="BX1050" s="3"/>
      <c r="BY1050" s="3"/>
      <c r="BZ1050" s="3"/>
      <c r="CA1050" s="3"/>
      <c r="CB1050" s="3"/>
      <c r="CC1050" s="3"/>
      <c r="CD1050" s="3"/>
      <c r="CE1050" s="3"/>
      <c r="CF1050" s="3"/>
      <c r="CG1050" s="3"/>
      <c r="CH1050" s="3"/>
      <c r="CI1050" s="3"/>
      <c r="CJ1050" s="3"/>
      <c r="CK1050" s="3"/>
      <c r="CL1050" s="3"/>
      <c r="CM1050" s="3"/>
      <c r="CN1050" s="3"/>
      <c r="CO1050" s="3"/>
      <c r="CP1050" s="3"/>
      <c r="CQ1050" s="3"/>
      <c r="CR1050" s="3"/>
      <c r="CS1050" s="3"/>
      <c r="CT1050" s="3"/>
      <c r="CU1050" s="3"/>
      <c r="CV1050" s="3"/>
      <c r="CW1050" s="3"/>
      <c r="CX1050" s="3"/>
      <c r="CY1050" s="3"/>
      <c r="CZ1050" s="3"/>
      <c r="DA1050" s="3"/>
      <c r="DB1050" s="3"/>
      <c r="DC1050" s="3"/>
      <c r="DD1050" s="3"/>
      <c r="DE1050" s="3"/>
      <c r="DF1050" s="3"/>
      <c r="DG1050" s="3"/>
      <c r="DH1050" s="3"/>
      <c r="DI1050" s="3"/>
      <c r="DJ1050" s="3"/>
      <c r="DK1050" s="3"/>
      <c r="DL1050" s="3"/>
      <c r="DM1050" s="3"/>
      <c r="DN1050" s="3"/>
      <c r="DO1050" s="3"/>
      <c r="DP1050" s="3"/>
      <c r="DQ1050" s="3"/>
      <c r="DR1050" s="3"/>
      <c r="DS1050" s="3"/>
      <c r="DT1050" s="3"/>
      <c r="DU1050" s="3"/>
      <c r="DV1050" s="3"/>
      <c r="DW1050" s="3"/>
      <c r="DX1050" s="3"/>
      <c r="DY1050" s="3"/>
      <c r="DZ1050" s="3"/>
      <c r="EA1050" s="3"/>
      <c r="EB1050" s="3"/>
      <c r="EC1050" s="3"/>
      <c r="ED1050" s="3"/>
      <c r="EE1050" s="3"/>
      <c r="EF1050" s="3"/>
      <c r="EG1050" s="3"/>
      <c r="EH1050" s="3"/>
      <c r="EI1050" s="3"/>
      <c r="EJ1050" s="3"/>
      <c r="EK1050" s="3"/>
      <c r="EL1050" s="3"/>
      <c r="EM1050" s="3"/>
      <c r="EN1050" s="3"/>
      <c r="EO1050" s="3"/>
      <c r="EP1050" s="3"/>
      <c r="EQ1050" s="3"/>
      <c r="ER1050" s="3"/>
      <c r="ES1050" s="3"/>
      <c r="ET1050" s="3"/>
      <c r="EU1050" s="3"/>
      <c r="EV1050" s="3"/>
      <c r="EW1050" s="3"/>
      <c r="EX1050" s="3"/>
      <c r="EY1050" s="3"/>
      <c r="EZ1050" s="3"/>
      <c r="FA1050" s="3"/>
      <c r="FB1050" s="3"/>
      <c r="FC1050" s="3"/>
      <c r="FD1050" s="3"/>
      <c r="FE1050" s="3"/>
      <c r="FF1050" s="3"/>
      <c r="FG1050" s="3"/>
      <c r="FH1050" s="3"/>
      <c r="FI1050" s="3"/>
      <c r="FJ1050" s="3"/>
      <c r="FK1050" s="3"/>
      <c r="FL1050" s="3"/>
      <c r="FM1050" s="3"/>
      <c r="FN1050" s="3"/>
      <c r="FO1050" s="3"/>
      <c r="FP1050" s="3"/>
      <c r="FQ1050" s="3"/>
      <c r="FR1050" s="3"/>
      <c r="FS1050" s="3"/>
      <c r="FT1050" s="3"/>
      <c r="FU1050" s="3"/>
      <c r="FV1050" s="3"/>
      <c r="FW1050" s="3"/>
      <c r="FX1050" s="3"/>
      <c r="FY1050" s="3"/>
      <c r="FZ1050" s="3"/>
      <c r="GA1050" s="3"/>
      <c r="GB1050" s="3"/>
      <c r="GC1050" s="3"/>
      <c r="GD1050" s="3"/>
      <c r="GE1050" s="3"/>
      <c r="GF1050" s="3"/>
      <c r="GG1050" s="3"/>
      <c r="GH1050" s="3"/>
      <c r="GI1050" s="3"/>
      <c r="GJ1050" s="3"/>
      <c r="GK1050" s="3"/>
      <c r="GL1050" s="3"/>
      <c r="GM1050" s="3"/>
      <c r="GN1050" s="3"/>
      <c r="GO1050" s="3"/>
      <c r="GP1050" s="3"/>
      <c r="GQ1050" s="3"/>
      <c r="GR1050" s="3"/>
      <c r="GS1050" s="3"/>
      <c r="GT1050" s="3"/>
      <c r="GU1050" s="3"/>
      <c r="GV1050" s="3"/>
      <c r="GW1050" s="3"/>
      <c r="GX1050" s="3"/>
      <c r="GY1050" s="3"/>
      <c r="GZ1050" s="3"/>
      <c r="HA1050" s="3"/>
      <c r="HB1050" s="3"/>
      <c r="HC1050" s="3"/>
      <c r="HD1050" s="3"/>
      <c r="HE1050" s="3"/>
      <c r="HF1050" s="3"/>
      <c r="HG1050" s="3"/>
      <c r="HH1050" s="3"/>
      <c r="HI1050" s="3"/>
      <c r="HJ1050" s="3"/>
      <c r="HK1050" s="3"/>
      <c r="HL1050" s="3"/>
      <c r="HM1050" s="3"/>
      <c r="HN1050" s="3"/>
      <c r="HO1050" s="3"/>
      <c r="HP1050" s="3"/>
      <c r="HQ1050" s="3"/>
      <c r="HR1050" s="3"/>
      <c r="HS1050" s="3"/>
      <c r="HT1050" s="3"/>
      <c r="HU1050" s="3"/>
      <c r="HV1050" s="3"/>
      <c r="HW1050" s="3"/>
      <c r="HX1050" s="3"/>
      <c r="HY1050" s="3"/>
      <c r="HZ1050" s="3"/>
      <c r="IA1050" s="3"/>
      <c r="IB1050" s="3"/>
      <c r="IC1050" s="3"/>
      <c r="ID1050" s="3"/>
      <c r="IE1050" s="3"/>
      <c r="IF1050" s="3"/>
      <c r="IG1050" s="3"/>
      <c r="IH1050" s="3"/>
      <c r="II1050" s="3"/>
      <c r="IJ1050" s="3"/>
      <c r="IK1050" s="3"/>
      <c r="IL1050" s="3"/>
      <c r="IM1050" s="3"/>
      <c r="IN1050" s="3"/>
      <c r="IO1050" s="3"/>
      <c r="IP1050" s="3"/>
      <c r="IQ1050" s="3"/>
      <c r="IR1050" s="3"/>
      <c r="IS1050" s="3"/>
      <c r="IT1050" s="3"/>
      <c r="IU1050" s="3"/>
      <c r="IV1050" s="3"/>
    </row>
    <row r="1051" spans="1:256" s="663" customFormat="1" ht="106.8">
      <c r="A1051" s="989" t="s">
        <v>1757</v>
      </c>
      <c r="B1051" s="907"/>
      <c r="C1051" s="309" t="s">
        <v>1823</v>
      </c>
      <c r="D1051" s="310"/>
      <c r="E1051" s="310"/>
      <c r="F1051" s="28"/>
      <c r="G1051" s="628"/>
      <c r="I1051" s="152"/>
      <c r="J1051" s="3"/>
      <c r="K1051" s="3"/>
      <c r="L1051" s="3"/>
      <c r="M1051" s="3"/>
      <c r="N1051" s="3"/>
      <c r="O1051" s="3"/>
      <c r="P1051" s="3"/>
      <c r="Q1051" s="3"/>
      <c r="R1051" s="3"/>
      <c r="S1051" s="3"/>
      <c r="T1051" s="3"/>
      <c r="U1051" s="3"/>
      <c r="V1051" s="3"/>
      <c r="W1051" s="3"/>
      <c r="X1051" s="3"/>
      <c r="Y1051" s="3"/>
      <c r="Z1051" s="3"/>
      <c r="AA1051" s="3"/>
      <c r="AB1051" s="3"/>
      <c r="AC1051" s="3"/>
      <c r="AD1051" s="3"/>
      <c r="AE1051" s="3"/>
      <c r="AF1051" s="3"/>
      <c r="AG1051" s="3"/>
      <c r="AH1051" s="3"/>
      <c r="AI1051" s="3"/>
      <c r="AJ1051" s="3"/>
      <c r="AK1051" s="3"/>
      <c r="AL1051" s="3"/>
      <c r="AM1051" s="3"/>
      <c r="AN1051" s="3"/>
      <c r="AO1051" s="3"/>
      <c r="AP1051" s="3"/>
      <c r="AQ1051" s="3"/>
      <c r="AR1051" s="3"/>
      <c r="AS1051" s="3"/>
      <c r="AT1051" s="3"/>
      <c r="AU1051" s="3"/>
      <c r="AV1051" s="3"/>
      <c r="AW1051" s="3"/>
      <c r="AX1051" s="3"/>
      <c r="AY1051" s="3"/>
      <c r="AZ1051" s="3"/>
      <c r="BA1051" s="3"/>
      <c r="BB1051" s="3"/>
      <c r="BC1051" s="3"/>
      <c r="BD1051" s="3"/>
      <c r="BE1051" s="3"/>
      <c r="BF1051" s="3"/>
      <c r="BG1051" s="3"/>
      <c r="BH1051" s="3"/>
      <c r="BI1051" s="3"/>
      <c r="BJ1051" s="3"/>
      <c r="BK1051" s="3"/>
      <c r="BL1051" s="3"/>
      <c r="BM1051" s="3"/>
      <c r="BN1051" s="3"/>
      <c r="BO1051" s="3"/>
      <c r="BP1051" s="3"/>
      <c r="BQ1051" s="3"/>
      <c r="BR1051" s="3"/>
      <c r="BS1051" s="3"/>
      <c r="BT1051" s="3"/>
      <c r="BU1051" s="3"/>
      <c r="BV1051" s="3"/>
      <c r="BW1051" s="3"/>
      <c r="BX1051" s="3"/>
      <c r="BY1051" s="3"/>
      <c r="BZ1051" s="3"/>
      <c r="CA1051" s="3"/>
      <c r="CB1051" s="3"/>
      <c r="CC1051" s="3"/>
      <c r="CD1051" s="3"/>
      <c r="CE1051" s="3"/>
      <c r="CF1051" s="3"/>
      <c r="CG1051" s="3"/>
      <c r="CH1051" s="3"/>
      <c r="CI1051" s="3"/>
      <c r="CJ1051" s="3"/>
      <c r="CK1051" s="3"/>
      <c r="CL1051" s="3"/>
      <c r="CM1051" s="3"/>
      <c r="CN1051" s="3"/>
      <c r="CO1051" s="3"/>
      <c r="CP1051" s="3"/>
      <c r="CQ1051" s="3"/>
      <c r="CR1051" s="3"/>
      <c r="CS1051" s="3"/>
      <c r="CT1051" s="3"/>
      <c r="CU1051" s="3"/>
      <c r="CV1051" s="3"/>
      <c r="CW1051" s="3"/>
      <c r="CX1051" s="3"/>
      <c r="CY1051" s="3"/>
      <c r="CZ1051" s="3"/>
      <c r="DA1051" s="3"/>
      <c r="DB1051" s="3"/>
      <c r="DC1051" s="3"/>
      <c r="DD1051" s="3"/>
      <c r="DE1051" s="3"/>
      <c r="DF1051" s="3"/>
      <c r="DG1051" s="3"/>
      <c r="DH1051" s="3"/>
      <c r="DI1051" s="3"/>
      <c r="DJ1051" s="3"/>
      <c r="DK1051" s="3"/>
      <c r="DL1051" s="3"/>
      <c r="DM1051" s="3"/>
      <c r="DN1051" s="3"/>
      <c r="DO1051" s="3"/>
      <c r="DP1051" s="3"/>
      <c r="DQ1051" s="3"/>
      <c r="DR1051" s="3"/>
      <c r="DS1051" s="3"/>
      <c r="DT1051" s="3"/>
      <c r="DU1051" s="3"/>
      <c r="DV1051" s="3"/>
      <c r="DW1051" s="3"/>
      <c r="DX1051" s="3"/>
      <c r="DY1051" s="3"/>
      <c r="DZ1051" s="3"/>
      <c r="EA1051" s="3"/>
      <c r="EB1051" s="3"/>
      <c r="EC1051" s="3"/>
      <c r="ED1051" s="3"/>
      <c r="EE1051" s="3"/>
      <c r="EF1051" s="3"/>
      <c r="EG1051" s="3"/>
      <c r="EH1051" s="3"/>
      <c r="EI1051" s="3"/>
      <c r="EJ1051" s="3"/>
      <c r="EK1051" s="3"/>
      <c r="EL1051" s="3"/>
      <c r="EM1051" s="3"/>
      <c r="EN1051" s="3"/>
      <c r="EO1051" s="3"/>
      <c r="EP1051" s="3"/>
      <c r="EQ1051" s="3"/>
      <c r="ER1051" s="3"/>
      <c r="ES1051" s="3"/>
      <c r="ET1051" s="3"/>
      <c r="EU1051" s="3"/>
      <c r="EV1051" s="3"/>
      <c r="EW1051" s="3"/>
      <c r="EX1051" s="3"/>
      <c r="EY1051" s="3"/>
      <c r="EZ1051" s="3"/>
      <c r="FA1051" s="3"/>
      <c r="FB1051" s="3"/>
      <c r="FC1051" s="3"/>
      <c r="FD1051" s="3"/>
      <c r="FE1051" s="3"/>
      <c r="FF1051" s="3"/>
      <c r="FG1051" s="3"/>
      <c r="FH1051" s="3"/>
      <c r="FI1051" s="3"/>
      <c r="FJ1051" s="3"/>
      <c r="FK1051" s="3"/>
      <c r="FL1051" s="3"/>
      <c r="FM1051" s="3"/>
      <c r="FN1051" s="3"/>
      <c r="FO1051" s="3"/>
      <c r="FP1051" s="3"/>
      <c r="FQ1051" s="3"/>
      <c r="FR1051" s="3"/>
      <c r="FS1051" s="3"/>
      <c r="FT1051" s="3"/>
      <c r="FU1051" s="3"/>
      <c r="FV1051" s="3"/>
      <c r="FW1051" s="3"/>
      <c r="FX1051" s="3"/>
      <c r="FY1051" s="3"/>
      <c r="FZ1051" s="3"/>
      <c r="GA1051" s="3"/>
      <c r="GB1051" s="3"/>
      <c r="GC1051" s="3"/>
      <c r="GD1051" s="3"/>
      <c r="GE1051" s="3"/>
      <c r="GF1051" s="3"/>
      <c r="GG1051" s="3"/>
      <c r="GH1051" s="3"/>
      <c r="GI1051" s="3"/>
      <c r="GJ1051" s="3"/>
      <c r="GK1051" s="3"/>
      <c r="GL1051" s="3"/>
      <c r="GM1051" s="3"/>
      <c r="GN1051" s="3"/>
      <c r="GO1051" s="3"/>
      <c r="GP1051" s="3"/>
      <c r="GQ1051" s="3"/>
      <c r="GR1051" s="3"/>
      <c r="GS1051" s="3"/>
      <c r="GT1051" s="3"/>
      <c r="GU1051" s="3"/>
      <c r="GV1051" s="3"/>
      <c r="GW1051" s="3"/>
      <c r="GX1051" s="3"/>
      <c r="GY1051" s="3"/>
      <c r="GZ1051" s="3"/>
      <c r="HA1051" s="3"/>
      <c r="HB1051" s="3"/>
      <c r="HC1051" s="3"/>
      <c r="HD1051" s="3"/>
      <c r="HE1051" s="3"/>
      <c r="HF1051" s="3"/>
      <c r="HG1051" s="3"/>
      <c r="HH1051" s="3"/>
      <c r="HI1051" s="3"/>
      <c r="HJ1051" s="3"/>
      <c r="HK1051" s="3"/>
      <c r="HL1051" s="3"/>
      <c r="HM1051" s="3"/>
      <c r="HN1051" s="3"/>
      <c r="HO1051" s="3"/>
      <c r="HP1051" s="3"/>
      <c r="HQ1051" s="3"/>
      <c r="HR1051" s="3"/>
      <c r="HS1051" s="3"/>
      <c r="HT1051" s="3"/>
      <c r="HU1051" s="3"/>
      <c r="HV1051" s="3"/>
      <c r="HW1051" s="3"/>
      <c r="HX1051" s="3"/>
      <c r="HY1051" s="3"/>
      <c r="HZ1051" s="3"/>
      <c r="IA1051" s="3"/>
      <c r="IB1051" s="3"/>
      <c r="IC1051" s="3"/>
      <c r="ID1051" s="3"/>
      <c r="IE1051" s="3"/>
      <c r="IF1051" s="3"/>
      <c r="IG1051" s="3"/>
      <c r="IH1051" s="3"/>
      <c r="II1051" s="3"/>
      <c r="IJ1051" s="3"/>
      <c r="IK1051" s="3"/>
      <c r="IL1051" s="3"/>
      <c r="IM1051" s="3"/>
      <c r="IN1051" s="3"/>
      <c r="IO1051" s="3"/>
      <c r="IP1051" s="3"/>
      <c r="IQ1051" s="3"/>
      <c r="IR1051" s="3"/>
      <c r="IS1051" s="3"/>
      <c r="IT1051" s="3"/>
      <c r="IU1051" s="3"/>
      <c r="IV1051" s="3"/>
    </row>
    <row r="1052" spans="1:256" s="663" customFormat="1">
      <c r="A1052" s="61"/>
      <c r="B1052" s="961"/>
      <c r="C1052" s="309" t="s">
        <v>1227</v>
      </c>
      <c r="D1052" s="310"/>
      <c r="E1052" s="310"/>
      <c r="F1052" s="28"/>
      <c r="G1052" s="628"/>
      <c r="I1052" s="152"/>
      <c r="J1052" s="3"/>
      <c r="K1052" s="3"/>
      <c r="L1052" s="3"/>
      <c r="M1052" s="3"/>
      <c r="N1052" s="3"/>
      <c r="O1052" s="3"/>
      <c r="P1052" s="3"/>
      <c r="Q1052" s="3"/>
      <c r="R1052" s="3"/>
      <c r="S1052" s="3"/>
      <c r="T1052" s="3"/>
      <c r="U1052" s="3"/>
      <c r="V1052" s="3"/>
      <c r="W1052" s="3"/>
      <c r="X1052" s="3"/>
      <c r="Y1052" s="3"/>
      <c r="Z1052" s="3"/>
      <c r="AA1052" s="3"/>
      <c r="AB1052" s="3"/>
      <c r="AC1052" s="3"/>
      <c r="AD1052" s="3"/>
      <c r="AE1052" s="3"/>
      <c r="AF1052" s="3"/>
      <c r="AG1052" s="3"/>
      <c r="AH1052" s="3"/>
      <c r="AI1052" s="3"/>
      <c r="AJ1052" s="3"/>
      <c r="AK1052" s="3"/>
      <c r="AL1052" s="3"/>
      <c r="AM1052" s="3"/>
      <c r="AN1052" s="3"/>
      <c r="AO1052" s="3"/>
      <c r="AP1052" s="3"/>
      <c r="AQ1052" s="3"/>
      <c r="AR1052" s="3"/>
      <c r="AS1052" s="3"/>
      <c r="AT1052" s="3"/>
      <c r="AU1052" s="3"/>
      <c r="AV1052" s="3"/>
      <c r="AW1052" s="3"/>
      <c r="AX1052" s="3"/>
      <c r="AY1052" s="3"/>
      <c r="AZ1052" s="3"/>
      <c r="BA1052" s="3"/>
      <c r="BB1052" s="3"/>
      <c r="BC1052" s="3"/>
      <c r="BD1052" s="3"/>
      <c r="BE1052" s="3"/>
      <c r="BF1052" s="3"/>
      <c r="BG1052" s="3"/>
      <c r="BH1052" s="3"/>
      <c r="BI1052" s="3"/>
      <c r="BJ1052" s="3"/>
      <c r="BK1052" s="3"/>
      <c r="BL1052" s="3"/>
      <c r="BM1052" s="3"/>
      <c r="BN1052" s="3"/>
      <c r="BO1052" s="3"/>
      <c r="BP1052" s="3"/>
      <c r="BQ1052" s="3"/>
      <c r="BR1052" s="3"/>
      <c r="BS1052" s="3"/>
      <c r="BT1052" s="3"/>
      <c r="BU1052" s="3"/>
      <c r="BV1052" s="3"/>
      <c r="BW1052" s="3"/>
      <c r="BX1052" s="3"/>
      <c r="BY1052" s="3"/>
      <c r="BZ1052" s="3"/>
      <c r="CA1052" s="3"/>
      <c r="CB1052" s="3"/>
      <c r="CC1052" s="3"/>
      <c r="CD1052" s="3"/>
      <c r="CE1052" s="3"/>
      <c r="CF1052" s="3"/>
      <c r="CG1052" s="3"/>
      <c r="CH1052" s="3"/>
      <c r="CI1052" s="3"/>
      <c r="CJ1052" s="3"/>
      <c r="CK1052" s="3"/>
      <c r="CL1052" s="3"/>
      <c r="CM1052" s="3"/>
      <c r="CN1052" s="3"/>
      <c r="CO1052" s="3"/>
      <c r="CP1052" s="3"/>
      <c r="CQ1052" s="3"/>
      <c r="CR1052" s="3"/>
      <c r="CS1052" s="3"/>
      <c r="CT1052" s="3"/>
      <c r="CU1052" s="3"/>
      <c r="CV1052" s="3"/>
      <c r="CW1052" s="3"/>
      <c r="CX1052" s="3"/>
      <c r="CY1052" s="3"/>
      <c r="CZ1052" s="3"/>
      <c r="DA1052" s="3"/>
      <c r="DB1052" s="3"/>
      <c r="DC1052" s="3"/>
      <c r="DD1052" s="3"/>
      <c r="DE1052" s="3"/>
      <c r="DF1052" s="3"/>
      <c r="DG1052" s="3"/>
      <c r="DH1052" s="3"/>
      <c r="DI1052" s="3"/>
      <c r="DJ1052" s="3"/>
      <c r="DK1052" s="3"/>
      <c r="DL1052" s="3"/>
      <c r="DM1052" s="3"/>
      <c r="DN1052" s="3"/>
      <c r="DO1052" s="3"/>
      <c r="DP1052" s="3"/>
      <c r="DQ1052" s="3"/>
      <c r="DR1052" s="3"/>
      <c r="DS1052" s="3"/>
      <c r="DT1052" s="3"/>
      <c r="DU1052" s="3"/>
      <c r="DV1052" s="3"/>
      <c r="DW1052" s="3"/>
      <c r="DX1052" s="3"/>
      <c r="DY1052" s="3"/>
      <c r="DZ1052" s="3"/>
      <c r="EA1052" s="3"/>
      <c r="EB1052" s="3"/>
      <c r="EC1052" s="3"/>
      <c r="ED1052" s="3"/>
      <c r="EE1052" s="3"/>
      <c r="EF1052" s="3"/>
      <c r="EG1052" s="3"/>
      <c r="EH1052" s="3"/>
      <c r="EI1052" s="3"/>
      <c r="EJ1052" s="3"/>
      <c r="EK1052" s="3"/>
      <c r="EL1052" s="3"/>
      <c r="EM1052" s="3"/>
      <c r="EN1052" s="3"/>
      <c r="EO1052" s="3"/>
      <c r="EP1052" s="3"/>
      <c r="EQ1052" s="3"/>
      <c r="ER1052" s="3"/>
      <c r="ES1052" s="3"/>
      <c r="ET1052" s="3"/>
      <c r="EU1052" s="3"/>
      <c r="EV1052" s="3"/>
      <c r="EW1052" s="3"/>
      <c r="EX1052" s="3"/>
      <c r="EY1052" s="3"/>
      <c r="EZ1052" s="3"/>
      <c r="FA1052" s="3"/>
      <c r="FB1052" s="3"/>
      <c r="FC1052" s="3"/>
      <c r="FD1052" s="3"/>
      <c r="FE1052" s="3"/>
      <c r="FF1052" s="3"/>
      <c r="FG1052" s="3"/>
      <c r="FH1052" s="3"/>
      <c r="FI1052" s="3"/>
      <c r="FJ1052" s="3"/>
      <c r="FK1052" s="3"/>
      <c r="FL1052" s="3"/>
      <c r="FM1052" s="3"/>
      <c r="FN1052" s="3"/>
      <c r="FO1052" s="3"/>
      <c r="FP1052" s="3"/>
      <c r="FQ1052" s="3"/>
      <c r="FR1052" s="3"/>
      <c r="FS1052" s="3"/>
      <c r="FT1052" s="3"/>
      <c r="FU1052" s="3"/>
      <c r="FV1052" s="3"/>
      <c r="FW1052" s="3"/>
      <c r="FX1052" s="3"/>
      <c r="FY1052" s="3"/>
      <c r="FZ1052" s="3"/>
      <c r="GA1052" s="3"/>
      <c r="GB1052" s="3"/>
      <c r="GC1052" s="3"/>
      <c r="GD1052" s="3"/>
      <c r="GE1052" s="3"/>
      <c r="GF1052" s="3"/>
      <c r="GG1052" s="3"/>
      <c r="GH1052" s="3"/>
      <c r="GI1052" s="3"/>
      <c r="GJ1052" s="3"/>
      <c r="GK1052" s="3"/>
      <c r="GL1052" s="3"/>
      <c r="GM1052" s="3"/>
      <c r="GN1052" s="3"/>
      <c r="GO1052" s="3"/>
      <c r="GP1052" s="3"/>
      <c r="GQ1052" s="3"/>
      <c r="GR1052" s="3"/>
      <c r="GS1052" s="3"/>
      <c r="GT1052" s="3"/>
      <c r="GU1052" s="3"/>
      <c r="GV1052" s="3"/>
      <c r="GW1052" s="3"/>
      <c r="GX1052" s="3"/>
      <c r="GY1052" s="3"/>
      <c r="GZ1052" s="3"/>
      <c r="HA1052" s="3"/>
      <c r="HB1052" s="3"/>
      <c r="HC1052" s="3"/>
      <c r="HD1052" s="3"/>
      <c r="HE1052" s="3"/>
      <c r="HF1052" s="3"/>
      <c r="HG1052" s="3"/>
      <c r="HH1052" s="3"/>
      <c r="HI1052" s="3"/>
      <c r="HJ1052" s="3"/>
      <c r="HK1052" s="3"/>
      <c r="HL1052" s="3"/>
      <c r="HM1052" s="3"/>
      <c r="HN1052" s="3"/>
      <c r="HO1052" s="3"/>
      <c r="HP1052" s="3"/>
      <c r="HQ1052" s="3"/>
      <c r="HR1052" s="3"/>
      <c r="HS1052" s="3"/>
      <c r="HT1052" s="3"/>
      <c r="HU1052" s="3"/>
      <c r="HV1052" s="3"/>
      <c r="HW1052" s="3"/>
      <c r="HX1052" s="3"/>
      <c r="HY1052" s="3"/>
      <c r="HZ1052" s="3"/>
      <c r="IA1052" s="3"/>
      <c r="IB1052" s="3"/>
      <c r="IC1052" s="3"/>
      <c r="ID1052" s="3"/>
      <c r="IE1052" s="3"/>
      <c r="IF1052" s="3"/>
      <c r="IG1052" s="3"/>
      <c r="IH1052" s="3"/>
      <c r="II1052" s="3"/>
      <c r="IJ1052" s="3"/>
      <c r="IK1052" s="3"/>
      <c r="IL1052" s="3"/>
      <c r="IM1052" s="3"/>
      <c r="IN1052" s="3"/>
      <c r="IO1052" s="3"/>
      <c r="IP1052" s="3"/>
      <c r="IQ1052" s="3"/>
      <c r="IR1052" s="3"/>
      <c r="IS1052" s="3"/>
      <c r="IT1052" s="3"/>
      <c r="IU1052" s="3"/>
      <c r="IV1052" s="3"/>
    </row>
    <row r="1053" spans="1:256" s="663" customFormat="1">
      <c r="A1053" s="61"/>
      <c r="B1053" s="961"/>
      <c r="C1053" s="309" t="s">
        <v>1041</v>
      </c>
      <c r="D1053" s="310"/>
      <c r="E1053" s="310"/>
      <c r="F1053" s="28"/>
      <c r="G1053" s="628"/>
      <c r="I1053" s="152"/>
      <c r="J1053" s="3"/>
      <c r="K1053" s="3"/>
      <c r="L1053" s="3"/>
      <c r="M1053" s="3"/>
      <c r="N1053" s="3"/>
      <c r="O1053" s="3"/>
      <c r="P1053" s="3"/>
      <c r="Q1053" s="3"/>
      <c r="R1053" s="3"/>
      <c r="S1053" s="3"/>
      <c r="T1053" s="3"/>
      <c r="U1053" s="3"/>
      <c r="V1053" s="3"/>
      <c r="W1053" s="3"/>
      <c r="X1053" s="3"/>
      <c r="Y1053" s="3"/>
      <c r="Z1053" s="3"/>
      <c r="AA1053" s="3"/>
      <c r="AB1053" s="3"/>
      <c r="AC1053" s="3"/>
      <c r="AD1053" s="3"/>
      <c r="AE1053" s="3"/>
      <c r="AF1053" s="3"/>
      <c r="AG1053" s="3"/>
      <c r="AH1053" s="3"/>
      <c r="AI1053" s="3"/>
      <c r="AJ1053" s="3"/>
      <c r="AK1053" s="3"/>
      <c r="AL1053" s="3"/>
      <c r="AM1053" s="3"/>
      <c r="AN1053" s="3"/>
      <c r="AO1053" s="3"/>
      <c r="AP1053" s="3"/>
      <c r="AQ1053" s="3"/>
      <c r="AR1053" s="3"/>
      <c r="AS1053" s="3"/>
      <c r="AT1053" s="3"/>
      <c r="AU1053" s="3"/>
      <c r="AV1053" s="3"/>
      <c r="AW1053" s="3"/>
      <c r="AX1053" s="3"/>
      <c r="AY1053" s="3"/>
      <c r="AZ1053" s="3"/>
      <c r="BA1053" s="3"/>
      <c r="BB1053" s="3"/>
      <c r="BC1053" s="3"/>
      <c r="BD1053" s="3"/>
      <c r="BE1053" s="3"/>
      <c r="BF1053" s="3"/>
      <c r="BG1053" s="3"/>
      <c r="BH1053" s="3"/>
      <c r="BI1053" s="3"/>
      <c r="BJ1053" s="3"/>
      <c r="BK1053" s="3"/>
      <c r="BL1053" s="3"/>
      <c r="BM1053" s="3"/>
      <c r="BN1053" s="3"/>
      <c r="BO1053" s="3"/>
      <c r="BP1053" s="3"/>
      <c r="BQ1053" s="3"/>
      <c r="BR1053" s="3"/>
      <c r="BS1053" s="3"/>
      <c r="BT1053" s="3"/>
      <c r="BU1053" s="3"/>
      <c r="BV1053" s="3"/>
      <c r="BW1053" s="3"/>
      <c r="BX1053" s="3"/>
      <c r="BY1053" s="3"/>
      <c r="BZ1053" s="3"/>
      <c r="CA1053" s="3"/>
      <c r="CB1053" s="3"/>
      <c r="CC1053" s="3"/>
      <c r="CD1053" s="3"/>
      <c r="CE1053" s="3"/>
      <c r="CF1053" s="3"/>
      <c r="CG1053" s="3"/>
      <c r="CH1053" s="3"/>
      <c r="CI1053" s="3"/>
      <c r="CJ1053" s="3"/>
      <c r="CK1053" s="3"/>
      <c r="CL1053" s="3"/>
      <c r="CM1053" s="3"/>
      <c r="CN1053" s="3"/>
      <c r="CO1053" s="3"/>
      <c r="CP1053" s="3"/>
      <c r="CQ1053" s="3"/>
      <c r="CR1053" s="3"/>
      <c r="CS1053" s="3"/>
      <c r="CT1053" s="3"/>
      <c r="CU1053" s="3"/>
      <c r="CV1053" s="3"/>
      <c r="CW1053" s="3"/>
      <c r="CX1053" s="3"/>
      <c r="CY1053" s="3"/>
      <c r="CZ1053" s="3"/>
      <c r="DA1053" s="3"/>
      <c r="DB1053" s="3"/>
      <c r="DC1053" s="3"/>
      <c r="DD1053" s="3"/>
      <c r="DE1053" s="3"/>
      <c r="DF1053" s="3"/>
      <c r="DG1053" s="3"/>
      <c r="DH1053" s="3"/>
      <c r="DI1053" s="3"/>
      <c r="DJ1053" s="3"/>
      <c r="DK1053" s="3"/>
      <c r="DL1053" s="3"/>
      <c r="DM1053" s="3"/>
      <c r="DN1053" s="3"/>
      <c r="DO1053" s="3"/>
      <c r="DP1053" s="3"/>
      <c r="DQ1053" s="3"/>
      <c r="DR1053" s="3"/>
      <c r="DS1053" s="3"/>
      <c r="DT1053" s="3"/>
      <c r="DU1053" s="3"/>
      <c r="DV1053" s="3"/>
      <c r="DW1053" s="3"/>
      <c r="DX1053" s="3"/>
      <c r="DY1053" s="3"/>
      <c r="DZ1053" s="3"/>
      <c r="EA1053" s="3"/>
      <c r="EB1053" s="3"/>
      <c r="EC1053" s="3"/>
      <c r="ED1053" s="3"/>
      <c r="EE1053" s="3"/>
      <c r="EF1053" s="3"/>
      <c r="EG1053" s="3"/>
      <c r="EH1053" s="3"/>
      <c r="EI1053" s="3"/>
      <c r="EJ1053" s="3"/>
      <c r="EK1053" s="3"/>
      <c r="EL1053" s="3"/>
      <c r="EM1053" s="3"/>
      <c r="EN1053" s="3"/>
      <c r="EO1053" s="3"/>
      <c r="EP1053" s="3"/>
      <c r="EQ1053" s="3"/>
      <c r="ER1053" s="3"/>
      <c r="ES1053" s="3"/>
      <c r="ET1053" s="3"/>
      <c r="EU1053" s="3"/>
      <c r="EV1053" s="3"/>
      <c r="EW1053" s="3"/>
      <c r="EX1053" s="3"/>
      <c r="EY1053" s="3"/>
      <c r="EZ1053" s="3"/>
      <c r="FA1053" s="3"/>
      <c r="FB1053" s="3"/>
      <c r="FC1053" s="3"/>
      <c r="FD1053" s="3"/>
      <c r="FE1053" s="3"/>
      <c r="FF1053" s="3"/>
      <c r="FG1053" s="3"/>
      <c r="FH1053" s="3"/>
      <c r="FI1053" s="3"/>
      <c r="FJ1053" s="3"/>
      <c r="FK1053" s="3"/>
      <c r="FL1053" s="3"/>
      <c r="FM1053" s="3"/>
      <c r="FN1053" s="3"/>
      <c r="FO1053" s="3"/>
      <c r="FP1053" s="3"/>
      <c r="FQ1053" s="3"/>
      <c r="FR1053" s="3"/>
      <c r="FS1053" s="3"/>
      <c r="FT1053" s="3"/>
      <c r="FU1053" s="3"/>
      <c r="FV1053" s="3"/>
      <c r="FW1053" s="3"/>
      <c r="FX1053" s="3"/>
      <c r="FY1053" s="3"/>
      <c r="FZ1053" s="3"/>
      <c r="GA1053" s="3"/>
      <c r="GB1053" s="3"/>
      <c r="GC1053" s="3"/>
      <c r="GD1053" s="3"/>
      <c r="GE1053" s="3"/>
      <c r="GF1053" s="3"/>
      <c r="GG1053" s="3"/>
      <c r="GH1053" s="3"/>
      <c r="GI1053" s="3"/>
      <c r="GJ1053" s="3"/>
      <c r="GK1053" s="3"/>
      <c r="GL1053" s="3"/>
      <c r="GM1053" s="3"/>
      <c r="GN1053" s="3"/>
      <c r="GO1053" s="3"/>
      <c r="GP1053" s="3"/>
      <c r="GQ1053" s="3"/>
      <c r="GR1053" s="3"/>
      <c r="GS1053" s="3"/>
      <c r="GT1053" s="3"/>
      <c r="GU1053" s="3"/>
      <c r="GV1053" s="3"/>
      <c r="GW1053" s="3"/>
      <c r="GX1053" s="3"/>
      <c r="GY1053" s="3"/>
      <c r="GZ1053" s="3"/>
      <c r="HA1053" s="3"/>
      <c r="HB1053" s="3"/>
      <c r="HC1053" s="3"/>
      <c r="HD1053" s="3"/>
      <c r="HE1053" s="3"/>
      <c r="HF1053" s="3"/>
      <c r="HG1053" s="3"/>
      <c r="HH1053" s="3"/>
      <c r="HI1053" s="3"/>
      <c r="HJ1053" s="3"/>
      <c r="HK1053" s="3"/>
      <c r="HL1053" s="3"/>
      <c r="HM1053" s="3"/>
      <c r="HN1053" s="3"/>
      <c r="HO1053" s="3"/>
      <c r="HP1053" s="3"/>
      <c r="HQ1053" s="3"/>
      <c r="HR1053" s="3"/>
      <c r="HS1053" s="3"/>
      <c r="HT1053" s="3"/>
      <c r="HU1053" s="3"/>
      <c r="HV1053" s="3"/>
      <c r="HW1053" s="3"/>
      <c r="HX1053" s="3"/>
      <c r="HY1053" s="3"/>
      <c r="HZ1053" s="3"/>
      <c r="IA1053" s="3"/>
      <c r="IB1053" s="3"/>
      <c r="IC1053" s="3"/>
      <c r="ID1053" s="3"/>
      <c r="IE1053" s="3"/>
      <c r="IF1053" s="3"/>
      <c r="IG1053" s="3"/>
      <c r="IH1053" s="3"/>
      <c r="II1053" s="3"/>
      <c r="IJ1053" s="3"/>
      <c r="IK1053" s="3"/>
      <c r="IL1053" s="3"/>
      <c r="IM1053" s="3"/>
      <c r="IN1053" s="3"/>
      <c r="IO1053" s="3"/>
      <c r="IP1053" s="3"/>
      <c r="IQ1053" s="3"/>
      <c r="IR1053" s="3"/>
      <c r="IS1053" s="3"/>
      <c r="IT1053" s="3"/>
      <c r="IU1053" s="3"/>
      <c r="IV1053" s="3"/>
    </row>
    <row r="1054" spans="1:256" s="663" customFormat="1" ht="13.2">
      <c r="A1054" s="61"/>
      <c r="B1054" s="961"/>
      <c r="C1054" s="317" t="s">
        <v>1824</v>
      </c>
      <c r="D1054" s="310" t="s">
        <v>987</v>
      </c>
      <c r="E1054" s="310">
        <v>10.1</v>
      </c>
      <c r="F1054" s="28">
        <v>481</v>
      </c>
      <c r="G1054" s="984">
        <f>F1054*E1054</f>
        <v>4858.0999999999995</v>
      </c>
      <c r="I1054" s="152"/>
      <c r="J1054" s="3"/>
      <c r="K1054" s="3"/>
      <c r="L1054" s="3"/>
      <c r="M1054" s="3"/>
      <c r="N1054" s="3"/>
      <c r="O1054" s="3"/>
      <c r="P1054" s="3"/>
      <c r="Q1054" s="3"/>
      <c r="R1054" s="3"/>
      <c r="S1054" s="3"/>
      <c r="T1054" s="3"/>
      <c r="U1054" s="3"/>
      <c r="V1054" s="3"/>
      <c r="W1054" s="3"/>
      <c r="X1054" s="3"/>
      <c r="Y1054" s="3"/>
      <c r="Z1054" s="3"/>
      <c r="AA1054" s="3"/>
      <c r="AB1054" s="3"/>
      <c r="AC1054" s="3"/>
      <c r="AD1054" s="3"/>
      <c r="AE1054" s="3"/>
      <c r="AF1054" s="3"/>
      <c r="AG1054" s="3"/>
      <c r="AH1054" s="3"/>
      <c r="AI1054" s="3"/>
      <c r="AJ1054" s="3"/>
      <c r="AK1054" s="3"/>
      <c r="AL1054" s="3"/>
      <c r="AM1054" s="3"/>
      <c r="AN1054" s="3"/>
      <c r="AO1054" s="3"/>
      <c r="AP1054" s="3"/>
      <c r="AQ1054" s="3"/>
      <c r="AR1054" s="3"/>
      <c r="AS1054" s="3"/>
      <c r="AT1054" s="3"/>
      <c r="AU1054" s="3"/>
      <c r="AV1054" s="3"/>
      <c r="AW1054" s="3"/>
      <c r="AX1054" s="3"/>
      <c r="AY1054" s="3"/>
      <c r="AZ1054" s="3"/>
      <c r="BA1054" s="3"/>
      <c r="BB1054" s="3"/>
      <c r="BC1054" s="3"/>
      <c r="BD1054" s="3"/>
      <c r="BE1054" s="3"/>
      <c r="BF1054" s="3"/>
      <c r="BG1054" s="3"/>
      <c r="BH1054" s="3"/>
      <c r="BI1054" s="3"/>
      <c r="BJ1054" s="3"/>
      <c r="BK1054" s="3"/>
      <c r="BL1054" s="3"/>
      <c r="BM1054" s="3"/>
      <c r="BN1054" s="3"/>
      <c r="BO1054" s="3"/>
      <c r="BP1054" s="3"/>
      <c r="BQ1054" s="3"/>
      <c r="BR1054" s="3"/>
      <c r="BS1054" s="3"/>
      <c r="BT1054" s="3"/>
      <c r="BU1054" s="3"/>
      <c r="BV1054" s="3"/>
      <c r="BW1054" s="3"/>
      <c r="BX1054" s="3"/>
      <c r="BY1054" s="3"/>
      <c r="BZ1054" s="3"/>
      <c r="CA1054" s="3"/>
      <c r="CB1054" s="3"/>
      <c r="CC1054" s="3"/>
      <c r="CD1054" s="3"/>
      <c r="CE1054" s="3"/>
      <c r="CF1054" s="3"/>
      <c r="CG1054" s="3"/>
      <c r="CH1054" s="3"/>
      <c r="CI1054" s="3"/>
      <c r="CJ1054" s="3"/>
      <c r="CK1054" s="3"/>
      <c r="CL1054" s="3"/>
      <c r="CM1054" s="3"/>
      <c r="CN1054" s="3"/>
      <c r="CO1054" s="3"/>
      <c r="CP1054" s="3"/>
      <c r="CQ1054" s="3"/>
      <c r="CR1054" s="3"/>
      <c r="CS1054" s="3"/>
      <c r="CT1054" s="3"/>
      <c r="CU1054" s="3"/>
      <c r="CV1054" s="3"/>
      <c r="CW1054" s="3"/>
      <c r="CX1054" s="3"/>
      <c r="CY1054" s="3"/>
      <c r="CZ1054" s="3"/>
      <c r="DA1054" s="3"/>
      <c r="DB1054" s="3"/>
      <c r="DC1054" s="3"/>
      <c r="DD1054" s="3"/>
      <c r="DE1054" s="3"/>
      <c r="DF1054" s="3"/>
      <c r="DG1054" s="3"/>
      <c r="DH1054" s="3"/>
      <c r="DI1054" s="3"/>
      <c r="DJ1054" s="3"/>
      <c r="DK1054" s="3"/>
      <c r="DL1054" s="3"/>
      <c r="DM1054" s="3"/>
      <c r="DN1054" s="3"/>
      <c r="DO1054" s="3"/>
      <c r="DP1054" s="3"/>
      <c r="DQ1054" s="3"/>
      <c r="DR1054" s="3"/>
      <c r="DS1054" s="3"/>
      <c r="DT1054" s="3"/>
      <c r="DU1054" s="3"/>
      <c r="DV1054" s="3"/>
      <c r="DW1054" s="3"/>
      <c r="DX1054" s="3"/>
      <c r="DY1054" s="3"/>
      <c r="DZ1054" s="3"/>
      <c r="EA1054" s="3"/>
      <c r="EB1054" s="3"/>
      <c r="EC1054" s="3"/>
      <c r="ED1054" s="3"/>
      <c r="EE1054" s="3"/>
      <c r="EF1054" s="3"/>
      <c r="EG1054" s="3"/>
      <c r="EH1054" s="3"/>
      <c r="EI1054" s="3"/>
      <c r="EJ1054" s="3"/>
      <c r="EK1054" s="3"/>
      <c r="EL1054" s="3"/>
      <c r="EM1054" s="3"/>
      <c r="EN1054" s="3"/>
      <c r="EO1054" s="3"/>
      <c r="EP1054" s="3"/>
      <c r="EQ1054" s="3"/>
      <c r="ER1054" s="3"/>
      <c r="ES1054" s="3"/>
      <c r="ET1054" s="3"/>
      <c r="EU1054" s="3"/>
      <c r="EV1054" s="3"/>
      <c r="EW1054" s="3"/>
      <c r="EX1054" s="3"/>
      <c r="EY1054" s="3"/>
      <c r="EZ1054" s="3"/>
      <c r="FA1054" s="3"/>
      <c r="FB1054" s="3"/>
      <c r="FC1054" s="3"/>
      <c r="FD1054" s="3"/>
      <c r="FE1054" s="3"/>
      <c r="FF1054" s="3"/>
      <c r="FG1054" s="3"/>
      <c r="FH1054" s="3"/>
      <c r="FI1054" s="3"/>
      <c r="FJ1054" s="3"/>
      <c r="FK1054" s="3"/>
      <c r="FL1054" s="3"/>
      <c r="FM1054" s="3"/>
      <c r="FN1054" s="3"/>
      <c r="FO1054" s="3"/>
      <c r="FP1054" s="3"/>
      <c r="FQ1054" s="3"/>
      <c r="FR1054" s="3"/>
      <c r="FS1054" s="3"/>
      <c r="FT1054" s="3"/>
      <c r="FU1054" s="3"/>
      <c r="FV1054" s="3"/>
      <c r="FW1054" s="3"/>
      <c r="FX1054" s="3"/>
      <c r="FY1054" s="3"/>
      <c r="FZ1054" s="3"/>
      <c r="GA1054" s="3"/>
      <c r="GB1054" s="3"/>
      <c r="GC1054" s="3"/>
      <c r="GD1054" s="3"/>
      <c r="GE1054" s="3"/>
      <c r="GF1054" s="3"/>
      <c r="GG1054" s="3"/>
      <c r="GH1054" s="3"/>
      <c r="GI1054" s="3"/>
      <c r="GJ1054" s="3"/>
      <c r="GK1054" s="3"/>
      <c r="GL1054" s="3"/>
      <c r="GM1054" s="3"/>
      <c r="GN1054" s="3"/>
      <c r="GO1054" s="3"/>
      <c r="GP1054" s="3"/>
      <c r="GQ1054" s="3"/>
      <c r="GR1054" s="3"/>
      <c r="GS1054" s="3"/>
      <c r="GT1054" s="3"/>
      <c r="GU1054" s="3"/>
      <c r="GV1054" s="3"/>
      <c r="GW1054" s="3"/>
      <c r="GX1054" s="3"/>
      <c r="GY1054" s="3"/>
      <c r="GZ1054" s="3"/>
      <c r="HA1054" s="3"/>
      <c r="HB1054" s="3"/>
      <c r="HC1054" s="3"/>
      <c r="HD1054" s="3"/>
      <c r="HE1054" s="3"/>
      <c r="HF1054" s="3"/>
      <c r="HG1054" s="3"/>
      <c r="HH1054" s="3"/>
      <c r="HI1054" s="3"/>
      <c r="HJ1054" s="3"/>
      <c r="HK1054" s="3"/>
      <c r="HL1054" s="3"/>
      <c r="HM1054" s="3"/>
      <c r="HN1054" s="3"/>
      <c r="HO1054" s="3"/>
      <c r="HP1054" s="3"/>
      <c r="HQ1054" s="3"/>
      <c r="HR1054" s="3"/>
      <c r="HS1054" s="3"/>
      <c r="HT1054" s="3"/>
      <c r="HU1054" s="3"/>
      <c r="HV1054" s="3"/>
      <c r="HW1054" s="3"/>
      <c r="HX1054" s="3"/>
      <c r="HY1054" s="3"/>
      <c r="HZ1054" s="3"/>
      <c r="IA1054" s="3"/>
      <c r="IB1054" s="3"/>
      <c r="IC1054" s="3"/>
      <c r="ID1054" s="3"/>
      <c r="IE1054" s="3"/>
      <c r="IF1054" s="3"/>
      <c r="IG1054" s="3"/>
      <c r="IH1054" s="3"/>
      <c r="II1054" s="3"/>
      <c r="IJ1054" s="3"/>
      <c r="IK1054" s="3"/>
      <c r="IL1054" s="3"/>
      <c r="IM1054" s="3"/>
      <c r="IN1054" s="3"/>
      <c r="IO1054" s="3"/>
      <c r="IP1054" s="3"/>
      <c r="IQ1054" s="3"/>
      <c r="IR1054" s="3"/>
      <c r="IS1054" s="3"/>
      <c r="IT1054" s="3"/>
      <c r="IU1054" s="3"/>
      <c r="IV1054" s="3"/>
    </row>
    <row r="1055" spans="1:256" s="663" customFormat="1">
      <c r="A1055" s="61"/>
      <c r="B1055" s="961"/>
      <c r="C1055" s="317" t="s">
        <v>1754</v>
      </c>
      <c r="D1055" s="310" t="s">
        <v>1042</v>
      </c>
      <c r="E1055" s="310">
        <v>21.6</v>
      </c>
      <c r="F1055" s="28">
        <f>'Lead- Input sheet '!R8</f>
        <v>6656</v>
      </c>
      <c r="G1055" s="628">
        <f>ROUND(F1055*E1055/1000,2)</f>
        <v>143.77000000000001</v>
      </c>
      <c r="I1055" s="152"/>
      <c r="J1055" s="3"/>
      <c r="K1055" s="3"/>
      <c r="L1055" s="3"/>
      <c r="M1055" s="3"/>
      <c r="N1055" s="3"/>
      <c r="O1055" s="3"/>
      <c r="P1055" s="3"/>
      <c r="Q1055" s="3"/>
      <c r="R1055" s="3"/>
      <c r="S1055" s="3"/>
      <c r="T1055" s="3"/>
      <c r="U1055" s="3"/>
      <c r="V1055" s="3"/>
      <c r="W1055" s="3"/>
      <c r="X1055" s="3"/>
      <c r="Y1055" s="3"/>
      <c r="Z1055" s="3"/>
      <c r="AA1055" s="3"/>
      <c r="AB1055" s="3"/>
      <c r="AC1055" s="3"/>
      <c r="AD1055" s="3"/>
      <c r="AE1055" s="3"/>
      <c r="AF1055" s="3"/>
      <c r="AG1055" s="3"/>
      <c r="AH1055" s="3"/>
      <c r="AI1055" s="3"/>
      <c r="AJ1055" s="3"/>
      <c r="AK1055" s="3"/>
      <c r="AL1055" s="3"/>
      <c r="AM1055" s="3"/>
      <c r="AN1055" s="3"/>
      <c r="AO1055" s="3"/>
      <c r="AP1055" s="3"/>
      <c r="AQ1055" s="3"/>
      <c r="AR1055" s="3"/>
      <c r="AS1055" s="3"/>
      <c r="AT1055" s="3"/>
      <c r="AU1055" s="3"/>
      <c r="AV1055" s="3"/>
      <c r="AW1055" s="3"/>
      <c r="AX1055" s="3"/>
      <c r="AY1055" s="3"/>
      <c r="AZ1055" s="3"/>
      <c r="BA1055" s="3"/>
      <c r="BB1055" s="3"/>
      <c r="BC1055" s="3"/>
      <c r="BD1055" s="3"/>
      <c r="BE1055" s="3"/>
      <c r="BF1055" s="3"/>
      <c r="BG1055" s="3"/>
      <c r="BH1055" s="3"/>
      <c r="BI1055" s="3"/>
      <c r="BJ1055" s="3"/>
      <c r="BK1055" s="3"/>
      <c r="BL1055" s="3"/>
      <c r="BM1055" s="3"/>
      <c r="BN1055" s="3"/>
      <c r="BO1055" s="3"/>
      <c r="BP1055" s="3"/>
      <c r="BQ1055" s="3"/>
      <c r="BR1055" s="3"/>
      <c r="BS1055" s="3"/>
      <c r="BT1055" s="3"/>
      <c r="BU1055" s="3"/>
      <c r="BV1055" s="3"/>
      <c r="BW1055" s="3"/>
      <c r="BX1055" s="3"/>
      <c r="BY1055" s="3"/>
      <c r="BZ1055" s="3"/>
      <c r="CA1055" s="3"/>
      <c r="CB1055" s="3"/>
      <c r="CC1055" s="3"/>
      <c r="CD1055" s="3"/>
      <c r="CE1055" s="3"/>
      <c r="CF1055" s="3"/>
      <c r="CG1055" s="3"/>
      <c r="CH1055" s="3"/>
      <c r="CI1055" s="3"/>
      <c r="CJ1055" s="3"/>
      <c r="CK1055" s="3"/>
      <c r="CL1055" s="3"/>
      <c r="CM1055" s="3"/>
      <c r="CN1055" s="3"/>
      <c r="CO1055" s="3"/>
      <c r="CP1055" s="3"/>
      <c r="CQ1055" s="3"/>
      <c r="CR1055" s="3"/>
      <c r="CS1055" s="3"/>
      <c r="CT1055" s="3"/>
      <c r="CU1055" s="3"/>
      <c r="CV1055" s="3"/>
      <c r="CW1055" s="3"/>
      <c r="CX1055" s="3"/>
      <c r="CY1055" s="3"/>
      <c r="CZ1055" s="3"/>
      <c r="DA1055" s="3"/>
      <c r="DB1055" s="3"/>
      <c r="DC1055" s="3"/>
      <c r="DD1055" s="3"/>
      <c r="DE1055" s="3"/>
      <c r="DF1055" s="3"/>
      <c r="DG1055" s="3"/>
      <c r="DH1055" s="3"/>
      <c r="DI1055" s="3"/>
      <c r="DJ1055" s="3"/>
      <c r="DK1055" s="3"/>
      <c r="DL1055" s="3"/>
      <c r="DM1055" s="3"/>
      <c r="DN1055" s="3"/>
      <c r="DO1055" s="3"/>
      <c r="DP1055" s="3"/>
      <c r="DQ1055" s="3"/>
      <c r="DR1055" s="3"/>
      <c r="DS1055" s="3"/>
      <c r="DT1055" s="3"/>
      <c r="DU1055" s="3"/>
      <c r="DV1055" s="3"/>
      <c r="DW1055" s="3"/>
      <c r="DX1055" s="3"/>
      <c r="DY1055" s="3"/>
      <c r="DZ1055" s="3"/>
      <c r="EA1055" s="3"/>
      <c r="EB1055" s="3"/>
      <c r="EC1055" s="3"/>
      <c r="ED1055" s="3"/>
      <c r="EE1055" s="3"/>
      <c r="EF1055" s="3"/>
      <c r="EG1055" s="3"/>
      <c r="EH1055" s="3"/>
      <c r="EI1055" s="3"/>
      <c r="EJ1055" s="3"/>
      <c r="EK1055" s="3"/>
      <c r="EL1055" s="3"/>
      <c r="EM1055" s="3"/>
      <c r="EN1055" s="3"/>
      <c r="EO1055" s="3"/>
      <c r="EP1055" s="3"/>
      <c r="EQ1055" s="3"/>
      <c r="ER1055" s="3"/>
      <c r="ES1055" s="3"/>
      <c r="ET1055" s="3"/>
      <c r="EU1055" s="3"/>
      <c r="EV1055" s="3"/>
      <c r="EW1055" s="3"/>
      <c r="EX1055" s="3"/>
      <c r="EY1055" s="3"/>
      <c r="EZ1055" s="3"/>
      <c r="FA1055" s="3"/>
      <c r="FB1055" s="3"/>
      <c r="FC1055" s="3"/>
      <c r="FD1055" s="3"/>
      <c r="FE1055" s="3"/>
      <c r="FF1055" s="3"/>
      <c r="FG1055" s="3"/>
      <c r="FH1055" s="3"/>
      <c r="FI1055" s="3"/>
      <c r="FJ1055" s="3"/>
      <c r="FK1055" s="3"/>
      <c r="FL1055" s="3"/>
      <c r="FM1055" s="3"/>
      <c r="FN1055" s="3"/>
      <c r="FO1055" s="3"/>
      <c r="FP1055" s="3"/>
      <c r="FQ1055" s="3"/>
      <c r="FR1055" s="3"/>
      <c r="FS1055" s="3"/>
      <c r="FT1055" s="3"/>
      <c r="FU1055" s="3"/>
      <c r="FV1055" s="3"/>
      <c r="FW1055" s="3"/>
      <c r="FX1055" s="3"/>
      <c r="FY1055" s="3"/>
      <c r="FZ1055" s="3"/>
      <c r="GA1055" s="3"/>
      <c r="GB1055" s="3"/>
      <c r="GC1055" s="3"/>
      <c r="GD1055" s="3"/>
      <c r="GE1055" s="3"/>
      <c r="GF1055" s="3"/>
      <c r="GG1055" s="3"/>
      <c r="GH1055" s="3"/>
      <c r="GI1055" s="3"/>
      <c r="GJ1055" s="3"/>
      <c r="GK1055" s="3"/>
      <c r="GL1055" s="3"/>
      <c r="GM1055" s="3"/>
      <c r="GN1055" s="3"/>
      <c r="GO1055" s="3"/>
      <c r="GP1055" s="3"/>
      <c r="GQ1055" s="3"/>
      <c r="GR1055" s="3"/>
      <c r="GS1055" s="3"/>
      <c r="GT1055" s="3"/>
      <c r="GU1055" s="3"/>
      <c r="GV1055" s="3"/>
      <c r="GW1055" s="3"/>
      <c r="GX1055" s="3"/>
      <c r="GY1055" s="3"/>
      <c r="GZ1055" s="3"/>
      <c r="HA1055" s="3"/>
      <c r="HB1055" s="3"/>
      <c r="HC1055" s="3"/>
      <c r="HD1055" s="3"/>
      <c r="HE1055" s="3"/>
      <c r="HF1055" s="3"/>
      <c r="HG1055" s="3"/>
      <c r="HH1055" s="3"/>
      <c r="HI1055" s="3"/>
      <c r="HJ1055" s="3"/>
      <c r="HK1055" s="3"/>
      <c r="HL1055" s="3"/>
      <c r="HM1055" s="3"/>
      <c r="HN1055" s="3"/>
      <c r="HO1055" s="3"/>
      <c r="HP1055" s="3"/>
      <c r="HQ1055" s="3"/>
      <c r="HR1055" s="3"/>
      <c r="HS1055" s="3"/>
      <c r="HT1055" s="3"/>
      <c r="HU1055" s="3"/>
      <c r="HV1055" s="3"/>
      <c r="HW1055" s="3"/>
      <c r="HX1055" s="3"/>
      <c r="HY1055" s="3"/>
      <c r="HZ1055" s="3"/>
      <c r="IA1055" s="3"/>
      <c r="IB1055" s="3"/>
      <c r="IC1055" s="3"/>
      <c r="ID1055" s="3"/>
      <c r="IE1055" s="3"/>
      <c r="IF1055" s="3"/>
      <c r="IG1055" s="3"/>
      <c r="IH1055" s="3"/>
      <c r="II1055" s="3"/>
      <c r="IJ1055" s="3"/>
      <c r="IK1055" s="3"/>
      <c r="IL1055" s="3"/>
      <c r="IM1055" s="3"/>
      <c r="IN1055" s="3"/>
      <c r="IO1055" s="3"/>
      <c r="IP1055" s="3"/>
      <c r="IQ1055" s="3"/>
      <c r="IR1055" s="3"/>
      <c r="IS1055" s="3"/>
      <c r="IT1055" s="3"/>
      <c r="IU1055" s="3"/>
      <c r="IV1055" s="3"/>
    </row>
    <row r="1056" spans="1:256" s="663" customFormat="1">
      <c r="A1056" s="61"/>
      <c r="B1056" s="961"/>
      <c r="C1056" s="317" t="s">
        <v>701</v>
      </c>
      <c r="D1056" s="310" t="s">
        <v>1042</v>
      </c>
      <c r="E1056" s="310">
        <v>33</v>
      </c>
      <c r="F1056" s="28">
        <f>'Lead- Input sheet '!R8</f>
        <v>6656</v>
      </c>
      <c r="G1056" s="628">
        <f>ROUND(F1056*E1056/1000,2)</f>
        <v>219.65</v>
      </c>
      <c r="I1056" s="152"/>
      <c r="J1056" s="3"/>
      <c r="K1056" s="3"/>
      <c r="L1056" s="3"/>
      <c r="M1056" s="3"/>
      <c r="N1056" s="3"/>
      <c r="O1056" s="3"/>
      <c r="P1056" s="3"/>
      <c r="Q1056" s="3"/>
      <c r="R1056" s="3"/>
      <c r="S1056" s="3"/>
      <c r="T1056" s="3"/>
      <c r="U1056" s="3"/>
      <c r="V1056" s="3"/>
      <c r="W1056" s="3"/>
      <c r="X1056" s="3"/>
      <c r="Y1056" s="3"/>
      <c r="Z1056" s="3"/>
      <c r="AA1056" s="3"/>
      <c r="AB1056" s="3"/>
      <c r="AC1056" s="3"/>
      <c r="AD1056" s="3"/>
      <c r="AE1056" s="3"/>
      <c r="AF1056" s="3"/>
      <c r="AG1056" s="3"/>
      <c r="AH1056" s="3"/>
      <c r="AI1056" s="3"/>
      <c r="AJ1056" s="3"/>
      <c r="AK1056" s="3"/>
      <c r="AL1056" s="3"/>
      <c r="AM1056" s="3"/>
      <c r="AN1056" s="3"/>
      <c r="AO1056" s="3"/>
      <c r="AP1056" s="3"/>
      <c r="AQ1056" s="3"/>
      <c r="AR1056" s="3"/>
      <c r="AS1056" s="3"/>
      <c r="AT1056" s="3"/>
      <c r="AU1056" s="3"/>
      <c r="AV1056" s="3"/>
      <c r="AW1056" s="3"/>
      <c r="AX1056" s="3"/>
      <c r="AY1056" s="3"/>
      <c r="AZ1056" s="3"/>
      <c r="BA1056" s="3"/>
      <c r="BB1056" s="3"/>
      <c r="BC1056" s="3"/>
      <c r="BD1056" s="3"/>
      <c r="BE1056" s="3"/>
      <c r="BF1056" s="3"/>
      <c r="BG1056" s="3"/>
      <c r="BH1056" s="3"/>
      <c r="BI1056" s="3"/>
      <c r="BJ1056" s="3"/>
      <c r="BK1056" s="3"/>
      <c r="BL1056" s="3"/>
      <c r="BM1056" s="3"/>
      <c r="BN1056" s="3"/>
      <c r="BO1056" s="3"/>
      <c r="BP1056" s="3"/>
      <c r="BQ1056" s="3"/>
      <c r="BR1056" s="3"/>
      <c r="BS1056" s="3"/>
      <c r="BT1056" s="3"/>
      <c r="BU1056" s="3"/>
      <c r="BV1056" s="3"/>
      <c r="BW1056" s="3"/>
      <c r="BX1056" s="3"/>
      <c r="BY1056" s="3"/>
      <c r="BZ1056" s="3"/>
      <c r="CA1056" s="3"/>
      <c r="CB1056" s="3"/>
      <c r="CC1056" s="3"/>
      <c r="CD1056" s="3"/>
      <c r="CE1056" s="3"/>
      <c r="CF1056" s="3"/>
      <c r="CG1056" s="3"/>
      <c r="CH1056" s="3"/>
      <c r="CI1056" s="3"/>
      <c r="CJ1056" s="3"/>
      <c r="CK1056" s="3"/>
      <c r="CL1056" s="3"/>
      <c r="CM1056" s="3"/>
      <c r="CN1056" s="3"/>
      <c r="CO1056" s="3"/>
      <c r="CP1056" s="3"/>
      <c r="CQ1056" s="3"/>
      <c r="CR1056" s="3"/>
      <c r="CS1056" s="3"/>
      <c r="CT1056" s="3"/>
      <c r="CU1056" s="3"/>
      <c r="CV1056" s="3"/>
      <c r="CW1056" s="3"/>
      <c r="CX1056" s="3"/>
      <c r="CY1056" s="3"/>
      <c r="CZ1056" s="3"/>
      <c r="DA1056" s="3"/>
      <c r="DB1056" s="3"/>
      <c r="DC1056" s="3"/>
      <c r="DD1056" s="3"/>
      <c r="DE1056" s="3"/>
      <c r="DF1056" s="3"/>
      <c r="DG1056" s="3"/>
      <c r="DH1056" s="3"/>
      <c r="DI1056" s="3"/>
      <c r="DJ1056" s="3"/>
      <c r="DK1056" s="3"/>
      <c r="DL1056" s="3"/>
      <c r="DM1056" s="3"/>
      <c r="DN1056" s="3"/>
      <c r="DO1056" s="3"/>
      <c r="DP1056" s="3"/>
      <c r="DQ1056" s="3"/>
      <c r="DR1056" s="3"/>
      <c r="DS1056" s="3"/>
      <c r="DT1056" s="3"/>
      <c r="DU1056" s="3"/>
      <c r="DV1056" s="3"/>
      <c r="DW1056" s="3"/>
      <c r="DX1056" s="3"/>
      <c r="DY1056" s="3"/>
      <c r="DZ1056" s="3"/>
      <c r="EA1056" s="3"/>
      <c r="EB1056" s="3"/>
      <c r="EC1056" s="3"/>
      <c r="ED1056" s="3"/>
      <c r="EE1056" s="3"/>
      <c r="EF1056" s="3"/>
      <c r="EG1056" s="3"/>
      <c r="EH1056" s="3"/>
      <c r="EI1056" s="3"/>
      <c r="EJ1056" s="3"/>
      <c r="EK1056" s="3"/>
      <c r="EL1056" s="3"/>
      <c r="EM1056" s="3"/>
      <c r="EN1056" s="3"/>
      <c r="EO1056" s="3"/>
      <c r="EP1056" s="3"/>
      <c r="EQ1056" s="3"/>
      <c r="ER1056" s="3"/>
      <c r="ES1056" s="3"/>
      <c r="ET1056" s="3"/>
      <c r="EU1056" s="3"/>
      <c r="EV1056" s="3"/>
      <c r="EW1056" s="3"/>
      <c r="EX1056" s="3"/>
      <c r="EY1056" s="3"/>
      <c r="EZ1056" s="3"/>
      <c r="FA1056" s="3"/>
      <c r="FB1056" s="3"/>
      <c r="FC1056" s="3"/>
      <c r="FD1056" s="3"/>
      <c r="FE1056" s="3"/>
      <c r="FF1056" s="3"/>
      <c r="FG1056" s="3"/>
      <c r="FH1056" s="3"/>
      <c r="FI1056" s="3"/>
      <c r="FJ1056" s="3"/>
      <c r="FK1056" s="3"/>
      <c r="FL1056" s="3"/>
      <c r="FM1056" s="3"/>
      <c r="FN1056" s="3"/>
      <c r="FO1056" s="3"/>
      <c r="FP1056" s="3"/>
      <c r="FQ1056" s="3"/>
      <c r="FR1056" s="3"/>
      <c r="FS1056" s="3"/>
      <c r="FT1056" s="3"/>
      <c r="FU1056" s="3"/>
      <c r="FV1056" s="3"/>
      <c r="FW1056" s="3"/>
      <c r="FX1056" s="3"/>
      <c r="FY1056" s="3"/>
      <c r="FZ1056" s="3"/>
      <c r="GA1056" s="3"/>
      <c r="GB1056" s="3"/>
      <c r="GC1056" s="3"/>
      <c r="GD1056" s="3"/>
      <c r="GE1056" s="3"/>
      <c r="GF1056" s="3"/>
      <c r="GG1056" s="3"/>
      <c r="GH1056" s="3"/>
      <c r="GI1056" s="3"/>
      <c r="GJ1056" s="3"/>
      <c r="GK1056" s="3"/>
      <c r="GL1056" s="3"/>
      <c r="GM1056" s="3"/>
      <c r="GN1056" s="3"/>
      <c r="GO1056" s="3"/>
      <c r="GP1056" s="3"/>
      <c r="GQ1056" s="3"/>
      <c r="GR1056" s="3"/>
      <c r="GS1056" s="3"/>
      <c r="GT1056" s="3"/>
      <c r="GU1056" s="3"/>
      <c r="GV1056" s="3"/>
      <c r="GW1056" s="3"/>
      <c r="GX1056" s="3"/>
      <c r="GY1056" s="3"/>
      <c r="GZ1056" s="3"/>
      <c r="HA1056" s="3"/>
      <c r="HB1056" s="3"/>
      <c r="HC1056" s="3"/>
      <c r="HD1056" s="3"/>
      <c r="HE1056" s="3"/>
      <c r="HF1056" s="3"/>
      <c r="HG1056" s="3"/>
      <c r="HH1056" s="3"/>
      <c r="HI1056" s="3"/>
      <c r="HJ1056" s="3"/>
      <c r="HK1056" s="3"/>
      <c r="HL1056" s="3"/>
      <c r="HM1056" s="3"/>
      <c r="HN1056" s="3"/>
      <c r="HO1056" s="3"/>
      <c r="HP1056" s="3"/>
      <c r="HQ1056" s="3"/>
      <c r="HR1056" s="3"/>
      <c r="HS1056" s="3"/>
      <c r="HT1056" s="3"/>
      <c r="HU1056" s="3"/>
      <c r="HV1056" s="3"/>
      <c r="HW1056" s="3"/>
      <c r="HX1056" s="3"/>
      <c r="HY1056" s="3"/>
      <c r="HZ1056" s="3"/>
      <c r="IA1056" s="3"/>
      <c r="IB1056" s="3"/>
      <c r="IC1056" s="3"/>
      <c r="ID1056" s="3"/>
      <c r="IE1056" s="3"/>
      <c r="IF1056" s="3"/>
      <c r="IG1056" s="3"/>
      <c r="IH1056" s="3"/>
      <c r="II1056" s="3"/>
      <c r="IJ1056" s="3"/>
      <c r="IK1056" s="3"/>
      <c r="IL1056" s="3"/>
      <c r="IM1056" s="3"/>
      <c r="IN1056" s="3"/>
      <c r="IO1056" s="3"/>
      <c r="IP1056" s="3"/>
      <c r="IQ1056" s="3"/>
      <c r="IR1056" s="3"/>
      <c r="IS1056" s="3"/>
      <c r="IT1056" s="3"/>
      <c r="IU1056" s="3"/>
      <c r="IV1056" s="3"/>
    </row>
    <row r="1057" spans="1:256" s="663" customFormat="1">
      <c r="A1057" s="61"/>
      <c r="B1057" s="961"/>
      <c r="C1057" s="317" t="s">
        <v>1755</v>
      </c>
      <c r="D1057" s="310" t="s">
        <v>1042</v>
      </c>
      <c r="E1057" s="990">
        <v>6</v>
      </c>
      <c r="F1057" s="28">
        <f>'Lead- Input sheet '!R8</f>
        <v>6656</v>
      </c>
      <c r="G1057" s="628">
        <f>ROUND(F1057*E1057/1000,2)</f>
        <v>39.94</v>
      </c>
      <c r="I1057" s="152"/>
      <c r="J1057" s="3"/>
      <c r="K1057" s="3"/>
      <c r="L1057" s="3"/>
      <c r="M1057" s="3"/>
      <c r="N1057" s="3"/>
      <c r="O1057" s="3"/>
      <c r="P1057" s="3"/>
      <c r="Q1057" s="3"/>
      <c r="R1057" s="3"/>
      <c r="S1057" s="3"/>
      <c r="T1057" s="3"/>
      <c r="U1057" s="3"/>
      <c r="V1057" s="3"/>
      <c r="W1057" s="3"/>
      <c r="X1057" s="3"/>
      <c r="Y1057" s="3"/>
      <c r="Z1057" s="3"/>
      <c r="AA1057" s="3"/>
      <c r="AB1057" s="3"/>
      <c r="AC1057" s="3"/>
      <c r="AD1057" s="3"/>
      <c r="AE1057" s="3"/>
      <c r="AF1057" s="3"/>
      <c r="AG1057" s="3"/>
      <c r="AH1057" s="3"/>
      <c r="AI1057" s="3"/>
      <c r="AJ1057" s="3"/>
      <c r="AK1057" s="3"/>
      <c r="AL1057" s="3"/>
      <c r="AM1057" s="3"/>
      <c r="AN1057" s="3"/>
      <c r="AO1057" s="3"/>
      <c r="AP1057" s="3"/>
      <c r="AQ1057" s="3"/>
      <c r="AR1057" s="3"/>
      <c r="AS1057" s="3"/>
      <c r="AT1057" s="3"/>
      <c r="AU1057" s="3"/>
      <c r="AV1057" s="3"/>
      <c r="AW1057" s="3"/>
      <c r="AX1057" s="3"/>
      <c r="AY1057" s="3"/>
      <c r="AZ1057" s="3"/>
      <c r="BA1057" s="3"/>
      <c r="BB1057" s="3"/>
      <c r="BC1057" s="3"/>
      <c r="BD1057" s="3"/>
      <c r="BE1057" s="3"/>
      <c r="BF1057" s="3"/>
      <c r="BG1057" s="3"/>
      <c r="BH1057" s="3"/>
      <c r="BI1057" s="3"/>
      <c r="BJ1057" s="3"/>
      <c r="BK1057" s="3"/>
      <c r="BL1057" s="3"/>
      <c r="BM1057" s="3"/>
      <c r="BN1057" s="3"/>
      <c r="BO1057" s="3"/>
      <c r="BP1057" s="3"/>
      <c r="BQ1057" s="3"/>
      <c r="BR1057" s="3"/>
      <c r="BS1057" s="3"/>
      <c r="BT1057" s="3"/>
      <c r="BU1057" s="3"/>
      <c r="BV1057" s="3"/>
      <c r="BW1057" s="3"/>
      <c r="BX1057" s="3"/>
      <c r="BY1057" s="3"/>
      <c r="BZ1057" s="3"/>
      <c r="CA1057" s="3"/>
      <c r="CB1057" s="3"/>
      <c r="CC1057" s="3"/>
      <c r="CD1057" s="3"/>
      <c r="CE1057" s="3"/>
      <c r="CF1057" s="3"/>
      <c r="CG1057" s="3"/>
      <c r="CH1057" s="3"/>
      <c r="CI1057" s="3"/>
      <c r="CJ1057" s="3"/>
      <c r="CK1057" s="3"/>
      <c r="CL1057" s="3"/>
      <c r="CM1057" s="3"/>
      <c r="CN1057" s="3"/>
      <c r="CO1057" s="3"/>
      <c r="CP1057" s="3"/>
      <c r="CQ1057" s="3"/>
      <c r="CR1057" s="3"/>
      <c r="CS1057" s="3"/>
      <c r="CT1057" s="3"/>
      <c r="CU1057" s="3"/>
      <c r="CV1057" s="3"/>
      <c r="CW1057" s="3"/>
      <c r="CX1057" s="3"/>
      <c r="CY1057" s="3"/>
      <c r="CZ1057" s="3"/>
      <c r="DA1057" s="3"/>
      <c r="DB1057" s="3"/>
      <c r="DC1057" s="3"/>
      <c r="DD1057" s="3"/>
      <c r="DE1057" s="3"/>
      <c r="DF1057" s="3"/>
      <c r="DG1057" s="3"/>
      <c r="DH1057" s="3"/>
      <c r="DI1057" s="3"/>
      <c r="DJ1057" s="3"/>
      <c r="DK1057" s="3"/>
      <c r="DL1057" s="3"/>
      <c r="DM1057" s="3"/>
      <c r="DN1057" s="3"/>
      <c r="DO1057" s="3"/>
      <c r="DP1057" s="3"/>
      <c r="DQ1057" s="3"/>
      <c r="DR1057" s="3"/>
      <c r="DS1057" s="3"/>
      <c r="DT1057" s="3"/>
      <c r="DU1057" s="3"/>
      <c r="DV1057" s="3"/>
      <c r="DW1057" s="3"/>
      <c r="DX1057" s="3"/>
      <c r="DY1057" s="3"/>
      <c r="DZ1057" s="3"/>
      <c r="EA1057" s="3"/>
      <c r="EB1057" s="3"/>
      <c r="EC1057" s="3"/>
      <c r="ED1057" s="3"/>
      <c r="EE1057" s="3"/>
      <c r="EF1057" s="3"/>
      <c r="EG1057" s="3"/>
      <c r="EH1057" s="3"/>
      <c r="EI1057" s="3"/>
      <c r="EJ1057" s="3"/>
      <c r="EK1057" s="3"/>
      <c r="EL1057" s="3"/>
      <c r="EM1057" s="3"/>
      <c r="EN1057" s="3"/>
      <c r="EO1057" s="3"/>
      <c r="EP1057" s="3"/>
      <c r="EQ1057" s="3"/>
      <c r="ER1057" s="3"/>
      <c r="ES1057" s="3"/>
      <c r="ET1057" s="3"/>
      <c r="EU1057" s="3"/>
      <c r="EV1057" s="3"/>
      <c r="EW1057" s="3"/>
      <c r="EX1057" s="3"/>
      <c r="EY1057" s="3"/>
      <c r="EZ1057" s="3"/>
      <c r="FA1057" s="3"/>
      <c r="FB1057" s="3"/>
      <c r="FC1057" s="3"/>
      <c r="FD1057" s="3"/>
      <c r="FE1057" s="3"/>
      <c r="FF1057" s="3"/>
      <c r="FG1057" s="3"/>
      <c r="FH1057" s="3"/>
      <c r="FI1057" s="3"/>
      <c r="FJ1057" s="3"/>
      <c r="FK1057" s="3"/>
      <c r="FL1057" s="3"/>
      <c r="FM1057" s="3"/>
      <c r="FN1057" s="3"/>
      <c r="FO1057" s="3"/>
      <c r="FP1057" s="3"/>
      <c r="FQ1057" s="3"/>
      <c r="FR1057" s="3"/>
      <c r="FS1057" s="3"/>
      <c r="FT1057" s="3"/>
      <c r="FU1057" s="3"/>
      <c r="FV1057" s="3"/>
      <c r="FW1057" s="3"/>
      <c r="FX1057" s="3"/>
      <c r="FY1057" s="3"/>
      <c r="FZ1057" s="3"/>
      <c r="GA1057" s="3"/>
      <c r="GB1057" s="3"/>
      <c r="GC1057" s="3"/>
      <c r="GD1057" s="3"/>
      <c r="GE1057" s="3"/>
      <c r="GF1057" s="3"/>
      <c r="GG1057" s="3"/>
      <c r="GH1057" s="3"/>
      <c r="GI1057" s="3"/>
      <c r="GJ1057" s="3"/>
      <c r="GK1057" s="3"/>
      <c r="GL1057" s="3"/>
      <c r="GM1057" s="3"/>
      <c r="GN1057" s="3"/>
      <c r="GO1057" s="3"/>
      <c r="GP1057" s="3"/>
      <c r="GQ1057" s="3"/>
      <c r="GR1057" s="3"/>
      <c r="GS1057" s="3"/>
      <c r="GT1057" s="3"/>
      <c r="GU1057" s="3"/>
      <c r="GV1057" s="3"/>
      <c r="GW1057" s="3"/>
      <c r="GX1057" s="3"/>
      <c r="GY1057" s="3"/>
      <c r="GZ1057" s="3"/>
      <c r="HA1057" s="3"/>
      <c r="HB1057" s="3"/>
      <c r="HC1057" s="3"/>
      <c r="HD1057" s="3"/>
      <c r="HE1057" s="3"/>
      <c r="HF1057" s="3"/>
      <c r="HG1057" s="3"/>
      <c r="HH1057" s="3"/>
      <c r="HI1057" s="3"/>
      <c r="HJ1057" s="3"/>
      <c r="HK1057" s="3"/>
      <c r="HL1057" s="3"/>
      <c r="HM1057" s="3"/>
      <c r="HN1057" s="3"/>
      <c r="HO1057" s="3"/>
      <c r="HP1057" s="3"/>
      <c r="HQ1057" s="3"/>
      <c r="HR1057" s="3"/>
      <c r="HS1057" s="3"/>
      <c r="HT1057" s="3"/>
      <c r="HU1057" s="3"/>
      <c r="HV1057" s="3"/>
      <c r="HW1057" s="3"/>
      <c r="HX1057" s="3"/>
      <c r="HY1057" s="3"/>
      <c r="HZ1057" s="3"/>
      <c r="IA1057" s="3"/>
      <c r="IB1057" s="3"/>
      <c r="IC1057" s="3"/>
      <c r="ID1057" s="3"/>
      <c r="IE1057" s="3"/>
      <c r="IF1057" s="3"/>
      <c r="IG1057" s="3"/>
      <c r="IH1057" s="3"/>
      <c r="II1057" s="3"/>
      <c r="IJ1057" s="3"/>
      <c r="IK1057" s="3"/>
      <c r="IL1057" s="3"/>
      <c r="IM1057" s="3"/>
      <c r="IN1057" s="3"/>
      <c r="IO1057" s="3"/>
      <c r="IP1057" s="3"/>
      <c r="IQ1057" s="3"/>
      <c r="IR1057" s="3"/>
      <c r="IS1057" s="3"/>
      <c r="IT1057" s="3"/>
      <c r="IU1057" s="3"/>
      <c r="IV1057" s="3"/>
    </row>
    <row r="1058" spans="1:256" s="663" customFormat="1">
      <c r="A1058" s="61"/>
      <c r="B1058" s="961"/>
      <c r="C1058" s="317" t="s">
        <v>990</v>
      </c>
      <c r="D1058" s="310" t="s">
        <v>1473</v>
      </c>
      <c r="E1058" s="310">
        <v>0.12</v>
      </c>
      <c r="F1058" s="28">
        <f>'Lead- Input sheet '!R11</f>
        <v>1239.6380759582803</v>
      </c>
      <c r="G1058" s="628">
        <f>ROUND(F1058*E1058,2)</f>
        <v>148.76</v>
      </c>
      <c r="I1058" s="152"/>
      <c r="J1058" s="3"/>
      <c r="K1058" s="3"/>
      <c r="L1058" s="3"/>
      <c r="M1058" s="3"/>
      <c r="N1058" s="3"/>
      <c r="O1058" s="3"/>
      <c r="P1058" s="3"/>
      <c r="Q1058" s="3"/>
      <c r="R1058" s="3"/>
      <c r="S1058" s="3"/>
      <c r="T1058" s="3"/>
      <c r="U1058" s="3"/>
      <c r="V1058" s="3"/>
      <c r="W1058" s="3"/>
      <c r="X1058" s="3"/>
      <c r="Y1058" s="3"/>
      <c r="Z1058" s="3"/>
      <c r="AA1058" s="3"/>
      <c r="AB1058" s="3"/>
      <c r="AC1058" s="3"/>
      <c r="AD1058" s="3"/>
      <c r="AE1058" s="3"/>
      <c r="AF1058" s="3"/>
      <c r="AG1058" s="3"/>
      <c r="AH1058" s="3"/>
      <c r="AI1058" s="3"/>
      <c r="AJ1058" s="3"/>
      <c r="AK1058" s="3"/>
      <c r="AL1058" s="3"/>
      <c r="AM1058" s="3"/>
      <c r="AN1058" s="3"/>
      <c r="AO1058" s="3"/>
      <c r="AP1058" s="3"/>
      <c r="AQ1058" s="3"/>
      <c r="AR1058" s="3"/>
      <c r="AS1058" s="3"/>
      <c r="AT1058" s="3"/>
      <c r="AU1058" s="3"/>
      <c r="AV1058" s="3"/>
      <c r="AW1058" s="3"/>
      <c r="AX1058" s="3"/>
      <c r="AY1058" s="3"/>
      <c r="AZ1058" s="3"/>
      <c r="BA1058" s="3"/>
      <c r="BB1058" s="3"/>
      <c r="BC1058" s="3"/>
      <c r="BD1058" s="3"/>
      <c r="BE1058" s="3"/>
      <c r="BF1058" s="3"/>
      <c r="BG1058" s="3"/>
      <c r="BH1058" s="3"/>
      <c r="BI1058" s="3"/>
      <c r="BJ1058" s="3"/>
      <c r="BK1058" s="3"/>
      <c r="BL1058" s="3"/>
      <c r="BM1058" s="3"/>
      <c r="BN1058" s="3"/>
      <c r="BO1058" s="3"/>
      <c r="BP1058" s="3"/>
      <c r="BQ1058" s="3"/>
      <c r="BR1058" s="3"/>
      <c r="BS1058" s="3"/>
      <c r="BT1058" s="3"/>
      <c r="BU1058" s="3"/>
      <c r="BV1058" s="3"/>
      <c r="BW1058" s="3"/>
      <c r="BX1058" s="3"/>
      <c r="BY1058" s="3"/>
      <c r="BZ1058" s="3"/>
      <c r="CA1058" s="3"/>
      <c r="CB1058" s="3"/>
      <c r="CC1058" s="3"/>
      <c r="CD1058" s="3"/>
      <c r="CE1058" s="3"/>
      <c r="CF1058" s="3"/>
      <c r="CG1058" s="3"/>
      <c r="CH1058" s="3"/>
      <c r="CI1058" s="3"/>
      <c r="CJ1058" s="3"/>
      <c r="CK1058" s="3"/>
      <c r="CL1058" s="3"/>
      <c r="CM1058" s="3"/>
      <c r="CN1058" s="3"/>
      <c r="CO1058" s="3"/>
      <c r="CP1058" s="3"/>
      <c r="CQ1058" s="3"/>
      <c r="CR1058" s="3"/>
      <c r="CS1058" s="3"/>
      <c r="CT1058" s="3"/>
      <c r="CU1058" s="3"/>
      <c r="CV1058" s="3"/>
      <c r="CW1058" s="3"/>
      <c r="CX1058" s="3"/>
      <c r="CY1058" s="3"/>
      <c r="CZ1058" s="3"/>
      <c r="DA1058" s="3"/>
      <c r="DB1058" s="3"/>
      <c r="DC1058" s="3"/>
      <c r="DD1058" s="3"/>
      <c r="DE1058" s="3"/>
      <c r="DF1058" s="3"/>
      <c r="DG1058" s="3"/>
      <c r="DH1058" s="3"/>
      <c r="DI1058" s="3"/>
      <c r="DJ1058" s="3"/>
      <c r="DK1058" s="3"/>
      <c r="DL1058" s="3"/>
      <c r="DM1058" s="3"/>
      <c r="DN1058" s="3"/>
      <c r="DO1058" s="3"/>
      <c r="DP1058" s="3"/>
      <c r="DQ1058" s="3"/>
      <c r="DR1058" s="3"/>
      <c r="DS1058" s="3"/>
      <c r="DT1058" s="3"/>
      <c r="DU1058" s="3"/>
      <c r="DV1058" s="3"/>
      <c r="DW1058" s="3"/>
      <c r="DX1058" s="3"/>
      <c r="DY1058" s="3"/>
      <c r="DZ1058" s="3"/>
      <c r="EA1058" s="3"/>
      <c r="EB1058" s="3"/>
      <c r="EC1058" s="3"/>
      <c r="ED1058" s="3"/>
      <c r="EE1058" s="3"/>
      <c r="EF1058" s="3"/>
      <c r="EG1058" s="3"/>
      <c r="EH1058" s="3"/>
      <c r="EI1058" s="3"/>
      <c r="EJ1058" s="3"/>
      <c r="EK1058" s="3"/>
      <c r="EL1058" s="3"/>
      <c r="EM1058" s="3"/>
      <c r="EN1058" s="3"/>
      <c r="EO1058" s="3"/>
      <c r="EP1058" s="3"/>
      <c r="EQ1058" s="3"/>
      <c r="ER1058" s="3"/>
      <c r="ES1058" s="3"/>
      <c r="ET1058" s="3"/>
      <c r="EU1058" s="3"/>
      <c r="EV1058" s="3"/>
      <c r="EW1058" s="3"/>
      <c r="EX1058" s="3"/>
      <c r="EY1058" s="3"/>
      <c r="EZ1058" s="3"/>
      <c r="FA1058" s="3"/>
      <c r="FB1058" s="3"/>
      <c r="FC1058" s="3"/>
      <c r="FD1058" s="3"/>
      <c r="FE1058" s="3"/>
      <c r="FF1058" s="3"/>
      <c r="FG1058" s="3"/>
      <c r="FH1058" s="3"/>
      <c r="FI1058" s="3"/>
      <c r="FJ1058" s="3"/>
      <c r="FK1058" s="3"/>
      <c r="FL1058" s="3"/>
      <c r="FM1058" s="3"/>
      <c r="FN1058" s="3"/>
      <c r="FO1058" s="3"/>
      <c r="FP1058" s="3"/>
      <c r="FQ1058" s="3"/>
      <c r="FR1058" s="3"/>
      <c r="FS1058" s="3"/>
      <c r="FT1058" s="3"/>
      <c r="FU1058" s="3"/>
      <c r="FV1058" s="3"/>
      <c r="FW1058" s="3"/>
      <c r="FX1058" s="3"/>
      <c r="FY1058" s="3"/>
      <c r="FZ1058" s="3"/>
      <c r="GA1058" s="3"/>
      <c r="GB1058" s="3"/>
      <c r="GC1058" s="3"/>
      <c r="GD1058" s="3"/>
      <c r="GE1058" s="3"/>
      <c r="GF1058" s="3"/>
      <c r="GG1058" s="3"/>
      <c r="GH1058" s="3"/>
      <c r="GI1058" s="3"/>
      <c r="GJ1058" s="3"/>
      <c r="GK1058" s="3"/>
      <c r="GL1058" s="3"/>
      <c r="GM1058" s="3"/>
      <c r="GN1058" s="3"/>
      <c r="GO1058" s="3"/>
      <c r="GP1058" s="3"/>
      <c r="GQ1058" s="3"/>
      <c r="GR1058" s="3"/>
      <c r="GS1058" s="3"/>
      <c r="GT1058" s="3"/>
      <c r="GU1058" s="3"/>
      <c r="GV1058" s="3"/>
      <c r="GW1058" s="3"/>
      <c r="GX1058" s="3"/>
      <c r="GY1058" s="3"/>
      <c r="GZ1058" s="3"/>
      <c r="HA1058" s="3"/>
      <c r="HB1058" s="3"/>
      <c r="HC1058" s="3"/>
      <c r="HD1058" s="3"/>
      <c r="HE1058" s="3"/>
      <c r="HF1058" s="3"/>
      <c r="HG1058" s="3"/>
      <c r="HH1058" s="3"/>
      <c r="HI1058" s="3"/>
      <c r="HJ1058" s="3"/>
      <c r="HK1058" s="3"/>
      <c r="HL1058" s="3"/>
      <c r="HM1058" s="3"/>
      <c r="HN1058" s="3"/>
      <c r="HO1058" s="3"/>
      <c r="HP1058" s="3"/>
      <c r="HQ1058" s="3"/>
      <c r="HR1058" s="3"/>
      <c r="HS1058" s="3"/>
      <c r="HT1058" s="3"/>
      <c r="HU1058" s="3"/>
      <c r="HV1058" s="3"/>
      <c r="HW1058" s="3"/>
      <c r="HX1058" s="3"/>
      <c r="HY1058" s="3"/>
      <c r="HZ1058" s="3"/>
      <c r="IA1058" s="3"/>
      <c r="IB1058" s="3"/>
      <c r="IC1058" s="3"/>
      <c r="ID1058" s="3"/>
      <c r="IE1058" s="3"/>
      <c r="IF1058" s="3"/>
      <c r="IG1058" s="3"/>
      <c r="IH1058" s="3"/>
      <c r="II1058" s="3"/>
      <c r="IJ1058" s="3"/>
      <c r="IK1058" s="3"/>
      <c r="IL1058" s="3"/>
      <c r="IM1058" s="3"/>
      <c r="IN1058" s="3"/>
      <c r="IO1058" s="3"/>
      <c r="IP1058" s="3"/>
      <c r="IQ1058" s="3"/>
      <c r="IR1058" s="3"/>
      <c r="IS1058" s="3"/>
      <c r="IT1058" s="3"/>
      <c r="IU1058" s="3"/>
      <c r="IV1058" s="3"/>
    </row>
    <row r="1059" spans="1:256" s="663" customFormat="1">
      <c r="A1059" s="61"/>
      <c r="B1059" s="961"/>
      <c r="C1059" s="317" t="s">
        <v>1756</v>
      </c>
      <c r="D1059" s="310" t="s">
        <v>1473</v>
      </c>
      <c r="E1059" s="990">
        <v>0.02</v>
      </c>
      <c r="F1059" s="28">
        <f>'Lead- Input sheet '!R11</f>
        <v>1239.6380759582803</v>
      </c>
      <c r="G1059" s="628">
        <f>ROUND(F1059*E1059,2)</f>
        <v>24.79</v>
      </c>
      <c r="I1059" s="152"/>
      <c r="J1059" s="3"/>
      <c r="K1059" s="3"/>
      <c r="L1059" s="3"/>
      <c r="M1059" s="3"/>
      <c r="N1059" s="3"/>
      <c r="O1059" s="3"/>
      <c r="P1059" s="3"/>
      <c r="Q1059" s="3"/>
      <c r="R1059" s="3"/>
      <c r="S1059" s="3"/>
      <c r="T1059" s="3"/>
      <c r="U1059" s="3"/>
      <c r="V1059" s="3"/>
      <c r="W1059" s="3"/>
      <c r="X1059" s="3"/>
      <c r="Y1059" s="3"/>
      <c r="Z1059" s="3"/>
      <c r="AA1059" s="3"/>
      <c r="AB1059" s="3"/>
      <c r="AC1059" s="3"/>
      <c r="AD1059" s="3"/>
      <c r="AE1059" s="3"/>
      <c r="AF1059" s="3"/>
      <c r="AG1059" s="3"/>
      <c r="AH1059" s="3"/>
      <c r="AI1059" s="3"/>
      <c r="AJ1059" s="3"/>
      <c r="AK1059" s="3"/>
      <c r="AL1059" s="3"/>
      <c r="AM1059" s="3"/>
      <c r="AN1059" s="3"/>
      <c r="AO1059" s="3"/>
      <c r="AP1059" s="3"/>
      <c r="AQ1059" s="3"/>
      <c r="AR1059" s="3"/>
      <c r="AS1059" s="3"/>
      <c r="AT1059" s="3"/>
      <c r="AU1059" s="3"/>
      <c r="AV1059" s="3"/>
      <c r="AW1059" s="3"/>
      <c r="AX1059" s="3"/>
      <c r="AY1059" s="3"/>
      <c r="AZ1059" s="3"/>
      <c r="BA1059" s="3"/>
      <c r="BB1059" s="3"/>
      <c r="BC1059" s="3"/>
      <c r="BD1059" s="3"/>
      <c r="BE1059" s="3"/>
      <c r="BF1059" s="3"/>
      <c r="BG1059" s="3"/>
      <c r="BH1059" s="3"/>
      <c r="BI1059" s="3"/>
      <c r="BJ1059" s="3"/>
      <c r="BK1059" s="3"/>
      <c r="BL1059" s="3"/>
      <c r="BM1059" s="3"/>
      <c r="BN1059" s="3"/>
      <c r="BO1059" s="3"/>
      <c r="BP1059" s="3"/>
      <c r="BQ1059" s="3"/>
      <c r="BR1059" s="3"/>
      <c r="BS1059" s="3"/>
      <c r="BT1059" s="3"/>
      <c r="BU1059" s="3"/>
      <c r="BV1059" s="3"/>
      <c r="BW1059" s="3"/>
      <c r="BX1059" s="3"/>
      <c r="BY1059" s="3"/>
      <c r="BZ1059" s="3"/>
      <c r="CA1059" s="3"/>
      <c r="CB1059" s="3"/>
      <c r="CC1059" s="3"/>
      <c r="CD1059" s="3"/>
      <c r="CE1059" s="3"/>
      <c r="CF1059" s="3"/>
      <c r="CG1059" s="3"/>
      <c r="CH1059" s="3"/>
      <c r="CI1059" s="3"/>
      <c r="CJ1059" s="3"/>
      <c r="CK1059" s="3"/>
      <c r="CL1059" s="3"/>
      <c r="CM1059" s="3"/>
      <c r="CN1059" s="3"/>
      <c r="CO1059" s="3"/>
      <c r="CP1059" s="3"/>
      <c r="CQ1059" s="3"/>
      <c r="CR1059" s="3"/>
      <c r="CS1059" s="3"/>
      <c r="CT1059" s="3"/>
      <c r="CU1059" s="3"/>
      <c r="CV1059" s="3"/>
      <c r="CW1059" s="3"/>
      <c r="CX1059" s="3"/>
      <c r="CY1059" s="3"/>
      <c r="CZ1059" s="3"/>
      <c r="DA1059" s="3"/>
      <c r="DB1059" s="3"/>
      <c r="DC1059" s="3"/>
      <c r="DD1059" s="3"/>
      <c r="DE1059" s="3"/>
      <c r="DF1059" s="3"/>
      <c r="DG1059" s="3"/>
      <c r="DH1059" s="3"/>
      <c r="DI1059" s="3"/>
      <c r="DJ1059" s="3"/>
      <c r="DK1059" s="3"/>
      <c r="DL1059" s="3"/>
      <c r="DM1059" s="3"/>
      <c r="DN1059" s="3"/>
      <c r="DO1059" s="3"/>
      <c r="DP1059" s="3"/>
      <c r="DQ1059" s="3"/>
      <c r="DR1059" s="3"/>
      <c r="DS1059" s="3"/>
      <c r="DT1059" s="3"/>
      <c r="DU1059" s="3"/>
      <c r="DV1059" s="3"/>
      <c r="DW1059" s="3"/>
      <c r="DX1059" s="3"/>
      <c r="DY1059" s="3"/>
      <c r="DZ1059" s="3"/>
      <c r="EA1059" s="3"/>
      <c r="EB1059" s="3"/>
      <c r="EC1059" s="3"/>
      <c r="ED1059" s="3"/>
      <c r="EE1059" s="3"/>
      <c r="EF1059" s="3"/>
      <c r="EG1059" s="3"/>
      <c r="EH1059" s="3"/>
      <c r="EI1059" s="3"/>
      <c r="EJ1059" s="3"/>
      <c r="EK1059" s="3"/>
      <c r="EL1059" s="3"/>
      <c r="EM1059" s="3"/>
      <c r="EN1059" s="3"/>
      <c r="EO1059" s="3"/>
      <c r="EP1059" s="3"/>
      <c r="EQ1059" s="3"/>
      <c r="ER1059" s="3"/>
      <c r="ES1059" s="3"/>
      <c r="ET1059" s="3"/>
      <c r="EU1059" s="3"/>
      <c r="EV1059" s="3"/>
      <c r="EW1059" s="3"/>
      <c r="EX1059" s="3"/>
      <c r="EY1059" s="3"/>
      <c r="EZ1059" s="3"/>
      <c r="FA1059" s="3"/>
      <c r="FB1059" s="3"/>
      <c r="FC1059" s="3"/>
      <c r="FD1059" s="3"/>
      <c r="FE1059" s="3"/>
      <c r="FF1059" s="3"/>
      <c r="FG1059" s="3"/>
      <c r="FH1059" s="3"/>
      <c r="FI1059" s="3"/>
      <c r="FJ1059" s="3"/>
      <c r="FK1059" s="3"/>
      <c r="FL1059" s="3"/>
      <c r="FM1059" s="3"/>
      <c r="FN1059" s="3"/>
      <c r="FO1059" s="3"/>
      <c r="FP1059" s="3"/>
      <c r="FQ1059" s="3"/>
      <c r="FR1059" s="3"/>
      <c r="FS1059" s="3"/>
      <c r="FT1059" s="3"/>
      <c r="FU1059" s="3"/>
      <c r="FV1059" s="3"/>
      <c r="FW1059" s="3"/>
      <c r="FX1059" s="3"/>
      <c r="FY1059" s="3"/>
      <c r="FZ1059" s="3"/>
      <c r="GA1059" s="3"/>
      <c r="GB1059" s="3"/>
      <c r="GC1059" s="3"/>
      <c r="GD1059" s="3"/>
      <c r="GE1059" s="3"/>
      <c r="GF1059" s="3"/>
      <c r="GG1059" s="3"/>
      <c r="GH1059" s="3"/>
      <c r="GI1059" s="3"/>
      <c r="GJ1059" s="3"/>
      <c r="GK1059" s="3"/>
      <c r="GL1059" s="3"/>
      <c r="GM1059" s="3"/>
      <c r="GN1059" s="3"/>
      <c r="GO1059" s="3"/>
      <c r="GP1059" s="3"/>
      <c r="GQ1059" s="3"/>
      <c r="GR1059" s="3"/>
      <c r="GS1059" s="3"/>
      <c r="GT1059" s="3"/>
      <c r="GU1059" s="3"/>
      <c r="GV1059" s="3"/>
      <c r="GW1059" s="3"/>
      <c r="GX1059" s="3"/>
      <c r="GY1059" s="3"/>
      <c r="GZ1059" s="3"/>
      <c r="HA1059" s="3"/>
      <c r="HB1059" s="3"/>
      <c r="HC1059" s="3"/>
      <c r="HD1059" s="3"/>
      <c r="HE1059" s="3"/>
      <c r="HF1059" s="3"/>
      <c r="HG1059" s="3"/>
      <c r="HH1059" s="3"/>
      <c r="HI1059" s="3"/>
      <c r="HJ1059" s="3"/>
      <c r="HK1059" s="3"/>
      <c r="HL1059" s="3"/>
      <c r="HM1059" s="3"/>
      <c r="HN1059" s="3"/>
      <c r="HO1059" s="3"/>
      <c r="HP1059" s="3"/>
      <c r="HQ1059" s="3"/>
      <c r="HR1059" s="3"/>
      <c r="HS1059" s="3"/>
      <c r="HT1059" s="3"/>
      <c r="HU1059" s="3"/>
      <c r="HV1059" s="3"/>
      <c r="HW1059" s="3"/>
      <c r="HX1059" s="3"/>
      <c r="HY1059" s="3"/>
      <c r="HZ1059" s="3"/>
      <c r="IA1059" s="3"/>
      <c r="IB1059" s="3"/>
      <c r="IC1059" s="3"/>
      <c r="ID1059" s="3"/>
      <c r="IE1059" s="3"/>
      <c r="IF1059" s="3"/>
      <c r="IG1059" s="3"/>
      <c r="IH1059" s="3"/>
      <c r="II1059" s="3"/>
      <c r="IJ1059" s="3"/>
      <c r="IK1059" s="3"/>
      <c r="IL1059" s="3"/>
      <c r="IM1059" s="3"/>
      <c r="IN1059" s="3"/>
      <c r="IO1059" s="3"/>
      <c r="IP1059" s="3"/>
      <c r="IQ1059" s="3"/>
      <c r="IR1059" s="3"/>
      <c r="IS1059" s="3"/>
      <c r="IT1059" s="3"/>
      <c r="IU1059" s="3"/>
      <c r="IV1059" s="3"/>
    </row>
    <row r="1060" spans="1:256" s="663" customFormat="1">
      <c r="A1060" s="61"/>
      <c r="B1060" s="961"/>
      <c r="C1060" s="317" t="s">
        <v>1735</v>
      </c>
      <c r="D1060" s="310" t="s">
        <v>1473</v>
      </c>
      <c r="E1060" s="990">
        <v>0.14000000000000001</v>
      </c>
      <c r="F1060" s="28"/>
      <c r="G1060" s="628">
        <f>ROUND(F1060*E1060,2)</f>
        <v>0</v>
      </c>
      <c r="I1060" s="152"/>
      <c r="J1060" s="3"/>
      <c r="K1060" s="3"/>
      <c r="L1060" s="3"/>
      <c r="M1060" s="3"/>
      <c r="N1060" s="3"/>
      <c r="O1060" s="3"/>
      <c r="P1060" s="3"/>
      <c r="Q1060" s="3"/>
      <c r="R1060" s="3"/>
      <c r="S1060" s="3"/>
      <c r="T1060" s="3"/>
      <c r="U1060" s="3"/>
      <c r="V1060" s="3"/>
      <c r="W1060" s="3"/>
      <c r="X1060" s="3"/>
      <c r="Y1060" s="3"/>
      <c r="Z1060" s="3"/>
      <c r="AA1060" s="3"/>
      <c r="AB1060" s="3"/>
      <c r="AC1060" s="3"/>
      <c r="AD1060" s="3"/>
      <c r="AE1060" s="3"/>
      <c r="AF1060" s="3"/>
      <c r="AG1060" s="3"/>
      <c r="AH1060" s="3"/>
      <c r="AI1060" s="3"/>
      <c r="AJ1060" s="3"/>
      <c r="AK1060" s="3"/>
      <c r="AL1060" s="3"/>
      <c r="AM1060" s="3"/>
      <c r="AN1060" s="3"/>
      <c r="AO1060" s="3"/>
      <c r="AP1060" s="3"/>
      <c r="AQ1060" s="3"/>
      <c r="AR1060" s="3"/>
      <c r="AS1060" s="3"/>
      <c r="AT1060" s="3"/>
      <c r="AU1060" s="3"/>
      <c r="AV1060" s="3"/>
      <c r="AW1060" s="3"/>
      <c r="AX1060" s="3"/>
      <c r="AY1060" s="3"/>
      <c r="AZ1060" s="3"/>
      <c r="BA1060" s="3"/>
      <c r="BB1060" s="3"/>
      <c r="BC1060" s="3"/>
      <c r="BD1060" s="3"/>
      <c r="BE1060" s="3"/>
      <c r="BF1060" s="3"/>
      <c r="BG1060" s="3"/>
      <c r="BH1060" s="3"/>
      <c r="BI1060" s="3"/>
      <c r="BJ1060" s="3"/>
      <c r="BK1060" s="3"/>
      <c r="BL1060" s="3"/>
      <c r="BM1060" s="3"/>
      <c r="BN1060" s="3"/>
      <c r="BO1060" s="3"/>
      <c r="BP1060" s="3"/>
      <c r="BQ1060" s="3"/>
      <c r="BR1060" s="3"/>
      <c r="BS1060" s="3"/>
      <c r="BT1060" s="3"/>
      <c r="BU1060" s="3"/>
      <c r="BV1060" s="3"/>
      <c r="BW1060" s="3"/>
      <c r="BX1060" s="3"/>
      <c r="BY1060" s="3"/>
      <c r="BZ1060" s="3"/>
      <c r="CA1060" s="3"/>
      <c r="CB1060" s="3"/>
      <c r="CC1060" s="3"/>
      <c r="CD1060" s="3"/>
      <c r="CE1060" s="3"/>
      <c r="CF1060" s="3"/>
      <c r="CG1060" s="3"/>
      <c r="CH1060" s="3"/>
      <c r="CI1060" s="3"/>
      <c r="CJ1060" s="3"/>
      <c r="CK1060" s="3"/>
      <c r="CL1060" s="3"/>
      <c r="CM1060" s="3"/>
      <c r="CN1060" s="3"/>
      <c r="CO1060" s="3"/>
      <c r="CP1060" s="3"/>
      <c r="CQ1060" s="3"/>
      <c r="CR1060" s="3"/>
      <c r="CS1060" s="3"/>
      <c r="CT1060" s="3"/>
      <c r="CU1060" s="3"/>
      <c r="CV1060" s="3"/>
      <c r="CW1060" s="3"/>
      <c r="CX1060" s="3"/>
      <c r="CY1060" s="3"/>
      <c r="CZ1060" s="3"/>
      <c r="DA1060" s="3"/>
      <c r="DB1060" s="3"/>
      <c r="DC1060" s="3"/>
      <c r="DD1060" s="3"/>
      <c r="DE1060" s="3"/>
      <c r="DF1060" s="3"/>
      <c r="DG1060" s="3"/>
      <c r="DH1060" s="3"/>
      <c r="DI1060" s="3"/>
      <c r="DJ1060" s="3"/>
      <c r="DK1060" s="3"/>
      <c r="DL1060" s="3"/>
      <c r="DM1060" s="3"/>
      <c r="DN1060" s="3"/>
      <c r="DO1060" s="3"/>
      <c r="DP1060" s="3"/>
      <c r="DQ1060" s="3"/>
      <c r="DR1060" s="3"/>
      <c r="DS1060" s="3"/>
      <c r="DT1060" s="3"/>
      <c r="DU1060" s="3"/>
      <c r="DV1060" s="3"/>
      <c r="DW1060" s="3"/>
      <c r="DX1060" s="3"/>
      <c r="DY1060" s="3"/>
      <c r="DZ1060" s="3"/>
      <c r="EA1060" s="3"/>
      <c r="EB1060" s="3"/>
      <c r="EC1060" s="3"/>
      <c r="ED1060" s="3"/>
      <c r="EE1060" s="3"/>
      <c r="EF1060" s="3"/>
      <c r="EG1060" s="3"/>
      <c r="EH1060" s="3"/>
      <c r="EI1060" s="3"/>
      <c r="EJ1060" s="3"/>
      <c r="EK1060" s="3"/>
      <c r="EL1060" s="3"/>
      <c r="EM1060" s="3"/>
      <c r="EN1060" s="3"/>
      <c r="EO1060" s="3"/>
      <c r="EP1060" s="3"/>
      <c r="EQ1060" s="3"/>
      <c r="ER1060" s="3"/>
      <c r="ES1060" s="3"/>
      <c r="ET1060" s="3"/>
      <c r="EU1060" s="3"/>
      <c r="EV1060" s="3"/>
      <c r="EW1060" s="3"/>
      <c r="EX1060" s="3"/>
      <c r="EY1060" s="3"/>
      <c r="EZ1060" s="3"/>
      <c r="FA1060" s="3"/>
      <c r="FB1060" s="3"/>
      <c r="FC1060" s="3"/>
      <c r="FD1060" s="3"/>
      <c r="FE1060" s="3"/>
      <c r="FF1060" s="3"/>
      <c r="FG1060" s="3"/>
      <c r="FH1060" s="3"/>
      <c r="FI1060" s="3"/>
      <c r="FJ1060" s="3"/>
      <c r="FK1060" s="3"/>
      <c r="FL1060" s="3"/>
      <c r="FM1060" s="3"/>
      <c r="FN1060" s="3"/>
      <c r="FO1060" s="3"/>
      <c r="FP1060" s="3"/>
      <c r="FQ1060" s="3"/>
      <c r="FR1060" s="3"/>
      <c r="FS1060" s="3"/>
      <c r="FT1060" s="3"/>
      <c r="FU1060" s="3"/>
      <c r="FV1060" s="3"/>
      <c r="FW1060" s="3"/>
      <c r="FX1060" s="3"/>
      <c r="FY1060" s="3"/>
      <c r="FZ1060" s="3"/>
      <c r="GA1060" s="3"/>
      <c r="GB1060" s="3"/>
      <c r="GC1060" s="3"/>
      <c r="GD1060" s="3"/>
      <c r="GE1060" s="3"/>
      <c r="GF1060" s="3"/>
      <c r="GG1060" s="3"/>
      <c r="GH1060" s="3"/>
      <c r="GI1060" s="3"/>
      <c r="GJ1060" s="3"/>
      <c r="GK1060" s="3"/>
      <c r="GL1060" s="3"/>
      <c r="GM1060" s="3"/>
      <c r="GN1060" s="3"/>
      <c r="GO1060" s="3"/>
      <c r="GP1060" s="3"/>
      <c r="GQ1060" s="3"/>
      <c r="GR1060" s="3"/>
      <c r="GS1060" s="3"/>
      <c r="GT1060" s="3"/>
      <c r="GU1060" s="3"/>
      <c r="GV1060" s="3"/>
      <c r="GW1060" s="3"/>
      <c r="GX1060" s="3"/>
      <c r="GY1060" s="3"/>
      <c r="GZ1060" s="3"/>
      <c r="HA1060" s="3"/>
      <c r="HB1060" s="3"/>
      <c r="HC1060" s="3"/>
      <c r="HD1060" s="3"/>
      <c r="HE1060" s="3"/>
      <c r="HF1060" s="3"/>
      <c r="HG1060" s="3"/>
      <c r="HH1060" s="3"/>
      <c r="HI1060" s="3"/>
      <c r="HJ1060" s="3"/>
      <c r="HK1060" s="3"/>
      <c r="HL1060" s="3"/>
      <c r="HM1060" s="3"/>
      <c r="HN1060" s="3"/>
      <c r="HO1060" s="3"/>
      <c r="HP1060" s="3"/>
      <c r="HQ1060" s="3"/>
      <c r="HR1060" s="3"/>
      <c r="HS1060" s="3"/>
      <c r="HT1060" s="3"/>
      <c r="HU1060" s="3"/>
      <c r="HV1060" s="3"/>
      <c r="HW1060" s="3"/>
      <c r="HX1060" s="3"/>
      <c r="HY1060" s="3"/>
      <c r="HZ1060" s="3"/>
      <c r="IA1060" s="3"/>
      <c r="IB1060" s="3"/>
      <c r="IC1060" s="3"/>
      <c r="ID1060" s="3"/>
      <c r="IE1060" s="3"/>
      <c r="IF1060" s="3"/>
      <c r="IG1060" s="3"/>
      <c r="IH1060" s="3"/>
      <c r="II1060" s="3"/>
      <c r="IJ1060" s="3"/>
      <c r="IK1060" s="3"/>
      <c r="IL1060" s="3"/>
      <c r="IM1060" s="3"/>
      <c r="IN1060" s="3"/>
      <c r="IO1060" s="3"/>
      <c r="IP1060" s="3"/>
      <c r="IQ1060" s="3"/>
      <c r="IR1060" s="3"/>
      <c r="IS1060" s="3"/>
      <c r="IT1060" s="3"/>
      <c r="IU1060" s="3"/>
      <c r="IV1060" s="3"/>
    </row>
    <row r="1061" spans="1:256" s="663" customFormat="1">
      <c r="A1061" s="61"/>
      <c r="B1061" s="961"/>
      <c r="C1061" s="309" t="s">
        <v>653</v>
      </c>
      <c r="D1061" s="310"/>
      <c r="E1061" s="310"/>
      <c r="F1061" s="28"/>
      <c r="G1061" s="628"/>
      <c r="I1061" s="152"/>
      <c r="J1061" s="3"/>
      <c r="K1061" s="3"/>
      <c r="L1061" s="3"/>
      <c r="M1061" s="3"/>
      <c r="N1061" s="3"/>
      <c r="O1061" s="3"/>
      <c r="P1061" s="3"/>
      <c r="Q1061" s="3"/>
      <c r="R1061" s="3"/>
      <c r="S1061" s="3"/>
      <c r="T1061" s="3"/>
      <c r="U1061" s="3"/>
      <c r="V1061" s="3"/>
      <c r="W1061" s="3"/>
      <c r="X1061" s="3"/>
      <c r="Y1061" s="3"/>
      <c r="Z1061" s="3"/>
      <c r="AA1061" s="3"/>
      <c r="AB1061" s="3"/>
      <c r="AC1061" s="3"/>
      <c r="AD1061" s="3"/>
      <c r="AE1061" s="3"/>
      <c r="AF1061" s="3"/>
      <c r="AG1061" s="3"/>
      <c r="AH1061" s="3"/>
      <c r="AI1061" s="3"/>
      <c r="AJ1061" s="3"/>
      <c r="AK1061" s="3"/>
      <c r="AL1061" s="3"/>
      <c r="AM1061" s="3"/>
      <c r="AN1061" s="3"/>
      <c r="AO1061" s="3"/>
      <c r="AP1061" s="3"/>
      <c r="AQ1061" s="3"/>
      <c r="AR1061" s="3"/>
      <c r="AS1061" s="3"/>
      <c r="AT1061" s="3"/>
      <c r="AU1061" s="3"/>
      <c r="AV1061" s="3"/>
      <c r="AW1061" s="3"/>
      <c r="AX1061" s="3"/>
      <c r="AY1061" s="3"/>
      <c r="AZ1061" s="3"/>
      <c r="BA1061" s="3"/>
      <c r="BB1061" s="3"/>
      <c r="BC1061" s="3"/>
      <c r="BD1061" s="3"/>
      <c r="BE1061" s="3"/>
      <c r="BF1061" s="3"/>
      <c r="BG1061" s="3"/>
      <c r="BH1061" s="3"/>
      <c r="BI1061" s="3"/>
      <c r="BJ1061" s="3"/>
      <c r="BK1061" s="3"/>
      <c r="BL1061" s="3"/>
      <c r="BM1061" s="3"/>
      <c r="BN1061" s="3"/>
      <c r="BO1061" s="3"/>
      <c r="BP1061" s="3"/>
      <c r="BQ1061" s="3"/>
      <c r="BR1061" s="3"/>
      <c r="BS1061" s="3"/>
      <c r="BT1061" s="3"/>
      <c r="BU1061" s="3"/>
      <c r="BV1061" s="3"/>
      <c r="BW1061" s="3"/>
      <c r="BX1061" s="3"/>
      <c r="BY1061" s="3"/>
      <c r="BZ1061" s="3"/>
      <c r="CA1061" s="3"/>
      <c r="CB1061" s="3"/>
      <c r="CC1061" s="3"/>
      <c r="CD1061" s="3"/>
      <c r="CE1061" s="3"/>
      <c r="CF1061" s="3"/>
      <c r="CG1061" s="3"/>
      <c r="CH1061" s="3"/>
      <c r="CI1061" s="3"/>
      <c r="CJ1061" s="3"/>
      <c r="CK1061" s="3"/>
      <c r="CL1061" s="3"/>
      <c r="CM1061" s="3"/>
      <c r="CN1061" s="3"/>
      <c r="CO1061" s="3"/>
      <c r="CP1061" s="3"/>
      <c r="CQ1061" s="3"/>
      <c r="CR1061" s="3"/>
      <c r="CS1061" s="3"/>
      <c r="CT1061" s="3"/>
      <c r="CU1061" s="3"/>
      <c r="CV1061" s="3"/>
      <c r="CW1061" s="3"/>
      <c r="CX1061" s="3"/>
      <c r="CY1061" s="3"/>
      <c r="CZ1061" s="3"/>
      <c r="DA1061" s="3"/>
      <c r="DB1061" s="3"/>
      <c r="DC1061" s="3"/>
      <c r="DD1061" s="3"/>
      <c r="DE1061" s="3"/>
      <c r="DF1061" s="3"/>
      <c r="DG1061" s="3"/>
      <c r="DH1061" s="3"/>
      <c r="DI1061" s="3"/>
      <c r="DJ1061" s="3"/>
      <c r="DK1061" s="3"/>
      <c r="DL1061" s="3"/>
      <c r="DM1061" s="3"/>
      <c r="DN1061" s="3"/>
      <c r="DO1061" s="3"/>
      <c r="DP1061" s="3"/>
      <c r="DQ1061" s="3"/>
      <c r="DR1061" s="3"/>
      <c r="DS1061" s="3"/>
      <c r="DT1061" s="3"/>
      <c r="DU1061" s="3"/>
      <c r="DV1061" s="3"/>
      <c r="DW1061" s="3"/>
      <c r="DX1061" s="3"/>
      <c r="DY1061" s="3"/>
      <c r="DZ1061" s="3"/>
      <c r="EA1061" s="3"/>
      <c r="EB1061" s="3"/>
      <c r="EC1061" s="3"/>
      <c r="ED1061" s="3"/>
      <c r="EE1061" s="3"/>
      <c r="EF1061" s="3"/>
      <c r="EG1061" s="3"/>
      <c r="EH1061" s="3"/>
      <c r="EI1061" s="3"/>
      <c r="EJ1061" s="3"/>
      <c r="EK1061" s="3"/>
      <c r="EL1061" s="3"/>
      <c r="EM1061" s="3"/>
      <c r="EN1061" s="3"/>
      <c r="EO1061" s="3"/>
      <c r="EP1061" s="3"/>
      <c r="EQ1061" s="3"/>
      <c r="ER1061" s="3"/>
      <c r="ES1061" s="3"/>
      <c r="ET1061" s="3"/>
      <c r="EU1061" s="3"/>
      <c r="EV1061" s="3"/>
      <c r="EW1061" s="3"/>
      <c r="EX1061" s="3"/>
      <c r="EY1061" s="3"/>
      <c r="EZ1061" s="3"/>
      <c r="FA1061" s="3"/>
      <c r="FB1061" s="3"/>
      <c r="FC1061" s="3"/>
      <c r="FD1061" s="3"/>
      <c r="FE1061" s="3"/>
      <c r="FF1061" s="3"/>
      <c r="FG1061" s="3"/>
      <c r="FH1061" s="3"/>
      <c r="FI1061" s="3"/>
      <c r="FJ1061" s="3"/>
      <c r="FK1061" s="3"/>
      <c r="FL1061" s="3"/>
      <c r="FM1061" s="3"/>
      <c r="FN1061" s="3"/>
      <c r="FO1061" s="3"/>
      <c r="FP1061" s="3"/>
      <c r="FQ1061" s="3"/>
      <c r="FR1061" s="3"/>
      <c r="FS1061" s="3"/>
      <c r="FT1061" s="3"/>
      <c r="FU1061" s="3"/>
      <c r="FV1061" s="3"/>
      <c r="FW1061" s="3"/>
      <c r="FX1061" s="3"/>
      <c r="FY1061" s="3"/>
      <c r="FZ1061" s="3"/>
      <c r="GA1061" s="3"/>
      <c r="GB1061" s="3"/>
      <c r="GC1061" s="3"/>
      <c r="GD1061" s="3"/>
      <c r="GE1061" s="3"/>
      <c r="GF1061" s="3"/>
      <c r="GG1061" s="3"/>
      <c r="GH1061" s="3"/>
      <c r="GI1061" s="3"/>
      <c r="GJ1061" s="3"/>
      <c r="GK1061" s="3"/>
      <c r="GL1061" s="3"/>
      <c r="GM1061" s="3"/>
      <c r="GN1061" s="3"/>
      <c r="GO1061" s="3"/>
      <c r="GP1061" s="3"/>
      <c r="GQ1061" s="3"/>
      <c r="GR1061" s="3"/>
      <c r="GS1061" s="3"/>
      <c r="GT1061" s="3"/>
      <c r="GU1061" s="3"/>
      <c r="GV1061" s="3"/>
      <c r="GW1061" s="3"/>
      <c r="GX1061" s="3"/>
      <c r="GY1061" s="3"/>
      <c r="GZ1061" s="3"/>
      <c r="HA1061" s="3"/>
      <c r="HB1061" s="3"/>
      <c r="HC1061" s="3"/>
      <c r="HD1061" s="3"/>
      <c r="HE1061" s="3"/>
      <c r="HF1061" s="3"/>
      <c r="HG1061" s="3"/>
      <c r="HH1061" s="3"/>
      <c r="HI1061" s="3"/>
      <c r="HJ1061" s="3"/>
      <c r="HK1061" s="3"/>
      <c r="HL1061" s="3"/>
      <c r="HM1061" s="3"/>
      <c r="HN1061" s="3"/>
      <c r="HO1061" s="3"/>
      <c r="HP1061" s="3"/>
      <c r="HQ1061" s="3"/>
      <c r="HR1061" s="3"/>
      <c r="HS1061" s="3"/>
      <c r="HT1061" s="3"/>
      <c r="HU1061" s="3"/>
      <c r="HV1061" s="3"/>
      <c r="HW1061" s="3"/>
      <c r="HX1061" s="3"/>
      <c r="HY1061" s="3"/>
      <c r="HZ1061" s="3"/>
      <c r="IA1061" s="3"/>
      <c r="IB1061" s="3"/>
      <c r="IC1061" s="3"/>
      <c r="ID1061" s="3"/>
      <c r="IE1061" s="3"/>
      <c r="IF1061" s="3"/>
      <c r="IG1061" s="3"/>
      <c r="IH1061" s="3"/>
      <c r="II1061" s="3"/>
      <c r="IJ1061" s="3"/>
      <c r="IK1061" s="3"/>
      <c r="IL1061" s="3"/>
      <c r="IM1061" s="3"/>
      <c r="IN1061" s="3"/>
      <c r="IO1061" s="3"/>
      <c r="IP1061" s="3"/>
      <c r="IQ1061" s="3"/>
      <c r="IR1061" s="3"/>
      <c r="IS1061" s="3"/>
      <c r="IT1061" s="3"/>
      <c r="IU1061" s="3"/>
      <c r="IV1061" s="3"/>
    </row>
    <row r="1062" spans="1:256" s="663" customFormat="1" ht="13.2">
      <c r="A1062" s="61"/>
      <c r="B1062" s="961"/>
      <c r="C1062" s="317" t="s">
        <v>130</v>
      </c>
      <c r="D1062" s="310" t="s">
        <v>1047</v>
      </c>
      <c r="E1062" s="310">
        <v>0.96</v>
      </c>
      <c r="F1062" s="28">
        <v>470</v>
      </c>
      <c r="G1062" s="628">
        <f>ROUND(F1062*E1062,2)</f>
        <v>451.2</v>
      </c>
      <c r="I1062" s="152"/>
      <c r="J1062" s="3"/>
      <c r="K1062" s="3"/>
      <c r="L1062" s="3"/>
      <c r="M1062" s="3"/>
      <c r="N1062" s="3"/>
      <c r="O1062" s="3"/>
      <c r="P1062" s="3"/>
      <c r="Q1062" s="3"/>
      <c r="R1062" s="3"/>
      <c r="S1062" s="3"/>
      <c r="T1062" s="3"/>
      <c r="U1062" s="3"/>
      <c r="V1062" s="3"/>
      <c r="W1062" s="3"/>
      <c r="X1062" s="3"/>
      <c r="Y1062" s="3"/>
      <c r="Z1062" s="3"/>
      <c r="AA1062" s="3"/>
      <c r="AB1062" s="3"/>
      <c r="AC1062" s="3"/>
      <c r="AD1062" s="3"/>
      <c r="AE1062" s="3"/>
      <c r="AF1062" s="3"/>
      <c r="AG1062" s="3"/>
      <c r="AH1062" s="3"/>
      <c r="AI1062" s="3"/>
      <c r="AJ1062" s="3"/>
      <c r="AK1062" s="3"/>
      <c r="AL1062" s="3"/>
      <c r="AM1062" s="3"/>
      <c r="AN1062" s="3"/>
      <c r="AO1062" s="3"/>
      <c r="AP1062" s="3"/>
      <c r="AQ1062" s="3"/>
      <c r="AR1062" s="3"/>
      <c r="AS1062" s="3"/>
      <c r="AT1062" s="3"/>
      <c r="AU1062" s="3"/>
      <c r="AV1062" s="3"/>
      <c r="AW1062" s="3"/>
      <c r="AX1062" s="3"/>
      <c r="AY1062" s="3"/>
      <c r="AZ1062" s="3"/>
      <c r="BA1062" s="3"/>
      <c r="BB1062" s="3"/>
      <c r="BC1062" s="3"/>
      <c r="BD1062" s="3"/>
      <c r="BE1062" s="3"/>
      <c r="BF1062" s="3"/>
      <c r="BG1062" s="3"/>
      <c r="BH1062" s="3"/>
      <c r="BI1062" s="3"/>
      <c r="BJ1062" s="3"/>
      <c r="BK1062" s="3"/>
      <c r="BL1062" s="3"/>
      <c r="BM1062" s="3"/>
      <c r="BN1062" s="3"/>
      <c r="BO1062" s="3"/>
      <c r="BP1062" s="3"/>
      <c r="BQ1062" s="3"/>
      <c r="BR1062" s="3"/>
      <c r="BS1062" s="3"/>
      <c r="BT1062" s="3"/>
      <c r="BU1062" s="3"/>
      <c r="BV1062" s="3"/>
      <c r="BW1062" s="3"/>
      <c r="BX1062" s="3"/>
      <c r="BY1062" s="3"/>
      <c r="BZ1062" s="3"/>
      <c r="CA1062" s="3"/>
      <c r="CB1062" s="3"/>
      <c r="CC1062" s="3"/>
      <c r="CD1062" s="3"/>
      <c r="CE1062" s="3"/>
      <c r="CF1062" s="3"/>
      <c r="CG1062" s="3"/>
      <c r="CH1062" s="3"/>
      <c r="CI1062" s="3"/>
      <c r="CJ1062" s="3"/>
      <c r="CK1062" s="3"/>
      <c r="CL1062" s="3"/>
      <c r="CM1062" s="3"/>
      <c r="CN1062" s="3"/>
      <c r="CO1062" s="3"/>
      <c r="CP1062" s="3"/>
      <c r="CQ1062" s="3"/>
      <c r="CR1062" s="3"/>
      <c r="CS1062" s="3"/>
      <c r="CT1062" s="3"/>
      <c r="CU1062" s="3"/>
      <c r="CV1062" s="3"/>
      <c r="CW1062" s="3"/>
      <c r="CX1062" s="3"/>
      <c r="CY1062" s="3"/>
      <c r="CZ1062" s="3"/>
      <c r="DA1062" s="3"/>
      <c r="DB1062" s="3"/>
      <c r="DC1062" s="3"/>
      <c r="DD1062" s="3"/>
      <c r="DE1062" s="3"/>
      <c r="DF1062" s="3"/>
      <c r="DG1062" s="3"/>
      <c r="DH1062" s="3"/>
      <c r="DI1062" s="3"/>
      <c r="DJ1062" s="3"/>
      <c r="DK1062" s="3"/>
      <c r="DL1062" s="3"/>
      <c r="DM1062" s="3"/>
      <c r="DN1062" s="3"/>
      <c r="DO1062" s="3"/>
      <c r="DP1062" s="3"/>
      <c r="DQ1062" s="3"/>
      <c r="DR1062" s="3"/>
      <c r="DS1062" s="3"/>
      <c r="DT1062" s="3"/>
      <c r="DU1062" s="3"/>
      <c r="DV1062" s="3"/>
      <c r="DW1062" s="3"/>
      <c r="DX1062" s="3"/>
      <c r="DY1062" s="3"/>
      <c r="DZ1062" s="3"/>
      <c r="EA1062" s="3"/>
      <c r="EB1062" s="3"/>
      <c r="EC1062" s="3"/>
      <c r="ED1062" s="3"/>
      <c r="EE1062" s="3"/>
      <c r="EF1062" s="3"/>
      <c r="EG1062" s="3"/>
      <c r="EH1062" s="3"/>
      <c r="EI1062" s="3"/>
      <c r="EJ1062" s="3"/>
      <c r="EK1062" s="3"/>
      <c r="EL1062" s="3"/>
      <c r="EM1062" s="3"/>
      <c r="EN1062" s="3"/>
      <c r="EO1062" s="3"/>
      <c r="EP1062" s="3"/>
      <c r="EQ1062" s="3"/>
      <c r="ER1062" s="3"/>
      <c r="ES1062" s="3"/>
      <c r="ET1062" s="3"/>
      <c r="EU1062" s="3"/>
      <c r="EV1062" s="3"/>
      <c r="EW1062" s="3"/>
      <c r="EX1062" s="3"/>
      <c r="EY1062" s="3"/>
      <c r="EZ1062" s="3"/>
      <c r="FA1062" s="3"/>
      <c r="FB1062" s="3"/>
      <c r="FC1062" s="3"/>
      <c r="FD1062" s="3"/>
      <c r="FE1062" s="3"/>
      <c r="FF1062" s="3"/>
      <c r="FG1062" s="3"/>
      <c r="FH1062" s="3"/>
      <c r="FI1062" s="3"/>
      <c r="FJ1062" s="3"/>
      <c r="FK1062" s="3"/>
      <c r="FL1062" s="3"/>
      <c r="FM1062" s="3"/>
      <c r="FN1062" s="3"/>
      <c r="FO1062" s="3"/>
      <c r="FP1062" s="3"/>
      <c r="FQ1062" s="3"/>
      <c r="FR1062" s="3"/>
      <c r="FS1062" s="3"/>
      <c r="FT1062" s="3"/>
      <c r="FU1062" s="3"/>
      <c r="FV1062" s="3"/>
      <c r="FW1062" s="3"/>
      <c r="FX1062" s="3"/>
      <c r="FY1062" s="3"/>
      <c r="FZ1062" s="3"/>
      <c r="GA1062" s="3"/>
      <c r="GB1062" s="3"/>
      <c r="GC1062" s="3"/>
      <c r="GD1062" s="3"/>
      <c r="GE1062" s="3"/>
      <c r="GF1062" s="3"/>
      <c r="GG1062" s="3"/>
      <c r="GH1062" s="3"/>
      <c r="GI1062" s="3"/>
      <c r="GJ1062" s="3"/>
      <c r="GK1062" s="3"/>
      <c r="GL1062" s="3"/>
      <c r="GM1062" s="3"/>
      <c r="GN1062" s="3"/>
      <c r="GO1062" s="3"/>
      <c r="GP1062" s="3"/>
      <c r="GQ1062" s="3"/>
      <c r="GR1062" s="3"/>
      <c r="GS1062" s="3"/>
      <c r="GT1062" s="3"/>
      <c r="GU1062" s="3"/>
      <c r="GV1062" s="3"/>
      <c r="GW1062" s="3"/>
      <c r="GX1062" s="3"/>
      <c r="GY1062" s="3"/>
      <c r="GZ1062" s="3"/>
      <c r="HA1062" s="3"/>
      <c r="HB1062" s="3"/>
      <c r="HC1062" s="3"/>
      <c r="HD1062" s="3"/>
      <c r="HE1062" s="3"/>
      <c r="HF1062" s="3"/>
      <c r="HG1062" s="3"/>
      <c r="HH1062" s="3"/>
      <c r="HI1062" s="3"/>
      <c r="HJ1062" s="3"/>
      <c r="HK1062" s="3"/>
      <c r="HL1062" s="3"/>
      <c r="HM1062" s="3"/>
      <c r="HN1062" s="3"/>
      <c r="HO1062" s="3"/>
      <c r="HP1062" s="3"/>
      <c r="HQ1062" s="3"/>
      <c r="HR1062" s="3"/>
      <c r="HS1062" s="3"/>
      <c r="HT1062" s="3"/>
      <c r="HU1062" s="3"/>
      <c r="HV1062" s="3"/>
      <c r="HW1062" s="3"/>
      <c r="HX1062" s="3"/>
      <c r="HY1062" s="3"/>
      <c r="HZ1062" s="3"/>
      <c r="IA1062" s="3"/>
      <c r="IB1062" s="3"/>
      <c r="IC1062" s="3"/>
      <c r="ID1062" s="3"/>
      <c r="IE1062" s="3"/>
      <c r="IF1062" s="3"/>
      <c r="IG1062" s="3"/>
      <c r="IH1062" s="3"/>
      <c r="II1062" s="3"/>
      <c r="IJ1062" s="3"/>
      <c r="IK1062" s="3"/>
      <c r="IL1062" s="3"/>
      <c r="IM1062" s="3"/>
      <c r="IN1062" s="3"/>
      <c r="IO1062" s="3"/>
      <c r="IP1062" s="3"/>
      <c r="IQ1062" s="3"/>
      <c r="IR1062" s="3"/>
      <c r="IS1062" s="3"/>
      <c r="IT1062" s="3"/>
      <c r="IU1062" s="3"/>
      <c r="IV1062" s="3"/>
    </row>
    <row r="1063" spans="1:256" s="663" customFormat="1" ht="13.2">
      <c r="A1063" s="61"/>
      <c r="B1063" s="961"/>
      <c r="C1063" s="317" t="s">
        <v>131</v>
      </c>
      <c r="D1063" s="310" t="s">
        <v>1047</v>
      </c>
      <c r="E1063" s="310">
        <v>2.2400000000000002</v>
      </c>
      <c r="F1063" s="28">
        <v>425</v>
      </c>
      <c r="G1063" s="628">
        <f>ROUND(F1063*E1063,2)</f>
        <v>952</v>
      </c>
      <c r="I1063" s="152"/>
      <c r="J1063" s="3"/>
      <c r="K1063" s="3"/>
      <c r="L1063" s="3"/>
      <c r="M1063" s="3"/>
      <c r="N1063" s="3"/>
      <c r="O1063" s="3"/>
      <c r="P1063" s="3"/>
      <c r="Q1063" s="3"/>
      <c r="R1063" s="3"/>
      <c r="S1063" s="3"/>
      <c r="T1063" s="3"/>
      <c r="U1063" s="3"/>
      <c r="V1063" s="3"/>
      <c r="W1063" s="3"/>
      <c r="X1063" s="3"/>
      <c r="Y1063" s="3"/>
      <c r="Z1063" s="3"/>
      <c r="AA1063" s="3"/>
      <c r="AB1063" s="3"/>
      <c r="AC1063" s="3"/>
      <c r="AD1063" s="3"/>
      <c r="AE1063" s="3"/>
      <c r="AF1063" s="3"/>
      <c r="AG1063" s="3"/>
      <c r="AH1063" s="3"/>
      <c r="AI1063" s="3"/>
      <c r="AJ1063" s="3"/>
      <c r="AK1063" s="3"/>
      <c r="AL1063" s="3"/>
      <c r="AM1063" s="3"/>
      <c r="AN1063" s="3"/>
      <c r="AO1063" s="3"/>
      <c r="AP1063" s="3"/>
      <c r="AQ1063" s="3"/>
      <c r="AR1063" s="3"/>
      <c r="AS1063" s="3"/>
      <c r="AT1063" s="3"/>
      <c r="AU1063" s="3"/>
      <c r="AV1063" s="3"/>
      <c r="AW1063" s="3"/>
      <c r="AX1063" s="3"/>
      <c r="AY1063" s="3"/>
      <c r="AZ1063" s="3"/>
      <c r="BA1063" s="3"/>
      <c r="BB1063" s="3"/>
      <c r="BC1063" s="3"/>
      <c r="BD1063" s="3"/>
      <c r="BE1063" s="3"/>
      <c r="BF1063" s="3"/>
      <c r="BG1063" s="3"/>
      <c r="BH1063" s="3"/>
      <c r="BI1063" s="3"/>
      <c r="BJ1063" s="3"/>
      <c r="BK1063" s="3"/>
      <c r="BL1063" s="3"/>
      <c r="BM1063" s="3"/>
      <c r="BN1063" s="3"/>
      <c r="BO1063" s="3"/>
      <c r="BP1063" s="3"/>
      <c r="BQ1063" s="3"/>
      <c r="BR1063" s="3"/>
      <c r="BS1063" s="3"/>
      <c r="BT1063" s="3"/>
      <c r="BU1063" s="3"/>
      <c r="BV1063" s="3"/>
      <c r="BW1063" s="3"/>
      <c r="BX1063" s="3"/>
      <c r="BY1063" s="3"/>
      <c r="BZ1063" s="3"/>
      <c r="CA1063" s="3"/>
      <c r="CB1063" s="3"/>
      <c r="CC1063" s="3"/>
      <c r="CD1063" s="3"/>
      <c r="CE1063" s="3"/>
      <c r="CF1063" s="3"/>
      <c r="CG1063" s="3"/>
      <c r="CH1063" s="3"/>
      <c r="CI1063" s="3"/>
      <c r="CJ1063" s="3"/>
      <c r="CK1063" s="3"/>
      <c r="CL1063" s="3"/>
      <c r="CM1063" s="3"/>
      <c r="CN1063" s="3"/>
      <c r="CO1063" s="3"/>
      <c r="CP1063" s="3"/>
      <c r="CQ1063" s="3"/>
      <c r="CR1063" s="3"/>
      <c r="CS1063" s="3"/>
      <c r="CT1063" s="3"/>
      <c r="CU1063" s="3"/>
      <c r="CV1063" s="3"/>
      <c r="CW1063" s="3"/>
      <c r="CX1063" s="3"/>
      <c r="CY1063" s="3"/>
      <c r="CZ1063" s="3"/>
      <c r="DA1063" s="3"/>
      <c r="DB1063" s="3"/>
      <c r="DC1063" s="3"/>
      <c r="DD1063" s="3"/>
      <c r="DE1063" s="3"/>
      <c r="DF1063" s="3"/>
      <c r="DG1063" s="3"/>
      <c r="DH1063" s="3"/>
      <c r="DI1063" s="3"/>
      <c r="DJ1063" s="3"/>
      <c r="DK1063" s="3"/>
      <c r="DL1063" s="3"/>
      <c r="DM1063" s="3"/>
      <c r="DN1063" s="3"/>
      <c r="DO1063" s="3"/>
      <c r="DP1063" s="3"/>
      <c r="DQ1063" s="3"/>
      <c r="DR1063" s="3"/>
      <c r="DS1063" s="3"/>
      <c r="DT1063" s="3"/>
      <c r="DU1063" s="3"/>
      <c r="DV1063" s="3"/>
      <c r="DW1063" s="3"/>
      <c r="DX1063" s="3"/>
      <c r="DY1063" s="3"/>
      <c r="DZ1063" s="3"/>
      <c r="EA1063" s="3"/>
      <c r="EB1063" s="3"/>
      <c r="EC1063" s="3"/>
      <c r="ED1063" s="3"/>
      <c r="EE1063" s="3"/>
      <c r="EF1063" s="3"/>
      <c r="EG1063" s="3"/>
      <c r="EH1063" s="3"/>
      <c r="EI1063" s="3"/>
      <c r="EJ1063" s="3"/>
      <c r="EK1063" s="3"/>
      <c r="EL1063" s="3"/>
      <c r="EM1063" s="3"/>
      <c r="EN1063" s="3"/>
      <c r="EO1063" s="3"/>
      <c r="EP1063" s="3"/>
      <c r="EQ1063" s="3"/>
      <c r="ER1063" s="3"/>
      <c r="ES1063" s="3"/>
      <c r="ET1063" s="3"/>
      <c r="EU1063" s="3"/>
      <c r="EV1063" s="3"/>
      <c r="EW1063" s="3"/>
      <c r="EX1063" s="3"/>
      <c r="EY1063" s="3"/>
      <c r="EZ1063" s="3"/>
      <c r="FA1063" s="3"/>
      <c r="FB1063" s="3"/>
      <c r="FC1063" s="3"/>
      <c r="FD1063" s="3"/>
      <c r="FE1063" s="3"/>
      <c r="FF1063" s="3"/>
      <c r="FG1063" s="3"/>
      <c r="FH1063" s="3"/>
      <c r="FI1063" s="3"/>
      <c r="FJ1063" s="3"/>
      <c r="FK1063" s="3"/>
      <c r="FL1063" s="3"/>
      <c r="FM1063" s="3"/>
      <c r="FN1063" s="3"/>
      <c r="FO1063" s="3"/>
      <c r="FP1063" s="3"/>
      <c r="FQ1063" s="3"/>
      <c r="FR1063" s="3"/>
      <c r="FS1063" s="3"/>
      <c r="FT1063" s="3"/>
      <c r="FU1063" s="3"/>
      <c r="FV1063" s="3"/>
      <c r="FW1063" s="3"/>
      <c r="FX1063" s="3"/>
      <c r="FY1063" s="3"/>
      <c r="FZ1063" s="3"/>
      <c r="GA1063" s="3"/>
      <c r="GB1063" s="3"/>
      <c r="GC1063" s="3"/>
      <c r="GD1063" s="3"/>
      <c r="GE1063" s="3"/>
      <c r="GF1063" s="3"/>
      <c r="GG1063" s="3"/>
      <c r="GH1063" s="3"/>
      <c r="GI1063" s="3"/>
      <c r="GJ1063" s="3"/>
      <c r="GK1063" s="3"/>
      <c r="GL1063" s="3"/>
      <c r="GM1063" s="3"/>
      <c r="GN1063" s="3"/>
      <c r="GO1063" s="3"/>
      <c r="GP1063" s="3"/>
      <c r="GQ1063" s="3"/>
      <c r="GR1063" s="3"/>
      <c r="GS1063" s="3"/>
      <c r="GT1063" s="3"/>
      <c r="GU1063" s="3"/>
      <c r="GV1063" s="3"/>
      <c r="GW1063" s="3"/>
      <c r="GX1063" s="3"/>
      <c r="GY1063" s="3"/>
      <c r="GZ1063" s="3"/>
      <c r="HA1063" s="3"/>
      <c r="HB1063" s="3"/>
      <c r="HC1063" s="3"/>
      <c r="HD1063" s="3"/>
      <c r="HE1063" s="3"/>
      <c r="HF1063" s="3"/>
      <c r="HG1063" s="3"/>
      <c r="HH1063" s="3"/>
      <c r="HI1063" s="3"/>
      <c r="HJ1063" s="3"/>
      <c r="HK1063" s="3"/>
      <c r="HL1063" s="3"/>
      <c r="HM1063" s="3"/>
      <c r="HN1063" s="3"/>
      <c r="HO1063" s="3"/>
      <c r="HP1063" s="3"/>
      <c r="HQ1063" s="3"/>
      <c r="HR1063" s="3"/>
      <c r="HS1063" s="3"/>
      <c r="HT1063" s="3"/>
      <c r="HU1063" s="3"/>
      <c r="HV1063" s="3"/>
      <c r="HW1063" s="3"/>
      <c r="HX1063" s="3"/>
      <c r="HY1063" s="3"/>
      <c r="HZ1063" s="3"/>
      <c r="IA1063" s="3"/>
      <c r="IB1063" s="3"/>
      <c r="IC1063" s="3"/>
      <c r="ID1063" s="3"/>
      <c r="IE1063" s="3"/>
      <c r="IF1063" s="3"/>
      <c r="IG1063" s="3"/>
      <c r="IH1063" s="3"/>
      <c r="II1063" s="3"/>
      <c r="IJ1063" s="3"/>
      <c r="IK1063" s="3"/>
      <c r="IL1063" s="3"/>
      <c r="IM1063" s="3"/>
      <c r="IN1063" s="3"/>
      <c r="IO1063" s="3"/>
      <c r="IP1063" s="3"/>
      <c r="IQ1063" s="3"/>
      <c r="IR1063" s="3"/>
      <c r="IS1063" s="3"/>
      <c r="IT1063" s="3"/>
      <c r="IU1063" s="3"/>
      <c r="IV1063" s="3"/>
    </row>
    <row r="1064" spans="1:256" s="663" customFormat="1">
      <c r="A1064" s="61"/>
      <c r="B1064" s="961"/>
      <c r="C1064" s="317" t="s">
        <v>706</v>
      </c>
      <c r="D1064" s="310" t="s">
        <v>1047</v>
      </c>
      <c r="E1064" s="310">
        <v>3.3</v>
      </c>
      <c r="F1064" s="28">
        <v>400</v>
      </c>
      <c r="G1064" s="628">
        <f>ROUND(F1064*E1064,2)</f>
        <v>1320</v>
      </c>
      <c r="I1064" s="152"/>
      <c r="J1064" s="3"/>
      <c r="K1064" s="3"/>
      <c r="L1064" s="3"/>
      <c r="M1064" s="3"/>
      <c r="N1064" s="3"/>
      <c r="O1064" s="3"/>
      <c r="P1064" s="3"/>
      <c r="Q1064" s="3"/>
      <c r="R1064" s="3"/>
      <c r="S1064" s="3"/>
      <c r="T1064" s="3"/>
      <c r="U1064" s="3"/>
      <c r="V1064" s="3"/>
      <c r="W1064" s="3"/>
      <c r="X1064" s="3"/>
      <c r="Y1064" s="3"/>
      <c r="Z1064" s="3"/>
      <c r="AA1064" s="3"/>
      <c r="AB1064" s="3"/>
      <c r="AC1064" s="3"/>
      <c r="AD1064" s="3"/>
      <c r="AE1064" s="3"/>
      <c r="AF1064" s="3"/>
      <c r="AG1064" s="3"/>
      <c r="AH1064" s="3"/>
      <c r="AI1064" s="3"/>
      <c r="AJ1064" s="3"/>
      <c r="AK1064" s="3"/>
      <c r="AL1064" s="3"/>
      <c r="AM1064" s="3"/>
      <c r="AN1064" s="3"/>
      <c r="AO1064" s="3"/>
      <c r="AP1064" s="3"/>
      <c r="AQ1064" s="3"/>
      <c r="AR1064" s="3"/>
      <c r="AS1064" s="3"/>
      <c r="AT1064" s="3"/>
      <c r="AU1064" s="3"/>
      <c r="AV1064" s="3"/>
      <c r="AW1064" s="3"/>
      <c r="AX1064" s="3"/>
      <c r="AY1064" s="3"/>
      <c r="AZ1064" s="3"/>
      <c r="BA1064" s="3"/>
      <c r="BB1064" s="3"/>
      <c r="BC1064" s="3"/>
      <c r="BD1064" s="3"/>
      <c r="BE1064" s="3"/>
      <c r="BF1064" s="3"/>
      <c r="BG1064" s="3"/>
      <c r="BH1064" s="3"/>
      <c r="BI1064" s="3"/>
      <c r="BJ1064" s="3"/>
      <c r="BK1064" s="3"/>
      <c r="BL1064" s="3"/>
      <c r="BM1064" s="3"/>
      <c r="BN1064" s="3"/>
      <c r="BO1064" s="3"/>
      <c r="BP1064" s="3"/>
      <c r="BQ1064" s="3"/>
      <c r="BR1064" s="3"/>
      <c r="BS1064" s="3"/>
      <c r="BT1064" s="3"/>
      <c r="BU1064" s="3"/>
      <c r="BV1064" s="3"/>
      <c r="BW1064" s="3"/>
      <c r="BX1064" s="3"/>
      <c r="BY1064" s="3"/>
      <c r="BZ1064" s="3"/>
      <c r="CA1064" s="3"/>
      <c r="CB1064" s="3"/>
      <c r="CC1064" s="3"/>
      <c r="CD1064" s="3"/>
      <c r="CE1064" s="3"/>
      <c r="CF1064" s="3"/>
      <c r="CG1064" s="3"/>
      <c r="CH1064" s="3"/>
      <c r="CI1064" s="3"/>
      <c r="CJ1064" s="3"/>
      <c r="CK1064" s="3"/>
      <c r="CL1064" s="3"/>
      <c r="CM1064" s="3"/>
      <c r="CN1064" s="3"/>
      <c r="CO1064" s="3"/>
      <c r="CP1064" s="3"/>
      <c r="CQ1064" s="3"/>
      <c r="CR1064" s="3"/>
      <c r="CS1064" s="3"/>
      <c r="CT1064" s="3"/>
      <c r="CU1064" s="3"/>
      <c r="CV1064" s="3"/>
      <c r="CW1064" s="3"/>
      <c r="CX1064" s="3"/>
      <c r="CY1064" s="3"/>
      <c r="CZ1064" s="3"/>
      <c r="DA1064" s="3"/>
      <c r="DB1064" s="3"/>
      <c r="DC1064" s="3"/>
      <c r="DD1064" s="3"/>
      <c r="DE1064" s="3"/>
      <c r="DF1064" s="3"/>
      <c r="DG1064" s="3"/>
      <c r="DH1064" s="3"/>
      <c r="DI1064" s="3"/>
      <c r="DJ1064" s="3"/>
      <c r="DK1064" s="3"/>
      <c r="DL1064" s="3"/>
      <c r="DM1064" s="3"/>
      <c r="DN1064" s="3"/>
      <c r="DO1064" s="3"/>
      <c r="DP1064" s="3"/>
      <c r="DQ1064" s="3"/>
      <c r="DR1064" s="3"/>
      <c r="DS1064" s="3"/>
      <c r="DT1064" s="3"/>
      <c r="DU1064" s="3"/>
      <c r="DV1064" s="3"/>
      <c r="DW1064" s="3"/>
      <c r="DX1064" s="3"/>
      <c r="DY1064" s="3"/>
      <c r="DZ1064" s="3"/>
      <c r="EA1064" s="3"/>
      <c r="EB1064" s="3"/>
      <c r="EC1064" s="3"/>
      <c r="ED1064" s="3"/>
      <c r="EE1064" s="3"/>
      <c r="EF1064" s="3"/>
      <c r="EG1064" s="3"/>
      <c r="EH1064" s="3"/>
      <c r="EI1064" s="3"/>
      <c r="EJ1064" s="3"/>
      <c r="EK1064" s="3"/>
      <c r="EL1064" s="3"/>
      <c r="EM1064" s="3"/>
      <c r="EN1064" s="3"/>
      <c r="EO1064" s="3"/>
      <c r="EP1064" s="3"/>
      <c r="EQ1064" s="3"/>
      <c r="ER1064" s="3"/>
      <c r="ES1064" s="3"/>
      <c r="ET1064" s="3"/>
      <c r="EU1064" s="3"/>
      <c r="EV1064" s="3"/>
      <c r="EW1064" s="3"/>
      <c r="EX1064" s="3"/>
      <c r="EY1064" s="3"/>
      <c r="EZ1064" s="3"/>
      <c r="FA1064" s="3"/>
      <c r="FB1064" s="3"/>
      <c r="FC1064" s="3"/>
      <c r="FD1064" s="3"/>
      <c r="FE1064" s="3"/>
      <c r="FF1064" s="3"/>
      <c r="FG1064" s="3"/>
      <c r="FH1064" s="3"/>
      <c r="FI1064" s="3"/>
      <c r="FJ1064" s="3"/>
      <c r="FK1064" s="3"/>
      <c r="FL1064" s="3"/>
      <c r="FM1064" s="3"/>
      <c r="FN1064" s="3"/>
      <c r="FO1064" s="3"/>
      <c r="FP1064" s="3"/>
      <c r="FQ1064" s="3"/>
      <c r="FR1064" s="3"/>
      <c r="FS1064" s="3"/>
      <c r="FT1064" s="3"/>
      <c r="FU1064" s="3"/>
      <c r="FV1064" s="3"/>
      <c r="FW1064" s="3"/>
      <c r="FX1064" s="3"/>
      <c r="FY1064" s="3"/>
      <c r="FZ1064" s="3"/>
      <c r="GA1064" s="3"/>
      <c r="GB1064" s="3"/>
      <c r="GC1064" s="3"/>
      <c r="GD1064" s="3"/>
      <c r="GE1064" s="3"/>
      <c r="GF1064" s="3"/>
      <c r="GG1064" s="3"/>
      <c r="GH1064" s="3"/>
      <c r="GI1064" s="3"/>
      <c r="GJ1064" s="3"/>
      <c r="GK1064" s="3"/>
      <c r="GL1064" s="3"/>
      <c r="GM1064" s="3"/>
      <c r="GN1064" s="3"/>
      <c r="GO1064" s="3"/>
      <c r="GP1064" s="3"/>
      <c r="GQ1064" s="3"/>
      <c r="GR1064" s="3"/>
      <c r="GS1064" s="3"/>
      <c r="GT1064" s="3"/>
      <c r="GU1064" s="3"/>
      <c r="GV1064" s="3"/>
      <c r="GW1064" s="3"/>
      <c r="GX1064" s="3"/>
      <c r="GY1064" s="3"/>
      <c r="GZ1064" s="3"/>
      <c r="HA1064" s="3"/>
      <c r="HB1064" s="3"/>
      <c r="HC1064" s="3"/>
      <c r="HD1064" s="3"/>
      <c r="HE1064" s="3"/>
      <c r="HF1064" s="3"/>
      <c r="HG1064" s="3"/>
      <c r="HH1064" s="3"/>
      <c r="HI1064" s="3"/>
      <c r="HJ1064" s="3"/>
      <c r="HK1064" s="3"/>
      <c r="HL1064" s="3"/>
      <c r="HM1064" s="3"/>
      <c r="HN1064" s="3"/>
      <c r="HO1064" s="3"/>
      <c r="HP1064" s="3"/>
      <c r="HQ1064" s="3"/>
      <c r="HR1064" s="3"/>
      <c r="HS1064" s="3"/>
      <c r="HT1064" s="3"/>
      <c r="HU1064" s="3"/>
      <c r="HV1064" s="3"/>
      <c r="HW1064" s="3"/>
      <c r="HX1064" s="3"/>
      <c r="HY1064" s="3"/>
      <c r="HZ1064" s="3"/>
      <c r="IA1064" s="3"/>
      <c r="IB1064" s="3"/>
      <c r="IC1064" s="3"/>
      <c r="ID1064" s="3"/>
      <c r="IE1064" s="3"/>
      <c r="IF1064" s="3"/>
      <c r="IG1064" s="3"/>
      <c r="IH1064" s="3"/>
      <c r="II1064" s="3"/>
      <c r="IJ1064" s="3"/>
      <c r="IK1064" s="3"/>
      <c r="IL1064" s="3"/>
      <c r="IM1064" s="3"/>
      <c r="IN1064" s="3"/>
      <c r="IO1064" s="3"/>
      <c r="IP1064" s="3"/>
      <c r="IQ1064" s="3"/>
      <c r="IR1064" s="3"/>
      <c r="IS1064" s="3"/>
      <c r="IT1064" s="3"/>
      <c r="IU1064" s="3"/>
      <c r="IV1064" s="3"/>
    </row>
    <row r="1065" spans="1:256" s="663" customFormat="1">
      <c r="A1065" s="61"/>
      <c r="B1065" s="961"/>
      <c r="C1065" s="317" t="s">
        <v>1221</v>
      </c>
      <c r="D1065" s="310"/>
      <c r="E1065" s="980">
        <v>0.01</v>
      </c>
      <c r="F1065" s="28">
        <f>SUM(G1062:G1064)</f>
        <v>2723.2</v>
      </c>
      <c r="G1065" s="628">
        <f>ROUND(F1065*E1065,2)</f>
        <v>27.23</v>
      </c>
      <c r="I1065" s="152"/>
      <c r="J1065" s="3"/>
      <c r="K1065" s="3"/>
      <c r="L1065" s="3"/>
      <c r="M1065" s="3"/>
      <c r="N1065" s="3"/>
      <c r="O1065" s="3"/>
      <c r="P1065" s="3"/>
      <c r="Q1065" s="3"/>
      <c r="R1065" s="3"/>
      <c r="S1065" s="3"/>
      <c r="T1065" s="3"/>
      <c r="U1065" s="3"/>
      <c r="V1065" s="3"/>
      <c r="W1065" s="3"/>
      <c r="X1065" s="3"/>
      <c r="Y1065" s="3"/>
      <c r="Z1065" s="3"/>
      <c r="AA1065" s="3"/>
      <c r="AB1065" s="3"/>
      <c r="AC1065" s="3"/>
      <c r="AD1065" s="3"/>
      <c r="AE1065" s="3"/>
      <c r="AF1065" s="3"/>
      <c r="AG1065" s="3"/>
      <c r="AH1065" s="3"/>
      <c r="AI1065" s="3"/>
      <c r="AJ1065" s="3"/>
      <c r="AK1065" s="3"/>
      <c r="AL1065" s="3"/>
      <c r="AM1065" s="3"/>
      <c r="AN1065" s="3"/>
      <c r="AO1065" s="3"/>
      <c r="AP1065" s="3"/>
      <c r="AQ1065" s="3"/>
      <c r="AR1065" s="3"/>
      <c r="AS1065" s="3"/>
      <c r="AT1065" s="3"/>
      <c r="AU1065" s="3"/>
      <c r="AV1065" s="3"/>
      <c r="AW1065" s="3"/>
      <c r="AX1065" s="3"/>
      <c r="AY1065" s="3"/>
      <c r="AZ1065" s="3"/>
      <c r="BA1065" s="3"/>
      <c r="BB1065" s="3"/>
      <c r="BC1065" s="3"/>
      <c r="BD1065" s="3"/>
      <c r="BE1065" s="3"/>
      <c r="BF1065" s="3"/>
      <c r="BG1065" s="3"/>
      <c r="BH1065" s="3"/>
      <c r="BI1065" s="3"/>
      <c r="BJ1065" s="3"/>
      <c r="BK1065" s="3"/>
      <c r="BL1065" s="3"/>
      <c r="BM1065" s="3"/>
      <c r="BN1065" s="3"/>
      <c r="BO1065" s="3"/>
      <c r="BP1065" s="3"/>
      <c r="BQ1065" s="3"/>
      <c r="BR1065" s="3"/>
      <c r="BS1065" s="3"/>
      <c r="BT1065" s="3"/>
      <c r="BU1065" s="3"/>
      <c r="BV1065" s="3"/>
      <c r="BW1065" s="3"/>
      <c r="BX1065" s="3"/>
      <c r="BY1065" s="3"/>
      <c r="BZ1065" s="3"/>
      <c r="CA1065" s="3"/>
      <c r="CB1065" s="3"/>
      <c r="CC1065" s="3"/>
      <c r="CD1065" s="3"/>
      <c r="CE1065" s="3"/>
      <c r="CF1065" s="3"/>
      <c r="CG1065" s="3"/>
      <c r="CH1065" s="3"/>
      <c r="CI1065" s="3"/>
      <c r="CJ1065" s="3"/>
      <c r="CK1065" s="3"/>
      <c r="CL1065" s="3"/>
      <c r="CM1065" s="3"/>
      <c r="CN1065" s="3"/>
      <c r="CO1065" s="3"/>
      <c r="CP1065" s="3"/>
      <c r="CQ1065" s="3"/>
      <c r="CR1065" s="3"/>
      <c r="CS1065" s="3"/>
      <c r="CT1065" s="3"/>
      <c r="CU1065" s="3"/>
      <c r="CV1065" s="3"/>
      <c r="CW1065" s="3"/>
      <c r="CX1065" s="3"/>
      <c r="CY1065" s="3"/>
      <c r="CZ1065" s="3"/>
      <c r="DA1065" s="3"/>
      <c r="DB1065" s="3"/>
      <c r="DC1065" s="3"/>
      <c r="DD1065" s="3"/>
      <c r="DE1065" s="3"/>
      <c r="DF1065" s="3"/>
      <c r="DG1065" s="3"/>
      <c r="DH1065" s="3"/>
      <c r="DI1065" s="3"/>
      <c r="DJ1065" s="3"/>
      <c r="DK1065" s="3"/>
      <c r="DL1065" s="3"/>
      <c r="DM1065" s="3"/>
      <c r="DN1065" s="3"/>
      <c r="DO1065" s="3"/>
      <c r="DP1065" s="3"/>
      <c r="DQ1065" s="3"/>
      <c r="DR1065" s="3"/>
      <c r="DS1065" s="3"/>
      <c r="DT1065" s="3"/>
      <c r="DU1065" s="3"/>
      <c r="DV1065" s="3"/>
      <c r="DW1065" s="3"/>
      <c r="DX1065" s="3"/>
      <c r="DY1065" s="3"/>
      <c r="DZ1065" s="3"/>
      <c r="EA1065" s="3"/>
      <c r="EB1065" s="3"/>
      <c r="EC1065" s="3"/>
      <c r="ED1065" s="3"/>
      <c r="EE1065" s="3"/>
      <c r="EF1065" s="3"/>
      <c r="EG1065" s="3"/>
      <c r="EH1065" s="3"/>
      <c r="EI1065" s="3"/>
      <c r="EJ1065" s="3"/>
      <c r="EK1065" s="3"/>
      <c r="EL1065" s="3"/>
      <c r="EM1065" s="3"/>
      <c r="EN1065" s="3"/>
      <c r="EO1065" s="3"/>
      <c r="EP1065" s="3"/>
      <c r="EQ1065" s="3"/>
      <c r="ER1065" s="3"/>
      <c r="ES1065" s="3"/>
      <c r="ET1065" s="3"/>
      <c r="EU1065" s="3"/>
      <c r="EV1065" s="3"/>
      <c r="EW1065" s="3"/>
      <c r="EX1065" s="3"/>
      <c r="EY1065" s="3"/>
      <c r="EZ1065" s="3"/>
      <c r="FA1065" s="3"/>
      <c r="FB1065" s="3"/>
      <c r="FC1065" s="3"/>
      <c r="FD1065" s="3"/>
      <c r="FE1065" s="3"/>
      <c r="FF1065" s="3"/>
      <c r="FG1065" s="3"/>
      <c r="FH1065" s="3"/>
      <c r="FI1065" s="3"/>
      <c r="FJ1065" s="3"/>
      <c r="FK1065" s="3"/>
      <c r="FL1065" s="3"/>
      <c r="FM1065" s="3"/>
      <c r="FN1065" s="3"/>
      <c r="FO1065" s="3"/>
      <c r="FP1065" s="3"/>
      <c r="FQ1065" s="3"/>
      <c r="FR1065" s="3"/>
      <c r="FS1065" s="3"/>
      <c r="FT1065" s="3"/>
      <c r="FU1065" s="3"/>
      <c r="FV1065" s="3"/>
      <c r="FW1065" s="3"/>
      <c r="FX1065" s="3"/>
      <c r="FY1065" s="3"/>
      <c r="FZ1065" s="3"/>
      <c r="GA1065" s="3"/>
      <c r="GB1065" s="3"/>
      <c r="GC1065" s="3"/>
      <c r="GD1065" s="3"/>
      <c r="GE1065" s="3"/>
      <c r="GF1065" s="3"/>
      <c r="GG1065" s="3"/>
      <c r="GH1065" s="3"/>
      <c r="GI1065" s="3"/>
      <c r="GJ1065" s="3"/>
      <c r="GK1065" s="3"/>
      <c r="GL1065" s="3"/>
      <c r="GM1065" s="3"/>
      <c r="GN1065" s="3"/>
      <c r="GO1065" s="3"/>
      <c r="GP1065" s="3"/>
      <c r="GQ1065" s="3"/>
      <c r="GR1065" s="3"/>
      <c r="GS1065" s="3"/>
      <c r="GT1065" s="3"/>
      <c r="GU1065" s="3"/>
      <c r="GV1065" s="3"/>
      <c r="GW1065" s="3"/>
      <c r="GX1065" s="3"/>
      <c r="GY1065" s="3"/>
      <c r="GZ1065" s="3"/>
      <c r="HA1065" s="3"/>
      <c r="HB1065" s="3"/>
      <c r="HC1065" s="3"/>
      <c r="HD1065" s="3"/>
      <c r="HE1065" s="3"/>
      <c r="HF1065" s="3"/>
      <c r="HG1065" s="3"/>
      <c r="HH1065" s="3"/>
      <c r="HI1065" s="3"/>
      <c r="HJ1065" s="3"/>
      <c r="HK1065" s="3"/>
      <c r="HL1065" s="3"/>
      <c r="HM1065" s="3"/>
      <c r="HN1065" s="3"/>
      <c r="HO1065" s="3"/>
      <c r="HP1065" s="3"/>
      <c r="HQ1065" s="3"/>
      <c r="HR1065" s="3"/>
      <c r="HS1065" s="3"/>
      <c r="HT1065" s="3"/>
      <c r="HU1065" s="3"/>
      <c r="HV1065" s="3"/>
      <c r="HW1065" s="3"/>
      <c r="HX1065" s="3"/>
      <c r="HY1065" s="3"/>
      <c r="HZ1065" s="3"/>
      <c r="IA1065" s="3"/>
      <c r="IB1065" s="3"/>
      <c r="IC1065" s="3"/>
      <c r="ID1065" s="3"/>
      <c r="IE1065" s="3"/>
      <c r="IF1065" s="3"/>
      <c r="IG1065" s="3"/>
      <c r="IH1065" s="3"/>
      <c r="II1065" s="3"/>
      <c r="IJ1065" s="3"/>
      <c r="IK1065" s="3"/>
      <c r="IL1065" s="3"/>
      <c r="IM1065" s="3"/>
      <c r="IN1065" s="3"/>
      <c r="IO1065" s="3"/>
      <c r="IP1065" s="3"/>
      <c r="IQ1065" s="3"/>
      <c r="IR1065" s="3"/>
      <c r="IS1065" s="3"/>
      <c r="IT1065" s="3"/>
      <c r="IU1065" s="3"/>
      <c r="IV1065" s="3"/>
    </row>
    <row r="1066" spans="1:256" s="663" customFormat="1">
      <c r="A1066" s="627"/>
      <c r="B1066" s="961"/>
      <c r="C1066" s="643" t="s">
        <v>896</v>
      </c>
      <c r="D1066" s="644"/>
      <c r="E1066" s="645">
        <f>'Lead- Input sheet '!Q31</f>
        <v>0</v>
      </c>
      <c r="F1066" s="922">
        <f>ROUND(SUM(G1062:G1064),2)</f>
        <v>2723.2</v>
      </c>
      <c r="G1066" s="646">
        <f>ROUND(F1066*E1066,2)</f>
        <v>0</v>
      </c>
      <c r="I1066" s="152"/>
      <c r="J1066" s="3"/>
      <c r="K1066" s="3"/>
      <c r="L1066" s="3"/>
      <c r="M1066" s="3"/>
      <c r="N1066" s="3"/>
      <c r="O1066" s="3"/>
      <c r="P1066" s="3"/>
      <c r="Q1066" s="3"/>
      <c r="R1066" s="3"/>
      <c r="S1066" s="3"/>
      <c r="T1066" s="3"/>
      <c r="U1066" s="3"/>
      <c r="V1066" s="3"/>
      <c r="W1066" s="3"/>
      <c r="X1066" s="3"/>
      <c r="Y1066" s="3"/>
      <c r="Z1066" s="3"/>
      <c r="AA1066" s="3"/>
      <c r="AB1066" s="3"/>
      <c r="AC1066" s="3"/>
      <c r="AD1066" s="3"/>
      <c r="AE1066" s="3"/>
      <c r="AF1066" s="3"/>
      <c r="AG1066" s="3"/>
      <c r="AH1066" s="3"/>
      <c r="AI1066" s="3"/>
      <c r="AJ1066" s="3"/>
      <c r="AK1066" s="3"/>
      <c r="AL1066" s="3"/>
      <c r="AM1066" s="3"/>
      <c r="AN1066" s="3"/>
      <c r="AO1066" s="3"/>
      <c r="AP1066" s="3"/>
      <c r="AQ1066" s="3"/>
      <c r="AR1066" s="3"/>
      <c r="AS1066" s="3"/>
      <c r="AT1066" s="3"/>
      <c r="AU1066" s="3"/>
      <c r="AV1066" s="3"/>
      <c r="AW1066" s="3"/>
      <c r="AX1066" s="3"/>
      <c r="AY1066" s="3"/>
      <c r="AZ1066" s="3"/>
      <c r="BA1066" s="3"/>
      <c r="BB1066" s="3"/>
      <c r="BC1066" s="3"/>
      <c r="BD1066" s="3"/>
      <c r="BE1066" s="3"/>
      <c r="BF1066" s="3"/>
      <c r="BG1066" s="3"/>
      <c r="BH1066" s="3"/>
      <c r="BI1066" s="3"/>
      <c r="BJ1066" s="3"/>
      <c r="BK1066" s="3"/>
      <c r="BL1066" s="3"/>
      <c r="BM1066" s="3"/>
      <c r="BN1066" s="3"/>
      <c r="BO1066" s="3"/>
      <c r="BP1066" s="3"/>
      <c r="BQ1066" s="3"/>
      <c r="BR1066" s="3"/>
      <c r="BS1066" s="3"/>
      <c r="BT1066" s="3"/>
      <c r="BU1066" s="3"/>
      <c r="BV1066" s="3"/>
      <c r="BW1066" s="3"/>
      <c r="BX1066" s="3"/>
      <c r="BY1066" s="3"/>
      <c r="BZ1066" s="3"/>
      <c r="CA1066" s="3"/>
      <c r="CB1066" s="3"/>
      <c r="CC1066" s="3"/>
      <c r="CD1066" s="3"/>
      <c r="CE1066" s="3"/>
      <c r="CF1066" s="3"/>
      <c r="CG1066" s="3"/>
      <c r="CH1066" s="3"/>
      <c r="CI1066" s="3"/>
      <c r="CJ1066" s="3"/>
      <c r="CK1066" s="3"/>
      <c r="CL1066" s="3"/>
      <c r="CM1066" s="3"/>
      <c r="CN1066" s="3"/>
      <c r="CO1066" s="3"/>
      <c r="CP1066" s="3"/>
      <c r="CQ1066" s="3"/>
      <c r="CR1066" s="3"/>
      <c r="CS1066" s="3"/>
      <c r="CT1066" s="3"/>
      <c r="CU1066" s="3"/>
      <c r="CV1066" s="3"/>
      <c r="CW1066" s="3"/>
      <c r="CX1066" s="3"/>
      <c r="CY1066" s="3"/>
      <c r="CZ1066" s="3"/>
      <c r="DA1066" s="3"/>
      <c r="DB1066" s="3"/>
      <c r="DC1066" s="3"/>
      <c r="DD1066" s="3"/>
      <c r="DE1066" s="3"/>
      <c r="DF1066" s="3"/>
      <c r="DG1066" s="3"/>
      <c r="DH1066" s="3"/>
      <c r="DI1066" s="3"/>
      <c r="DJ1066" s="3"/>
      <c r="DK1066" s="3"/>
      <c r="DL1066" s="3"/>
      <c r="DM1066" s="3"/>
      <c r="DN1066" s="3"/>
      <c r="DO1066" s="3"/>
      <c r="DP1066" s="3"/>
      <c r="DQ1066" s="3"/>
      <c r="DR1066" s="3"/>
      <c r="DS1066" s="3"/>
      <c r="DT1066" s="3"/>
      <c r="DU1066" s="3"/>
      <c r="DV1066" s="3"/>
      <c r="DW1066" s="3"/>
      <c r="DX1066" s="3"/>
      <c r="DY1066" s="3"/>
      <c r="DZ1066" s="3"/>
      <c r="EA1066" s="3"/>
      <c r="EB1066" s="3"/>
      <c r="EC1066" s="3"/>
      <c r="ED1066" s="3"/>
      <c r="EE1066" s="3"/>
      <c r="EF1066" s="3"/>
      <c r="EG1066" s="3"/>
      <c r="EH1066" s="3"/>
      <c r="EI1066" s="3"/>
      <c r="EJ1066" s="3"/>
      <c r="EK1066" s="3"/>
      <c r="EL1066" s="3"/>
      <c r="EM1066" s="3"/>
      <c r="EN1066" s="3"/>
      <c r="EO1066" s="3"/>
      <c r="EP1066" s="3"/>
      <c r="EQ1066" s="3"/>
      <c r="ER1066" s="3"/>
      <c r="ES1066" s="3"/>
      <c r="ET1066" s="3"/>
      <c r="EU1066" s="3"/>
      <c r="EV1066" s="3"/>
      <c r="EW1066" s="3"/>
      <c r="EX1066" s="3"/>
      <c r="EY1066" s="3"/>
      <c r="EZ1066" s="3"/>
      <c r="FA1066" s="3"/>
      <c r="FB1066" s="3"/>
      <c r="FC1066" s="3"/>
      <c r="FD1066" s="3"/>
      <c r="FE1066" s="3"/>
      <c r="FF1066" s="3"/>
      <c r="FG1066" s="3"/>
      <c r="FH1066" s="3"/>
      <c r="FI1066" s="3"/>
      <c r="FJ1066" s="3"/>
      <c r="FK1066" s="3"/>
      <c r="FL1066" s="3"/>
      <c r="FM1066" s="3"/>
      <c r="FN1066" s="3"/>
      <c r="FO1066" s="3"/>
      <c r="FP1066" s="3"/>
      <c r="FQ1066" s="3"/>
      <c r="FR1066" s="3"/>
      <c r="FS1066" s="3"/>
      <c r="FT1066" s="3"/>
      <c r="FU1066" s="3"/>
      <c r="FV1066" s="3"/>
      <c r="FW1066" s="3"/>
      <c r="FX1066" s="3"/>
      <c r="FY1066" s="3"/>
      <c r="FZ1066" s="3"/>
      <c r="GA1066" s="3"/>
      <c r="GB1066" s="3"/>
      <c r="GC1066" s="3"/>
      <c r="GD1066" s="3"/>
      <c r="GE1066" s="3"/>
      <c r="GF1066" s="3"/>
      <c r="GG1066" s="3"/>
      <c r="GH1066" s="3"/>
      <c r="GI1066" s="3"/>
      <c r="GJ1066" s="3"/>
      <c r="GK1066" s="3"/>
      <c r="GL1066" s="3"/>
      <c r="GM1066" s="3"/>
      <c r="GN1066" s="3"/>
      <c r="GO1066" s="3"/>
      <c r="GP1066" s="3"/>
      <c r="GQ1066" s="3"/>
      <c r="GR1066" s="3"/>
      <c r="GS1066" s="3"/>
      <c r="GT1066" s="3"/>
      <c r="GU1066" s="3"/>
      <c r="GV1066" s="3"/>
      <c r="GW1066" s="3"/>
      <c r="GX1066" s="3"/>
      <c r="GY1066" s="3"/>
      <c r="GZ1066" s="3"/>
      <c r="HA1066" s="3"/>
      <c r="HB1066" s="3"/>
      <c r="HC1066" s="3"/>
      <c r="HD1066" s="3"/>
      <c r="HE1066" s="3"/>
      <c r="HF1066" s="3"/>
      <c r="HG1066" s="3"/>
      <c r="HH1066" s="3"/>
      <c r="HI1066" s="3"/>
      <c r="HJ1066" s="3"/>
      <c r="HK1066" s="3"/>
      <c r="HL1066" s="3"/>
      <c r="HM1066" s="3"/>
      <c r="HN1066" s="3"/>
      <c r="HO1066" s="3"/>
      <c r="HP1066" s="3"/>
      <c r="HQ1066" s="3"/>
      <c r="HR1066" s="3"/>
      <c r="HS1066" s="3"/>
      <c r="HT1066" s="3"/>
      <c r="HU1066" s="3"/>
      <c r="HV1066" s="3"/>
      <c r="HW1066" s="3"/>
      <c r="HX1066" s="3"/>
      <c r="HY1066" s="3"/>
      <c r="HZ1066" s="3"/>
      <c r="IA1066" s="3"/>
      <c r="IB1066" s="3"/>
      <c r="IC1066" s="3"/>
      <c r="ID1066" s="3"/>
      <c r="IE1066" s="3"/>
      <c r="IF1066" s="3"/>
      <c r="IG1066" s="3"/>
      <c r="IH1066" s="3"/>
      <c r="II1066" s="3"/>
      <c r="IJ1066" s="3"/>
      <c r="IK1066" s="3"/>
      <c r="IL1066" s="3"/>
      <c r="IM1066" s="3"/>
      <c r="IN1066" s="3"/>
      <c r="IO1066" s="3"/>
      <c r="IP1066" s="3"/>
      <c r="IQ1066" s="3"/>
      <c r="IR1066" s="3"/>
      <c r="IS1066" s="3"/>
      <c r="IT1066" s="3"/>
      <c r="IU1066" s="3"/>
      <c r="IV1066" s="3"/>
    </row>
    <row r="1067" spans="1:256" s="663" customFormat="1">
      <c r="A1067" s="61"/>
      <c r="B1067" s="961"/>
      <c r="C1067" s="977" t="s">
        <v>1758</v>
      </c>
      <c r="D1067" s="310"/>
      <c r="E1067" s="976"/>
      <c r="F1067" s="28"/>
      <c r="G1067" s="628">
        <f>SUM(G1054:G1066)</f>
        <v>8185.4399999999987</v>
      </c>
      <c r="I1067" s="152"/>
      <c r="J1067" s="3"/>
      <c r="K1067" s="3"/>
      <c r="L1067" s="3"/>
      <c r="M1067" s="3"/>
      <c r="N1067" s="3"/>
      <c r="O1067" s="3"/>
      <c r="P1067" s="3"/>
      <c r="Q1067" s="3"/>
      <c r="R1067" s="3"/>
      <c r="S1067" s="3"/>
      <c r="T1067" s="3"/>
      <c r="U1067" s="3"/>
      <c r="V1067" s="3"/>
      <c r="W1067" s="3"/>
      <c r="X1067" s="3"/>
      <c r="Y1067" s="3"/>
      <c r="Z1067" s="3"/>
      <c r="AA1067" s="3"/>
      <c r="AB1067" s="3"/>
      <c r="AC1067" s="3"/>
      <c r="AD1067" s="3"/>
      <c r="AE1067" s="3"/>
      <c r="AF1067" s="3"/>
      <c r="AG1067" s="3"/>
      <c r="AH1067" s="3"/>
      <c r="AI1067" s="3"/>
      <c r="AJ1067" s="3"/>
      <c r="AK1067" s="3"/>
      <c r="AL1067" s="3"/>
      <c r="AM1067" s="3"/>
      <c r="AN1067" s="3"/>
      <c r="AO1067" s="3"/>
      <c r="AP1067" s="3"/>
      <c r="AQ1067" s="3"/>
      <c r="AR1067" s="3"/>
      <c r="AS1067" s="3"/>
      <c r="AT1067" s="3"/>
      <c r="AU1067" s="3"/>
      <c r="AV1067" s="3"/>
      <c r="AW1067" s="3"/>
      <c r="AX1067" s="3"/>
      <c r="AY1067" s="3"/>
      <c r="AZ1067" s="3"/>
      <c r="BA1067" s="3"/>
      <c r="BB1067" s="3"/>
      <c r="BC1067" s="3"/>
      <c r="BD1067" s="3"/>
      <c r="BE1067" s="3"/>
      <c r="BF1067" s="3"/>
      <c r="BG1067" s="3"/>
      <c r="BH1067" s="3"/>
      <c r="BI1067" s="3"/>
      <c r="BJ1067" s="3"/>
      <c r="BK1067" s="3"/>
      <c r="BL1067" s="3"/>
      <c r="BM1067" s="3"/>
      <c r="BN1067" s="3"/>
      <c r="BO1067" s="3"/>
      <c r="BP1067" s="3"/>
      <c r="BQ1067" s="3"/>
      <c r="BR1067" s="3"/>
      <c r="BS1067" s="3"/>
      <c r="BT1067" s="3"/>
      <c r="BU1067" s="3"/>
      <c r="BV1067" s="3"/>
      <c r="BW1067" s="3"/>
      <c r="BX1067" s="3"/>
      <c r="BY1067" s="3"/>
      <c r="BZ1067" s="3"/>
      <c r="CA1067" s="3"/>
      <c r="CB1067" s="3"/>
      <c r="CC1067" s="3"/>
      <c r="CD1067" s="3"/>
      <c r="CE1067" s="3"/>
      <c r="CF1067" s="3"/>
      <c r="CG1067" s="3"/>
      <c r="CH1067" s="3"/>
      <c r="CI1067" s="3"/>
      <c r="CJ1067" s="3"/>
      <c r="CK1067" s="3"/>
      <c r="CL1067" s="3"/>
      <c r="CM1067" s="3"/>
      <c r="CN1067" s="3"/>
      <c r="CO1067" s="3"/>
      <c r="CP1067" s="3"/>
      <c r="CQ1067" s="3"/>
      <c r="CR1067" s="3"/>
      <c r="CS1067" s="3"/>
      <c r="CT1067" s="3"/>
      <c r="CU1067" s="3"/>
      <c r="CV1067" s="3"/>
      <c r="CW1067" s="3"/>
      <c r="CX1067" s="3"/>
      <c r="CY1067" s="3"/>
      <c r="CZ1067" s="3"/>
      <c r="DA1067" s="3"/>
      <c r="DB1067" s="3"/>
      <c r="DC1067" s="3"/>
      <c r="DD1067" s="3"/>
      <c r="DE1067" s="3"/>
      <c r="DF1067" s="3"/>
      <c r="DG1067" s="3"/>
      <c r="DH1067" s="3"/>
      <c r="DI1067" s="3"/>
      <c r="DJ1067" s="3"/>
      <c r="DK1067" s="3"/>
      <c r="DL1067" s="3"/>
      <c r="DM1067" s="3"/>
      <c r="DN1067" s="3"/>
      <c r="DO1067" s="3"/>
      <c r="DP1067" s="3"/>
      <c r="DQ1067" s="3"/>
      <c r="DR1067" s="3"/>
      <c r="DS1067" s="3"/>
      <c r="DT1067" s="3"/>
      <c r="DU1067" s="3"/>
      <c r="DV1067" s="3"/>
      <c r="DW1067" s="3"/>
      <c r="DX1067" s="3"/>
      <c r="DY1067" s="3"/>
      <c r="DZ1067" s="3"/>
      <c r="EA1067" s="3"/>
      <c r="EB1067" s="3"/>
      <c r="EC1067" s="3"/>
      <c r="ED1067" s="3"/>
      <c r="EE1067" s="3"/>
      <c r="EF1067" s="3"/>
      <c r="EG1067" s="3"/>
      <c r="EH1067" s="3"/>
      <c r="EI1067" s="3"/>
      <c r="EJ1067" s="3"/>
      <c r="EK1067" s="3"/>
      <c r="EL1067" s="3"/>
      <c r="EM1067" s="3"/>
      <c r="EN1067" s="3"/>
      <c r="EO1067" s="3"/>
      <c r="EP1067" s="3"/>
      <c r="EQ1067" s="3"/>
      <c r="ER1067" s="3"/>
      <c r="ES1067" s="3"/>
      <c r="ET1067" s="3"/>
      <c r="EU1067" s="3"/>
      <c r="EV1067" s="3"/>
      <c r="EW1067" s="3"/>
      <c r="EX1067" s="3"/>
      <c r="EY1067" s="3"/>
      <c r="EZ1067" s="3"/>
      <c r="FA1067" s="3"/>
      <c r="FB1067" s="3"/>
      <c r="FC1067" s="3"/>
      <c r="FD1067" s="3"/>
      <c r="FE1067" s="3"/>
      <c r="FF1067" s="3"/>
      <c r="FG1067" s="3"/>
      <c r="FH1067" s="3"/>
      <c r="FI1067" s="3"/>
      <c r="FJ1067" s="3"/>
      <c r="FK1067" s="3"/>
      <c r="FL1067" s="3"/>
      <c r="FM1067" s="3"/>
      <c r="FN1067" s="3"/>
      <c r="FO1067" s="3"/>
      <c r="FP1067" s="3"/>
      <c r="FQ1067" s="3"/>
      <c r="FR1067" s="3"/>
      <c r="FS1067" s="3"/>
      <c r="FT1067" s="3"/>
      <c r="FU1067" s="3"/>
      <c r="FV1067" s="3"/>
      <c r="FW1067" s="3"/>
      <c r="FX1067" s="3"/>
      <c r="FY1067" s="3"/>
      <c r="FZ1067" s="3"/>
      <c r="GA1067" s="3"/>
      <c r="GB1067" s="3"/>
      <c r="GC1067" s="3"/>
      <c r="GD1067" s="3"/>
      <c r="GE1067" s="3"/>
      <c r="GF1067" s="3"/>
      <c r="GG1067" s="3"/>
      <c r="GH1067" s="3"/>
      <c r="GI1067" s="3"/>
      <c r="GJ1067" s="3"/>
      <c r="GK1067" s="3"/>
      <c r="GL1067" s="3"/>
      <c r="GM1067" s="3"/>
      <c r="GN1067" s="3"/>
      <c r="GO1067" s="3"/>
      <c r="GP1067" s="3"/>
      <c r="GQ1067" s="3"/>
      <c r="GR1067" s="3"/>
      <c r="GS1067" s="3"/>
      <c r="GT1067" s="3"/>
      <c r="GU1067" s="3"/>
      <c r="GV1067" s="3"/>
      <c r="GW1067" s="3"/>
      <c r="GX1067" s="3"/>
      <c r="GY1067" s="3"/>
      <c r="GZ1067" s="3"/>
      <c r="HA1067" s="3"/>
      <c r="HB1067" s="3"/>
      <c r="HC1067" s="3"/>
      <c r="HD1067" s="3"/>
      <c r="HE1067" s="3"/>
      <c r="HF1067" s="3"/>
      <c r="HG1067" s="3"/>
      <c r="HH1067" s="3"/>
      <c r="HI1067" s="3"/>
      <c r="HJ1067" s="3"/>
      <c r="HK1067" s="3"/>
      <c r="HL1067" s="3"/>
      <c r="HM1067" s="3"/>
      <c r="HN1067" s="3"/>
      <c r="HO1067" s="3"/>
      <c r="HP1067" s="3"/>
      <c r="HQ1067" s="3"/>
      <c r="HR1067" s="3"/>
      <c r="HS1067" s="3"/>
      <c r="HT1067" s="3"/>
      <c r="HU1067" s="3"/>
      <c r="HV1067" s="3"/>
      <c r="HW1067" s="3"/>
      <c r="HX1067" s="3"/>
      <c r="HY1067" s="3"/>
      <c r="HZ1067" s="3"/>
      <c r="IA1067" s="3"/>
      <c r="IB1067" s="3"/>
      <c r="IC1067" s="3"/>
      <c r="ID1067" s="3"/>
      <c r="IE1067" s="3"/>
      <c r="IF1067" s="3"/>
      <c r="IG1067" s="3"/>
      <c r="IH1067" s="3"/>
      <c r="II1067" s="3"/>
      <c r="IJ1067" s="3"/>
      <c r="IK1067" s="3"/>
      <c r="IL1067" s="3"/>
      <c r="IM1067" s="3"/>
      <c r="IN1067" s="3"/>
      <c r="IO1067" s="3"/>
      <c r="IP1067" s="3"/>
      <c r="IQ1067" s="3"/>
      <c r="IR1067" s="3"/>
      <c r="IS1067" s="3"/>
      <c r="IT1067" s="3"/>
      <c r="IU1067" s="3"/>
      <c r="IV1067" s="3"/>
    </row>
    <row r="1068" spans="1:256" s="663" customFormat="1">
      <c r="A1068" s="61"/>
      <c r="B1068" s="963">
        <v>57</v>
      </c>
      <c r="C1068" s="309" t="s">
        <v>1759</v>
      </c>
      <c r="D1068" s="991"/>
      <c r="E1068" s="990"/>
      <c r="F1068" s="991"/>
      <c r="G1068" s="628"/>
      <c r="I1068" s="152"/>
      <c r="J1068" s="3"/>
      <c r="K1068" s="3"/>
      <c r="L1068" s="3"/>
      <c r="M1068" s="3"/>
      <c r="N1068" s="3"/>
      <c r="O1068" s="3"/>
      <c r="P1068" s="3"/>
      <c r="Q1068" s="3"/>
      <c r="R1068" s="3"/>
      <c r="S1068" s="3"/>
      <c r="T1068" s="3"/>
      <c r="U1068" s="3"/>
      <c r="V1068" s="3"/>
      <c r="W1068" s="3"/>
      <c r="X1068" s="3"/>
      <c r="Y1068" s="3"/>
      <c r="Z1068" s="3"/>
      <c r="AA1068" s="3"/>
      <c r="AB1068" s="3"/>
      <c r="AC1068" s="3"/>
      <c r="AD1068" s="3"/>
      <c r="AE1068" s="3"/>
      <c r="AF1068" s="3"/>
      <c r="AG1068" s="3"/>
      <c r="AH1068" s="3"/>
      <c r="AI1068" s="3"/>
      <c r="AJ1068" s="3"/>
      <c r="AK1068" s="3"/>
      <c r="AL1068" s="3"/>
      <c r="AM1068" s="3"/>
      <c r="AN1068" s="3"/>
      <c r="AO1068" s="3"/>
      <c r="AP1068" s="3"/>
      <c r="AQ1068" s="3"/>
      <c r="AR1068" s="3"/>
      <c r="AS1068" s="3"/>
      <c r="AT1068" s="3"/>
      <c r="AU1068" s="3"/>
      <c r="AV1068" s="3"/>
      <c r="AW1068" s="3"/>
      <c r="AX1068" s="3"/>
      <c r="AY1068" s="3"/>
      <c r="AZ1068" s="3"/>
      <c r="BA1068" s="3"/>
      <c r="BB1068" s="3"/>
      <c r="BC1068" s="3"/>
      <c r="BD1068" s="3"/>
      <c r="BE1068" s="3"/>
      <c r="BF1068" s="3"/>
      <c r="BG1068" s="3"/>
      <c r="BH1068" s="3"/>
      <c r="BI1068" s="3"/>
      <c r="BJ1068" s="3"/>
      <c r="BK1068" s="3"/>
      <c r="BL1068" s="3"/>
      <c r="BM1068" s="3"/>
      <c r="BN1068" s="3"/>
      <c r="BO1068" s="3"/>
      <c r="BP1068" s="3"/>
      <c r="BQ1068" s="3"/>
      <c r="BR1068" s="3"/>
      <c r="BS1068" s="3"/>
      <c r="BT1068" s="3"/>
      <c r="BU1068" s="3"/>
      <c r="BV1068" s="3"/>
      <c r="BW1068" s="3"/>
      <c r="BX1068" s="3"/>
      <c r="BY1068" s="3"/>
      <c r="BZ1068" s="3"/>
      <c r="CA1068" s="3"/>
      <c r="CB1068" s="3"/>
      <c r="CC1068" s="3"/>
      <c r="CD1068" s="3"/>
      <c r="CE1068" s="3"/>
      <c r="CF1068" s="3"/>
      <c r="CG1068" s="3"/>
      <c r="CH1068" s="3"/>
      <c r="CI1068" s="3"/>
      <c r="CJ1068" s="3"/>
      <c r="CK1068" s="3"/>
      <c r="CL1068" s="3"/>
      <c r="CM1068" s="3"/>
      <c r="CN1068" s="3"/>
      <c r="CO1068" s="3"/>
      <c r="CP1068" s="3"/>
      <c r="CQ1068" s="3"/>
      <c r="CR1068" s="3"/>
      <c r="CS1068" s="3"/>
      <c r="CT1068" s="3"/>
      <c r="CU1068" s="3"/>
      <c r="CV1068" s="3"/>
      <c r="CW1068" s="3"/>
      <c r="CX1068" s="3"/>
      <c r="CY1068" s="3"/>
      <c r="CZ1068" s="3"/>
      <c r="DA1068" s="3"/>
      <c r="DB1068" s="3"/>
      <c r="DC1068" s="3"/>
      <c r="DD1068" s="3"/>
      <c r="DE1068" s="3"/>
      <c r="DF1068" s="3"/>
      <c r="DG1068" s="3"/>
      <c r="DH1068" s="3"/>
      <c r="DI1068" s="3"/>
      <c r="DJ1068" s="3"/>
      <c r="DK1068" s="3"/>
      <c r="DL1068" s="3"/>
      <c r="DM1068" s="3"/>
      <c r="DN1068" s="3"/>
      <c r="DO1068" s="3"/>
      <c r="DP1068" s="3"/>
      <c r="DQ1068" s="3"/>
      <c r="DR1068" s="3"/>
      <c r="DS1068" s="3"/>
      <c r="DT1068" s="3"/>
      <c r="DU1068" s="3"/>
      <c r="DV1068" s="3"/>
      <c r="DW1068" s="3"/>
      <c r="DX1068" s="3"/>
      <c r="DY1068" s="3"/>
      <c r="DZ1068" s="3"/>
      <c r="EA1068" s="3"/>
      <c r="EB1068" s="3"/>
      <c r="EC1068" s="3"/>
      <c r="ED1068" s="3"/>
      <c r="EE1068" s="3"/>
      <c r="EF1068" s="3"/>
      <c r="EG1068" s="3"/>
      <c r="EH1068" s="3"/>
      <c r="EI1068" s="3"/>
      <c r="EJ1068" s="3"/>
      <c r="EK1068" s="3"/>
      <c r="EL1068" s="3"/>
      <c r="EM1068" s="3"/>
      <c r="EN1068" s="3"/>
      <c r="EO1068" s="3"/>
      <c r="EP1068" s="3"/>
      <c r="EQ1068" s="3"/>
      <c r="ER1068" s="3"/>
      <c r="ES1068" s="3"/>
      <c r="ET1068" s="3"/>
      <c r="EU1068" s="3"/>
      <c r="EV1068" s="3"/>
      <c r="EW1068" s="3"/>
      <c r="EX1068" s="3"/>
      <c r="EY1068" s="3"/>
      <c r="EZ1068" s="3"/>
      <c r="FA1068" s="3"/>
      <c r="FB1068" s="3"/>
      <c r="FC1068" s="3"/>
      <c r="FD1068" s="3"/>
      <c r="FE1068" s="3"/>
      <c r="FF1068" s="3"/>
      <c r="FG1068" s="3"/>
      <c r="FH1068" s="3"/>
      <c r="FI1068" s="3"/>
      <c r="FJ1068" s="3"/>
      <c r="FK1068" s="3"/>
      <c r="FL1068" s="3"/>
      <c r="FM1068" s="3"/>
      <c r="FN1068" s="3"/>
      <c r="FO1068" s="3"/>
      <c r="FP1068" s="3"/>
      <c r="FQ1068" s="3"/>
      <c r="FR1068" s="3"/>
      <c r="FS1068" s="3"/>
      <c r="FT1068" s="3"/>
      <c r="FU1068" s="3"/>
      <c r="FV1068" s="3"/>
      <c r="FW1068" s="3"/>
      <c r="FX1068" s="3"/>
      <c r="FY1068" s="3"/>
      <c r="FZ1068" s="3"/>
      <c r="GA1068" s="3"/>
      <c r="GB1068" s="3"/>
      <c r="GC1068" s="3"/>
      <c r="GD1068" s="3"/>
      <c r="GE1068" s="3"/>
      <c r="GF1068" s="3"/>
      <c r="GG1068" s="3"/>
      <c r="GH1068" s="3"/>
      <c r="GI1068" s="3"/>
      <c r="GJ1068" s="3"/>
      <c r="GK1068" s="3"/>
      <c r="GL1068" s="3"/>
      <c r="GM1068" s="3"/>
      <c r="GN1068" s="3"/>
      <c r="GO1068" s="3"/>
      <c r="GP1068" s="3"/>
      <c r="GQ1068" s="3"/>
      <c r="GR1068" s="3"/>
      <c r="GS1068" s="3"/>
      <c r="GT1068" s="3"/>
      <c r="GU1068" s="3"/>
      <c r="GV1068" s="3"/>
      <c r="GW1068" s="3"/>
      <c r="GX1068" s="3"/>
      <c r="GY1068" s="3"/>
      <c r="GZ1068" s="3"/>
      <c r="HA1068" s="3"/>
      <c r="HB1068" s="3"/>
      <c r="HC1068" s="3"/>
      <c r="HD1068" s="3"/>
      <c r="HE1068" s="3"/>
      <c r="HF1068" s="3"/>
      <c r="HG1068" s="3"/>
      <c r="HH1068" s="3"/>
      <c r="HI1068" s="3"/>
      <c r="HJ1068" s="3"/>
      <c r="HK1068" s="3"/>
      <c r="HL1068" s="3"/>
      <c r="HM1068" s="3"/>
      <c r="HN1068" s="3"/>
      <c r="HO1068" s="3"/>
      <c r="HP1068" s="3"/>
      <c r="HQ1068" s="3"/>
      <c r="HR1068" s="3"/>
      <c r="HS1068" s="3"/>
      <c r="HT1068" s="3"/>
      <c r="HU1068" s="3"/>
      <c r="HV1068" s="3"/>
      <c r="HW1068" s="3"/>
      <c r="HX1068" s="3"/>
      <c r="HY1068" s="3"/>
      <c r="HZ1068" s="3"/>
      <c r="IA1068" s="3"/>
      <c r="IB1068" s="3"/>
      <c r="IC1068" s="3"/>
      <c r="ID1068" s="3"/>
      <c r="IE1068" s="3"/>
      <c r="IF1068" s="3"/>
      <c r="IG1068" s="3"/>
      <c r="IH1068" s="3"/>
      <c r="II1068" s="3"/>
      <c r="IJ1068" s="3"/>
      <c r="IK1068" s="3"/>
      <c r="IL1068" s="3"/>
      <c r="IM1068" s="3"/>
      <c r="IN1068" s="3"/>
      <c r="IO1068" s="3"/>
      <c r="IP1068" s="3"/>
      <c r="IQ1068" s="3"/>
      <c r="IR1068" s="3"/>
      <c r="IS1068" s="3"/>
      <c r="IT1068" s="3"/>
      <c r="IU1068" s="3"/>
      <c r="IV1068" s="3"/>
    </row>
    <row r="1069" spans="1:256" s="663" customFormat="1" ht="55.5">
      <c r="A1069" s="61"/>
      <c r="B1069" s="963"/>
      <c r="C1069" s="992" t="s">
        <v>1825</v>
      </c>
      <c r="D1069" s="310"/>
      <c r="E1069" s="990"/>
      <c r="F1069" s="991"/>
      <c r="G1069" s="628"/>
      <c r="I1069" s="152"/>
      <c r="J1069" s="3"/>
      <c r="K1069" s="3"/>
      <c r="L1069" s="3"/>
      <c r="M1069" s="3"/>
      <c r="N1069" s="3"/>
      <c r="O1069" s="3"/>
      <c r="P1069" s="3"/>
      <c r="Q1069" s="3"/>
      <c r="R1069" s="3"/>
      <c r="S1069" s="3"/>
      <c r="T1069" s="3"/>
      <c r="U1069" s="3"/>
      <c r="V1069" s="3"/>
      <c r="W1069" s="3"/>
      <c r="X1069" s="3"/>
      <c r="Y1069" s="3"/>
      <c r="Z1069" s="3"/>
      <c r="AA1069" s="3"/>
      <c r="AB1069" s="3"/>
      <c r="AC1069" s="3"/>
      <c r="AD1069" s="3"/>
      <c r="AE1069" s="3"/>
      <c r="AF1069" s="3"/>
      <c r="AG1069" s="3"/>
      <c r="AH1069" s="3"/>
      <c r="AI1069" s="3"/>
      <c r="AJ1069" s="3"/>
      <c r="AK1069" s="3"/>
      <c r="AL1069" s="3"/>
      <c r="AM1069" s="3"/>
      <c r="AN1069" s="3"/>
      <c r="AO1069" s="3"/>
      <c r="AP1069" s="3"/>
      <c r="AQ1069" s="3"/>
      <c r="AR1069" s="3"/>
      <c r="AS1069" s="3"/>
      <c r="AT1069" s="3"/>
      <c r="AU1069" s="3"/>
      <c r="AV1069" s="3"/>
      <c r="AW1069" s="3"/>
      <c r="AX1069" s="3"/>
      <c r="AY1069" s="3"/>
      <c r="AZ1069" s="3"/>
      <c r="BA1069" s="3"/>
      <c r="BB1069" s="3"/>
      <c r="BC1069" s="3"/>
      <c r="BD1069" s="3"/>
      <c r="BE1069" s="3"/>
      <c r="BF1069" s="3"/>
      <c r="BG1069" s="3"/>
      <c r="BH1069" s="3"/>
      <c r="BI1069" s="3"/>
      <c r="BJ1069" s="3"/>
      <c r="BK1069" s="3"/>
      <c r="BL1069" s="3"/>
      <c r="BM1069" s="3"/>
      <c r="BN1069" s="3"/>
      <c r="BO1069" s="3"/>
      <c r="BP1069" s="3"/>
      <c r="BQ1069" s="3"/>
      <c r="BR1069" s="3"/>
      <c r="BS1069" s="3"/>
      <c r="BT1069" s="3"/>
      <c r="BU1069" s="3"/>
      <c r="BV1069" s="3"/>
      <c r="BW1069" s="3"/>
      <c r="BX1069" s="3"/>
      <c r="BY1069" s="3"/>
      <c r="BZ1069" s="3"/>
      <c r="CA1069" s="3"/>
      <c r="CB1069" s="3"/>
      <c r="CC1069" s="3"/>
      <c r="CD1069" s="3"/>
      <c r="CE1069" s="3"/>
      <c r="CF1069" s="3"/>
      <c r="CG1069" s="3"/>
      <c r="CH1069" s="3"/>
      <c r="CI1069" s="3"/>
      <c r="CJ1069" s="3"/>
      <c r="CK1069" s="3"/>
      <c r="CL1069" s="3"/>
      <c r="CM1069" s="3"/>
      <c r="CN1069" s="3"/>
      <c r="CO1069" s="3"/>
      <c r="CP1069" s="3"/>
      <c r="CQ1069" s="3"/>
      <c r="CR1069" s="3"/>
      <c r="CS1069" s="3"/>
      <c r="CT1069" s="3"/>
      <c r="CU1069" s="3"/>
      <c r="CV1069" s="3"/>
      <c r="CW1069" s="3"/>
      <c r="CX1069" s="3"/>
      <c r="CY1069" s="3"/>
      <c r="CZ1069" s="3"/>
      <c r="DA1069" s="3"/>
      <c r="DB1069" s="3"/>
      <c r="DC1069" s="3"/>
      <c r="DD1069" s="3"/>
      <c r="DE1069" s="3"/>
      <c r="DF1069" s="3"/>
      <c r="DG1069" s="3"/>
      <c r="DH1069" s="3"/>
      <c r="DI1069" s="3"/>
      <c r="DJ1069" s="3"/>
      <c r="DK1069" s="3"/>
      <c r="DL1069" s="3"/>
      <c r="DM1069" s="3"/>
      <c r="DN1069" s="3"/>
      <c r="DO1069" s="3"/>
      <c r="DP1069" s="3"/>
      <c r="DQ1069" s="3"/>
      <c r="DR1069" s="3"/>
      <c r="DS1069" s="3"/>
      <c r="DT1069" s="3"/>
      <c r="DU1069" s="3"/>
      <c r="DV1069" s="3"/>
      <c r="DW1069" s="3"/>
      <c r="DX1069" s="3"/>
      <c r="DY1069" s="3"/>
      <c r="DZ1069" s="3"/>
      <c r="EA1069" s="3"/>
      <c r="EB1069" s="3"/>
      <c r="EC1069" s="3"/>
      <c r="ED1069" s="3"/>
      <c r="EE1069" s="3"/>
      <c r="EF1069" s="3"/>
      <c r="EG1069" s="3"/>
      <c r="EH1069" s="3"/>
      <c r="EI1069" s="3"/>
      <c r="EJ1069" s="3"/>
      <c r="EK1069" s="3"/>
      <c r="EL1069" s="3"/>
      <c r="EM1069" s="3"/>
      <c r="EN1069" s="3"/>
      <c r="EO1069" s="3"/>
      <c r="EP1069" s="3"/>
      <c r="EQ1069" s="3"/>
      <c r="ER1069" s="3"/>
      <c r="ES1069" s="3"/>
      <c r="ET1069" s="3"/>
      <c r="EU1069" s="3"/>
      <c r="EV1069" s="3"/>
      <c r="EW1069" s="3"/>
      <c r="EX1069" s="3"/>
      <c r="EY1069" s="3"/>
      <c r="EZ1069" s="3"/>
      <c r="FA1069" s="3"/>
      <c r="FB1069" s="3"/>
      <c r="FC1069" s="3"/>
      <c r="FD1069" s="3"/>
      <c r="FE1069" s="3"/>
      <c r="FF1069" s="3"/>
      <c r="FG1069" s="3"/>
      <c r="FH1069" s="3"/>
      <c r="FI1069" s="3"/>
      <c r="FJ1069" s="3"/>
      <c r="FK1069" s="3"/>
      <c r="FL1069" s="3"/>
      <c r="FM1069" s="3"/>
      <c r="FN1069" s="3"/>
      <c r="FO1069" s="3"/>
      <c r="FP1069" s="3"/>
      <c r="FQ1069" s="3"/>
      <c r="FR1069" s="3"/>
      <c r="FS1069" s="3"/>
      <c r="FT1069" s="3"/>
      <c r="FU1069" s="3"/>
      <c r="FV1069" s="3"/>
      <c r="FW1069" s="3"/>
      <c r="FX1069" s="3"/>
      <c r="FY1069" s="3"/>
      <c r="FZ1069" s="3"/>
      <c r="GA1069" s="3"/>
      <c r="GB1069" s="3"/>
      <c r="GC1069" s="3"/>
      <c r="GD1069" s="3"/>
      <c r="GE1069" s="3"/>
      <c r="GF1069" s="3"/>
      <c r="GG1069" s="3"/>
      <c r="GH1069" s="3"/>
      <c r="GI1069" s="3"/>
      <c r="GJ1069" s="3"/>
      <c r="GK1069" s="3"/>
      <c r="GL1069" s="3"/>
      <c r="GM1069" s="3"/>
      <c r="GN1069" s="3"/>
      <c r="GO1069" s="3"/>
      <c r="GP1069" s="3"/>
      <c r="GQ1069" s="3"/>
      <c r="GR1069" s="3"/>
      <c r="GS1069" s="3"/>
      <c r="GT1069" s="3"/>
      <c r="GU1069" s="3"/>
      <c r="GV1069" s="3"/>
      <c r="GW1069" s="3"/>
      <c r="GX1069" s="3"/>
      <c r="GY1069" s="3"/>
      <c r="GZ1069" s="3"/>
      <c r="HA1069" s="3"/>
      <c r="HB1069" s="3"/>
      <c r="HC1069" s="3"/>
      <c r="HD1069" s="3"/>
      <c r="HE1069" s="3"/>
      <c r="HF1069" s="3"/>
      <c r="HG1069" s="3"/>
      <c r="HH1069" s="3"/>
      <c r="HI1069" s="3"/>
      <c r="HJ1069" s="3"/>
      <c r="HK1069" s="3"/>
      <c r="HL1069" s="3"/>
      <c r="HM1069" s="3"/>
      <c r="HN1069" s="3"/>
      <c r="HO1069" s="3"/>
      <c r="HP1069" s="3"/>
      <c r="HQ1069" s="3"/>
      <c r="HR1069" s="3"/>
      <c r="HS1069" s="3"/>
      <c r="HT1069" s="3"/>
      <c r="HU1069" s="3"/>
      <c r="HV1069" s="3"/>
      <c r="HW1069" s="3"/>
      <c r="HX1069" s="3"/>
      <c r="HY1069" s="3"/>
      <c r="HZ1069" s="3"/>
      <c r="IA1069" s="3"/>
      <c r="IB1069" s="3"/>
      <c r="IC1069" s="3"/>
      <c r="ID1069" s="3"/>
      <c r="IE1069" s="3"/>
      <c r="IF1069" s="3"/>
      <c r="IG1069" s="3"/>
      <c r="IH1069" s="3"/>
      <c r="II1069" s="3"/>
      <c r="IJ1069" s="3"/>
      <c r="IK1069" s="3"/>
      <c r="IL1069" s="3"/>
      <c r="IM1069" s="3"/>
      <c r="IN1069" s="3"/>
      <c r="IO1069" s="3"/>
      <c r="IP1069" s="3"/>
      <c r="IQ1069" s="3"/>
      <c r="IR1069" s="3"/>
      <c r="IS1069" s="3"/>
      <c r="IT1069" s="3"/>
      <c r="IU1069" s="3"/>
      <c r="IV1069" s="3"/>
    </row>
    <row r="1070" spans="1:256" s="663" customFormat="1">
      <c r="A1070" s="61"/>
      <c r="B1070" s="963"/>
      <c r="C1070" s="309" t="s">
        <v>1760</v>
      </c>
      <c r="D1070" s="993"/>
      <c r="E1070" s="990"/>
      <c r="F1070" s="991"/>
      <c r="G1070" s="628"/>
      <c r="I1070" s="152"/>
      <c r="J1070" s="3"/>
      <c r="K1070" s="3"/>
      <c r="L1070" s="3"/>
      <c r="M1070" s="3"/>
      <c r="N1070" s="3"/>
      <c r="O1070" s="3"/>
      <c r="P1070" s="3"/>
      <c r="Q1070" s="3"/>
      <c r="R1070" s="3"/>
      <c r="S1070" s="3"/>
      <c r="T1070" s="3"/>
      <c r="U1070" s="3"/>
      <c r="V1070" s="3"/>
      <c r="W1070" s="3"/>
      <c r="X1070" s="3"/>
      <c r="Y1070" s="3"/>
      <c r="Z1070" s="3"/>
      <c r="AA1070" s="3"/>
      <c r="AB1070" s="3"/>
      <c r="AC1070" s="3"/>
      <c r="AD1070" s="3"/>
      <c r="AE1070" s="3"/>
      <c r="AF1070" s="3"/>
      <c r="AG1070" s="3"/>
      <c r="AH1070" s="3"/>
      <c r="AI1070" s="3"/>
      <c r="AJ1070" s="3"/>
      <c r="AK1070" s="3"/>
      <c r="AL1070" s="3"/>
      <c r="AM1070" s="3"/>
      <c r="AN1070" s="3"/>
      <c r="AO1070" s="3"/>
      <c r="AP1070" s="3"/>
      <c r="AQ1070" s="3"/>
      <c r="AR1070" s="3"/>
      <c r="AS1070" s="3"/>
      <c r="AT1070" s="3"/>
      <c r="AU1070" s="3"/>
      <c r="AV1070" s="3"/>
      <c r="AW1070" s="3"/>
      <c r="AX1070" s="3"/>
      <c r="AY1070" s="3"/>
      <c r="AZ1070" s="3"/>
      <c r="BA1070" s="3"/>
      <c r="BB1070" s="3"/>
      <c r="BC1070" s="3"/>
      <c r="BD1070" s="3"/>
      <c r="BE1070" s="3"/>
      <c r="BF1070" s="3"/>
      <c r="BG1070" s="3"/>
      <c r="BH1070" s="3"/>
      <c r="BI1070" s="3"/>
      <c r="BJ1070" s="3"/>
      <c r="BK1070" s="3"/>
      <c r="BL1070" s="3"/>
      <c r="BM1070" s="3"/>
      <c r="BN1070" s="3"/>
      <c r="BO1070" s="3"/>
      <c r="BP1070" s="3"/>
      <c r="BQ1070" s="3"/>
      <c r="BR1070" s="3"/>
      <c r="BS1070" s="3"/>
      <c r="BT1070" s="3"/>
      <c r="BU1070" s="3"/>
      <c r="BV1070" s="3"/>
      <c r="BW1070" s="3"/>
      <c r="BX1070" s="3"/>
      <c r="BY1070" s="3"/>
      <c r="BZ1070" s="3"/>
      <c r="CA1070" s="3"/>
      <c r="CB1070" s="3"/>
      <c r="CC1070" s="3"/>
      <c r="CD1070" s="3"/>
      <c r="CE1070" s="3"/>
      <c r="CF1070" s="3"/>
      <c r="CG1070" s="3"/>
      <c r="CH1070" s="3"/>
      <c r="CI1070" s="3"/>
      <c r="CJ1070" s="3"/>
      <c r="CK1070" s="3"/>
      <c r="CL1070" s="3"/>
      <c r="CM1070" s="3"/>
      <c r="CN1070" s="3"/>
      <c r="CO1070" s="3"/>
      <c r="CP1070" s="3"/>
      <c r="CQ1070" s="3"/>
      <c r="CR1070" s="3"/>
      <c r="CS1070" s="3"/>
      <c r="CT1070" s="3"/>
      <c r="CU1070" s="3"/>
      <c r="CV1070" s="3"/>
      <c r="CW1070" s="3"/>
      <c r="CX1070" s="3"/>
      <c r="CY1070" s="3"/>
      <c r="CZ1070" s="3"/>
      <c r="DA1070" s="3"/>
      <c r="DB1070" s="3"/>
      <c r="DC1070" s="3"/>
      <c r="DD1070" s="3"/>
      <c r="DE1070" s="3"/>
      <c r="DF1070" s="3"/>
      <c r="DG1070" s="3"/>
      <c r="DH1070" s="3"/>
      <c r="DI1070" s="3"/>
      <c r="DJ1070" s="3"/>
      <c r="DK1070" s="3"/>
      <c r="DL1070" s="3"/>
      <c r="DM1070" s="3"/>
      <c r="DN1070" s="3"/>
      <c r="DO1070" s="3"/>
      <c r="DP1070" s="3"/>
      <c r="DQ1070" s="3"/>
      <c r="DR1070" s="3"/>
      <c r="DS1070" s="3"/>
      <c r="DT1070" s="3"/>
      <c r="DU1070" s="3"/>
      <c r="DV1070" s="3"/>
      <c r="DW1070" s="3"/>
      <c r="DX1070" s="3"/>
      <c r="DY1070" s="3"/>
      <c r="DZ1070" s="3"/>
      <c r="EA1070" s="3"/>
      <c r="EB1070" s="3"/>
      <c r="EC1070" s="3"/>
      <c r="ED1070" s="3"/>
      <c r="EE1070" s="3"/>
      <c r="EF1070" s="3"/>
      <c r="EG1070" s="3"/>
      <c r="EH1070" s="3"/>
      <c r="EI1070" s="3"/>
      <c r="EJ1070" s="3"/>
      <c r="EK1070" s="3"/>
      <c r="EL1070" s="3"/>
      <c r="EM1070" s="3"/>
      <c r="EN1070" s="3"/>
      <c r="EO1070" s="3"/>
      <c r="EP1070" s="3"/>
      <c r="EQ1070" s="3"/>
      <c r="ER1070" s="3"/>
      <c r="ES1070" s="3"/>
      <c r="ET1070" s="3"/>
      <c r="EU1070" s="3"/>
      <c r="EV1070" s="3"/>
      <c r="EW1070" s="3"/>
      <c r="EX1070" s="3"/>
      <c r="EY1070" s="3"/>
      <c r="EZ1070" s="3"/>
      <c r="FA1070" s="3"/>
      <c r="FB1070" s="3"/>
      <c r="FC1070" s="3"/>
      <c r="FD1070" s="3"/>
      <c r="FE1070" s="3"/>
      <c r="FF1070" s="3"/>
      <c r="FG1070" s="3"/>
      <c r="FH1070" s="3"/>
      <c r="FI1070" s="3"/>
      <c r="FJ1070" s="3"/>
      <c r="FK1070" s="3"/>
      <c r="FL1070" s="3"/>
      <c r="FM1070" s="3"/>
      <c r="FN1070" s="3"/>
      <c r="FO1070" s="3"/>
      <c r="FP1070" s="3"/>
      <c r="FQ1070" s="3"/>
      <c r="FR1070" s="3"/>
      <c r="FS1070" s="3"/>
      <c r="FT1070" s="3"/>
      <c r="FU1070" s="3"/>
      <c r="FV1070" s="3"/>
      <c r="FW1070" s="3"/>
      <c r="FX1070" s="3"/>
      <c r="FY1070" s="3"/>
      <c r="FZ1070" s="3"/>
      <c r="GA1070" s="3"/>
      <c r="GB1070" s="3"/>
      <c r="GC1070" s="3"/>
      <c r="GD1070" s="3"/>
      <c r="GE1070" s="3"/>
      <c r="GF1070" s="3"/>
      <c r="GG1070" s="3"/>
      <c r="GH1070" s="3"/>
      <c r="GI1070" s="3"/>
      <c r="GJ1070" s="3"/>
      <c r="GK1070" s="3"/>
      <c r="GL1070" s="3"/>
      <c r="GM1070" s="3"/>
      <c r="GN1070" s="3"/>
      <c r="GO1070" s="3"/>
      <c r="GP1070" s="3"/>
      <c r="GQ1070" s="3"/>
      <c r="GR1070" s="3"/>
      <c r="GS1070" s="3"/>
      <c r="GT1070" s="3"/>
      <c r="GU1070" s="3"/>
      <c r="GV1070" s="3"/>
      <c r="GW1070" s="3"/>
      <c r="GX1070" s="3"/>
      <c r="GY1070" s="3"/>
      <c r="GZ1070" s="3"/>
      <c r="HA1070" s="3"/>
      <c r="HB1070" s="3"/>
      <c r="HC1070" s="3"/>
      <c r="HD1070" s="3"/>
      <c r="HE1070" s="3"/>
      <c r="HF1070" s="3"/>
      <c r="HG1070" s="3"/>
      <c r="HH1070" s="3"/>
      <c r="HI1070" s="3"/>
      <c r="HJ1070" s="3"/>
      <c r="HK1070" s="3"/>
      <c r="HL1070" s="3"/>
      <c r="HM1070" s="3"/>
      <c r="HN1070" s="3"/>
      <c r="HO1070" s="3"/>
      <c r="HP1070" s="3"/>
      <c r="HQ1070" s="3"/>
      <c r="HR1070" s="3"/>
      <c r="HS1070" s="3"/>
      <c r="HT1070" s="3"/>
      <c r="HU1070" s="3"/>
      <c r="HV1070" s="3"/>
      <c r="HW1070" s="3"/>
      <c r="HX1070" s="3"/>
      <c r="HY1070" s="3"/>
      <c r="HZ1070" s="3"/>
      <c r="IA1070" s="3"/>
      <c r="IB1070" s="3"/>
      <c r="IC1070" s="3"/>
      <c r="ID1070" s="3"/>
      <c r="IE1070" s="3"/>
      <c r="IF1070" s="3"/>
      <c r="IG1070" s="3"/>
      <c r="IH1070" s="3"/>
      <c r="II1070" s="3"/>
      <c r="IJ1070" s="3"/>
      <c r="IK1070" s="3"/>
      <c r="IL1070" s="3"/>
      <c r="IM1070" s="3"/>
      <c r="IN1070" s="3"/>
      <c r="IO1070" s="3"/>
      <c r="IP1070" s="3"/>
      <c r="IQ1070" s="3"/>
      <c r="IR1070" s="3"/>
      <c r="IS1070" s="3"/>
      <c r="IT1070" s="3"/>
      <c r="IU1070" s="3"/>
      <c r="IV1070" s="3"/>
    </row>
    <row r="1071" spans="1:256" s="663" customFormat="1">
      <c r="A1071" s="61"/>
      <c r="B1071" s="963"/>
      <c r="C1071" s="317" t="s">
        <v>1761</v>
      </c>
      <c r="D1071" s="991"/>
      <c r="E1071" s="990"/>
      <c r="F1071" s="991"/>
      <c r="G1071" s="628"/>
      <c r="I1071" s="152"/>
      <c r="J1071" s="3"/>
      <c r="K1071" s="3"/>
      <c r="L1071" s="3"/>
      <c r="M1071" s="3"/>
      <c r="N1071" s="3"/>
      <c r="O1071" s="3"/>
      <c r="P1071" s="3"/>
      <c r="Q1071" s="3"/>
      <c r="R1071" s="3"/>
      <c r="S1071" s="3"/>
      <c r="T1071" s="3"/>
      <c r="U1071" s="3"/>
      <c r="V1071" s="3"/>
      <c r="W1071" s="3"/>
      <c r="X1071" s="3"/>
      <c r="Y1071" s="3"/>
      <c r="Z1071" s="3"/>
      <c r="AA1071" s="3"/>
      <c r="AB1071" s="3"/>
      <c r="AC1071" s="3"/>
      <c r="AD1071" s="3"/>
      <c r="AE1071" s="3"/>
      <c r="AF1071" s="3"/>
      <c r="AG1071" s="3"/>
      <c r="AH1071" s="3"/>
      <c r="AI1071" s="3"/>
      <c r="AJ1071" s="3"/>
      <c r="AK1071" s="3"/>
      <c r="AL1071" s="3"/>
      <c r="AM1071" s="3"/>
      <c r="AN1071" s="3"/>
      <c r="AO1071" s="3"/>
      <c r="AP1071" s="3"/>
      <c r="AQ1071" s="3"/>
      <c r="AR1071" s="3"/>
      <c r="AS1071" s="3"/>
      <c r="AT1071" s="3"/>
      <c r="AU1071" s="3"/>
      <c r="AV1071" s="3"/>
      <c r="AW1071" s="3"/>
      <c r="AX1071" s="3"/>
      <c r="AY1071" s="3"/>
      <c r="AZ1071" s="3"/>
      <c r="BA1071" s="3"/>
      <c r="BB1071" s="3"/>
      <c r="BC1071" s="3"/>
      <c r="BD1071" s="3"/>
      <c r="BE1071" s="3"/>
      <c r="BF1071" s="3"/>
      <c r="BG1071" s="3"/>
      <c r="BH1071" s="3"/>
      <c r="BI1071" s="3"/>
      <c r="BJ1071" s="3"/>
      <c r="BK1071" s="3"/>
      <c r="BL1071" s="3"/>
      <c r="BM1071" s="3"/>
      <c r="BN1071" s="3"/>
      <c r="BO1071" s="3"/>
      <c r="BP1071" s="3"/>
      <c r="BQ1071" s="3"/>
      <c r="BR1071" s="3"/>
      <c r="BS1071" s="3"/>
      <c r="BT1071" s="3"/>
      <c r="BU1071" s="3"/>
      <c r="BV1071" s="3"/>
      <c r="BW1071" s="3"/>
      <c r="BX1071" s="3"/>
      <c r="BY1071" s="3"/>
      <c r="BZ1071" s="3"/>
      <c r="CA1071" s="3"/>
      <c r="CB1071" s="3"/>
      <c r="CC1071" s="3"/>
      <c r="CD1071" s="3"/>
      <c r="CE1071" s="3"/>
      <c r="CF1071" s="3"/>
      <c r="CG1071" s="3"/>
      <c r="CH1071" s="3"/>
      <c r="CI1071" s="3"/>
      <c r="CJ1071" s="3"/>
      <c r="CK1071" s="3"/>
      <c r="CL1071" s="3"/>
      <c r="CM1071" s="3"/>
      <c r="CN1071" s="3"/>
      <c r="CO1071" s="3"/>
      <c r="CP1071" s="3"/>
      <c r="CQ1071" s="3"/>
      <c r="CR1071" s="3"/>
      <c r="CS1071" s="3"/>
      <c r="CT1071" s="3"/>
      <c r="CU1071" s="3"/>
      <c r="CV1071" s="3"/>
      <c r="CW1071" s="3"/>
      <c r="CX1071" s="3"/>
      <c r="CY1071" s="3"/>
      <c r="CZ1071" s="3"/>
      <c r="DA1071" s="3"/>
      <c r="DB1071" s="3"/>
      <c r="DC1071" s="3"/>
      <c r="DD1071" s="3"/>
      <c r="DE1071" s="3"/>
      <c r="DF1071" s="3"/>
      <c r="DG1071" s="3"/>
      <c r="DH1071" s="3"/>
      <c r="DI1071" s="3"/>
      <c r="DJ1071" s="3"/>
      <c r="DK1071" s="3"/>
      <c r="DL1071" s="3"/>
      <c r="DM1071" s="3"/>
      <c r="DN1071" s="3"/>
      <c r="DO1071" s="3"/>
      <c r="DP1071" s="3"/>
      <c r="DQ1071" s="3"/>
      <c r="DR1071" s="3"/>
      <c r="DS1071" s="3"/>
      <c r="DT1071" s="3"/>
      <c r="DU1071" s="3"/>
      <c r="DV1071" s="3"/>
      <c r="DW1071" s="3"/>
      <c r="DX1071" s="3"/>
      <c r="DY1071" s="3"/>
      <c r="DZ1071" s="3"/>
      <c r="EA1071" s="3"/>
      <c r="EB1071" s="3"/>
      <c r="EC1071" s="3"/>
      <c r="ED1071" s="3"/>
      <c r="EE1071" s="3"/>
      <c r="EF1071" s="3"/>
      <c r="EG1071" s="3"/>
      <c r="EH1071" s="3"/>
      <c r="EI1071" s="3"/>
      <c r="EJ1071" s="3"/>
      <c r="EK1071" s="3"/>
      <c r="EL1071" s="3"/>
      <c r="EM1071" s="3"/>
      <c r="EN1071" s="3"/>
      <c r="EO1071" s="3"/>
      <c r="EP1071" s="3"/>
      <c r="EQ1071" s="3"/>
      <c r="ER1071" s="3"/>
      <c r="ES1071" s="3"/>
      <c r="ET1071" s="3"/>
      <c r="EU1071" s="3"/>
      <c r="EV1071" s="3"/>
      <c r="EW1071" s="3"/>
      <c r="EX1071" s="3"/>
      <c r="EY1071" s="3"/>
      <c r="EZ1071" s="3"/>
      <c r="FA1071" s="3"/>
      <c r="FB1071" s="3"/>
      <c r="FC1071" s="3"/>
      <c r="FD1071" s="3"/>
      <c r="FE1071" s="3"/>
      <c r="FF1071" s="3"/>
      <c r="FG1071" s="3"/>
      <c r="FH1071" s="3"/>
      <c r="FI1071" s="3"/>
      <c r="FJ1071" s="3"/>
      <c r="FK1071" s="3"/>
      <c r="FL1071" s="3"/>
      <c r="FM1071" s="3"/>
      <c r="FN1071" s="3"/>
      <c r="FO1071" s="3"/>
      <c r="FP1071" s="3"/>
      <c r="FQ1071" s="3"/>
      <c r="FR1071" s="3"/>
      <c r="FS1071" s="3"/>
      <c r="FT1071" s="3"/>
      <c r="FU1071" s="3"/>
      <c r="FV1071" s="3"/>
      <c r="FW1071" s="3"/>
      <c r="FX1071" s="3"/>
      <c r="FY1071" s="3"/>
      <c r="FZ1071" s="3"/>
      <c r="GA1071" s="3"/>
      <c r="GB1071" s="3"/>
      <c r="GC1071" s="3"/>
      <c r="GD1071" s="3"/>
      <c r="GE1071" s="3"/>
      <c r="GF1071" s="3"/>
      <c r="GG1071" s="3"/>
      <c r="GH1071" s="3"/>
      <c r="GI1071" s="3"/>
      <c r="GJ1071" s="3"/>
      <c r="GK1071" s="3"/>
      <c r="GL1071" s="3"/>
      <c r="GM1071" s="3"/>
      <c r="GN1071" s="3"/>
      <c r="GO1071" s="3"/>
      <c r="GP1071" s="3"/>
      <c r="GQ1071" s="3"/>
      <c r="GR1071" s="3"/>
      <c r="GS1071" s="3"/>
      <c r="GT1071" s="3"/>
      <c r="GU1071" s="3"/>
      <c r="GV1071" s="3"/>
      <c r="GW1071" s="3"/>
      <c r="GX1071" s="3"/>
      <c r="GY1071" s="3"/>
      <c r="GZ1071" s="3"/>
      <c r="HA1071" s="3"/>
      <c r="HB1071" s="3"/>
      <c r="HC1071" s="3"/>
      <c r="HD1071" s="3"/>
      <c r="HE1071" s="3"/>
      <c r="HF1071" s="3"/>
      <c r="HG1071" s="3"/>
      <c r="HH1071" s="3"/>
      <c r="HI1071" s="3"/>
      <c r="HJ1071" s="3"/>
      <c r="HK1071" s="3"/>
      <c r="HL1071" s="3"/>
      <c r="HM1071" s="3"/>
      <c r="HN1071" s="3"/>
      <c r="HO1071" s="3"/>
      <c r="HP1071" s="3"/>
      <c r="HQ1071" s="3"/>
      <c r="HR1071" s="3"/>
      <c r="HS1071" s="3"/>
      <c r="HT1071" s="3"/>
      <c r="HU1071" s="3"/>
      <c r="HV1071" s="3"/>
      <c r="HW1071" s="3"/>
      <c r="HX1071" s="3"/>
      <c r="HY1071" s="3"/>
      <c r="HZ1071" s="3"/>
      <c r="IA1071" s="3"/>
      <c r="IB1071" s="3"/>
      <c r="IC1071" s="3"/>
      <c r="ID1071" s="3"/>
      <c r="IE1071" s="3"/>
      <c r="IF1071" s="3"/>
      <c r="IG1071" s="3"/>
      <c r="IH1071" s="3"/>
      <c r="II1071" s="3"/>
      <c r="IJ1071" s="3"/>
      <c r="IK1071" s="3"/>
      <c r="IL1071" s="3"/>
      <c r="IM1071" s="3"/>
      <c r="IN1071" s="3"/>
      <c r="IO1071" s="3"/>
      <c r="IP1071" s="3"/>
      <c r="IQ1071" s="3"/>
      <c r="IR1071" s="3"/>
      <c r="IS1071" s="3"/>
      <c r="IT1071" s="3"/>
      <c r="IU1071" s="3"/>
      <c r="IV1071" s="3"/>
    </row>
    <row r="1072" spans="1:256" s="663" customFormat="1">
      <c r="A1072" s="61"/>
      <c r="B1072" s="963"/>
      <c r="C1072" s="317" t="s">
        <v>1762</v>
      </c>
      <c r="D1072" s="991"/>
      <c r="E1072" s="994"/>
      <c r="F1072" s="994"/>
      <c r="G1072" s="628"/>
      <c r="I1072" s="152"/>
      <c r="J1072" s="3"/>
      <c r="K1072" s="3"/>
      <c r="L1072" s="3"/>
      <c r="M1072" s="3"/>
      <c r="N1072" s="3"/>
      <c r="O1072" s="3"/>
      <c r="P1072" s="3"/>
      <c r="Q1072" s="3"/>
      <c r="R1072" s="3"/>
      <c r="S1072" s="3"/>
      <c r="T1072" s="3"/>
      <c r="U1072" s="3"/>
      <c r="V1072" s="3"/>
      <c r="W1072" s="3"/>
      <c r="X1072" s="3"/>
      <c r="Y1072" s="3"/>
      <c r="Z1072" s="3"/>
      <c r="AA1072" s="3"/>
      <c r="AB1072" s="3"/>
      <c r="AC1072" s="3"/>
      <c r="AD1072" s="3"/>
      <c r="AE1072" s="3"/>
      <c r="AF1072" s="3"/>
      <c r="AG1072" s="3"/>
      <c r="AH1072" s="3"/>
      <c r="AI1072" s="3"/>
      <c r="AJ1072" s="3"/>
      <c r="AK1072" s="3"/>
      <c r="AL1072" s="3"/>
      <c r="AM1072" s="3"/>
      <c r="AN1072" s="3"/>
      <c r="AO1072" s="3"/>
      <c r="AP1072" s="3"/>
      <c r="AQ1072" s="3"/>
      <c r="AR1072" s="3"/>
      <c r="AS1072" s="3"/>
      <c r="AT1072" s="3"/>
      <c r="AU1072" s="3"/>
      <c r="AV1072" s="3"/>
      <c r="AW1072" s="3"/>
      <c r="AX1072" s="3"/>
      <c r="AY1072" s="3"/>
      <c r="AZ1072" s="3"/>
      <c r="BA1072" s="3"/>
      <c r="BB1072" s="3"/>
      <c r="BC1072" s="3"/>
      <c r="BD1072" s="3"/>
      <c r="BE1072" s="3"/>
      <c r="BF1072" s="3"/>
      <c r="BG1072" s="3"/>
      <c r="BH1072" s="3"/>
      <c r="BI1072" s="3"/>
      <c r="BJ1072" s="3"/>
      <c r="BK1072" s="3"/>
      <c r="BL1072" s="3"/>
      <c r="BM1072" s="3"/>
      <c r="BN1072" s="3"/>
      <c r="BO1072" s="3"/>
      <c r="BP1072" s="3"/>
      <c r="BQ1072" s="3"/>
      <c r="BR1072" s="3"/>
      <c r="BS1072" s="3"/>
      <c r="BT1072" s="3"/>
      <c r="BU1072" s="3"/>
      <c r="BV1072" s="3"/>
      <c r="BW1072" s="3"/>
      <c r="BX1072" s="3"/>
      <c r="BY1072" s="3"/>
      <c r="BZ1072" s="3"/>
      <c r="CA1072" s="3"/>
      <c r="CB1072" s="3"/>
      <c r="CC1072" s="3"/>
      <c r="CD1072" s="3"/>
      <c r="CE1072" s="3"/>
      <c r="CF1072" s="3"/>
      <c r="CG1072" s="3"/>
      <c r="CH1072" s="3"/>
      <c r="CI1072" s="3"/>
      <c r="CJ1072" s="3"/>
      <c r="CK1072" s="3"/>
      <c r="CL1072" s="3"/>
      <c r="CM1072" s="3"/>
      <c r="CN1072" s="3"/>
      <c r="CO1072" s="3"/>
      <c r="CP1072" s="3"/>
      <c r="CQ1072" s="3"/>
      <c r="CR1072" s="3"/>
      <c r="CS1072" s="3"/>
      <c r="CT1072" s="3"/>
      <c r="CU1072" s="3"/>
      <c r="CV1072" s="3"/>
      <c r="CW1072" s="3"/>
      <c r="CX1072" s="3"/>
      <c r="CY1072" s="3"/>
      <c r="CZ1072" s="3"/>
      <c r="DA1072" s="3"/>
      <c r="DB1072" s="3"/>
      <c r="DC1072" s="3"/>
      <c r="DD1072" s="3"/>
      <c r="DE1072" s="3"/>
      <c r="DF1072" s="3"/>
      <c r="DG1072" s="3"/>
      <c r="DH1072" s="3"/>
      <c r="DI1072" s="3"/>
      <c r="DJ1072" s="3"/>
      <c r="DK1072" s="3"/>
      <c r="DL1072" s="3"/>
      <c r="DM1072" s="3"/>
      <c r="DN1072" s="3"/>
      <c r="DO1072" s="3"/>
      <c r="DP1072" s="3"/>
      <c r="DQ1072" s="3"/>
      <c r="DR1072" s="3"/>
      <c r="DS1072" s="3"/>
      <c r="DT1072" s="3"/>
      <c r="DU1072" s="3"/>
      <c r="DV1072" s="3"/>
      <c r="DW1072" s="3"/>
      <c r="DX1072" s="3"/>
      <c r="DY1072" s="3"/>
      <c r="DZ1072" s="3"/>
      <c r="EA1072" s="3"/>
      <c r="EB1072" s="3"/>
      <c r="EC1072" s="3"/>
      <c r="ED1072" s="3"/>
      <c r="EE1072" s="3"/>
      <c r="EF1072" s="3"/>
      <c r="EG1072" s="3"/>
      <c r="EH1072" s="3"/>
      <c r="EI1072" s="3"/>
      <c r="EJ1072" s="3"/>
      <c r="EK1072" s="3"/>
      <c r="EL1072" s="3"/>
      <c r="EM1072" s="3"/>
      <c r="EN1072" s="3"/>
      <c r="EO1072" s="3"/>
      <c r="EP1072" s="3"/>
      <c r="EQ1072" s="3"/>
      <c r="ER1072" s="3"/>
      <c r="ES1072" s="3"/>
      <c r="ET1072" s="3"/>
      <c r="EU1072" s="3"/>
      <c r="EV1072" s="3"/>
      <c r="EW1072" s="3"/>
      <c r="EX1072" s="3"/>
      <c r="EY1072" s="3"/>
      <c r="EZ1072" s="3"/>
      <c r="FA1072" s="3"/>
      <c r="FB1072" s="3"/>
      <c r="FC1072" s="3"/>
      <c r="FD1072" s="3"/>
      <c r="FE1072" s="3"/>
      <c r="FF1072" s="3"/>
      <c r="FG1072" s="3"/>
      <c r="FH1072" s="3"/>
      <c r="FI1072" s="3"/>
      <c r="FJ1072" s="3"/>
      <c r="FK1072" s="3"/>
      <c r="FL1072" s="3"/>
      <c r="FM1072" s="3"/>
      <c r="FN1072" s="3"/>
      <c r="FO1072" s="3"/>
      <c r="FP1072" s="3"/>
      <c r="FQ1072" s="3"/>
      <c r="FR1072" s="3"/>
      <c r="FS1072" s="3"/>
      <c r="FT1072" s="3"/>
      <c r="FU1072" s="3"/>
      <c r="FV1072" s="3"/>
      <c r="FW1072" s="3"/>
      <c r="FX1072" s="3"/>
      <c r="FY1072" s="3"/>
      <c r="FZ1072" s="3"/>
      <c r="GA1072" s="3"/>
      <c r="GB1072" s="3"/>
      <c r="GC1072" s="3"/>
      <c r="GD1072" s="3"/>
      <c r="GE1072" s="3"/>
      <c r="GF1072" s="3"/>
      <c r="GG1072" s="3"/>
      <c r="GH1072" s="3"/>
      <c r="GI1072" s="3"/>
      <c r="GJ1072" s="3"/>
      <c r="GK1072" s="3"/>
      <c r="GL1072" s="3"/>
      <c r="GM1072" s="3"/>
      <c r="GN1072" s="3"/>
      <c r="GO1072" s="3"/>
      <c r="GP1072" s="3"/>
      <c r="GQ1072" s="3"/>
      <c r="GR1072" s="3"/>
      <c r="GS1072" s="3"/>
      <c r="GT1072" s="3"/>
      <c r="GU1072" s="3"/>
      <c r="GV1072" s="3"/>
      <c r="GW1072" s="3"/>
      <c r="GX1072" s="3"/>
      <c r="GY1072" s="3"/>
      <c r="GZ1072" s="3"/>
      <c r="HA1072" s="3"/>
      <c r="HB1072" s="3"/>
      <c r="HC1072" s="3"/>
      <c r="HD1072" s="3"/>
      <c r="HE1072" s="3"/>
      <c r="HF1072" s="3"/>
      <c r="HG1072" s="3"/>
      <c r="HH1072" s="3"/>
      <c r="HI1072" s="3"/>
      <c r="HJ1072" s="3"/>
      <c r="HK1072" s="3"/>
      <c r="HL1072" s="3"/>
      <c r="HM1072" s="3"/>
      <c r="HN1072" s="3"/>
      <c r="HO1072" s="3"/>
      <c r="HP1072" s="3"/>
      <c r="HQ1072" s="3"/>
      <c r="HR1072" s="3"/>
      <c r="HS1072" s="3"/>
      <c r="HT1072" s="3"/>
      <c r="HU1072" s="3"/>
      <c r="HV1072" s="3"/>
      <c r="HW1072" s="3"/>
      <c r="HX1072" s="3"/>
      <c r="HY1072" s="3"/>
      <c r="HZ1072" s="3"/>
      <c r="IA1072" s="3"/>
      <c r="IB1072" s="3"/>
      <c r="IC1072" s="3"/>
      <c r="ID1072" s="3"/>
      <c r="IE1072" s="3"/>
      <c r="IF1072" s="3"/>
      <c r="IG1072" s="3"/>
      <c r="IH1072" s="3"/>
      <c r="II1072" s="3"/>
      <c r="IJ1072" s="3"/>
      <c r="IK1072" s="3"/>
      <c r="IL1072" s="3"/>
      <c r="IM1072" s="3"/>
      <c r="IN1072" s="3"/>
      <c r="IO1072" s="3"/>
      <c r="IP1072" s="3"/>
      <c r="IQ1072" s="3"/>
      <c r="IR1072" s="3"/>
      <c r="IS1072" s="3"/>
      <c r="IT1072" s="3"/>
      <c r="IU1072" s="3"/>
      <c r="IV1072" s="3"/>
    </row>
    <row r="1073" spans="1:256" s="663" customFormat="1">
      <c r="A1073" s="61"/>
      <c r="B1073" s="963"/>
      <c r="C1073" s="309" t="s">
        <v>1821</v>
      </c>
      <c r="D1073" s="310"/>
      <c r="E1073" s="990"/>
      <c r="F1073" s="991"/>
      <c r="G1073" s="628"/>
      <c r="I1073" s="152"/>
      <c r="J1073" s="3"/>
      <c r="K1073" s="3"/>
      <c r="L1073" s="3"/>
      <c r="M1073" s="3"/>
      <c r="N1073" s="3"/>
      <c r="O1073" s="3"/>
      <c r="P1073" s="3"/>
      <c r="Q1073" s="3"/>
      <c r="R1073" s="3"/>
      <c r="S1073" s="3"/>
      <c r="T1073" s="3"/>
      <c r="U1073" s="3"/>
      <c r="V1073" s="3"/>
      <c r="W1073" s="3"/>
      <c r="X1073" s="3"/>
      <c r="Y1073" s="3"/>
      <c r="Z1073" s="3"/>
      <c r="AA1073" s="3"/>
      <c r="AB1073" s="3"/>
      <c r="AC1073" s="3"/>
      <c r="AD1073" s="3"/>
      <c r="AE1073" s="3"/>
      <c r="AF1073" s="3"/>
      <c r="AG1073" s="3"/>
      <c r="AH1073" s="3"/>
      <c r="AI1073" s="3"/>
      <c r="AJ1073" s="3"/>
      <c r="AK1073" s="3"/>
      <c r="AL1073" s="3"/>
      <c r="AM1073" s="3"/>
      <c r="AN1073" s="3"/>
      <c r="AO1073" s="3"/>
      <c r="AP1073" s="3"/>
      <c r="AQ1073" s="3"/>
      <c r="AR1073" s="3"/>
      <c r="AS1073" s="3"/>
      <c r="AT1073" s="3"/>
      <c r="AU1073" s="3"/>
      <c r="AV1073" s="3"/>
      <c r="AW1073" s="3"/>
      <c r="AX1073" s="3"/>
      <c r="AY1073" s="3"/>
      <c r="AZ1073" s="3"/>
      <c r="BA1073" s="3"/>
      <c r="BB1073" s="3"/>
      <c r="BC1073" s="3"/>
      <c r="BD1073" s="3"/>
      <c r="BE1073" s="3"/>
      <c r="BF1073" s="3"/>
      <c r="BG1073" s="3"/>
      <c r="BH1073" s="3"/>
      <c r="BI1073" s="3"/>
      <c r="BJ1073" s="3"/>
      <c r="BK1073" s="3"/>
      <c r="BL1073" s="3"/>
      <c r="BM1073" s="3"/>
      <c r="BN1073" s="3"/>
      <c r="BO1073" s="3"/>
      <c r="BP1073" s="3"/>
      <c r="BQ1073" s="3"/>
      <c r="BR1073" s="3"/>
      <c r="BS1073" s="3"/>
      <c r="BT1073" s="3"/>
      <c r="BU1073" s="3"/>
      <c r="BV1073" s="3"/>
      <c r="BW1073" s="3"/>
      <c r="BX1073" s="3"/>
      <c r="BY1073" s="3"/>
      <c r="BZ1073" s="3"/>
      <c r="CA1073" s="3"/>
      <c r="CB1073" s="3"/>
      <c r="CC1073" s="3"/>
      <c r="CD1073" s="3"/>
      <c r="CE1073" s="3"/>
      <c r="CF1073" s="3"/>
      <c r="CG1073" s="3"/>
      <c r="CH1073" s="3"/>
      <c r="CI1073" s="3"/>
      <c r="CJ1073" s="3"/>
      <c r="CK1073" s="3"/>
      <c r="CL1073" s="3"/>
      <c r="CM1073" s="3"/>
      <c r="CN1073" s="3"/>
      <c r="CO1073" s="3"/>
      <c r="CP1073" s="3"/>
      <c r="CQ1073" s="3"/>
      <c r="CR1073" s="3"/>
      <c r="CS1073" s="3"/>
      <c r="CT1073" s="3"/>
      <c r="CU1073" s="3"/>
      <c r="CV1073" s="3"/>
      <c r="CW1073" s="3"/>
      <c r="CX1073" s="3"/>
      <c r="CY1073" s="3"/>
      <c r="CZ1073" s="3"/>
      <c r="DA1073" s="3"/>
      <c r="DB1073" s="3"/>
      <c r="DC1073" s="3"/>
      <c r="DD1073" s="3"/>
      <c r="DE1073" s="3"/>
      <c r="DF1073" s="3"/>
      <c r="DG1073" s="3"/>
      <c r="DH1073" s="3"/>
      <c r="DI1073" s="3"/>
      <c r="DJ1073" s="3"/>
      <c r="DK1073" s="3"/>
      <c r="DL1073" s="3"/>
      <c r="DM1073" s="3"/>
      <c r="DN1073" s="3"/>
      <c r="DO1073" s="3"/>
      <c r="DP1073" s="3"/>
      <c r="DQ1073" s="3"/>
      <c r="DR1073" s="3"/>
      <c r="DS1073" s="3"/>
      <c r="DT1073" s="3"/>
      <c r="DU1073" s="3"/>
      <c r="DV1073" s="3"/>
      <c r="DW1073" s="3"/>
      <c r="DX1073" s="3"/>
      <c r="DY1073" s="3"/>
      <c r="DZ1073" s="3"/>
      <c r="EA1073" s="3"/>
      <c r="EB1073" s="3"/>
      <c r="EC1073" s="3"/>
      <c r="ED1073" s="3"/>
      <c r="EE1073" s="3"/>
      <c r="EF1073" s="3"/>
      <c r="EG1073" s="3"/>
      <c r="EH1073" s="3"/>
      <c r="EI1073" s="3"/>
      <c r="EJ1073" s="3"/>
      <c r="EK1073" s="3"/>
      <c r="EL1073" s="3"/>
      <c r="EM1073" s="3"/>
      <c r="EN1073" s="3"/>
      <c r="EO1073" s="3"/>
      <c r="EP1073" s="3"/>
      <c r="EQ1073" s="3"/>
      <c r="ER1073" s="3"/>
      <c r="ES1073" s="3"/>
      <c r="ET1073" s="3"/>
      <c r="EU1073" s="3"/>
      <c r="EV1073" s="3"/>
      <c r="EW1073" s="3"/>
      <c r="EX1073" s="3"/>
      <c r="EY1073" s="3"/>
      <c r="EZ1073" s="3"/>
      <c r="FA1073" s="3"/>
      <c r="FB1073" s="3"/>
      <c r="FC1073" s="3"/>
      <c r="FD1073" s="3"/>
      <c r="FE1073" s="3"/>
      <c r="FF1073" s="3"/>
      <c r="FG1073" s="3"/>
      <c r="FH1073" s="3"/>
      <c r="FI1073" s="3"/>
      <c r="FJ1073" s="3"/>
      <c r="FK1073" s="3"/>
      <c r="FL1073" s="3"/>
      <c r="FM1073" s="3"/>
      <c r="FN1073" s="3"/>
      <c r="FO1073" s="3"/>
      <c r="FP1073" s="3"/>
      <c r="FQ1073" s="3"/>
      <c r="FR1073" s="3"/>
      <c r="FS1073" s="3"/>
      <c r="FT1073" s="3"/>
      <c r="FU1073" s="3"/>
      <c r="FV1073" s="3"/>
      <c r="FW1073" s="3"/>
      <c r="FX1073" s="3"/>
      <c r="FY1073" s="3"/>
      <c r="FZ1073" s="3"/>
      <c r="GA1073" s="3"/>
      <c r="GB1073" s="3"/>
      <c r="GC1073" s="3"/>
      <c r="GD1073" s="3"/>
      <c r="GE1073" s="3"/>
      <c r="GF1073" s="3"/>
      <c r="GG1073" s="3"/>
      <c r="GH1073" s="3"/>
      <c r="GI1073" s="3"/>
      <c r="GJ1073" s="3"/>
      <c r="GK1073" s="3"/>
      <c r="GL1073" s="3"/>
      <c r="GM1073" s="3"/>
      <c r="GN1073" s="3"/>
      <c r="GO1073" s="3"/>
      <c r="GP1073" s="3"/>
      <c r="GQ1073" s="3"/>
      <c r="GR1073" s="3"/>
      <c r="GS1073" s="3"/>
      <c r="GT1073" s="3"/>
      <c r="GU1073" s="3"/>
      <c r="GV1073" s="3"/>
      <c r="GW1073" s="3"/>
      <c r="GX1073" s="3"/>
      <c r="GY1073" s="3"/>
      <c r="GZ1073" s="3"/>
      <c r="HA1073" s="3"/>
      <c r="HB1073" s="3"/>
      <c r="HC1073" s="3"/>
      <c r="HD1073" s="3"/>
      <c r="HE1073" s="3"/>
      <c r="HF1073" s="3"/>
      <c r="HG1073" s="3"/>
      <c r="HH1073" s="3"/>
      <c r="HI1073" s="3"/>
      <c r="HJ1073" s="3"/>
      <c r="HK1073" s="3"/>
      <c r="HL1073" s="3"/>
      <c r="HM1073" s="3"/>
      <c r="HN1073" s="3"/>
      <c r="HO1073" s="3"/>
      <c r="HP1073" s="3"/>
      <c r="HQ1073" s="3"/>
      <c r="HR1073" s="3"/>
      <c r="HS1073" s="3"/>
      <c r="HT1073" s="3"/>
      <c r="HU1073" s="3"/>
      <c r="HV1073" s="3"/>
      <c r="HW1073" s="3"/>
      <c r="HX1073" s="3"/>
      <c r="HY1073" s="3"/>
      <c r="HZ1073" s="3"/>
      <c r="IA1073" s="3"/>
      <c r="IB1073" s="3"/>
      <c r="IC1073" s="3"/>
      <c r="ID1073" s="3"/>
      <c r="IE1073" s="3"/>
      <c r="IF1073" s="3"/>
      <c r="IG1073" s="3"/>
      <c r="IH1073" s="3"/>
      <c r="II1073" s="3"/>
      <c r="IJ1073" s="3"/>
      <c r="IK1073" s="3"/>
      <c r="IL1073" s="3"/>
      <c r="IM1073" s="3"/>
      <c r="IN1073" s="3"/>
      <c r="IO1073" s="3"/>
      <c r="IP1073" s="3"/>
      <c r="IQ1073" s="3"/>
      <c r="IR1073" s="3"/>
      <c r="IS1073" s="3"/>
      <c r="IT1073" s="3"/>
      <c r="IU1073" s="3"/>
      <c r="IV1073" s="3"/>
    </row>
    <row r="1074" spans="1:256" s="663" customFormat="1">
      <c r="A1074" s="61"/>
      <c r="B1074" s="963"/>
      <c r="C1074" s="317" t="s">
        <v>1763</v>
      </c>
      <c r="D1074" s="991" t="s">
        <v>1047</v>
      </c>
      <c r="E1074" s="990" t="s">
        <v>524</v>
      </c>
      <c r="F1074" s="991"/>
      <c r="G1074" s="628"/>
      <c r="I1074" s="152"/>
      <c r="J1074" s="3"/>
      <c r="K1074" s="3"/>
      <c r="L1074" s="3"/>
      <c r="M1074" s="3"/>
      <c r="N1074" s="3"/>
      <c r="O1074" s="3"/>
      <c r="P1074" s="3"/>
      <c r="Q1074" s="3"/>
      <c r="R1074" s="3"/>
      <c r="S1074" s="3"/>
      <c r="T1074" s="3"/>
      <c r="U1074" s="3"/>
      <c r="V1074" s="3"/>
      <c r="W1074" s="3"/>
      <c r="X1074" s="3"/>
      <c r="Y1074" s="3"/>
      <c r="Z1074" s="3"/>
      <c r="AA1074" s="3"/>
      <c r="AB1074" s="3"/>
      <c r="AC1074" s="3"/>
      <c r="AD1074" s="3"/>
      <c r="AE1074" s="3"/>
      <c r="AF1074" s="3"/>
      <c r="AG1074" s="3"/>
      <c r="AH1074" s="3"/>
      <c r="AI1074" s="3"/>
      <c r="AJ1074" s="3"/>
      <c r="AK1074" s="3"/>
      <c r="AL1074" s="3"/>
      <c r="AM1074" s="3"/>
      <c r="AN1074" s="3"/>
      <c r="AO1074" s="3"/>
      <c r="AP1074" s="3"/>
      <c r="AQ1074" s="3"/>
      <c r="AR1074" s="3"/>
      <c r="AS1074" s="3"/>
      <c r="AT1074" s="3"/>
      <c r="AU1074" s="3"/>
      <c r="AV1074" s="3"/>
      <c r="AW1074" s="3"/>
      <c r="AX1074" s="3"/>
      <c r="AY1074" s="3"/>
      <c r="AZ1074" s="3"/>
      <c r="BA1074" s="3"/>
      <c r="BB1074" s="3"/>
      <c r="BC1074" s="3"/>
      <c r="BD1074" s="3"/>
      <c r="BE1074" s="3"/>
      <c r="BF1074" s="3"/>
      <c r="BG1074" s="3"/>
      <c r="BH1074" s="3"/>
      <c r="BI1074" s="3"/>
      <c r="BJ1074" s="3"/>
      <c r="BK1074" s="3"/>
      <c r="BL1074" s="3"/>
      <c r="BM1074" s="3"/>
      <c r="BN1074" s="3"/>
      <c r="BO1074" s="3"/>
      <c r="BP1074" s="3"/>
      <c r="BQ1074" s="3"/>
      <c r="BR1074" s="3"/>
      <c r="BS1074" s="3"/>
      <c r="BT1074" s="3"/>
      <c r="BU1074" s="3"/>
      <c r="BV1074" s="3"/>
      <c r="BW1074" s="3"/>
      <c r="BX1074" s="3"/>
      <c r="BY1074" s="3"/>
      <c r="BZ1074" s="3"/>
      <c r="CA1074" s="3"/>
      <c r="CB1074" s="3"/>
      <c r="CC1074" s="3"/>
      <c r="CD1074" s="3"/>
      <c r="CE1074" s="3"/>
      <c r="CF1074" s="3"/>
      <c r="CG1074" s="3"/>
      <c r="CH1074" s="3"/>
      <c r="CI1074" s="3"/>
      <c r="CJ1074" s="3"/>
      <c r="CK1074" s="3"/>
      <c r="CL1074" s="3"/>
      <c r="CM1074" s="3"/>
      <c r="CN1074" s="3"/>
      <c r="CO1074" s="3"/>
      <c r="CP1074" s="3"/>
      <c r="CQ1074" s="3"/>
      <c r="CR1074" s="3"/>
      <c r="CS1074" s="3"/>
      <c r="CT1074" s="3"/>
      <c r="CU1074" s="3"/>
      <c r="CV1074" s="3"/>
      <c r="CW1074" s="3"/>
      <c r="CX1074" s="3"/>
      <c r="CY1074" s="3"/>
      <c r="CZ1074" s="3"/>
      <c r="DA1074" s="3"/>
      <c r="DB1074" s="3"/>
      <c r="DC1074" s="3"/>
      <c r="DD1074" s="3"/>
      <c r="DE1074" s="3"/>
      <c r="DF1074" s="3"/>
      <c r="DG1074" s="3"/>
      <c r="DH1074" s="3"/>
      <c r="DI1074" s="3"/>
      <c r="DJ1074" s="3"/>
      <c r="DK1074" s="3"/>
      <c r="DL1074" s="3"/>
      <c r="DM1074" s="3"/>
      <c r="DN1074" s="3"/>
      <c r="DO1074" s="3"/>
      <c r="DP1074" s="3"/>
      <c r="DQ1074" s="3"/>
      <c r="DR1074" s="3"/>
      <c r="DS1074" s="3"/>
      <c r="DT1074" s="3"/>
      <c r="DU1074" s="3"/>
      <c r="DV1074" s="3"/>
      <c r="DW1074" s="3"/>
      <c r="DX1074" s="3"/>
      <c r="DY1074" s="3"/>
      <c r="DZ1074" s="3"/>
      <c r="EA1074" s="3"/>
      <c r="EB1074" s="3"/>
      <c r="EC1074" s="3"/>
      <c r="ED1074" s="3"/>
      <c r="EE1074" s="3"/>
      <c r="EF1074" s="3"/>
      <c r="EG1074" s="3"/>
      <c r="EH1074" s="3"/>
      <c r="EI1074" s="3"/>
      <c r="EJ1074" s="3"/>
      <c r="EK1074" s="3"/>
      <c r="EL1074" s="3"/>
      <c r="EM1074" s="3"/>
      <c r="EN1074" s="3"/>
      <c r="EO1074" s="3"/>
      <c r="EP1074" s="3"/>
      <c r="EQ1074" s="3"/>
      <c r="ER1074" s="3"/>
      <c r="ES1074" s="3"/>
      <c r="ET1074" s="3"/>
      <c r="EU1074" s="3"/>
      <c r="EV1074" s="3"/>
      <c r="EW1074" s="3"/>
      <c r="EX1074" s="3"/>
      <c r="EY1074" s="3"/>
      <c r="EZ1074" s="3"/>
      <c r="FA1074" s="3"/>
      <c r="FB1074" s="3"/>
      <c r="FC1074" s="3"/>
      <c r="FD1074" s="3"/>
      <c r="FE1074" s="3"/>
      <c r="FF1074" s="3"/>
      <c r="FG1074" s="3"/>
      <c r="FH1074" s="3"/>
      <c r="FI1074" s="3"/>
      <c r="FJ1074" s="3"/>
      <c r="FK1074" s="3"/>
      <c r="FL1074" s="3"/>
      <c r="FM1074" s="3"/>
      <c r="FN1074" s="3"/>
      <c r="FO1074" s="3"/>
      <c r="FP1074" s="3"/>
      <c r="FQ1074" s="3"/>
      <c r="FR1074" s="3"/>
      <c r="FS1074" s="3"/>
      <c r="FT1074" s="3"/>
      <c r="FU1074" s="3"/>
      <c r="FV1074" s="3"/>
      <c r="FW1074" s="3"/>
      <c r="FX1074" s="3"/>
      <c r="FY1074" s="3"/>
      <c r="FZ1074" s="3"/>
      <c r="GA1074" s="3"/>
      <c r="GB1074" s="3"/>
      <c r="GC1074" s="3"/>
      <c r="GD1074" s="3"/>
      <c r="GE1074" s="3"/>
      <c r="GF1074" s="3"/>
      <c r="GG1074" s="3"/>
      <c r="GH1074" s="3"/>
      <c r="GI1074" s="3"/>
      <c r="GJ1074" s="3"/>
      <c r="GK1074" s="3"/>
      <c r="GL1074" s="3"/>
      <c r="GM1074" s="3"/>
      <c r="GN1074" s="3"/>
      <c r="GO1074" s="3"/>
      <c r="GP1074" s="3"/>
      <c r="GQ1074" s="3"/>
      <c r="GR1074" s="3"/>
      <c r="GS1074" s="3"/>
      <c r="GT1074" s="3"/>
      <c r="GU1074" s="3"/>
      <c r="GV1074" s="3"/>
      <c r="GW1074" s="3"/>
      <c r="GX1074" s="3"/>
      <c r="GY1074" s="3"/>
      <c r="GZ1074" s="3"/>
      <c r="HA1074" s="3"/>
      <c r="HB1074" s="3"/>
      <c r="HC1074" s="3"/>
      <c r="HD1074" s="3"/>
      <c r="HE1074" s="3"/>
      <c r="HF1074" s="3"/>
      <c r="HG1074" s="3"/>
      <c r="HH1074" s="3"/>
      <c r="HI1074" s="3"/>
      <c r="HJ1074" s="3"/>
      <c r="HK1074" s="3"/>
      <c r="HL1074" s="3"/>
      <c r="HM1074" s="3"/>
      <c r="HN1074" s="3"/>
      <c r="HO1074" s="3"/>
      <c r="HP1074" s="3"/>
      <c r="HQ1074" s="3"/>
      <c r="HR1074" s="3"/>
      <c r="HS1074" s="3"/>
      <c r="HT1074" s="3"/>
      <c r="HU1074" s="3"/>
      <c r="HV1074" s="3"/>
      <c r="HW1074" s="3"/>
      <c r="HX1074" s="3"/>
      <c r="HY1074" s="3"/>
      <c r="HZ1074" s="3"/>
      <c r="IA1074" s="3"/>
      <c r="IB1074" s="3"/>
      <c r="IC1074" s="3"/>
      <c r="ID1074" s="3"/>
      <c r="IE1074" s="3"/>
      <c r="IF1074" s="3"/>
      <c r="IG1074" s="3"/>
      <c r="IH1074" s="3"/>
      <c r="II1074" s="3"/>
      <c r="IJ1074" s="3"/>
      <c r="IK1074" s="3"/>
      <c r="IL1074" s="3"/>
      <c r="IM1074" s="3"/>
      <c r="IN1074" s="3"/>
      <c r="IO1074" s="3"/>
      <c r="IP1074" s="3"/>
      <c r="IQ1074" s="3"/>
      <c r="IR1074" s="3"/>
      <c r="IS1074" s="3"/>
      <c r="IT1074" s="3"/>
      <c r="IU1074" s="3"/>
      <c r="IV1074" s="3"/>
    </row>
    <row r="1075" spans="1:256" s="663" customFormat="1">
      <c r="A1075" s="61"/>
      <c r="B1075" s="963"/>
      <c r="C1075" s="317" t="s">
        <v>1764</v>
      </c>
      <c r="D1075" s="991" t="s">
        <v>1047</v>
      </c>
      <c r="E1075" s="990">
        <v>17.64</v>
      </c>
      <c r="F1075" s="310">
        <v>400</v>
      </c>
      <c r="G1075" s="628">
        <f>ROUND(F1075*E1075,2)</f>
        <v>7056</v>
      </c>
      <c r="I1075" s="152"/>
      <c r="J1075" s="3"/>
      <c r="K1075" s="3"/>
      <c r="L1075" s="3"/>
      <c r="M1075" s="3"/>
      <c r="N1075" s="3"/>
      <c r="O1075" s="3"/>
      <c r="P1075" s="3"/>
      <c r="Q1075" s="3"/>
      <c r="R1075" s="3"/>
      <c r="S1075" s="3"/>
      <c r="T1075" s="3"/>
      <c r="U1075" s="3"/>
      <c r="V1075" s="3"/>
      <c r="W1075" s="3"/>
      <c r="X1075" s="3"/>
      <c r="Y1075" s="3"/>
      <c r="Z1075" s="3"/>
      <c r="AA1075" s="3"/>
      <c r="AB1075" s="3"/>
      <c r="AC1075" s="3"/>
      <c r="AD1075" s="3"/>
      <c r="AE1075" s="3"/>
      <c r="AF1075" s="3"/>
      <c r="AG1075" s="3"/>
      <c r="AH1075" s="3"/>
      <c r="AI1075" s="3"/>
      <c r="AJ1075" s="3"/>
      <c r="AK1075" s="3"/>
      <c r="AL1075" s="3"/>
      <c r="AM1075" s="3"/>
      <c r="AN1075" s="3"/>
      <c r="AO1075" s="3"/>
      <c r="AP1075" s="3"/>
      <c r="AQ1075" s="3"/>
      <c r="AR1075" s="3"/>
      <c r="AS1075" s="3"/>
      <c r="AT1075" s="3"/>
      <c r="AU1075" s="3"/>
      <c r="AV1075" s="3"/>
      <c r="AW1075" s="3"/>
      <c r="AX1075" s="3"/>
      <c r="AY1075" s="3"/>
      <c r="AZ1075" s="3"/>
      <c r="BA1075" s="3"/>
      <c r="BB1075" s="3"/>
      <c r="BC1075" s="3"/>
      <c r="BD1075" s="3"/>
      <c r="BE1075" s="3"/>
      <c r="BF1075" s="3"/>
      <c r="BG1075" s="3"/>
      <c r="BH1075" s="3"/>
      <c r="BI1075" s="3"/>
      <c r="BJ1075" s="3"/>
      <c r="BK1075" s="3"/>
      <c r="BL1075" s="3"/>
      <c r="BM1075" s="3"/>
      <c r="BN1075" s="3"/>
      <c r="BO1075" s="3"/>
      <c r="BP1075" s="3"/>
      <c r="BQ1075" s="3"/>
      <c r="BR1075" s="3"/>
      <c r="BS1075" s="3"/>
      <c r="BT1075" s="3"/>
      <c r="BU1075" s="3"/>
      <c r="BV1075" s="3"/>
      <c r="BW1075" s="3"/>
      <c r="BX1075" s="3"/>
      <c r="BY1075" s="3"/>
      <c r="BZ1075" s="3"/>
      <c r="CA1075" s="3"/>
      <c r="CB1075" s="3"/>
      <c r="CC1075" s="3"/>
      <c r="CD1075" s="3"/>
      <c r="CE1075" s="3"/>
      <c r="CF1075" s="3"/>
      <c r="CG1075" s="3"/>
      <c r="CH1075" s="3"/>
      <c r="CI1075" s="3"/>
      <c r="CJ1075" s="3"/>
      <c r="CK1075" s="3"/>
      <c r="CL1075" s="3"/>
      <c r="CM1075" s="3"/>
      <c r="CN1075" s="3"/>
      <c r="CO1075" s="3"/>
      <c r="CP1075" s="3"/>
      <c r="CQ1075" s="3"/>
      <c r="CR1075" s="3"/>
      <c r="CS1075" s="3"/>
      <c r="CT1075" s="3"/>
      <c r="CU1075" s="3"/>
      <c r="CV1075" s="3"/>
      <c r="CW1075" s="3"/>
      <c r="CX1075" s="3"/>
      <c r="CY1075" s="3"/>
      <c r="CZ1075" s="3"/>
      <c r="DA1075" s="3"/>
      <c r="DB1075" s="3"/>
      <c r="DC1075" s="3"/>
      <c r="DD1075" s="3"/>
      <c r="DE1075" s="3"/>
      <c r="DF1075" s="3"/>
      <c r="DG1075" s="3"/>
      <c r="DH1075" s="3"/>
      <c r="DI1075" s="3"/>
      <c r="DJ1075" s="3"/>
      <c r="DK1075" s="3"/>
      <c r="DL1075" s="3"/>
      <c r="DM1075" s="3"/>
      <c r="DN1075" s="3"/>
      <c r="DO1075" s="3"/>
      <c r="DP1075" s="3"/>
      <c r="DQ1075" s="3"/>
      <c r="DR1075" s="3"/>
      <c r="DS1075" s="3"/>
      <c r="DT1075" s="3"/>
      <c r="DU1075" s="3"/>
      <c r="DV1075" s="3"/>
      <c r="DW1075" s="3"/>
      <c r="DX1075" s="3"/>
      <c r="DY1075" s="3"/>
      <c r="DZ1075" s="3"/>
      <c r="EA1075" s="3"/>
      <c r="EB1075" s="3"/>
      <c r="EC1075" s="3"/>
      <c r="ED1075" s="3"/>
      <c r="EE1075" s="3"/>
      <c r="EF1075" s="3"/>
      <c r="EG1075" s="3"/>
      <c r="EH1075" s="3"/>
      <c r="EI1075" s="3"/>
      <c r="EJ1075" s="3"/>
      <c r="EK1075" s="3"/>
      <c r="EL1075" s="3"/>
      <c r="EM1075" s="3"/>
      <c r="EN1075" s="3"/>
      <c r="EO1075" s="3"/>
      <c r="EP1075" s="3"/>
      <c r="EQ1075" s="3"/>
      <c r="ER1075" s="3"/>
      <c r="ES1075" s="3"/>
      <c r="ET1075" s="3"/>
      <c r="EU1075" s="3"/>
      <c r="EV1075" s="3"/>
      <c r="EW1075" s="3"/>
      <c r="EX1075" s="3"/>
      <c r="EY1075" s="3"/>
      <c r="EZ1075" s="3"/>
      <c r="FA1075" s="3"/>
      <c r="FB1075" s="3"/>
      <c r="FC1075" s="3"/>
      <c r="FD1075" s="3"/>
      <c r="FE1075" s="3"/>
      <c r="FF1075" s="3"/>
      <c r="FG1075" s="3"/>
      <c r="FH1075" s="3"/>
      <c r="FI1075" s="3"/>
      <c r="FJ1075" s="3"/>
      <c r="FK1075" s="3"/>
      <c r="FL1075" s="3"/>
      <c r="FM1075" s="3"/>
      <c r="FN1075" s="3"/>
      <c r="FO1075" s="3"/>
      <c r="FP1075" s="3"/>
      <c r="FQ1075" s="3"/>
      <c r="FR1075" s="3"/>
      <c r="FS1075" s="3"/>
      <c r="FT1075" s="3"/>
      <c r="FU1075" s="3"/>
      <c r="FV1075" s="3"/>
      <c r="FW1075" s="3"/>
      <c r="FX1075" s="3"/>
      <c r="FY1075" s="3"/>
      <c r="FZ1075" s="3"/>
      <c r="GA1075" s="3"/>
      <c r="GB1075" s="3"/>
      <c r="GC1075" s="3"/>
      <c r="GD1075" s="3"/>
      <c r="GE1075" s="3"/>
      <c r="GF1075" s="3"/>
      <c r="GG1075" s="3"/>
      <c r="GH1075" s="3"/>
      <c r="GI1075" s="3"/>
      <c r="GJ1075" s="3"/>
      <c r="GK1075" s="3"/>
      <c r="GL1075" s="3"/>
      <c r="GM1075" s="3"/>
      <c r="GN1075" s="3"/>
      <c r="GO1075" s="3"/>
      <c r="GP1075" s="3"/>
      <c r="GQ1075" s="3"/>
      <c r="GR1075" s="3"/>
      <c r="GS1075" s="3"/>
      <c r="GT1075" s="3"/>
      <c r="GU1075" s="3"/>
      <c r="GV1075" s="3"/>
      <c r="GW1075" s="3"/>
      <c r="GX1075" s="3"/>
      <c r="GY1075" s="3"/>
      <c r="GZ1075" s="3"/>
      <c r="HA1075" s="3"/>
      <c r="HB1075" s="3"/>
      <c r="HC1075" s="3"/>
      <c r="HD1075" s="3"/>
      <c r="HE1075" s="3"/>
      <c r="HF1075" s="3"/>
      <c r="HG1075" s="3"/>
      <c r="HH1075" s="3"/>
      <c r="HI1075" s="3"/>
      <c r="HJ1075" s="3"/>
      <c r="HK1075" s="3"/>
      <c r="HL1075" s="3"/>
      <c r="HM1075" s="3"/>
      <c r="HN1075" s="3"/>
      <c r="HO1075" s="3"/>
      <c r="HP1075" s="3"/>
      <c r="HQ1075" s="3"/>
      <c r="HR1075" s="3"/>
      <c r="HS1075" s="3"/>
      <c r="HT1075" s="3"/>
      <c r="HU1075" s="3"/>
      <c r="HV1075" s="3"/>
      <c r="HW1075" s="3"/>
      <c r="HX1075" s="3"/>
      <c r="HY1075" s="3"/>
      <c r="HZ1075" s="3"/>
      <c r="IA1075" s="3"/>
      <c r="IB1075" s="3"/>
      <c r="IC1075" s="3"/>
      <c r="ID1075" s="3"/>
      <c r="IE1075" s="3"/>
      <c r="IF1075" s="3"/>
      <c r="IG1075" s="3"/>
      <c r="IH1075" s="3"/>
      <c r="II1075" s="3"/>
      <c r="IJ1075" s="3"/>
      <c r="IK1075" s="3"/>
      <c r="IL1075" s="3"/>
      <c r="IM1075" s="3"/>
      <c r="IN1075" s="3"/>
      <c r="IO1075" s="3"/>
      <c r="IP1075" s="3"/>
      <c r="IQ1075" s="3"/>
      <c r="IR1075" s="3"/>
      <c r="IS1075" s="3"/>
      <c r="IT1075" s="3"/>
      <c r="IU1075" s="3"/>
      <c r="IV1075" s="3"/>
    </row>
    <row r="1076" spans="1:256" s="663" customFormat="1">
      <c r="A1076" s="61"/>
      <c r="B1076" s="963"/>
      <c r="C1076" s="317" t="s">
        <v>1765</v>
      </c>
      <c r="D1076" s="991" t="s">
        <v>1047</v>
      </c>
      <c r="E1076" s="991">
        <v>24</v>
      </c>
      <c r="F1076" s="310">
        <v>420</v>
      </c>
      <c r="G1076" s="628">
        <f t="shared" ref="G1076:G1082" si="7">ROUND(F1076*E1076,2)</f>
        <v>10080</v>
      </c>
      <c r="I1076" s="152"/>
      <c r="J1076" s="3"/>
      <c r="K1076" s="3"/>
      <c r="L1076" s="3"/>
      <c r="M1076" s="3"/>
      <c r="N1076" s="3"/>
      <c r="O1076" s="3"/>
      <c r="P1076" s="3"/>
      <c r="Q1076" s="3"/>
      <c r="R1076" s="3"/>
      <c r="S1076" s="3"/>
      <c r="T1076" s="3"/>
      <c r="U1076" s="3"/>
      <c r="V1076" s="3"/>
      <c r="W1076" s="3"/>
      <c r="X1076" s="3"/>
      <c r="Y1076" s="3"/>
      <c r="Z1076" s="3"/>
      <c r="AA1076" s="3"/>
      <c r="AB1076" s="3"/>
      <c r="AC1076" s="3"/>
      <c r="AD1076" s="3"/>
      <c r="AE1076" s="3"/>
      <c r="AF1076" s="3"/>
      <c r="AG1076" s="3"/>
      <c r="AH1076" s="3"/>
      <c r="AI1076" s="3"/>
      <c r="AJ1076" s="3"/>
      <c r="AK1076" s="3"/>
      <c r="AL1076" s="3"/>
      <c r="AM1076" s="3"/>
      <c r="AN1076" s="3"/>
      <c r="AO1076" s="3"/>
      <c r="AP1076" s="3"/>
      <c r="AQ1076" s="3"/>
      <c r="AR1076" s="3"/>
      <c r="AS1076" s="3"/>
      <c r="AT1076" s="3"/>
      <c r="AU1076" s="3"/>
      <c r="AV1076" s="3"/>
      <c r="AW1076" s="3"/>
      <c r="AX1076" s="3"/>
      <c r="AY1076" s="3"/>
      <c r="AZ1076" s="3"/>
      <c r="BA1076" s="3"/>
      <c r="BB1076" s="3"/>
      <c r="BC1076" s="3"/>
      <c r="BD1076" s="3"/>
      <c r="BE1076" s="3"/>
      <c r="BF1076" s="3"/>
      <c r="BG1076" s="3"/>
      <c r="BH1076" s="3"/>
      <c r="BI1076" s="3"/>
      <c r="BJ1076" s="3"/>
      <c r="BK1076" s="3"/>
      <c r="BL1076" s="3"/>
      <c r="BM1076" s="3"/>
      <c r="BN1076" s="3"/>
      <c r="BO1076" s="3"/>
      <c r="BP1076" s="3"/>
      <c r="BQ1076" s="3"/>
      <c r="BR1076" s="3"/>
      <c r="BS1076" s="3"/>
      <c r="BT1076" s="3"/>
      <c r="BU1076" s="3"/>
      <c r="BV1076" s="3"/>
      <c r="BW1076" s="3"/>
      <c r="BX1076" s="3"/>
      <c r="BY1076" s="3"/>
      <c r="BZ1076" s="3"/>
      <c r="CA1076" s="3"/>
      <c r="CB1076" s="3"/>
      <c r="CC1076" s="3"/>
      <c r="CD1076" s="3"/>
      <c r="CE1076" s="3"/>
      <c r="CF1076" s="3"/>
      <c r="CG1076" s="3"/>
      <c r="CH1076" s="3"/>
      <c r="CI1076" s="3"/>
      <c r="CJ1076" s="3"/>
      <c r="CK1076" s="3"/>
      <c r="CL1076" s="3"/>
      <c r="CM1076" s="3"/>
      <c r="CN1076" s="3"/>
      <c r="CO1076" s="3"/>
      <c r="CP1076" s="3"/>
      <c r="CQ1076" s="3"/>
      <c r="CR1076" s="3"/>
      <c r="CS1076" s="3"/>
      <c r="CT1076" s="3"/>
      <c r="CU1076" s="3"/>
      <c r="CV1076" s="3"/>
      <c r="CW1076" s="3"/>
      <c r="CX1076" s="3"/>
      <c r="CY1076" s="3"/>
      <c r="CZ1076" s="3"/>
      <c r="DA1076" s="3"/>
      <c r="DB1076" s="3"/>
      <c r="DC1076" s="3"/>
      <c r="DD1076" s="3"/>
      <c r="DE1076" s="3"/>
      <c r="DF1076" s="3"/>
      <c r="DG1076" s="3"/>
      <c r="DH1076" s="3"/>
      <c r="DI1076" s="3"/>
      <c r="DJ1076" s="3"/>
      <c r="DK1076" s="3"/>
      <c r="DL1076" s="3"/>
      <c r="DM1076" s="3"/>
      <c r="DN1076" s="3"/>
      <c r="DO1076" s="3"/>
      <c r="DP1076" s="3"/>
      <c r="DQ1076" s="3"/>
      <c r="DR1076" s="3"/>
      <c r="DS1076" s="3"/>
      <c r="DT1076" s="3"/>
      <c r="DU1076" s="3"/>
      <c r="DV1076" s="3"/>
      <c r="DW1076" s="3"/>
      <c r="DX1076" s="3"/>
      <c r="DY1076" s="3"/>
      <c r="DZ1076" s="3"/>
      <c r="EA1076" s="3"/>
      <c r="EB1076" s="3"/>
      <c r="EC1076" s="3"/>
      <c r="ED1076" s="3"/>
      <c r="EE1076" s="3"/>
      <c r="EF1076" s="3"/>
      <c r="EG1076" s="3"/>
      <c r="EH1076" s="3"/>
      <c r="EI1076" s="3"/>
      <c r="EJ1076" s="3"/>
      <c r="EK1076" s="3"/>
      <c r="EL1076" s="3"/>
      <c r="EM1076" s="3"/>
      <c r="EN1076" s="3"/>
      <c r="EO1076" s="3"/>
      <c r="EP1076" s="3"/>
      <c r="EQ1076" s="3"/>
      <c r="ER1076" s="3"/>
      <c r="ES1076" s="3"/>
      <c r="ET1076" s="3"/>
      <c r="EU1076" s="3"/>
      <c r="EV1076" s="3"/>
      <c r="EW1076" s="3"/>
      <c r="EX1076" s="3"/>
      <c r="EY1076" s="3"/>
      <c r="EZ1076" s="3"/>
      <c r="FA1076" s="3"/>
      <c r="FB1076" s="3"/>
      <c r="FC1076" s="3"/>
      <c r="FD1076" s="3"/>
      <c r="FE1076" s="3"/>
      <c r="FF1076" s="3"/>
      <c r="FG1076" s="3"/>
      <c r="FH1076" s="3"/>
      <c r="FI1076" s="3"/>
      <c r="FJ1076" s="3"/>
      <c r="FK1076" s="3"/>
      <c r="FL1076" s="3"/>
      <c r="FM1076" s="3"/>
      <c r="FN1076" s="3"/>
      <c r="FO1076" s="3"/>
      <c r="FP1076" s="3"/>
      <c r="FQ1076" s="3"/>
      <c r="FR1076" s="3"/>
      <c r="FS1076" s="3"/>
      <c r="FT1076" s="3"/>
      <c r="FU1076" s="3"/>
      <c r="FV1076" s="3"/>
      <c r="FW1076" s="3"/>
      <c r="FX1076" s="3"/>
      <c r="FY1076" s="3"/>
      <c r="FZ1076" s="3"/>
      <c r="GA1076" s="3"/>
      <c r="GB1076" s="3"/>
      <c r="GC1076" s="3"/>
      <c r="GD1076" s="3"/>
      <c r="GE1076" s="3"/>
      <c r="GF1076" s="3"/>
      <c r="GG1076" s="3"/>
      <c r="GH1076" s="3"/>
      <c r="GI1076" s="3"/>
      <c r="GJ1076" s="3"/>
      <c r="GK1076" s="3"/>
      <c r="GL1076" s="3"/>
      <c r="GM1076" s="3"/>
      <c r="GN1076" s="3"/>
      <c r="GO1076" s="3"/>
      <c r="GP1076" s="3"/>
      <c r="GQ1076" s="3"/>
      <c r="GR1076" s="3"/>
      <c r="GS1076" s="3"/>
      <c r="GT1076" s="3"/>
      <c r="GU1076" s="3"/>
      <c r="GV1076" s="3"/>
      <c r="GW1076" s="3"/>
      <c r="GX1076" s="3"/>
      <c r="GY1076" s="3"/>
      <c r="GZ1076" s="3"/>
      <c r="HA1076" s="3"/>
      <c r="HB1076" s="3"/>
      <c r="HC1076" s="3"/>
      <c r="HD1076" s="3"/>
      <c r="HE1076" s="3"/>
      <c r="HF1076" s="3"/>
      <c r="HG1076" s="3"/>
      <c r="HH1076" s="3"/>
      <c r="HI1076" s="3"/>
      <c r="HJ1076" s="3"/>
      <c r="HK1076" s="3"/>
      <c r="HL1076" s="3"/>
      <c r="HM1076" s="3"/>
      <c r="HN1076" s="3"/>
      <c r="HO1076" s="3"/>
      <c r="HP1076" s="3"/>
      <c r="HQ1076" s="3"/>
      <c r="HR1076" s="3"/>
      <c r="HS1076" s="3"/>
      <c r="HT1076" s="3"/>
      <c r="HU1076" s="3"/>
      <c r="HV1076" s="3"/>
      <c r="HW1076" s="3"/>
      <c r="HX1076" s="3"/>
      <c r="HY1076" s="3"/>
      <c r="HZ1076" s="3"/>
      <c r="IA1076" s="3"/>
      <c r="IB1076" s="3"/>
      <c r="IC1076" s="3"/>
      <c r="ID1076" s="3"/>
      <c r="IE1076" s="3"/>
      <c r="IF1076" s="3"/>
      <c r="IG1076" s="3"/>
      <c r="IH1076" s="3"/>
      <c r="II1076" s="3"/>
      <c r="IJ1076" s="3"/>
      <c r="IK1076" s="3"/>
      <c r="IL1076" s="3"/>
      <c r="IM1076" s="3"/>
      <c r="IN1076" s="3"/>
      <c r="IO1076" s="3"/>
      <c r="IP1076" s="3"/>
      <c r="IQ1076" s="3"/>
      <c r="IR1076" s="3"/>
      <c r="IS1076" s="3"/>
      <c r="IT1076" s="3"/>
      <c r="IU1076" s="3"/>
      <c r="IV1076" s="3"/>
    </row>
    <row r="1077" spans="1:256" s="663" customFormat="1">
      <c r="A1077" s="61"/>
      <c r="B1077" s="963"/>
      <c r="C1077" s="317" t="s">
        <v>1773</v>
      </c>
      <c r="D1077" s="991"/>
      <c r="E1077" s="991">
        <v>0.2</v>
      </c>
      <c r="F1077" s="310">
        <f>SUM(G1075:G1076)</f>
        <v>17136</v>
      </c>
      <c r="G1077" s="628">
        <f t="shared" si="7"/>
        <v>3427.2</v>
      </c>
      <c r="I1077" s="152"/>
      <c r="J1077" s="3"/>
      <c r="K1077" s="3"/>
      <c r="L1077" s="3"/>
      <c r="M1077" s="3"/>
      <c r="N1077" s="3"/>
      <c r="O1077" s="3"/>
      <c r="P1077" s="3"/>
      <c r="Q1077" s="3"/>
      <c r="R1077" s="3"/>
      <c r="S1077" s="3"/>
      <c r="T1077" s="3"/>
      <c r="U1077" s="3"/>
      <c r="V1077" s="3"/>
      <c r="W1077" s="3"/>
      <c r="X1077" s="3"/>
      <c r="Y1077" s="3"/>
      <c r="Z1077" s="3"/>
      <c r="AA1077" s="3"/>
      <c r="AB1077" s="3"/>
      <c r="AC1077" s="3"/>
      <c r="AD1077" s="3"/>
      <c r="AE1077" s="3"/>
      <c r="AF1077" s="3"/>
      <c r="AG1077" s="3"/>
      <c r="AH1077" s="3"/>
      <c r="AI1077" s="3"/>
      <c r="AJ1077" s="3"/>
      <c r="AK1077" s="3"/>
      <c r="AL1077" s="3"/>
      <c r="AM1077" s="3"/>
      <c r="AN1077" s="3"/>
      <c r="AO1077" s="3"/>
      <c r="AP1077" s="3"/>
      <c r="AQ1077" s="3"/>
      <c r="AR1077" s="3"/>
      <c r="AS1077" s="3"/>
      <c r="AT1077" s="3"/>
      <c r="AU1077" s="3"/>
      <c r="AV1077" s="3"/>
      <c r="AW1077" s="3"/>
      <c r="AX1077" s="3"/>
      <c r="AY1077" s="3"/>
      <c r="AZ1077" s="3"/>
      <c r="BA1077" s="3"/>
      <c r="BB1077" s="3"/>
      <c r="BC1077" s="3"/>
      <c r="BD1077" s="3"/>
      <c r="BE1077" s="3"/>
      <c r="BF1077" s="3"/>
      <c r="BG1077" s="3"/>
      <c r="BH1077" s="3"/>
      <c r="BI1077" s="3"/>
      <c r="BJ1077" s="3"/>
      <c r="BK1077" s="3"/>
      <c r="BL1077" s="3"/>
      <c r="BM1077" s="3"/>
      <c r="BN1077" s="3"/>
      <c r="BO1077" s="3"/>
      <c r="BP1077" s="3"/>
      <c r="BQ1077" s="3"/>
      <c r="BR1077" s="3"/>
      <c r="BS1077" s="3"/>
      <c r="BT1077" s="3"/>
      <c r="BU1077" s="3"/>
      <c r="BV1077" s="3"/>
      <c r="BW1077" s="3"/>
      <c r="BX1077" s="3"/>
      <c r="BY1077" s="3"/>
      <c r="BZ1077" s="3"/>
      <c r="CA1077" s="3"/>
      <c r="CB1077" s="3"/>
      <c r="CC1077" s="3"/>
      <c r="CD1077" s="3"/>
      <c r="CE1077" s="3"/>
      <c r="CF1077" s="3"/>
      <c r="CG1077" s="3"/>
      <c r="CH1077" s="3"/>
      <c r="CI1077" s="3"/>
      <c r="CJ1077" s="3"/>
      <c r="CK1077" s="3"/>
      <c r="CL1077" s="3"/>
      <c r="CM1077" s="3"/>
      <c r="CN1077" s="3"/>
      <c r="CO1077" s="3"/>
      <c r="CP1077" s="3"/>
      <c r="CQ1077" s="3"/>
      <c r="CR1077" s="3"/>
      <c r="CS1077" s="3"/>
      <c r="CT1077" s="3"/>
      <c r="CU1077" s="3"/>
      <c r="CV1077" s="3"/>
      <c r="CW1077" s="3"/>
      <c r="CX1077" s="3"/>
      <c r="CY1077" s="3"/>
      <c r="CZ1077" s="3"/>
      <c r="DA1077" s="3"/>
      <c r="DB1077" s="3"/>
      <c r="DC1077" s="3"/>
      <c r="DD1077" s="3"/>
      <c r="DE1077" s="3"/>
      <c r="DF1077" s="3"/>
      <c r="DG1077" s="3"/>
      <c r="DH1077" s="3"/>
      <c r="DI1077" s="3"/>
      <c r="DJ1077" s="3"/>
      <c r="DK1077" s="3"/>
      <c r="DL1077" s="3"/>
      <c r="DM1077" s="3"/>
      <c r="DN1077" s="3"/>
      <c r="DO1077" s="3"/>
      <c r="DP1077" s="3"/>
      <c r="DQ1077" s="3"/>
      <c r="DR1077" s="3"/>
      <c r="DS1077" s="3"/>
      <c r="DT1077" s="3"/>
      <c r="DU1077" s="3"/>
      <c r="DV1077" s="3"/>
      <c r="DW1077" s="3"/>
      <c r="DX1077" s="3"/>
      <c r="DY1077" s="3"/>
      <c r="DZ1077" s="3"/>
      <c r="EA1077" s="3"/>
      <c r="EB1077" s="3"/>
      <c r="EC1077" s="3"/>
      <c r="ED1077" s="3"/>
      <c r="EE1077" s="3"/>
      <c r="EF1077" s="3"/>
      <c r="EG1077" s="3"/>
      <c r="EH1077" s="3"/>
      <c r="EI1077" s="3"/>
      <c r="EJ1077" s="3"/>
      <c r="EK1077" s="3"/>
      <c r="EL1077" s="3"/>
      <c r="EM1077" s="3"/>
      <c r="EN1077" s="3"/>
      <c r="EO1077" s="3"/>
      <c r="EP1077" s="3"/>
      <c r="EQ1077" s="3"/>
      <c r="ER1077" s="3"/>
      <c r="ES1077" s="3"/>
      <c r="ET1077" s="3"/>
      <c r="EU1077" s="3"/>
      <c r="EV1077" s="3"/>
      <c r="EW1077" s="3"/>
      <c r="EX1077" s="3"/>
      <c r="EY1077" s="3"/>
      <c r="EZ1077" s="3"/>
      <c r="FA1077" s="3"/>
      <c r="FB1077" s="3"/>
      <c r="FC1077" s="3"/>
      <c r="FD1077" s="3"/>
      <c r="FE1077" s="3"/>
      <c r="FF1077" s="3"/>
      <c r="FG1077" s="3"/>
      <c r="FH1077" s="3"/>
      <c r="FI1077" s="3"/>
      <c r="FJ1077" s="3"/>
      <c r="FK1077" s="3"/>
      <c r="FL1077" s="3"/>
      <c r="FM1077" s="3"/>
      <c r="FN1077" s="3"/>
      <c r="FO1077" s="3"/>
      <c r="FP1077" s="3"/>
      <c r="FQ1077" s="3"/>
      <c r="FR1077" s="3"/>
      <c r="FS1077" s="3"/>
      <c r="FT1077" s="3"/>
      <c r="FU1077" s="3"/>
      <c r="FV1077" s="3"/>
      <c r="FW1077" s="3"/>
      <c r="FX1077" s="3"/>
      <c r="FY1077" s="3"/>
      <c r="FZ1077" s="3"/>
      <c r="GA1077" s="3"/>
      <c r="GB1077" s="3"/>
      <c r="GC1077" s="3"/>
      <c r="GD1077" s="3"/>
      <c r="GE1077" s="3"/>
      <c r="GF1077" s="3"/>
      <c r="GG1077" s="3"/>
      <c r="GH1077" s="3"/>
      <c r="GI1077" s="3"/>
      <c r="GJ1077" s="3"/>
      <c r="GK1077" s="3"/>
      <c r="GL1077" s="3"/>
      <c r="GM1077" s="3"/>
      <c r="GN1077" s="3"/>
      <c r="GO1077" s="3"/>
      <c r="GP1077" s="3"/>
      <c r="GQ1077" s="3"/>
      <c r="GR1077" s="3"/>
      <c r="GS1077" s="3"/>
      <c r="GT1077" s="3"/>
      <c r="GU1077" s="3"/>
      <c r="GV1077" s="3"/>
      <c r="GW1077" s="3"/>
      <c r="GX1077" s="3"/>
      <c r="GY1077" s="3"/>
      <c r="GZ1077" s="3"/>
      <c r="HA1077" s="3"/>
      <c r="HB1077" s="3"/>
      <c r="HC1077" s="3"/>
      <c r="HD1077" s="3"/>
      <c r="HE1077" s="3"/>
      <c r="HF1077" s="3"/>
      <c r="HG1077" s="3"/>
      <c r="HH1077" s="3"/>
      <c r="HI1077" s="3"/>
      <c r="HJ1077" s="3"/>
      <c r="HK1077" s="3"/>
      <c r="HL1077" s="3"/>
      <c r="HM1077" s="3"/>
      <c r="HN1077" s="3"/>
      <c r="HO1077" s="3"/>
      <c r="HP1077" s="3"/>
      <c r="HQ1077" s="3"/>
      <c r="HR1077" s="3"/>
      <c r="HS1077" s="3"/>
      <c r="HT1077" s="3"/>
      <c r="HU1077" s="3"/>
      <c r="HV1077" s="3"/>
      <c r="HW1077" s="3"/>
      <c r="HX1077" s="3"/>
      <c r="HY1077" s="3"/>
      <c r="HZ1077" s="3"/>
      <c r="IA1077" s="3"/>
      <c r="IB1077" s="3"/>
      <c r="IC1077" s="3"/>
      <c r="ID1077" s="3"/>
      <c r="IE1077" s="3"/>
      <c r="IF1077" s="3"/>
      <c r="IG1077" s="3"/>
      <c r="IH1077" s="3"/>
      <c r="II1077" s="3"/>
      <c r="IJ1077" s="3"/>
      <c r="IK1077" s="3"/>
      <c r="IL1077" s="3"/>
      <c r="IM1077" s="3"/>
      <c r="IN1077" s="3"/>
      <c r="IO1077" s="3"/>
      <c r="IP1077" s="3"/>
      <c r="IQ1077" s="3"/>
      <c r="IR1077" s="3"/>
      <c r="IS1077" s="3"/>
      <c r="IT1077" s="3"/>
      <c r="IU1077" s="3"/>
      <c r="IV1077" s="3"/>
    </row>
    <row r="1078" spans="1:256" s="663" customFormat="1">
      <c r="A1078" s="61"/>
      <c r="B1078" s="963"/>
      <c r="C1078" s="317" t="s">
        <v>1766</v>
      </c>
      <c r="D1078" s="991" t="s">
        <v>1047</v>
      </c>
      <c r="E1078" s="991">
        <v>1</v>
      </c>
      <c r="F1078" s="310">
        <v>470</v>
      </c>
      <c r="G1078" s="628">
        <f t="shared" si="7"/>
        <v>470</v>
      </c>
      <c r="I1078" s="152"/>
      <c r="J1078" s="3"/>
      <c r="K1078" s="3"/>
      <c r="L1078" s="3"/>
      <c r="M1078" s="3"/>
      <c r="N1078" s="3"/>
      <c r="O1078" s="3"/>
      <c r="P1078" s="3"/>
      <c r="Q1078" s="3"/>
      <c r="R1078" s="3"/>
      <c r="S1078" s="3"/>
      <c r="T1078" s="3"/>
      <c r="U1078" s="3"/>
      <c r="V1078" s="3"/>
      <c r="W1078" s="3"/>
      <c r="X1078" s="3"/>
      <c r="Y1078" s="3"/>
      <c r="Z1078" s="3"/>
      <c r="AA1078" s="3"/>
      <c r="AB1078" s="3"/>
      <c r="AC1078" s="3"/>
      <c r="AD1078" s="3"/>
      <c r="AE1078" s="3"/>
      <c r="AF1078" s="3"/>
      <c r="AG1078" s="3"/>
      <c r="AH1078" s="3"/>
      <c r="AI1078" s="3"/>
      <c r="AJ1078" s="3"/>
      <c r="AK1078" s="3"/>
      <c r="AL1078" s="3"/>
      <c r="AM1078" s="3"/>
      <c r="AN1078" s="3"/>
      <c r="AO1078" s="3"/>
      <c r="AP1078" s="3"/>
      <c r="AQ1078" s="3"/>
      <c r="AR1078" s="3"/>
      <c r="AS1078" s="3"/>
      <c r="AT1078" s="3"/>
      <c r="AU1078" s="3"/>
      <c r="AV1078" s="3"/>
      <c r="AW1078" s="3"/>
      <c r="AX1078" s="3"/>
      <c r="AY1078" s="3"/>
      <c r="AZ1078" s="3"/>
      <c r="BA1078" s="3"/>
      <c r="BB1078" s="3"/>
      <c r="BC1078" s="3"/>
      <c r="BD1078" s="3"/>
      <c r="BE1078" s="3"/>
      <c r="BF1078" s="3"/>
      <c r="BG1078" s="3"/>
      <c r="BH1078" s="3"/>
      <c r="BI1078" s="3"/>
      <c r="BJ1078" s="3"/>
      <c r="BK1078" s="3"/>
      <c r="BL1078" s="3"/>
      <c r="BM1078" s="3"/>
      <c r="BN1078" s="3"/>
      <c r="BO1078" s="3"/>
      <c r="BP1078" s="3"/>
      <c r="BQ1078" s="3"/>
      <c r="BR1078" s="3"/>
      <c r="BS1078" s="3"/>
      <c r="BT1078" s="3"/>
      <c r="BU1078" s="3"/>
      <c r="BV1078" s="3"/>
      <c r="BW1078" s="3"/>
      <c r="BX1078" s="3"/>
      <c r="BY1078" s="3"/>
      <c r="BZ1078" s="3"/>
      <c r="CA1078" s="3"/>
      <c r="CB1078" s="3"/>
      <c r="CC1078" s="3"/>
      <c r="CD1078" s="3"/>
      <c r="CE1078" s="3"/>
      <c r="CF1078" s="3"/>
      <c r="CG1078" s="3"/>
      <c r="CH1078" s="3"/>
      <c r="CI1078" s="3"/>
      <c r="CJ1078" s="3"/>
      <c r="CK1078" s="3"/>
      <c r="CL1078" s="3"/>
      <c r="CM1078" s="3"/>
      <c r="CN1078" s="3"/>
      <c r="CO1078" s="3"/>
      <c r="CP1078" s="3"/>
      <c r="CQ1078" s="3"/>
      <c r="CR1078" s="3"/>
      <c r="CS1078" s="3"/>
      <c r="CT1078" s="3"/>
      <c r="CU1078" s="3"/>
      <c r="CV1078" s="3"/>
      <c r="CW1078" s="3"/>
      <c r="CX1078" s="3"/>
      <c r="CY1078" s="3"/>
      <c r="CZ1078" s="3"/>
      <c r="DA1078" s="3"/>
      <c r="DB1078" s="3"/>
      <c r="DC1078" s="3"/>
      <c r="DD1078" s="3"/>
      <c r="DE1078" s="3"/>
      <c r="DF1078" s="3"/>
      <c r="DG1078" s="3"/>
      <c r="DH1078" s="3"/>
      <c r="DI1078" s="3"/>
      <c r="DJ1078" s="3"/>
      <c r="DK1078" s="3"/>
      <c r="DL1078" s="3"/>
      <c r="DM1078" s="3"/>
      <c r="DN1078" s="3"/>
      <c r="DO1078" s="3"/>
      <c r="DP1078" s="3"/>
      <c r="DQ1078" s="3"/>
      <c r="DR1078" s="3"/>
      <c r="DS1078" s="3"/>
      <c r="DT1078" s="3"/>
      <c r="DU1078" s="3"/>
      <c r="DV1078" s="3"/>
      <c r="DW1078" s="3"/>
      <c r="DX1078" s="3"/>
      <c r="DY1078" s="3"/>
      <c r="DZ1078" s="3"/>
      <c r="EA1078" s="3"/>
      <c r="EB1078" s="3"/>
      <c r="EC1078" s="3"/>
      <c r="ED1078" s="3"/>
      <c r="EE1078" s="3"/>
      <c r="EF1078" s="3"/>
      <c r="EG1078" s="3"/>
      <c r="EH1078" s="3"/>
      <c r="EI1078" s="3"/>
      <c r="EJ1078" s="3"/>
      <c r="EK1078" s="3"/>
      <c r="EL1078" s="3"/>
      <c r="EM1078" s="3"/>
      <c r="EN1078" s="3"/>
      <c r="EO1078" s="3"/>
      <c r="EP1078" s="3"/>
      <c r="EQ1078" s="3"/>
      <c r="ER1078" s="3"/>
      <c r="ES1078" s="3"/>
      <c r="ET1078" s="3"/>
      <c r="EU1078" s="3"/>
      <c r="EV1078" s="3"/>
      <c r="EW1078" s="3"/>
      <c r="EX1078" s="3"/>
      <c r="EY1078" s="3"/>
      <c r="EZ1078" s="3"/>
      <c r="FA1078" s="3"/>
      <c r="FB1078" s="3"/>
      <c r="FC1078" s="3"/>
      <c r="FD1078" s="3"/>
      <c r="FE1078" s="3"/>
      <c r="FF1078" s="3"/>
      <c r="FG1078" s="3"/>
      <c r="FH1078" s="3"/>
      <c r="FI1078" s="3"/>
      <c r="FJ1078" s="3"/>
      <c r="FK1078" s="3"/>
      <c r="FL1078" s="3"/>
      <c r="FM1078" s="3"/>
      <c r="FN1078" s="3"/>
      <c r="FO1078" s="3"/>
      <c r="FP1078" s="3"/>
      <c r="FQ1078" s="3"/>
      <c r="FR1078" s="3"/>
      <c r="FS1078" s="3"/>
      <c r="FT1078" s="3"/>
      <c r="FU1078" s="3"/>
      <c r="FV1078" s="3"/>
      <c r="FW1078" s="3"/>
      <c r="FX1078" s="3"/>
      <c r="FY1078" s="3"/>
      <c r="FZ1078" s="3"/>
      <c r="GA1078" s="3"/>
      <c r="GB1078" s="3"/>
      <c r="GC1078" s="3"/>
      <c r="GD1078" s="3"/>
      <c r="GE1078" s="3"/>
      <c r="GF1078" s="3"/>
      <c r="GG1078" s="3"/>
      <c r="GH1078" s="3"/>
      <c r="GI1078" s="3"/>
      <c r="GJ1078" s="3"/>
      <c r="GK1078" s="3"/>
      <c r="GL1078" s="3"/>
      <c r="GM1078" s="3"/>
      <c r="GN1078" s="3"/>
      <c r="GO1078" s="3"/>
      <c r="GP1078" s="3"/>
      <c r="GQ1078" s="3"/>
      <c r="GR1078" s="3"/>
      <c r="GS1078" s="3"/>
      <c r="GT1078" s="3"/>
      <c r="GU1078" s="3"/>
      <c r="GV1078" s="3"/>
      <c r="GW1078" s="3"/>
      <c r="GX1078" s="3"/>
      <c r="GY1078" s="3"/>
      <c r="GZ1078" s="3"/>
      <c r="HA1078" s="3"/>
      <c r="HB1078" s="3"/>
      <c r="HC1078" s="3"/>
      <c r="HD1078" s="3"/>
      <c r="HE1078" s="3"/>
      <c r="HF1078" s="3"/>
      <c r="HG1078" s="3"/>
      <c r="HH1078" s="3"/>
      <c r="HI1078" s="3"/>
      <c r="HJ1078" s="3"/>
      <c r="HK1078" s="3"/>
      <c r="HL1078" s="3"/>
      <c r="HM1078" s="3"/>
      <c r="HN1078" s="3"/>
      <c r="HO1078" s="3"/>
      <c r="HP1078" s="3"/>
      <c r="HQ1078" s="3"/>
      <c r="HR1078" s="3"/>
      <c r="HS1078" s="3"/>
      <c r="HT1078" s="3"/>
      <c r="HU1078" s="3"/>
      <c r="HV1078" s="3"/>
      <c r="HW1078" s="3"/>
      <c r="HX1078" s="3"/>
      <c r="HY1078" s="3"/>
      <c r="HZ1078" s="3"/>
      <c r="IA1078" s="3"/>
      <c r="IB1078" s="3"/>
      <c r="IC1078" s="3"/>
      <c r="ID1078" s="3"/>
      <c r="IE1078" s="3"/>
      <c r="IF1078" s="3"/>
      <c r="IG1078" s="3"/>
      <c r="IH1078" s="3"/>
      <c r="II1078" s="3"/>
      <c r="IJ1078" s="3"/>
      <c r="IK1078" s="3"/>
      <c r="IL1078" s="3"/>
      <c r="IM1078" s="3"/>
      <c r="IN1078" s="3"/>
      <c r="IO1078" s="3"/>
      <c r="IP1078" s="3"/>
      <c r="IQ1078" s="3"/>
      <c r="IR1078" s="3"/>
      <c r="IS1078" s="3"/>
      <c r="IT1078" s="3"/>
      <c r="IU1078" s="3"/>
      <c r="IV1078" s="3"/>
    </row>
    <row r="1079" spans="1:256" s="663" customFormat="1">
      <c r="A1079" s="61"/>
      <c r="B1079" s="963"/>
      <c r="C1079" s="309" t="s">
        <v>1767</v>
      </c>
      <c r="D1079" s="991"/>
      <c r="E1079" s="991"/>
      <c r="F1079" s="991"/>
      <c r="G1079" s="628"/>
      <c r="I1079" s="152"/>
      <c r="J1079" s="3"/>
      <c r="K1079" s="3"/>
      <c r="L1079" s="3"/>
      <c r="M1079" s="3"/>
      <c r="N1079" s="3"/>
      <c r="O1079" s="3"/>
      <c r="P1079" s="3"/>
      <c r="Q1079" s="3"/>
      <c r="R1079" s="3"/>
      <c r="S1079" s="3"/>
      <c r="T1079" s="3"/>
      <c r="U1079" s="3"/>
      <c r="V1079" s="3"/>
      <c r="W1079" s="3"/>
      <c r="X1079" s="3"/>
      <c r="Y1079" s="3"/>
      <c r="Z1079" s="3"/>
      <c r="AA1079" s="3"/>
      <c r="AB1079" s="3"/>
      <c r="AC1079" s="3"/>
      <c r="AD1079" s="3"/>
      <c r="AE1079" s="3"/>
      <c r="AF1079" s="3"/>
      <c r="AG1079" s="3"/>
      <c r="AH1079" s="3"/>
      <c r="AI1079" s="3"/>
      <c r="AJ1079" s="3"/>
      <c r="AK1079" s="3"/>
      <c r="AL1079" s="3"/>
      <c r="AM1079" s="3"/>
      <c r="AN1079" s="3"/>
      <c r="AO1079" s="3"/>
      <c r="AP1079" s="3"/>
      <c r="AQ1079" s="3"/>
      <c r="AR1079" s="3"/>
      <c r="AS1079" s="3"/>
      <c r="AT1079" s="3"/>
      <c r="AU1079" s="3"/>
      <c r="AV1079" s="3"/>
      <c r="AW1079" s="3"/>
      <c r="AX1079" s="3"/>
      <c r="AY1079" s="3"/>
      <c r="AZ1079" s="3"/>
      <c r="BA1079" s="3"/>
      <c r="BB1079" s="3"/>
      <c r="BC1079" s="3"/>
      <c r="BD1079" s="3"/>
      <c r="BE1079" s="3"/>
      <c r="BF1079" s="3"/>
      <c r="BG1079" s="3"/>
      <c r="BH1079" s="3"/>
      <c r="BI1079" s="3"/>
      <c r="BJ1079" s="3"/>
      <c r="BK1079" s="3"/>
      <c r="BL1079" s="3"/>
      <c r="BM1079" s="3"/>
      <c r="BN1079" s="3"/>
      <c r="BO1079" s="3"/>
      <c r="BP1079" s="3"/>
      <c r="BQ1079" s="3"/>
      <c r="BR1079" s="3"/>
      <c r="BS1079" s="3"/>
      <c r="BT1079" s="3"/>
      <c r="BU1079" s="3"/>
      <c r="BV1079" s="3"/>
      <c r="BW1079" s="3"/>
      <c r="BX1079" s="3"/>
      <c r="BY1079" s="3"/>
      <c r="BZ1079" s="3"/>
      <c r="CA1079" s="3"/>
      <c r="CB1079" s="3"/>
      <c r="CC1079" s="3"/>
      <c r="CD1079" s="3"/>
      <c r="CE1079" s="3"/>
      <c r="CF1079" s="3"/>
      <c r="CG1079" s="3"/>
      <c r="CH1079" s="3"/>
      <c r="CI1079" s="3"/>
      <c r="CJ1079" s="3"/>
      <c r="CK1079" s="3"/>
      <c r="CL1079" s="3"/>
      <c r="CM1079" s="3"/>
      <c r="CN1079" s="3"/>
      <c r="CO1079" s="3"/>
      <c r="CP1079" s="3"/>
      <c r="CQ1079" s="3"/>
      <c r="CR1079" s="3"/>
      <c r="CS1079" s="3"/>
      <c r="CT1079" s="3"/>
      <c r="CU1079" s="3"/>
      <c r="CV1079" s="3"/>
      <c r="CW1079" s="3"/>
      <c r="CX1079" s="3"/>
      <c r="CY1079" s="3"/>
      <c r="CZ1079" s="3"/>
      <c r="DA1079" s="3"/>
      <c r="DB1079" s="3"/>
      <c r="DC1079" s="3"/>
      <c r="DD1079" s="3"/>
      <c r="DE1079" s="3"/>
      <c r="DF1079" s="3"/>
      <c r="DG1079" s="3"/>
      <c r="DH1079" s="3"/>
      <c r="DI1079" s="3"/>
      <c r="DJ1079" s="3"/>
      <c r="DK1079" s="3"/>
      <c r="DL1079" s="3"/>
      <c r="DM1079" s="3"/>
      <c r="DN1079" s="3"/>
      <c r="DO1079" s="3"/>
      <c r="DP1079" s="3"/>
      <c r="DQ1079" s="3"/>
      <c r="DR1079" s="3"/>
      <c r="DS1079" s="3"/>
      <c r="DT1079" s="3"/>
      <c r="DU1079" s="3"/>
      <c r="DV1079" s="3"/>
      <c r="DW1079" s="3"/>
      <c r="DX1079" s="3"/>
      <c r="DY1079" s="3"/>
      <c r="DZ1079" s="3"/>
      <c r="EA1079" s="3"/>
      <c r="EB1079" s="3"/>
      <c r="EC1079" s="3"/>
      <c r="ED1079" s="3"/>
      <c r="EE1079" s="3"/>
      <c r="EF1079" s="3"/>
      <c r="EG1079" s="3"/>
      <c r="EH1079" s="3"/>
      <c r="EI1079" s="3"/>
      <c r="EJ1079" s="3"/>
      <c r="EK1079" s="3"/>
      <c r="EL1079" s="3"/>
      <c r="EM1079" s="3"/>
      <c r="EN1079" s="3"/>
      <c r="EO1079" s="3"/>
      <c r="EP1079" s="3"/>
      <c r="EQ1079" s="3"/>
      <c r="ER1079" s="3"/>
      <c r="ES1079" s="3"/>
      <c r="ET1079" s="3"/>
      <c r="EU1079" s="3"/>
      <c r="EV1079" s="3"/>
      <c r="EW1079" s="3"/>
      <c r="EX1079" s="3"/>
      <c r="EY1079" s="3"/>
      <c r="EZ1079" s="3"/>
      <c r="FA1079" s="3"/>
      <c r="FB1079" s="3"/>
      <c r="FC1079" s="3"/>
      <c r="FD1079" s="3"/>
      <c r="FE1079" s="3"/>
      <c r="FF1079" s="3"/>
      <c r="FG1079" s="3"/>
      <c r="FH1079" s="3"/>
      <c r="FI1079" s="3"/>
      <c r="FJ1079" s="3"/>
      <c r="FK1079" s="3"/>
      <c r="FL1079" s="3"/>
      <c r="FM1079" s="3"/>
      <c r="FN1079" s="3"/>
      <c r="FO1079" s="3"/>
      <c r="FP1079" s="3"/>
      <c r="FQ1079" s="3"/>
      <c r="FR1079" s="3"/>
      <c r="FS1079" s="3"/>
      <c r="FT1079" s="3"/>
      <c r="FU1079" s="3"/>
      <c r="FV1079" s="3"/>
      <c r="FW1079" s="3"/>
      <c r="FX1079" s="3"/>
      <c r="FY1079" s="3"/>
      <c r="FZ1079" s="3"/>
      <c r="GA1079" s="3"/>
      <c r="GB1079" s="3"/>
      <c r="GC1079" s="3"/>
      <c r="GD1079" s="3"/>
      <c r="GE1079" s="3"/>
      <c r="GF1079" s="3"/>
      <c r="GG1079" s="3"/>
      <c r="GH1079" s="3"/>
      <c r="GI1079" s="3"/>
      <c r="GJ1079" s="3"/>
      <c r="GK1079" s="3"/>
      <c r="GL1079" s="3"/>
      <c r="GM1079" s="3"/>
      <c r="GN1079" s="3"/>
      <c r="GO1079" s="3"/>
      <c r="GP1079" s="3"/>
      <c r="GQ1079" s="3"/>
      <c r="GR1079" s="3"/>
      <c r="GS1079" s="3"/>
      <c r="GT1079" s="3"/>
      <c r="GU1079" s="3"/>
      <c r="GV1079" s="3"/>
      <c r="GW1079" s="3"/>
      <c r="GX1079" s="3"/>
      <c r="GY1079" s="3"/>
      <c r="GZ1079" s="3"/>
      <c r="HA1079" s="3"/>
      <c r="HB1079" s="3"/>
      <c r="HC1079" s="3"/>
      <c r="HD1079" s="3"/>
      <c r="HE1079" s="3"/>
      <c r="HF1079" s="3"/>
      <c r="HG1079" s="3"/>
      <c r="HH1079" s="3"/>
      <c r="HI1079" s="3"/>
      <c r="HJ1079" s="3"/>
      <c r="HK1079" s="3"/>
      <c r="HL1079" s="3"/>
      <c r="HM1079" s="3"/>
      <c r="HN1079" s="3"/>
      <c r="HO1079" s="3"/>
      <c r="HP1079" s="3"/>
      <c r="HQ1079" s="3"/>
      <c r="HR1079" s="3"/>
      <c r="HS1079" s="3"/>
      <c r="HT1079" s="3"/>
      <c r="HU1079" s="3"/>
      <c r="HV1079" s="3"/>
      <c r="HW1079" s="3"/>
      <c r="HX1079" s="3"/>
      <c r="HY1079" s="3"/>
      <c r="HZ1079" s="3"/>
      <c r="IA1079" s="3"/>
      <c r="IB1079" s="3"/>
      <c r="IC1079" s="3"/>
      <c r="ID1079" s="3"/>
      <c r="IE1079" s="3"/>
      <c r="IF1079" s="3"/>
      <c r="IG1079" s="3"/>
      <c r="IH1079" s="3"/>
      <c r="II1079" s="3"/>
      <c r="IJ1079" s="3"/>
      <c r="IK1079" s="3"/>
      <c r="IL1079" s="3"/>
      <c r="IM1079" s="3"/>
      <c r="IN1079" s="3"/>
      <c r="IO1079" s="3"/>
      <c r="IP1079" s="3"/>
      <c r="IQ1079" s="3"/>
      <c r="IR1079" s="3"/>
      <c r="IS1079" s="3"/>
      <c r="IT1079" s="3"/>
      <c r="IU1079" s="3"/>
      <c r="IV1079" s="3"/>
    </row>
    <row r="1080" spans="1:256" s="663" customFormat="1">
      <c r="A1080" s="61"/>
      <c r="B1080" s="963"/>
      <c r="C1080" s="317" t="s">
        <v>1768</v>
      </c>
      <c r="D1080" s="991" t="s">
        <v>345</v>
      </c>
      <c r="E1080" s="991">
        <v>2.9</v>
      </c>
      <c r="F1080" s="310">
        <v>924.1</v>
      </c>
      <c r="G1080" s="628">
        <f t="shared" si="7"/>
        <v>2679.89</v>
      </c>
      <c r="I1080" s="152"/>
      <c r="J1080" s="3"/>
      <c r="K1080" s="3"/>
      <c r="L1080" s="3"/>
      <c r="M1080" s="3"/>
      <c r="N1080" s="3"/>
      <c r="O1080" s="3"/>
      <c r="P1080" s="3"/>
      <c r="Q1080" s="3"/>
      <c r="R1080" s="3"/>
      <c r="S1080" s="3"/>
      <c r="T1080" s="3"/>
      <c r="U1080" s="3"/>
      <c r="V1080" s="3"/>
      <c r="W1080" s="3"/>
      <c r="X1080" s="3"/>
      <c r="Y1080" s="3"/>
      <c r="Z1080" s="3"/>
      <c r="AA1080" s="3"/>
      <c r="AB1080" s="3"/>
      <c r="AC1080" s="3"/>
      <c r="AD1080" s="3"/>
      <c r="AE1080" s="3"/>
      <c r="AF1080" s="3"/>
      <c r="AG1080" s="3"/>
      <c r="AH1080" s="3"/>
      <c r="AI1080" s="3"/>
      <c r="AJ1080" s="3"/>
      <c r="AK1080" s="3"/>
      <c r="AL1080" s="3"/>
      <c r="AM1080" s="3"/>
      <c r="AN1080" s="3"/>
      <c r="AO1080" s="3"/>
      <c r="AP1080" s="3"/>
      <c r="AQ1080" s="3"/>
      <c r="AR1080" s="3"/>
      <c r="AS1080" s="3"/>
      <c r="AT1080" s="3"/>
      <c r="AU1080" s="3"/>
      <c r="AV1080" s="3"/>
      <c r="AW1080" s="3"/>
      <c r="AX1080" s="3"/>
      <c r="AY1080" s="3"/>
      <c r="AZ1080" s="3"/>
      <c r="BA1080" s="3"/>
      <c r="BB1080" s="3"/>
      <c r="BC1080" s="3"/>
      <c r="BD1080" s="3"/>
      <c r="BE1080" s="3"/>
      <c r="BF1080" s="3"/>
      <c r="BG1080" s="3"/>
      <c r="BH1080" s="3"/>
      <c r="BI1080" s="3"/>
      <c r="BJ1080" s="3"/>
      <c r="BK1080" s="3"/>
      <c r="BL1080" s="3"/>
      <c r="BM1080" s="3"/>
      <c r="BN1080" s="3"/>
      <c r="BO1080" s="3"/>
      <c r="BP1080" s="3"/>
      <c r="BQ1080" s="3"/>
      <c r="BR1080" s="3"/>
      <c r="BS1080" s="3"/>
      <c r="BT1080" s="3"/>
      <c r="BU1080" s="3"/>
      <c r="BV1080" s="3"/>
      <c r="BW1080" s="3"/>
      <c r="BX1080" s="3"/>
      <c r="BY1080" s="3"/>
      <c r="BZ1080" s="3"/>
      <c r="CA1080" s="3"/>
      <c r="CB1080" s="3"/>
      <c r="CC1080" s="3"/>
      <c r="CD1080" s="3"/>
      <c r="CE1080" s="3"/>
      <c r="CF1080" s="3"/>
      <c r="CG1080" s="3"/>
      <c r="CH1080" s="3"/>
      <c r="CI1080" s="3"/>
      <c r="CJ1080" s="3"/>
      <c r="CK1080" s="3"/>
      <c r="CL1080" s="3"/>
      <c r="CM1080" s="3"/>
      <c r="CN1080" s="3"/>
      <c r="CO1080" s="3"/>
      <c r="CP1080" s="3"/>
      <c r="CQ1080" s="3"/>
      <c r="CR1080" s="3"/>
      <c r="CS1080" s="3"/>
      <c r="CT1080" s="3"/>
      <c r="CU1080" s="3"/>
      <c r="CV1080" s="3"/>
      <c r="CW1080" s="3"/>
      <c r="CX1080" s="3"/>
      <c r="CY1080" s="3"/>
      <c r="CZ1080" s="3"/>
      <c r="DA1080" s="3"/>
      <c r="DB1080" s="3"/>
      <c r="DC1080" s="3"/>
      <c r="DD1080" s="3"/>
      <c r="DE1080" s="3"/>
      <c r="DF1080" s="3"/>
      <c r="DG1080" s="3"/>
      <c r="DH1080" s="3"/>
      <c r="DI1080" s="3"/>
      <c r="DJ1080" s="3"/>
      <c r="DK1080" s="3"/>
      <c r="DL1080" s="3"/>
      <c r="DM1080" s="3"/>
      <c r="DN1080" s="3"/>
      <c r="DO1080" s="3"/>
      <c r="DP1080" s="3"/>
      <c r="DQ1080" s="3"/>
      <c r="DR1080" s="3"/>
      <c r="DS1080" s="3"/>
      <c r="DT1080" s="3"/>
      <c r="DU1080" s="3"/>
      <c r="DV1080" s="3"/>
      <c r="DW1080" s="3"/>
      <c r="DX1080" s="3"/>
      <c r="DY1080" s="3"/>
      <c r="DZ1080" s="3"/>
      <c r="EA1080" s="3"/>
      <c r="EB1080" s="3"/>
      <c r="EC1080" s="3"/>
      <c r="ED1080" s="3"/>
      <c r="EE1080" s="3"/>
      <c r="EF1080" s="3"/>
      <c r="EG1080" s="3"/>
      <c r="EH1080" s="3"/>
      <c r="EI1080" s="3"/>
      <c r="EJ1080" s="3"/>
      <c r="EK1080" s="3"/>
      <c r="EL1080" s="3"/>
      <c r="EM1080" s="3"/>
      <c r="EN1080" s="3"/>
      <c r="EO1080" s="3"/>
      <c r="EP1080" s="3"/>
      <c r="EQ1080" s="3"/>
      <c r="ER1080" s="3"/>
      <c r="ES1080" s="3"/>
      <c r="ET1080" s="3"/>
      <c r="EU1080" s="3"/>
      <c r="EV1080" s="3"/>
      <c r="EW1080" s="3"/>
      <c r="EX1080" s="3"/>
      <c r="EY1080" s="3"/>
      <c r="EZ1080" s="3"/>
      <c r="FA1080" s="3"/>
      <c r="FB1080" s="3"/>
      <c r="FC1080" s="3"/>
      <c r="FD1080" s="3"/>
      <c r="FE1080" s="3"/>
      <c r="FF1080" s="3"/>
      <c r="FG1080" s="3"/>
      <c r="FH1080" s="3"/>
      <c r="FI1080" s="3"/>
      <c r="FJ1080" s="3"/>
      <c r="FK1080" s="3"/>
      <c r="FL1080" s="3"/>
      <c r="FM1080" s="3"/>
      <c r="FN1080" s="3"/>
      <c r="FO1080" s="3"/>
      <c r="FP1080" s="3"/>
      <c r="FQ1080" s="3"/>
      <c r="FR1080" s="3"/>
      <c r="FS1080" s="3"/>
      <c r="FT1080" s="3"/>
      <c r="FU1080" s="3"/>
      <c r="FV1080" s="3"/>
      <c r="FW1080" s="3"/>
      <c r="FX1080" s="3"/>
      <c r="FY1080" s="3"/>
      <c r="FZ1080" s="3"/>
      <c r="GA1080" s="3"/>
      <c r="GB1080" s="3"/>
      <c r="GC1080" s="3"/>
      <c r="GD1080" s="3"/>
      <c r="GE1080" s="3"/>
      <c r="GF1080" s="3"/>
      <c r="GG1080" s="3"/>
      <c r="GH1080" s="3"/>
      <c r="GI1080" s="3"/>
      <c r="GJ1080" s="3"/>
      <c r="GK1080" s="3"/>
      <c r="GL1080" s="3"/>
      <c r="GM1080" s="3"/>
      <c r="GN1080" s="3"/>
      <c r="GO1080" s="3"/>
      <c r="GP1080" s="3"/>
      <c r="GQ1080" s="3"/>
      <c r="GR1080" s="3"/>
      <c r="GS1080" s="3"/>
      <c r="GT1080" s="3"/>
      <c r="GU1080" s="3"/>
      <c r="GV1080" s="3"/>
      <c r="GW1080" s="3"/>
      <c r="GX1080" s="3"/>
      <c r="GY1080" s="3"/>
      <c r="GZ1080" s="3"/>
      <c r="HA1080" s="3"/>
      <c r="HB1080" s="3"/>
      <c r="HC1080" s="3"/>
      <c r="HD1080" s="3"/>
      <c r="HE1080" s="3"/>
      <c r="HF1080" s="3"/>
      <c r="HG1080" s="3"/>
      <c r="HH1080" s="3"/>
      <c r="HI1080" s="3"/>
      <c r="HJ1080" s="3"/>
      <c r="HK1080" s="3"/>
      <c r="HL1080" s="3"/>
      <c r="HM1080" s="3"/>
      <c r="HN1080" s="3"/>
      <c r="HO1080" s="3"/>
      <c r="HP1080" s="3"/>
      <c r="HQ1080" s="3"/>
      <c r="HR1080" s="3"/>
      <c r="HS1080" s="3"/>
      <c r="HT1080" s="3"/>
      <c r="HU1080" s="3"/>
      <c r="HV1080" s="3"/>
      <c r="HW1080" s="3"/>
      <c r="HX1080" s="3"/>
      <c r="HY1080" s="3"/>
      <c r="HZ1080" s="3"/>
      <c r="IA1080" s="3"/>
      <c r="IB1080" s="3"/>
      <c r="IC1080" s="3"/>
      <c r="ID1080" s="3"/>
      <c r="IE1080" s="3"/>
      <c r="IF1080" s="3"/>
      <c r="IG1080" s="3"/>
      <c r="IH1080" s="3"/>
      <c r="II1080" s="3"/>
      <c r="IJ1080" s="3"/>
      <c r="IK1080" s="3"/>
      <c r="IL1080" s="3"/>
      <c r="IM1080" s="3"/>
      <c r="IN1080" s="3"/>
      <c r="IO1080" s="3"/>
      <c r="IP1080" s="3"/>
      <c r="IQ1080" s="3"/>
      <c r="IR1080" s="3"/>
      <c r="IS1080" s="3"/>
      <c r="IT1080" s="3"/>
      <c r="IU1080" s="3"/>
      <c r="IV1080" s="3"/>
    </row>
    <row r="1081" spans="1:256" s="663" customFormat="1" ht="22.2">
      <c r="A1081" s="61"/>
      <c r="B1081" s="963"/>
      <c r="C1081" s="992" t="s">
        <v>1769</v>
      </c>
      <c r="D1081" s="991" t="s">
        <v>1473</v>
      </c>
      <c r="E1081" s="991">
        <v>8</v>
      </c>
      <c r="F1081" s="991">
        <v>239</v>
      </c>
      <c r="G1081" s="628">
        <f>ROUND(F1081*E1081,2)</f>
        <v>1912</v>
      </c>
      <c r="I1081" s="152"/>
      <c r="J1081" s="3"/>
      <c r="K1081" s="3"/>
      <c r="L1081" s="3"/>
      <c r="M1081" s="3"/>
      <c r="N1081" s="3"/>
      <c r="O1081" s="3"/>
      <c r="P1081" s="3"/>
      <c r="Q1081" s="3"/>
      <c r="R1081" s="3"/>
      <c r="S1081" s="3"/>
      <c r="T1081" s="3"/>
      <c r="U1081" s="3"/>
      <c r="V1081" s="3"/>
      <c r="W1081" s="3"/>
      <c r="X1081" s="3"/>
      <c r="Y1081" s="3"/>
      <c r="Z1081" s="3"/>
      <c r="AA1081" s="3"/>
      <c r="AB1081" s="3"/>
      <c r="AC1081" s="3"/>
      <c r="AD1081" s="3"/>
      <c r="AE1081" s="3"/>
      <c r="AF1081" s="3"/>
      <c r="AG1081" s="3"/>
      <c r="AH1081" s="3"/>
      <c r="AI1081" s="3"/>
      <c r="AJ1081" s="3"/>
      <c r="AK1081" s="3"/>
      <c r="AL1081" s="3"/>
      <c r="AM1081" s="3"/>
      <c r="AN1081" s="3"/>
      <c r="AO1081" s="3"/>
      <c r="AP1081" s="3"/>
      <c r="AQ1081" s="3"/>
      <c r="AR1081" s="3"/>
      <c r="AS1081" s="3"/>
      <c r="AT1081" s="3"/>
      <c r="AU1081" s="3"/>
      <c r="AV1081" s="3"/>
      <c r="AW1081" s="3"/>
      <c r="AX1081" s="3"/>
      <c r="AY1081" s="3"/>
      <c r="AZ1081" s="3"/>
      <c r="BA1081" s="3"/>
      <c r="BB1081" s="3"/>
      <c r="BC1081" s="3"/>
      <c r="BD1081" s="3"/>
      <c r="BE1081" s="3"/>
      <c r="BF1081" s="3"/>
      <c r="BG1081" s="3"/>
      <c r="BH1081" s="3"/>
      <c r="BI1081" s="3"/>
      <c r="BJ1081" s="3"/>
      <c r="BK1081" s="3"/>
      <c r="BL1081" s="3"/>
      <c r="BM1081" s="3"/>
      <c r="BN1081" s="3"/>
      <c r="BO1081" s="3"/>
      <c r="BP1081" s="3"/>
      <c r="BQ1081" s="3"/>
      <c r="BR1081" s="3"/>
      <c r="BS1081" s="3"/>
      <c r="BT1081" s="3"/>
      <c r="BU1081" s="3"/>
      <c r="BV1081" s="3"/>
      <c r="BW1081" s="3"/>
      <c r="BX1081" s="3"/>
      <c r="BY1081" s="3"/>
      <c r="BZ1081" s="3"/>
      <c r="CA1081" s="3"/>
      <c r="CB1081" s="3"/>
      <c r="CC1081" s="3"/>
      <c r="CD1081" s="3"/>
      <c r="CE1081" s="3"/>
      <c r="CF1081" s="3"/>
      <c r="CG1081" s="3"/>
      <c r="CH1081" s="3"/>
      <c r="CI1081" s="3"/>
      <c r="CJ1081" s="3"/>
      <c r="CK1081" s="3"/>
      <c r="CL1081" s="3"/>
      <c r="CM1081" s="3"/>
      <c r="CN1081" s="3"/>
      <c r="CO1081" s="3"/>
      <c r="CP1081" s="3"/>
      <c r="CQ1081" s="3"/>
      <c r="CR1081" s="3"/>
      <c r="CS1081" s="3"/>
      <c r="CT1081" s="3"/>
      <c r="CU1081" s="3"/>
      <c r="CV1081" s="3"/>
      <c r="CW1081" s="3"/>
      <c r="CX1081" s="3"/>
      <c r="CY1081" s="3"/>
      <c r="CZ1081" s="3"/>
      <c r="DA1081" s="3"/>
      <c r="DB1081" s="3"/>
      <c r="DC1081" s="3"/>
      <c r="DD1081" s="3"/>
      <c r="DE1081" s="3"/>
      <c r="DF1081" s="3"/>
      <c r="DG1081" s="3"/>
      <c r="DH1081" s="3"/>
      <c r="DI1081" s="3"/>
      <c r="DJ1081" s="3"/>
      <c r="DK1081" s="3"/>
      <c r="DL1081" s="3"/>
      <c r="DM1081" s="3"/>
      <c r="DN1081" s="3"/>
      <c r="DO1081" s="3"/>
      <c r="DP1081" s="3"/>
      <c r="DQ1081" s="3"/>
      <c r="DR1081" s="3"/>
      <c r="DS1081" s="3"/>
      <c r="DT1081" s="3"/>
      <c r="DU1081" s="3"/>
      <c r="DV1081" s="3"/>
      <c r="DW1081" s="3"/>
      <c r="DX1081" s="3"/>
      <c r="DY1081" s="3"/>
      <c r="DZ1081" s="3"/>
      <c r="EA1081" s="3"/>
      <c r="EB1081" s="3"/>
      <c r="EC1081" s="3"/>
      <c r="ED1081" s="3"/>
      <c r="EE1081" s="3"/>
      <c r="EF1081" s="3"/>
      <c r="EG1081" s="3"/>
      <c r="EH1081" s="3"/>
      <c r="EI1081" s="3"/>
      <c r="EJ1081" s="3"/>
      <c r="EK1081" s="3"/>
      <c r="EL1081" s="3"/>
      <c r="EM1081" s="3"/>
      <c r="EN1081" s="3"/>
      <c r="EO1081" s="3"/>
      <c r="EP1081" s="3"/>
      <c r="EQ1081" s="3"/>
      <c r="ER1081" s="3"/>
      <c r="ES1081" s="3"/>
      <c r="ET1081" s="3"/>
      <c r="EU1081" s="3"/>
      <c r="EV1081" s="3"/>
      <c r="EW1081" s="3"/>
      <c r="EX1081" s="3"/>
      <c r="EY1081" s="3"/>
      <c r="EZ1081" s="3"/>
      <c r="FA1081" s="3"/>
      <c r="FB1081" s="3"/>
      <c r="FC1081" s="3"/>
      <c r="FD1081" s="3"/>
      <c r="FE1081" s="3"/>
      <c r="FF1081" s="3"/>
      <c r="FG1081" s="3"/>
      <c r="FH1081" s="3"/>
      <c r="FI1081" s="3"/>
      <c r="FJ1081" s="3"/>
      <c r="FK1081" s="3"/>
      <c r="FL1081" s="3"/>
      <c r="FM1081" s="3"/>
      <c r="FN1081" s="3"/>
      <c r="FO1081" s="3"/>
      <c r="FP1081" s="3"/>
      <c r="FQ1081" s="3"/>
      <c r="FR1081" s="3"/>
      <c r="FS1081" s="3"/>
      <c r="FT1081" s="3"/>
      <c r="FU1081" s="3"/>
      <c r="FV1081" s="3"/>
      <c r="FW1081" s="3"/>
      <c r="FX1081" s="3"/>
      <c r="FY1081" s="3"/>
      <c r="FZ1081" s="3"/>
      <c r="GA1081" s="3"/>
      <c r="GB1081" s="3"/>
      <c r="GC1081" s="3"/>
      <c r="GD1081" s="3"/>
      <c r="GE1081" s="3"/>
      <c r="GF1081" s="3"/>
      <c r="GG1081" s="3"/>
      <c r="GH1081" s="3"/>
      <c r="GI1081" s="3"/>
      <c r="GJ1081" s="3"/>
      <c r="GK1081" s="3"/>
      <c r="GL1081" s="3"/>
      <c r="GM1081" s="3"/>
      <c r="GN1081" s="3"/>
      <c r="GO1081" s="3"/>
      <c r="GP1081" s="3"/>
      <c r="GQ1081" s="3"/>
      <c r="GR1081" s="3"/>
      <c r="GS1081" s="3"/>
      <c r="GT1081" s="3"/>
      <c r="GU1081" s="3"/>
      <c r="GV1081" s="3"/>
      <c r="GW1081" s="3"/>
      <c r="GX1081" s="3"/>
      <c r="GY1081" s="3"/>
      <c r="GZ1081" s="3"/>
      <c r="HA1081" s="3"/>
      <c r="HB1081" s="3"/>
      <c r="HC1081" s="3"/>
      <c r="HD1081" s="3"/>
      <c r="HE1081" s="3"/>
      <c r="HF1081" s="3"/>
      <c r="HG1081" s="3"/>
      <c r="HH1081" s="3"/>
      <c r="HI1081" s="3"/>
      <c r="HJ1081" s="3"/>
      <c r="HK1081" s="3"/>
      <c r="HL1081" s="3"/>
      <c r="HM1081" s="3"/>
      <c r="HN1081" s="3"/>
      <c r="HO1081" s="3"/>
      <c r="HP1081" s="3"/>
      <c r="HQ1081" s="3"/>
      <c r="HR1081" s="3"/>
      <c r="HS1081" s="3"/>
      <c r="HT1081" s="3"/>
      <c r="HU1081" s="3"/>
      <c r="HV1081" s="3"/>
      <c r="HW1081" s="3"/>
      <c r="HX1081" s="3"/>
      <c r="HY1081" s="3"/>
      <c r="HZ1081" s="3"/>
      <c r="IA1081" s="3"/>
      <c r="IB1081" s="3"/>
      <c r="IC1081" s="3"/>
      <c r="ID1081" s="3"/>
      <c r="IE1081" s="3"/>
      <c r="IF1081" s="3"/>
      <c r="IG1081" s="3"/>
      <c r="IH1081" s="3"/>
      <c r="II1081" s="3"/>
      <c r="IJ1081" s="3"/>
      <c r="IK1081" s="3"/>
      <c r="IL1081" s="3"/>
      <c r="IM1081" s="3"/>
      <c r="IN1081" s="3"/>
      <c r="IO1081" s="3"/>
      <c r="IP1081" s="3"/>
      <c r="IQ1081" s="3"/>
      <c r="IR1081" s="3"/>
      <c r="IS1081" s="3"/>
      <c r="IT1081" s="3"/>
      <c r="IU1081" s="3"/>
      <c r="IV1081" s="3"/>
    </row>
    <row r="1082" spans="1:256" s="663" customFormat="1">
      <c r="A1082" s="61"/>
      <c r="B1082" s="963"/>
      <c r="C1082" s="995" t="s">
        <v>1770</v>
      </c>
      <c r="D1082" s="310"/>
      <c r="E1082" s="996">
        <f>'Lead- Input sheet '!$Q$32</f>
        <v>0</v>
      </c>
      <c r="F1082" s="997">
        <f>SUM(G1075:G1081)</f>
        <v>25625.09</v>
      </c>
      <c r="G1082" s="628">
        <f t="shared" si="7"/>
        <v>0</v>
      </c>
      <c r="I1082" s="152"/>
      <c r="J1082" s="3"/>
      <c r="K1082" s="3"/>
      <c r="L1082" s="3"/>
      <c r="M1082" s="3"/>
      <c r="N1082" s="3"/>
      <c r="O1082" s="3"/>
      <c r="P1082" s="3"/>
      <c r="Q1082" s="3"/>
      <c r="R1082" s="3"/>
      <c r="S1082" s="3"/>
      <c r="T1082" s="3"/>
      <c r="U1082" s="3"/>
      <c r="V1082" s="3"/>
      <c r="W1082" s="3"/>
      <c r="X1082" s="3"/>
      <c r="Y1082" s="3"/>
      <c r="Z1082" s="3"/>
      <c r="AA1082" s="3"/>
      <c r="AB1082" s="3"/>
      <c r="AC1082" s="3"/>
      <c r="AD1082" s="3"/>
      <c r="AE1082" s="3"/>
      <c r="AF1082" s="3"/>
      <c r="AG1082" s="3"/>
      <c r="AH1082" s="3"/>
      <c r="AI1082" s="3"/>
      <c r="AJ1082" s="3"/>
      <c r="AK1082" s="3"/>
      <c r="AL1082" s="3"/>
      <c r="AM1082" s="3"/>
      <c r="AN1082" s="3"/>
      <c r="AO1082" s="3"/>
      <c r="AP1082" s="3"/>
      <c r="AQ1082" s="3"/>
      <c r="AR1082" s="3"/>
      <c r="AS1082" s="3"/>
      <c r="AT1082" s="3"/>
      <c r="AU1082" s="3"/>
      <c r="AV1082" s="3"/>
      <c r="AW1082" s="3"/>
      <c r="AX1082" s="3"/>
      <c r="AY1082" s="3"/>
      <c r="AZ1082" s="3"/>
      <c r="BA1082" s="3"/>
      <c r="BB1082" s="3"/>
      <c r="BC1082" s="3"/>
      <c r="BD1082" s="3"/>
      <c r="BE1082" s="3"/>
      <c r="BF1082" s="3"/>
      <c r="BG1082" s="3"/>
      <c r="BH1082" s="3"/>
      <c r="BI1082" s="3"/>
      <c r="BJ1082" s="3"/>
      <c r="BK1082" s="3"/>
      <c r="BL1082" s="3"/>
      <c r="BM1082" s="3"/>
      <c r="BN1082" s="3"/>
      <c r="BO1082" s="3"/>
      <c r="BP1082" s="3"/>
      <c r="BQ1082" s="3"/>
      <c r="BR1082" s="3"/>
      <c r="BS1082" s="3"/>
      <c r="BT1082" s="3"/>
      <c r="BU1082" s="3"/>
      <c r="BV1082" s="3"/>
      <c r="BW1082" s="3"/>
      <c r="BX1082" s="3"/>
      <c r="BY1082" s="3"/>
      <c r="BZ1082" s="3"/>
      <c r="CA1082" s="3"/>
      <c r="CB1082" s="3"/>
      <c r="CC1082" s="3"/>
      <c r="CD1082" s="3"/>
      <c r="CE1082" s="3"/>
      <c r="CF1082" s="3"/>
      <c r="CG1082" s="3"/>
      <c r="CH1082" s="3"/>
      <c r="CI1082" s="3"/>
      <c r="CJ1082" s="3"/>
      <c r="CK1082" s="3"/>
      <c r="CL1082" s="3"/>
      <c r="CM1082" s="3"/>
      <c r="CN1082" s="3"/>
      <c r="CO1082" s="3"/>
      <c r="CP1082" s="3"/>
      <c r="CQ1082" s="3"/>
      <c r="CR1082" s="3"/>
      <c r="CS1082" s="3"/>
      <c r="CT1082" s="3"/>
      <c r="CU1082" s="3"/>
      <c r="CV1082" s="3"/>
      <c r="CW1082" s="3"/>
      <c r="CX1082" s="3"/>
      <c r="CY1082" s="3"/>
      <c r="CZ1082" s="3"/>
      <c r="DA1082" s="3"/>
      <c r="DB1082" s="3"/>
      <c r="DC1082" s="3"/>
      <c r="DD1082" s="3"/>
      <c r="DE1082" s="3"/>
      <c r="DF1082" s="3"/>
      <c r="DG1082" s="3"/>
      <c r="DH1082" s="3"/>
      <c r="DI1082" s="3"/>
      <c r="DJ1082" s="3"/>
      <c r="DK1082" s="3"/>
      <c r="DL1082" s="3"/>
      <c r="DM1082" s="3"/>
      <c r="DN1082" s="3"/>
      <c r="DO1082" s="3"/>
      <c r="DP1082" s="3"/>
      <c r="DQ1082" s="3"/>
      <c r="DR1082" s="3"/>
      <c r="DS1082" s="3"/>
      <c r="DT1082" s="3"/>
      <c r="DU1082" s="3"/>
      <c r="DV1082" s="3"/>
      <c r="DW1082" s="3"/>
      <c r="DX1082" s="3"/>
      <c r="DY1082" s="3"/>
      <c r="DZ1082" s="3"/>
      <c r="EA1082" s="3"/>
      <c r="EB1082" s="3"/>
      <c r="EC1082" s="3"/>
      <c r="ED1082" s="3"/>
      <c r="EE1082" s="3"/>
      <c r="EF1082" s="3"/>
      <c r="EG1082" s="3"/>
      <c r="EH1082" s="3"/>
      <c r="EI1082" s="3"/>
      <c r="EJ1082" s="3"/>
      <c r="EK1082" s="3"/>
      <c r="EL1082" s="3"/>
      <c r="EM1082" s="3"/>
      <c r="EN1082" s="3"/>
      <c r="EO1082" s="3"/>
      <c r="EP1082" s="3"/>
      <c r="EQ1082" s="3"/>
      <c r="ER1082" s="3"/>
      <c r="ES1082" s="3"/>
      <c r="ET1082" s="3"/>
      <c r="EU1082" s="3"/>
      <c r="EV1082" s="3"/>
      <c r="EW1082" s="3"/>
      <c r="EX1082" s="3"/>
      <c r="EY1082" s="3"/>
      <c r="EZ1082" s="3"/>
      <c r="FA1082" s="3"/>
      <c r="FB1082" s="3"/>
      <c r="FC1082" s="3"/>
      <c r="FD1082" s="3"/>
      <c r="FE1082" s="3"/>
      <c r="FF1082" s="3"/>
      <c r="FG1082" s="3"/>
      <c r="FH1082" s="3"/>
      <c r="FI1082" s="3"/>
      <c r="FJ1082" s="3"/>
      <c r="FK1082" s="3"/>
      <c r="FL1082" s="3"/>
      <c r="FM1082" s="3"/>
      <c r="FN1082" s="3"/>
      <c r="FO1082" s="3"/>
      <c r="FP1082" s="3"/>
      <c r="FQ1082" s="3"/>
      <c r="FR1082" s="3"/>
      <c r="FS1082" s="3"/>
      <c r="FT1082" s="3"/>
      <c r="FU1082" s="3"/>
      <c r="FV1082" s="3"/>
      <c r="FW1082" s="3"/>
      <c r="FX1082" s="3"/>
      <c r="FY1082" s="3"/>
      <c r="FZ1082" s="3"/>
      <c r="GA1082" s="3"/>
      <c r="GB1082" s="3"/>
      <c r="GC1082" s="3"/>
      <c r="GD1082" s="3"/>
      <c r="GE1082" s="3"/>
      <c r="GF1082" s="3"/>
      <c r="GG1082" s="3"/>
      <c r="GH1082" s="3"/>
      <c r="GI1082" s="3"/>
      <c r="GJ1082" s="3"/>
      <c r="GK1082" s="3"/>
      <c r="GL1082" s="3"/>
      <c r="GM1082" s="3"/>
      <c r="GN1082" s="3"/>
      <c r="GO1082" s="3"/>
      <c r="GP1082" s="3"/>
      <c r="GQ1082" s="3"/>
      <c r="GR1082" s="3"/>
      <c r="GS1082" s="3"/>
      <c r="GT1082" s="3"/>
      <c r="GU1082" s="3"/>
      <c r="GV1082" s="3"/>
      <c r="GW1082" s="3"/>
      <c r="GX1082" s="3"/>
      <c r="GY1082" s="3"/>
      <c r="GZ1082" s="3"/>
      <c r="HA1082" s="3"/>
      <c r="HB1082" s="3"/>
      <c r="HC1082" s="3"/>
      <c r="HD1082" s="3"/>
      <c r="HE1082" s="3"/>
      <c r="HF1082" s="3"/>
      <c r="HG1082" s="3"/>
      <c r="HH1082" s="3"/>
      <c r="HI1082" s="3"/>
      <c r="HJ1082" s="3"/>
      <c r="HK1082" s="3"/>
      <c r="HL1082" s="3"/>
      <c r="HM1082" s="3"/>
      <c r="HN1082" s="3"/>
      <c r="HO1082" s="3"/>
      <c r="HP1082" s="3"/>
      <c r="HQ1082" s="3"/>
      <c r="HR1082" s="3"/>
      <c r="HS1082" s="3"/>
      <c r="HT1082" s="3"/>
      <c r="HU1082" s="3"/>
      <c r="HV1082" s="3"/>
      <c r="HW1082" s="3"/>
      <c r="HX1082" s="3"/>
      <c r="HY1082" s="3"/>
      <c r="HZ1082" s="3"/>
      <c r="IA1082" s="3"/>
      <c r="IB1082" s="3"/>
      <c r="IC1082" s="3"/>
      <c r="ID1082" s="3"/>
      <c r="IE1082" s="3"/>
      <c r="IF1082" s="3"/>
      <c r="IG1082" s="3"/>
      <c r="IH1082" s="3"/>
      <c r="II1082" s="3"/>
      <c r="IJ1082" s="3"/>
      <c r="IK1082" s="3"/>
      <c r="IL1082" s="3"/>
      <c r="IM1082" s="3"/>
      <c r="IN1082" s="3"/>
      <c r="IO1082" s="3"/>
      <c r="IP1082" s="3"/>
      <c r="IQ1082" s="3"/>
      <c r="IR1082" s="3"/>
      <c r="IS1082" s="3"/>
      <c r="IT1082" s="3"/>
      <c r="IU1082" s="3"/>
      <c r="IV1082" s="3"/>
    </row>
    <row r="1083" spans="1:256" s="663" customFormat="1">
      <c r="A1083" s="61"/>
      <c r="B1083" s="998"/>
      <c r="C1083" s="999" t="s">
        <v>1771</v>
      </c>
      <c r="D1083" s="1000"/>
      <c r="E1083" s="1001"/>
      <c r="F1083" s="1000"/>
      <c r="G1083" s="628">
        <f>SUM(G1075:G1082)</f>
        <v>25625.09</v>
      </c>
      <c r="I1083" s="152"/>
      <c r="J1083" s="3"/>
      <c r="K1083" s="3"/>
      <c r="L1083" s="3"/>
      <c r="M1083" s="3"/>
      <c r="N1083" s="3"/>
      <c r="O1083" s="3"/>
      <c r="P1083" s="3"/>
      <c r="Q1083" s="3"/>
      <c r="R1083" s="3"/>
      <c r="S1083" s="3"/>
      <c r="T1083" s="3"/>
      <c r="U1083" s="3"/>
      <c r="V1083" s="3"/>
      <c r="W1083" s="3"/>
      <c r="X1083" s="3"/>
      <c r="Y1083" s="3"/>
      <c r="Z1083" s="3"/>
      <c r="AA1083" s="3"/>
      <c r="AB1083" s="3"/>
      <c r="AC1083" s="3"/>
      <c r="AD1083" s="3"/>
      <c r="AE1083" s="3"/>
      <c r="AF1083" s="3"/>
      <c r="AG1083" s="3"/>
      <c r="AH1083" s="3"/>
      <c r="AI1083" s="3"/>
      <c r="AJ1083" s="3"/>
      <c r="AK1083" s="3"/>
      <c r="AL1083" s="3"/>
      <c r="AM1083" s="3"/>
      <c r="AN1083" s="3"/>
      <c r="AO1083" s="3"/>
      <c r="AP1083" s="3"/>
      <c r="AQ1083" s="3"/>
      <c r="AR1083" s="3"/>
      <c r="AS1083" s="3"/>
      <c r="AT1083" s="3"/>
      <c r="AU1083" s="3"/>
      <c r="AV1083" s="3"/>
      <c r="AW1083" s="3"/>
      <c r="AX1083" s="3"/>
      <c r="AY1083" s="3"/>
      <c r="AZ1083" s="3"/>
      <c r="BA1083" s="3"/>
      <c r="BB1083" s="3"/>
      <c r="BC1083" s="3"/>
      <c r="BD1083" s="3"/>
      <c r="BE1083" s="3"/>
      <c r="BF1083" s="3"/>
      <c r="BG1083" s="3"/>
      <c r="BH1083" s="3"/>
      <c r="BI1083" s="3"/>
      <c r="BJ1083" s="3"/>
      <c r="BK1083" s="3"/>
      <c r="BL1083" s="3"/>
      <c r="BM1083" s="3"/>
      <c r="BN1083" s="3"/>
      <c r="BO1083" s="3"/>
      <c r="BP1083" s="3"/>
      <c r="BQ1083" s="3"/>
      <c r="BR1083" s="3"/>
      <c r="BS1083" s="3"/>
      <c r="BT1083" s="3"/>
      <c r="BU1083" s="3"/>
      <c r="BV1083" s="3"/>
      <c r="BW1083" s="3"/>
      <c r="BX1083" s="3"/>
      <c r="BY1083" s="3"/>
      <c r="BZ1083" s="3"/>
      <c r="CA1083" s="3"/>
      <c r="CB1083" s="3"/>
      <c r="CC1083" s="3"/>
      <c r="CD1083" s="3"/>
      <c r="CE1083" s="3"/>
      <c r="CF1083" s="3"/>
      <c r="CG1083" s="3"/>
      <c r="CH1083" s="3"/>
      <c r="CI1083" s="3"/>
      <c r="CJ1083" s="3"/>
      <c r="CK1083" s="3"/>
      <c r="CL1083" s="3"/>
      <c r="CM1083" s="3"/>
      <c r="CN1083" s="3"/>
      <c r="CO1083" s="3"/>
      <c r="CP1083" s="3"/>
      <c r="CQ1083" s="3"/>
      <c r="CR1083" s="3"/>
      <c r="CS1083" s="3"/>
      <c r="CT1083" s="3"/>
      <c r="CU1083" s="3"/>
      <c r="CV1083" s="3"/>
      <c r="CW1083" s="3"/>
      <c r="CX1083" s="3"/>
      <c r="CY1083" s="3"/>
      <c r="CZ1083" s="3"/>
      <c r="DA1083" s="3"/>
      <c r="DB1083" s="3"/>
      <c r="DC1083" s="3"/>
      <c r="DD1083" s="3"/>
      <c r="DE1083" s="3"/>
      <c r="DF1083" s="3"/>
      <c r="DG1083" s="3"/>
      <c r="DH1083" s="3"/>
      <c r="DI1083" s="3"/>
      <c r="DJ1083" s="3"/>
      <c r="DK1083" s="3"/>
      <c r="DL1083" s="3"/>
      <c r="DM1083" s="3"/>
      <c r="DN1083" s="3"/>
      <c r="DO1083" s="3"/>
      <c r="DP1083" s="3"/>
      <c r="DQ1083" s="3"/>
      <c r="DR1083" s="3"/>
      <c r="DS1083" s="3"/>
      <c r="DT1083" s="3"/>
      <c r="DU1083" s="3"/>
      <c r="DV1083" s="3"/>
      <c r="DW1083" s="3"/>
      <c r="DX1083" s="3"/>
      <c r="DY1083" s="3"/>
      <c r="DZ1083" s="3"/>
      <c r="EA1083" s="3"/>
      <c r="EB1083" s="3"/>
      <c r="EC1083" s="3"/>
      <c r="ED1083" s="3"/>
      <c r="EE1083" s="3"/>
      <c r="EF1083" s="3"/>
      <c r="EG1083" s="3"/>
      <c r="EH1083" s="3"/>
      <c r="EI1083" s="3"/>
      <c r="EJ1083" s="3"/>
      <c r="EK1083" s="3"/>
      <c r="EL1083" s="3"/>
      <c r="EM1083" s="3"/>
      <c r="EN1083" s="3"/>
      <c r="EO1083" s="3"/>
      <c r="EP1083" s="3"/>
      <c r="EQ1083" s="3"/>
      <c r="ER1083" s="3"/>
      <c r="ES1083" s="3"/>
      <c r="ET1083" s="3"/>
      <c r="EU1083" s="3"/>
      <c r="EV1083" s="3"/>
      <c r="EW1083" s="3"/>
      <c r="EX1083" s="3"/>
      <c r="EY1083" s="3"/>
      <c r="EZ1083" s="3"/>
      <c r="FA1083" s="3"/>
      <c r="FB1083" s="3"/>
      <c r="FC1083" s="3"/>
      <c r="FD1083" s="3"/>
      <c r="FE1083" s="3"/>
      <c r="FF1083" s="3"/>
      <c r="FG1083" s="3"/>
      <c r="FH1083" s="3"/>
      <c r="FI1083" s="3"/>
      <c r="FJ1083" s="3"/>
      <c r="FK1083" s="3"/>
      <c r="FL1083" s="3"/>
      <c r="FM1083" s="3"/>
      <c r="FN1083" s="3"/>
      <c r="FO1083" s="3"/>
      <c r="FP1083" s="3"/>
      <c r="FQ1083" s="3"/>
      <c r="FR1083" s="3"/>
      <c r="FS1083" s="3"/>
      <c r="FT1083" s="3"/>
      <c r="FU1083" s="3"/>
      <c r="FV1083" s="3"/>
      <c r="FW1083" s="3"/>
      <c r="FX1083" s="3"/>
      <c r="FY1083" s="3"/>
      <c r="FZ1083" s="3"/>
      <c r="GA1083" s="3"/>
      <c r="GB1083" s="3"/>
      <c r="GC1083" s="3"/>
      <c r="GD1083" s="3"/>
      <c r="GE1083" s="3"/>
      <c r="GF1083" s="3"/>
      <c r="GG1083" s="3"/>
      <c r="GH1083" s="3"/>
      <c r="GI1083" s="3"/>
      <c r="GJ1083" s="3"/>
      <c r="GK1083" s="3"/>
      <c r="GL1083" s="3"/>
      <c r="GM1083" s="3"/>
      <c r="GN1083" s="3"/>
      <c r="GO1083" s="3"/>
      <c r="GP1083" s="3"/>
      <c r="GQ1083" s="3"/>
      <c r="GR1083" s="3"/>
      <c r="GS1083" s="3"/>
      <c r="GT1083" s="3"/>
      <c r="GU1083" s="3"/>
      <c r="GV1083" s="3"/>
      <c r="GW1083" s="3"/>
      <c r="GX1083" s="3"/>
      <c r="GY1083" s="3"/>
      <c r="GZ1083" s="3"/>
      <c r="HA1083" s="3"/>
      <c r="HB1083" s="3"/>
      <c r="HC1083" s="3"/>
      <c r="HD1083" s="3"/>
      <c r="HE1083" s="3"/>
      <c r="HF1083" s="3"/>
      <c r="HG1083" s="3"/>
      <c r="HH1083" s="3"/>
      <c r="HI1083" s="3"/>
      <c r="HJ1083" s="3"/>
      <c r="HK1083" s="3"/>
      <c r="HL1083" s="3"/>
      <c r="HM1083" s="3"/>
      <c r="HN1083" s="3"/>
      <c r="HO1083" s="3"/>
      <c r="HP1083" s="3"/>
      <c r="HQ1083" s="3"/>
      <c r="HR1083" s="3"/>
      <c r="HS1083" s="3"/>
      <c r="HT1083" s="3"/>
      <c r="HU1083" s="3"/>
      <c r="HV1083" s="3"/>
      <c r="HW1083" s="3"/>
      <c r="HX1083" s="3"/>
      <c r="HY1083" s="3"/>
      <c r="HZ1083" s="3"/>
      <c r="IA1083" s="3"/>
      <c r="IB1083" s="3"/>
      <c r="IC1083" s="3"/>
      <c r="ID1083" s="3"/>
      <c r="IE1083" s="3"/>
      <c r="IF1083" s="3"/>
      <c r="IG1083" s="3"/>
      <c r="IH1083" s="3"/>
      <c r="II1083" s="3"/>
      <c r="IJ1083" s="3"/>
      <c r="IK1083" s="3"/>
      <c r="IL1083" s="3"/>
      <c r="IM1083" s="3"/>
      <c r="IN1083" s="3"/>
      <c r="IO1083" s="3"/>
      <c r="IP1083" s="3"/>
      <c r="IQ1083" s="3"/>
      <c r="IR1083" s="3"/>
      <c r="IS1083" s="3"/>
      <c r="IT1083" s="3"/>
      <c r="IU1083" s="3"/>
      <c r="IV1083" s="3"/>
    </row>
    <row r="1084" spans="1:256" s="663" customFormat="1">
      <c r="A1084" s="1002"/>
      <c r="B1084" s="1003"/>
      <c r="C1084" s="1004" t="s">
        <v>1772</v>
      </c>
      <c r="D1084" s="1005"/>
      <c r="E1084" s="1006"/>
      <c r="F1084" s="1005"/>
      <c r="G1084" s="1007">
        <f>ROUND(G1083/16,2)</f>
        <v>1601.57</v>
      </c>
      <c r="I1084" s="152"/>
      <c r="J1084" s="3"/>
      <c r="K1084" s="3"/>
      <c r="L1084" s="3"/>
      <c r="M1084" s="3"/>
      <c r="N1084" s="3"/>
      <c r="O1084" s="3"/>
      <c r="P1084" s="3"/>
      <c r="Q1084" s="3"/>
      <c r="R1084" s="3"/>
      <c r="S1084" s="3"/>
      <c r="T1084" s="3"/>
      <c r="U1084" s="3"/>
      <c r="V1084" s="3"/>
      <c r="W1084" s="3"/>
      <c r="X1084" s="3"/>
      <c r="Y1084" s="3"/>
      <c r="Z1084" s="3"/>
      <c r="AA1084" s="3"/>
      <c r="AB1084" s="3"/>
      <c r="AC1084" s="3"/>
      <c r="AD1084" s="3"/>
      <c r="AE1084" s="3"/>
      <c r="AF1084" s="3"/>
      <c r="AG1084" s="3"/>
      <c r="AH1084" s="3"/>
      <c r="AI1084" s="3"/>
      <c r="AJ1084" s="3"/>
      <c r="AK1084" s="3"/>
      <c r="AL1084" s="3"/>
      <c r="AM1084" s="3"/>
      <c r="AN1084" s="3"/>
      <c r="AO1084" s="3"/>
      <c r="AP1084" s="3"/>
      <c r="AQ1084" s="3"/>
      <c r="AR1084" s="3"/>
      <c r="AS1084" s="3"/>
      <c r="AT1084" s="3"/>
      <c r="AU1084" s="3"/>
      <c r="AV1084" s="3"/>
      <c r="AW1084" s="3"/>
      <c r="AX1084" s="3"/>
      <c r="AY1084" s="3"/>
      <c r="AZ1084" s="3"/>
      <c r="BA1084" s="3"/>
      <c r="BB1084" s="3"/>
      <c r="BC1084" s="3"/>
      <c r="BD1084" s="3"/>
      <c r="BE1084" s="3"/>
      <c r="BF1084" s="3"/>
      <c r="BG1084" s="3"/>
      <c r="BH1084" s="3"/>
      <c r="BI1084" s="3"/>
      <c r="BJ1084" s="3"/>
      <c r="BK1084" s="3"/>
      <c r="BL1084" s="3"/>
      <c r="BM1084" s="3"/>
      <c r="BN1084" s="3"/>
      <c r="BO1084" s="3"/>
      <c r="BP1084" s="3"/>
      <c r="BQ1084" s="3"/>
      <c r="BR1084" s="3"/>
      <c r="BS1084" s="3"/>
      <c r="BT1084" s="3"/>
      <c r="BU1084" s="3"/>
      <c r="BV1084" s="3"/>
      <c r="BW1084" s="3"/>
      <c r="BX1084" s="3"/>
      <c r="BY1084" s="3"/>
      <c r="BZ1084" s="3"/>
      <c r="CA1084" s="3"/>
      <c r="CB1084" s="3"/>
      <c r="CC1084" s="3"/>
      <c r="CD1084" s="3"/>
      <c r="CE1084" s="3"/>
      <c r="CF1084" s="3"/>
      <c r="CG1084" s="3"/>
      <c r="CH1084" s="3"/>
      <c r="CI1084" s="3"/>
      <c r="CJ1084" s="3"/>
      <c r="CK1084" s="3"/>
      <c r="CL1084" s="3"/>
      <c r="CM1084" s="3"/>
      <c r="CN1084" s="3"/>
      <c r="CO1084" s="3"/>
      <c r="CP1084" s="3"/>
      <c r="CQ1084" s="3"/>
      <c r="CR1084" s="3"/>
      <c r="CS1084" s="3"/>
      <c r="CT1084" s="3"/>
      <c r="CU1084" s="3"/>
      <c r="CV1084" s="3"/>
      <c r="CW1084" s="3"/>
      <c r="CX1084" s="3"/>
      <c r="CY1084" s="3"/>
      <c r="CZ1084" s="3"/>
      <c r="DA1084" s="3"/>
      <c r="DB1084" s="3"/>
      <c r="DC1084" s="3"/>
      <c r="DD1084" s="3"/>
      <c r="DE1084" s="3"/>
      <c r="DF1084" s="3"/>
      <c r="DG1084" s="3"/>
      <c r="DH1084" s="3"/>
      <c r="DI1084" s="3"/>
      <c r="DJ1084" s="3"/>
      <c r="DK1084" s="3"/>
      <c r="DL1084" s="3"/>
      <c r="DM1084" s="3"/>
      <c r="DN1084" s="3"/>
      <c r="DO1084" s="3"/>
      <c r="DP1084" s="3"/>
      <c r="DQ1084" s="3"/>
      <c r="DR1084" s="3"/>
      <c r="DS1084" s="3"/>
      <c r="DT1084" s="3"/>
      <c r="DU1084" s="3"/>
      <c r="DV1084" s="3"/>
      <c r="DW1084" s="3"/>
      <c r="DX1084" s="3"/>
      <c r="DY1084" s="3"/>
      <c r="DZ1084" s="3"/>
      <c r="EA1084" s="3"/>
      <c r="EB1084" s="3"/>
      <c r="EC1084" s="3"/>
      <c r="ED1084" s="3"/>
      <c r="EE1084" s="3"/>
      <c r="EF1084" s="3"/>
      <c r="EG1084" s="3"/>
      <c r="EH1084" s="3"/>
      <c r="EI1084" s="3"/>
      <c r="EJ1084" s="3"/>
      <c r="EK1084" s="3"/>
      <c r="EL1084" s="3"/>
      <c r="EM1084" s="3"/>
      <c r="EN1084" s="3"/>
      <c r="EO1084" s="3"/>
      <c r="EP1084" s="3"/>
      <c r="EQ1084" s="3"/>
      <c r="ER1084" s="3"/>
      <c r="ES1084" s="3"/>
      <c r="ET1084" s="3"/>
      <c r="EU1084" s="3"/>
      <c r="EV1084" s="3"/>
      <c r="EW1084" s="3"/>
      <c r="EX1084" s="3"/>
      <c r="EY1084" s="3"/>
      <c r="EZ1084" s="3"/>
      <c r="FA1084" s="3"/>
      <c r="FB1084" s="3"/>
      <c r="FC1084" s="3"/>
      <c r="FD1084" s="3"/>
      <c r="FE1084" s="3"/>
      <c r="FF1084" s="3"/>
      <c r="FG1084" s="3"/>
      <c r="FH1084" s="3"/>
      <c r="FI1084" s="3"/>
      <c r="FJ1084" s="3"/>
      <c r="FK1084" s="3"/>
      <c r="FL1084" s="3"/>
      <c r="FM1084" s="3"/>
      <c r="FN1084" s="3"/>
      <c r="FO1084" s="3"/>
      <c r="FP1084" s="3"/>
      <c r="FQ1084" s="3"/>
      <c r="FR1084" s="3"/>
      <c r="FS1084" s="3"/>
      <c r="FT1084" s="3"/>
      <c r="FU1084" s="3"/>
      <c r="FV1084" s="3"/>
      <c r="FW1084" s="3"/>
      <c r="FX1084" s="3"/>
      <c r="FY1084" s="3"/>
      <c r="FZ1084" s="3"/>
      <c r="GA1084" s="3"/>
      <c r="GB1084" s="3"/>
      <c r="GC1084" s="3"/>
      <c r="GD1084" s="3"/>
      <c r="GE1084" s="3"/>
      <c r="GF1084" s="3"/>
      <c r="GG1084" s="3"/>
      <c r="GH1084" s="3"/>
      <c r="GI1084" s="3"/>
      <c r="GJ1084" s="3"/>
      <c r="GK1084" s="3"/>
      <c r="GL1084" s="3"/>
      <c r="GM1084" s="3"/>
      <c r="GN1084" s="3"/>
      <c r="GO1084" s="3"/>
      <c r="GP1084" s="3"/>
      <c r="GQ1084" s="3"/>
      <c r="GR1084" s="3"/>
      <c r="GS1084" s="3"/>
      <c r="GT1084" s="3"/>
      <c r="GU1084" s="3"/>
      <c r="GV1084" s="3"/>
      <c r="GW1084" s="3"/>
      <c r="GX1084" s="3"/>
      <c r="GY1084" s="3"/>
      <c r="GZ1084" s="3"/>
      <c r="HA1084" s="3"/>
      <c r="HB1084" s="3"/>
      <c r="HC1084" s="3"/>
      <c r="HD1084" s="3"/>
      <c r="HE1084" s="3"/>
      <c r="HF1084" s="3"/>
      <c r="HG1084" s="3"/>
      <c r="HH1084" s="3"/>
      <c r="HI1084" s="3"/>
      <c r="HJ1084" s="3"/>
      <c r="HK1084" s="3"/>
      <c r="HL1084" s="3"/>
      <c r="HM1084" s="3"/>
      <c r="HN1084" s="3"/>
      <c r="HO1084" s="3"/>
      <c r="HP1084" s="3"/>
      <c r="HQ1084" s="3"/>
      <c r="HR1084" s="3"/>
      <c r="HS1084" s="3"/>
      <c r="HT1084" s="3"/>
      <c r="HU1084" s="3"/>
      <c r="HV1084" s="3"/>
      <c r="HW1084" s="3"/>
      <c r="HX1084" s="3"/>
      <c r="HY1084" s="3"/>
      <c r="HZ1084" s="3"/>
      <c r="IA1084" s="3"/>
      <c r="IB1084" s="3"/>
      <c r="IC1084" s="3"/>
      <c r="ID1084" s="3"/>
      <c r="IE1084" s="3"/>
      <c r="IF1084" s="3"/>
      <c r="IG1084" s="3"/>
      <c r="IH1084" s="3"/>
      <c r="II1084" s="3"/>
      <c r="IJ1084" s="3"/>
      <c r="IK1084" s="3"/>
      <c r="IL1084" s="3"/>
      <c r="IM1084" s="3"/>
      <c r="IN1084" s="3"/>
      <c r="IO1084" s="3"/>
      <c r="IP1084" s="3"/>
      <c r="IQ1084" s="3"/>
      <c r="IR1084" s="3"/>
      <c r="IS1084" s="3"/>
      <c r="IT1084" s="3"/>
      <c r="IU1084" s="3"/>
      <c r="IV1084" s="3"/>
    </row>
  </sheetData>
  <mergeCells count="4">
    <mergeCell ref="A1:G1"/>
    <mergeCell ref="A2:G2"/>
    <mergeCell ref="H2:J2"/>
    <mergeCell ref="B480:B482"/>
  </mergeCells>
  <printOptions horizontalCentered="1"/>
  <pageMargins left="0.45" right="0.1" top="0.28000000000000003" bottom="0.4" header="0.16" footer="0.15748031496063"/>
  <pageSetup paperSize="9" orientation="portrait" r:id="rId1"/>
  <headerFooter alignWithMargins="0">
    <oddHeader>&amp;C&amp;P</oddHeader>
    <oddFooter>&amp;A&amp;RPage &amp;P</oddFooter>
  </headerFooter>
  <rowBreaks count="1" manualBreakCount="1">
    <brk id="4" max="16383" man="1"/>
  </rowBreak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3:D96"/>
  <sheetViews>
    <sheetView topLeftCell="A69" workbookViewId="0">
      <selection activeCell="B99" sqref="B99"/>
    </sheetView>
  </sheetViews>
  <sheetFormatPr defaultRowHeight="12.3"/>
  <cols>
    <col min="1" max="1" width="5.88671875" customWidth="1"/>
  </cols>
  <sheetData>
    <row r="3" spans="1:4">
      <c r="A3">
        <v>1</v>
      </c>
      <c r="B3">
        <v>20.89</v>
      </c>
      <c r="C3">
        <v>95.9</v>
      </c>
      <c r="D3">
        <f>ROUND(C3*B3,0)</f>
        <v>2003</v>
      </c>
    </row>
    <row r="4" spans="1:4">
      <c r="B4">
        <v>2.25</v>
      </c>
      <c r="C4">
        <v>1035.96</v>
      </c>
      <c r="D4">
        <f>ROUND(C4*B4,0)</f>
        <v>2331</v>
      </c>
    </row>
    <row r="5" spans="1:4">
      <c r="B5">
        <v>12.54</v>
      </c>
      <c r="C5">
        <v>5105.6499999999996</v>
      </c>
      <c r="D5">
        <f>ROUND(C5*B5,0)</f>
        <v>64025</v>
      </c>
    </row>
    <row r="6" spans="1:4">
      <c r="B6">
        <v>14.471</v>
      </c>
      <c r="C6">
        <v>5400.21</v>
      </c>
      <c r="D6">
        <f>ROUND(C6*B6,0)</f>
        <v>78146</v>
      </c>
    </row>
    <row r="7" spans="1:4">
      <c r="B7">
        <v>7.5</v>
      </c>
      <c r="C7">
        <v>10188</v>
      </c>
      <c r="D7">
        <f>ROUND(C7*B7,0)</f>
        <v>76410</v>
      </c>
    </row>
    <row r="9" spans="1:4">
      <c r="A9">
        <v>2</v>
      </c>
      <c r="B9">
        <v>20.89</v>
      </c>
      <c r="C9">
        <v>95.9</v>
      </c>
      <c r="D9">
        <f>ROUND(C9*B9,0)</f>
        <v>2003</v>
      </c>
    </row>
    <row r="10" spans="1:4">
      <c r="B10">
        <v>2.25</v>
      </c>
      <c r="C10">
        <v>1035.96</v>
      </c>
      <c r="D10">
        <f>ROUND(C10*B10,0)</f>
        <v>2331</v>
      </c>
    </row>
    <row r="11" spans="1:4">
      <c r="B11">
        <v>12.54</v>
      </c>
      <c r="C11">
        <v>5105.6499999999996</v>
      </c>
      <c r="D11">
        <f>ROUND(C11*B11,0)</f>
        <v>64025</v>
      </c>
    </row>
    <row r="12" spans="1:4">
      <c r="B12">
        <v>14.471</v>
      </c>
      <c r="C12">
        <v>5400.21</v>
      </c>
      <c r="D12">
        <f>ROUND(C12*B12,0)</f>
        <v>78146</v>
      </c>
    </row>
    <row r="13" spans="1:4">
      <c r="B13">
        <v>7.5</v>
      </c>
      <c r="C13">
        <v>10188</v>
      </c>
      <c r="D13">
        <f>ROUND(C13*B13,0)</f>
        <v>76410</v>
      </c>
    </row>
    <row r="15" spans="1:4">
      <c r="A15">
        <v>3</v>
      </c>
      <c r="B15">
        <v>20.89</v>
      </c>
      <c r="C15">
        <v>95.9</v>
      </c>
      <c r="D15">
        <f>ROUND(C15*B15,0)</f>
        <v>2003</v>
      </c>
    </row>
    <row r="16" spans="1:4">
      <c r="B16">
        <v>2.25</v>
      </c>
      <c r="C16">
        <v>1035.96</v>
      </c>
      <c r="D16">
        <f>ROUND(C16*B16,0)</f>
        <v>2331</v>
      </c>
    </row>
    <row r="17" spans="1:4">
      <c r="B17">
        <v>12.54</v>
      </c>
      <c r="C17">
        <v>5105.6499999999996</v>
      </c>
      <c r="D17">
        <f>ROUND(C17*B17,0)</f>
        <v>64025</v>
      </c>
    </row>
    <row r="18" spans="1:4">
      <c r="B18">
        <v>14.471</v>
      </c>
      <c r="C18">
        <v>5400.21</v>
      </c>
      <c r="D18">
        <f>ROUND(C18*B18,0)</f>
        <v>78146</v>
      </c>
    </row>
    <row r="19" spans="1:4">
      <c r="B19">
        <v>7.5</v>
      </c>
      <c r="C19">
        <v>10188</v>
      </c>
      <c r="D19">
        <f>ROUND(C19*B19,0)</f>
        <v>76410</v>
      </c>
    </row>
    <row r="21" spans="1:4">
      <c r="A21" s="1010">
        <v>4</v>
      </c>
      <c r="B21">
        <v>20.89</v>
      </c>
      <c r="C21">
        <v>95.9</v>
      </c>
      <c r="D21">
        <f>ROUND(C21*B21,0)</f>
        <v>2003</v>
      </c>
    </row>
    <row r="22" spans="1:4">
      <c r="B22">
        <v>2.25</v>
      </c>
      <c r="C22">
        <v>1035.96</v>
      </c>
      <c r="D22">
        <f>ROUND(C22*B22,0)</f>
        <v>2331</v>
      </c>
    </row>
    <row r="23" spans="1:4">
      <c r="B23">
        <v>12.54</v>
      </c>
      <c r="C23">
        <v>5105.6499999999996</v>
      </c>
      <c r="D23">
        <f>ROUND(C23*B23,0)</f>
        <v>64025</v>
      </c>
    </row>
    <row r="24" spans="1:4">
      <c r="B24">
        <v>14.471</v>
      </c>
      <c r="C24">
        <v>5400.21</v>
      </c>
      <c r="D24">
        <f>ROUND(C24*B24,0)</f>
        <v>78146</v>
      </c>
    </row>
    <row r="25" spans="1:4">
      <c r="B25">
        <v>7.5</v>
      </c>
      <c r="C25">
        <v>10188</v>
      </c>
      <c r="D25">
        <f>ROUND(C25*B25,0)</f>
        <v>76410</v>
      </c>
    </row>
    <row r="27" spans="1:4">
      <c r="A27" s="1010">
        <v>5</v>
      </c>
      <c r="B27">
        <v>20.89</v>
      </c>
      <c r="C27">
        <v>95.9</v>
      </c>
      <c r="D27">
        <f>ROUND(C27*B27,0)</f>
        <v>2003</v>
      </c>
    </row>
    <row r="28" spans="1:4">
      <c r="B28">
        <v>2.25</v>
      </c>
      <c r="C28">
        <v>1035.96</v>
      </c>
      <c r="D28">
        <f>ROUND(C28*B28,0)</f>
        <v>2331</v>
      </c>
    </row>
    <row r="29" spans="1:4">
      <c r="B29">
        <v>12.54</v>
      </c>
      <c r="C29">
        <v>5105.6499999999996</v>
      </c>
      <c r="D29">
        <f>ROUND(C29*B29,0)</f>
        <v>64025</v>
      </c>
    </row>
    <row r="30" spans="1:4">
      <c r="B30">
        <v>14.471</v>
      </c>
      <c r="C30">
        <v>5400.21</v>
      </c>
      <c r="D30">
        <f>ROUND(C30*B30,0)</f>
        <v>78146</v>
      </c>
    </row>
    <row r="31" spans="1:4">
      <c r="B31">
        <v>7.5</v>
      </c>
      <c r="C31">
        <v>10188</v>
      </c>
      <c r="D31">
        <f>ROUND(C31*B31,0)</f>
        <v>76410</v>
      </c>
    </row>
    <row r="33" spans="1:4">
      <c r="A33" s="1010">
        <v>6</v>
      </c>
      <c r="B33">
        <v>20.89</v>
      </c>
      <c r="C33">
        <v>95.9</v>
      </c>
      <c r="D33">
        <f>ROUND(C33*B33,0)</f>
        <v>2003</v>
      </c>
    </row>
    <row r="34" spans="1:4">
      <c r="B34">
        <v>2.25</v>
      </c>
      <c r="C34">
        <v>1035.96</v>
      </c>
      <c r="D34">
        <f>ROUND(C34*B34,0)</f>
        <v>2331</v>
      </c>
    </row>
    <row r="35" spans="1:4">
      <c r="B35">
        <v>12.54</v>
      </c>
      <c r="C35">
        <v>5105.6499999999996</v>
      </c>
      <c r="D35">
        <f>ROUND(C35*B35,0)</f>
        <v>64025</v>
      </c>
    </row>
    <row r="36" spans="1:4">
      <c r="B36">
        <v>14.471</v>
      </c>
      <c r="C36">
        <v>5400.21</v>
      </c>
      <c r="D36">
        <f>ROUND(C36*B36,0)</f>
        <v>78146</v>
      </c>
    </row>
    <row r="37" spans="1:4">
      <c r="B37">
        <v>7.5</v>
      </c>
      <c r="C37">
        <v>10188</v>
      </c>
      <c r="D37">
        <f>ROUND(C37*B37,0)</f>
        <v>76410</v>
      </c>
    </row>
    <row r="39" spans="1:4">
      <c r="A39" s="1010">
        <f>A33+1</f>
        <v>7</v>
      </c>
      <c r="B39">
        <v>20.89</v>
      </c>
      <c r="C39">
        <v>95.9</v>
      </c>
      <c r="D39">
        <f>ROUND(C39*B39,0)</f>
        <v>2003</v>
      </c>
    </row>
    <row r="40" spans="1:4">
      <c r="B40">
        <v>2.25</v>
      </c>
      <c r="C40">
        <v>1035.96</v>
      </c>
      <c r="D40">
        <f>ROUND(C40*B40,0)</f>
        <v>2331</v>
      </c>
    </row>
    <row r="41" spans="1:4">
      <c r="B41">
        <v>12.54</v>
      </c>
      <c r="C41">
        <v>5105.6499999999996</v>
      </c>
      <c r="D41">
        <f>ROUND(C41*B41,0)</f>
        <v>64025</v>
      </c>
    </row>
    <row r="42" spans="1:4">
      <c r="B42">
        <v>14.471</v>
      </c>
      <c r="C42">
        <v>5400.21</v>
      </c>
      <c r="D42">
        <f>ROUND(C42*B42,0)</f>
        <v>78146</v>
      </c>
    </row>
    <row r="43" spans="1:4">
      <c r="B43">
        <v>7.5</v>
      </c>
      <c r="C43">
        <v>10188</v>
      </c>
      <c r="D43">
        <f>ROUND(C43*B43,0)</f>
        <v>76410</v>
      </c>
    </row>
    <row r="45" spans="1:4">
      <c r="A45" s="1010">
        <f>A39+1</f>
        <v>8</v>
      </c>
      <c r="B45">
        <v>20.89</v>
      </c>
      <c r="C45">
        <v>95.9</v>
      </c>
      <c r="D45">
        <f>ROUND(C45*B45,0)</f>
        <v>2003</v>
      </c>
    </row>
    <row r="46" spans="1:4">
      <c r="B46">
        <v>2.25</v>
      </c>
      <c r="C46">
        <v>1035.96</v>
      </c>
      <c r="D46">
        <f>ROUND(C46*B46,0)</f>
        <v>2331</v>
      </c>
    </row>
    <row r="47" spans="1:4">
      <c r="B47">
        <v>12.54</v>
      </c>
      <c r="C47">
        <v>5105.6499999999996</v>
      </c>
      <c r="D47">
        <f>ROUND(C47*B47,0)</f>
        <v>64025</v>
      </c>
    </row>
    <row r="48" spans="1:4">
      <c r="B48">
        <v>14.471</v>
      </c>
      <c r="C48">
        <v>5400.21</v>
      </c>
      <c r="D48">
        <f>ROUND(C48*B48,0)</f>
        <v>78146</v>
      </c>
    </row>
    <row r="49" spans="1:4">
      <c r="B49">
        <v>7.5</v>
      </c>
      <c r="C49">
        <v>10188</v>
      </c>
      <c r="D49">
        <f>ROUND(C49*B49,0)</f>
        <v>76410</v>
      </c>
    </row>
    <row r="51" spans="1:4">
      <c r="A51" s="1010">
        <f>A45+1</f>
        <v>9</v>
      </c>
      <c r="B51">
        <v>20.89</v>
      </c>
      <c r="C51">
        <v>95.9</v>
      </c>
      <c r="D51">
        <f>ROUND(C51*B51,0)</f>
        <v>2003</v>
      </c>
    </row>
    <row r="52" spans="1:4">
      <c r="B52">
        <v>2.25</v>
      </c>
      <c r="C52">
        <v>1035.96</v>
      </c>
      <c r="D52">
        <f>ROUND(C52*B52,0)</f>
        <v>2331</v>
      </c>
    </row>
    <row r="53" spans="1:4">
      <c r="B53">
        <v>12.54</v>
      </c>
      <c r="C53">
        <v>5105.6499999999996</v>
      </c>
      <c r="D53">
        <f>ROUND(C53*B53,0)</f>
        <v>64025</v>
      </c>
    </row>
    <row r="54" spans="1:4">
      <c r="B54">
        <v>14.471</v>
      </c>
      <c r="C54">
        <v>5400.21</v>
      </c>
      <c r="D54">
        <f>ROUND(C54*B54,0)</f>
        <v>78146</v>
      </c>
    </row>
    <row r="55" spans="1:4">
      <c r="B55">
        <v>7.5</v>
      </c>
      <c r="C55">
        <v>10188</v>
      </c>
      <c r="D55">
        <f>ROUND(C55*B55,0)</f>
        <v>76410</v>
      </c>
    </row>
    <row r="57" spans="1:4">
      <c r="A57" s="1010">
        <f>A51+1</f>
        <v>10</v>
      </c>
      <c r="B57">
        <v>20.89</v>
      </c>
      <c r="C57">
        <v>95.9</v>
      </c>
      <c r="D57">
        <f>ROUND(C57*B57,0)</f>
        <v>2003</v>
      </c>
    </row>
    <row r="58" spans="1:4">
      <c r="B58">
        <v>2.25</v>
      </c>
      <c r="C58">
        <v>1035.96</v>
      </c>
      <c r="D58">
        <f>ROUND(C58*B58,0)</f>
        <v>2331</v>
      </c>
    </row>
    <row r="59" spans="1:4">
      <c r="B59">
        <v>12.54</v>
      </c>
      <c r="C59">
        <v>5105.6499999999996</v>
      </c>
      <c r="D59">
        <f>ROUND(C59*B59,0)</f>
        <v>64025</v>
      </c>
    </row>
    <row r="60" spans="1:4">
      <c r="B60">
        <v>14.471</v>
      </c>
      <c r="C60">
        <v>5400.21</v>
      </c>
      <c r="D60">
        <f>ROUND(C60*B60,0)</f>
        <v>78146</v>
      </c>
    </row>
    <row r="61" spans="1:4">
      <c r="B61">
        <v>7.5</v>
      </c>
      <c r="C61">
        <v>10188</v>
      </c>
      <c r="D61">
        <f>ROUND(C61*B61,0)</f>
        <v>76410</v>
      </c>
    </row>
    <row r="63" spans="1:4">
      <c r="A63" s="1010">
        <f>A57+1</f>
        <v>11</v>
      </c>
      <c r="B63">
        <v>20.89</v>
      </c>
      <c r="C63">
        <v>95.9</v>
      </c>
      <c r="D63">
        <f>ROUND(C63*B63,0)</f>
        <v>2003</v>
      </c>
    </row>
    <row r="64" spans="1:4">
      <c r="B64">
        <v>2.25</v>
      </c>
      <c r="C64">
        <v>1035.96</v>
      </c>
      <c r="D64">
        <f>ROUND(C64*B64,0)</f>
        <v>2331</v>
      </c>
    </row>
    <row r="65" spans="1:4">
      <c r="B65">
        <v>12.54</v>
      </c>
      <c r="C65">
        <v>5105.6499999999996</v>
      </c>
      <c r="D65">
        <f>ROUND(C65*B65,0)</f>
        <v>64025</v>
      </c>
    </row>
    <row r="66" spans="1:4">
      <c r="B66">
        <v>14.471</v>
      </c>
      <c r="C66">
        <v>5400.21</v>
      </c>
      <c r="D66">
        <f>ROUND(C66*B66,0)</f>
        <v>78146</v>
      </c>
    </row>
    <row r="67" spans="1:4">
      <c r="B67">
        <v>7.5</v>
      </c>
      <c r="C67">
        <v>10188</v>
      </c>
      <c r="D67">
        <f>ROUND(C67*B67,0)</f>
        <v>76410</v>
      </c>
    </row>
    <row r="69" spans="1:4">
      <c r="A69" s="1010">
        <f>A63+1</f>
        <v>12</v>
      </c>
      <c r="B69">
        <v>38.393999999999998</v>
      </c>
      <c r="C69">
        <v>95.9</v>
      </c>
      <c r="D69">
        <f>ROUND(C69*B69,0)</f>
        <v>3682</v>
      </c>
    </row>
    <row r="70" spans="1:4">
      <c r="B70">
        <v>4.82</v>
      </c>
      <c r="C70">
        <v>1035.96</v>
      </c>
      <c r="D70">
        <f>ROUND(C70*B70,0)</f>
        <v>4993</v>
      </c>
    </row>
    <row r="71" spans="1:4">
      <c r="B71">
        <v>23.05</v>
      </c>
      <c r="C71">
        <v>5105.6499999999996</v>
      </c>
      <c r="D71">
        <f>ROUND(C71*B71,0)</f>
        <v>117685</v>
      </c>
    </row>
    <row r="72" spans="1:4">
      <c r="B72">
        <v>21.704000000000001</v>
      </c>
      <c r="C72">
        <v>5400.21</v>
      </c>
      <c r="D72">
        <f>ROUND(C72*B72,0)</f>
        <v>117206</v>
      </c>
    </row>
    <row r="73" spans="1:4">
      <c r="B73">
        <v>22.5</v>
      </c>
      <c r="C73">
        <v>10188</v>
      </c>
      <c r="D73">
        <f>ROUND(C73*B73,0)</f>
        <v>229230</v>
      </c>
    </row>
    <row r="75" spans="1:4">
      <c r="A75" s="1010">
        <f>A69+1</f>
        <v>13</v>
      </c>
      <c r="B75">
        <v>29.646000000000001</v>
      </c>
      <c r="C75">
        <v>95.9</v>
      </c>
      <c r="D75">
        <f>ROUND(C75*B75,0)</f>
        <v>2843</v>
      </c>
    </row>
    <row r="76" spans="1:4">
      <c r="B76">
        <v>3.32</v>
      </c>
      <c r="C76">
        <v>1035.96</v>
      </c>
      <c r="D76">
        <f>ROUND(C76*B76,0)</f>
        <v>3439</v>
      </c>
    </row>
    <row r="77" spans="1:4">
      <c r="B77">
        <v>17.670000000000002</v>
      </c>
      <c r="C77">
        <v>5105.6499999999996</v>
      </c>
      <c r="D77">
        <f>ROUND(C77*B77,0)</f>
        <v>90217</v>
      </c>
    </row>
    <row r="78" spans="1:4">
      <c r="B78">
        <v>18.087</v>
      </c>
      <c r="C78">
        <v>5400.21</v>
      </c>
      <c r="D78">
        <f>ROUND(C78*B78,0)</f>
        <v>97674</v>
      </c>
    </row>
    <row r="79" spans="1:4">
      <c r="B79">
        <v>15</v>
      </c>
      <c r="C79">
        <v>10188</v>
      </c>
      <c r="D79">
        <f>ROUND(C79*B79,0)</f>
        <v>152820</v>
      </c>
    </row>
    <row r="81" spans="1:4">
      <c r="A81" s="1010">
        <f>A75+1</f>
        <v>14</v>
      </c>
      <c r="B81">
        <v>29.646000000000001</v>
      </c>
      <c r="C81">
        <v>95.9</v>
      </c>
      <c r="D81">
        <f>ROUND(C81*B81,0)</f>
        <v>2843</v>
      </c>
    </row>
    <row r="82" spans="1:4">
      <c r="B82">
        <v>3.42</v>
      </c>
      <c r="C82">
        <v>1035.96</v>
      </c>
      <c r="D82">
        <f>ROUND(C82*B82,0)</f>
        <v>3543</v>
      </c>
    </row>
    <row r="83" spans="1:4">
      <c r="B83">
        <v>17.670000000000002</v>
      </c>
      <c r="C83">
        <v>5105.6499999999996</v>
      </c>
      <c r="D83">
        <f>ROUND(C83*B83,0)</f>
        <v>90217</v>
      </c>
    </row>
    <row r="84" spans="1:4">
      <c r="B84">
        <v>18.087</v>
      </c>
      <c r="C84">
        <v>5400.21</v>
      </c>
      <c r="D84">
        <f>ROUND(C84*B84,0)</f>
        <v>97674</v>
      </c>
    </row>
    <row r="85" spans="1:4">
      <c r="B85">
        <v>15</v>
      </c>
      <c r="C85">
        <v>10188</v>
      </c>
      <c r="D85">
        <f>ROUND(C85*B85,0)</f>
        <v>152820</v>
      </c>
    </row>
    <row r="87" spans="1:4">
      <c r="A87" s="1010">
        <f>A81+1</f>
        <v>15</v>
      </c>
      <c r="B87">
        <v>20.89</v>
      </c>
      <c r="C87">
        <v>95.9</v>
      </c>
      <c r="D87">
        <f>ROUND(C87*B87,0)</f>
        <v>2003</v>
      </c>
    </row>
    <row r="88" spans="1:4">
      <c r="B88">
        <v>2.25</v>
      </c>
      <c r="C88">
        <v>1035.96</v>
      </c>
      <c r="D88">
        <f>ROUND(C88*B88,0)</f>
        <v>2331</v>
      </c>
    </row>
    <row r="89" spans="1:4">
      <c r="B89">
        <v>12.54</v>
      </c>
      <c r="C89">
        <v>5105.6499999999996</v>
      </c>
      <c r="D89">
        <f>ROUND(C89*B89,0)</f>
        <v>64025</v>
      </c>
    </row>
    <row r="90" spans="1:4">
      <c r="B90">
        <v>14.471</v>
      </c>
      <c r="C90">
        <v>5400.21</v>
      </c>
      <c r="D90">
        <f>ROUND(C90*B90,0)</f>
        <v>78146</v>
      </c>
    </row>
    <row r="91" spans="1:4">
      <c r="B91">
        <v>7.5</v>
      </c>
      <c r="C91">
        <v>10188</v>
      </c>
      <c r="D91">
        <f>ROUND(C91*B91,0)</f>
        <v>76410</v>
      </c>
    </row>
    <row r="93" spans="1:4">
      <c r="D93">
        <f>SUM(D3:D91)</f>
        <v>3841866</v>
      </c>
    </row>
    <row r="96" spans="1:4">
      <c r="B96" t="s">
        <v>1933</v>
      </c>
    </row>
  </sheetData>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indexed="10"/>
  </sheetPr>
  <dimension ref="A1:IV305"/>
  <sheetViews>
    <sheetView topLeftCell="A79" zoomScaleSheetLayoutView="100" workbookViewId="0">
      <selection activeCell="A2" sqref="A2:J2"/>
    </sheetView>
  </sheetViews>
  <sheetFormatPr defaultColWidth="13.88671875" defaultRowHeight="12.3"/>
  <cols>
    <col min="1" max="1" width="6.44140625" style="781" customWidth="1"/>
    <col min="2" max="2" width="5.109375" style="741" customWidth="1"/>
    <col min="3" max="3" width="35.5546875" style="749" customWidth="1"/>
    <col min="4" max="4" width="5.88671875" style="782" customWidth="1"/>
    <col min="5" max="5" width="8.109375" style="743" customWidth="1"/>
    <col min="6" max="6" width="7.109375" style="744" customWidth="1"/>
    <col min="7" max="7" width="8.5546875" style="744" customWidth="1"/>
    <col min="8" max="8" width="7.109375" style="744" customWidth="1"/>
    <col min="9" max="9" width="7.109375" style="746" customWidth="1"/>
    <col min="10" max="10" width="10.5546875" style="746" customWidth="1"/>
    <col min="11" max="256" width="13.88671875" style="726"/>
  </cols>
  <sheetData>
    <row r="1" spans="1:10" s="725" customFormat="1" ht="15" customHeight="1">
      <c r="A1" s="2813" t="s">
        <v>17</v>
      </c>
      <c r="B1" s="2814"/>
      <c r="C1" s="2814"/>
      <c r="D1" s="2814"/>
      <c r="E1" s="2814"/>
      <c r="F1" s="2814"/>
      <c r="G1" s="2814"/>
      <c r="H1" s="2814"/>
      <c r="I1" s="2814"/>
      <c r="J1" s="2814"/>
    </row>
    <row r="2" spans="1:10" ht="26.25" customHeight="1">
      <c r="A2" s="2815" t="str">
        <f>'Lead- Input sheet '!A2</f>
        <v xml:space="preserve"> Construction of  Anganwadi Building at Jeedipally Thanda (V) of Kalwakurthy (M) of Nagarkurnool District </v>
      </c>
      <c r="B2" s="2816"/>
      <c r="C2" s="2816"/>
      <c r="D2" s="2816"/>
      <c r="E2" s="2816"/>
      <c r="F2" s="2816"/>
      <c r="G2" s="2816"/>
      <c r="H2" s="2816"/>
      <c r="I2" s="2816"/>
      <c r="J2" s="2816"/>
    </row>
    <row r="3" spans="1:10" s="730" customFormat="1" ht="64.5" customHeight="1">
      <c r="A3" s="727" t="s">
        <v>926</v>
      </c>
      <c r="B3" s="728" t="s">
        <v>148</v>
      </c>
      <c r="C3" s="729" t="s">
        <v>517</v>
      </c>
      <c r="D3" s="730" t="s">
        <v>1035</v>
      </c>
      <c r="E3" s="731" t="s">
        <v>1417</v>
      </c>
      <c r="F3" s="732" t="s">
        <v>784</v>
      </c>
      <c r="G3" s="733" t="s">
        <v>785</v>
      </c>
      <c r="H3" s="733" t="s">
        <v>786</v>
      </c>
      <c r="I3" s="734" t="s">
        <v>1479</v>
      </c>
      <c r="J3" s="735" t="s">
        <v>150</v>
      </c>
    </row>
    <row r="4" spans="1:10" s="739" customFormat="1" ht="11.25" customHeight="1">
      <c r="A4" s="736">
        <v>1</v>
      </c>
      <c r="B4" s="737">
        <f>A4+1</f>
        <v>2</v>
      </c>
      <c r="C4" s="737">
        <f t="shared" ref="C4:J4" si="0">B4+1</f>
        <v>3</v>
      </c>
      <c r="D4" s="737">
        <f t="shared" si="0"/>
        <v>4</v>
      </c>
      <c r="E4" s="737">
        <f t="shared" si="0"/>
        <v>5</v>
      </c>
      <c r="F4" s="737">
        <f t="shared" si="0"/>
        <v>6</v>
      </c>
      <c r="G4" s="737">
        <f t="shared" si="0"/>
        <v>7</v>
      </c>
      <c r="H4" s="737">
        <f t="shared" si="0"/>
        <v>8</v>
      </c>
      <c r="I4" s="737">
        <f t="shared" si="0"/>
        <v>9</v>
      </c>
      <c r="J4" s="737">
        <f t="shared" si="0"/>
        <v>10</v>
      </c>
    </row>
    <row r="5" spans="1:10" ht="35.200000000000003" customHeight="1">
      <c r="A5" s="740" t="s">
        <v>927</v>
      </c>
      <c r="B5" s="741" t="s">
        <v>794</v>
      </c>
      <c r="C5" s="742" t="s">
        <v>795</v>
      </c>
      <c r="D5" s="729" t="s">
        <v>927</v>
      </c>
      <c r="G5" s="787" t="s">
        <v>1284</v>
      </c>
      <c r="H5" s="783"/>
      <c r="I5" s="784">
        <f>'Lead- Input sheet '!Q31</f>
        <v>0</v>
      </c>
      <c r="J5" s="747"/>
    </row>
    <row r="6" spans="1:10">
      <c r="A6" s="748"/>
      <c r="C6" s="749" t="s">
        <v>1394</v>
      </c>
      <c r="D6" s="750"/>
      <c r="G6" s="788" t="s">
        <v>1285</v>
      </c>
      <c r="H6" s="785"/>
      <c r="I6" s="786">
        <f>'Lead- Input sheet '!Q32</f>
        <v>0</v>
      </c>
      <c r="J6" s="751"/>
    </row>
    <row r="7" spans="1:10">
      <c r="A7" s="748"/>
      <c r="C7" s="742" t="s">
        <v>1395</v>
      </c>
      <c r="D7" s="750"/>
      <c r="G7" s="750"/>
      <c r="H7" s="745"/>
      <c r="J7" s="751"/>
    </row>
    <row r="8" spans="1:10">
      <c r="A8" s="748"/>
      <c r="C8" s="752" t="s">
        <v>910</v>
      </c>
      <c r="D8" s="750"/>
      <c r="E8" s="743">
        <v>0.7</v>
      </c>
      <c r="F8" s="743">
        <v>135</v>
      </c>
      <c r="G8" s="743">
        <f>E8*F8</f>
        <v>94.5</v>
      </c>
      <c r="H8" s="745"/>
      <c r="J8" s="751"/>
    </row>
    <row r="9" spans="1:10">
      <c r="A9" s="748"/>
      <c r="C9" s="742" t="s">
        <v>653</v>
      </c>
      <c r="D9" s="750"/>
      <c r="F9" s="743"/>
      <c r="G9" s="743"/>
      <c r="H9" s="745"/>
      <c r="J9" s="751"/>
    </row>
    <row r="10" spans="1:10">
      <c r="A10" s="748"/>
      <c r="C10" s="752" t="s">
        <v>989</v>
      </c>
      <c r="D10" s="750"/>
      <c r="E10" s="743">
        <v>0.7</v>
      </c>
      <c r="F10" s="743">
        <v>320</v>
      </c>
      <c r="G10" s="743">
        <f>E10*F10</f>
        <v>224</v>
      </c>
      <c r="H10" s="745"/>
      <c r="J10" s="751"/>
    </row>
    <row r="11" spans="1:10">
      <c r="A11" s="748"/>
      <c r="C11" s="752" t="s">
        <v>1286</v>
      </c>
      <c r="D11" s="750"/>
      <c r="E11" s="743">
        <f>G10</f>
        <v>224</v>
      </c>
      <c r="F11" s="743">
        <f>I5</f>
        <v>0</v>
      </c>
      <c r="G11" s="743">
        <f>E11*F11</f>
        <v>0</v>
      </c>
      <c r="H11" s="745"/>
      <c r="J11" s="751"/>
    </row>
    <row r="12" spans="1:10">
      <c r="A12" s="748"/>
      <c r="C12" s="752" t="s">
        <v>1166</v>
      </c>
      <c r="D12" s="750"/>
      <c r="E12" s="743">
        <v>0.01</v>
      </c>
      <c r="F12" s="743">
        <f>SUM(G8:G11)</f>
        <v>318.5</v>
      </c>
      <c r="G12" s="743">
        <f>E12*F12</f>
        <v>3.1850000000000001</v>
      </c>
      <c r="H12" s="745"/>
      <c r="J12" s="751"/>
    </row>
    <row r="13" spans="1:10">
      <c r="A13" s="748"/>
      <c r="C13" s="742" t="s">
        <v>1398</v>
      </c>
      <c r="D13" s="750"/>
      <c r="F13" s="743"/>
      <c r="G13" s="756">
        <f>SUM(G8:G12)</f>
        <v>321.685</v>
      </c>
      <c r="H13" s="745"/>
      <c r="J13" s="751"/>
    </row>
    <row r="14" spans="1:10" s="757" customFormat="1" ht="24.6">
      <c r="A14" s="748"/>
      <c r="B14" s="754"/>
      <c r="C14" s="755" t="s">
        <v>1228</v>
      </c>
      <c r="D14" s="750"/>
      <c r="E14" s="756">
        <f>G13</f>
        <v>321.685</v>
      </c>
      <c r="F14" s="756"/>
      <c r="G14" s="756">
        <f>ROUND(E14*F14,2)</f>
        <v>0</v>
      </c>
      <c r="H14" s="732"/>
      <c r="I14" s="731"/>
      <c r="J14" s="751"/>
    </row>
    <row r="15" spans="1:10" s="757" customFormat="1">
      <c r="A15" s="748"/>
      <c r="B15" s="754"/>
      <c r="C15" s="755" t="s">
        <v>1231</v>
      </c>
      <c r="D15" s="750"/>
      <c r="E15" s="756"/>
      <c r="F15" s="789" t="s">
        <v>1486</v>
      </c>
      <c r="G15" s="789">
        <f>SUM(G13:G14)</f>
        <v>321.685</v>
      </c>
      <c r="H15" s="732"/>
      <c r="I15" s="731"/>
      <c r="J15" s="751"/>
    </row>
    <row r="16" spans="1:10" ht="49.2">
      <c r="A16" s="748"/>
      <c r="B16" s="759">
        <v>1</v>
      </c>
      <c r="C16" s="749" t="s">
        <v>462</v>
      </c>
      <c r="D16" s="750"/>
      <c r="G16" s="750"/>
      <c r="H16" s="758"/>
      <c r="I16" s="753"/>
      <c r="J16" s="751"/>
    </row>
    <row r="17" spans="1:12">
      <c r="A17" s="748"/>
      <c r="B17" s="759"/>
      <c r="C17" s="749" t="s">
        <v>498</v>
      </c>
      <c r="D17" s="750"/>
      <c r="E17" s="769"/>
      <c r="F17" s="771"/>
      <c r="G17" s="750"/>
      <c r="H17" s="762"/>
      <c r="I17" s="760"/>
      <c r="J17" s="751"/>
      <c r="K17" s="763"/>
    </row>
    <row r="18" spans="1:12">
      <c r="A18" s="748"/>
      <c r="B18" s="759"/>
      <c r="C18" s="749" t="s">
        <v>499</v>
      </c>
      <c r="D18" s="750"/>
      <c r="E18" s="769"/>
      <c r="F18" s="771"/>
      <c r="G18" s="750"/>
      <c r="H18" s="762"/>
      <c r="I18" s="760"/>
      <c r="J18" s="751"/>
      <c r="K18" s="763"/>
    </row>
    <row r="19" spans="1:12" ht="24.6">
      <c r="A19" s="748"/>
      <c r="B19" s="759"/>
      <c r="C19" s="749" t="s">
        <v>73</v>
      </c>
      <c r="D19" s="750"/>
      <c r="E19" s="769">
        <v>1</v>
      </c>
      <c r="F19" s="790"/>
      <c r="G19" s="750"/>
      <c r="H19" s="762"/>
      <c r="I19" s="764"/>
      <c r="J19" s="751"/>
      <c r="K19" s="763"/>
    </row>
    <row r="20" spans="1:12">
      <c r="A20" s="748"/>
      <c r="B20" s="759"/>
      <c r="C20" s="749" t="s">
        <v>500</v>
      </c>
      <c r="D20" s="750"/>
      <c r="E20" s="769"/>
      <c r="F20" s="771"/>
      <c r="G20" s="750"/>
      <c r="H20" s="762"/>
      <c r="I20" s="760"/>
      <c r="J20" s="751"/>
      <c r="K20" s="763"/>
    </row>
    <row r="21" spans="1:12">
      <c r="A21" s="748"/>
      <c r="B21" s="759"/>
      <c r="C21" s="749" t="s">
        <v>501</v>
      </c>
      <c r="D21" s="750"/>
      <c r="E21" s="769">
        <v>17.7</v>
      </c>
      <c r="F21" s="769">
        <f>'Lead- Input sheet '!R31</f>
        <v>680</v>
      </c>
      <c r="G21" s="769">
        <f>E21*F21</f>
        <v>12036</v>
      </c>
      <c r="H21" s="761"/>
      <c r="I21" s="760"/>
      <c r="J21" s="751"/>
      <c r="K21" s="763"/>
    </row>
    <row r="22" spans="1:12">
      <c r="A22" s="748"/>
      <c r="B22" s="759"/>
      <c r="C22" s="749" t="s">
        <v>502</v>
      </c>
      <c r="D22" s="750"/>
      <c r="E22" s="769">
        <v>8.8000000000000007</v>
      </c>
      <c r="F22" s="769">
        <f>'Lead- Input sheet '!R28</f>
        <v>605</v>
      </c>
      <c r="G22" s="769">
        <f>E22*F22</f>
        <v>5324</v>
      </c>
      <c r="H22" s="761"/>
      <c r="I22" s="760"/>
      <c r="J22" s="751"/>
      <c r="K22" s="763"/>
    </row>
    <row r="23" spans="1:12">
      <c r="A23" s="748"/>
      <c r="C23" s="752" t="s">
        <v>1286</v>
      </c>
      <c r="D23" s="750"/>
      <c r="E23" s="743">
        <f>SUM(G21:G22)</f>
        <v>17360</v>
      </c>
      <c r="F23" s="795">
        <f>I5</f>
        <v>0</v>
      </c>
      <c r="G23" s="769">
        <f>E23*F23</f>
        <v>0</v>
      </c>
      <c r="H23" s="745"/>
      <c r="J23" s="751"/>
    </row>
    <row r="24" spans="1:12">
      <c r="A24" s="748"/>
      <c r="B24" s="759"/>
      <c r="C24" s="749" t="s">
        <v>503</v>
      </c>
      <c r="D24" s="750"/>
      <c r="E24" s="769" t="s">
        <v>975</v>
      </c>
      <c r="F24" s="771"/>
      <c r="G24" s="790"/>
      <c r="H24" s="762"/>
      <c r="I24" s="760"/>
      <c r="J24" s="751"/>
      <c r="K24" s="763"/>
    </row>
    <row r="25" spans="1:12">
      <c r="A25" s="748"/>
      <c r="B25" s="759"/>
      <c r="C25" s="749" t="s">
        <v>74</v>
      </c>
      <c r="D25" s="750"/>
      <c r="E25" s="769"/>
      <c r="F25" s="771"/>
      <c r="G25" s="766">
        <f>SUM(G21:G24)</f>
        <v>17360</v>
      </c>
      <c r="H25" s="762"/>
      <c r="I25" s="760"/>
      <c r="J25" s="751"/>
      <c r="K25" s="763"/>
    </row>
    <row r="26" spans="1:12" ht="246">
      <c r="A26" s="748"/>
      <c r="B26" s="765">
        <v>2</v>
      </c>
      <c r="C26" s="749" t="s">
        <v>2549</v>
      </c>
      <c r="D26" s="750"/>
      <c r="E26" s="769"/>
      <c r="F26" s="771"/>
      <c r="G26" s="750"/>
      <c r="H26" s="761"/>
      <c r="I26" s="760"/>
      <c r="J26" s="751"/>
      <c r="K26" s="763"/>
    </row>
    <row r="27" spans="1:12" s="768" customFormat="1">
      <c r="A27" s="748"/>
      <c r="B27" s="766"/>
      <c r="C27" s="755" t="s">
        <v>442</v>
      </c>
      <c r="D27" s="750"/>
      <c r="E27" s="766"/>
      <c r="F27" s="790"/>
      <c r="G27" s="750"/>
      <c r="H27" s="762"/>
      <c r="I27" s="764"/>
      <c r="J27" s="751"/>
      <c r="K27" s="767"/>
    </row>
    <row r="28" spans="1:12">
      <c r="A28" s="748"/>
      <c r="B28" s="769"/>
      <c r="C28" s="749" t="s">
        <v>779</v>
      </c>
      <c r="D28" s="750"/>
      <c r="E28" s="769"/>
      <c r="F28" s="771"/>
      <c r="G28" s="750"/>
      <c r="H28" s="761"/>
      <c r="I28" s="760"/>
      <c r="J28" s="751"/>
      <c r="K28" s="763"/>
    </row>
    <row r="29" spans="1:12" ht="20.2" customHeight="1">
      <c r="A29" s="748"/>
      <c r="B29" s="769"/>
      <c r="C29" s="749" t="s">
        <v>780</v>
      </c>
      <c r="D29" s="796">
        <v>2</v>
      </c>
      <c r="E29" s="794">
        <v>2.1</v>
      </c>
      <c r="F29" s="792">
        <v>0.1</v>
      </c>
      <c r="G29" s="750">
        <v>7.4999999999999997E-2</v>
      </c>
      <c r="H29" s="792">
        <f>ROUND(D29*E29*F29*G29,3)</f>
        <v>3.2000000000000001E-2</v>
      </c>
      <c r="I29" s="794">
        <v>25497.19</v>
      </c>
      <c r="J29" s="801">
        <f t="shared" ref="J29:J46" si="1">ROUND(H29*I29,2)</f>
        <v>815.91</v>
      </c>
      <c r="K29" s="763"/>
      <c r="L29" s="770"/>
    </row>
    <row r="30" spans="1:12" ht="20.2" customHeight="1">
      <c r="A30" s="748"/>
      <c r="B30" s="769"/>
      <c r="C30" s="749" t="s">
        <v>781</v>
      </c>
      <c r="D30" s="796">
        <v>1</v>
      </c>
      <c r="E30" s="794">
        <v>0.9</v>
      </c>
      <c r="F30" s="792">
        <v>0.1</v>
      </c>
      <c r="G30" s="750">
        <v>7.4999999999999997E-2</v>
      </c>
      <c r="H30" s="792">
        <f>ROUND(D30*E30*F30*G30,3)</f>
        <v>7.0000000000000001E-3</v>
      </c>
      <c r="I30" s="794">
        <v>25497.19</v>
      </c>
      <c r="J30" s="801">
        <f t="shared" si="1"/>
        <v>178.48</v>
      </c>
      <c r="K30" s="763"/>
      <c r="L30" s="770"/>
    </row>
    <row r="31" spans="1:12" ht="20.2" customHeight="1">
      <c r="A31" s="748"/>
      <c r="B31" s="769"/>
      <c r="C31" s="749" t="s">
        <v>1482</v>
      </c>
      <c r="D31" s="796"/>
      <c r="E31" s="794"/>
      <c r="F31" s="792"/>
      <c r="G31" s="750"/>
      <c r="H31" s="799">
        <f>SUM(H29:H30)</f>
        <v>3.9E-2</v>
      </c>
      <c r="I31" s="798">
        <f>G25</f>
        <v>17360</v>
      </c>
      <c r="J31" s="801">
        <f t="shared" si="1"/>
        <v>677.04</v>
      </c>
      <c r="K31" s="761"/>
      <c r="L31" s="761"/>
    </row>
    <row r="32" spans="1:12" ht="66" customHeight="1">
      <c r="A32" s="748"/>
      <c r="B32" s="769"/>
      <c r="C32" s="755" t="s">
        <v>2551</v>
      </c>
      <c r="D32" s="796">
        <v>1</v>
      </c>
      <c r="E32" s="794">
        <f>2.1-0.075*2+0.015</f>
        <v>1.9650000000000001</v>
      </c>
      <c r="F32" s="794">
        <f>(0.75-2*0.075+2*0.015)</f>
        <v>0.63</v>
      </c>
      <c r="G32" s="792">
        <f>ROUND(D32*E32*F32,3)</f>
        <v>1.238</v>
      </c>
      <c r="H32" s="733"/>
      <c r="I32" s="794">
        <v>1630</v>
      </c>
      <c r="J32" s="801">
        <f>ROUND(G32*I32,2)</f>
        <v>2017.94</v>
      </c>
      <c r="K32" s="763"/>
      <c r="L32" s="770"/>
    </row>
    <row r="33" spans="1:12" ht="31.5" customHeight="1">
      <c r="A33" s="748"/>
      <c r="B33" s="769"/>
      <c r="C33" s="749" t="s">
        <v>18</v>
      </c>
      <c r="D33" s="796">
        <v>1</v>
      </c>
      <c r="E33" s="794">
        <f>2.1-0.075*2+0.015</f>
        <v>1.9650000000000001</v>
      </c>
      <c r="F33" s="794">
        <f>(0.75-2*0.075+2*0.015)</f>
        <v>0.63</v>
      </c>
      <c r="G33" s="792">
        <f>ROUND(D33*E33*F33,3)</f>
        <v>1.238</v>
      </c>
      <c r="H33" s="733"/>
      <c r="I33" s="794">
        <v>295</v>
      </c>
      <c r="J33" s="801">
        <f>ROUND(G33*I33,2)</f>
        <v>365.21</v>
      </c>
      <c r="K33" s="761"/>
      <c r="L33" s="761"/>
    </row>
    <row r="34" spans="1:12" ht="24.6">
      <c r="A34" s="748"/>
      <c r="B34" s="759"/>
      <c r="C34" s="749" t="s">
        <v>788</v>
      </c>
      <c r="D34" s="796"/>
      <c r="E34" s="794"/>
      <c r="F34" s="792"/>
      <c r="G34" s="750"/>
      <c r="H34" s="797"/>
      <c r="I34" s="794"/>
      <c r="J34" s="801"/>
      <c r="K34" s="763"/>
    </row>
    <row r="35" spans="1:12" ht="20.2" customHeight="1">
      <c r="A35" s="748"/>
      <c r="B35" s="759"/>
      <c r="C35" s="749" t="s">
        <v>911</v>
      </c>
      <c r="D35" s="796" t="s">
        <v>1035</v>
      </c>
      <c r="E35" s="794" t="s">
        <v>1019</v>
      </c>
      <c r="F35" s="792" t="s">
        <v>1020</v>
      </c>
      <c r="G35" s="750"/>
      <c r="H35" s="738">
        <v>1</v>
      </c>
      <c r="I35" s="794">
        <v>68</v>
      </c>
      <c r="J35" s="801">
        <f t="shared" si="1"/>
        <v>68</v>
      </c>
      <c r="K35" s="763"/>
    </row>
    <row r="36" spans="1:12" ht="35.200000000000003" customHeight="1">
      <c r="A36" s="748"/>
      <c r="B36" s="759"/>
      <c r="C36" s="749" t="s">
        <v>913</v>
      </c>
      <c r="D36" s="796" t="s">
        <v>1035</v>
      </c>
      <c r="E36" s="794" t="s">
        <v>1022</v>
      </c>
      <c r="F36" s="792"/>
      <c r="G36" s="750"/>
      <c r="H36" s="738">
        <v>3</v>
      </c>
      <c r="I36" s="794">
        <v>31</v>
      </c>
      <c r="J36" s="801">
        <f t="shared" si="1"/>
        <v>93</v>
      </c>
      <c r="K36" s="763"/>
    </row>
    <row r="37" spans="1:12" ht="24.9" customHeight="1">
      <c r="A37" s="748"/>
      <c r="B37" s="759"/>
      <c r="C37" s="749" t="s">
        <v>914</v>
      </c>
      <c r="D37" s="796" t="s">
        <v>1035</v>
      </c>
      <c r="E37" s="794" t="s">
        <v>1023</v>
      </c>
      <c r="F37" s="792"/>
      <c r="G37" s="750"/>
      <c r="H37" s="738">
        <v>1</v>
      </c>
      <c r="I37" s="794">
        <v>164</v>
      </c>
      <c r="J37" s="801">
        <f t="shared" si="1"/>
        <v>164</v>
      </c>
      <c r="K37" s="763"/>
    </row>
    <row r="38" spans="1:12" ht="20.2" customHeight="1">
      <c r="A38" s="748"/>
      <c r="B38" s="759"/>
      <c r="C38" s="749" t="s">
        <v>296</v>
      </c>
      <c r="D38" s="796" t="s">
        <v>1035</v>
      </c>
      <c r="E38" s="794" t="s">
        <v>140</v>
      </c>
      <c r="F38" s="792"/>
      <c r="G38" s="750"/>
      <c r="H38" s="738">
        <v>1</v>
      </c>
      <c r="I38" s="794">
        <v>46</v>
      </c>
      <c r="J38" s="801">
        <f t="shared" si="1"/>
        <v>46</v>
      </c>
      <c r="K38" s="763"/>
    </row>
    <row r="39" spans="1:12" s="25" customFormat="1" ht="20.2" customHeight="1">
      <c r="A39" s="617"/>
      <c r="B39" s="19"/>
      <c r="C39" s="54" t="s">
        <v>420</v>
      </c>
      <c r="D39" s="26"/>
      <c r="E39" s="290" t="s">
        <v>419</v>
      </c>
      <c r="F39" s="292"/>
      <c r="G39" s="292"/>
      <c r="H39" s="716">
        <v>2</v>
      </c>
      <c r="I39" s="289">
        <v>31</v>
      </c>
      <c r="J39" s="289">
        <f>ROUND(H39*I39,2)</f>
        <v>62</v>
      </c>
      <c r="K39" s="31"/>
    </row>
    <row r="40" spans="1:12" ht="20.2" customHeight="1">
      <c r="A40" s="748"/>
      <c r="B40" s="759"/>
      <c r="C40" s="749" t="s">
        <v>799</v>
      </c>
      <c r="D40" s="796" t="s">
        <v>882</v>
      </c>
      <c r="E40" s="794" t="s">
        <v>141</v>
      </c>
      <c r="F40" s="792"/>
      <c r="G40" s="750"/>
      <c r="H40" s="738">
        <v>50</v>
      </c>
      <c r="I40" s="794">
        <v>2</v>
      </c>
      <c r="J40" s="801">
        <f t="shared" si="1"/>
        <v>100</v>
      </c>
      <c r="K40" s="763"/>
    </row>
    <row r="41" spans="1:12" ht="20.2" customHeight="1">
      <c r="A41" s="748"/>
      <c r="B41" s="759"/>
      <c r="C41" s="749" t="s">
        <v>231</v>
      </c>
      <c r="D41" s="796" t="s">
        <v>882</v>
      </c>
      <c r="E41" s="794" t="s">
        <v>1287</v>
      </c>
      <c r="F41" s="792"/>
      <c r="G41" s="750"/>
      <c r="H41" s="738">
        <v>10</v>
      </c>
      <c r="I41" s="794">
        <v>10</v>
      </c>
      <c r="J41" s="801">
        <f t="shared" si="1"/>
        <v>100</v>
      </c>
      <c r="K41" s="763"/>
    </row>
    <row r="42" spans="1:12" ht="20.2" customHeight="1">
      <c r="A42" s="748"/>
      <c r="B42" s="769"/>
      <c r="C42" s="749" t="s">
        <v>2550</v>
      </c>
      <c r="D42" s="796">
        <v>2.25</v>
      </c>
      <c r="E42" s="794">
        <v>0.75</v>
      </c>
      <c r="F42" s="792"/>
      <c r="G42" s="750">
        <v>2.1</v>
      </c>
      <c r="H42" s="792">
        <f>ROUND(G42*E42*D42/3,2)</f>
        <v>1.18</v>
      </c>
      <c r="I42" s="794">
        <f>G15</f>
        <v>321.685</v>
      </c>
      <c r="J42" s="801">
        <f>ROUND(H42*I42/10,2)</f>
        <v>37.96</v>
      </c>
      <c r="K42" s="763"/>
    </row>
    <row r="43" spans="1:12" ht="20.2" customHeight="1">
      <c r="A43" s="748"/>
      <c r="B43" s="772"/>
      <c r="C43" s="749" t="s">
        <v>1483</v>
      </c>
      <c r="D43" s="750"/>
      <c r="E43" s="794"/>
      <c r="F43" s="792"/>
      <c r="G43" s="750"/>
      <c r="H43" s="738">
        <v>6</v>
      </c>
      <c r="I43" s="794">
        <v>12</v>
      </c>
      <c r="J43" s="801">
        <f t="shared" si="1"/>
        <v>72</v>
      </c>
      <c r="K43" s="763"/>
    </row>
    <row r="44" spans="1:12" ht="20.2" customHeight="1">
      <c r="A44" s="748"/>
      <c r="B44" s="769"/>
      <c r="C44" s="749" t="s">
        <v>230</v>
      </c>
      <c r="D44" s="750"/>
      <c r="E44" s="794"/>
      <c r="F44" s="792"/>
      <c r="G44" s="750"/>
      <c r="H44" s="738">
        <v>1</v>
      </c>
      <c r="I44" s="794">
        <v>75</v>
      </c>
      <c r="J44" s="801">
        <f t="shared" si="1"/>
        <v>75</v>
      </c>
      <c r="K44" s="763"/>
    </row>
    <row r="45" spans="1:12" ht="20.2" customHeight="1">
      <c r="A45" s="748"/>
      <c r="B45" s="769"/>
      <c r="D45" s="750"/>
      <c r="E45" s="794"/>
      <c r="F45" s="792"/>
      <c r="G45" s="750"/>
      <c r="H45" s="792"/>
      <c r="I45" s="794"/>
      <c r="J45" s="801">
        <f>SUM(J29:J44)</f>
        <v>4872.54</v>
      </c>
      <c r="K45" s="763"/>
    </row>
    <row r="46" spans="1:12" s="757" customFormat="1" ht="20.2" customHeight="1">
      <c r="A46" s="748"/>
      <c r="B46" s="773"/>
      <c r="C46" s="749" t="s">
        <v>1228</v>
      </c>
      <c r="D46" s="750"/>
      <c r="E46" s="793"/>
      <c r="F46" s="791"/>
      <c r="G46" s="750"/>
      <c r="H46" s="791">
        <f>J45</f>
        <v>4872.54</v>
      </c>
      <c r="I46" s="793">
        <f>I6</f>
        <v>0</v>
      </c>
      <c r="J46" s="801">
        <f t="shared" si="1"/>
        <v>0</v>
      </c>
      <c r="K46" s="774"/>
    </row>
    <row r="47" spans="1:12" s="757" customFormat="1" ht="20.2" customHeight="1">
      <c r="A47" s="748"/>
      <c r="B47" s="773"/>
      <c r="C47" s="755" t="s">
        <v>256</v>
      </c>
      <c r="D47" s="750"/>
      <c r="E47" s="793"/>
      <c r="F47" s="791"/>
      <c r="G47" s="750"/>
      <c r="H47" s="791"/>
      <c r="I47" s="793"/>
      <c r="J47" s="802">
        <f>SUM(J45:J46)</f>
        <v>4872.54</v>
      </c>
      <c r="K47" s="774"/>
    </row>
    <row r="48" spans="1:12" s="768" customFormat="1">
      <c r="A48" s="748"/>
      <c r="B48" s="766"/>
      <c r="C48" s="755" t="s">
        <v>538</v>
      </c>
      <c r="D48" s="750"/>
      <c r="E48" s="793"/>
      <c r="F48" s="791"/>
      <c r="G48" s="750"/>
      <c r="H48" s="791"/>
      <c r="I48" s="793"/>
      <c r="J48" s="751"/>
      <c r="K48" s="767"/>
    </row>
    <row r="49" spans="1:11">
      <c r="A49" s="748"/>
      <c r="B49" s="769"/>
      <c r="C49" s="749" t="s">
        <v>779</v>
      </c>
      <c r="D49" s="750"/>
      <c r="E49" s="794"/>
      <c r="F49" s="792"/>
      <c r="G49" s="750"/>
      <c r="H49" s="792"/>
      <c r="I49" s="794"/>
      <c r="J49" s="751"/>
      <c r="K49" s="763"/>
    </row>
    <row r="50" spans="1:11" ht="20.2" customHeight="1">
      <c r="A50" s="748"/>
      <c r="B50" s="769"/>
      <c r="C50" s="749" t="s">
        <v>780</v>
      </c>
      <c r="D50" s="750">
        <v>2</v>
      </c>
      <c r="E50" s="794">
        <v>2.1</v>
      </c>
      <c r="F50" s="792">
        <v>0.1</v>
      </c>
      <c r="G50" s="750">
        <v>7.4999999999999997E-2</v>
      </c>
      <c r="H50" s="792">
        <f>ROUND(D50*E50*F50*G50,3)</f>
        <v>3.2000000000000001E-2</v>
      </c>
      <c r="I50" s="794">
        <v>25497.19</v>
      </c>
      <c r="J50" s="801">
        <f t="shared" ref="J50:J55" si="2">ROUND(H50*I50,2)</f>
        <v>815.91</v>
      </c>
      <c r="K50" s="763"/>
    </row>
    <row r="51" spans="1:11" ht="20.2" customHeight="1">
      <c r="A51" s="748"/>
      <c r="B51" s="769"/>
      <c r="C51" s="749" t="s">
        <v>781</v>
      </c>
      <c r="D51" s="750">
        <v>1</v>
      </c>
      <c r="E51" s="794">
        <v>0.9</v>
      </c>
      <c r="F51" s="792">
        <v>0.1</v>
      </c>
      <c r="G51" s="750">
        <v>7.4999999999999997E-2</v>
      </c>
      <c r="H51" s="792">
        <f>ROUND(D51*E51*F51*G51,3)</f>
        <v>7.0000000000000001E-3</v>
      </c>
      <c r="I51" s="794">
        <v>25497.19</v>
      </c>
      <c r="J51" s="801">
        <f t="shared" si="2"/>
        <v>178.48</v>
      </c>
      <c r="K51" s="763"/>
    </row>
    <row r="52" spans="1:11" ht="20.2" customHeight="1">
      <c r="A52" s="748"/>
      <c r="B52" s="769"/>
      <c r="C52" s="749" t="s">
        <v>1482</v>
      </c>
      <c r="D52" s="750"/>
      <c r="E52" s="794"/>
      <c r="F52" s="792"/>
      <c r="G52" s="750"/>
      <c r="H52" s="792">
        <f>SUM(H50:H51)</f>
        <v>3.9E-2</v>
      </c>
      <c r="I52" s="794">
        <f>G25</f>
        <v>17360</v>
      </c>
      <c r="J52" s="801">
        <f t="shared" si="2"/>
        <v>677.04</v>
      </c>
      <c r="K52" s="763"/>
    </row>
    <row r="53" spans="1:11" ht="20.2" customHeight="1">
      <c r="A53" s="748"/>
      <c r="B53" s="769"/>
      <c r="C53" s="749" t="s">
        <v>1484</v>
      </c>
      <c r="D53" s="750">
        <v>2.25</v>
      </c>
      <c r="E53" s="794">
        <v>0.75</v>
      </c>
      <c r="F53" s="792"/>
      <c r="G53" s="750">
        <v>2.1</v>
      </c>
      <c r="H53" s="792">
        <f>ROUND(G53*E53*D53/3,2)</f>
        <v>1.18</v>
      </c>
      <c r="I53" s="794">
        <f>G15</f>
        <v>321.685</v>
      </c>
      <c r="J53" s="801">
        <f>ROUND(H53*I53/10,2)</f>
        <v>37.96</v>
      </c>
      <c r="K53" s="763"/>
    </row>
    <row r="54" spans="1:11" ht="20.2" customHeight="1">
      <c r="A54" s="748"/>
      <c r="B54" s="772"/>
      <c r="C54" s="749" t="s">
        <v>1483</v>
      </c>
      <c r="D54" s="750"/>
      <c r="E54" s="794"/>
      <c r="F54" s="792"/>
      <c r="G54" s="750"/>
      <c r="H54" s="738">
        <v>6</v>
      </c>
      <c r="I54" s="794">
        <v>12</v>
      </c>
      <c r="J54" s="801">
        <f t="shared" si="2"/>
        <v>72</v>
      </c>
      <c r="K54" s="763"/>
    </row>
    <row r="55" spans="1:11" ht="20.2" customHeight="1">
      <c r="A55" s="748"/>
      <c r="B55" s="769"/>
      <c r="C55" s="749" t="s">
        <v>230</v>
      </c>
      <c r="D55" s="750"/>
      <c r="E55" s="794"/>
      <c r="F55" s="792"/>
      <c r="G55" s="750"/>
      <c r="H55" s="738">
        <v>1</v>
      </c>
      <c r="I55" s="794">
        <v>50</v>
      </c>
      <c r="J55" s="801">
        <f t="shared" si="2"/>
        <v>50</v>
      </c>
      <c r="K55" s="763"/>
    </row>
    <row r="56" spans="1:11" ht="20.2" customHeight="1">
      <c r="A56" s="748"/>
      <c r="B56" s="769"/>
      <c r="D56" s="750"/>
      <c r="E56" s="794"/>
      <c r="F56" s="792"/>
      <c r="G56" s="750"/>
      <c r="H56" s="792"/>
      <c r="I56" s="794"/>
      <c r="J56" s="801">
        <f>SUM(J49:J55)</f>
        <v>1831.3899999999999</v>
      </c>
      <c r="K56" s="763"/>
    </row>
    <row r="57" spans="1:11" s="757" customFormat="1" ht="20.2" customHeight="1">
      <c r="A57" s="748"/>
      <c r="B57" s="773"/>
      <c r="C57" s="749" t="s">
        <v>1228</v>
      </c>
      <c r="D57" s="750"/>
      <c r="E57" s="793"/>
      <c r="F57" s="791"/>
      <c r="G57" s="750"/>
      <c r="H57" s="791">
        <f>J56</f>
        <v>1831.3899999999999</v>
      </c>
      <c r="I57" s="793">
        <f>'Lead- Input sheet '!Q32</f>
        <v>0</v>
      </c>
      <c r="J57" s="801">
        <f>ROUND(H57*I57,2)</f>
        <v>0</v>
      </c>
      <c r="K57" s="774"/>
    </row>
    <row r="58" spans="1:11" s="757" customFormat="1" ht="20.2" customHeight="1">
      <c r="A58" s="748"/>
      <c r="B58" s="773"/>
      <c r="C58" s="755" t="s">
        <v>540</v>
      </c>
      <c r="D58" s="750"/>
      <c r="E58" s="793"/>
      <c r="F58" s="791"/>
      <c r="G58" s="750"/>
      <c r="H58" s="791"/>
      <c r="I58" s="793"/>
      <c r="J58" s="786">
        <f>SUM(J56:J57)</f>
        <v>1831.3899999999999</v>
      </c>
      <c r="K58" s="774"/>
    </row>
    <row r="59" spans="1:11" s="757" customFormat="1" ht="20.2" customHeight="1">
      <c r="A59" s="748"/>
      <c r="B59" s="773"/>
      <c r="C59" s="755" t="s">
        <v>541</v>
      </c>
      <c r="D59" s="750"/>
      <c r="E59" s="793"/>
      <c r="F59" s="791"/>
      <c r="G59" s="750"/>
      <c r="H59" s="791"/>
      <c r="I59" s="793"/>
      <c r="J59" s="786">
        <f>J47-J58</f>
        <v>3041.15</v>
      </c>
      <c r="K59" s="774"/>
    </row>
    <row r="60" spans="1:11" ht="246">
      <c r="A60" s="748"/>
      <c r="B60" s="765">
        <v>3</v>
      </c>
      <c r="C60" s="749" t="s">
        <v>2552</v>
      </c>
      <c r="D60" s="750"/>
      <c r="E60" s="769"/>
      <c r="F60" s="771"/>
      <c r="G60" s="750"/>
      <c r="H60" s="761"/>
      <c r="I60" s="760"/>
      <c r="J60" s="751"/>
      <c r="K60" s="763"/>
    </row>
    <row r="61" spans="1:11" ht="24.6">
      <c r="A61" s="748"/>
      <c r="B61" s="769"/>
      <c r="C61" s="755" t="s">
        <v>1290</v>
      </c>
      <c r="D61" s="750"/>
      <c r="E61" s="766"/>
      <c r="F61" s="771"/>
      <c r="G61" s="750"/>
      <c r="H61" s="761"/>
      <c r="I61" s="760"/>
      <c r="J61" s="751"/>
      <c r="K61" s="763"/>
    </row>
    <row r="62" spans="1:11">
      <c r="A62" s="748"/>
      <c r="B62" s="769"/>
      <c r="C62" s="749" t="s">
        <v>779</v>
      </c>
      <c r="D62" s="750"/>
      <c r="E62" s="769"/>
      <c r="F62" s="771"/>
      <c r="G62" s="750"/>
      <c r="H62" s="761"/>
      <c r="I62" s="760"/>
      <c r="J62" s="751"/>
      <c r="K62" s="763"/>
    </row>
    <row r="63" spans="1:11" ht="20.2" customHeight="1">
      <c r="A63" s="748"/>
      <c r="B63" s="769"/>
      <c r="C63" s="749" t="s">
        <v>780</v>
      </c>
      <c r="D63" s="796">
        <v>2</v>
      </c>
      <c r="E63" s="794">
        <v>2.1</v>
      </c>
      <c r="F63" s="792">
        <v>0.1</v>
      </c>
      <c r="G63" s="750">
        <v>7.4999999999999997E-2</v>
      </c>
      <c r="H63" s="792">
        <f>ROUND(D63*E63*F63*G63,3)</f>
        <v>3.2000000000000001E-2</v>
      </c>
      <c r="I63" s="794">
        <v>25497.19</v>
      </c>
      <c r="J63" s="801">
        <f>ROUND(H63*I63,2)</f>
        <v>815.91</v>
      </c>
      <c r="K63" s="763"/>
    </row>
    <row r="64" spans="1:11" ht="20.2" customHeight="1">
      <c r="A64" s="748"/>
      <c r="B64" s="769"/>
      <c r="C64" s="749" t="s">
        <v>781</v>
      </c>
      <c r="D64" s="796">
        <v>1</v>
      </c>
      <c r="E64" s="794">
        <v>1.05</v>
      </c>
      <c r="F64" s="792">
        <v>0.1</v>
      </c>
      <c r="G64" s="750">
        <v>7.4999999999999997E-2</v>
      </c>
      <c r="H64" s="792">
        <f>ROUND(D64*E64*F64*G64,3)</f>
        <v>8.0000000000000002E-3</v>
      </c>
      <c r="I64" s="794">
        <v>25497.19</v>
      </c>
      <c r="J64" s="801">
        <f>ROUND(H64*I64,2)</f>
        <v>203.98</v>
      </c>
      <c r="K64" s="763"/>
    </row>
    <row r="65" spans="1:12" ht="20.2" customHeight="1">
      <c r="A65" s="748"/>
      <c r="B65" s="769"/>
      <c r="C65" s="749" t="s">
        <v>19</v>
      </c>
      <c r="D65" s="796">
        <v>1</v>
      </c>
      <c r="E65" s="794"/>
      <c r="F65" s="794"/>
      <c r="G65" s="792"/>
      <c r="H65" s="800">
        <f>SUM(H63:H64)</f>
        <v>0.04</v>
      </c>
      <c r="I65" s="798">
        <f>G25</f>
        <v>17360</v>
      </c>
      <c r="J65" s="801">
        <f>ROUND(H65*I65,2)</f>
        <v>694.4</v>
      </c>
      <c r="K65" s="761"/>
      <c r="L65" s="761"/>
    </row>
    <row r="66" spans="1:12" ht="78" customHeight="1">
      <c r="A66" s="748" t="s">
        <v>2554</v>
      </c>
      <c r="B66" s="769"/>
      <c r="C66" s="755" t="s">
        <v>2551</v>
      </c>
      <c r="D66" s="796"/>
      <c r="E66" s="794">
        <f>2.1-0.075*2+0.015</f>
        <v>1.9650000000000001</v>
      </c>
      <c r="F66" s="792">
        <f>(0.9-2*0.075+2*0.015)</f>
        <v>0.78</v>
      </c>
      <c r="G66" s="750">
        <v>1.5329999999999999</v>
      </c>
      <c r="H66" s="792"/>
      <c r="I66" s="794">
        <v>1630</v>
      </c>
      <c r="J66" s="801">
        <f>ROUND(G66*I66,2)</f>
        <v>2498.79</v>
      </c>
      <c r="K66" s="763"/>
      <c r="L66" s="770"/>
    </row>
    <row r="67" spans="1:12" ht="30.75" customHeight="1">
      <c r="A67" s="748"/>
      <c r="B67" s="769"/>
      <c r="C67" s="749" t="s">
        <v>18</v>
      </c>
      <c r="D67" s="796">
        <v>1</v>
      </c>
      <c r="E67" s="794">
        <f>2.1-0.075*2+0.015</f>
        <v>1.9650000000000001</v>
      </c>
      <c r="F67" s="794">
        <f>(0.9-2*0.075+2*0.015)</f>
        <v>0.78</v>
      </c>
      <c r="G67" s="792">
        <v>1.5329999999999999</v>
      </c>
      <c r="H67" s="733"/>
      <c r="I67" s="794">
        <v>295</v>
      </c>
      <c r="J67" s="801">
        <f>ROUND(G67*I67,2)</f>
        <v>452.24</v>
      </c>
      <c r="K67" s="761"/>
      <c r="L67" s="761"/>
    </row>
    <row r="68" spans="1:12" ht="30.75" customHeight="1">
      <c r="A68" s="748"/>
      <c r="B68" s="759"/>
      <c r="C68" s="749" t="s">
        <v>788</v>
      </c>
      <c r="D68" s="796"/>
      <c r="E68" s="794"/>
      <c r="F68" s="792"/>
      <c r="G68" s="750"/>
      <c r="H68" s="797"/>
      <c r="I68" s="794"/>
      <c r="J68" s="801"/>
      <c r="K68" s="763"/>
    </row>
    <row r="69" spans="1:12" s="780" customFormat="1" ht="20.2" customHeight="1">
      <c r="A69" s="748"/>
      <c r="B69" s="776"/>
      <c r="C69" s="777" t="s">
        <v>911</v>
      </c>
      <c r="D69" s="796" t="s">
        <v>1035</v>
      </c>
      <c r="E69" s="794" t="s">
        <v>1019</v>
      </c>
      <c r="F69" s="792"/>
      <c r="G69" s="750"/>
      <c r="H69" s="738">
        <v>1</v>
      </c>
      <c r="I69" s="794">
        <v>68</v>
      </c>
      <c r="J69" s="801">
        <f t="shared" ref="J69:J76" si="3">ROUND(H69*I69,2)</f>
        <v>68</v>
      </c>
      <c r="K69" s="779"/>
    </row>
    <row r="70" spans="1:12" s="780" customFormat="1" ht="20.2" customHeight="1">
      <c r="A70" s="748"/>
      <c r="B70" s="776"/>
      <c r="C70" s="777" t="s">
        <v>913</v>
      </c>
      <c r="D70" s="796" t="s">
        <v>1035</v>
      </c>
      <c r="E70" s="794" t="s">
        <v>1022</v>
      </c>
      <c r="F70" s="792"/>
      <c r="G70" s="750"/>
      <c r="H70" s="738">
        <v>3</v>
      </c>
      <c r="I70" s="794">
        <v>31</v>
      </c>
      <c r="J70" s="801">
        <f t="shared" si="3"/>
        <v>93</v>
      </c>
      <c r="K70" s="779"/>
    </row>
    <row r="71" spans="1:12" s="780" customFormat="1" ht="20.2" customHeight="1">
      <c r="A71" s="748"/>
      <c r="B71" s="776"/>
      <c r="C71" s="777" t="s">
        <v>914</v>
      </c>
      <c r="D71" s="796" t="s">
        <v>1035</v>
      </c>
      <c r="E71" s="794" t="s">
        <v>1023</v>
      </c>
      <c r="F71" s="792"/>
      <c r="G71" s="750"/>
      <c r="H71" s="738">
        <v>1</v>
      </c>
      <c r="I71" s="794">
        <v>164</v>
      </c>
      <c r="J71" s="801">
        <f t="shared" si="3"/>
        <v>164</v>
      </c>
      <c r="K71" s="779"/>
    </row>
    <row r="72" spans="1:12" s="780" customFormat="1" ht="20.2" customHeight="1">
      <c r="A72" s="748"/>
      <c r="B72" s="776"/>
      <c r="C72" s="777" t="s">
        <v>296</v>
      </c>
      <c r="D72" s="796" t="s">
        <v>1035</v>
      </c>
      <c r="E72" s="794" t="s">
        <v>140</v>
      </c>
      <c r="F72" s="792"/>
      <c r="G72" s="750"/>
      <c r="H72" s="738">
        <v>1</v>
      </c>
      <c r="I72" s="794">
        <v>46</v>
      </c>
      <c r="J72" s="801">
        <f t="shared" si="3"/>
        <v>46</v>
      </c>
      <c r="K72" s="779"/>
    </row>
    <row r="73" spans="1:12" s="25" customFormat="1" ht="20.2" customHeight="1">
      <c r="A73" s="617"/>
      <c r="B73" s="19"/>
      <c r="C73" s="54" t="s">
        <v>420</v>
      </c>
      <c r="D73" s="796" t="s">
        <v>1035</v>
      </c>
      <c r="E73" s="290" t="s">
        <v>419</v>
      </c>
      <c r="F73" s="292"/>
      <c r="G73" s="292"/>
      <c r="H73" s="716">
        <v>2</v>
      </c>
      <c r="I73" s="289">
        <v>31</v>
      </c>
      <c r="J73" s="289">
        <f t="shared" si="3"/>
        <v>62</v>
      </c>
      <c r="K73" s="31"/>
    </row>
    <row r="74" spans="1:12" s="780" customFormat="1" ht="20.2" customHeight="1">
      <c r="A74" s="748"/>
      <c r="B74" s="776"/>
      <c r="C74" s="777" t="s">
        <v>799</v>
      </c>
      <c r="D74" s="796" t="s">
        <v>882</v>
      </c>
      <c r="E74" s="794" t="s">
        <v>141</v>
      </c>
      <c r="F74" s="792"/>
      <c r="G74" s="750"/>
      <c r="H74" s="738">
        <v>50</v>
      </c>
      <c r="I74" s="794">
        <v>2</v>
      </c>
      <c r="J74" s="801">
        <f t="shared" si="3"/>
        <v>100</v>
      </c>
      <c r="K74" s="779"/>
    </row>
    <row r="75" spans="1:12" s="780" customFormat="1" ht="20.2" customHeight="1">
      <c r="A75" s="748"/>
      <c r="B75" s="776"/>
      <c r="C75" s="777" t="s">
        <v>231</v>
      </c>
      <c r="D75" s="796" t="s">
        <v>882</v>
      </c>
      <c r="E75" s="794" t="s">
        <v>1287</v>
      </c>
      <c r="F75" s="792"/>
      <c r="G75" s="750"/>
      <c r="H75" s="738">
        <v>10</v>
      </c>
      <c r="I75" s="794">
        <v>10</v>
      </c>
      <c r="J75" s="801">
        <f t="shared" si="3"/>
        <v>100</v>
      </c>
      <c r="K75" s="779"/>
    </row>
    <row r="76" spans="1:12" s="780" customFormat="1" ht="20.2" customHeight="1">
      <c r="A76" s="748"/>
      <c r="B76" s="779"/>
      <c r="C76" s="777" t="s">
        <v>1483</v>
      </c>
      <c r="D76" s="796" t="s">
        <v>882</v>
      </c>
      <c r="E76" s="794"/>
      <c r="F76" s="792"/>
      <c r="G76" s="750"/>
      <c r="H76" s="792">
        <v>6</v>
      </c>
      <c r="I76" s="794">
        <v>12</v>
      </c>
      <c r="J76" s="801">
        <f t="shared" si="3"/>
        <v>72</v>
      </c>
      <c r="K76" s="779"/>
    </row>
    <row r="77" spans="1:12" s="780" customFormat="1" ht="20.2" customHeight="1">
      <c r="A77" s="748"/>
      <c r="B77" s="778"/>
      <c r="C77" s="777" t="s">
        <v>2548</v>
      </c>
      <c r="D77" s="750" t="s">
        <v>539</v>
      </c>
      <c r="E77" s="794">
        <v>0.9</v>
      </c>
      <c r="F77" s="792"/>
      <c r="G77" s="750">
        <v>2.1</v>
      </c>
      <c r="H77" s="738">
        <f>ROUND(G77*E77*1/3,2)</f>
        <v>0.63</v>
      </c>
      <c r="I77" s="794">
        <f>G15</f>
        <v>321.685</v>
      </c>
      <c r="J77" s="801">
        <f>ROUND(H77*I77/10,2)</f>
        <v>20.27</v>
      </c>
      <c r="K77" s="779"/>
    </row>
    <row r="78" spans="1:12" s="780" customFormat="1" ht="20.2" customHeight="1">
      <c r="A78" s="748"/>
      <c r="B78" s="778"/>
      <c r="C78" s="777" t="s">
        <v>230</v>
      </c>
      <c r="D78" s="750"/>
      <c r="E78" s="794"/>
      <c r="F78" s="792"/>
      <c r="G78" s="750"/>
      <c r="H78" s="738">
        <v>1</v>
      </c>
      <c r="I78" s="794">
        <v>75</v>
      </c>
      <c r="J78" s="801">
        <f>ROUND(H78*I78,2)</f>
        <v>75</v>
      </c>
      <c r="K78" s="779"/>
    </row>
    <row r="79" spans="1:12" ht="20.2" customHeight="1">
      <c r="A79" s="748"/>
      <c r="B79" s="769"/>
      <c r="D79" s="750"/>
      <c r="E79" s="794"/>
      <c r="F79" s="792"/>
      <c r="G79" s="750"/>
      <c r="H79" s="792"/>
      <c r="I79" s="794"/>
      <c r="J79" s="801">
        <f>SUM(J63:J78)</f>
        <v>5465.59</v>
      </c>
      <c r="K79" s="763"/>
    </row>
    <row r="80" spans="1:12" s="757" customFormat="1" ht="20.2" customHeight="1">
      <c r="A80" s="748"/>
      <c r="B80" s="773"/>
      <c r="C80" s="749" t="s">
        <v>1228</v>
      </c>
      <c r="D80" s="750"/>
      <c r="E80" s="793"/>
      <c r="F80" s="791"/>
      <c r="G80" s="750"/>
      <c r="H80" s="791">
        <f>J79</f>
        <v>5465.59</v>
      </c>
      <c r="I80" s="793">
        <f>I6</f>
        <v>0</v>
      </c>
      <c r="J80" s="801">
        <f>ROUND(H80*I80,2)</f>
        <v>0</v>
      </c>
      <c r="K80" s="774"/>
    </row>
    <row r="81" spans="1:11" s="757" customFormat="1" ht="20.2" customHeight="1">
      <c r="A81" s="748"/>
      <c r="B81" s="773"/>
      <c r="C81" s="755" t="s">
        <v>256</v>
      </c>
      <c r="D81" s="750"/>
      <c r="E81" s="793"/>
      <c r="F81" s="791"/>
      <c r="G81" s="750"/>
      <c r="H81" s="791"/>
      <c r="I81" s="793"/>
      <c r="J81" s="802">
        <f>SUM(J79:J80)</f>
        <v>5465.59</v>
      </c>
      <c r="K81" s="774"/>
    </row>
    <row r="82" spans="1:11">
      <c r="A82" s="748"/>
      <c r="B82" s="769"/>
      <c r="C82" s="755" t="s">
        <v>1291</v>
      </c>
      <c r="D82" s="750"/>
      <c r="E82" s="793"/>
      <c r="F82" s="791"/>
      <c r="G82" s="750"/>
      <c r="H82" s="791"/>
      <c r="I82" s="793"/>
      <c r="J82" s="751"/>
      <c r="K82" s="763"/>
    </row>
    <row r="83" spans="1:11">
      <c r="A83" s="748"/>
      <c r="B83" s="769"/>
      <c r="C83" s="749" t="s">
        <v>779</v>
      </c>
      <c r="D83" s="750"/>
      <c r="E83" s="794"/>
      <c r="F83" s="792"/>
      <c r="G83" s="750"/>
      <c r="H83" s="792"/>
      <c r="I83" s="794"/>
      <c r="J83" s="751"/>
      <c r="K83" s="763"/>
    </row>
    <row r="84" spans="1:11" ht="20.2" customHeight="1">
      <c r="A84" s="748"/>
      <c r="B84" s="769"/>
      <c r="C84" s="749" t="s">
        <v>780</v>
      </c>
      <c r="D84" s="750">
        <v>2</v>
      </c>
      <c r="E84" s="794">
        <v>2.1</v>
      </c>
      <c r="F84" s="792">
        <v>0.1</v>
      </c>
      <c r="G84" s="750">
        <v>7.4999999999999997E-2</v>
      </c>
      <c r="H84" s="792">
        <f>ROUND(D84*E84*F84*G84,3)</f>
        <v>3.2000000000000001E-2</v>
      </c>
      <c r="I84" s="794">
        <v>25497.19</v>
      </c>
      <c r="J84" s="801">
        <f>ROUND(H84*I84,2)</f>
        <v>815.91</v>
      </c>
      <c r="K84" s="763"/>
    </row>
    <row r="85" spans="1:11" ht="20.2" customHeight="1">
      <c r="A85" s="748"/>
      <c r="B85" s="769"/>
      <c r="C85" s="749" t="s">
        <v>781</v>
      </c>
      <c r="D85" s="750">
        <v>1</v>
      </c>
      <c r="E85" s="794">
        <v>1.05</v>
      </c>
      <c r="F85" s="792">
        <v>0.1</v>
      </c>
      <c r="G85" s="750">
        <v>7.4999999999999997E-2</v>
      </c>
      <c r="H85" s="792">
        <f>ROUND(D85*E85*F85*G85,3)</f>
        <v>8.0000000000000002E-3</v>
      </c>
      <c r="I85" s="794">
        <v>25497.19</v>
      </c>
      <c r="J85" s="801">
        <f>ROUND(H85*I85,2)</f>
        <v>203.98</v>
      </c>
      <c r="K85" s="763"/>
    </row>
    <row r="86" spans="1:11" ht="20.2" customHeight="1">
      <c r="A86" s="748"/>
      <c r="B86" s="769"/>
      <c r="C86" s="749" t="s">
        <v>1482</v>
      </c>
      <c r="D86" s="750">
        <v>1</v>
      </c>
      <c r="E86" s="794"/>
      <c r="F86" s="792"/>
      <c r="G86" s="750"/>
      <c r="H86" s="792">
        <f>SUM(H84:H85)</f>
        <v>0.04</v>
      </c>
      <c r="I86" s="794">
        <f>G25</f>
        <v>17360</v>
      </c>
      <c r="J86" s="801">
        <f>ROUND(H86*I86,2)</f>
        <v>694.4</v>
      </c>
      <c r="K86" s="763"/>
    </row>
    <row r="87" spans="1:11" ht="24.6">
      <c r="A87" s="748"/>
      <c r="B87" s="759"/>
      <c r="C87" s="749" t="s">
        <v>788</v>
      </c>
      <c r="D87" s="750"/>
      <c r="E87" s="794"/>
      <c r="F87" s="792"/>
      <c r="G87" s="750"/>
      <c r="H87" s="792"/>
      <c r="I87" s="794"/>
      <c r="J87" s="801"/>
      <c r="K87" s="763"/>
    </row>
    <row r="88" spans="1:11" ht="20.2" customHeight="1">
      <c r="A88" s="748"/>
      <c r="B88" s="772"/>
      <c r="C88" s="749" t="s">
        <v>1483</v>
      </c>
      <c r="D88" s="750"/>
      <c r="E88" s="794"/>
      <c r="F88" s="792"/>
      <c r="G88" s="750"/>
      <c r="H88" s="738">
        <v>6</v>
      </c>
      <c r="I88" s="794">
        <v>12</v>
      </c>
      <c r="J88" s="801">
        <f>ROUND(H88*I88,2)</f>
        <v>72</v>
      </c>
      <c r="K88" s="763"/>
    </row>
    <row r="89" spans="1:11" ht="20.2" customHeight="1">
      <c r="A89" s="748"/>
      <c r="B89" s="769"/>
      <c r="C89" s="749" t="s">
        <v>1484</v>
      </c>
      <c r="D89" s="750" t="s">
        <v>539</v>
      </c>
      <c r="E89" s="794">
        <v>0.9</v>
      </c>
      <c r="F89" s="792"/>
      <c r="G89" s="750">
        <v>2.1</v>
      </c>
      <c r="H89" s="738">
        <f>ROUND(G89*E89*2.25/3,2)</f>
        <v>1.42</v>
      </c>
      <c r="I89" s="794">
        <f>G15</f>
        <v>321.685</v>
      </c>
      <c r="J89" s="801">
        <f>ROUND(H89*I89/10,2)</f>
        <v>45.68</v>
      </c>
      <c r="K89" s="763"/>
    </row>
    <row r="90" spans="1:11" ht="20.2" customHeight="1">
      <c r="A90" s="748"/>
      <c r="B90" s="769"/>
      <c r="C90" s="749" t="s">
        <v>230</v>
      </c>
      <c r="D90" s="750"/>
      <c r="E90" s="794"/>
      <c r="F90" s="792"/>
      <c r="G90" s="750"/>
      <c r="H90" s="792">
        <v>1</v>
      </c>
      <c r="I90" s="794">
        <v>50</v>
      </c>
      <c r="J90" s="801">
        <f>ROUND(H90*I90,2)</f>
        <v>50</v>
      </c>
      <c r="K90" s="763"/>
    </row>
    <row r="91" spans="1:11" ht="20.2" customHeight="1">
      <c r="A91" s="748"/>
      <c r="B91" s="769"/>
      <c r="D91" s="750"/>
      <c r="E91" s="793"/>
      <c r="F91" s="791"/>
      <c r="G91" s="750"/>
      <c r="H91" s="791"/>
      <c r="I91" s="793"/>
      <c r="J91" s="801">
        <f>SUM(J84:J90)</f>
        <v>1881.97</v>
      </c>
      <c r="K91" s="763"/>
    </row>
    <row r="92" spans="1:11" s="757" customFormat="1" ht="20.2" customHeight="1">
      <c r="A92" s="748"/>
      <c r="B92" s="773"/>
      <c r="C92" s="749" t="s">
        <v>1228</v>
      </c>
      <c r="D92" s="750"/>
      <c r="E92" s="793"/>
      <c r="F92" s="791"/>
      <c r="G92" s="750"/>
      <c r="H92" s="791">
        <f>J91</f>
        <v>1881.97</v>
      </c>
      <c r="I92" s="793">
        <f>I6</f>
        <v>0</v>
      </c>
      <c r="J92" s="775">
        <f>ROUND(H92*I92,2)</f>
        <v>0</v>
      </c>
      <c r="K92" s="774"/>
    </row>
    <row r="93" spans="1:11" s="757" customFormat="1" ht="20.2" customHeight="1">
      <c r="A93" s="748"/>
      <c r="B93" s="773"/>
      <c r="C93" s="755" t="s">
        <v>1292</v>
      </c>
      <c r="D93" s="750"/>
      <c r="E93" s="793"/>
      <c r="F93" s="791"/>
      <c r="G93" s="750"/>
      <c r="H93" s="791"/>
      <c r="I93" s="793"/>
      <c r="J93" s="786">
        <f>SUM(J91:J92)</f>
        <v>1881.97</v>
      </c>
      <c r="K93" s="774"/>
    </row>
    <row r="94" spans="1:11" s="757" customFormat="1" ht="20.2" customHeight="1">
      <c r="A94" s="748"/>
      <c r="B94" s="773"/>
      <c r="C94" s="755" t="s">
        <v>1293</v>
      </c>
      <c r="D94" s="796"/>
      <c r="E94" s="794"/>
      <c r="F94" s="792"/>
      <c r="G94" s="750"/>
      <c r="H94" s="792"/>
      <c r="I94" s="794"/>
      <c r="J94" s="803">
        <f>J81-J93</f>
        <v>3583.62</v>
      </c>
      <c r="K94" s="774"/>
    </row>
    <row r="95" spans="1:11" ht="246">
      <c r="A95" s="748"/>
      <c r="B95" s="765">
        <v>4</v>
      </c>
      <c r="C95" s="755" t="s">
        <v>2553</v>
      </c>
      <c r="D95" s="750"/>
      <c r="E95" s="769"/>
      <c r="F95" s="771"/>
      <c r="G95" s="750"/>
      <c r="H95" s="761"/>
      <c r="I95" s="760"/>
      <c r="J95" s="751"/>
      <c r="K95" s="763"/>
    </row>
    <row r="96" spans="1:11">
      <c r="A96" s="748"/>
      <c r="B96" s="769"/>
      <c r="C96" s="755" t="s">
        <v>793</v>
      </c>
      <c r="D96" s="750"/>
      <c r="E96" s="766"/>
      <c r="F96" s="771"/>
      <c r="G96" s="750"/>
      <c r="H96" s="761"/>
      <c r="I96" s="760"/>
      <c r="J96" s="751"/>
      <c r="K96" s="763"/>
    </row>
    <row r="97" spans="1:12">
      <c r="A97" s="748"/>
      <c r="B97" s="769"/>
      <c r="C97" s="749" t="s">
        <v>779</v>
      </c>
      <c r="D97" s="750"/>
      <c r="E97" s="769"/>
      <c r="F97" s="771"/>
      <c r="G97" s="750"/>
      <c r="H97" s="761"/>
      <c r="I97" s="760"/>
      <c r="J97" s="751"/>
      <c r="K97" s="763"/>
    </row>
    <row r="98" spans="1:12" ht="20.2" customHeight="1">
      <c r="A98" s="748"/>
      <c r="B98" s="769"/>
      <c r="C98" s="749" t="s">
        <v>780</v>
      </c>
      <c r="D98" s="796">
        <v>2</v>
      </c>
      <c r="E98" s="794">
        <v>2.1</v>
      </c>
      <c r="F98" s="792">
        <v>0.1</v>
      </c>
      <c r="G98" s="750">
        <v>7.4999999999999997E-2</v>
      </c>
      <c r="H98" s="792">
        <f>ROUND(D98*E98*F98*G98,3)</f>
        <v>3.2000000000000001E-2</v>
      </c>
      <c r="I98" s="794">
        <v>25497.19</v>
      </c>
      <c r="J98" s="801">
        <f>ROUND(H98*I98,2)</f>
        <v>815.91</v>
      </c>
      <c r="K98" s="763"/>
    </row>
    <row r="99" spans="1:12" ht="20.2" customHeight="1">
      <c r="A99" s="748"/>
      <c r="B99" s="769"/>
      <c r="C99" s="749" t="s">
        <v>781</v>
      </c>
      <c r="D99" s="796">
        <v>1</v>
      </c>
      <c r="E99" s="794">
        <v>1.2</v>
      </c>
      <c r="F99" s="792">
        <v>0.1</v>
      </c>
      <c r="G99" s="750">
        <v>7.4999999999999997E-2</v>
      </c>
      <c r="H99" s="792">
        <f>ROUND(D99*E99*F99*G99,3)</f>
        <v>8.9999999999999993E-3</v>
      </c>
      <c r="I99" s="794">
        <v>25497.19</v>
      </c>
      <c r="J99" s="801">
        <f>ROUND(H99*I99,2)</f>
        <v>229.47</v>
      </c>
      <c r="K99" s="763"/>
    </row>
    <row r="100" spans="1:12" ht="20.2" customHeight="1">
      <c r="A100" s="748"/>
      <c r="B100" s="769"/>
      <c r="C100" s="749" t="s">
        <v>1482</v>
      </c>
      <c r="D100" s="796">
        <v>1</v>
      </c>
      <c r="E100" s="794"/>
      <c r="F100" s="794"/>
      <c r="G100" s="792"/>
      <c r="H100" s="800">
        <f>SUM(H98:H99)</f>
        <v>4.1000000000000002E-2</v>
      </c>
      <c r="I100" s="798">
        <f>G25</f>
        <v>17360</v>
      </c>
      <c r="J100" s="801">
        <f>ROUND(H100*I100,2)</f>
        <v>711.76</v>
      </c>
      <c r="K100" s="763"/>
    </row>
    <row r="101" spans="1:12" ht="75" customHeight="1">
      <c r="A101" s="748" t="s">
        <v>2554</v>
      </c>
      <c r="B101" s="769"/>
      <c r="C101" s="755" t="s">
        <v>2551</v>
      </c>
      <c r="D101" s="796"/>
      <c r="E101" s="794">
        <f>(2.1-1*0.075-0.075)+1*0.015</f>
        <v>1.9649999999999999</v>
      </c>
      <c r="F101" s="792">
        <f>(1.05-2*0.075+2*0.015)</f>
        <v>0.93</v>
      </c>
      <c r="G101" s="750">
        <v>1.827</v>
      </c>
      <c r="H101" s="792"/>
      <c r="I101" s="794">
        <v>1630</v>
      </c>
      <c r="J101" s="801">
        <f>ROUND(G101*I101,2)</f>
        <v>2978.01</v>
      </c>
      <c r="K101" s="763"/>
      <c r="L101" s="770"/>
    </row>
    <row r="102" spans="1:12" ht="30" customHeight="1">
      <c r="A102" s="748"/>
      <c r="B102" s="769"/>
      <c r="C102" s="749" t="s">
        <v>18</v>
      </c>
      <c r="D102" s="796">
        <v>1</v>
      </c>
      <c r="E102" s="794">
        <f>(2.1-1*0.075-0.075)+1*0.015</f>
        <v>1.9649999999999999</v>
      </c>
      <c r="F102" s="794">
        <f>(1.05-2*0.075+2*0.015)</f>
        <v>0.93</v>
      </c>
      <c r="G102" s="792">
        <v>1.827</v>
      </c>
      <c r="H102" s="733"/>
      <c r="I102" s="794">
        <v>295</v>
      </c>
      <c r="J102" s="801">
        <f>ROUND(G102*I102,2)</f>
        <v>538.97</v>
      </c>
      <c r="K102" s="761"/>
      <c r="L102" s="761"/>
    </row>
    <row r="103" spans="1:12" ht="24.6">
      <c r="A103" s="748"/>
      <c r="B103" s="759"/>
      <c r="C103" s="749" t="s">
        <v>788</v>
      </c>
      <c r="D103" s="796"/>
      <c r="E103" s="794"/>
      <c r="F103" s="792"/>
      <c r="G103" s="750"/>
      <c r="H103" s="797"/>
      <c r="I103" s="794"/>
      <c r="J103" s="801"/>
      <c r="K103" s="763"/>
    </row>
    <row r="104" spans="1:12" ht="20.2" customHeight="1">
      <c r="A104" s="748"/>
      <c r="B104" s="759"/>
      <c r="C104" s="777" t="s">
        <v>911</v>
      </c>
      <c r="D104" s="796" t="s">
        <v>1035</v>
      </c>
      <c r="E104" s="794" t="s">
        <v>1019</v>
      </c>
      <c r="F104" s="792"/>
      <c r="G104" s="750"/>
      <c r="H104" s="738">
        <v>1</v>
      </c>
      <c r="I104" s="794">
        <v>68</v>
      </c>
      <c r="J104" s="801">
        <f t="shared" ref="J104:J111" si="4">ROUND(H104*I104,2)</f>
        <v>68</v>
      </c>
      <c r="K104" s="763"/>
    </row>
    <row r="105" spans="1:12" ht="20.2" customHeight="1">
      <c r="A105" s="748"/>
      <c r="B105" s="759"/>
      <c r="C105" s="777" t="s">
        <v>913</v>
      </c>
      <c r="D105" s="796" t="s">
        <v>1035</v>
      </c>
      <c r="E105" s="794" t="s">
        <v>1022</v>
      </c>
      <c r="F105" s="792"/>
      <c r="G105" s="750"/>
      <c r="H105" s="738">
        <v>3</v>
      </c>
      <c r="I105" s="794">
        <v>31</v>
      </c>
      <c r="J105" s="801">
        <f t="shared" si="4"/>
        <v>93</v>
      </c>
      <c r="K105" s="763"/>
    </row>
    <row r="106" spans="1:12" ht="20.2" customHeight="1">
      <c r="A106" s="748"/>
      <c r="B106" s="759"/>
      <c r="C106" s="777" t="s">
        <v>914</v>
      </c>
      <c r="D106" s="796" t="s">
        <v>1035</v>
      </c>
      <c r="E106" s="794" t="s">
        <v>1023</v>
      </c>
      <c r="F106" s="792"/>
      <c r="G106" s="750"/>
      <c r="H106" s="738">
        <v>1</v>
      </c>
      <c r="I106" s="794">
        <v>164</v>
      </c>
      <c r="J106" s="801">
        <f t="shared" si="4"/>
        <v>164</v>
      </c>
      <c r="K106" s="763"/>
    </row>
    <row r="107" spans="1:12" ht="20.2" customHeight="1">
      <c r="A107" s="748"/>
      <c r="B107" s="759"/>
      <c r="C107" s="777" t="s">
        <v>296</v>
      </c>
      <c r="D107" s="796" t="s">
        <v>1035</v>
      </c>
      <c r="E107" s="794" t="s">
        <v>140</v>
      </c>
      <c r="F107" s="792"/>
      <c r="G107" s="750"/>
      <c r="H107" s="738">
        <v>1</v>
      </c>
      <c r="I107" s="794">
        <v>46</v>
      </c>
      <c r="J107" s="801">
        <f t="shared" si="4"/>
        <v>46</v>
      </c>
      <c r="K107" s="763"/>
    </row>
    <row r="108" spans="1:12" s="25" customFormat="1" ht="20.2" customHeight="1">
      <c r="A108" s="617"/>
      <c r="B108" s="19"/>
      <c r="C108" s="54" t="s">
        <v>420</v>
      </c>
      <c r="D108" s="26"/>
      <c r="E108" s="290" t="s">
        <v>419</v>
      </c>
      <c r="F108" s="292"/>
      <c r="G108" s="292"/>
      <c r="H108" s="716">
        <v>2</v>
      </c>
      <c r="I108" s="289">
        <v>31</v>
      </c>
      <c r="J108" s="289">
        <f t="shared" si="4"/>
        <v>62</v>
      </c>
      <c r="K108" s="31"/>
    </row>
    <row r="109" spans="1:12" ht="20.2" customHeight="1">
      <c r="A109" s="748"/>
      <c r="B109" s="759"/>
      <c r="C109" s="777" t="s">
        <v>799</v>
      </c>
      <c r="D109" s="796" t="s">
        <v>882</v>
      </c>
      <c r="E109" s="794" t="s">
        <v>141</v>
      </c>
      <c r="F109" s="792"/>
      <c r="G109" s="750"/>
      <c r="H109" s="738">
        <v>50</v>
      </c>
      <c r="I109" s="794">
        <v>2</v>
      </c>
      <c r="J109" s="801">
        <f t="shared" si="4"/>
        <v>100</v>
      </c>
      <c r="K109" s="763"/>
    </row>
    <row r="110" spans="1:12" ht="20.2" customHeight="1">
      <c r="A110" s="748"/>
      <c r="B110" s="759"/>
      <c r="C110" s="777" t="s">
        <v>231</v>
      </c>
      <c r="D110" s="796" t="s">
        <v>882</v>
      </c>
      <c r="E110" s="794" t="s">
        <v>1287</v>
      </c>
      <c r="F110" s="792"/>
      <c r="G110" s="750"/>
      <c r="H110" s="738">
        <v>10</v>
      </c>
      <c r="I110" s="794">
        <v>10</v>
      </c>
      <c r="J110" s="801">
        <f t="shared" si="4"/>
        <v>100</v>
      </c>
      <c r="K110" s="763"/>
    </row>
    <row r="111" spans="1:12" ht="20.2" customHeight="1">
      <c r="A111" s="748"/>
      <c r="B111" s="772"/>
      <c r="C111" s="777" t="s">
        <v>1483</v>
      </c>
      <c r="D111" s="796" t="s">
        <v>882</v>
      </c>
      <c r="E111" s="794"/>
      <c r="F111" s="792"/>
      <c r="G111" s="750"/>
      <c r="H111" s="792">
        <v>6</v>
      </c>
      <c r="I111" s="794">
        <v>12</v>
      </c>
      <c r="J111" s="801">
        <f t="shared" si="4"/>
        <v>72</v>
      </c>
      <c r="K111" s="763"/>
    </row>
    <row r="112" spans="1:12" ht="20.2" customHeight="1">
      <c r="A112" s="748"/>
      <c r="B112" s="769"/>
      <c r="C112" s="749" t="s">
        <v>1484</v>
      </c>
      <c r="D112" s="750">
        <v>2.25</v>
      </c>
      <c r="E112" s="794">
        <v>1.05</v>
      </c>
      <c r="F112" s="792"/>
      <c r="G112" s="750">
        <v>2.1</v>
      </c>
      <c r="H112" s="738">
        <f>ROUND(G112*E112*D112/3,2)</f>
        <v>1.65</v>
      </c>
      <c r="I112" s="794">
        <f>G15</f>
        <v>321.685</v>
      </c>
      <c r="J112" s="801">
        <f>ROUND(H112*I112/10,2)</f>
        <v>53.08</v>
      </c>
      <c r="K112" s="763"/>
    </row>
    <row r="113" spans="1:11" ht="20.2" customHeight="1">
      <c r="A113" s="748"/>
      <c r="B113" s="769"/>
      <c r="C113" s="749" t="s">
        <v>230</v>
      </c>
      <c r="D113" s="750"/>
      <c r="E113" s="794"/>
      <c r="F113" s="792"/>
      <c r="G113" s="750"/>
      <c r="H113" s="738">
        <v>1</v>
      </c>
      <c r="I113" s="794">
        <v>75</v>
      </c>
      <c r="J113" s="801">
        <f>ROUND(H113*I113,2)</f>
        <v>75</v>
      </c>
      <c r="K113" s="763"/>
    </row>
    <row r="114" spans="1:11" ht="20.2" customHeight="1">
      <c r="A114" s="748"/>
      <c r="B114" s="769"/>
      <c r="D114" s="750"/>
      <c r="E114" s="794"/>
      <c r="F114" s="792"/>
      <c r="G114" s="750"/>
      <c r="H114" s="792"/>
      <c r="I114" s="794"/>
      <c r="J114" s="801">
        <f>SUM(J98:J113)</f>
        <v>6107.2</v>
      </c>
      <c r="K114" s="763"/>
    </row>
    <row r="115" spans="1:11" s="757" customFormat="1" ht="20.2" customHeight="1">
      <c r="A115" s="748"/>
      <c r="B115" s="773"/>
      <c r="C115" s="749" t="s">
        <v>1228</v>
      </c>
      <c r="D115" s="750"/>
      <c r="E115" s="793"/>
      <c r="F115" s="791"/>
      <c r="G115" s="750"/>
      <c r="H115" s="791">
        <f>J114</f>
        <v>6107.2</v>
      </c>
      <c r="I115" s="793">
        <f>'Lead- Input sheet '!Q32</f>
        <v>0</v>
      </c>
      <c r="J115" s="801">
        <f>ROUND(H115*I115,2)</f>
        <v>0</v>
      </c>
      <c r="K115" s="774"/>
    </row>
    <row r="116" spans="1:11" s="757" customFormat="1" ht="20.2" customHeight="1">
      <c r="A116" s="748"/>
      <c r="B116" s="773"/>
      <c r="C116" s="755" t="s">
        <v>256</v>
      </c>
      <c r="D116" s="750"/>
      <c r="E116" s="793"/>
      <c r="F116" s="791"/>
      <c r="G116" s="750"/>
      <c r="H116" s="791"/>
      <c r="I116" s="793"/>
      <c r="J116" s="802">
        <f>SUM(J114:J115)</f>
        <v>6107.2</v>
      </c>
      <c r="K116" s="774"/>
    </row>
    <row r="117" spans="1:11">
      <c r="A117" s="748"/>
      <c r="B117" s="769"/>
      <c r="C117" s="755" t="s">
        <v>1294</v>
      </c>
      <c r="D117" s="750"/>
      <c r="E117" s="793"/>
      <c r="F117" s="791"/>
      <c r="G117" s="750"/>
      <c r="H117" s="791"/>
      <c r="I117" s="793"/>
      <c r="J117" s="751"/>
      <c r="K117" s="763"/>
    </row>
    <row r="118" spans="1:11">
      <c r="A118" s="748"/>
      <c r="B118" s="769"/>
      <c r="C118" s="749" t="s">
        <v>779</v>
      </c>
      <c r="D118" s="750"/>
      <c r="E118" s="794"/>
      <c r="F118" s="792"/>
      <c r="G118" s="750"/>
      <c r="H118" s="792"/>
      <c r="I118" s="794"/>
      <c r="J118" s="751"/>
      <c r="K118" s="763"/>
    </row>
    <row r="119" spans="1:11" ht="20.2" customHeight="1">
      <c r="A119" s="748"/>
      <c r="B119" s="769"/>
      <c r="C119" s="749" t="s">
        <v>780</v>
      </c>
      <c r="D119" s="750">
        <v>2</v>
      </c>
      <c r="E119" s="794">
        <v>2.1</v>
      </c>
      <c r="F119" s="792">
        <v>0.1</v>
      </c>
      <c r="G119" s="750">
        <v>7.4999999999999997E-2</v>
      </c>
      <c r="H119" s="792">
        <f>ROUND(D119*E119*F119*G119,3)</f>
        <v>3.2000000000000001E-2</v>
      </c>
      <c r="I119" s="794">
        <v>25497.19</v>
      </c>
      <c r="J119" s="801">
        <f>ROUND(H119*I119,2)</f>
        <v>815.91</v>
      </c>
      <c r="K119" s="763"/>
    </row>
    <row r="120" spans="1:11" ht="20.2" customHeight="1">
      <c r="A120" s="748"/>
      <c r="B120" s="769"/>
      <c r="C120" s="749" t="s">
        <v>781</v>
      </c>
      <c r="D120" s="750">
        <v>1</v>
      </c>
      <c r="E120" s="794">
        <v>1.2</v>
      </c>
      <c r="F120" s="792">
        <v>0.1</v>
      </c>
      <c r="G120" s="750">
        <v>7.4999999999999997E-2</v>
      </c>
      <c r="H120" s="792">
        <f>ROUND(D120*E120*F120*G120,3)</f>
        <v>8.9999999999999993E-3</v>
      </c>
      <c r="I120" s="794">
        <v>25497.19</v>
      </c>
      <c r="J120" s="801">
        <f>ROUND(H120*I120,2)</f>
        <v>229.47</v>
      </c>
      <c r="K120" s="763"/>
    </row>
    <row r="121" spans="1:11" ht="20.2" customHeight="1">
      <c r="A121" s="748"/>
      <c r="B121" s="769"/>
      <c r="C121" s="749" t="s">
        <v>1482</v>
      </c>
      <c r="D121" s="750">
        <v>1</v>
      </c>
      <c r="E121" s="794"/>
      <c r="F121" s="792"/>
      <c r="G121" s="750"/>
      <c r="H121" s="792">
        <f>SUM(H119:H120)</f>
        <v>4.1000000000000002E-2</v>
      </c>
      <c r="I121" s="794">
        <f>G25</f>
        <v>17360</v>
      </c>
      <c r="J121" s="801">
        <f>ROUND(H121*I121,2)</f>
        <v>711.76</v>
      </c>
      <c r="K121" s="763"/>
    </row>
    <row r="122" spans="1:11" ht="20.2" customHeight="1">
      <c r="A122" s="748"/>
      <c r="B122" s="769"/>
      <c r="C122" s="749" t="s">
        <v>1484</v>
      </c>
      <c r="D122" s="750" t="s">
        <v>539</v>
      </c>
      <c r="E122" s="794">
        <v>1.05</v>
      </c>
      <c r="F122" s="792"/>
      <c r="G122" s="750">
        <v>2.1</v>
      </c>
      <c r="H122" s="792">
        <f>ROUND(G122*E122*2.25/3,2)</f>
        <v>1.65</v>
      </c>
      <c r="I122" s="794">
        <f>G15</f>
        <v>321.685</v>
      </c>
      <c r="J122" s="801">
        <f>ROUND(H122*I122/10,2)</f>
        <v>53.08</v>
      </c>
      <c r="K122" s="763"/>
    </row>
    <row r="123" spans="1:11" ht="20.2" customHeight="1">
      <c r="A123" s="748"/>
      <c r="B123" s="772"/>
      <c r="C123" s="749" t="s">
        <v>1483</v>
      </c>
      <c r="D123" s="750"/>
      <c r="E123" s="794"/>
      <c r="F123" s="792"/>
      <c r="G123" s="750"/>
      <c r="H123" s="738">
        <v>6</v>
      </c>
      <c r="I123" s="794">
        <v>12</v>
      </c>
      <c r="J123" s="801">
        <f>ROUND(H123*I123,2)</f>
        <v>72</v>
      </c>
      <c r="K123" s="763"/>
    </row>
    <row r="124" spans="1:11" ht="20.2" customHeight="1">
      <c r="A124" s="748"/>
      <c r="B124" s="769"/>
      <c r="D124" s="750"/>
      <c r="E124" s="794"/>
      <c r="F124" s="792"/>
      <c r="G124" s="750"/>
      <c r="H124" s="738">
        <v>1</v>
      </c>
      <c r="I124" s="794">
        <v>50</v>
      </c>
      <c r="J124" s="801">
        <f>ROUND(H124*I124,2)</f>
        <v>50</v>
      </c>
      <c r="K124" s="763"/>
    </row>
    <row r="125" spans="1:11" s="757" customFormat="1" ht="20.2" customHeight="1">
      <c r="A125" s="748"/>
      <c r="B125" s="773"/>
      <c r="D125" s="750"/>
      <c r="E125" s="794"/>
      <c r="F125" s="792"/>
      <c r="G125" s="750"/>
      <c r="H125" s="792"/>
      <c r="I125" s="794"/>
      <c r="J125" s="801">
        <f>SUM(J119:J124)</f>
        <v>1932.2199999999998</v>
      </c>
      <c r="K125" s="774"/>
    </row>
    <row r="126" spans="1:11" s="757" customFormat="1" ht="20.2" customHeight="1">
      <c r="A126" s="748"/>
      <c r="C126" s="749" t="s">
        <v>1228</v>
      </c>
      <c r="D126" s="750"/>
      <c r="E126" s="793"/>
      <c r="F126" s="791"/>
      <c r="G126" s="750"/>
      <c r="H126" s="791">
        <f>J125</f>
        <v>1932.2199999999998</v>
      </c>
      <c r="I126" s="793">
        <f>'Lead- Input sheet '!Q32</f>
        <v>0</v>
      </c>
      <c r="J126" s="801">
        <f>ROUND(H126*I126,2)</f>
        <v>0</v>
      </c>
      <c r="K126" s="774"/>
    </row>
    <row r="127" spans="1:11" s="757" customFormat="1" ht="20.2" customHeight="1">
      <c r="A127" s="748"/>
      <c r="B127" s="773"/>
      <c r="C127" s="755" t="s">
        <v>1295</v>
      </c>
      <c r="D127" s="750"/>
      <c r="E127" s="793"/>
      <c r="F127" s="791"/>
      <c r="G127" s="750"/>
      <c r="H127" s="791"/>
      <c r="I127" s="793"/>
      <c r="J127" s="786">
        <f>SUM(J125:J126)</f>
        <v>1932.2199999999998</v>
      </c>
      <c r="K127" s="774"/>
    </row>
    <row r="128" spans="1:11">
      <c r="A128" s="748"/>
      <c r="B128" s="773"/>
      <c r="C128" s="755" t="s">
        <v>1296</v>
      </c>
      <c r="D128" s="750"/>
      <c r="E128" s="793"/>
      <c r="F128" s="791"/>
      <c r="G128" s="750"/>
      <c r="H128" s="791"/>
      <c r="I128" s="793"/>
      <c r="J128" s="786">
        <f>J116-J127</f>
        <v>4174.9799999999996</v>
      </c>
    </row>
    <row r="129" spans="1:10">
      <c r="A129" s="748"/>
      <c r="D129" s="750"/>
      <c r="G129" s="750"/>
      <c r="J129" s="751"/>
    </row>
    <row r="130" spans="1:10">
      <c r="A130" s="748"/>
      <c r="D130" s="750"/>
      <c r="G130" s="750"/>
      <c r="J130" s="751"/>
    </row>
    <row r="131" spans="1:10">
      <c r="A131" s="748"/>
      <c r="C131" s="749" t="str">
        <f>'Lead- Input sheet '!B44</f>
        <v xml:space="preserve">  Assistant Exc.Engineer  </v>
      </c>
      <c r="D131" s="750"/>
      <c r="G131" s="750"/>
      <c r="J131" s="751"/>
    </row>
    <row r="132" spans="1:10">
      <c r="A132" s="748"/>
      <c r="C132" s="749" t="str">
        <f>'Lead- Input sheet '!B45</f>
        <v>PR MPP Kalwakurthy</v>
      </c>
      <c r="D132" s="750"/>
      <c r="G132" s="750"/>
      <c r="J132" s="751"/>
    </row>
    <row r="133" spans="1:10">
      <c r="A133" s="748"/>
      <c r="D133" s="750"/>
      <c r="G133" s="750"/>
      <c r="J133" s="751"/>
    </row>
    <row r="134" spans="1:10">
      <c r="A134" s="748"/>
      <c r="D134" s="750"/>
      <c r="G134" s="750"/>
      <c r="J134" s="751"/>
    </row>
    <row r="135" spans="1:10">
      <c r="A135" s="748"/>
      <c r="D135" s="750"/>
      <c r="G135" s="750"/>
      <c r="J135" s="751"/>
    </row>
    <row r="136" spans="1:10">
      <c r="A136" s="748"/>
      <c r="D136" s="750"/>
      <c r="G136" s="750"/>
      <c r="J136" s="751"/>
    </row>
    <row r="137" spans="1:10">
      <c r="A137" s="748"/>
      <c r="D137" s="750"/>
      <c r="G137" s="750"/>
      <c r="J137" s="751"/>
    </row>
    <row r="138" spans="1:10">
      <c r="A138" s="748"/>
      <c r="D138" s="750"/>
      <c r="G138" s="750"/>
      <c r="J138" s="751"/>
    </row>
    <row r="139" spans="1:10">
      <c r="A139" s="748"/>
      <c r="D139" s="750"/>
      <c r="G139" s="750"/>
      <c r="J139" s="751"/>
    </row>
    <row r="140" spans="1:10">
      <c r="A140" s="748"/>
      <c r="D140" s="750"/>
      <c r="G140" s="750"/>
      <c r="J140" s="751"/>
    </row>
    <row r="141" spans="1:10">
      <c r="A141" s="748"/>
      <c r="D141" s="750"/>
      <c r="G141" s="750"/>
      <c r="J141" s="751"/>
    </row>
    <row r="142" spans="1:10">
      <c r="A142" s="748"/>
      <c r="D142" s="750"/>
      <c r="G142" s="750"/>
      <c r="J142" s="751"/>
    </row>
    <row r="143" spans="1:10">
      <c r="A143" s="748"/>
      <c r="D143" s="750"/>
      <c r="G143" s="750"/>
      <c r="J143" s="751"/>
    </row>
    <row r="144" spans="1:10">
      <c r="A144" s="748"/>
      <c r="D144" s="750"/>
      <c r="G144" s="750"/>
      <c r="J144" s="751"/>
    </row>
    <row r="145" spans="1:10">
      <c r="A145" s="748"/>
      <c r="D145" s="750"/>
      <c r="G145" s="750"/>
      <c r="J145" s="751"/>
    </row>
    <row r="146" spans="1:10">
      <c r="A146" s="748"/>
      <c r="D146" s="750"/>
      <c r="G146" s="750"/>
      <c r="J146" s="751"/>
    </row>
    <row r="147" spans="1:10">
      <c r="A147" s="748"/>
      <c r="D147" s="750"/>
      <c r="G147" s="750"/>
      <c r="J147" s="751"/>
    </row>
    <row r="148" spans="1:10">
      <c r="A148" s="748"/>
      <c r="D148" s="750"/>
      <c r="G148" s="750"/>
      <c r="J148" s="751"/>
    </row>
    <row r="149" spans="1:10">
      <c r="A149" s="748"/>
      <c r="D149" s="750"/>
      <c r="G149" s="750"/>
      <c r="J149" s="751"/>
    </row>
    <row r="150" spans="1:10">
      <c r="A150" s="748"/>
      <c r="D150" s="750"/>
      <c r="G150" s="750"/>
      <c r="J150" s="751"/>
    </row>
    <row r="151" spans="1:10">
      <c r="A151" s="748"/>
      <c r="D151" s="750"/>
      <c r="G151" s="750"/>
      <c r="J151" s="751"/>
    </row>
    <row r="152" spans="1:10">
      <c r="A152" s="748"/>
      <c r="D152" s="750"/>
      <c r="G152" s="750"/>
      <c r="J152" s="751"/>
    </row>
    <row r="153" spans="1:10">
      <c r="A153" s="748"/>
      <c r="D153" s="750"/>
      <c r="G153" s="750"/>
      <c r="J153" s="751"/>
    </row>
    <row r="154" spans="1:10">
      <c r="A154" s="748"/>
      <c r="D154" s="750"/>
      <c r="G154" s="750"/>
      <c r="J154" s="751"/>
    </row>
    <row r="155" spans="1:10">
      <c r="A155" s="748"/>
      <c r="D155" s="750"/>
      <c r="G155" s="750"/>
      <c r="J155" s="751"/>
    </row>
    <row r="156" spans="1:10">
      <c r="A156" s="748"/>
      <c r="D156" s="750"/>
      <c r="G156" s="750"/>
      <c r="J156" s="751"/>
    </row>
    <row r="157" spans="1:10">
      <c r="A157" s="748"/>
      <c r="D157" s="750"/>
      <c r="G157" s="750"/>
      <c r="J157" s="751"/>
    </row>
    <row r="158" spans="1:10">
      <c r="A158" s="748"/>
      <c r="D158" s="750"/>
      <c r="G158" s="750"/>
      <c r="J158" s="751"/>
    </row>
    <row r="159" spans="1:10">
      <c r="A159" s="748"/>
      <c r="D159" s="750"/>
      <c r="G159" s="750"/>
      <c r="J159" s="751"/>
    </row>
    <row r="160" spans="1:10">
      <c r="A160" s="748"/>
      <c r="D160" s="750"/>
      <c r="G160" s="750"/>
      <c r="J160" s="751"/>
    </row>
    <row r="161" spans="1:10">
      <c r="A161" s="748"/>
      <c r="D161" s="750"/>
      <c r="G161" s="750"/>
      <c r="J161" s="751"/>
    </row>
    <row r="162" spans="1:10">
      <c r="A162" s="748"/>
      <c r="D162" s="750"/>
      <c r="G162" s="750"/>
      <c r="J162" s="751"/>
    </row>
    <row r="163" spans="1:10">
      <c r="A163" s="748"/>
      <c r="D163" s="750"/>
      <c r="G163" s="750"/>
      <c r="J163" s="751"/>
    </row>
    <row r="164" spans="1:10">
      <c r="A164" s="748"/>
      <c r="D164" s="750"/>
      <c r="G164" s="750"/>
      <c r="J164" s="751"/>
    </row>
    <row r="165" spans="1:10">
      <c r="A165" s="748"/>
      <c r="D165" s="750"/>
      <c r="G165" s="750"/>
      <c r="J165" s="751"/>
    </row>
    <row r="166" spans="1:10">
      <c r="A166" s="748"/>
      <c r="D166" s="750"/>
      <c r="G166" s="750"/>
      <c r="J166" s="751"/>
    </row>
    <row r="167" spans="1:10">
      <c r="A167" s="748"/>
      <c r="D167" s="750"/>
      <c r="G167" s="750"/>
      <c r="J167" s="751"/>
    </row>
    <row r="168" spans="1:10">
      <c r="A168" s="748"/>
      <c r="D168" s="750"/>
      <c r="G168" s="750"/>
      <c r="J168" s="751"/>
    </row>
    <row r="169" spans="1:10">
      <c r="A169" s="748"/>
      <c r="D169" s="750"/>
      <c r="G169" s="750"/>
      <c r="J169" s="751"/>
    </row>
    <row r="170" spans="1:10">
      <c r="A170" s="748"/>
      <c r="D170" s="750"/>
      <c r="G170" s="750"/>
      <c r="J170" s="751"/>
    </row>
    <row r="171" spans="1:10">
      <c r="A171" s="748"/>
      <c r="D171" s="750"/>
      <c r="G171" s="750"/>
      <c r="J171" s="751"/>
    </row>
    <row r="172" spans="1:10">
      <c r="A172" s="748"/>
      <c r="D172" s="750"/>
      <c r="G172" s="750"/>
      <c r="J172" s="751"/>
    </row>
    <row r="173" spans="1:10">
      <c r="A173" s="748"/>
      <c r="D173" s="750"/>
      <c r="G173" s="750"/>
      <c r="J173" s="751"/>
    </row>
    <row r="174" spans="1:10">
      <c r="A174" s="748"/>
      <c r="D174" s="750"/>
      <c r="G174" s="750"/>
      <c r="J174" s="751"/>
    </row>
    <row r="175" spans="1:10">
      <c r="A175" s="748"/>
      <c r="D175" s="750"/>
      <c r="G175" s="750"/>
      <c r="J175" s="751"/>
    </row>
    <row r="176" spans="1:10">
      <c r="A176" s="748"/>
      <c r="D176" s="750"/>
      <c r="G176" s="750"/>
      <c r="J176" s="751"/>
    </row>
    <row r="177" spans="1:10">
      <c r="A177" s="748"/>
      <c r="D177" s="750"/>
      <c r="G177" s="750"/>
      <c r="J177" s="751"/>
    </row>
    <row r="178" spans="1:10">
      <c r="A178" s="748"/>
      <c r="D178" s="750"/>
      <c r="G178" s="750"/>
      <c r="J178" s="751"/>
    </row>
    <row r="179" spans="1:10">
      <c r="A179" s="748"/>
      <c r="D179" s="750"/>
      <c r="G179" s="750"/>
      <c r="J179" s="751"/>
    </row>
    <row r="180" spans="1:10">
      <c r="A180" s="748"/>
      <c r="D180" s="750"/>
      <c r="G180" s="750"/>
      <c r="J180" s="751"/>
    </row>
    <row r="181" spans="1:10">
      <c r="A181" s="748"/>
      <c r="D181" s="750"/>
      <c r="G181" s="750"/>
      <c r="J181" s="751"/>
    </row>
    <row r="182" spans="1:10">
      <c r="A182" s="748"/>
      <c r="D182" s="750"/>
      <c r="G182" s="750"/>
      <c r="J182" s="751"/>
    </row>
    <row r="183" spans="1:10">
      <c r="A183" s="748"/>
      <c r="D183" s="750"/>
      <c r="G183" s="750"/>
      <c r="J183" s="751"/>
    </row>
    <row r="184" spans="1:10">
      <c r="A184" s="748"/>
      <c r="D184" s="750"/>
      <c r="G184" s="750"/>
      <c r="J184" s="751"/>
    </row>
    <row r="185" spans="1:10">
      <c r="A185" s="748"/>
      <c r="D185" s="750"/>
      <c r="G185" s="750"/>
      <c r="J185" s="751"/>
    </row>
    <row r="186" spans="1:10">
      <c r="A186" s="748"/>
      <c r="D186" s="750"/>
      <c r="G186" s="750"/>
      <c r="J186" s="751"/>
    </row>
    <row r="187" spans="1:10">
      <c r="A187" s="748"/>
      <c r="D187" s="750"/>
      <c r="G187" s="750"/>
      <c r="J187" s="751"/>
    </row>
    <row r="188" spans="1:10">
      <c r="A188" s="748"/>
      <c r="D188" s="750"/>
      <c r="G188" s="750"/>
      <c r="J188" s="751"/>
    </row>
    <row r="189" spans="1:10">
      <c r="A189" s="748"/>
      <c r="D189" s="750"/>
      <c r="G189" s="750"/>
      <c r="J189" s="751"/>
    </row>
    <row r="190" spans="1:10">
      <c r="A190" s="748"/>
      <c r="D190" s="750"/>
      <c r="G190" s="750"/>
      <c r="J190" s="751"/>
    </row>
    <row r="191" spans="1:10">
      <c r="A191" s="748"/>
      <c r="D191" s="750"/>
      <c r="G191" s="750"/>
      <c r="J191" s="751"/>
    </row>
    <row r="192" spans="1:10">
      <c r="A192" s="748"/>
      <c r="D192" s="750"/>
      <c r="G192" s="750"/>
      <c r="J192" s="751"/>
    </row>
    <row r="193" spans="1:10">
      <c r="A193" s="748"/>
      <c r="D193" s="750"/>
      <c r="G193" s="750"/>
      <c r="J193" s="751"/>
    </row>
    <row r="194" spans="1:10">
      <c r="A194" s="748"/>
      <c r="D194" s="750"/>
      <c r="G194" s="750"/>
      <c r="J194" s="751"/>
    </row>
    <row r="195" spans="1:10">
      <c r="A195" s="748"/>
      <c r="D195" s="750"/>
      <c r="G195" s="750"/>
      <c r="J195" s="751"/>
    </row>
    <row r="196" spans="1:10">
      <c r="A196" s="748"/>
      <c r="D196" s="750"/>
      <c r="G196" s="750"/>
      <c r="J196" s="751"/>
    </row>
    <row r="197" spans="1:10">
      <c r="A197" s="748"/>
      <c r="D197" s="750"/>
      <c r="G197" s="750"/>
      <c r="J197" s="751"/>
    </row>
    <row r="198" spans="1:10">
      <c r="A198" s="748"/>
      <c r="D198" s="750"/>
      <c r="G198" s="750"/>
      <c r="J198" s="751"/>
    </row>
    <row r="199" spans="1:10">
      <c r="A199" s="748"/>
      <c r="D199" s="750"/>
      <c r="G199" s="750"/>
      <c r="J199" s="751"/>
    </row>
    <row r="200" spans="1:10">
      <c r="A200" s="748"/>
      <c r="D200" s="750"/>
      <c r="G200" s="750"/>
      <c r="J200" s="751"/>
    </row>
    <row r="201" spans="1:10">
      <c r="A201" s="748"/>
      <c r="D201" s="750"/>
      <c r="G201" s="750"/>
      <c r="J201" s="751"/>
    </row>
    <row r="202" spans="1:10">
      <c r="A202" s="748"/>
      <c r="D202" s="750"/>
      <c r="G202" s="750"/>
      <c r="J202" s="751"/>
    </row>
    <row r="203" spans="1:10">
      <c r="A203" s="748"/>
      <c r="D203" s="750"/>
      <c r="G203" s="750"/>
      <c r="J203" s="751"/>
    </row>
    <row r="204" spans="1:10">
      <c r="A204" s="748"/>
      <c r="D204" s="750"/>
      <c r="G204" s="750"/>
      <c r="J204" s="751"/>
    </row>
    <row r="205" spans="1:10">
      <c r="A205" s="748"/>
      <c r="D205" s="750"/>
      <c r="G205" s="750"/>
      <c r="J205" s="751"/>
    </row>
    <row r="206" spans="1:10">
      <c r="A206" s="748"/>
      <c r="D206" s="750"/>
      <c r="G206" s="750"/>
      <c r="J206" s="751"/>
    </row>
    <row r="207" spans="1:10">
      <c r="A207" s="748"/>
      <c r="D207" s="750"/>
      <c r="G207" s="750"/>
      <c r="J207" s="751"/>
    </row>
    <row r="208" spans="1:10">
      <c r="A208" s="748"/>
      <c r="D208" s="750"/>
      <c r="G208" s="750"/>
      <c r="J208" s="751"/>
    </row>
    <row r="209" spans="1:10">
      <c r="A209" s="748"/>
      <c r="D209" s="750"/>
      <c r="G209" s="750"/>
      <c r="J209" s="751"/>
    </row>
    <row r="210" spans="1:10">
      <c r="A210" s="748"/>
      <c r="D210" s="750"/>
      <c r="G210" s="750"/>
      <c r="J210" s="751"/>
    </row>
    <row r="211" spans="1:10">
      <c r="A211" s="748"/>
      <c r="D211" s="750"/>
      <c r="G211" s="750"/>
      <c r="J211" s="751"/>
    </row>
    <row r="212" spans="1:10">
      <c r="A212" s="748"/>
      <c r="D212" s="750"/>
      <c r="G212" s="750"/>
      <c r="J212" s="751"/>
    </row>
    <row r="213" spans="1:10">
      <c r="A213" s="748"/>
      <c r="D213" s="750"/>
      <c r="G213" s="750"/>
      <c r="J213" s="751"/>
    </row>
    <row r="214" spans="1:10">
      <c r="A214" s="748"/>
      <c r="D214" s="750"/>
      <c r="G214" s="750"/>
      <c r="J214" s="751"/>
    </row>
    <row r="215" spans="1:10">
      <c r="A215" s="748"/>
      <c r="D215" s="750"/>
      <c r="G215" s="750"/>
      <c r="J215" s="751"/>
    </row>
    <row r="216" spans="1:10">
      <c r="A216" s="748"/>
      <c r="D216" s="750"/>
      <c r="G216" s="750"/>
      <c r="J216" s="751"/>
    </row>
    <row r="217" spans="1:10">
      <c r="A217" s="748"/>
      <c r="D217" s="750"/>
      <c r="G217" s="750"/>
      <c r="J217" s="751"/>
    </row>
    <row r="218" spans="1:10">
      <c r="A218" s="748"/>
      <c r="D218" s="750"/>
      <c r="G218" s="750"/>
      <c r="J218" s="751"/>
    </row>
    <row r="219" spans="1:10">
      <c r="A219" s="748"/>
      <c r="D219" s="750"/>
      <c r="G219" s="750"/>
      <c r="J219" s="751"/>
    </row>
    <row r="220" spans="1:10">
      <c r="A220" s="748"/>
      <c r="D220" s="750"/>
      <c r="G220" s="750"/>
      <c r="J220" s="751"/>
    </row>
    <row r="221" spans="1:10">
      <c r="A221" s="748"/>
      <c r="D221" s="750"/>
      <c r="G221" s="750"/>
      <c r="J221" s="751"/>
    </row>
    <row r="222" spans="1:10">
      <c r="A222" s="748"/>
      <c r="D222" s="750"/>
      <c r="G222" s="750"/>
      <c r="J222" s="751"/>
    </row>
    <row r="223" spans="1:10">
      <c r="A223" s="748"/>
      <c r="D223" s="750"/>
      <c r="G223" s="750"/>
      <c r="J223" s="751"/>
    </row>
    <row r="224" spans="1:10">
      <c r="A224" s="748"/>
      <c r="D224" s="750"/>
      <c r="G224" s="750"/>
      <c r="J224" s="751"/>
    </row>
    <row r="225" spans="1:10">
      <c r="A225" s="748"/>
      <c r="D225" s="750"/>
      <c r="G225" s="750"/>
      <c r="J225" s="751"/>
    </row>
    <row r="226" spans="1:10">
      <c r="A226" s="748"/>
      <c r="D226" s="750"/>
      <c r="G226" s="750"/>
      <c r="J226" s="751"/>
    </row>
    <row r="227" spans="1:10">
      <c r="A227" s="748"/>
      <c r="D227" s="750"/>
      <c r="G227" s="750"/>
      <c r="J227" s="751"/>
    </row>
    <row r="228" spans="1:10">
      <c r="A228" s="748"/>
      <c r="D228" s="750"/>
      <c r="G228" s="750"/>
      <c r="J228" s="751"/>
    </row>
    <row r="229" spans="1:10">
      <c r="A229" s="748"/>
      <c r="D229" s="750"/>
      <c r="G229" s="750"/>
      <c r="J229" s="751"/>
    </row>
    <row r="230" spans="1:10">
      <c r="A230" s="748"/>
      <c r="D230" s="750"/>
      <c r="G230" s="750"/>
      <c r="J230" s="751"/>
    </row>
    <row r="231" spans="1:10">
      <c r="A231" s="748"/>
      <c r="D231" s="750"/>
      <c r="G231" s="750"/>
      <c r="J231" s="751"/>
    </row>
    <row r="232" spans="1:10">
      <c r="A232" s="748"/>
      <c r="D232" s="750"/>
      <c r="G232" s="750"/>
      <c r="J232" s="751"/>
    </row>
    <row r="233" spans="1:10">
      <c r="A233" s="748"/>
      <c r="D233" s="750"/>
      <c r="G233" s="750"/>
      <c r="J233" s="751"/>
    </row>
    <row r="234" spans="1:10">
      <c r="A234" s="748"/>
      <c r="D234" s="750"/>
      <c r="G234" s="750"/>
      <c r="J234" s="751"/>
    </row>
    <row r="235" spans="1:10">
      <c r="A235" s="748"/>
      <c r="D235" s="750"/>
      <c r="G235" s="750"/>
      <c r="J235" s="751"/>
    </row>
    <row r="236" spans="1:10">
      <c r="A236" s="748"/>
      <c r="D236" s="750"/>
      <c r="G236" s="750"/>
      <c r="J236" s="751"/>
    </row>
    <row r="237" spans="1:10">
      <c r="A237" s="748"/>
      <c r="D237" s="750"/>
      <c r="G237" s="750"/>
      <c r="J237" s="751"/>
    </row>
    <row r="238" spans="1:10">
      <c r="A238" s="748"/>
      <c r="D238" s="750"/>
      <c r="G238" s="750"/>
      <c r="J238" s="751"/>
    </row>
    <row r="239" spans="1:10">
      <c r="A239" s="748"/>
      <c r="D239" s="750"/>
      <c r="G239" s="750"/>
      <c r="J239" s="751"/>
    </row>
    <row r="240" spans="1:10">
      <c r="A240" s="748"/>
      <c r="D240" s="750"/>
      <c r="G240" s="750"/>
      <c r="J240" s="751"/>
    </row>
    <row r="241" spans="1:10">
      <c r="A241" s="748"/>
      <c r="D241" s="750"/>
      <c r="G241" s="750"/>
      <c r="J241" s="751"/>
    </row>
    <row r="242" spans="1:10">
      <c r="A242" s="748"/>
      <c r="D242" s="750"/>
      <c r="G242" s="750"/>
      <c r="J242" s="751"/>
    </row>
    <row r="243" spans="1:10">
      <c r="A243" s="748"/>
      <c r="D243" s="750"/>
      <c r="G243" s="750"/>
      <c r="J243" s="751"/>
    </row>
    <row r="244" spans="1:10">
      <c r="A244" s="748"/>
      <c r="D244" s="750"/>
      <c r="G244" s="750"/>
      <c r="J244" s="751"/>
    </row>
    <row r="245" spans="1:10">
      <c r="A245" s="748"/>
      <c r="D245" s="750"/>
      <c r="G245" s="750"/>
      <c r="J245" s="751"/>
    </row>
    <row r="246" spans="1:10">
      <c r="A246" s="748"/>
      <c r="D246" s="750"/>
      <c r="G246" s="750"/>
      <c r="J246" s="751"/>
    </row>
    <row r="247" spans="1:10">
      <c r="A247" s="748"/>
      <c r="D247" s="750"/>
      <c r="G247" s="750"/>
      <c r="J247" s="751"/>
    </row>
    <row r="248" spans="1:10">
      <c r="A248" s="748"/>
      <c r="D248" s="750"/>
      <c r="G248" s="750"/>
      <c r="J248" s="751"/>
    </row>
    <row r="249" spans="1:10">
      <c r="A249" s="748"/>
      <c r="D249" s="750"/>
      <c r="G249" s="750"/>
      <c r="J249" s="751"/>
    </row>
    <row r="250" spans="1:10">
      <c r="A250" s="748"/>
      <c r="D250" s="750"/>
      <c r="G250" s="750"/>
      <c r="J250" s="751"/>
    </row>
    <row r="251" spans="1:10">
      <c r="A251" s="748"/>
      <c r="D251" s="750"/>
      <c r="G251" s="750"/>
      <c r="J251" s="751"/>
    </row>
    <row r="252" spans="1:10">
      <c r="A252" s="748"/>
      <c r="D252" s="750"/>
      <c r="G252" s="750"/>
      <c r="J252" s="751"/>
    </row>
    <row r="253" spans="1:10">
      <c r="A253" s="748"/>
      <c r="D253" s="750"/>
      <c r="G253" s="750"/>
      <c r="J253" s="751"/>
    </row>
    <row r="254" spans="1:10">
      <c r="A254" s="748"/>
      <c r="D254" s="750"/>
      <c r="G254" s="750"/>
      <c r="J254" s="751"/>
    </row>
    <row r="255" spans="1:10">
      <c r="A255" s="748"/>
      <c r="D255" s="750"/>
      <c r="G255" s="750"/>
      <c r="J255" s="751"/>
    </row>
    <row r="256" spans="1:10">
      <c r="A256" s="748"/>
      <c r="D256" s="750"/>
      <c r="G256" s="750"/>
      <c r="J256" s="751"/>
    </row>
    <row r="257" spans="1:10">
      <c r="A257" s="748"/>
      <c r="D257" s="750"/>
      <c r="G257" s="750"/>
      <c r="J257" s="751"/>
    </row>
    <row r="258" spans="1:10">
      <c r="A258" s="748"/>
      <c r="D258" s="750"/>
      <c r="G258" s="750"/>
      <c r="J258" s="751"/>
    </row>
    <row r="259" spans="1:10">
      <c r="A259" s="748"/>
      <c r="D259" s="750"/>
      <c r="G259" s="750"/>
      <c r="J259" s="751"/>
    </row>
    <row r="260" spans="1:10">
      <c r="A260" s="748"/>
      <c r="D260" s="750"/>
      <c r="G260" s="750"/>
      <c r="J260" s="751"/>
    </row>
    <row r="261" spans="1:10">
      <c r="A261" s="748"/>
      <c r="D261" s="750"/>
      <c r="G261" s="750"/>
      <c r="J261" s="751"/>
    </row>
    <row r="262" spans="1:10">
      <c r="A262" s="748"/>
      <c r="D262" s="750"/>
      <c r="G262" s="750"/>
      <c r="J262" s="751"/>
    </row>
    <row r="263" spans="1:10">
      <c r="A263" s="748"/>
      <c r="D263" s="750"/>
      <c r="G263" s="750"/>
      <c r="J263" s="751"/>
    </row>
    <row r="264" spans="1:10">
      <c r="A264" s="748"/>
      <c r="D264" s="750"/>
      <c r="G264" s="750"/>
      <c r="J264" s="751"/>
    </row>
    <row r="265" spans="1:10">
      <c r="A265" s="748"/>
      <c r="D265" s="750"/>
      <c r="G265" s="750"/>
      <c r="J265" s="751"/>
    </row>
    <row r="266" spans="1:10">
      <c r="A266" s="748"/>
      <c r="D266" s="750"/>
      <c r="G266" s="750"/>
      <c r="J266" s="751"/>
    </row>
    <row r="267" spans="1:10">
      <c r="A267" s="748"/>
      <c r="D267" s="750"/>
      <c r="G267" s="750"/>
      <c r="J267" s="751"/>
    </row>
    <row r="268" spans="1:10">
      <c r="A268" s="748"/>
      <c r="D268" s="750"/>
      <c r="G268" s="750"/>
      <c r="J268" s="751"/>
    </row>
    <row r="269" spans="1:10">
      <c r="A269" s="748"/>
      <c r="D269" s="750"/>
      <c r="G269" s="750"/>
      <c r="J269" s="751"/>
    </row>
    <row r="270" spans="1:10">
      <c r="A270" s="748"/>
      <c r="D270" s="750"/>
      <c r="G270" s="750"/>
      <c r="J270" s="751"/>
    </row>
    <row r="271" spans="1:10">
      <c r="A271" s="748"/>
      <c r="D271" s="750"/>
      <c r="G271" s="750"/>
      <c r="J271" s="751"/>
    </row>
    <row r="272" spans="1:10">
      <c r="A272" s="748"/>
      <c r="D272" s="750"/>
      <c r="G272" s="750"/>
      <c r="J272" s="751"/>
    </row>
    <row r="273" spans="1:10">
      <c r="A273" s="748"/>
      <c r="D273" s="750"/>
      <c r="G273" s="750"/>
      <c r="J273" s="751"/>
    </row>
    <row r="274" spans="1:10">
      <c r="A274" s="748"/>
      <c r="D274" s="750"/>
      <c r="G274" s="750"/>
      <c r="J274" s="751"/>
    </row>
    <row r="275" spans="1:10">
      <c r="A275" s="748"/>
      <c r="D275" s="750"/>
      <c r="G275" s="750"/>
      <c r="J275" s="751"/>
    </row>
    <row r="276" spans="1:10">
      <c r="A276" s="748"/>
      <c r="D276" s="750"/>
      <c r="G276" s="750"/>
      <c r="J276" s="751"/>
    </row>
    <row r="277" spans="1:10">
      <c r="A277" s="748"/>
      <c r="D277" s="750"/>
      <c r="G277" s="750"/>
      <c r="J277" s="751"/>
    </row>
    <row r="278" spans="1:10">
      <c r="A278" s="748"/>
      <c r="D278" s="750"/>
      <c r="G278" s="750"/>
      <c r="J278" s="751"/>
    </row>
    <row r="279" spans="1:10">
      <c r="A279" s="748"/>
      <c r="D279" s="750"/>
      <c r="G279" s="750"/>
      <c r="J279" s="751"/>
    </row>
    <row r="280" spans="1:10">
      <c r="A280" s="748"/>
      <c r="D280" s="750"/>
      <c r="G280" s="750"/>
      <c r="J280" s="751"/>
    </row>
    <row r="281" spans="1:10">
      <c r="A281" s="748"/>
      <c r="D281" s="750"/>
      <c r="G281" s="750"/>
      <c r="J281" s="751"/>
    </row>
    <row r="282" spans="1:10">
      <c r="A282" s="748"/>
      <c r="D282" s="750"/>
      <c r="G282" s="750"/>
      <c r="J282" s="751"/>
    </row>
    <row r="283" spans="1:10">
      <c r="A283" s="748"/>
      <c r="D283" s="750"/>
      <c r="G283" s="750"/>
      <c r="J283" s="751"/>
    </row>
    <row r="284" spans="1:10">
      <c r="A284" s="748"/>
      <c r="D284" s="750"/>
      <c r="G284" s="750"/>
      <c r="J284" s="751"/>
    </row>
    <row r="285" spans="1:10">
      <c r="A285" s="748"/>
      <c r="D285" s="750"/>
      <c r="G285" s="750"/>
      <c r="J285" s="751"/>
    </row>
    <row r="286" spans="1:10">
      <c r="A286" s="748"/>
      <c r="D286" s="750"/>
      <c r="G286" s="750"/>
      <c r="J286" s="751"/>
    </row>
    <row r="287" spans="1:10">
      <c r="A287" s="748"/>
      <c r="D287" s="750"/>
      <c r="G287" s="750"/>
      <c r="J287" s="751"/>
    </row>
    <row r="288" spans="1:10">
      <c r="A288" s="748"/>
      <c r="D288" s="750"/>
      <c r="G288" s="750"/>
      <c r="J288" s="751"/>
    </row>
    <row r="289" spans="1:10">
      <c r="A289" s="748"/>
      <c r="D289" s="750"/>
      <c r="G289" s="750"/>
      <c r="J289" s="751"/>
    </row>
    <row r="290" spans="1:10">
      <c r="A290" s="748"/>
      <c r="D290" s="750"/>
      <c r="G290" s="750"/>
      <c r="J290" s="751"/>
    </row>
    <row r="291" spans="1:10">
      <c r="A291" s="748"/>
      <c r="D291" s="750"/>
      <c r="G291" s="750"/>
      <c r="J291" s="751"/>
    </row>
    <row r="292" spans="1:10">
      <c r="A292" s="748"/>
      <c r="D292" s="750"/>
      <c r="G292" s="750"/>
      <c r="J292" s="751"/>
    </row>
    <row r="293" spans="1:10">
      <c r="A293" s="748"/>
      <c r="D293" s="750"/>
      <c r="G293" s="750"/>
      <c r="J293" s="751"/>
    </row>
    <row r="294" spans="1:10">
      <c r="A294" s="748"/>
      <c r="D294" s="750"/>
      <c r="G294" s="750"/>
      <c r="J294" s="751"/>
    </row>
    <row r="295" spans="1:10">
      <c r="A295" s="748"/>
      <c r="D295" s="750"/>
      <c r="G295" s="750"/>
      <c r="J295" s="751"/>
    </row>
    <row r="296" spans="1:10">
      <c r="A296" s="748"/>
      <c r="D296" s="750"/>
      <c r="G296" s="750"/>
      <c r="J296" s="751"/>
    </row>
    <row r="297" spans="1:10">
      <c r="A297" s="748"/>
      <c r="D297" s="750"/>
      <c r="G297" s="750"/>
      <c r="J297" s="751"/>
    </row>
    <row r="298" spans="1:10">
      <c r="A298" s="748"/>
      <c r="D298" s="750"/>
      <c r="G298" s="750"/>
      <c r="J298" s="751"/>
    </row>
    <row r="299" spans="1:10">
      <c r="A299" s="748"/>
      <c r="D299" s="750"/>
      <c r="G299" s="750"/>
      <c r="J299" s="751"/>
    </row>
    <row r="300" spans="1:10">
      <c r="A300" s="748"/>
      <c r="D300" s="750"/>
      <c r="G300" s="750"/>
      <c r="J300" s="751"/>
    </row>
    <row r="301" spans="1:10">
      <c r="A301" s="748"/>
      <c r="D301" s="750"/>
      <c r="G301" s="750"/>
      <c r="J301" s="751"/>
    </row>
    <row r="302" spans="1:10">
      <c r="A302" s="748"/>
      <c r="D302" s="750"/>
      <c r="G302" s="750"/>
      <c r="J302" s="751"/>
    </row>
    <row r="303" spans="1:10">
      <c r="A303" s="748"/>
      <c r="D303" s="750"/>
      <c r="G303" s="750"/>
      <c r="J303" s="751"/>
    </row>
    <row r="304" spans="1:10">
      <c r="A304" s="748"/>
      <c r="D304" s="750"/>
      <c r="G304" s="750"/>
      <c r="J304" s="751"/>
    </row>
    <row r="305" spans="1:10">
      <c r="A305" s="748"/>
      <c r="D305" s="750"/>
      <c r="G305" s="750"/>
      <c r="J305" s="751"/>
    </row>
  </sheetData>
  <mergeCells count="2">
    <mergeCell ref="A1:J1"/>
    <mergeCell ref="A2:J2"/>
  </mergeCells>
  <printOptions horizontalCentered="1"/>
  <pageMargins left="0.24" right="0.1" top="0.5" bottom="0.4" header="0.23622047244094499" footer="0.15748031496063"/>
  <pageSetup paperSize="9" orientation="portrait" r:id="rId1"/>
  <headerFooter alignWithMargins="0">
    <oddFooter>&amp;C&amp;P&amp;R&amp;A</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rgb="FFC4BD97"/>
  </sheetPr>
  <dimension ref="A1:IV478"/>
  <sheetViews>
    <sheetView topLeftCell="A79" zoomScaleSheetLayoutView="100" workbookViewId="0">
      <selection activeCell="K8" sqref="K8"/>
    </sheetView>
  </sheetViews>
  <sheetFormatPr defaultColWidth="13.88671875" defaultRowHeight="12.9"/>
  <cols>
    <col min="1" max="1" width="6.44140625" style="170" customWidth="1"/>
    <col min="2" max="2" width="5.109375" style="56" customWidth="1"/>
    <col min="3" max="3" width="37.5546875" style="54" customWidth="1"/>
    <col min="4" max="4" width="4.5546875" style="20" customWidth="1"/>
    <col min="5" max="5" width="6.88671875" style="129" customWidth="1"/>
    <col min="6" max="6" width="7.109375" style="682" customWidth="1"/>
    <col min="7" max="7" width="9" style="682" customWidth="1"/>
    <col min="8" max="8" width="7.109375" style="682" customWidth="1"/>
    <col min="9" max="9" width="7.109375" style="105" customWidth="1"/>
    <col min="10" max="10" width="10.5546875" style="105" customWidth="1"/>
    <col min="11" max="11" width="44.6640625" style="25" customWidth="1"/>
    <col min="12" max="12" width="5.5546875" style="25" customWidth="1"/>
    <col min="13" max="13" width="6.5546875" style="25" customWidth="1"/>
    <col min="14" max="14" width="7.88671875" style="25" customWidth="1"/>
    <col min="15" max="15" width="10.33203125" style="25" customWidth="1"/>
    <col min="16" max="16" width="9.44140625" style="25" customWidth="1"/>
    <col min="17" max="17" width="8.109375" style="25" customWidth="1"/>
    <col min="18" max="256" width="13.88671875" style="25"/>
  </cols>
  <sheetData>
    <row r="1" spans="1:11" s="421" customFormat="1" ht="15" customHeight="1">
      <c r="A1" s="2664" t="s">
        <v>2570</v>
      </c>
      <c r="B1" s="2665"/>
      <c r="C1" s="2665"/>
      <c r="D1" s="2665"/>
      <c r="E1" s="2665"/>
      <c r="F1" s="2665"/>
      <c r="G1" s="2665"/>
      <c r="H1" s="2665"/>
      <c r="I1" s="2665"/>
      <c r="J1" s="2665"/>
    </row>
    <row r="2" spans="1:11" ht="17.25" customHeight="1">
      <c r="A2" s="2666" t="str">
        <f>'Lead- Input sheet '!A2</f>
        <v xml:space="preserve"> Construction of  Anganwadi Building at Jeedipally Thanda (V) of Kalwakurthy (M) of Nagarkurnool District </v>
      </c>
      <c r="B2" s="2667"/>
      <c r="C2" s="2667"/>
      <c r="D2" s="2667"/>
      <c r="E2" s="2667"/>
      <c r="F2" s="2667"/>
      <c r="G2" s="2667"/>
      <c r="H2" s="2667"/>
      <c r="I2" s="2667"/>
      <c r="J2" s="2667"/>
    </row>
    <row r="3" spans="1:11" s="426" customFormat="1" ht="64.5" customHeight="1">
      <c r="A3" s="704" t="s">
        <v>926</v>
      </c>
      <c r="B3" s="422" t="s">
        <v>148</v>
      </c>
      <c r="C3" s="423" t="s">
        <v>517</v>
      </c>
      <c r="D3" s="326" t="s">
        <v>1035</v>
      </c>
      <c r="E3" s="424" t="s">
        <v>1417</v>
      </c>
      <c r="F3" s="678" t="s">
        <v>784</v>
      </c>
      <c r="G3" s="679" t="s">
        <v>785</v>
      </c>
      <c r="H3" s="679" t="s">
        <v>786</v>
      </c>
      <c r="I3" s="419" t="s">
        <v>1479</v>
      </c>
      <c r="J3" s="424" t="s">
        <v>150</v>
      </c>
      <c r="K3" s="425"/>
    </row>
    <row r="4" spans="1:11" s="396" customFormat="1" ht="11.25" customHeight="1">
      <c r="A4" s="701">
        <v>1</v>
      </c>
      <c r="B4" s="702">
        <v>2</v>
      </c>
      <c r="C4" s="702">
        <f>B4+1</f>
        <v>3</v>
      </c>
      <c r="D4" s="702">
        <f t="shared" ref="D4:J4" si="0">C4+1</f>
        <v>4</v>
      </c>
      <c r="E4" s="702">
        <f t="shared" si="0"/>
        <v>5</v>
      </c>
      <c r="F4" s="702">
        <f t="shared" si="0"/>
        <v>6</v>
      </c>
      <c r="G4" s="702">
        <f t="shared" si="0"/>
        <v>7</v>
      </c>
      <c r="H4" s="702">
        <f t="shared" si="0"/>
        <v>8</v>
      </c>
      <c r="I4" s="916">
        <f t="shared" si="0"/>
        <v>9</v>
      </c>
      <c r="J4" s="702">
        <f t="shared" si="0"/>
        <v>10</v>
      </c>
      <c r="K4" s="703"/>
    </row>
    <row r="5" spans="1:11" ht="50.2" customHeight="1">
      <c r="A5" s="705" t="s">
        <v>927</v>
      </c>
      <c r="B5" s="420" t="s">
        <v>794</v>
      </c>
      <c r="C5" s="427" t="s">
        <v>795</v>
      </c>
      <c r="D5" s="428"/>
      <c r="E5" s="429"/>
      <c r="F5" s="680"/>
      <c r="G5" s="681" t="s">
        <v>1284</v>
      </c>
      <c r="H5" s="688"/>
      <c r="I5" s="430">
        <f>'Lead- Input sheet '!Q31</f>
        <v>0</v>
      </c>
      <c r="J5" s="431"/>
    </row>
    <row r="6" spans="1:11">
      <c r="A6" s="61"/>
      <c r="C6" s="54" t="s">
        <v>1394</v>
      </c>
      <c r="D6" s="191"/>
      <c r="G6" s="681" t="s">
        <v>1285</v>
      </c>
      <c r="H6" s="688"/>
      <c r="I6" s="944">
        <f>'Lead- Input sheet '!Q32</f>
        <v>0</v>
      </c>
    </row>
    <row r="7" spans="1:11">
      <c r="A7" s="61"/>
      <c r="C7" s="59" t="s">
        <v>1395</v>
      </c>
      <c r="D7" s="191"/>
      <c r="G7" s="463"/>
      <c r="H7" s="689"/>
    </row>
    <row r="8" spans="1:11">
      <c r="A8" s="61"/>
      <c r="C8" s="60" t="s">
        <v>1646</v>
      </c>
      <c r="D8" s="191" t="s">
        <v>1417</v>
      </c>
      <c r="E8" s="129">
        <v>0.7</v>
      </c>
      <c r="F8" s="712">
        <v>144</v>
      </c>
      <c r="G8" s="432">
        <f>E8*F8</f>
        <v>100.8</v>
      </c>
      <c r="H8" s="689"/>
    </row>
    <row r="9" spans="1:11">
      <c r="A9" s="61"/>
      <c r="C9" s="59" t="s">
        <v>653</v>
      </c>
      <c r="D9" s="191"/>
      <c r="F9" s="129"/>
      <c r="G9" s="432"/>
      <c r="H9" s="689"/>
    </row>
    <row r="10" spans="1:11">
      <c r="A10" s="61"/>
      <c r="C10" s="60" t="s">
        <v>989</v>
      </c>
      <c r="D10" s="189" t="s">
        <v>1047</v>
      </c>
      <c r="E10" s="433">
        <v>0.7</v>
      </c>
      <c r="F10" s="712">
        <f>'Lead- Input sheet '!R36</f>
        <v>650</v>
      </c>
      <c r="G10" s="432">
        <f>E10*F10</f>
        <v>454.99999999999994</v>
      </c>
      <c r="H10" s="689"/>
    </row>
    <row r="11" spans="1:11">
      <c r="A11" s="61"/>
      <c r="C11" s="60" t="s">
        <v>1286</v>
      </c>
      <c r="D11" s="189"/>
      <c r="E11" s="433">
        <f>G10</f>
        <v>454.99999999999994</v>
      </c>
      <c r="F11" s="712">
        <f>I5</f>
        <v>0</v>
      </c>
      <c r="G11" s="432">
        <f>E11*F11</f>
        <v>0</v>
      </c>
      <c r="H11" s="689"/>
    </row>
    <row r="12" spans="1:11">
      <c r="A12" s="61"/>
      <c r="C12" s="60" t="s">
        <v>1166</v>
      </c>
      <c r="D12" s="189"/>
      <c r="E12" s="433">
        <v>0.01</v>
      </c>
      <c r="F12" s="712">
        <f>SUM(G8:G11)</f>
        <v>555.79999999999995</v>
      </c>
      <c r="G12" s="432">
        <f>E12*F12</f>
        <v>5.5579999999999998</v>
      </c>
      <c r="H12" s="689"/>
    </row>
    <row r="13" spans="1:11">
      <c r="A13" s="61"/>
      <c r="C13" s="59" t="s">
        <v>1398</v>
      </c>
      <c r="D13" s="191"/>
      <c r="E13" s="433"/>
      <c r="F13" s="129"/>
      <c r="G13" s="434">
        <f>SUM(G8:G12)</f>
        <v>561.35799999999995</v>
      </c>
      <c r="H13" s="689"/>
    </row>
    <row r="14" spans="1:11" s="18" customFormat="1" ht="25.8">
      <c r="A14" s="45"/>
      <c r="B14" s="53"/>
      <c r="C14" s="55" t="s">
        <v>1600</v>
      </c>
      <c r="D14" s="190"/>
      <c r="E14" s="435">
        <f>G13</f>
        <v>561.35799999999995</v>
      </c>
      <c r="F14" s="713"/>
      <c r="G14" s="434">
        <f>ROUND(E14*F14,2)</f>
        <v>0</v>
      </c>
      <c r="H14" s="690"/>
      <c r="I14" s="436"/>
      <c r="J14" s="436"/>
    </row>
    <row r="15" spans="1:11" s="439" customFormat="1">
      <c r="A15" s="281"/>
      <c r="B15" s="282"/>
      <c r="C15" s="283" t="s">
        <v>1231</v>
      </c>
      <c r="D15" s="437"/>
      <c r="E15" s="438"/>
      <c r="F15" s="684" t="s">
        <v>1486</v>
      </c>
      <c r="G15" s="684">
        <f>SUM(G13:G14)</f>
        <v>561.35799999999995</v>
      </c>
      <c r="H15" s="691"/>
      <c r="I15" s="440"/>
      <c r="J15" s="440"/>
    </row>
    <row r="16" spans="1:11" ht="38.700000000000003">
      <c r="A16" s="706" t="s">
        <v>925</v>
      </c>
      <c r="B16" s="19">
        <v>1</v>
      </c>
      <c r="C16" s="54" t="s">
        <v>462</v>
      </c>
      <c r="E16" s="466"/>
      <c r="F16" s="463"/>
      <c r="G16" s="685"/>
      <c r="H16" s="685"/>
      <c r="I16" s="432"/>
      <c r="J16" s="441"/>
    </row>
    <row r="17" spans="1:12">
      <c r="B17" s="19"/>
      <c r="C17" s="54" t="s">
        <v>498</v>
      </c>
      <c r="D17" s="26"/>
      <c r="E17" s="467"/>
      <c r="F17" s="292"/>
      <c r="G17" s="459"/>
      <c r="H17" s="459"/>
      <c r="I17" s="289"/>
      <c r="J17" s="290"/>
      <c r="K17" s="31"/>
    </row>
    <row r="18" spans="1:12">
      <c r="B18" s="19"/>
      <c r="C18" s="54" t="s">
        <v>499</v>
      </c>
      <c r="D18" s="26"/>
      <c r="E18" s="467"/>
      <c r="F18" s="292"/>
      <c r="G18" s="459"/>
      <c r="H18" s="459"/>
      <c r="I18" s="289"/>
      <c r="J18" s="290"/>
      <c r="K18" s="31"/>
    </row>
    <row r="19" spans="1:12" ht="25.8">
      <c r="B19" s="19"/>
      <c r="C19" s="54" t="s">
        <v>1653</v>
      </c>
      <c r="D19" s="26" t="s">
        <v>1473</v>
      </c>
      <c r="E19" s="467">
        <v>1</v>
      </c>
      <c r="F19" s="459"/>
      <c r="G19" s="683" t="s">
        <v>935</v>
      </c>
      <c r="H19" s="459"/>
      <c r="I19" s="291"/>
      <c r="J19" s="290"/>
      <c r="K19" s="31"/>
    </row>
    <row r="20" spans="1:12">
      <c r="B20" s="19"/>
      <c r="C20" s="54" t="s">
        <v>500</v>
      </c>
      <c r="D20" s="26"/>
      <c r="E20" s="467"/>
      <c r="F20" s="292"/>
      <c r="G20" s="459"/>
      <c r="H20" s="459"/>
      <c r="I20" s="289"/>
      <c r="J20" s="290"/>
      <c r="K20" s="31"/>
    </row>
    <row r="21" spans="1:12">
      <c r="B21" s="19"/>
      <c r="C21" s="54" t="s">
        <v>501</v>
      </c>
      <c r="D21" s="26" t="s">
        <v>1047</v>
      </c>
      <c r="E21" s="467">
        <v>17.7</v>
      </c>
      <c r="F21" s="714">
        <f>'Lead- Input sheet '!R34</f>
        <v>805</v>
      </c>
      <c r="G21" s="714">
        <f>E21*F21</f>
        <v>14248.5</v>
      </c>
      <c r="H21" s="292"/>
      <c r="I21" s="289"/>
      <c r="J21" s="290"/>
      <c r="K21" s="31"/>
    </row>
    <row r="22" spans="1:12">
      <c r="B22" s="19"/>
      <c r="C22" s="54" t="s">
        <v>502</v>
      </c>
      <c r="D22" s="26" t="s">
        <v>1047</v>
      </c>
      <c r="E22" s="467">
        <v>8.8000000000000007</v>
      </c>
      <c r="F22" s="714">
        <f>'Lead- Input sheet '!R28</f>
        <v>605</v>
      </c>
      <c r="G22" s="714">
        <f>E22*F22</f>
        <v>5324</v>
      </c>
      <c r="H22" s="292"/>
      <c r="I22" s="289"/>
      <c r="J22" s="290"/>
      <c r="K22" s="31"/>
    </row>
    <row r="23" spans="1:12">
      <c r="A23" s="61"/>
      <c r="C23" s="60" t="s">
        <v>1286</v>
      </c>
      <c r="D23" s="189"/>
      <c r="E23" s="945">
        <f>SUM(G21:G22)</f>
        <v>19572.5</v>
      </c>
      <c r="F23" s="712">
        <f>I5</f>
        <v>0</v>
      </c>
      <c r="G23" s="714">
        <f>E23*F23</f>
        <v>0</v>
      </c>
      <c r="H23" s="689"/>
    </row>
    <row r="24" spans="1:12">
      <c r="B24" s="19"/>
      <c r="C24" s="54" t="s">
        <v>503</v>
      </c>
      <c r="D24" s="26"/>
      <c r="E24" s="467" t="s">
        <v>975</v>
      </c>
      <c r="F24" s="686"/>
      <c r="G24" s="461"/>
      <c r="H24" s="459"/>
      <c r="I24" s="289"/>
      <c r="J24" s="290"/>
      <c r="K24" s="31"/>
    </row>
    <row r="25" spans="1:12">
      <c r="B25" s="19"/>
      <c r="C25" s="54" t="s">
        <v>74</v>
      </c>
      <c r="D25" s="26"/>
      <c r="E25" s="467"/>
      <c r="F25" s="686" t="s">
        <v>1486</v>
      </c>
      <c r="G25" s="446">
        <f>SUM(G21:G24)</f>
        <v>19572.5</v>
      </c>
      <c r="H25" s="459"/>
      <c r="I25" s="289"/>
      <c r="J25" s="290"/>
      <c r="K25" s="31"/>
    </row>
    <row r="26" spans="1:12" ht="245.1">
      <c r="A26" s="617" t="s">
        <v>925</v>
      </c>
      <c r="B26" s="966">
        <v>2</v>
      </c>
      <c r="C26" s="54" t="s">
        <v>2555</v>
      </c>
      <c r="D26" s="26"/>
      <c r="E26" s="289"/>
      <c r="F26" s="292"/>
      <c r="G26" s="292"/>
      <c r="H26" s="292"/>
      <c r="I26" s="289"/>
      <c r="J26" s="289"/>
      <c r="K26" s="31"/>
    </row>
    <row r="27" spans="1:12" s="444" customFormat="1">
      <c r="A27" s="172"/>
      <c r="B27" s="158"/>
      <c r="C27" s="55" t="s">
        <v>442</v>
      </c>
      <c r="D27" s="19"/>
      <c r="E27" s="291"/>
      <c r="F27" s="459"/>
      <c r="G27" s="459"/>
      <c r="H27" s="459"/>
      <c r="I27" s="291"/>
      <c r="J27" s="291"/>
      <c r="K27" s="443"/>
    </row>
    <row r="28" spans="1:12">
      <c r="A28" s="617"/>
      <c r="B28" s="34"/>
      <c r="C28" s="54" t="s">
        <v>779</v>
      </c>
      <c r="D28" s="26"/>
      <c r="E28" s="289"/>
      <c r="F28" s="292"/>
      <c r="G28" s="292"/>
      <c r="H28" s="292"/>
      <c r="I28" s="289"/>
      <c r="J28" s="289"/>
      <c r="K28" s="31"/>
    </row>
    <row r="29" spans="1:12" ht="20.2" customHeight="1">
      <c r="A29" s="617"/>
      <c r="B29" s="34"/>
      <c r="C29" s="54" t="s">
        <v>1647</v>
      </c>
      <c r="D29" s="951">
        <v>2</v>
      </c>
      <c r="E29" s="471">
        <v>2.1</v>
      </c>
      <c r="F29" s="462">
        <v>7.4999999999999997E-2</v>
      </c>
      <c r="G29" s="462">
        <v>0.125</v>
      </c>
      <c r="H29" s="462">
        <f>ROUND(D29*E29*F29*G29,3)</f>
        <v>3.9E-2</v>
      </c>
      <c r="I29" s="471">
        <v>44785</v>
      </c>
      <c r="J29" s="471">
        <f>ROUND(H29*I29,2)</f>
        <v>1746.62</v>
      </c>
      <c r="K29" s="31"/>
      <c r="L29" s="205"/>
    </row>
    <row r="30" spans="1:12" ht="20.2" customHeight="1">
      <c r="A30" s="617"/>
      <c r="B30" s="34"/>
      <c r="C30" s="54" t="s">
        <v>781</v>
      </c>
      <c r="D30" s="951">
        <v>1</v>
      </c>
      <c r="E30" s="471">
        <v>0.9</v>
      </c>
      <c r="F30" s="462">
        <v>7.4999999999999997E-2</v>
      </c>
      <c r="G30" s="462">
        <v>0.125</v>
      </c>
      <c r="H30" s="462">
        <f>ROUND(D30*E30*F30*G30,3)</f>
        <v>8.0000000000000002E-3</v>
      </c>
      <c r="I30" s="471">
        <v>44785</v>
      </c>
      <c r="J30" s="471">
        <f>ROUND(H30*I30,2)</f>
        <v>358.28</v>
      </c>
      <c r="K30" s="31"/>
      <c r="L30" s="205"/>
    </row>
    <row r="31" spans="1:12" ht="20.2" customHeight="1">
      <c r="A31" s="617"/>
      <c r="B31" s="34"/>
      <c r="C31" s="54" t="s">
        <v>1482</v>
      </c>
      <c r="D31" s="951"/>
      <c r="E31" s="471"/>
      <c r="F31" s="462"/>
      <c r="G31" s="462"/>
      <c r="H31" s="462">
        <f>SUM(H28:H30)</f>
        <v>4.7E-2</v>
      </c>
      <c r="I31" s="465">
        <f>G25</f>
        <v>19572.5</v>
      </c>
      <c r="J31" s="471">
        <f>ROUND(H31*I31,2)</f>
        <v>919.91</v>
      </c>
      <c r="K31" s="292"/>
      <c r="L31" s="292"/>
    </row>
    <row r="32" spans="1:12" ht="84.75" customHeight="1">
      <c r="A32" s="617"/>
      <c r="B32" s="34"/>
      <c r="C32" s="55" t="s">
        <v>2556</v>
      </c>
      <c r="D32" s="951">
        <v>1</v>
      </c>
      <c r="E32" s="471">
        <v>1</v>
      </c>
      <c r="F32" s="471">
        <f>0.75-2*0.075+2*0.015</f>
        <v>0.63</v>
      </c>
      <c r="G32" s="462">
        <v>1.97</v>
      </c>
      <c r="H32" s="462">
        <f>ROUND(D32*E32*F32*G32,3)</f>
        <v>1.2410000000000001</v>
      </c>
      <c r="I32" s="471">
        <v>1630</v>
      </c>
      <c r="J32" s="471">
        <f>ROUND(H32*I32,2)</f>
        <v>2022.83</v>
      </c>
      <c r="K32" s="31"/>
      <c r="L32" s="205"/>
    </row>
    <row r="33" spans="1:12" ht="20.2" customHeight="1">
      <c r="A33" s="617" t="s">
        <v>2558</v>
      </c>
      <c r="B33" s="34"/>
      <c r="C33" s="54" t="s">
        <v>1482</v>
      </c>
      <c r="D33" s="951">
        <v>1</v>
      </c>
      <c r="E33" s="471">
        <v>1</v>
      </c>
      <c r="F33" s="471">
        <f>0.75-2*0.075+2*0.015</f>
        <v>0.63</v>
      </c>
      <c r="G33" s="462">
        <v>1.97</v>
      </c>
      <c r="H33" s="462">
        <f>ROUND(D33*E33*F33*G33,3)</f>
        <v>1.2410000000000001</v>
      </c>
      <c r="I33" s="465">
        <v>447</v>
      </c>
      <c r="J33" s="471">
        <f>ROUND(H33*I33,2)</f>
        <v>554.73</v>
      </c>
      <c r="K33" s="292"/>
      <c r="L33" s="292"/>
    </row>
    <row r="34" spans="1:12" ht="33.299999999999997">
      <c r="A34" s="617" t="s">
        <v>787</v>
      </c>
      <c r="B34" s="19"/>
      <c r="C34" s="54" t="s">
        <v>788</v>
      </c>
      <c r="D34" s="951"/>
      <c r="E34" s="471"/>
      <c r="F34" s="462"/>
      <c r="G34" s="952"/>
      <c r="H34" s="952"/>
      <c r="I34" s="471"/>
      <c r="J34" s="471"/>
      <c r="K34" s="31"/>
    </row>
    <row r="35" spans="1:12" ht="20.2" customHeight="1">
      <c r="A35" s="617"/>
      <c r="B35" s="19"/>
      <c r="C35" s="24" t="s">
        <v>911</v>
      </c>
      <c r="D35" s="951" t="s">
        <v>1035</v>
      </c>
      <c r="E35" s="471" t="s">
        <v>1617</v>
      </c>
      <c r="F35" s="462"/>
      <c r="G35" s="462"/>
      <c r="H35" s="948">
        <v>2</v>
      </c>
      <c r="I35" s="471">
        <v>68</v>
      </c>
      <c r="J35" s="471">
        <f t="shared" ref="J35:J42" si="1">ROUND(H35*I35,2)</f>
        <v>136</v>
      </c>
      <c r="K35" s="31"/>
    </row>
    <row r="36" spans="1:12" ht="20.2" customHeight="1">
      <c r="A36" s="617"/>
      <c r="B36" s="19"/>
      <c r="C36" s="24" t="s">
        <v>912</v>
      </c>
      <c r="D36" s="951" t="s">
        <v>1035</v>
      </c>
      <c r="E36" s="471" t="s">
        <v>1618</v>
      </c>
      <c r="F36" s="462"/>
      <c r="G36" s="462"/>
      <c r="H36" s="948">
        <v>1</v>
      </c>
      <c r="I36" s="471">
        <v>35</v>
      </c>
      <c r="J36" s="471">
        <f t="shared" si="1"/>
        <v>35</v>
      </c>
      <c r="K36" s="31"/>
    </row>
    <row r="37" spans="1:12" ht="20.2" customHeight="1">
      <c r="A37" s="617"/>
      <c r="B37" s="19"/>
      <c r="C37" s="949" t="s">
        <v>913</v>
      </c>
      <c r="D37" s="951" t="s">
        <v>1035</v>
      </c>
      <c r="E37" s="471" t="s">
        <v>1619</v>
      </c>
      <c r="F37" s="462"/>
      <c r="G37" s="462"/>
      <c r="H37" s="948">
        <v>6</v>
      </c>
      <c r="I37" s="471">
        <v>31</v>
      </c>
      <c r="J37" s="471">
        <f t="shared" si="1"/>
        <v>186</v>
      </c>
      <c r="K37" s="31"/>
    </row>
    <row r="38" spans="1:12" ht="20.2" customHeight="1">
      <c r="A38" s="617"/>
      <c r="B38" s="19"/>
      <c r="C38" s="24" t="s">
        <v>914</v>
      </c>
      <c r="D38" s="951" t="s">
        <v>1035</v>
      </c>
      <c r="E38" s="471" t="s">
        <v>1918</v>
      </c>
      <c r="F38" s="462"/>
      <c r="G38" s="462"/>
      <c r="H38" s="948">
        <v>1</v>
      </c>
      <c r="I38" s="471">
        <v>164</v>
      </c>
      <c r="J38" s="471">
        <f t="shared" si="1"/>
        <v>164</v>
      </c>
      <c r="K38" s="31"/>
    </row>
    <row r="39" spans="1:12" ht="20.2" customHeight="1">
      <c r="A39" s="617"/>
      <c r="B39" s="19"/>
      <c r="C39" s="24" t="s">
        <v>296</v>
      </c>
      <c r="D39" s="951" t="s">
        <v>1035</v>
      </c>
      <c r="E39" s="471" t="s">
        <v>1919</v>
      </c>
      <c r="F39" s="462"/>
      <c r="G39" s="462"/>
      <c r="H39" s="948">
        <v>2</v>
      </c>
      <c r="I39" s="471">
        <v>45</v>
      </c>
      <c r="J39" s="471">
        <f t="shared" si="1"/>
        <v>90</v>
      </c>
      <c r="K39" s="31"/>
    </row>
    <row r="40" spans="1:12" ht="20.2" customHeight="1">
      <c r="A40" s="617"/>
      <c r="B40" s="19"/>
      <c r="C40" s="24" t="s">
        <v>420</v>
      </c>
      <c r="D40" s="951"/>
      <c r="E40" s="471" t="s">
        <v>1649</v>
      </c>
      <c r="F40" s="462"/>
      <c r="G40" s="462"/>
      <c r="H40" s="948">
        <v>2</v>
      </c>
      <c r="I40" s="471">
        <v>31</v>
      </c>
      <c r="J40" s="471">
        <f t="shared" si="1"/>
        <v>62</v>
      </c>
      <c r="K40" s="31"/>
    </row>
    <row r="41" spans="1:12" ht="20.2" customHeight="1">
      <c r="A41" s="617"/>
      <c r="B41" s="19"/>
      <c r="C41" s="24" t="s">
        <v>799</v>
      </c>
      <c r="D41" s="951" t="s">
        <v>882</v>
      </c>
      <c r="E41" s="471" t="s">
        <v>1826</v>
      </c>
      <c r="F41" s="462"/>
      <c r="G41" s="462"/>
      <c r="H41" s="948">
        <v>80</v>
      </c>
      <c r="I41" s="471">
        <v>3</v>
      </c>
      <c r="J41" s="471">
        <f t="shared" si="1"/>
        <v>240</v>
      </c>
      <c r="K41" s="31"/>
    </row>
    <row r="42" spans="1:12" ht="20.2" customHeight="1">
      <c r="A42" s="617"/>
      <c r="B42" s="19"/>
      <c r="C42" s="24" t="s">
        <v>1623</v>
      </c>
      <c r="D42" s="951" t="s">
        <v>882</v>
      </c>
      <c r="E42" s="471" t="s">
        <v>1920</v>
      </c>
      <c r="F42" s="462"/>
      <c r="G42" s="462"/>
      <c r="H42" s="948">
        <v>10</v>
      </c>
      <c r="I42" s="471">
        <v>16</v>
      </c>
      <c r="J42" s="471">
        <f t="shared" si="1"/>
        <v>160</v>
      </c>
      <c r="K42" s="31"/>
    </row>
    <row r="43" spans="1:12" ht="20.2" customHeight="1">
      <c r="A43" s="617"/>
      <c r="B43" s="34"/>
      <c r="C43" s="24" t="s">
        <v>1484</v>
      </c>
      <c r="D43" s="951">
        <v>2.25</v>
      </c>
      <c r="E43" s="471">
        <v>0.75</v>
      </c>
      <c r="F43" s="462"/>
      <c r="G43" s="462">
        <v>2.1</v>
      </c>
      <c r="H43" s="462">
        <f>ROUND(G43*E43*D43/3,2)</f>
        <v>1.18</v>
      </c>
      <c r="I43" s="698">
        <f>G15</f>
        <v>561.35799999999995</v>
      </c>
      <c r="J43" s="471">
        <f>H43*I43/10</f>
        <v>66.24024399999999</v>
      </c>
      <c r="K43" s="31"/>
    </row>
    <row r="44" spans="1:12" ht="20.2" customHeight="1">
      <c r="A44" s="617"/>
      <c r="B44" s="32"/>
      <c r="C44" s="24" t="s">
        <v>1598</v>
      </c>
      <c r="D44" s="951"/>
      <c r="E44" s="953" t="s">
        <v>1651</v>
      </c>
      <c r="F44" s="462"/>
      <c r="G44" s="462"/>
      <c r="H44" s="948">
        <v>6</v>
      </c>
      <c r="I44" s="471">
        <v>32</v>
      </c>
      <c r="J44" s="471">
        <f>ROUND(H44*I44,2)</f>
        <v>192</v>
      </c>
      <c r="K44" s="31"/>
    </row>
    <row r="45" spans="1:12" ht="20.2" customHeight="1">
      <c r="A45" s="617"/>
      <c r="B45" s="34"/>
      <c r="C45" s="24" t="s">
        <v>230</v>
      </c>
      <c r="D45" s="951"/>
      <c r="E45" s="471"/>
      <c r="F45" s="462"/>
      <c r="G45" s="462"/>
      <c r="H45" s="948">
        <v>1</v>
      </c>
      <c r="I45" s="471">
        <v>75</v>
      </c>
      <c r="J45" s="471">
        <f>H45*I45</f>
        <v>75</v>
      </c>
      <c r="K45" s="31"/>
    </row>
    <row r="46" spans="1:12" ht="20.2" customHeight="1">
      <c r="A46" s="617"/>
      <c r="B46" s="34"/>
      <c r="C46" s="24"/>
      <c r="D46" s="951"/>
      <c r="E46" s="471"/>
      <c r="F46" s="462"/>
      <c r="G46" s="462"/>
      <c r="H46" s="462"/>
      <c r="I46" s="471"/>
      <c r="J46" s="468">
        <f>ROUND(SUM(J29:J45),1)</f>
        <v>7008.6</v>
      </c>
      <c r="K46" s="31"/>
    </row>
    <row r="47" spans="1:12" s="18" customFormat="1" ht="20.2" customHeight="1">
      <c r="A47" s="617"/>
      <c r="B47" s="40"/>
      <c r="C47" s="54" t="s">
        <v>1600</v>
      </c>
      <c r="D47" s="954"/>
      <c r="E47" s="468"/>
      <c r="F47" s="458"/>
      <c r="G47" s="458"/>
      <c r="H47" s="458">
        <f>J46</f>
        <v>7008.6</v>
      </c>
      <c r="I47" s="468">
        <f>I6</f>
        <v>0</v>
      </c>
      <c r="J47" s="471">
        <f>ROUND(H47*I47,2)</f>
        <v>0</v>
      </c>
      <c r="K47" s="17"/>
    </row>
    <row r="48" spans="1:12" s="439" customFormat="1" ht="20.2" customHeight="1">
      <c r="A48" s="617" t="s">
        <v>1288</v>
      </c>
      <c r="B48" s="411"/>
      <c r="C48" s="283" t="s">
        <v>256</v>
      </c>
      <c r="D48" s="955"/>
      <c r="E48" s="469"/>
      <c r="F48" s="460"/>
      <c r="G48" s="460"/>
      <c r="H48" s="460"/>
      <c r="I48" s="469" t="s">
        <v>416</v>
      </c>
      <c r="J48" s="469">
        <f>SUM(J46:J47)</f>
        <v>7008.6</v>
      </c>
      <c r="K48" s="447"/>
    </row>
    <row r="49" spans="1:11" s="444" customFormat="1">
      <c r="A49" s="617"/>
      <c r="B49" s="158"/>
      <c r="C49" s="55" t="s">
        <v>538</v>
      </c>
      <c r="D49" s="954"/>
      <c r="E49" s="468"/>
      <c r="F49" s="458"/>
      <c r="G49" s="458"/>
      <c r="H49" s="458"/>
      <c r="I49" s="468"/>
      <c r="J49" s="468"/>
      <c r="K49" s="443"/>
    </row>
    <row r="50" spans="1:11">
      <c r="A50" s="617"/>
      <c r="B50" s="34"/>
      <c r="C50" s="54" t="s">
        <v>779</v>
      </c>
      <c r="D50" s="951"/>
      <c r="E50" s="471"/>
      <c r="F50" s="462"/>
      <c r="G50" s="462"/>
      <c r="H50" s="462"/>
      <c r="I50" s="471"/>
      <c r="J50" s="471"/>
      <c r="K50" s="31"/>
    </row>
    <row r="51" spans="1:11" ht="20.2" customHeight="1">
      <c r="A51" s="617"/>
      <c r="B51" s="34"/>
      <c r="C51" s="54" t="s">
        <v>780</v>
      </c>
      <c r="D51" s="951">
        <v>2</v>
      </c>
      <c r="E51" s="471">
        <v>2.1</v>
      </c>
      <c r="F51" s="462">
        <v>7.4999999999999997E-2</v>
      </c>
      <c r="G51" s="462">
        <v>0.125</v>
      </c>
      <c r="H51" s="462">
        <f>ROUND(D51*E51*F51*G51,3)</f>
        <v>3.9E-2</v>
      </c>
      <c r="I51" s="471">
        <v>44785</v>
      </c>
      <c r="J51" s="471">
        <f>ROUND(H51*I51,2)</f>
        <v>1746.62</v>
      </c>
      <c r="K51" s="31"/>
    </row>
    <row r="52" spans="1:11" ht="20.2" customHeight="1">
      <c r="A52" s="617"/>
      <c r="B52" s="34"/>
      <c r="C52" s="54" t="s">
        <v>781</v>
      </c>
      <c r="D52" s="951">
        <v>1</v>
      </c>
      <c r="E52" s="471">
        <v>0.9</v>
      </c>
      <c r="F52" s="462">
        <v>7.4999999999999997E-2</v>
      </c>
      <c r="G52" s="462">
        <v>0.125</v>
      </c>
      <c r="H52" s="462">
        <f>ROUND(D52*E52*F52*G52,3)</f>
        <v>8.0000000000000002E-3</v>
      </c>
      <c r="I52" s="471">
        <v>44785</v>
      </c>
      <c r="J52" s="471">
        <f>ROUND(H52*I52,2)</f>
        <v>358.28</v>
      </c>
      <c r="K52" s="31"/>
    </row>
    <row r="53" spans="1:11" ht="20.2" customHeight="1">
      <c r="A53" s="617"/>
      <c r="B53" s="34"/>
      <c r="C53" s="54" t="s">
        <v>1482</v>
      </c>
      <c r="D53" s="951"/>
      <c r="E53" s="471"/>
      <c r="F53" s="462"/>
      <c r="G53" s="462"/>
      <c r="H53" s="462">
        <f>SUM(H51:H52)</f>
        <v>4.7E-2</v>
      </c>
      <c r="I53" s="465">
        <f>G25</f>
        <v>19572.5</v>
      </c>
      <c r="J53" s="471">
        <f>ROUND(H53*I53,2)</f>
        <v>919.91</v>
      </c>
      <c r="K53" s="31"/>
    </row>
    <row r="54" spans="1:11" ht="20.2" customHeight="1">
      <c r="A54" s="617"/>
      <c r="B54" s="34"/>
      <c r="C54" s="54" t="s">
        <v>1484</v>
      </c>
      <c r="D54" s="951" t="s">
        <v>1289</v>
      </c>
      <c r="E54" s="471">
        <v>0.75</v>
      </c>
      <c r="F54" s="462"/>
      <c r="G54" s="462">
        <v>2.1</v>
      </c>
      <c r="H54" s="462">
        <f>ROUND(G54*E54*2.25/3,2)</f>
        <v>1.18</v>
      </c>
      <c r="I54" s="698">
        <f>G15</f>
        <v>561.35799999999995</v>
      </c>
      <c r="J54" s="471">
        <f>H54*I54/10</f>
        <v>66.24024399999999</v>
      </c>
      <c r="K54" s="31"/>
    </row>
    <row r="55" spans="1:11" ht="20.2" customHeight="1">
      <c r="A55" s="617"/>
      <c r="B55" s="32"/>
      <c r="C55" s="54" t="s">
        <v>1598</v>
      </c>
      <c r="D55" s="951"/>
      <c r="E55" s="953" t="s">
        <v>1651</v>
      </c>
      <c r="F55" s="462"/>
      <c r="G55" s="462"/>
      <c r="H55" s="948">
        <v>6</v>
      </c>
      <c r="I55" s="471">
        <v>32</v>
      </c>
      <c r="J55" s="471">
        <f>ROUND(H55*I55,2)</f>
        <v>192</v>
      </c>
      <c r="K55" s="31"/>
    </row>
    <row r="56" spans="1:11" ht="20.2" customHeight="1">
      <c r="A56" s="617"/>
      <c r="B56" s="34"/>
      <c r="C56" s="54" t="s">
        <v>230</v>
      </c>
      <c r="D56" s="951"/>
      <c r="E56" s="471"/>
      <c r="F56" s="462"/>
      <c r="G56" s="462"/>
      <c r="H56" s="948">
        <v>1</v>
      </c>
      <c r="I56" s="471">
        <v>50</v>
      </c>
      <c r="J56" s="471">
        <f>H56*I56</f>
        <v>50</v>
      </c>
      <c r="K56" s="31"/>
    </row>
    <row r="57" spans="1:11" ht="20.2" customHeight="1">
      <c r="A57" s="617"/>
      <c r="B57" s="34"/>
      <c r="D57" s="951"/>
      <c r="E57" s="471"/>
      <c r="F57" s="462"/>
      <c r="G57" s="462"/>
      <c r="H57" s="462"/>
      <c r="I57" s="471"/>
      <c r="J57" s="468">
        <f>SUM(J51:J56)</f>
        <v>3333.0502439999996</v>
      </c>
      <c r="K57" s="31"/>
    </row>
    <row r="58" spans="1:11" s="18" customFormat="1" ht="20.2" customHeight="1">
      <c r="A58" s="617"/>
      <c r="B58" s="40"/>
      <c r="C58" s="54" t="s">
        <v>1600</v>
      </c>
      <c r="D58" s="954"/>
      <c r="E58" s="468"/>
      <c r="F58" s="458"/>
      <c r="G58" s="458"/>
      <c r="H58" s="458">
        <f>J57</f>
        <v>3333.0502439999996</v>
      </c>
      <c r="I58" s="468">
        <f>I6</f>
        <v>0</v>
      </c>
      <c r="J58" s="471">
        <f>ROUND(H58*I58,2)</f>
        <v>0</v>
      </c>
      <c r="K58" s="17"/>
    </row>
    <row r="59" spans="1:11" s="439" customFormat="1" ht="20.2" customHeight="1">
      <c r="A59" s="617" t="s">
        <v>1288</v>
      </c>
      <c r="B59" s="411"/>
      <c r="C59" s="283" t="s">
        <v>540</v>
      </c>
      <c r="D59" s="955"/>
      <c r="E59" s="469"/>
      <c r="F59" s="460"/>
      <c r="G59" s="460"/>
      <c r="H59" s="460"/>
      <c r="I59" s="469" t="s">
        <v>1486</v>
      </c>
      <c r="J59" s="469">
        <f>SUM(J57:J58)</f>
        <v>3333.0502439999996</v>
      </c>
      <c r="K59" s="447"/>
    </row>
    <row r="60" spans="1:11" s="439" customFormat="1" ht="20.2" customHeight="1">
      <c r="A60" s="617"/>
      <c r="B60" s="411"/>
      <c r="C60" s="283" t="s">
        <v>541</v>
      </c>
      <c r="D60" s="955"/>
      <c r="E60" s="469"/>
      <c r="F60" s="460"/>
      <c r="G60" s="460"/>
      <c r="H60" s="460"/>
      <c r="I60" s="469" t="s">
        <v>1486</v>
      </c>
      <c r="J60" s="469">
        <f>J48-J59</f>
        <v>3675.5497560000008</v>
      </c>
      <c r="K60" s="447"/>
    </row>
    <row r="61" spans="1:11" ht="245.1">
      <c r="A61" s="617"/>
      <c r="B61" s="26">
        <v>3</v>
      </c>
      <c r="C61" s="54" t="s">
        <v>2275</v>
      </c>
      <c r="D61" s="951"/>
      <c r="E61" s="471"/>
      <c r="F61" s="462"/>
      <c r="G61" s="462"/>
      <c r="H61" s="462"/>
      <c r="I61" s="471"/>
      <c r="J61" s="471"/>
      <c r="K61" s="31"/>
    </row>
    <row r="62" spans="1:11" ht="25.8">
      <c r="A62" s="617"/>
      <c r="B62" s="34"/>
      <c r="C62" s="55" t="s">
        <v>1290</v>
      </c>
      <c r="D62" s="954"/>
      <c r="E62" s="468"/>
      <c r="F62" s="462"/>
      <c r="G62" s="462"/>
      <c r="H62" s="462"/>
      <c r="I62" s="471"/>
      <c r="J62" s="471"/>
      <c r="K62" s="31"/>
    </row>
    <row r="63" spans="1:11">
      <c r="A63" s="617"/>
      <c r="B63" s="34"/>
      <c r="C63" s="54" t="s">
        <v>779</v>
      </c>
      <c r="D63" s="951"/>
      <c r="E63" s="471"/>
      <c r="F63" s="462"/>
      <c r="G63" s="462"/>
      <c r="H63" s="462"/>
      <c r="I63" s="471"/>
      <c r="J63" s="471"/>
      <c r="K63" s="31"/>
    </row>
    <row r="64" spans="1:11" ht="20.2" customHeight="1">
      <c r="A64" s="617"/>
      <c r="B64" s="34"/>
      <c r="C64" s="54" t="s">
        <v>780</v>
      </c>
      <c r="D64" s="951">
        <v>2</v>
      </c>
      <c r="E64" s="471">
        <v>2.1</v>
      </c>
      <c r="F64" s="462">
        <v>7.4999999999999997E-2</v>
      </c>
      <c r="G64" s="462">
        <v>0.125</v>
      </c>
      <c r="H64" s="462">
        <f>ROUND(D64*E64*F64*G64,3)</f>
        <v>3.9E-2</v>
      </c>
      <c r="I64" s="471">
        <v>44785</v>
      </c>
      <c r="J64" s="471">
        <f>ROUND(H64*I64,2)</f>
        <v>1746.62</v>
      </c>
      <c r="K64" s="31"/>
    </row>
    <row r="65" spans="1:12" ht="20.2" customHeight="1">
      <c r="A65" s="617"/>
      <c r="B65" s="34"/>
      <c r="C65" s="54" t="s">
        <v>781</v>
      </c>
      <c r="D65" s="951">
        <v>1</v>
      </c>
      <c r="E65" s="471">
        <v>1.05</v>
      </c>
      <c r="F65" s="462">
        <v>7.4999999999999997E-2</v>
      </c>
      <c r="G65" s="462">
        <v>0.125</v>
      </c>
      <c r="H65" s="462">
        <f>ROUND(D65*E65*F65*G65,3)</f>
        <v>0.01</v>
      </c>
      <c r="I65" s="471">
        <v>44785</v>
      </c>
      <c r="J65" s="471">
        <f>ROUND(H65*I65,2)</f>
        <v>447.85</v>
      </c>
      <c r="K65" s="31"/>
    </row>
    <row r="66" spans="1:12" ht="20.2" customHeight="1">
      <c r="A66" s="617"/>
      <c r="B66" s="34"/>
      <c r="C66" s="54" t="s">
        <v>1482</v>
      </c>
      <c r="D66" s="951"/>
      <c r="E66" s="471"/>
      <c r="F66" s="462"/>
      <c r="G66" s="462"/>
      <c r="H66" s="462">
        <f>SUM(H64:H65)</f>
        <v>4.9000000000000002E-2</v>
      </c>
      <c r="I66" s="465">
        <f>G25</f>
        <v>19572.5</v>
      </c>
      <c r="J66" s="471">
        <f>ROUND(H66*I66,2)</f>
        <v>959.05</v>
      </c>
      <c r="K66" s="31"/>
    </row>
    <row r="67" spans="1:12" ht="84.75" customHeight="1">
      <c r="A67" s="617"/>
      <c r="B67" s="34"/>
      <c r="C67" s="55" t="s">
        <v>2556</v>
      </c>
      <c r="D67" s="951">
        <v>1</v>
      </c>
      <c r="E67" s="471">
        <f>0.9-2*0.075</f>
        <v>0.75</v>
      </c>
      <c r="F67" s="471">
        <v>1</v>
      </c>
      <c r="G67" s="462">
        <f>2.1-0.1-0.075</f>
        <v>1.925</v>
      </c>
      <c r="H67" s="462">
        <f>G67*F67*E67*D67</f>
        <v>1.4437500000000001</v>
      </c>
      <c r="I67" s="471">
        <v>1630</v>
      </c>
      <c r="J67" s="471">
        <f>ROUND(H67*I67,2)</f>
        <v>2353.31</v>
      </c>
      <c r="K67" s="31"/>
      <c r="L67" s="205"/>
    </row>
    <row r="68" spans="1:12" ht="20.2" customHeight="1">
      <c r="A68" s="617" t="s">
        <v>2558</v>
      </c>
      <c r="B68" s="34"/>
      <c r="C68" s="54" t="s">
        <v>1482</v>
      </c>
      <c r="D68" s="951">
        <v>1</v>
      </c>
      <c r="E68" s="471">
        <f>0.9-2*0.075</f>
        <v>0.75</v>
      </c>
      <c r="F68" s="471">
        <v>1</v>
      </c>
      <c r="G68" s="462">
        <f>2.1-0.1-0.075</f>
        <v>1.925</v>
      </c>
      <c r="H68" s="462">
        <f>G68*F68*E68*D68</f>
        <v>1.4437500000000001</v>
      </c>
      <c r="I68" s="465">
        <v>447</v>
      </c>
      <c r="J68" s="471">
        <f>ROUND(H68*I68,2)</f>
        <v>645.36</v>
      </c>
      <c r="K68" s="292"/>
      <c r="L68" s="292"/>
    </row>
    <row r="69" spans="1:12" ht="20.2" customHeight="1">
      <c r="A69" s="617"/>
      <c r="B69" s="34"/>
      <c r="D69" s="951"/>
      <c r="E69" s="471"/>
      <c r="F69" s="462"/>
      <c r="G69" s="462"/>
      <c r="H69" s="462"/>
      <c r="I69" s="465"/>
      <c r="J69" s="471"/>
      <c r="K69" s="31"/>
    </row>
    <row r="70" spans="1:12" ht="33.299999999999997">
      <c r="A70" s="617" t="s">
        <v>787</v>
      </c>
      <c r="B70" s="19"/>
      <c r="C70" s="54" t="s">
        <v>788</v>
      </c>
      <c r="D70" s="951"/>
      <c r="E70" s="471"/>
      <c r="F70" s="462"/>
      <c r="G70" s="952"/>
      <c r="H70" s="952"/>
      <c r="I70" s="471"/>
      <c r="J70" s="471"/>
      <c r="K70" s="31"/>
    </row>
    <row r="71" spans="1:12" s="697" customFormat="1" ht="20.2" customHeight="1">
      <c r="A71" s="617"/>
      <c r="B71" s="692"/>
      <c r="C71" s="693" t="s">
        <v>911</v>
      </c>
      <c r="D71" s="951" t="s">
        <v>1035</v>
      </c>
      <c r="E71" s="471" t="s">
        <v>1617</v>
      </c>
      <c r="F71" s="462"/>
      <c r="G71" s="462"/>
      <c r="H71" s="948">
        <v>2</v>
      </c>
      <c r="I71" s="471">
        <v>68</v>
      </c>
      <c r="J71" s="471">
        <f t="shared" ref="J71:J79" si="2">ROUND(H71*I71,2)</f>
        <v>136</v>
      </c>
      <c r="K71" s="694"/>
    </row>
    <row r="72" spans="1:12" s="697" customFormat="1" ht="20.2" customHeight="1">
      <c r="A72" s="617"/>
      <c r="B72" s="692"/>
      <c r="C72" s="693" t="s">
        <v>912</v>
      </c>
      <c r="D72" s="951" t="s">
        <v>1035</v>
      </c>
      <c r="E72" s="471" t="s">
        <v>1618</v>
      </c>
      <c r="F72" s="462"/>
      <c r="G72" s="462"/>
      <c r="H72" s="948">
        <v>1</v>
      </c>
      <c r="I72" s="471">
        <v>35</v>
      </c>
      <c r="J72" s="471">
        <f t="shared" si="2"/>
        <v>35</v>
      </c>
      <c r="K72" s="694"/>
    </row>
    <row r="73" spans="1:12" s="697" customFormat="1" ht="20.2" customHeight="1">
      <c r="A73" s="617"/>
      <c r="B73" s="692"/>
      <c r="C73" s="196" t="s">
        <v>913</v>
      </c>
      <c r="D73" s="951" t="s">
        <v>1035</v>
      </c>
      <c r="E73" s="471" t="s">
        <v>1619</v>
      </c>
      <c r="F73" s="462"/>
      <c r="G73" s="462"/>
      <c r="H73" s="948">
        <v>6</v>
      </c>
      <c r="I73" s="471">
        <v>31</v>
      </c>
      <c r="J73" s="471">
        <f t="shared" si="2"/>
        <v>186</v>
      </c>
      <c r="K73" s="694"/>
    </row>
    <row r="74" spans="1:12" s="697" customFormat="1" ht="20.2" customHeight="1">
      <c r="A74" s="617"/>
      <c r="B74" s="692"/>
      <c r="C74" s="693" t="s">
        <v>914</v>
      </c>
      <c r="D74" s="951" t="s">
        <v>1035</v>
      </c>
      <c r="E74" s="471" t="s">
        <v>1918</v>
      </c>
      <c r="F74" s="462"/>
      <c r="G74" s="462"/>
      <c r="H74" s="948">
        <v>1</v>
      </c>
      <c r="I74" s="471">
        <v>164</v>
      </c>
      <c r="J74" s="471">
        <f t="shared" si="2"/>
        <v>164</v>
      </c>
      <c r="K74" s="694"/>
    </row>
    <row r="75" spans="1:12" s="697" customFormat="1" ht="20.2" customHeight="1">
      <c r="A75" s="617"/>
      <c r="B75" s="692"/>
      <c r="C75" s="693" t="s">
        <v>296</v>
      </c>
      <c r="D75" s="951" t="s">
        <v>1035</v>
      </c>
      <c r="E75" s="471" t="s">
        <v>1919</v>
      </c>
      <c r="F75" s="462"/>
      <c r="G75" s="462"/>
      <c r="H75" s="948">
        <v>2</v>
      </c>
      <c r="I75" s="471">
        <v>45</v>
      </c>
      <c r="J75" s="471">
        <f t="shared" si="2"/>
        <v>90</v>
      </c>
      <c r="K75" s="694"/>
    </row>
    <row r="76" spans="1:12" ht="20.2" customHeight="1">
      <c r="A76" s="617"/>
      <c r="B76" s="19"/>
      <c r="C76" s="54" t="s">
        <v>420</v>
      </c>
      <c r="D76" s="951"/>
      <c r="E76" s="471" t="s">
        <v>1649</v>
      </c>
      <c r="F76" s="462"/>
      <c r="G76" s="462"/>
      <c r="H76" s="948">
        <v>2</v>
      </c>
      <c r="I76" s="471">
        <v>31</v>
      </c>
      <c r="J76" s="471">
        <f t="shared" si="2"/>
        <v>62</v>
      </c>
      <c r="K76" s="31"/>
    </row>
    <row r="77" spans="1:12" s="697" customFormat="1" ht="20.2" customHeight="1">
      <c r="A77" s="617"/>
      <c r="B77" s="692"/>
      <c r="C77" s="693" t="s">
        <v>799</v>
      </c>
      <c r="D77" s="951" t="s">
        <v>882</v>
      </c>
      <c r="E77" s="471" t="s">
        <v>1826</v>
      </c>
      <c r="F77" s="462"/>
      <c r="G77" s="462"/>
      <c r="H77" s="948">
        <v>80</v>
      </c>
      <c r="I77" s="471">
        <v>3</v>
      </c>
      <c r="J77" s="471">
        <f t="shared" si="2"/>
        <v>240</v>
      </c>
      <c r="K77" s="694"/>
    </row>
    <row r="78" spans="1:12" s="697" customFormat="1" ht="20.2" customHeight="1">
      <c r="A78" s="617"/>
      <c r="B78" s="692"/>
      <c r="C78" s="24" t="s">
        <v>1623</v>
      </c>
      <c r="D78" s="951" t="s">
        <v>882</v>
      </c>
      <c r="E78" s="471" t="s">
        <v>1920</v>
      </c>
      <c r="F78" s="462"/>
      <c r="G78" s="462"/>
      <c r="H78" s="948">
        <v>10</v>
      </c>
      <c r="I78" s="471">
        <v>16</v>
      </c>
      <c r="J78" s="471">
        <f t="shared" si="2"/>
        <v>160</v>
      </c>
      <c r="K78" s="694"/>
    </row>
    <row r="79" spans="1:12" s="697" customFormat="1" ht="20.2" customHeight="1">
      <c r="A79" s="617"/>
      <c r="B79" s="694"/>
      <c r="C79" s="693" t="s">
        <v>1598</v>
      </c>
      <c r="D79" s="951"/>
      <c r="E79" s="953" t="s">
        <v>1651</v>
      </c>
      <c r="F79" s="462"/>
      <c r="G79" s="462"/>
      <c r="H79" s="948">
        <v>6</v>
      </c>
      <c r="I79" s="471">
        <v>32</v>
      </c>
      <c r="J79" s="471">
        <f t="shared" si="2"/>
        <v>192</v>
      </c>
      <c r="K79" s="694"/>
    </row>
    <row r="80" spans="1:12" s="697" customFormat="1" ht="20.2" customHeight="1">
      <c r="A80" s="617"/>
      <c r="B80" s="695"/>
      <c r="C80" s="693" t="s">
        <v>1484</v>
      </c>
      <c r="D80" s="951">
        <v>2.25</v>
      </c>
      <c r="E80" s="471">
        <v>0.9</v>
      </c>
      <c r="F80" s="462"/>
      <c r="G80" s="462">
        <v>2.1</v>
      </c>
      <c r="H80" s="462">
        <f>ROUND(G80*E80*D80/3,2)</f>
        <v>1.42</v>
      </c>
      <c r="I80" s="698">
        <f>G15</f>
        <v>561.35799999999995</v>
      </c>
      <c r="J80" s="471">
        <f>H80*I80/10</f>
        <v>79.712835999999996</v>
      </c>
      <c r="K80" s="694"/>
    </row>
    <row r="81" spans="1:11" s="697" customFormat="1" ht="20.2" customHeight="1">
      <c r="A81" s="617"/>
      <c r="B81" s="695"/>
      <c r="C81" s="693" t="s">
        <v>230</v>
      </c>
      <c r="D81" s="951"/>
      <c r="E81" s="471"/>
      <c r="F81" s="462"/>
      <c r="G81" s="462"/>
      <c r="H81" s="948">
        <v>1</v>
      </c>
      <c r="I81" s="471">
        <v>75</v>
      </c>
      <c r="J81" s="471">
        <f>H81*I81</f>
        <v>75</v>
      </c>
      <c r="K81" s="694"/>
    </row>
    <row r="82" spans="1:11" ht="20.2" customHeight="1">
      <c r="A82" s="617"/>
      <c r="B82" s="34"/>
      <c r="D82" s="951"/>
      <c r="E82" s="471"/>
      <c r="F82" s="462"/>
      <c r="G82" s="462"/>
      <c r="H82" s="462"/>
      <c r="I82" s="471"/>
      <c r="J82" s="471">
        <f>SUM(J64:J81)</f>
        <v>7571.9028359999993</v>
      </c>
      <c r="K82" s="31"/>
    </row>
    <row r="83" spans="1:11" s="18" customFormat="1" ht="20.2" customHeight="1">
      <c r="A83" s="617"/>
      <c r="B83" s="40"/>
      <c r="C83" s="54" t="s">
        <v>1600</v>
      </c>
      <c r="D83" s="954"/>
      <c r="E83" s="468"/>
      <c r="F83" s="458"/>
      <c r="G83" s="458"/>
      <c r="H83" s="458">
        <f>J82</f>
        <v>7571.9028359999993</v>
      </c>
      <c r="I83" s="468">
        <f>I6</f>
        <v>0</v>
      </c>
      <c r="J83" s="471">
        <f>ROUND(H83*I83,2)</f>
        <v>0</v>
      </c>
      <c r="K83" s="17"/>
    </row>
    <row r="84" spans="1:11" s="439" customFormat="1" ht="20.2" customHeight="1">
      <c r="A84" s="617" t="s">
        <v>542</v>
      </c>
      <c r="B84" s="411"/>
      <c r="C84" s="283" t="s">
        <v>256</v>
      </c>
      <c r="D84" s="955"/>
      <c r="E84" s="469"/>
      <c r="F84" s="460"/>
      <c r="G84" s="460"/>
      <c r="H84" s="460"/>
      <c r="I84" s="469" t="s">
        <v>416</v>
      </c>
      <c r="J84" s="469">
        <f>SUM(J82:J83)</f>
        <v>7571.9028359999993</v>
      </c>
      <c r="K84" s="447"/>
    </row>
    <row r="85" spans="1:11">
      <c r="A85" s="617"/>
      <c r="B85" s="34"/>
      <c r="C85" s="55" t="s">
        <v>1291</v>
      </c>
      <c r="D85" s="954"/>
      <c r="E85" s="468"/>
      <c r="F85" s="462"/>
      <c r="G85" s="462"/>
      <c r="H85" s="462"/>
      <c r="I85" s="471"/>
      <c r="J85" s="471"/>
      <c r="K85" s="31"/>
    </row>
    <row r="86" spans="1:11">
      <c r="A86" s="617"/>
      <c r="B86" s="34"/>
      <c r="C86" s="54" t="s">
        <v>779</v>
      </c>
      <c r="D86" s="951"/>
      <c r="E86" s="471"/>
      <c r="F86" s="462"/>
      <c r="G86" s="462"/>
      <c r="H86" s="462"/>
      <c r="I86" s="471"/>
      <c r="J86" s="471"/>
      <c r="K86" s="31"/>
    </row>
    <row r="87" spans="1:11" ht="20.2" customHeight="1">
      <c r="A87" s="617"/>
      <c r="B87" s="34"/>
      <c r="C87" s="54" t="s">
        <v>780</v>
      </c>
      <c r="D87" s="951">
        <v>2</v>
      </c>
      <c r="E87" s="471">
        <v>2.1</v>
      </c>
      <c r="F87" s="462">
        <v>0.1</v>
      </c>
      <c r="G87" s="462">
        <v>7.4999999999999997E-2</v>
      </c>
      <c r="H87" s="462">
        <f>ROUND(D87*E87*F87*G87,3)</f>
        <v>3.2000000000000001E-2</v>
      </c>
      <c r="I87" s="471">
        <v>44785</v>
      </c>
      <c r="J87" s="471">
        <f>ROUND(H87*I87,2)</f>
        <v>1433.12</v>
      </c>
      <c r="K87" s="31"/>
    </row>
    <row r="88" spans="1:11" ht="20.2" customHeight="1">
      <c r="A88" s="617"/>
      <c r="B88" s="34"/>
      <c r="C88" s="54" t="s">
        <v>781</v>
      </c>
      <c r="D88" s="951">
        <v>1</v>
      </c>
      <c r="E88" s="471">
        <v>1.05</v>
      </c>
      <c r="F88" s="462">
        <v>0.1</v>
      </c>
      <c r="G88" s="462">
        <v>7.4999999999999997E-2</v>
      </c>
      <c r="H88" s="462">
        <f>ROUND(D88*E88*F88*G88,3)</f>
        <v>8.0000000000000002E-3</v>
      </c>
      <c r="I88" s="471">
        <v>44785</v>
      </c>
      <c r="J88" s="471">
        <f>ROUND(H88*I88,2)</f>
        <v>358.28</v>
      </c>
      <c r="K88" s="31"/>
    </row>
    <row r="89" spans="1:11" ht="20.2" customHeight="1">
      <c r="A89" s="617"/>
      <c r="B89" s="34"/>
      <c r="C89" s="54" t="s">
        <v>1482</v>
      </c>
      <c r="D89" s="951"/>
      <c r="E89" s="471"/>
      <c r="F89" s="462"/>
      <c r="G89" s="462"/>
      <c r="H89" s="462">
        <f>SUM(H87:H88)</f>
        <v>0.04</v>
      </c>
      <c r="I89" s="465">
        <f>G25</f>
        <v>19572.5</v>
      </c>
      <c r="J89" s="471">
        <f>ROUND(H89*I89,2)</f>
        <v>782.9</v>
      </c>
      <c r="K89" s="31"/>
    </row>
    <row r="90" spans="1:11" ht="33.299999999999997">
      <c r="A90" s="617" t="s">
        <v>787</v>
      </c>
      <c r="B90" s="19"/>
      <c r="C90" s="54" t="s">
        <v>788</v>
      </c>
      <c r="D90" s="951"/>
      <c r="E90" s="471"/>
      <c r="F90" s="462"/>
      <c r="G90" s="952"/>
      <c r="H90" s="952"/>
      <c r="I90" s="471"/>
      <c r="J90" s="471"/>
      <c r="K90" s="31"/>
    </row>
    <row r="91" spans="1:11" ht="20.2" customHeight="1">
      <c r="A91" s="617"/>
      <c r="B91" s="32"/>
      <c r="C91" s="54" t="s">
        <v>1598</v>
      </c>
      <c r="D91" s="951"/>
      <c r="E91" s="953" t="s">
        <v>1651</v>
      </c>
      <c r="F91" s="462"/>
      <c r="G91" s="462"/>
      <c r="H91" s="948">
        <v>6</v>
      </c>
      <c r="I91" s="471">
        <v>32</v>
      </c>
      <c r="J91" s="471">
        <f>ROUND(H91*I91,2)</f>
        <v>192</v>
      </c>
      <c r="K91" s="31"/>
    </row>
    <row r="92" spans="1:11" ht="20.2" customHeight="1">
      <c r="A92" s="617"/>
      <c r="B92" s="34"/>
      <c r="C92" s="54" t="s">
        <v>1484</v>
      </c>
      <c r="D92" s="951" t="s">
        <v>539</v>
      </c>
      <c r="E92" s="471">
        <v>0.9</v>
      </c>
      <c r="F92" s="462"/>
      <c r="G92" s="471">
        <v>2.1</v>
      </c>
      <c r="H92" s="462">
        <f>ROUND(G92*E92*2.25/3,2)</f>
        <v>1.42</v>
      </c>
      <c r="I92" s="698">
        <f>G15</f>
        <v>561.35799999999995</v>
      </c>
      <c r="J92" s="471">
        <f>H92*I92/10</f>
        <v>79.712835999999996</v>
      </c>
      <c r="K92" s="31"/>
    </row>
    <row r="93" spans="1:11" ht="20.2" customHeight="1">
      <c r="A93" s="617"/>
      <c r="B93" s="34"/>
      <c r="C93" s="54" t="s">
        <v>230</v>
      </c>
      <c r="D93" s="951"/>
      <c r="E93" s="471"/>
      <c r="F93" s="462"/>
      <c r="G93" s="462"/>
      <c r="H93" s="948">
        <v>1</v>
      </c>
      <c r="I93" s="471">
        <v>50</v>
      </c>
      <c r="J93" s="471">
        <f>H93*I93</f>
        <v>50</v>
      </c>
      <c r="K93" s="31"/>
    </row>
    <row r="94" spans="1:11" ht="20.2" customHeight="1">
      <c r="A94" s="617"/>
      <c r="B94" s="34"/>
      <c r="D94" s="951"/>
      <c r="E94" s="471"/>
      <c r="F94" s="462"/>
      <c r="G94" s="462"/>
      <c r="H94" s="462"/>
      <c r="I94" s="471"/>
      <c r="J94" s="471">
        <f>SUM(J87:J93)</f>
        <v>2896.0128359999999</v>
      </c>
      <c r="K94" s="31"/>
    </row>
    <row r="95" spans="1:11" s="18" customFormat="1" ht="20.2" customHeight="1">
      <c r="A95" s="617"/>
      <c r="B95" s="40"/>
      <c r="C95" s="54" t="s">
        <v>1600</v>
      </c>
      <c r="D95" s="954"/>
      <c r="E95" s="468"/>
      <c r="F95" s="458"/>
      <c r="G95" s="458"/>
      <c r="H95" s="458">
        <f>J94</f>
        <v>2896.0128359999999</v>
      </c>
      <c r="I95" s="468">
        <f>I6</f>
        <v>0</v>
      </c>
      <c r="J95" s="471">
        <f>ROUND(H95*I95,2)</f>
        <v>0</v>
      </c>
      <c r="K95" s="17"/>
    </row>
    <row r="96" spans="1:11" s="439" customFormat="1" ht="32.25" customHeight="1">
      <c r="A96" s="617" t="s">
        <v>542</v>
      </c>
      <c r="B96" s="411"/>
      <c r="C96" s="448" t="s">
        <v>1292</v>
      </c>
      <c r="D96" s="955"/>
      <c r="E96" s="469"/>
      <c r="F96" s="460"/>
      <c r="G96" s="460"/>
      <c r="H96" s="460"/>
      <c r="I96" s="469" t="s">
        <v>416</v>
      </c>
      <c r="J96" s="469">
        <f>SUM(J94:J95)</f>
        <v>2896.0128359999999</v>
      </c>
      <c r="K96" s="447"/>
    </row>
    <row r="97" spans="1:11" s="439" customFormat="1" ht="31.5" customHeight="1">
      <c r="A97" s="617"/>
      <c r="B97" s="411"/>
      <c r="C97" s="448" t="s">
        <v>1293</v>
      </c>
      <c r="D97" s="955"/>
      <c r="E97" s="469"/>
      <c r="F97" s="460"/>
      <c r="G97" s="460"/>
      <c r="H97" s="460"/>
      <c r="I97" s="469" t="s">
        <v>416</v>
      </c>
      <c r="J97" s="469">
        <f>J84-J96</f>
        <v>4675.8899999999994</v>
      </c>
      <c r="K97" s="447"/>
    </row>
    <row r="98" spans="1:11" ht="245.1" hidden="1">
      <c r="A98" s="617"/>
      <c r="B98" s="966">
        <v>4</v>
      </c>
      <c r="C98" s="55" t="s">
        <v>1827</v>
      </c>
      <c r="D98" s="951"/>
      <c r="E98" s="471"/>
      <c r="F98" s="462"/>
      <c r="G98" s="462"/>
      <c r="H98" s="462"/>
      <c r="I98" s="471"/>
      <c r="J98" s="471"/>
      <c r="K98" s="31"/>
    </row>
    <row r="99" spans="1:11" hidden="1">
      <c r="A99" s="617"/>
      <c r="B99" s="34"/>
      <c r="C99" s="55" t="s">
        <v>793</v>
      </c>
      <c r="D99" s="954"/>
      <c r="E99" s="468"/>
      <c r="F99" s="462"/>
      <c r="G99" s="462"/>
      <c r="H99" s="462"/>
      <c r="I99" s="471"/>
      <c r="J99" s="471"/>
      <c r="K99" s="31"/>
    </row>
    <row r="100" spans="1:11" hidden="1">
      <c r="A100" s="617"/>
      <c r="B100" s="34"/>
      <c r="C100" s="54" t="s">
        <v>779</v>
      </c>
      <c r="D100" s="951"/>
      <c r="E100" s="471"/>
      <c r="F100" s="462"/>
      <c r="G100" s="462"/>
      <c r="H100" s="462"/>
      <c r="I100" s="471"/>
      <c r="J100" s="471"/>
      <c r="K100" s="31"/>
    </row>
    <row r="101" spans="1:11" ht="20.2" hidden="1" customHeight="1">
      <c r="A101" s="617"/>
      <c r="B101" s="34"/>
      <c r="C101" s="54" t="s">
        <v>780</v>
      </c>
      <c r="D101" s="951">
        <v>2</v>
      </c>
      <c r="E101" s="471">
        <v>2.1</v>
      </c>
      <c r="F101" s="462">
        <v>0.1</v>
      </c>
      <c r="G101" s="462">
        <v>7.4999999999999997E-2</v>
      </c>
      <c r="H101" s="462">
        <f>ROUND(D101*E101*F101*G101,3)</f>
        <v>3.2000000000000001E-2</v>
      </c>
      <c r="I101" s="471">
        <v>44785</v>
      </c>
      <c r="J101" s="471">
        <f t="shared" ref="J101:J106" si="3">ROUND(H101*I101,2)</f>
        <v>1433.12</v>
      </c>
      <c r="K101" s="31"/>
    </row>
    <row r="102" spans="1:11" ht="20.2" hidden="1" customHeight="1">
      <c r="A102" s="617"/>
      <c r="B102" s="34"/>
      <c r="C102" s="54" t="s">
        <v>781</v>
      </c>
      <c r="D102" s="951">
        <v>1</v>
      </c>
      <c r="E102" s="471">
        <v>1.2</v>
      </c>
      <c r="F102" s="462">
        <v>0.1</v>
      </c>
      <c r="G102" s="462">
        <v>7.4999999999999997E-2</v>
      </c>
      <c r="H102" s="462">
        <f>ROUND(D102*E102*F102*G102,3)</f>
        <v>8.9999999999999993E-3</v>
      </c>
      <c r="I102" s="471">
        <v>44785</v>
      </c>
      <c r="J102" s="471">
        <f t="shared" si="3"/>
        <v>403.07</v>
      </c>
      <c r="K102" s="31"/>
    </row>
    <row r="103" spans="1:11" ht="20.2" hidden="1" customHeight="1">
      <c r="A103" s="617"/>
      <c r="B103" s="34"/>
      <c r="C103" s="54" t="s">
        <v>782</v>
      </c>
      <c r="D103" s="951">
        <v>4</v>
      </c>
      <c r="E103" s="471">
        <f>(2.1-1*0.075-0.075)+1*0.015</f>
        <v>1.9649999999999999</v>
      </c>
      <c r="F103" s="462">
        <v>0.1</v>
      </c>
      <c r="G103" s="462">
        <f>1.25*25.4/1000</f>
        <v>3.175E-2</v>
      </c>
      <c r="H103" s="462">
        <f>ROUND(D103*E103*F103*G103,3)</f>
        <v>2.5000000000000001E-2</v>
      </c>
      <c r="I103" s="471">
        <v>59715</v>
      </c>
      <c r="J103" s="471">
        <f t="shared" si="3"/>
        <v>1492.88</v>
      </c>
      <c r="K103" s="31"/>
    </row>
    <row r="104" spans="1:11" ht="20.2" hidden="1" customHeight="1">
      <c r="A104" s="617"/>
      <c r="B104" s="34"/>
      <c r="C104" s="54" t="s">
        <v>783</v>
      </c>
      <c r="D104" s="951" t="s">
        <v>791</v>
      </c>
      <c r="E104" s="471">
        <f>(1.05-2*0.075+2*0.015)/2</f>
        <v>0.46500000000000002</v>
      </c>
      <c r="F104" s="462">
        <v>0.1</v>
      </c>
      <c r="G104" s="462">
        <f>1.25*25.4/1000</f>
        <v>3.175E-2</v>
      </c>
      <c r="H104" s="462">
        <f>ROUND(12*E104*F104*G104,3)</f>
        <v>1.7999999999999999E-2</v>
      </c>
      <c r="I104" s="471">
        <v>59715</v>
      </c>
      <c r="J104" s="471">
        <f t="shared" si="3"/>
        <v>1074.8699999999999</v>
      </c>
      <c r="K104" s="31"/>
    </row>
    <row r="105" spans="1:11" ht="20.2" hidden="1" customHeight="1">
      <c r="A105" s="617"/>
      <c r="B105" s="34"/>
      <c r="C105" s="54" t="s">
        <v>1481</v>
      </c>
      <c r="D105" s="951" t="s">
        <v>792</v>
      </c>
      <c r="E105" s="471">
        <f>(1.05-2*0.075+2*0.015)/2-2*0.1+2*0.025</f>
        <v>0.315</v>
      </c>
      <c r="F105" s="462">
        <f>(2.1-2*0.075+1*0.015-6*0.1)/5+2*0.025</f>
        <v>0.32300000000000001</v>
      </c>
      <c r="G105" s="462">
        <v>2.5000000000000001E-2</v>
      </c>
      <c r="H105" s="462">
        <f>ROUND(10*E105*F105*G105,3)</f>
        <v>2.5000000000000001E-2</v>
      </c>
      <c r="I105" s="471">
        <v>59715</v>
      </c>
      <c r="J105" s="471">
        <f t="shared" si="3"/>
        <v>1492.88</v>
      </c>
      <c r="K105" s="31"/>
    </row>
    <row r="106" spans="1:11" ht="20.2" hidden="1" customHeight="1">
      <c r="A106" s="617"/>
      <c r="B106" s="34"/>
      <c r="C106" s="54" t="s">
        <v>1482</v>
      </c>
      <c r="D106" s="951"/>
      <c r="E106" s="471"/>
      <c r="F106" s="462"/>
      <c r="G106" s="462"/>
      <c r="H106" s="462">
        <f>SUM(H101:H105)</f>
        <v>0.10900000000000001</v>
      </c>
      <c r="I106" s="465">
        <f>G25</f>
        <v>19572.5</v>
      </c>
      <c r="J106" s="471">
        <f t="shared" si="3"/>
        <v>2133.4</v>
      </c>
      <c r="K106" s="31"/>
    </row>
    <row r="107" spans="1:11" ht="33.299999999999997" hidden="1">
      <c r="A107" s="617" t="s">
        <v>787</v>
      </c>
      <c r="B107" s="19"/>
      <c r="C107" s="54" t="s">
        <v>788</v>
      </c>
      <c r="D107" s="951"/>
      <c r="E107" s="471"/>
      <c r="F107" s="462"/>
      <c r="G107" s="952"/>
      <c r="H107" s="952"/>
      <c r="I107" s="471"/>
      <c r="J107" s="471"/>
      <c r="K107" s="31"/>
    </row>
    <row r="108" spans="1:11" ht="20.2" hidden="1" customHeight="1">
      <c r="A108" s="617"/>
      <c r="B108" s="19"/>
      <c r="C108" s="693" t="s">
        <v>911</v>
      </c>
      <c r="D108" s="951" t="s">
        <v>1035</v>
      </c>
      <c r="E108" s="471" t="s">
        <v>1617</v>
      </c>
      <c r="F108" s="462"/>
      <c r="G108" s="462"/>
      <c r="H108" s="948">
        <v>2</v>
      </c>
      <c r="I108" s="471">
        <v>68</v>
      </c>
      <c r="J108" s="471">
        <f t="shared" ref="J108:J116" si="4">ROUND(H108*I108,2)</f>
        <v>136</v>
      </c>
      <c r="K108" s="31"/>
    </row>
    <row r="109" spans="1:11" ht="20.2" hidden="1" customHeight="1">
      <c r="A109" s="617"/>
      <c r="B109" s="19"/>
      <c r="C109" s="693" t="s">
        <v>912</v>
      </c>
      <c r="D109" s="951" t="s">
        <v>1035</v>
      </c>
      <c r="E109" s="471" t="s">
        <v>1618</v>
      </c>
      <c r="F109" s="462"/>
      <c r="G109" s="462"/>
      <c r="H109" s="948">
        <v>1</v>
      </c>
      <c r="I109" s="471">
        <v>35</v>
      </c>
      <c r="J109" s="471">
        <f t="shared" si="4"/>
        <v>35</v>
      </c>
      <c r="K109" s="31"/>
    </row>
    <row r="110" spans="1:11" ht="20.2" hidden="1" customHeight="1">
      <c r="A110" s="617"/>
      <c r="B110" s="19"/>
      <c r="C110" s="196" t="s">
        <v>913</v>
      </c>
      <c r="D110" s="951" t="s">
        <v>1035</v>
      </c>
      <c r="E110" s="471" t="s">
        <v>1619</v>
      </c>
      <c r="F110" s="462"/>
      <c r="G110" s="462"/>
      <c r="H110" s="948">
        <v>6</v>
      </c>
      <c r="I110" s="471">
        <v>31</v>
      </c>
      <c r="J110" s="471">
        <f t="shared" si="4"/>
        <v>186</v>
      </c>
      <c r="K110" s="31"/>
    </row>
    <row r="111" spans="1:11" ht="20.2" hidden="1" customHeight="1">
      <c r="A111" s="617"/>
      <c r="B111" s="19"/>
      <c r="C111" s="693" t="s">
        <v>914</v>
      </c>
      <c r="D111" s="951" t="s">
        <v>1035</v>
      </c>
      <c r="E111" s="471" t="s">
        <v>1918</v>
      </c>
      <c r="F111" s="462"/>
      <c r="G111" s="462"/>
      <c r="H111" s="948">
        <v>1</v>
      </c>
      <c r="I111" s="471">
        <v>164</v>
      </c>
      <c r="J111" s="471">
        <f t="shared" si="4"/>
        <v>164</v>
      </c>
      <c r="K111" s="31"/>
    </row>
    <row r="112" spans="1:11" ht="20.2" hidden="1" customHeight="1">
      <c r="A112" s="617"/>
      <c r="B112" s="19"/>
      <c r="C112" s="693" t="s">
        <v>296</v>
      </c>
      <c r="D112" s="951" t="s">
        <v>1035</v>
      </c>
      <c r="E112" s="471" t="s">
        <v>1919</v>
      </c>
      <c r="F112" s="462"/>
      <c r="G112" s="462"/>
      <c r="H112" s="948">
        <v>2</v>
      </c>
      <c r="I112" s="471">
        <v>45</v>
      </c>
      <c r="J112" s="471">
        <f t="shared" si="4"/>
        <v>90</v>
      </c>
      <c r="K112" s="31"/>
    </row>
    <row r="113" spans="1:11" ht="20.2" hidden="1" customHeight="1">
      <c r="A113" s="617"/>
      <c r="B113" s="19"/>
      <c r="C113" s="54" t="s">
        <v>420</v>
      </c>
      <c r="D113" s="951"/>
      <c r="E113" s="471" t="s">
        <v>1649</v>
      </c>
      <c r="F113" s="462"/>
      <c r="G113" s="462"/>
      <c r="H113" s="948">
        <v>3</v>
      </c>
      <c r="I113" s="471">
        <v>31</v>
      </c>
      <c r="J113" s="471">
        <f t="shared" si="4"/>
        <v>93</v>
      </c>
      <c r="K113" s="31"/>
    </row>
    <row r="114" spans="1:11" ht="20.2" hidden="1" customHeight="1">
      <c r="A114" s="617"/>
      <c r="B114" s="19"/>
      <c r="C114" s="693" t="s">
        <v>799</v>
      </c>
      <c r="D114" s="951" t="s">
        <v>882</v>
      </c>
      <c r="E114" s="471" t="s">
        <v>1826</v>
      </c>
      <c r="F114" s="462"/>
      <c r="G114" s="462"/>
      <c r="H114" s="948">
        <v>80</v>
      </c>
      <c r="I114" s="471">
        <v>3</v>
      </c>
      <c r="J114" s="471">
        <f t="shared" si="4"/>
        <v>240</v>
      </c>
      <c r="K114" s="31"/>
    </row>
    <row r="115" spans="1:11" ht="20.2" hidden="1" customHeight="1">
      <c r="A115" s="617"/>
      <c r="B115" s="19"/>
      <c r="C115" s="24" t="s">
        <v>1623</v>
      </c>
      <c r="D115" s="951" t="s">
        <v>882</v>
      </c>
      <c r="E115" s="471" t="s">
        <v>1920</v>
      </c>
      <c r="F115" s="462"/>
      <c r="G115" s="462"/>
      <c r="H115" s="948">
        <v>10</v>
      </c>
      <c r="I115" s="471">
        <v>16</v>
      </c>
      <c r="J115" s="471">
        <f t="shared" si="4"/>
        <v>160</v>
      </c>
      <c r="K115" s="31"/>
    </row>
    <row r="116" spans="1:11" ht="20.2" hidden="1" customHeight="1">
      <c r="A116" s="617"/>
      <c r="B116" s="32"/>
      <c r="C116" s="693" t="s">
        <v>1598</v>
      </c>
      <c r="D116" s="951"/>
      <c r="E116" s="953" t="s">
        <v>1651</v>
      </c>
      <c r="F116" s="462"/>
      <c r="G116" s="462"/>
      <c r="H116" s="948">
        <v>6</v>
      </c>
      <c r="I116" s="471">
        <v>32</v>
      </c>
      <c r="J116" s="471">
        <f t="shared" si="4"/>
        <v>192</v>
      </c>
      <c r="K116" s="31"/>
    </row>
    <row r="117" spans="1:11" ht="20.2" hidden="1" customHeight="1">
      <c r="A117" s="617"/>
      <c r="B117" s="34"/>
      <c r="C117" s="54" t="s">
        <v>1484</v>
      </c>
      <c r="D117" s="951">
        <v>2.25</v>
      </c>
      <c r="E117" s="471">
        <v>1.05</v>
      </c>
      <c r="F117" s="462"/>
      <c r="G117" s="471">
        <v>2.1</v>
      </c>
      <c r="H117" s="462">
        <f>ROUND(G117*E117*D117,2)</f>
        <v>4.96</v>
      </c>
      <c r="I117" s="698">
        <f>G15</f>
        <v>561.35799999999995</v>
      </c>
      <c r="J117" s="471">
        <f>H117*I117/10</f>
        <v>278.43356799999998</v>
      </c>
      <c r="K117" s="31"/>
    </row>
    <row r="118" spans="1:11" ht="20.2" hidden="1" customHeight="1">
      <c r="A118" s="617"/>
      <c r="B118" s="34"/>
      <c r="C118" s="54" t="s">
        <v>230</v>
      </c>
      <c r="D118" s="951"/>
      <c r="E118" s="471"/>
      <c r="F118" s="462"/>
      <c r="G118" s="462"/>
      <c r="H118" s="948">
        <v>1</v>
      </c>
      <c r="I118" s="471">
        <v>75</v>
      </c>
      <c r="J118" s="471">
        <f>H118*I118</f>
        <v>75</v>
      </c>
      <c r="K118" s="31"/>
    </row>
    <row r="119" spans="1:11" ht="20.2" hidden="1" customHeight="1">
      <c r="A119" s="617"/>
      <c r="B119" s="34"/>
      <c r="D119" s="951"/>
      <c r="E119" s="471"/>
      <c r="F119" s="462"/>
      <c r="G119" s="462"/>
      <c r="H119" s="462"/>
      <c r="I119" s="471"/>
      <c r="J119" s="471">
        <f>SUM(J101:J118)</f>
        <v>9679.6535679999997</v>
      </c>
      <c r="K119" s="31"/>
    </row>
    <row r="120" spans="1:11" s="18" customFormat="1" ht="20.2" hidden="1" customHeight="1">
      <c r="A120" s="617"/>
      <c r="B120" s="40"/>
      <c r="C120" s="54" t="s">
        <v>1600</v>
      </c>
      <c r="D120" s="954"/>
      <c r="E120" s="468"/>
      <c r="F120" s="458"/>
      <c r="G120" s="458"/>
      <c r="H120" s="458">
        <f>J119</f>
        <v>9679.6535679999997</v>
      </c>
      <c r="I120" s="468">
        <f>I6</f>
        <v>0</v>
      </c>
      <c r="J120" s="468">
        <f>ROUND(H120*I120,2)</f>
        <v>0</v>
      </c>
      <c r="K120" s="17"/>
    </row>
    <row r="121" spans="1:11" s="18" customFormat="1" ht="20.2" hidden="1" customHeight="1">
      <c r="A121" s="617"/>
      <c r="B121" s="411"/>
      <c r="C121" s="283" t="s">
        <v>256</v>
      </c>
      <c r="D121" s="955"/>
      <c r="E121" s="469"/>
      <c r="F121" s="460"/>
      <c r="G121" s="460"/>
      <c r="H121" s="460"/>
      <c r="I121" s="469" t="s">
        <v>416</v>
      </c>
      <c r="J121" s="469">
        <f>SUM(J119:J120)</f>
        <v>9679.6535679999997</v>
      </c>
      <c r="K121" s="17"/>
    </row>
    <row r="122" spans="1:11" hidden="1">
      <c r="A122" s="617"/>
      <c r="B122" s="34"/>
      <c r="C122" s="55" t="s">
        <v>1294</v>
      </c>
      <c r="D122" s="954"/>
      <c r="E122" s="468"/>
      <c r="F122" s="462"/>
      <c r="G122" s="462"/>
      <c r="H122" s="462"/>
      <c r="I122" s="471"/>
      <c r="J122" s="471"/>
      <c r="K122" s="31"/>
    </row>
    <row r="123" spans="1:11" hidden="1">
      <c r="A123" s="617"/>
      <c r="B123" s="34"/>
      <c r="C123" s="54" t="s">
        <v>779</v>
      </c>
      <c r="D123" s="951"/>
      <c r="E123" s="471"/>
      <c r="F123" s="462"/>
      <c r="G123" s="462"/>
      <c r="H123" s="462"/>
      <c r="I123" s="471"/>
      <c r="J123" s="471"/>
      <c r="K123" s="31"/>
    </row>
    <row r="124" spans="1:11" ht="20.2" hidden="1" customHeight="1">
      <c r="A124" s="617"/>
      <c r="B124" s="34"/>
      <c r="C124" s="54" t="s">
        <v>780</v>
      </c>
      <c r="D124" s="951">
        <v>2</v>
      </c>
      <c r="E124" s="471">
        <v>2.1</v>
      </c>
      <c r="F124" s="462">
        <v>0.1</v>
      </c>
      <c r="G124" s="462">
        <v>7.4999999999999997E-2</v>
      </c>
      <c r="H124" s="462">
        <f>ROUND(D124*E124*F124*G124,3)</f>
        <v>3.2000000000000001E-2</v>
      </c>
      <c r="I124" s="471">
        <v>44785</v>
      </c>
      <c r="J124" s="471">
        <f>ROUND(H124*I124,2)</f>
        <v>1433.12</v>
      </c>
      <c r="K124" s="31"/>
    </row>
    <row r="125" spans="1:11" ht="20.2" hidden="1" customHeight="1">
      <c r="A125" s="617"/>
      <c r="B125" s="34"/>
      <c r="C125" s="54" t="s">
        <v>781</v>
      </c>
      <c r="D125" s="951">
        <v>1</v>
      </c>
      <c r="E125" s="471">
        <v>1.2</v>
      </c>
      <c r="F125" s="462">
        <v>0.1</v>
      </c>
      <c r="G125" s="462">
        <v>7.4999999999999997E-2</v>
      </c>
      <c r="H125" s="462">
        <f>ROUND(D125*E125*F125*G125,3)</f>
        <v>8.9999999999999993E-3</v>
      </c>
      <c r="I125" s="471">
        <v>44785</v>
      </c>
      <c r="J125" s="471">
        <f>ROUND(H125*I125,2)</f>
        <v>403.07</v>
      </c>
      <c r="K125" s="31"/>
    </row>
    <row r="126" spans="1:11" ht="20.2" hidden="1" customHeight="1">
      <c r="A126" s="617"/>
      <c r="B126" s="34"/>
      <c r="C126" s="54" t="s">
        <v>1482</v>
      </c>
      <c r="D126" s="951"/>
      <c r="E126" s="471"/>
      <c r="F126" s="462"/>
      <c r="G126" s="462"/>
      <c r="H126" s="462">
        <f>SUM(H124:H125)</f>
        <v>4.1000000000000002E-2</v>
      </c>
      <c r="I126" s="465">
        <f>G25</f>
        <v>19572.5</v>
      </c>
      <c r="J126" s="471">
        <f>ROUND(H126*I126,2)</f>
        <v>802.47</v>
      </c>
      <c r="K126" s="31"/>
    </row>
    <row r="127" spans="1:11" ht="20.2" hidden="1" customHeight="1">
      <c r="A127" s="617"/>
      <c r="B127" s="34"/>
      <c r="C127" s="54" t="s">
        <v>1484</v>
      </c>
      <c r="D127" s="951" t="s">
        <v>539</v>
      </c>
      <c r="E127" s="471">
        <v>1.05</v>
      </c>
      <c r="F127" s="462"/>
      <c r="G127" s="462">
        <v>2.1</v>
      </c>
      <c r="H127" s="462">
        <f>ROUND(G127*E127*2.25/3,2)</f>
        <v>1.65</v>
      </c>
      <c r="I127" s="698">
        <f>G15</f>
        <v>561.35799999999995</v>
      </c>
      <c r="J127" s="471">
        <f>ROUND(H127*I127/10,2)</f>
        <v>92.62</v>
      </c>
      <c r="K127" s="31"/>
    </row>
    <row r="128" spans="1:11" ht="20.2" hidden="1" customHeight="1">
      <c r="A128" s="617"/>
      <c r="B128" s="32"/>
      <c r="C128" s="54" t="s">
        <v>1598</v>
      </c>
      <c r="D128" s="951"/>
      <c r="E128" s="953" t="s">
        <v>1651</v>
      </c>
      <c r="F128" s="462"/>
      <c r="G128" s="462"/>
      <c r="H128" s="948">
        <v>6</v>
      </c>
      <c r="I128" s="471">
        <v>32</v>
      </c>
      <c r="J128" s="471">
        <f>ROUND(H128*I128,2)</f>
        <v>192</v>
      </c>
      <c r="K128" s="31"/>
    </row>
    <row r="129" spans="1:11" ht="20.2" hidden="1" customHeight="1">
      <c r="A129" s="617"/>
      <c r="B129" s="34"/>
      <c r="C129" s="54" t="s">
        <v>230</v>
      </c>
      <c r="D129" s="951"/>
      <c r="E129" s="471"/>
      <c r="F129" s="462"/>
      <c r="G129" s="462"/>
      <c r="H129" s="948">
        <v>1</v>
      </c>
      <c r="I129" s="471">
        <v>50</v>
      </c>
      <c r="J129" s="471">
        <f>ROUND(H129*I129,2)</f>
        <v>50</v>
      </c>
      <c r="K129" s="31"/>
    </row>
    <row r="130" spans="1:11" ht="20.2" hidden="1" customHeight="1">
      <c r="A130" s="617"/>
      <c r="B130" s="34"/>
      <c r="D130" s="951"/>
      <c r="E130" s="471"/>
      <c r="F130" s="462"/>
      <c r="G130" s="462"/>
      <c r="H130" s="462"/>
      <c r="I130" s="471"/>
      <c r="J130" s="471">
        <f>SUM(J124:J129)</f>
        <v>2973.2799999999997</v>
      </c>
      <c r="K130" s="31"/>
    </row>
    <row r="131" spans="1:11" s="18" customFormat="1" ht="20.2" hidden="1" customHeight="1">
      <c r="A131" s="617"/>
      <c r="B131" s="40"/>
      <c r="C131" s="54" t="s">
        <v>1600</v>
      </c>
      <c r="D131" s="954"/>
      <c r="E131" s="468"/>
      <c r="F131" s="458"/>
      <c r="G131" s="458"/>
      <c r="H131" s="458">
        <f>J130</f>
        <v>2973.2799999999997</v>
      </c>
      <c r="I131" s="468">
        <f>I6</f>
        <v>0</v>
      </c>
      <c r="J131" s="471">
        <f>ROUND(H131*I131,2)</f>
        <v>0</v>
      </c>
      <c r="K131" s="17"/>
    </row>
    <row r="132" spans="1:11" s="439" customFormat="1" ht="20.2" hidden="1" customHeight="1">
      <c r="A132" s="617" t="s">
        <v>542</v>
      </c>
      <c r="B132" s="411"/>
      <c r="C132" s="283" t="s">
        <v>1295</v>
      </c>
      <c r="D132" s="955"/>
      <c r="E132" s="469"/>
      <c r="F132" s="460"/>
      <c r="G132" s="460"/>
      <c r="H132" s="460"/>
      <c r="I132" s="469" t="s">
        <v>1486</v>
      </c>
      <c r="J132" s="469">
        <f>SUM(J130:J131)</f>
        <v>2973.2799999999997</v>
      </c>
      <c r="K132" s="447"/>
    </row>
    <row r="133" spans="1:11" s="439" customFormat="1" ht="20.2" hidden="1" customHeight="1">
      <c r="A133" s="617"/>
      <c r="B133" s="411"/>
      <c r="C133" s="283" t="s">
        <v>1296</v>
      </c>
      <c r="D133" s="955"/>
      <c r="E133" s="469"/>
      <c r="F133" s="460"/>
      <c r="G133" s="460"/>
      <c r="H133" s="460"/>
      <c r="I133" s="469" t="s">
        <v>1486</v>
      </c>
      <c r="J133" s="469">
        <f>J121-J132</f>
        <v>6706.373568</v>
      </c>
      <c r="K133" s="447"/>
    </row>
    <row r="134" spans="1:11" ht="263.25" hidden="1" customHeight="1">
      <c r="A134" s="617"/>
      <c r="B134" s="966">
        <v>5</v>
      </c>
      <c r="C134" s="54" t="s">
        <v>1828</v>
      </c>
      <c r="D134" s="951"/>
      <c r="E134" s="471"/>
      <c r="F134" s="462"/>
      <c r="G134" s="462"/>
      <c r="H134" s="462"/>
      <c r="I134" s="471"/>
      <c r="J134" s="471"/>
      <c r="K134" s="31"/>
    </row>
    <row r="135" spans="1:11" hidden="1">
      <c r="A135" s="617"/>
      <c r="B135" s="34"/>
      <c r="C135" s="55" t="s">
        <v>1297</v>
      </c>
      <c r="D135" s="954"/>
      <c r="E135" s="468"/>
      <c r="F135" s="462"/>
      <c r="G135" s="462"/>
      <c r="H135" s="462"/>
      <c r="I135" s="471"/>
      <c r="J135" s="471"/>
      <c r="K135" s="31"/>
    </row>
    <row r="136" spans="1:11" hidden="1">
      <c r="A136" s="617"/>
      <c r="B136" s="34"/>
      <c r="C136" s="54" t="s">
        <v>779</v>
      </c>
      <c r="D136" s="951"/>
      <c r="E136" s="471"/>
      <c r="F136" s="462"/>
      <c r="G136" s="462"/>
      <c r="H136" s="462"/>
      <c r="I136" s="471"/>
      <c r="J136" s="471"/>
      <c r="K136" s="31"/>
    </row>
    <row r="137" spans="1:11" ht="20.2" hidden="1" customHeight="1">
      <c r="A137" s="617"/>
      <c r="B137" s="34"/>
      <c r="C137" s="54" t="s">
        <v>780</v>
      </c>
      <c r="D137" s="951">
        <v>2</v>
      </c>
      <c r="E137" s="471">
        <v>2.1</v>
      </c>
      <c r="F137" s="462">
        <v>0.1</v>
      </c>
      <c r="G137" s="462">
        <v>7.4999999999999997E-2</v>
      </c>
      <c r="H137" s="462">
        <f>ROUND(D137*E137*F137*G137,3)</f>
        <v>3.2000000000000001E-2</v>
      </c>
      <c r="I137" s="471">
        <v>44785</v>
      </c>
      <c r="J137" s="471">
        <f t="shared" ref="J137:J142" si="5">ROUND(H137*I137,2)</f>
        <v>1433.12</v>
      </c>
      <c r="K137" s="31"/>
    </row>
    <row r="138" spans="1:11" ht="20.2" hidden="1" customHeight="1">
      <c r="A138" s="617"/>
      <c r="B138" s="34"/>
      <c r="C138" s="54" t="s">
        <v>781</v>
      </c>
      <c r="D138" s="951">
        <v>1</v>
      </c>
      <c r="E138" s="471">
        <v>1.35</v>
      </c>
      <c r="F138" s="462">
        <v>0.1</v>
      </c>
      <c r="G138" s="462">
        <v>7.4999999999999997E-2</v>
      </c>
      <c r="H138" s="462">
        <f>ROUND(D138*E138*F138*G138,3)</f>
        <v>0.01</v>
      </c>
      <c r="I138" s="471">
        <v>44785</v>
      </c>
      <c r="J138" s="471">
        <f t="shared" si="5"/>
        <v>447.85</v>
      </c>
      <c r="K138" s="31"/>
    </row>
    <row r="139" spans="1:11" ht="20.2" hidden="1" customHeight="1">
      <c r="A139" s="617"/>
      <c r="B139" s="34"/>
      <c r="C139" s="54" t="s">
        <v>782</v>
      </c>
      <c r="D139" s="951">
        <v>4</v>
      </c>
      <c r="E139" s="471">
        <f>(2.1-1*0.075-0.075)+1*0.015</f>
        <v>1.9649999999999999</v>
      </c>
      <c r="F139" s="462">
        <v>0.1</v>
      </c>
      <c r="G139" s="462">
        <f>1.25*25.4/1000</f>
        <v>3.175E-2</v>
      </c>
      <c r="H139" s="462">
        <f>ROUND(D139*E139*F139*G139,3)</f>
        <v>2.5000000000000001E-2</v>
      </c>
      <c r="I139" s="471">
        <v>59715</v>
      </c>
      <c r="J139" s="471">
        <f t="shared" si="5"/>
        <v>1492.88</v>
      </c>
      <c r="K139" s="31"/>
    </row>
    <row r="140" spans="1:11" ht="20.2" hidden="1" customHeight="1">
      <c r="A140" s="617"/>
      <c r="B140" s="34"/>
      <c r="C140" s="54" t="s">
        <v>783</v>
      </c>
      <c r="D140" s="951" t="s">
        <v>791</v>
      </c>
      <c r="E140" s="471">
        <f>(1.2-2*0.075+2*0.015)/2</f>
        <v>0.54</v>
      </c>
      <c r="F140" s="462">
        <v>0.1</v>
      </c>
      <c r="G140" s="462">
        <f>1.25*25.4/1000</f>
        <v>3.175E-2</v>
      </c>
      <c r="H140" s="462">
        <f>ROUND(12*E140*F140*G140,3)</f>
        <v>2.1000000000000001E-2</v>
      </c>
      <c r="I140" s="471">
        <v>59715</v>
      </c>
      <c r="J140" s="471">
        <f t="shared" si="5"/>
        <v>1254.02</v>
      </c>
      <c r="K140" s="31"/>
    </row>
    <row r="141" spans="1:11" ht="20.2" hidden="1" customHeight="1">
      <c r="A141" s="617"/>
      <c r="B141" s="34"/>
      <c r="C141" s="54" t="s">
        <v>1481</v>
      </c>
      <c r="D141" s="951" t="s">
        <v>792</v>
      </c>
      <c r="E141" s="471">
        <f>(1.2-2*0.075+2*0.015)/2-2*0.1+2*0.025</f>
        <v>0.39</v>
      </c>
      <c r="F141" s="462">
        <f>(2.1-2*0.075+1*0.015-6*0.1)/5+2*0.025</f>
        <v>0.32300000000000001</v>
      </c>
      <c r="G141" s="462">
        <v>2.5000000000000001E-2</v>
      </c>
      <c r="H141" s="462">
        <f>ROUND(10*E141*F141*G141,3)</f>
        <v>3.1E-2</v>
      </c>
      <c r="I141" s="471">
        <v>59715</v>
      </c>
      <c r="J141" s="471">
        <f t="shared" si="5"/>
        <v>1851.17</v>
      </c>
      <c r="K141" s="31"/>
    </row>
    <row r="142" spans="1:11" ht="20.2" hidden="1" customHeight="1">
      <c r="A142" s="617"/>
      <c r="B142" s="34"/>
      <c r="C142" s="54" t="s">
        <v>1482</v>
      </c>
      <c r="D142" s="951"/>
      <c r="E142" s="471"/>
      <c r="F142" s="462"/>
      <c r="G142" s="462"/>
      <c r="H142" s="462">
        <f>SUM(H137:H141)</f>
        <v>0.11900000000000001</v>
      </c>
      <c r="I142" s="465">
        <f>G25</f>
        <v>19572.5</v>
      </c>
      <c r="J142" s="471">
        <f t="shared" si="5"/>
        <v>2329.13</v>
      </c>
      <c r="K142" s="31"/>
    </row>
    <row r="143" spans="1:11" ht="33.299999999999997" hidden="1">
      <c r="A143" s="617" t="s">
        <v>787</v>
      </c>
      <c r="B143" s="19"/>
      <c r="C143" s="54" t="s">
        <v>788</v>
      </c>
      <c r="D143" s="951"/>
      <c r="E143" s="471"/>
      <c r="F143" s="462"/>
      <c r="G143" s="952"/>
      <c r="H143" s="952"/>
      <c r="I143" s="471"/>
      <c r="J143" s="471"/>
      <c r="K143" s="31"/>
    </row>
    <row r="144" spans="1:11" ht="20.2" hidden="1" customHeight="1">
      <c r="A144" s="617"/>
      <c r="B144" s="19"/>
      <c r="C144" s="693" t="s">
        <v>911</v>
      </c>
      <c r="D144" s="951" t="s">
        <v>1035</v>
      </c>
      <c r="E144" s="471" t="s">
        <v>1617</v>
      </c>
      <c r="F144" s="462"/>
      <c r="G144" s="462"/>
      <c r="H144" s="948">
        <v>2</v>
      </c>
      <c r="I144" s="471">
        <v>68</v>
      </c>
      <c r="J144" s="471">
        <f t="shared" ref="J144:J152" si="6">ROUND(H144*I144,2)</f>
        <v>136</v>
      </c>
      <c r="K144" s="31"/>
    </row>
    <row r="145" spans="1:11" ht="20.2" hidden="1" customHeight="1">
      <c r="A145" s="617"/>
      <c r="B145" s="19"/>
      <c r="C145" s="693" t="s">
        <v>912</v>
      </c>
      <c r="D145" s="951" t="s">
        <v>1035</v>
      </c>
      <c r="E145" s="471" t="s">
        <v>1618</v>
      </c>
      <c r="F145" s="462"/>
      <c r="G145" s="462"/>
      <c r="H145" s="948">
        <v>1</v>
      </c>
      <c r="I145" s="471">
        <v>35</v>
      </c>
      <c r="J145" s="471">
        <f t="shared" si="6"/>
        <v>35</v>
      </c>
      <c r="K145" s="31"/>
    </row>
    <row r="146" spans="1:11" ht="20.2" hidden="1" customHeight="1">
      <c r="A146" s="617"/>
      <c r="B146" s="19"/>
      <c r="C146" s="196" t="s">
        <v>913</v>
      </c>
      <c r="D146" s="951" t="s">
        <v>1035</v>
      </c>
      <c r="E146" s="471" t="s">
        <v>1619</v>
      </c>
      <c r="F146" s="462"/>
      <c r="G146" s="462"/>
      <c r="H146" s="948">
        <v>6</v>
      </c>
      <c r="I146" s="471">
        <v>31</v>
      </c>
      <c r="J146" s="471">
        <f t="shared" si="6"/>
        <v>186</v>
      </c>
      <c r="K146" s="31"/>
    </row>
    <row r="147" spans="1:11" ht="20.2" hidden="1" customHeight="1">
      <c r="A147" s="617"/>
      <c r="B147" s="19"/>
      <c r="C147" s="693" t="s">
        <v>914</v>
      </c>
      <c r="D147" s="951" t="s">
        <v>1035</v>
      </c>
      <c r="E147" s="471" t="s">
        <v>1918</v>
      </c>
      <c r="F147" s="462"/>
      <c r="G147" s="462"/>
      <c r="H147" s="948">
        <v>1</v>
      </c>
      <c r="I147" s="471">
        <v>164</v>
      </c>
      <c r="J147" s="471">
        <f t="shared" si="6"/>
        <v>164</v>
      </c>
      <c r="K147" s="31"/>
    </row>
    <row r="148" spans="1:11" ht="20.2" hidden="1" customHeight="1">
      <c r="A148" s="617"/>
      <c r="B148" s="19"/>
      <c r="C148" s="693" t="s">
        <v>296</v>
      </c>
      <c r="D148" s="951" t="s">
        <v>1035</v>
      </c>
      <c r="E148" s="471" t="s">
        <v>1919</v>
      </c>
      <c r="F148" s="462"/>
      <c r="G148" s="462"/>
      <c r="H148" s="948">
        <v>2</v>
      </c>
      <c r="I148" s="471">
        <v>45</v>
      </c>
      <c r="J148" s="471">
        <f t="shared" si="6"/>
        <v>90</v>
      </c>
      <c r="K148" s="31"/>
    </row>
    <row r="149" spans="1:11" ht="20.2" hidden="1" customHeight="1">
      <c r="A149" s="617"/>
      <c r="B149" s="19"/>
      <c r="C149" s="54" t="s">
        <v>420</v>
      </c>
      <c r="D149" s="951"/>
      <c r="E149" s="471" t="s">
        <v>1649</v>
      </c>
      <c r="F149" s="462"/>
      <c r="G149" s="462"/>
      <c r="H149" s="948">
        <v>3</v>
      </c>
      <c r="I149" s="471">
        <v>31</v>
      </c>
      <c r="J149" s="471">
        <f t="shared" si="6"/>
        <v>93</v>
      </c>
      <c r="K149" s="31"/>
    </row>
    <row r="150" spans="1:11" ht="20.2" hidden="1" customHeight="1">
      <c r="A150" s="617"/>
      <c r="B150" s="19"/>
      <c r="C150" s="693" t="s">
        <v>799</v>
      </c>
      <c r="D150" s="951" t="s">
        <v>882</v>
      </c>
      <c r="E150" s="471" t="s">
        <v>1826</v>
      </c>
      <c r="F150" s="462"/>
      <c r="G150" s="462"/>
      <c r="H150" s="948">
        <v>80</v>
      </c>
      <c r="I150" s="471">
        <v>3</v>
      </c>
      <c r="J150" s="471">
        <f t="shared" si="6"/>
        <v>240</v>
      </c>
      <c r="K150" s="31"/>
    </row>
    <row r="151" spans="1:11" ht="20.2" hidden="1" customHeight="1">
      <c r="A151" s="617"/>
      <c r="B151" s="19"/>
      <c r="C151" s="693" t="s">
        <v>231</v>
      </c>
      <c r="D151" s="951" t="s">
        <v>882</v>
      </c>
      <c r="E151" s="471" t="s">
        <v>1920</v>
      </c>
      <c r="F151" s="462"/>
      <c r="G151" s="462"/>
      <c r="H151" s="948">
        <v>10</v>
      </c>
      <c r="I151" s="471">
        <v>16</v>
      </c>
      <c r="J151" s="471">
        <f t="shared" si="6"/>
        <v>160</v>
      </c>
      <c r="K151" s="31"/>
    </row>
    <row r="152" spans="1:11" ht="20.2" hidden="1" customHeight="1">
      <c r="A152" s="617"/>
      <c r="B152" s="32"/>
      <c r="C152" s="693" t="s">
        <v>1598</v>
      </c>
      <c r="D152" s="951"/>
      <c r="E152" s="953" t="s">
        <v>1651</v>
      </c>
      <c r="F152" s="462"/>
      <c r="G152" s="462"/>
      <c r="H152" s="948">
        <v>6</v>
      </c>
      <c r="I152" s="471">
        <v>32</v>
      </c>
      <c r="J152" s="471">
        <f t="shared" si="6"/>
        <v>192</v>
      </c>
      <c r="K152" s="31"/>
    </row>
    <row r="153" spans="1:11" ht="20.2" hidden="1" customHeight="1">
      <c r="A153" s="617"/>
      <c r="B153" s="34"/>
      <c r="C153" s="54" t="s">
        <v>1484</v>
      </c>
      <c r="D153" s="951">
        <v>2.25</v>
      </c>
      <c r="E153" s="471">
        <v>1.2</v>
      </c>
      <c r="F153" s="462"/>
      <c r="G153" s="471">
        <v>2.1</v>
      </c>
      <c r="H153" s="462">
        <f>ROUND(G153*E153*D153,2)</f>
        <v>5.67</v>
      </c>
      <c r="I153" s="698">
        <f>G15</f>
        <v>561.35799999999995</v>
      </c>
      <c r="J153" s="471">
        <f>H153*I153/10</f>
        <v>318.28998599999994</v>
      </c>
      <c r="K153" s="31"/>
    </row>
    <row r="154" spans="1:11" ht="20.2" hidden="1" customHeight="1">
      <c r="A154" s="617"/>
      <c r="B154" s="34"/>
      <c r="C154" s="54" t="s">
        <v>230</v>
      </c>
      <c r="D154" s="951"/>
      <c r="E154" s="471"/>
      <c r="F154" s="462"/>
      <c r="G154" s="462"/>
      <c r="H154" s="948">
        <v>1</v>
      </c>
      <c r="I154" s="471">
        <v>75</v>
      </c>
      <c r="J154" s="471">
        <f>ROUND(H154*I154,2)</f>
        <v>75</v>
      </c>
      <c r="K154" s="31"/>
    </row>
    <row r="155" spans="1:11" ht="20.2" hidden="1" customHeight="1">
      <c r="A155" s="617"/>
      <c r="B155" s="34"/>
      <c r="D155" s="951"/>
      <c r="E155" s="471"/>
      <c r="F155" s="462"/>
      <c r="G155" s="462"/>
      <c r="H155" s="462"/>
      <c r="I155" s="471"/>
      <c r="J155" s="471">
        <f>SUM(J137:J154)</f>
        <v>10497.459986</v>
      </c>
      <c r="K155" s="31"/>
    </row>
    <row r="156" spans="1:11" s="18" customFormat="1" ht="20.2" hidden="1" customHeight="1">
      <c r="A156" s="617"/>
      <c r="B156" s="40"/>
      <c r="C156" s="54" t="s">
        <v>1600</v>
      </c>
      <c r="D156" s="954"/>
      <c r="E156" s="468"/>
      <c r="F156" s="458"/>
      <c r="G156" s="458"/>
      <c r="H156" s="458">
        <f>J155</f>
        <v>10497.459986</v>
      </c>
      <c r="I156" s="468">
        <f>I6</f>
        <v>0</v>
      </c>
      <c r="J156" s="468">
        <f>ROUND(H156*I156,2)</f>
        <v>0</v>
      </c>
      <c r="K156" s="17"/>
    </row>
    <row r="157" spans="1:11" s="18" customFormat="1" ht="20.2" hidden="1" customHeight="1">
      <c r="A157" s="617"/>
      <c r="B157" s="411"/>
      <c r="C157" s="283" t="s">
        <v>256</v>
      </c>
      <c r="D157" s="955"/>
      <c r="E157" s="469"/>
      <c r="F157" s="460"/>
      <c r="G157" s="460"/>
      <c r="H157" s="460"/>
      <c r="I157" s="469" t="s">
        <v>416</v>
      </c>
      <c r="J157" s="469">
        <f>SUM(J155:J156)</f>
        <v>10497.459986</v>
      </c>
      <c r="K157" s="17"/>
    </row>
    <row r="158" spans="1:11" hidden="1">
      <c r="A158" s="617"/>
      <c r="B158" s="34"/>
      <c r="C158" s="55" t="s">
        <v>1298</v>
      </c>
      <c r="D158" s="954"/>
      <c r="E158" s="468"/>
      <c r="F158" s="462"/>
      <c r="G158" s="462"/>
      <c r="H158" s="462"/>
      <c r="I158" s="471"/>
      <c r="J158" s="471"/>
      <c r="K158" s="31"/>
    </row>
    <row r="159" spans="1:11" hidden="1">
      <c r="A159" s="617"/>
      <c r="B159" s="34"/>
      <c r="C159" s="54" t="s">
        <v>779</v>
      </c>
      <c r="D159" s="951"/>
      <c r="E159" s="471"/>
      <c r="F159" s="462"/>
      <c r="G159" s="462"/>
      <c r="H159" s="462"/>
      <c r="I159" s="471"/>
      <c r="J159" s="471"/>
      <c r="K159" s="31"/>
    </row>
    <row r="160" spans="1:11" ht="20.2" hidden="1" customHeight="1">
      <c r="A160" s="617"/>
      <c r="B160" s="34"/>
      <c r="C160" s="54" t="s">
        <v>780</v>
      </c>
      <c r="D160" s="951">
        <v>2</v>
      </c>
      <c r="E160" s="471">
        <v>2.1</v>
      </c>
      <c r="F160" s="462">
        <v>0.1</v>
      </c>
      <c r="G160" s="462">
        <v>7.4999999999999997E-2</v>
      </c>
      <c r="H160" s="462">
        <f>ROUND(D160*E160*F160*G160,3)</f>
        <v>3.2000000000000001E-2</v>
      </c>
      <c r="I160" s="471">
        <v>44785</v>
      </c>
      <c r="J160" s="462">
        <f>ROUND(H160*I160,2)</f>
        <v>1433.12</v>
      </c>
      <c r="K160" s="31"/>
    </row>
    <row r="161" spans="1:11" ht="20.2" hidden="1" customHeight="1">
      <c r="A161" s="617"/>
      <c r="B161" s="34"/>
      <c r="C161" s="54" t="s">
        <v>781</v>
      </c>
      <c r="D161" s="951">
        <v>1</v>
      </c>
      <c r="E161" s="471">
        <v>1.35</v>
      </c>
      <c r="F161" s="462">
        <v>0.1</v>
      </c>
      <c r="G161" s="462">
        <v>7.4999999999999997E-2</v>
      </c>
      <c r="H161" s="462">
        <f>ROUND(D161*E161*F161*G161,3)</f>
        <v>0.01</v>
      </c>
      <c r="I161" s="471">
        <v>44785</v>
      </c>
      <c r="J161" s="462">
        <f>ROUND(H161*I161,2)</f>
        <v>447.85</v>
      </c>
      <c r="K161" s="31"/>
    </row>
    <row r="162" spans="1:11" ht="20.2" hidden="1" customHeight="1">
      <c r="A162" s="617"/>
      <c r="B162" s="34"/>
      <c r="C162" s="54" t="s">
        <v>1482</v>
      </c>
      <c r="D162" s="951"/>
      <c r="E162" s="471"/>
      <c r="F162" s="462"/>
      <c r="G162" s="462"/>
      <c r="H162" s="462">
        <f>SUM(H160:H161)</f>
        <v>4.2000000000000003E-2</v>
      </c>
      <c r="I162" s="465">
        <f>G25</f>
        <v>19572.5</v>
      </c>
      <c r="J162" s="462">
        <f>ROUND(H162*I162,2)</f>
        <v>822.05</v>
      </c>
      <c r="K162" s="31"/>
    </row>
    <row r="163" spans="1:11" ht="20.2" hidden="1" customHeight="1">
      <c r="A163" s="617"/>
      <c r="B163" s="34"/>
      <c r="C163" s="54" t="s">
        <v>1484</v>
      </c>
      <c r="D163" s="951" t="s">
        <v>539</v>
      </c>
      <c r="E163" s="471">
        <v>1.2</v>
      </c>
      <c r="F163" s="462"/>
      <c r="G163" s="462">
        <v>2.1</v>
      </c>
      <c r="H163" s="462">
        <f>ROUND(G163*E163*2.25/3,2)</f>
        <v>1.89</v>
      </c>
      <c r="I163" s="698">
        <f>G15</f>
        <v>561.35799999999995</v>
      </c>
      <c r="J163" s="471">
        <f>H163*I163/10</f>
        <v>106.09666199999999</v>
      </c>
      <c r="K163" s="31"/>
    </row>
    <row r="164" spans="1:11" ht="20.2" hidden="1" customHeight="1">
      <c r="A164" s="617"/>
      <c r="B164" s="32"/>
      <c r="C164" s="54" t="s">
        <v>1598</v>
      </c>
      <c r="D164" s="951"/>
      <c r="E164" s="953" t="s">
        <v>1651</v>
      </c>
      <c r="F164" s="462"/>
      <c r="G164" s="462"/>
      <c r="H164" s="948">
        <v>6</v>
      </c>
      <c r="I164" s="471">
        <v>32</v>
      </c>
      <c r="J164" s="471">
        <f>ROUND(H164*I164,2)</f>
        <v>192</v>
      </c>
      <c r="K164" s="31"/>
    </row>
    <row r="165" spans="1:11" ht="20.2" hidden="1" customHeight="1">
      <c r="A165" s="617"/>
      <c r="B165" s="34"/>
      <c r="C165" s="54" t="s">
        <v>230</v>
      </c>
      <c r="D165" s="951"/>
      <c r="E165" s="471"/>
      <c r="F165" s="462"/>
      <c r="G165" s="462"/>
      <c r="H165" s="948">
        <v>1</v>
      </c>
      <c r="I165" s="471">
        <v>50</v>
      </c>
      <c r="J165" s="471">
        <f>H165*I165</f>
        <v>50</v>
      </c>
      <c r="K165" s="31"/>
    </row>
    <row r="166" spans="1:11" ht="20.2" hidden="1" customHeight="1">
      <c r="A166" s="617"/>
      <c r="B166" s="34"/>
      <c r="D166" s="951"/>
      <c r="E166" s="471"/>
      <c r="F166" s="462"/>
      <c r="G166" s="462"/>
      <c r="H166" s="462"/>
      <c r="I166" s="471"/>
      <c r="J166" s="471">
        <f>SUM(J160:J165)</f>
        <v>3051.1166619999995</v>
      </c>
      <c r="K166" s="31"/>
    </row>
    <row r="167" spans="1:11" s="18" customFormat="1" ht="20.2" hidden="1" customHeight="1">
      <c r="A167" s="617"/>
      <c r="B167" s="40"/>
      <c r="C167" s="54" t="s">
        <v>1600</v>
      </c>
      <c r="D167" s="954"/>
      <c r="E167" s="468"/>
      <c r="F167" s="458"/>
      <c r="G167" s="458"/>
      <c r="H167" s="458">
        <f>J166</f>
        <v>3051.1166619999995</v>
      </c>
      <c r="I167" s="468">
        <f>+I6</f>
        <v>0</v>
      </c>
      <c r="J167" s="468">
        <f>ROUND(H167*I167,2)</f>
        <v>0</v>
      </c>
      <c r="K167" s="17"/>
    </row>
    <row r="168" spans="1:11" s="439" customFormat="1" ht="20.2" hidden="1" customHeight="1">
      <c r="A168" s="617" t="s">
        <v>542</v>
      </c>
      <c r="B168" s="411"/>
      <c r="C168" s="283" t="s">
        <v>1299</v>
      </c>
      <c r="D168" s="955"/>
      <c r="E168" s="469"/>
      <c r="F168" s="460"/>
      <c r="G168" s="460"/>
      <c r="H168" s="460"/>
      <c r="I168" s="469" t="s">
        <v>1486</v>
      </c>
      <c r="J168" s="469">
        <f>SUM(J166:J167)</f>
        <v>3051.1166619999995</v>
      </c>
      <c r="K168" s="447"/>
    </row>
    <row r="169" spans="1:11" s="439" customFormat="1" ht="20.2" hidden="1" customHeight="1">
      <c r="A169" s="617"/>
      <c r="B169" s="411"/>
      <c r="C169" s="283" t="s">
        <v>1300</v>
      </c>
      <c r="D169" s="955"/>
      <c r="E169" s="469"/>
      <c r="F169" s="460"/>
      <c r="G169" s="460"/>
      <c r="H169" s="460"/>
      <c r="I169" s="469" t="s">
        <v>1486</v>
      </c>
      <c r="J169" s="469">
        <f>J157-J168</f>
        <v>7446.3433240000004</v>
      </c>
      <c r="K169" s="447"/>
    </row>
    <row r="170" spans="1:11" ht="245.1">
      <c r="A170" s="617"/>
      <c r="B170" s="26">
        <v>6</v>
      </c>
      <c r="C170" s="54" t="s">
        <v>2269</v>
      </c>
      <c r="D170" s="951"/>
      <c r="E170" s="471"/>
      <c r="F170" s="462"/>
      <c r="G170" s="462"/>
      <c r="H170" s="462"/>
      <c r="I170" s="471"/>
      <c r="J170" s="471"/>
      <c r="K170" s="31"/>
    </row>
    <row r="171" spans="1:11">
      <c r="A171" s="617"/>
      <c r="B171" s="34"/>
      <c r="C171" s="55" t="s">
        <v>2228</v>
      </c>
      <c r="D171" s="954"/>
      <c r="E171" s="468"/>
      <c r="F171" s="462"/>
      <c r="G171" s="462"/>
      <c r="H171" s="462"/>
      <c r="I171" s="471"/>
      <c r="J171" s="471"/>
      <c r="K171" s="31"/>
    </row>
    <row r="172" spans="1:11">
      <c r="A172" s="617"/>
      <c r="B172" s="34"/>
      <c r="C172" s="54" t="s">
        <v>779</v>
      </c>
      <c r="D172" s="951"/>
      <c r="E172" s="471"/>
      <c r="F172" s="462"/>
      <c r="G172" s="462"/>
      <c r="H172" s="462"/>
      <c r="I172" s="471"/>
      <c r="J172" s="471"/>
      <c r="K172" s="31"/>
    </row>
    <row r="173" spans="1:11" ht="20.2" customHeight="1">
      <c r="A173" s="617"/>
      <c r="B173" s="34"/>
      <c r="C173" s="54" t="s">
        <v>780</v>
      </c>
      <c r="D173" s="951">
        <v>2</v>
      </c>
      <c r="E173" s="471">
        <v>2.1</v>
      </c>
      <c r="F173" s="462">
        <v>0.15</v>
      </c>
      <c r="G173" s="462">
        <v>0.1</v>
      </c>
      <c r="H173" s="462">
        <f>ROUND(D173*E173*F173*G173,3)</f>
        <v>6.3E-2</v>
      </c>
      <c r="I173" s="471">
        <v>44785</v>
      </c>
      <c r="J173" s="471">
        <f t="shared" ref="J173:J180" si="7">ROUND(H173*I173,2)</f>
        <v>2821.46</v>
      </c>
      <c r="K173" s="31"/>
    </row>
    <row r="174" spans="1:11" ht="20.2" customHeight="1">
      <c r="A174" s="617"/>
      <c r="B174" s="34"/>
      <c r="C174" s="54" t="s">
        <v>781</v>
      </c>
      <c r="D174" s="951">
        <v>2</v>
      </c>
      <c r="E174" s="471">
        <v>1.65</v>
      </c>
      <c r="F174" s="462">
        <v>0.15</v>
      </c>
      <c r="G174" s="462">
        <v>0.1</v>
      </c>
      <c r="H174" s="462">
        <f>ROUND(D174*E174*F174*G174,3)</f>
        <v>0.05</v>
      </c>
      <c r="I174" s="471">
        <v>44785</v>
      </c>
      <c r="J174" s="471">
        <f t="shared" si="7"/>
        <v>2239.25</v>
      </c>
      <c r="K174" s="31"/>
    </row>
    <row r="175" spans="1:11" ht="20.2" customHeight="1">
      <c r="A175" s="617"/>
      <c r="B175" s="34"/>
      <c r="C175" s="54" t="s">
        <v>1482</v>
      </c>
      <c r="D175" s="951"/>
      <c r="E175" s="471"/>
      <c r="F175" s="462"/>
      <c r="G175" s="462"/>
      <c r="H175" s="462">
        <f>SUM(H173:H174)</f>
        <v>0.113</v>
      </c>
      <c r="I175" s="465">
        <f>G25</f>
        <v>19572.5</v>
      </c>
      <c r="J175" s="471">
        <f t="shared" si="7"/>
        <v>2211.69</v>
      </c>
      <c r="K175" s="31"/>
    </row>
    <row r="176" spans="1:11" ht="20.2" customHeight="1">
      <c r="A176" s="617"/>
      <c r="B176" s="34"/>
      <c r="C176" s="54" t="s">
        <v>2263</v>
      </c>
      <c r="D176" s="951">
        <v>1</v>
      </c>
      <c r="E176" s="471">
        <f>(1.5-2*0.1+2*0.015)</f>
        <v>1.33</v>
      </c>
      <c r="F176" s="471">
        <f>0.3-0.075+0.03</f>
        <v>0.255</v>
      </c>
      <c r="G176" s="462">
        <v>1</v>
      </c>
      <c r="H176" s="462">
        <f>ROUND(D176*E176*F176*G176,3)</f>
        <v>0.33900000000000002</v>
      </c>
      <c r="I176" s="471">
        <v>507</v>
      </c>
      <c r="J176" s="471">
        <f t="shared" si="7"/>
        <v>171.87</v>
      </c>
      <c r="K176" s="31"/>
    </row>
    <row r="177" spans="1:12" ht="37.5" customHeight="1">
      <c r="A177" s="617" t="s">
        <v>2559</v>
      </c>
      <c r="B177" s="34"/>
      <c r="C177" s="54" t="s">
        <v>1482</v>
      </c>
      <c r="D177" s="951">
        <v>1</v>
      </c>
      <c r="E177" s="471">
        <f>(1.5-2*0.1+2*0.015)</f>
        <v>1.33</v>
      </c>
      <c r="F177" s="471">
        <f>0.3-0.075+0.03</f>
        <v>0.255</v>
      </c>
      <c r="G177" s="462">
        <v>1</v>
      </c>
      <c r="H177" s="462">
        <f>G177*F177*E177*D177</f>
        <v>0.33915000000000001</v>
      </c>
      <c r="I177" s="465">
        <v>333</v>
      </c>
      <c r="J177" s="471">
        <f t="shared" si="7"/>
        <v>112.94</v>
      </c>
      <c r="K177" s="292"/>
      <c r="L177" s="292"/>
    </row>
    <row r="178" spans="1:12" ht="20.2" customHeight="1">
      <c r="A178" s="617"/>
      <c r="B178" s="34"/>
      <c r="C178" s="54" t="s">
        <v>2557</v>
      </c>
      <c r="D178" s="951">
        <v>2</v>
      </c>
      <c r="E178" s="471">
        <v>1.5</v>
      </c>
      <c r="F178" s="471">
        <f>E178*D178</f>
        <v>3</v>
      </c>
      <c r="G178" s="462">
        <v>1.57</v>
      </c>
      <c r="H178" s="462">
        <f>G178*F178*E178*D178</f>
        <v>14.129999999999999</v>
      </c>
      <c r="I178" s="471">
        <f>'Lead- Input sheet '!R10/1000</f>
        <v>69.62</v>
      </c>
      <c r="J178" s="471">
        <f t="shared" si="7"/>
        <v>983.73</v>
      </c>
      <c r="K178" s="31"/>
    </row>
    <row r="179" spans="1:12" ht="84.75" customHeight="1">
      <c r="A179" s="617"/>
      <c r="B179" s="34"/>
      <c r="C179" s="55" t="s">
        <v>2556</v>
      </c>
      <c r="D179" s="951">
        <v>1</v>
      </c>
      <c r="E179" s="471">
        <f>(1.5-2*0.1+2*0.015)</f>
        <v>1.33</v>
      </c>
      <c r="F179" s="471">
        <v>1</v>
      </c>
      <c r="G179" s="462">
        <f>2.1-0.1-0.075</f>
        <v>1.925</v>
      </c>
      <c r="H179" s="462">
        <f>G179*F179*E179*D179</f>
        <v>2.5602500000000004</v>
      </c>
      <c r="I179" s="471">
        <v>1630</v>
      </c>
      <c r="J179" s="471">
        <f t="shared" si="7"/>
        <v>4173.21</v>
      </c>
      <c r="K179" s="31"/>
      <c r="L179" s="205"/>
    </row>
    <row r="180" spans="1:12" ht="20.2" customHeight="1">
      <c r="A180" s="617" t="s">
        <v>2558</v>
      </c>
      <c r="B180" s="34"/>
      <c r="C180" s="54" t="s">
        <v>1482</v>
      </c>
      <c r="D180" s="951">
        <v>1</v>
      </c>
      <c r="E180" s="471">
        <f>(1.5-2*0.1+2*0.015)</f>
        <v>1.33</v>
      </c>
      <c r="F180" s="471">
        <v>1</v>
      </c>
      <c r="G180" s="462">
        <f>2.1-0.1-0.075</f>
        <v>1.925</v>
      </c>
      <c r="H180" s="462">
        <f>G180*F180*E180*D180</f>
        <v>2.5602500000000004</v>
      </c>
      <c r="I180" s="465">
        <v>447</v>
      </c>
      <c r="J180" s="471">
        <f t="shared" si="7"/>
        <v>1144.43</v>
      </c>
      <c r="K180" s="292"/>
      <c r="L180" s="292"/>
    </row>
    <row r="181" spans="1:12" ht="33.299999999999997">
      <c r="A181" s="617" t="s">
        <v>787</v>
      </c>
      <c r="B181" s="19"/>
      <c r="C181" s="54" t="s">
        <v>788</v>
      </c>
      <c r="D181" s="951"/>
      <c r="E181" s="471"/>
      <c r="F181" s="462"/>
      <c r="G181" s="952"/>
      <c r="H181" s="952"/>
      <c r="I181" s="471"/>
      <c r="J181" s="471"/>
      <c r="K181" s="31"/>
    </row>
    <row r="182" spans="1:12">
      <c r="A182" s="617"/>
      <c r="B182" s="19"/>
      <c r="D182" s="951"/>
      <c r="E182" s="471"/>
      <c r="F182" s="462"/>
      <c r="G182" s="952"/>
      <c r="H182" s="952"/>
      <c r="I182" s="471"/>
      <c r="J182" s="471"/>
      <c r="K182" s="31"/>
    </row>
    <row r="183" spans="1:12" ht="20.2" customHeight="1">
      <c r="A183" s="617"/>
      <c r="B183" s="19"/>
      <c r="C183" s="693" t="s">
        <v>911</v>
      </c>
      <c r="D183" s="951" t="s">
        <v>1035</v>
      </c>
      <c r="E183" s="471" t="s">
        <v>1617</v>
      </c>
      <c r="F183" s="462"/>
      <c r="G183" s="462"/>
      <c r="H183" s="948">
        <v>2</v>
      </c>
      <c r="I183" s="471">
        <v>68</v>
      </c>
      <c r="J183" s="471">
        <f t="shared" ref="J183:J191" si="8">ROUND(H183*I183,2)</f>
        <v>136</v>
      </c>
      <c r="K183" s="31"/>
    </row>
    <row r="184" spans="1:12" ht="20.2" customHeight="1">
      <c r="A184" s="617"/>
      <c r="B184" s="19"/>
      <c r="C184" s="693" t="s">
        <v>912</v>
      </c>
      <c r="D184" s="951" t="s">
        <v>1035</v>
      </c>
      <c r="E184" s="471" t="s">
        <v>1618</v>
      </c>
      <c r="F184" s="462"/>
      <c r="G184" s="462"/>
      <c r="H184" s="948">
        <v>1</v>
      </c>
      <c r="I184" s="471">
        <v>35</v>
      </c>
      <c r="J184" s="471">
        <f t="shared" si="8"/>
        <v>35</v>
      </c>
      <c r="K184" s="31"/>
    </row>
    <row r="185" spans="1:12" ht="20.2" customHeight="1">
      <c r="A185" s="617"/>
      <c r="B185" s="19"/>
      <c r="C185" s="196" t="s">
        <v>913</v>
      </c>
      <c r="D185" s="951" t="s">
        <v>1035</v>
      </c>
      <c r="E185" s="471" t="s">
        <v>1619</v>
      </c>
      <c r="F185" s="462"/>
      <c r="G185" s="462"/>
      <c r="H185" s="948">
        <v>6</v>
      </c>
      <c r="I185" s="471">
        <v>31</v>
      </c>
      <c r="J185" s="471">
        <f t="shared" si="8"/>
        <v>186</v>
      </c>
      <c r="K185" s="31"/>
    </row>
    <row r="186" spans="1:12" ht="20.2" customHeight="1">
      <c r="A186" s="617"/>
      <c r="B186" s="19"/>
      <c r="C186" s="693" t="s">
        <v>914</v>
      </c>
      <c r="D186" s="951" t="s">
        <v>1035</v>
      </c>
      <c r="E186" s="471" t="s">
        <v>1918</v>
      </c>
      <c r="F186" s="462"/>
      <c r="G186" s="462"/>
      <c r="H186" s="948">
        <v>1</v>
      </c>
      <c r="I186" s="471">
        <v>164</v>
      </c>
      <c r="J186" s="471">
        <f t="shared" si="8"/>
        <v>164</v>
      </c>
      <c r="K186" s="31"/>
    </row>
    <row r="187" spans="1:12" ht="20.2" customHeight="1">
      <c r="A187" s="617"/>
      <c r="B187" s="19"/>
      <c r="C187" s="693" t="s">
        <v>296</v>
      </c>
      <c r="D187" s="951" t="s">
        <v>1035</v>
      </c>
      <c r="E187" s="471" t="s">
        <v>1919</v>
      </c>
      <c r="F187" s="462"/>
      <c r="G187" s="462"/>
      <c r="H187" s="948">
        <v>2</v>
      </c>
      <c r="I187" s="471">
        <v>45</v>
      </c>
      <c r="J187" s="471">
        <f t="shared" si="8"/>
        <v>90</v>
      </c>
      <c r="K187" s="31"/>
    </row>
    <row r="188" spans="1:12" ht="20.2" customHeight="1">
      <c r="A188" s="617"/>
      <c r="B188" s="19"/>
      <c r="C188" s="54" t="s">
        <v>420</v>
      </c>
      <c r="D188" s="951"/>
      <c r="E188" s="471" t="s">
        <v>1649</v>
      </c>
      <c r="F188" s="462"/>
      <c r="G188" s="462"/>
      <c r="H188" s="948">
        <v>2</v>
      </c>
      <c r="I188" s="471">
        <v>31</v>
      </c>
      <c r="J188" s="471">
        <f t="shared" si="8"/>
        <v>62</v>
      </c>
      <c r="K188" s="31"/>
    </row>
    <row r="189" spans="1:12" ht="20.2" customHeight="1">
      <c r="A189" s="617"/>
      <c r="B189" s="19"/>
      <c r="C189" s="693" t="s">
        <v>799</v>
      </c>
      <c r="D189" s="951" t="s">
        <v>882</v>
      </c>
      <c r="E189" s="471" t="s">
        <v>1826</v>
      </c>
      <c r="F189" s="462"/>
      <c r="G189" s="462"/>
      <c r="H189" s="948">
        <v>80</v>
      </c>
      <c r="I189" s="471">
        <v>3</v>
      </c>
      <c r="J189" s="471">
        <f t="shared" si="8"/>
        <v>240</v>
      </c>
      <c r="K189" s="31"/>
    </row>
    <row r="190" spans="1:12" ht="20.2" customHeight="1">
      <c r="A190" s="617"/>
      <c r="B190" s="19"/>
      <c r="C190" s="693" t="s">
        <v>231</v>
      </c>
      <c r="D190" s="951" t="s">
        <v>882</v>
      </c>
      <c r="E190" s="471" t="s">
        <v>1920</v>
      </c>
      <c r="F190" s="462"/>
      <c r="G190" s="462"/>
      <c r="H190" s="948">
        <v>10</v>
      </c>
      <c r="I190" s="471">
        <v>16</v>
      </c>
      <c r="J190" s="471">
        <f t="shared" si="8"/>
        <v>160</v>
      </c>
      <c r="K190" s="31"/>
    </row>
    <row r="191" spans="1:12" ht="20.2" customHeight="1">
      <c r="A191" s="617"/>
      <c r="B191" s="32"/>
      <c r="C191" s="693" t="s">
        <v>1598</v>
      </c>
      <c r="D191" s="951"/>
      <c r="E191" s="953" t="s">
        <v>1651</v>
      </c>
      <c r="F191" s="462"/>
      <c r="G191" s="462"/>
      <c r="H191" s="948">
        <v>6</v>
      </c>
      <c r="I191" s="471">
        <v>32</v>
      </c>
      <c r="J191" s="471">
        <f t="shared" si="8"/>
        <v>192</v>
      </c>
      <c r="K191" s="31"/>
    </row>
    <row r="192" spans="1:12" ht="20.2" customHeight="1">
      <c r="A192" s="617"/>
      <c r="B192" s="34"/>
      <c r="C192" s="54" t="s">
        <v>1484</v>
      </c>
      <c r="D192" s="951">
        <v>2.25</v>
      </c>
      <c r="E192" s="471">
        <v>1.5</v>
      </c>
      <c r="F192" s="462"/>
      <c r="G192" s="471">
        <v>2.4</v>
      </c>
      <c r="H192" s="462">
        <f>ROUND(G192*E192*2.25/3,2)</f>
        <v>2.7</v>
      </c>
      <c r="I192" s="698">
        <f>G15</f>
        <v>561.35799999999995</v>
      </c>
      <c r="J192" s="471">
        <f>H192*I192/10</f>
        <v>151.56666000000001</v>
      </c>
      <c r="K192" s="31"/>
    </row>
    <row r="193" spans="1:11" ht="20.2" customHeight="1">
      <c r="A193" s="617"/>
      <c r="B193" s="34"/>
      <c r="C193" s="54" t="s">
        <v>230</v>
      </c>
      <c r="D193" s="951"/>
      <c r="E193" s="471"/>
      <c r="F193" s="462"/>
      <c r="G193" s="462"/>
      <c r="H193" s="948">
        <v>1</v>
      </c>
      <c r="I193" s="471">
        <v>100</v>
      </c>
      <c r="J193" s="471">
        <f>H193*I193</f>
        <v>100</v>
      </c>
      <c r="K193" s="31"/>
    </row>
    <row r="194" spans="1:11" ht="20.2" customHeight="1">
      <c r="A194" s="617"/>
      <c r="B194" s="34"/>
      <c r="D194" s="951"/>
      <c r="E194" s="471"/>
      <c r="F194" s="462"/>
      <c r="G194" s="462"/>
      <c r="H194" s="462"/>
      <c r="I194" s="471"/>
      <c r="J194" s="471">
        <f>SUM(J173:J193)</f>
        <v>15375.146659999999</v>
      </c>
      <c r="K194" s="31"/>
    </row>
    <row r="195" spans="1:11" s="18" customFormat="1" ht="20.2" customHeight="1">
      <c r="A195" s="617"/>
      <c r="B195" s="40"/>
      <c r="C195" s="54" t="s">
        <v>1600</v>
      </c>
      <c r="D195" s="954"/>
      <c r="E195" s="468"/>
      <c r="F195" s="458"/>
      <c r="G195" s="458"/>
      <c r="H195" s="458">
        <f>J194</f>
        <v>15375.146659999999</v>
      </c>
      <c r="I195" s="468">
        <f>I6</f>
        <v>0</v>
      </c>
      <c r="J195" s="468">
        <f>ROUND(H195*I195,2)</f>
        <v>0</v>
      </c>
      <c r="K195" s="17"/>
    </row>
    <row r="196" spans="1:11" s="439" customFormat="1" ht="20.2" customHeight="1">
      <c r="A196" s="617" t="s">
        <v>1302</v>
      </c>
      <c r="B196" s="411"/>
      <c r="C196" s="413" t="s">
        <v>256</v>
      </c>
      <c r="D196" s="955"/>
      <c r="E196" s="469"/>
      <c r="F196" s="460"/>
      <c r="G196" s="460"/>
      <c r="H196" s="460"/>
      <c r="I196" s="469" t="s">
        <v>416</v>
      </c>
      <c r="J196" s="469">
        <f>SUM(J194:J195)</f>
        <v>15375.146659999999</v>
      </c>
      <c r="K196" s="447"/>
    </row>
    <row r="197" spans="1:11">
      <c r="A197" s="617"/>
      <c r="B197" s="34"/>
      <c r="C197" s="55" t="s">
        <v>2266</v>
      </c>
      <c r="D197" s="954"/>
      <c r="E197" s="468"/>
      <c r="F197" s="462"/>
      <c r="G197" s="462"/>
      <c r="H197" s="462"/>
      <c r="I197" s="471"/>
      <c r="J197" s="471"/>
      <c r="K197" s="31"/>
    </row>
    <row r="198" spans="1:11">
      <c r="A198" s="617"/>
      <c r="B198" s="34"/>
      <c r="C198" s="54" t="s">
        <v>779</v>
      </c>
      <c r="D198" s="951"/>
      <c r="E198" s="471"/>
      <c r="F198" s="462"/>
      <c r="G198" s="462"/>
      <c r="H198" s="462"/>
      <c r="I198" s="471"/>
      <c r="J198" s="471"/>
      <c r="K198" s="31"/>
    </row>
    <row r="199" spans="1:11" ht="20.2" customHeight="1">
      <c r="A199" s="617"/>
      <c r="B199" s="34"/>
      <c r="C199" s="54" t="s">
        <v>780</v>
      </c>
      <c r="D199" s="951">
        <v>2</v>
      </c>
      <c r="E199" s="471">
        <v>2.1</v>
      </c>
      <c r="F199" s="462">
        <v>0.15</v>
      </c>
      <c r="G199" s="462">
        <v>0.1</v>
      </c>
      <c r="H199" s="462">
        <f>ROUND(D199*E199*F199*G199,3)</f>
        <v>6.3E-2</v>
      </c>
      <c r="I199" s="471">
        <v>44785</v>
      </c>
      <c r="J199" s="471">
        <f>ROUND(H199*I199,2)</f>
        <v>2821.46</v>
      </c>
      <c r="K199" s="31"/>
    </row>
    <row r="200" spans="1:11" ht="20.2" customHeight="1">
      <c r="A200" s="617"/>
      <c r="B200" s="34"/>
      <c r="C200" s="54" t="s">
        <v>781</v>
      </c>
      <c r="D200" s="951">
        <v>2</v>
      </c>
      <c r="E200" s="471">
        <v>1.65</v>
      </c>
      <c r="F200" s="462">
        <v>0.15</v>
      </c>
      <c r="G200" s="462">
        <v>0.1</v>
      </c>
      <c r="H200" s="462">
        <f>ROUND(D200*E200*F200*G200,3)</f>
        <v>0.05</v>
      </c>
      <c r="I200" s="471">
        <v>44785</v>
      </c>
      <c r="J200" s="471">
        <f>ROUND(H200*I200,2)</f>
        <v>2239.25</v>
      </c>
      <c r="K200" s="31"/>
    </row>
    <row r="201" spans="1:11" ht="20.2" customHeight="1">
      <c r="A201" s="617"/>
      <c r="B201" s="34"/>
      <c r="C201" s="54" t="s">
        <v>1482</v>
      </c>
      <c r="D201" s="951"/>
      <c r="E201" s="471"/>
      <c r="F201" s="462"/>
      <c r="G201" s="462"/>
      <c r="H201" s="462">
        <f>SUM(H199:H200)</f>
        <v>0.113</v>
      </c>
      <c r="I201" s="465">
        <f>G25</f>
        <v>19572.5</v>
      </c>
      <c r="J201" s="471">
        <f>ROUND(H201*I201,2)</f>
        <v>2211.69</v>
      </c>
      <c r="K201" s="31"/>
    </row>
    <row r="202" spans="1:11" ht="20.2" customHeight="1">
      <c r="A202" s="617"/>
      <c r="B202" s="32"/>
      <c r="C202" s="54" t="s">
        <v>1598</v>
      </c>
      <c r="D202" s="951"/>
      <c r="E202" s="953" t="s">
        <v>1651</v>
      </c>
      <c r="F202" s="462"/>
      <c r="G202" s="462"/>
      <c r="H202" s="948">
        <v>6</v>
      </c>
      <c r="I202" s="471">
        <v>32</v>
      </c>
      <c r="J202" s="471">
        <f>ROUND(H202*I202,2)</f>
        <v>192</v>
      </c>
      <c r="K202" s="31"/>
    </row>
    <row r="203" spans="1:11" ht="20.2" customHeight="1">
      <c r="A203" s="617"/>
      <c r="B203" s="34"/>
      <c r="C203" s="54" t="s">
        <v>1484</v>
      </c>
      <c r="D203" s="951" t="s">
        <v>539</v>
      </c>
      <c r="E203" s="471">
        <v>1.5</v>
      </c>
      <c r="F203" s="462"/>
      <c r="G203" s="471">
        <v>2.4</v>
      </c>
      <c r="H203" s="462">
        <f>ROUND(G203*E203*2.25/3,2)</f>
        <v>2.7</v>
      </c>
      <c r="I203" s="698">
        <f>G15</f>
        <v>561.35799999999995</v>
      </c>
      <c r="J203" s="471">
        <f>H203*I203/10</f>
        <v>151.56666000000001</v>
      </c>
      <c r="K203" s="31"/>
    </row>
    <row r="204" spans="1:11" ht="20.2" customHeight="1">
      <c r="A204" s="617"/>
      <c r="B204" s="34"/>
      <c r="C204" s="54" t="s">
        <v>230</v>
      </c>
      <c r="D204" s="951"/>
      <c r="E204" s="471"/>
      <c r="F204" s="462"/>
      <c r="G204" s="462"/>
      <c r="H204" s="948">
        <v>1</v>
      </c>
      <c r="I204" s="471">
        <v>60</v>
      </c>
      <c r="J204" s="471">
        <f>H204*I204</f>
        <v>60</v>
      </c>
      <c r="K204" s="31"/>
    </row>
    <row r="205" spans="1:11" ht="20.2" customHeight="1">
      <c r="A205" s="617"/>
      <c r="B205" s="34"/>
      <c r="D205" s="951"/>
      <c r="E205" s="471"/>
      <c r="F205" s="462"/>
      <c r="G205" s="462"/>
      <c r="H205" s="462"/>
      <c r="I205" s="471"/>
      <c r="J205" s="471">
        <f>SUM(J199:J204)</f>
        <v>7675.96666</v>
      </c>
      <c r="K205" s="31"/>
    </row>
    <row r="206" spans="1:11" s="18" customFormat="1" ht="20.2" customHeight="1">
      <c r="A206" s="617"/>
      <c r="B206" s="40"/>
      <c r="C206" s="54" t="s">
        <v>1600</v>
      </c>
      <c r="D206" s="954"/>
      <c r="E206" s="468"/>
      <c r="F206" s="458"/>
      <c r="G206" s="458"/>
      <c r="H206" s="458">
        <f>J205</f>
        <v>7675.96666</v>
      </c>
      <c r="I206" s="468">
        <f>I6</f>
        <v>0</v>
      </c>
      <c r="J206" s="468">
        <f>ROUND(H206*I206,2)</f>
        <v>0</v>
      </c>
      <c r="K206" s="17"/>
    </row>
    <row r="207" spans="1:11" s="439" customFormat="1" ht="20.2" customHeight="1">
      <c r="A207" s="617" t="s">
        <v>1302</v>
      </c>
      <c r="B207" s="411"/>
      <c r="C207" s="283" t="s">
        <v>2267</v>
      </c>
      <c r="D207" s="955"/>
      <c r="E207" s="469"/>
      <c r="F207" s="460"/>
      <c r="G207" s="460"/>
      <c r="H207" s="460"/>
      <c r="I207" s="469" t="s">
        <v>1486</v>
      </c>
      <c r="J207" s="469">
        <f>SUM(J205:J206)</f>
        <v>7675.96666</v>
      </c>
      <c r="K207" s="447"/>
    </row>
    <row r="208" spans="1:11" s="439" customFormat="1" ht="20.2" customHeight="1">
      <c r="A208" s="617"/>
      <c r="B208" s="411"/>
      <c r="C208" s="283" t="s">
        <v>2268</v>
      </c>
      <c r="D208" s="955"/>
      <c r="E208" s="469"/>
      <c r="F208" s="460"/>
      <c r="G208" s="460"/>
      <c r="H208" s="460"/>
      <c r="I208" s="469" t="s">
        <v>1486</v>
      </c>
      <c r="J208" s="469">
        <f>J196-J207</f>
        <v>7699.1799999999985</v>
      </c>
      <c r="K208" s="447"/>
    </row>
    <row r="209" spans="1:12" ht="245.1">
      <c r="A209" s="617"/>
      <c r="B209" s="26">
        <v>6</v>
      </c>
      <c r="C209" s="54" t="s">
        <v>2264</v>
      </c>
      <c r="D209" s="951"/>
      <c r="E209" s="471"/>
      <c r="F209" s="462"/>
      <c r="G209" s="462"/>
      <c r="H209" s="462"/>
      <c r="I209" s="471"/>
      <c r="J209" s="471"/>
      <c r="K209" s="31"/>
    </row>
    <row r="210" spans="1:12">
      <c r="A210" s="617"/>
      <c r="B210" s="34"/>
      <c r="C210" s="55" t="s">
        <v>2270</v>
      </c>
      <c r="D210" s="954"/>
      <c r="E210" s="468"/>
      <c r="F210" s="462"/>
      <c r="G210" s="462"/>
      <c r="H210" s="462"/>
      <c r="I210" s="471"/>
      <c r="J210" s="471"/>
      <c r="K210" s="31"/>
    </row>
    <row r="211" spans="1:12">
      <c r="A211" s="617"/>
      <c r="B211" s="34"/>
      <c r="C211" s="54" t="s">
        <v>779</v>
      </c>
      <c r="D211" s="951"/>
      <c r="E211" s="471"/>
      <c r="F211" s="462"/>
      <c r="G211" s="462"/>
      <c r="H211" s="462"/>
      <c r="I211" s="471"/>
      <c r="J211" s="471"/>
      <c r="K211" s="31"/>
    </row>
    <row r="212" spans="1:12" ht="20.2" customHeight="1">
      <c r="A212" s="617"/>
      <c r="B212" s="34"/>
      <c r="C212" s="54" t="s">
        <v>780</v>
      </c>
      <c r="D212" s="951">
        <v>2</v>
      </c>
      <c r="E212" s="471">
        <v>2.4</v>
      </c>
      <c r="F212" s="462">
        <v>0.125</v>
      </c>
      <c r="G212" s="462">
        <v>0.17499999999999999</v>
      </c>
      <c r="H212" s="462">
        <f>ROUND(D212*E212*F212*G212,3)</f>
        <v>0.105</v>
      </c>
      <c r="I212" s="471">
        <v>44785</v>
      </c>
      <c r="J212" s="471">
        <f t="shared" ref="J212:J220" si="9">ROUND(H212*I212,2)</f>
        <v>4702.43</v>
      </c>
      <c r="K212" s="31"/>
    </row>
    <row r="213" spans="1:12" ht="20.2" customHeight="1">
      <c r="A213" s="617"/>
      <c r="B213" s="34"/>
      <c r="C213" s="54" t="s">
        <v>781</v>
      </c>
      <c r="D213" s="951">
        <v>2</v>
      </c>
      <c r="E213" s="471">
        <v>1.95</v>
      </c>
      <c r="F213" s="462">
        <v>0.125</v>
      </c>
      <c r="G213" s="462">
        <v>0.17499999999999999</v>
      </c>
      <c r="H213" s="462">
        <f>ROUND(D213*E213*F213*G213,3)</f>
        <v>8.5000000000000006E-2</v>
      </c>
      <c r="I213" s="471">
        <v>44785</v>
      </c>
      <c r="J213" s="471">
        <f t="shared" si="9"/>
        <v>3806.73</v>
      </c>
      <c r="K213" s="31"/>
    </row>
    <row r="214" spans="1:12" ht="20.2" customHeight="1">
      <c r="A214" s="617"/>
      <c r="B214" s="34"/>
      <c r="C214" s="54" t="s">
        <v>782</v>
      </c>
      <c r="D214" s="951">
        <v>4</v>
      </c>
      <c r="E214" s="471">
        <f>(2.1-1*0.25-0.075)+1*0.015</f>
        <v>1.79</v>
      </c>
      <c r="F214" s="462">
        <v>0.1</v>
      </c>
      <c r="G214" s="462">
        <f>1.25*25.4/1000</f>
        <v>3.175E-2</v>
      </c>
      <c r="H214" s="462">
        <f>ROUND(D214*E214*F214*G214,3)</f>
        <v>2.3E-2</v>
      </c>
      <c r="I214" s="471">
        <v>59715</v>
      </c>
      <c r="J214" s="471">
        <f t="shared" si="9"/>
        <v>1373.45</v>
      </c>
      <c r="K214" s="31"/>
    </row>
    <row r="215" spans="1:12" ht="20.2" customHeight="1">
      <c r="A215" s="617"/>
      <c r="B215" s="34"/>
      <c r="C215" s="54" t="s">
        <v>783</v>
      </c>
      <c r="D215" s="951" t="s">
        <v>791</v>
      </c>
      <c r="E215" s="471">
        <f>(1.8-2*0.125+2*0.015)/2</f>
        <v>0.79</v>
      </c>
      <c r="F215" s="462">
        <v>0.1</v>
      </c>
      <c r="G215" s="462">
        <f>1.25*25.4/1000</f>
        <v>3.175E-2</v>
      </c>
      <c r="H215" s="462">
        <f>ROUND(12*E215*F215*G215,3)</f>
        <v>0.03</v>
      </c>
      <c r="I215" s="471">
        <v>59715</v>
      </c>
      <c r="J215" s="471">
        <f t="shared" si="9"/>
        <v>1791.45</v>
      </c>
      <c r="K215" s="31"/>
    </row>
    <row r="216" spans="1:12" ht="20.2" customHeight="1">
      <c r="A216" s="617"/>
      <c r="B216" s="34"/>
      <c r="C216" s="54" t="s">
        <v>1481</v>
      </c>
      <c r="D216" s="951" t="s">
        <v>792</v>
      </c>
      <c r="E216" s="471">
        <f>(1.5-2*0.125+2*0.015)/2-2*0.1+2*0.025</f>
        <v>0.49</v>
      </c>
      <c r="F216" s="462">
        <f>(2.1-2*0.1+1*0.015-6*0.1)/5+2*0.025</f>
        <v>0.313</v>
      </c>
      <c r="G216" s="462">
        <v>2.5000000000000001E-2</v>
      </c>
      <c r="H216" s="462">
        <f>ROUND(10*E216*F216*G216,3)</f>
        <v>3.7999999999999999E-2</v>
      </c>
      <c r="I216" s="471">
        <v>59715</v>
      </c>
      <c r="J216" s="471">
        <f t="shared" si="9"/>
        <v>2269.17</v>
      </c>
      <c r="K216" s="31"/>
    </row>
    <row r="217" spans="1:12" ht="20.2" customHeight="1">
      <c r="A217" s="617"/>
      <c r="B217" s="34"/>
      <c r="C217" s="54" t="s">
        <v>2263</v>
      </c>
      <c r="D217" s="951">
        <v>1</v>
      </c>
      <c r="E217" s="471">
        <f>(1.8-2*0.125+2*0.015)</f>
        <v>1.58</v>
      </c>
      <c r="F217" s="471">
        <f>0.3-0.075+0.03</f>
        <v>0.255</v>
      </c>
      <c r="G217" s="462">
        <v>1</v>
      </c>
      <c r="H217" s="462">
        <f>ROUND(D217*E217*F217*G217,3)</f>
        <v>0.40300000000000002</v>
      </c>
      <c r="I217" s="471">
        <v>507</v>
      </c>
      <c r="J217" s="471">
        <f t="shared" si="9"/>
        <v>204.32</v>
      </c>
      <c r="K217" s="31"/>
    </row>
    <row r="218" spans="1:12" ht="84.75" customHeight="1">
      <c r="A218" s="617"/>
      <c r="B218" s="34"/>
      <c r="C218" s="55" t="s">
        <v>2556</v>
      </c>
      <c r="D218" s="951">
        <v>1</v>
      </c>
      <c r="E218" s="471">
        <v>1</v>
      </c>
      <c r="F218" s="471">
        <f>0.75-2*0.075+2*0.015</f>
        <v>0.63</v>
      </c>
      <c r="G218" s="462">
        <v>1.97</v>
      </c>
      <c r="H218" s="462">
        <f>ROUND(D218*E218*F218*G218,3)</f>
        <v>1.2410000000000001</v>
      </c>
      <c r="I218" s="471">
        <v>1630</v>
      </c>
      <c r="J218" s="471">
        <f t="shared" si="9"/>
        <v>2022.83</v>
      </c>
      <c r="K218" s="31"/>
      <c r="L218" s="205"/>
    </row>
    <row r="219" spans="1:12" ht="20.2" customHeight="1">
      <c r="A219" s="617"/>
      <c r="B219" s="34"/>
      <c r="C219" s="54" t="s">
        <v>1482</v>
      </c>
      <c r="D219" s="951">
        <v>1</v>
      </c>
      <c r="E219" s="471">
        <v>1</v>
      </c>
      <c r="F219" s="471">
        <f>0.75-2*0.075+2*0.015</f>
        <v>0.63</v>
      </c>
      <c r="G219" s="462">
        <v>1.97</v>
      </c>
      <c r="H219" s="462">
        <f>ROUND(D219*E219*F219*G219,3)</f>
        <v>1.2410000000000001</v>
      </c>
      <c r="I219" s="465">
        <f>'Flush Door  Shutter Country'!I217</f>
        <v>0</v>
      </c>
      <c r="J219" s="471">
        <f t="shared" si="9"/>
        <v>0</v>
      </c>
      <c r="K219" s="292"/>
      <c r="L219" s="292"/>
    </row>
    <row r="220" spans="1:12" ht="20.2" customHeight="1">
      <c r="A220" s="617"/>
      <c r="B220" s="34"/>
      <c r="C220" s="54" t="s">
        <v>1482</v>
      </c>
      <c r="D220" s="951"/>
      <c r="E220" s="471"/>
      <c r="F220" s="462"/>
      <c r="G220" s="462"/>
      <c r="H220" s="462">
        <f>SUM(H212:H216)</f>
        <v>0.28099999999999997</v>
      </c>
      <c r="I220" s="465" t="e">
        <f>#REF!</f>
        <v>#REF!</v>
      </c>
      <c r="J220" s="471" t="e">
        <f t="shared" si="9"/>
        <v>#REF!</v>
      </c>
      <c r="K220" s="31"/>
    </row>
    <row r="221" spans="1:12" ht="33.299999999999997">
      <c r="A221" s="617" t="s">
        <v>787</v>
      </c>
      <c r="B221" s="19"/>
      <c r="C221" s="54" t="s">
        <v>788</v>
      </c>
      <c r="D221" s="951"/>
      <c r="E221" s="471"/>
      <c r="F221" s="462"/>
      <c r="G221" s="952"/>
      <c r="H221" s="952"/>
      <c r="I221" s="471"/>
      <c r="J221" s="471"/>
      <c r="K221" s="31"/>
    </row>
    <row r="222" spans="1:12">
      <c r="A222" s="617"/>
      <c r="B222" s="19"/>
      <c r="D222" s="951"/>
      <c r="E222" s="471"/>
      <c r="F222" s="462"/>
      <c r="G222" s="952"/>
      <c r="H222" s="952"/>
      <c r="I222" s="471"/>
      <c r="J222" s="471"/>
      <c r="K222" s="31"/>
    </row>
    <row r="223" spans="1:12" ht="20.2" customHeight="1">
      <c r="A223" s="617"/>
      <c r="B223" s="19"/>
      <c r="C223" s="693" t="s">
        <v>911</v>
      </c>
      <c r="D223" s="951" t="s">
        <v>1035</v>
      </c>
      <c r="E223" s="471" t="s">
        <v>1617</v>
      </c>
      <c r="F223" s="462"/>
      <c r="G223" s="462"/>
      <c r="H223" s="948">
        <v>2</v>
      </c>
      <c r="I223" s="471">
        <v>68</v>
      </c>
      <c r="J223" s="471">
        <f t="shared" ref="J223:J231" si="10">ROUND(H223*I223,2)</f>
        <v>136</v>
      </c>
      <c r="K223" s="31"/>
    </row>
    <row r="224" spans="1:12" ht="20.2" customHeight="1">
      <c r="A224" s="617"/>
      <c r="B224" s="19"/>
      <c r="C224" s="693" t="s">
        <v>912</v>
      </c>
      <c r="D224" s="951" t="s">
        <v>1035</v>
      </c>
      <c r="E224" s="471" t="s">
        <v>1618</v>
      </c>
      <c r="F224" s="462"/>
      <c r="G224" s="462"/>
      <c r="H224" s="948">
        <v>1</v>
      </c>
      <c r="I224" s="471">
        <v>35</v>
      </c>
      <c r="J224" s="471">
        <f t="shared" si="10"/>
        <v>35</v>
      </c>
      <c r="K224" s="31"/>
    </row>
    <row r="225" spans="1:11" ht="20.2" customHeight="1">
      <c r="A225" s="617"/>
      <c r="B225" s="19"/>
      <c r="C225" s="196" t="s">
        <v>913</v>
      </c>
      <c r="D225" s="951" t="s">
        <v>1035</v>
      </c>
      <c r="E225" s="471" t="s">
        <v>1619</v>
      </c>
      <c r="F225" s="462"/>
      <c r="G225" s="462"/>
      <c r="H225" s="948">
        <v>6</v>
      </c>
      <c r="I225" s="471">
        <v>31</v>
      </c>
      <c r="J225" s="471">
        <f t="shared" si="10"/>
        <v>186</v>
      </c>
      <c r="K225" s="31"/>
    </row>
    <row r="226" spans="1:11" ht="20.2" customHeight="1">
      <c r="A226" s="617"/>
      <c r="B226" s="19"/>
      <c r="C226" s="693" t="s">
        <v>914</v>
      </c>
      <c r="D226" s="951" t="s">
        <v>1035</v>
      </c>
      <c r="E226" s="471" t="s">
        <v>1918</v>
      </c>
      <c r="F226" s="462"/>
      <c r="G226" s="462"/>
      <c r="H226" s="948">
        <v>1</v>
      </c>
      <c r="I226" s="471">
        <v>164</v>
      </c>
      <c r="J226" s="471">
        <f t="shared" si="10"/>
        <v>164</v>
      </c>
      <c r="K226" s="31"/>
    </row>
    <row r="227" spans="1:11" ht="20.2" customHeight="1">
      <c r="A227" s="617"/>
      <c r="B227" s="19"/>
      <c r="C227" s="693" t="s">
        <v>296</v>
      </c>
      <c r="D227" s="951" t="s">
        <v>1035</v>
      </c>
      <c r="E227" s="471" t="s">
        <v>1919</v>
      </c>
      <c r="F227" s="462"/>
      <c r="G227" s="462"/>
      <c r="H227" s="948">
        <v>2</v>
      </c>
      <c r="I227" s="471">
        <v>45</v>
      </c>
      <c r="J227" s="471">
        <f t="shared" si="10"/>
        <v>90</v>
      </c>
      <c r="K227" s="31"/>
    </row>
    <row r="228" spans="1:11" ht="20.2" customHeight="1">
      <c r="A228" s="617"/>
      <c r="B228" s="19"/>
      <c r="C228" s="54" t="s">
        <v>420</v>
      </c>
      <c r="D228" s="951"/>
      <c r="E228" s="471" t="s">
        <v>1649</v>
      </c>
      <c r="F228" s="462"/>
      <c r="G228" s="462"/>
      <c r="H228" s="948">
        <v>3</v>
      </c>
      <c r="I228" s="471">
        <v>31</v>
      </c>
      <c r="J228" s="471">
        <f t="shared" si="10"/>
        <v>93</v>
      </c>
      <c r="K228" s="31"/>
    </row>
    <row r="229" spans="1:11" ht="20.2" customHeight="1">
      <c r="A229" s="617"/>
      <c r="B229" s="19"/>
      <c r="C229" s="693" t="s">
        <v>799</v>
      </c>
      <c r="D229" s="951" t="s">
        <v>882</v>
      </c>
      <c r="E229" s="471" t="s">
        <v>1826</v>
      </c>
      <c r="F229" s="462"/>
      <c r="G229" s="462"/>
      <c r="H229" s="948">
        <v>80</v>
      </c>
      <c r="I229" s="471">
        <v>3</v>
      </c>
      <c r="J229" s="471">
        <f t="shared" si="10"/>
        <v>240</v>
      </c>
      <c r="K229" s="31"/>
    </row>
    <row r="230" spans="1:11" ht="20.2" customHeight="1">
      <c r="A230" s="617"/>
      <c r="B230" s="19"/>
      <c r="C230" s="693" t="s">
        <v>231</v>
      </c>
      <c r="D230" s="951" t="s">
        <v>882</v>
      </c>
      <c r="E230" s="471" t="s">
        <v>1920</v>
      </c>
      <c r="F230" s="462"/>
      <c r="G230" s="462"/>
      <c r="H230" s="948">
        <v>10</v>
      </c>
      <c r="I230" s="471">
        <v>16</v>
      </c>
      <c r="J230" s="471">
        <f t="shared" si="10"/>
        <v>160</v>
      </c>
      <c r="K230" s="31"/>
    </row>
    <row r="231" spans="1:11" ht="20.2" customHeight="1">
      <c r="A231" s="617"/>
      <c r="B231" s="32"/>
      <c r="C231" s="693" t="s">
        <v>1598</v>
      </c>
      <c r="D231" s="951"/>
      <c r="E231" s="953" t="s">
        <v>1651</v>
      </c>
      <c r="F231" s="462"/>
      <c r="G231" s="462"/>
      <c r="H231" s="948">
        <v>6</v>
      </c>
      <c r="I231" s="471">
        <v>32</v>
      </c>
      <c r="J231" s="471">
        <f t="shared" si="10"/>
        <v>192</v>
      </c>
      <c r="K231" s="31"/>
    </row>
    <row r="232" spans="1:11" ht="20.2" customHeight="1">
      <c r="A232" s="617"/>
      <c r="B232" s="34"/>
      <c r="C232" s="54" t="s">
        <v>1484</v>
      </c>
      <c r="D232" s="951">
        <v>2.25</v>
      </c>
      <c r="E232" s="471">
        <v>1.5</v>
      </c>
      <c r="F232" s="462"/>
      <c r="G232" s="471">
        <v>2.4</v>
      </c>
      <c r="H232" s="462">
        <f>ROUND(G232*E232*2.25,2)</f>
        <v>8.1</v>
      </c>
      <c r="I232" s="698">
        <f>I192</f>
        <v>561.35799999999995</v>
      </c>
      <c r="J232" s="471">
        <f>H232*I232/10</f>
        <v>454.69997999999998</v>
      </c>
      <c r="K232" s="31"/>
    </row>
    <row r="233" spans="1:11" ht="20.2" customHeight="1">
      <c r="A233" s="617"/>
      <c r="B233" s="34"/>
      <c r="C233" s="54" t="s">
        <v>230</v>
      </c>
      <c r="D233" s="951"/>
      <c r="E233" s="471"/>
      <c r="F233" s="462"/>
      <c r="G233" s="462"/>
      <c r="H233" s="948">
        <v>1</v>
      </c>
      <c r="I233" s="471">
        <v>100</v>
      </c>
      <c r="J233" s="471">
        <f>H233*I233</f>
        <v>100</v>
      </c>
      <c r="K233" s="31"/>
    </row>
    <row r="234" spans="1:11" ht="20.2" customHeight="1">
      <c r="A234" s="617"/>
      <c r="B234" s="34"/>
      <c r="D234" s="951"/>
      <c r="E234" s="471"/>
      <c r="F234" s="462"/>
      <c r="G234" s="462"/>
      <c r="H234" s="462"/>
      <c r="I234" s="471"/>
      <c r="J234" s="471" t="e">
        <f>SUM(J212:J233)</f>
        <v>#REF!</v>
      </c>
      <c r="K234" s="31"/>
    </row>
    <row r="235" spans="1:11" s="18" customFormat="1" ht="20.2" customHeight="1">
      <c r="A235" s="617"/>
      <c r="B235" s="40"/>
      <c r="C235" s="54" t="s">
        <v>1600</v>
      </c>
      <c r="D235" s="954"/>
      <c r="E235" s="468"/>
      <c r="F235" s="458"/>
      <c r="G235" s="458"/>
      <c r="H235" s="458" t="e">
        <f>J234</f>
        <v>#REF!</v>
      </c>
      <c r="I235" s="468">
        <f>'Lead- Input sheet '!Q32</f>
        <v>0</v>
      </c>
      <c r="J235" s="468" t="e">
        <f>ROUND(H235*I235,2)</f>
        <v>#REF!</v>
      </c>
      <c r="K235" s="17"/>
    </row>
    <row r="236" spans="1:11" s="439" customFormat="1" ht="20.2" customHeight="1">
      <c r="A236" s="617" t="s">
        <v>1302</v>
      </c>
      <c r="B236" s="411"/>
      <c r="C236" s="413" t="s">
        <v>256</v>
      </c>
      <c r="D236" s="955"/>
      <c r="E236" s="469"/>
      <c r="F236" s="460"/>
      <c r="G236" s="460"/>
      <c r="H236" s="460"/>
      <c r="I236" s="469" t="s">
        <v>416</v>
      </c>
      <c r="J236" s="469" t="e">
        <f>SUM(J234:J235)</f>
        <v>#REF!</v>
      </c>
      <c r="K236" s="447"/>
    </row>
    <row r="237" spans="1:11">
      <c r="A237" s="617"/>
      <c r="B237" s="34"/>
      <c r="C237" s="55" t="s">
        <v>2271</v>
      </c>
      <c r="D237" s="954"/>
      <c r="E237" s="468"/>
      <c r="F237" s="462"/>
      <c r="G237" s="462"/>
      <c r="H237" s="462"/>
      <c r="I237" s="471"/>
      <c r="J237" s="471"/>
      <c r="K237" s="31"/>
    </row>
    <row r="238" spans="1:11">
      <c r="A238" s="617"/>
      <c r="B238" s="34"/>
      <c r="C238" s="54" t="s">
        <v>779</v>
      </c>
      <c r="D238" s="951"/>
      <c r="E238" s="471"/>
      <c r="F238" s="462"/>
      <c r="G238" s="462"/>
      <c r="H238" s="462"/>
      <c r="I238" s="471"/>
      <c r="J238" s="471"/>
      <c r="K238" s="31"/>
    </row>
    <row r="239" spans="1:11" ht="20.2" customHeight="1">
      <c r="A239" s="617"/>
      <c r="B239" s="34"/>
      <c r="C239" s="54" t="s">
        <v>780</v>
      </c>
      <c r="D239" s="951">
        <v>2</v>
      </c>
      <c r="E239" s="471">
        <v>2.4</v>
      </c>
      <c r="F239" s="462">
        <v>0.125</v>
      </c>
      <c r="G239" s="462">
        <v>0.17499999999999999</v>
      </c>
      <c r="H239" s="462">
        <f>ROUND(D239*E239*F239*G239,3)</f>
        <v>0.105</v>
      </c>
      <c r="I239" s="471">
        <v>44785</v>
      </c>
      <c r="J239" s="471">
        <f>ROUND(H239*I239,2)</f>
        <v>4702.43</v>
      </c>
      <c r="K239" s="31"/>
    </row>
    <row r="240" spans="1:11" ht="20.2" customHeight="1">
      <c r="A240" s="617"/>
      <c r="B240" s="34"/>
      <c r="C240" s="54" t="s">
        <v>781</v>
      </c>
      <c r="D240" s="951">
        <v>2</v>
      </c>
      <c r="E240" s="471">
        <v>1.95</v>
      </c>
      <c r="F240" s="462">
        <v>0.125</v>
      </c>
      <c r="G240" s="462">
        <v>0.17499999999999999</v>
      </c>
      <c r="H240" s="462">
        <f>ROUND(D240*E240*F240*G240,3)</f>
        <v>8.5000000000000006E-2</v>
      </c>
      <c r="I240" s="471">
        <v>44785</v>
      </c>
      <c r="J240" s="471">
        <f>ROUND(H240*I240,2)</f>
        <v>3806.73</v>
      </c>
      <c r="K240" s="31"/>
    </row>
    <row r="241" spans="1:18" ht="20.2" customHeight="1">
      <c r="A241" s="617"/>
      <c r="B241" s="34"/>
      <c r="C241" s="54" t="s">
        <v>1482</v>
      </c>
      <c r="D241" s="951"/>
      <c r="E241" s="471"/>
      <c r="F241" s="462"/>
      <c r="G241" s="462"/>
      <c r="H241" s="462">
        <f>SUM(H239:H240)</f>
        <v>0.19</v>
      </c>
      <c r="I241" s="465" t="e">
        <f>I220</f>
        <v>#REF!</v>
      </c>
      <c r="J241" s="471" t="e">
        <f>ROUND(H241*I241,2)</f>
        <v>#REF!</v>
      </c>
      <c r="K241" s="31"/>
    </row>
    <row r="242" spans="1:18" ht="20.2" customHeight="1">
      <c r="A242" s="617"/>
      <c r="B242" s="32"/>
      <c r="C242" s="54" t="s">
        <v>1598</v>
      </c>
      <c r="D242" s="951"/>
      <c r="E242" s="953" t="s">
        <v>1651</v>
      </c>
      <c r="F242" s="462"/>
      <c r="G242" s="462"/>
      <c r="H242" s="948">
        <v>6</v>
      </c>
      <c r="I242" s="471">
        <v>32</v>
      </c>
      <c r="J242" s="471">
        <f>ROUND(H242*I242,2)</f>
        <v>192</v>
      </c>
      <c r="K242" s="31"/>
    </row>
    <row r="243" spans="1:18" ht="20.2" customHeight="1">
      <c r="A243" s="617"/>
      <c r="B243" s="34"/>
      <c r="C243" s="54" t="s">
        <v>1484</v>
      </c>
      <c r="D243" s="951" t="s">
        <v>539</v>
      </c>
      <c r="E243" s="471">
        <v>1.5</v>
      </c>
      <c r="F243" s="462"/>
      <c r="G243" s="471">
        <v>2.4</v>
      </c>
      <c r="H243" s="462">
        <f>ROUND(G243*E243*2.25/3,2)</f>
        <v>2.7</v>
      </c>
      <c r="I243" s="698">
        <f>I232</f>
        <v>561.35799999999995</v>
      </c>
      <c r="J243" s="471">
        <f>H243*I243/10</f>
        <v>151.56666000000001</v>
      </c>
      <c r="K243" s="31"/>
    </row>
    <row r="244" spans="1:18" ht="20.2" customHeight="1">
      <c r="A244" s="617"/>
      <c r="B244" s="34"/>
      <c r="C244" s="54" t="s">
        <v>230</v>
      </c>
      <c r="D244" s="951"/>
      <c r="E244" s="471"/>
      <c r="F244" s="462"/>
      <c r="G244" s="462"/>
      <c r="H244" s="948">
        <v>1</v>
      </c>
      <c r="I244" s="471">
        <v>60</v>
      </c>
      <c r="J244" s="471">
        <f>H244*I244</f>
        <v>60</v>
      </c>
      <c r="K244" s="31"/>
    </row>
    <row r="245" spans="1:18" ht="20.2" customHeight="1">
      <c r="A245" s="617"/>
      <c r="B245" s="34"/>
      <c r="D245" s="951"/>
      <c r="E245" s="471"/>
      <c r="F245" s="462"/>
      <c r="G245" s="462"/>
      <c r="H245" s="462"/>
      <c r="I245" s="471"/>
      <c r="J245" s="471" t="e">
        <f>SUM(J239:J244)</f>
        <v>#REF!</v>
      </c>
      <c r="K245" s="31"/>
    </row>
    <row r="246" spans="1:18" s="18" customFormat="1" ht="20.2" customHeight="1">
      <c r="A246" s="617"/>
      <c r="B246" s="40"/>
      <c r="C246" s="54" t="s">
        <v>1600</v>
      </c>
      <c r="D246" s="954"/>
      <c r="E246" s="468"/>
      <c r="F246" s="458"/>
      <c r="G246" s="458"/>
      <c r="H246" s="458" t="e">
        <f>J245</f>
        <v>#REF!</v>
      </c>
      <c r="I246" s="468">
        <f>'Lead- Input sheet '!Q32</f>
        <v>0</v>
      </c>
      <c r="J246" s="468" t="e">
        <f>ROUND(H246*I246,2)</f>
        <v>#REF!</v>
      </c>
      <c r="K246" s="17"/>
    </row>
    <row r="247" spans="1:18" s="439" customFormat="1" ht="20.2" customHeight="1">
      <c r="A247" s="617" t="s">
        <v>1302</v>
      </c>
      <c r="B247" s="411"/>
      <c r="C247" s="283" t="s">
        <v>2272</v>
      </c>
      <c r="D247" s="955"/>
      <c r="E247" s="469"/>
      <c r="F247" s="460"/>
      <c r="G247" s="460"/>
      <c r="H247" s="460"/>
      <c r="I247" s="469" t="s">
        <v>1486</v>
      </c>
      <c r="J247" s="469" t="e">
        <f>SUM(J245:J246)</f>
        <v>#REF!</v>
      </c>
      <c r="K247" s="447"/>
    </row>
    <row r="248" spans="1:18" s="439" customFormat="1" ht="20.2" customHeight="1">
      <c r="A248" s="617"/>
      <c r="B248" s="411"/>
      <c r="C248" s="283" t="s">
        <v>2273</v>
      </c>
      <c r="D248" s="955"/>
      <c r="E248" s="469"/>
      <c r="F248" s="460"/>
      <c r="G248" s="460"/>
      <c r="H248" s="460"/>
      <c r="I248" s="469" t="s">
        <v>1486</v>
      </c>
      <c r="J248" s="469" t="e">
        <f>J236-J247</f>
        <v>#REF!</v>
      </c>
      <c r="K248" s="447"/>
    </row>
    <row r="249" spans="1:18" ht="129" hidden="1">
      <c r="A249" s="617"/>
      <c r="B249" s="966">
        <v>7</v>
      </c>
      <c r="C249" s="55" t="s">
        <v>1829</v>
      </c>
      <c r="D249" s="951"/>
      <c r="E249" s="471"/>
      <c r="F249" s="462"/>
      <c r="G249" s="462"/>
      <c r="H249" s="956"/>
      <c r="I249" s="957"/>
      <c r="J249" s="957"/>
      <c r="K249" s="31"/>
    </row>
    <row r="250" spans="1:18" hidden="1">
      <c r="A250" s="617"/>
      <c r="B250" s="34"/>
      <c r="C250" s="55" t="s">
        <v>1096</v>
      </c>
      <c r="D250" s="951"/>
      <c r="E250" s="471"/>
      <c r="F250" s="462"/>
      <c r="G250" s="462"/>
      <c r="H250" s="462"/>
      <c r="I250" s="471"/>
      <c r="J250" s="471"/>
      <c r="K250" s="55" t="s">
        <v>1775</v>
      </c>
      <c r="L250" s="951"/>
      <c r="M250" s="471"/>
      <c r="N250" s="462"/>
      <c r="O250" s="462"/>
      <c r="P250" s="462"/>
      <c r="Q250" s="471"/>
      <c r="R250" s="471"/>
    </row>
    <row r="251" spans="1:18" hidden="1">
      <c r="A251" s="617"/>
      <c r="B251" s="34"/>
      <c r="C251" s="54" t="s">
        <v>848</v>
      </c>
      <c r="D251" s="951"/>
      <c r="E251" s="471"/>
      <c r="F251" s="462"/>
      <c r="G251" s="462"/>
      <c r="H251" s="462"/>
      <c r="I251" s="471"/>
      <c r="J251" s="471"/>
      <c r="K251" s="54" t="s">
        <v>848</v>
      </c>
      <c r="L251" s="951"/>
      <c r="M251" s="471"/>
      <c r="N251" s="462"/>
      <c r="O251" s="462"/>
      <c r="P251" s="462"/>
      <c r="Q251" s="471"/>
      <c r="R251" s="471"/>
    </row>
    <row r="252" spans="1:18" ht="20.2" hidden="1" customHeight="1">
      <c r="A252" s="617"/>
      <c r="B252" s="34"/>
      <c r="C252" s="54" t="s">
        <v>780</v>
      </c>
      <c r="D252" s="951">
        <v>3</v>
      </c>
      <c r="E252" s="471">
        <v>1.35</v>
      </c>
      <c r="F252" s="462">
        <v>0.1</v>
      </c>
      <c r="G252" s="462">
        <v>7.4999999999999997E-2</v>
      </c>
      <c r="H252" s="462">
        <f>ROUND(D252*E252*F252*G252,3)</f>
        <v>0.03</v>
      </c>
      <c r="I252" s="471">
        <v>44785</v>
      </c>
      <c r="J252" s="471">
        <f t="shared" ref="J252:J257" si="11">ROUND(H252*I252,2)</f>
        <v>1343.55</v>
      </c>
      <c r="K252" s="54" t="s">
        <v>780</v>
      </c>
      <c r="L252" s="951">
        <v>3</v>
      </c>
      <c r="M252" s="471">
        <v>1.2</v>
      </c>
      <c r="N252" s="462">
        <v>0.1</v>
      </c>
      <c r="O252" s="462">
        <v>7.4999999999999997E-2</v>
      </c>
      <c r="P252" s="462">
        <f>ROUND(L252*M252*N252*O252,3)</f>
        <v>2.7E-2</v>
      </c>
      <c r="Q252" s="471">
        <v>44785</v>
      </c>
      <c r="R252" s="471">
        <f t="shared" ref="R252:R257" si="12">ROUND(P252*Q252,2)</f>
        <v>1209.2</v>
      </c>
    </row>
    <row r="253" spans="1:18" ht="20.2" hidden="1" customHeight="1">
      <c r="A253" s="617"/>
      <c r="B253" s="34"/>
      <c r="C253" s="54" t="s">
        <v>781</v>
      </c>
      <c r="D253" s="951">
        <v>2</v>
      </c>
      <c r="E253" s="471">
        <v>1.05</v>
      </c>
      <c r="F253" s="462">
        <v>0.1</v>
      </c>
      <c r="G253" s="462">
        <v>7.4999999999999997E-2</v>
      </c>
      <c r="H253" s="462">
        <f>ROUND(D253*E253*F253*G253,3)</f>
        <v>1.6E-2</v>
      </c>
      <c r="I253" s="471">
        <v>44785</v>
      </c>
      <c r="J253" s="471">
        <f t="shared" si="11"/>
        <v>716.56</v>
      </c>
      <c r="K253" s="54" t="s">
        <v>781</v>
      </c>
      <c r="L253" s="951">
        <v>2</v>
      </c>
      <c r="M253" s="471">
        <v>1.05</v>
      </c>
      <c r="N253" s="462">
        <v>0.1</v>
      </c>
      <c r="O253" s="462">
        <v>7.4999999999999997E-2</v>
      </c>
      <c r="P253" s="462">
        <f>ROUND(L253*M253*N253*O253,3)</f>
        <v>1.6E-2</v>
      </c>
      <c r="Q253" s="471">
        <v>44785</v>
      </c>
      <c r="R253" s="471">
        <f t="shared" si="12"/>
        <v>716.56</v>
      </c>
    </row>
    <row r="254" spans="1:18" ht="20.2" hidden="1" customHeight="1">
      <c r="A254" s="617"/>
      <c r="B254" s="34"/>
      <c r="C254" s="54" t="s">
        <v>782</v>
      </c>
      <c r="D254" s="951" t="s">
        <v>234</v>
      </c>
      <c r="E254" s="472">
        <f>(1.35-2*0.075+2*0.015)</f>
        <v>1.2300000000000002</v>
      </c>
      <c r="F254" s="462">
        <v>7.4999999999999997E-2</v>
      </c>
      <c r="G254" s="462">
        <f>1.25*25.4/1000</f>
        <v>3.175E-2</v>
      </c>
      <c r="H254" s="462">
        <f>ROUND(4*E254*F254*G254,3)</f>
        <v>1.2E-2</v>
      </c>
      <c r="I254" s="471">
        <v>59715</v>
      </c>
      <c r="J254" s="471">
        <f t="shared" si="11"/>
        <v>716.58</v>
      </c>
      <c r="K254" s="54" t="s">
        <v>782</v>
      </c>
      <c r="L254" s="951" t="s">
        <v>234</v>
      </c>
      <c r="M254" s="472">
        <f>(1.2-2*0.075+2*0.015)</f>
        <v>1.08</v>
      </c>
      <c r="N254" s="462">
        <v>7.4999999999999997E-2</v>
      </c>
      <c r="O254" s="462">
        <f>1.25*25.4/1000</f>
        <v>3.175E-2</v>
      </c>
      <c r="P254" s="462">
        <f>ROUND(4*M254*N254*O254,3)</f>
        <v>0.01</v>
      </c>
      <c r="Q254" s="471">
        <v>59715</v>
      </c>
      <c r="R254" s="471">
        <f t="shared" si="12"/>
        <v>597.15</v>
      </c>
    </row>
    <row r="255" spans="1:18" ht="20.2" hidden="1" customHeight="1">
      <c r="A255" s="617"/>
      <c r="B255" s="34"/>
      <c r="C255" s="54" t="s">
        <v>783</v>
      </c>
      <c r="D255" s="951" t="s">
        <v>235</v>
      </c>
      <c r="E255" s="471">
        <f>(0.9-3*0.075+4*0.015)/2</f>
        <v>0.36750000000000005</v>
      </c>
      <c r="F255" s="462">
        <v>7.4999999999999997E-2</v>
      </c>
      <c r="G255" s="462">
        <f>1.25*25.4/1000</f>
        <v>3.175E-2</v>
      </c>
      <c r="H255" s="462">
        <f>ROUND(6*E255*F255*G255,3)</f>
        <v>5.0000000000000001E-3</v>
      </c>
      <c r="I255" s="471">
        <v>59715</v>
      </c>
      <c r="J255" s="471">
        <f t="shared" si="11"/>
        <v>298.58</v>
      </c>
      <c r="K255" s="54" t="s">
        <v>783</v>
      </c>
      <c r="L255" s="951" t="s">
        <v>235</v>
      </c>
      <c r="M255" s="471">
        <f>(0.9-3*0.075+4*0.015)/2</f>
        <v>0.36750000000000005</v>
      </c>
      <c r="N255" s="462">
        <v>7.4999999999999997E-2</v>
      </c>
      <c r="O255" s="462">
        <f>1.25*25.4/1000</f>
        <v>3.175E-2</v>
      </c>
      <c r="P255" s="462">
        <f>ROUND(6*M255*N255*O255,3)</f>
        <v>5.0000000000000001E-3</v>
      </c>
      <c r="Q255" s="471">
        <v>59715</v>
      </c>
      <c r="R255" s="471">
        <f t="shared" si="12"/>
        <v>298.58</v>
      </c>
    </row>
    <row r="256" spans="1:18" ht="20.2" hidden="1" customHeight="1">
      <c r="A256" s="617"/>
      <c r="B256" s="34"/>
      <c r="C256" s="54" t="s">
        <v>1481</v>
      </c>
      <c r="D256" s="951" t="s">
        <v>236</v>
      </c>
      <c r="E256" s="471">
        <f>(0.9-3*0.075+4*0.015)/2-2*0.075+2*0.025</f>
        <v>0.26750000000000007</v>
      </c>
      <c r="F256" s="462">
        <f>(1.35-2*0.075+2*0.015-3*0.075)/2+2*0.025</f>
        <v>0.55250000000000021</v>
      </c>
      <c r="G256" s="462">
        <v>2.5000000000000001E-2</v>
      </c>
      <c r="H256" s="462">
        <f>ROUND(4*E256*F256*G256,3)</f>
        <v>1.4999999999999999E-2</v>
      </c>
      <c r="I256" s="471">
        <v>59715</v>
      </c>
      <c r="J256" s="471">
        <f t="shared" si="11"/>
        <v>895.73</v>
      </c>
      <c r="K256" s="54" t="s">
        <v>1481</v>
      </c>
      <c r="L256" s="951" t="s">
        <v>236</v>
      </c>
      <c r="M256" s="471">
        <f>(0.9-3*0.075+4*0.015)/2-2*0.075+2*0.025</f>
        <v>0.26750000000000007</v>
      </c>
      <c r="N256" s="462">
        <f>(1.2-2*0.075+2*0.015-3*0.075)/2+2*0.025</f>
        <v>0.47750000000000004</v>
      </c>
      <c r="O256" s="462">
        <v>2.5000000000000001E-2</v>
      </c>
      <c r="P256" s="462">
        <f>ROUND(4*M256*N256*O256,3)</f>
        <v>1.2999999999999999E-2</v>
      </c>
      <c r="Q256" s="471">
        <v>59715</v>
      </c>
      <c r="R256" s="471">
        <f t="shared" si="12"/>
        <v>776.3</v>
      </c>
    </row>
    <row r="257" spans="1:18" ht="20.2" hidden="1" customHeight="1">
      <c r="A257" s="617"/>
      <c r="B257" s="34"/>
      <c r="C257" s="54" t="s">
        <v>1482</v>
      </c>
      <c r="D257" s="951"/>
      <c r="E257" s="471"/>
      <c r="F257" s="462"/>
      <c r="G257" s="462"/>
      <c r="H257" s="462">
        <f>SUM(H252:H256)</f>
        <v>7.8E-2</v>
      </c>
      <c r="I257" s="465">
        <f>G25</f>
        <v>19572.5</v>
      </c>
      <c r="J257" s="471">
        <f t="shared" si="11"/>
        <v>1526.66</v>
      </c>
      <c r="K257" s="54" t="s">
        <v>1482</v>
      </c>
      <c r="L257" s="951"/>
      <c r="M257" s="471"/>
      <c r="N257" s="462"/>
      <c r="O257" s="462"/>
      <c r="P257" s="462">
        <f>SUM(P252:P256)</f>
        <v>7.0999999999999994E-2</v>
      </c>
      <c r="Q257" s="465">
        <f>I257</f>
        <v>19572.5</v>
      </c>
      <c r="R257" s="471">
        <f t="shared" si="12"/>
        <v>1389.65</v>
      </c>
    </row>
    <row r="258" spans="1:18" ht="33.299999999999997" hidden="1">
      <c r="A258" s="617" t="s">
        <v>787</v>
      </c>
      <c r="B258" s="19"/>
      <c r="C258" s="54" t="s">
        <v>788</v>
      </c>
      <c r="D258" s="951"/>
      <c r="E258" s="471"/>
      <c r="F258" s="462"/>
      <c r="G258" s="952"/>
      <c r="H258" s="952"/>
      <c r="I258" s="471"/>
      <c r="J258" s="471"/>
      <c r="K258" s="54" t="s">
        <v>788</v>
      </c>
      <c r="L258" s="951"/>
      <c r="M258" s="471"/>
      <c r="N258" s="462"/>
      <c r="O258" s="952"/>
      <c r="P258" s="952"/>
      <c r="Q258" s="471"/>
      <c r="R258" s="471"/>
    </row>
    <row r="259" spans="1:18" ht="20.2" hidden="1" customHeight="1">
      <c r="A259" s="617"/>
      <c r="B259" s="693"/>
      <c r="C259" s="694" t="s">
        <v>915</v>
      </c>
      <c r="D259" s="471" t="s">
        <v>1035</v>
      </c>
      <c r="E259" s="462" t="s">
        <v>1618</v>
      </c>
      <c r="F259" s="462"/>
      <c r="G259" s="462"/>
      <c r="H259" s="948">
        <v>2</v>
      </c>
      <c r="I259" s="471">
        <v>35</v>
      </c>
      <c r="J259" s="471">
        <f t="shared" ref="J259:J264" si="13">ROUND(H259*I259,2)</f>
        <v>70</v>
      </c>
      <c r="K259" s="694" t="s">
        <v>915</v>
      </c>
      <c r="L259" s="471" t="s">
        <v>1035</v>
      </c>
      <c r="M259" s="462" t="s">
        <v>1624</v>
      </c>
      <c r="N259" s="462"/>
      <c r="O259" s="462"/>
      <c r="P259" s="948">
        <v>2</v>
      </c>
      <c r="Q259" s="471">
        <v>38</v>
      </c>
      <c r="R259" s="471">
        <f t="shared" ref="R259:R264" si="14">ROUND(P259*Q259,2)</f>
        <v>76</v>
      </c>
    </row>
    <row r="260" spans="1:18" ht="20.2" hidden="1" customHeight="1">
      <c r="A260" s="617"/>
      <c r="B260" s="693"/>
      <c r="C260" s="31" t="s">
        <v>916</v>
      </c>
      <c r="D260" s="471" t="s">
        <v>1035</v>
      </c>
      <c r="E260" s="462" t="s">
        <v>1618</v>
      </c>
      <c r="F260" s="462"/>
      <c r="G260" s="462"/>
      <c r="H260" s="948">
        <v>2</v>
      </c>
      <c r="I260" s="471">
        <v>35</v>
      </c>
      <c r="J260" s="471">
        <f t="shared" si="13"/>
        <v>70</v>
      </c>
      <c r="K260" s="31" t="s">
        <v>916</v>
      </c>
      <c r="L260" s="471" t="s">
        <v>1035</v>
      </c>
      <c r="M260" s="462" t="s">
        <v>1624</v>
      </c>
      <c r="N260" s="462"/>
      <c r="O260" s="462"/>
      <c r="P260" s="948">
        <v>2</v>
      </c>
      <c r="Q260" s="471">
        <v>38</v>
      </c>
      <c r="R260" s="471">
        <f t="shared" si="14"/>
        <v>76</v>
      </c>
    </row>
    <row r="261" spans="1:18" ht="20.2" hidden="1" customHeight="1">
      <c r="A261" s="617"/>
      <c r="B261" s="693"/>
      <c r="C261" s="946" t="s">
        <v>917</v>
      </c>
      <c r="D261" s="471" t="s">
        <v>1035</v>
      </c>
      <c r="E261" s="462" t="s">
        <v>1984</v>
      </c>
      <c r="F261" s="462"/>
      <c r="G261" s="462"/>
      <c r="H261" s="948">
        <v>4</v>
      </c>
      <c r="I261" s="471">
        <v>21</v>
      </c>
      <c r="J261" s="471">
        <f t="shared" si="13"/>
        <v>84</v>
      </c>
      <c r="K261" s="946" t="s">
        <v>917</v>
      </c>
      <c r="L261" s="471" t="s">
        <v>1035</v>
      </c>
      <c r="M261" s="462" t="s">
        <v>1625</v>
      </c>
      <c r="N261" s="462"/>
      <c r="O261" s="462"/>
      <c r="P261" s="948">
        <v>4</v>
      </c>
      <c r="Q261" s="471">
        <v>26</v>
      </c>
      <c r="R261" s="471">
        <f t="shared" si="14"/>
        <v>104</v>
      </c>
    </row>
    <row r="262" spans="1:18" ht="20.2" hidden="1" customHeight="1">
      <c r="A262" s="617"/>
      <c r="B262" s="693"/>
      <c r="C262" s="694" t="s">
        <v>918</v>
      </c>
      <c r="D262" s="471" t="s">
        <v>1035</v>
      </c>
      <c r="E262" s="462" t="s">
        <v>1985</v>
      </c>
      <c r="F262" s="462"/>
      <c r="G262" s="462"/>
      <c r="H262" s="948">
        <v>2</v>
      </c>
      <c r="I262" s="471">
        <v>213</v>
      </c>
      <c r="J262" s="471">
        <f t="shared" si="13"/>
        <v>426</v>
      </c>
      <c r="K262" s="694" t="s">
        <v>918</v>
      </c>
      <c r="L262" s="471" t="s">
        <v>1035</v>
      </c>
      <c r="M262" s="462" t="s">
        <v>1626</v>
      </c>
      <c r="N262" s="462"/>
      <c r="O262" s="462"/>
      <c r="P262" s="948">
        <v>2</v>
      </c>
      <c r="Q262" s="471">
        <v>107</v>
      </c>
      <c r="R262" s="471">
        <f t="shared" si="14"/>
        <v>214</v>
      </c>
    </row>
    <row r="263" spans="1:18" ht="20.2" hidden="1" customHeight="1">
      <c r="A263" s="617"/>
      <c r="B263" s="693"/>
      <c r="C263" s="694" t="s">
        <v>799</v>
      </c>
      <c r="D263" s="471" t="s">
        <v>882</v>
      </c>
      <c r="E263" s="462" t="s">
        <v>1652</v>
      </c>
      <c r="F263" s="462"/>
      <c r="G263" s="462"/>
      <c r="H263" s="948">
        <v>60</v>
      </c>
      <c r="I263" s="471">
        <v>3</v>
      </c>
      <c r="J263" s="471">
        <f t="shared" si="13"/>
        <v>180</v>
      </c>
      <c r="K263" s="694" t="s">
        <v>799</v>
      </c>
      <c r="L263" s="471" t="s">
        <v>882</v>
      </c>
      <c r="M263" s="462" t="s">
        <v>1652</v>
      </c>
      <c r="N263" s="462"/>
      <c r="O263" s="462"/>
      <c r="P263" s="948">
        <v>60</v>
      </c>
      <c r="Q263" s="471">
        <v>0.89</v>
      </c>
      <c r="R263" s="471">
        <f t="shared" si="14"/>
        <v>53.4</v>
      </c>
    </row>
    <row r="264" spans="1:18" ht="20.2" hidden="1" customHeight="1">
      <c r="A264" s="617"/>
      <c r="B264" s="693"/>
      <c r="C264" s="694" t="s">
        <v>1598</v>
      </c>
      <c r="D264" s="471"/>
      <c r="E264" s="953" t="s">
        <v>1651</v>
      </c>
      <c r="F264" s="462"/>
      <c r="G264" s="462"/>
      <c r="H264" s="948">
        <v>4</v>
      </c>
      <c r="I264" s="471">
        <v>32</v>
      </c>
      <c r="J264" s="471">
        <f t="shared" si="13"/>
        <v>128</v>
      </c>
      <c r="K264" s="694" t="s">
        <v>1598</v>
      </c>
      <c r="L264" s="471"/>
      <c r="M264" s="953" t="s">
        <v>1651</v>
      </c>
      <c r="N264" s="462"/>
      <c r="O264" s="462"/>
      <c r="P264" s="948">
        <v>4</v>
      </c>
      <c r="Q264" s="471">
        <v>35</v>
      </c>
      <c r="R264" s="471">
        <f t="shared" si="14"/>
        <v>140</v>
      </c>
    </row>
    <row r="265" spans="1:18" ht="20.2" hidden="1" customHeight="1">
      <c r="A265" s="617"/>
      <c r="B265" s="693"/>
      <c r="C265" s="694" t="s">
        <v>1484</v>
      </c>
      <c r="D265" s="471">
        <v>2.75</v>
      </c>
      <c r="E265" s="462">
        <v>0.9</v>
      </c>
      <c r="F265" s="462"/>
      <c r="G265" s="471">
        <v>1.35</v>
      </c>
      <c r="H265" s="462">
        <f>ROUND(G265*E265*D265,2)</f>
        <v>3.34</v>
      </c>
      <c r="I265" s="471">
        <f>G15</f>
        <v>561.35799999999995</v>
      </c>
      <c r="J265" s="471">
        <f>ROUND(H265*I265/10,2)</f>
        <v>187.49</v>
      </c>
      <c r="K265" s="694" t="s">
        <v>1484</v>
      </c>
      <c r="L265" s="471">
        <v>2.75</v>
      </c>
      <c r="M265" s="462">
        <v>0.9</v>
      </c>
      <c r="N265" s="462"/>
      <c r="O265" s="471">
        <v>1.35</v>
      </c>
      <c r="P265" s="462">
        <f>ROUND(O265*M265*L265,2)</f>
        <v>3.34</v>
      </c>
      <c r="Q265" s="471">
        <f>I265</f>
        <v>561.35799999999995</v>
      </c>
      <c r="R265" s="471">
        <f>ROUND(P265*Q265/10,2)</f>
        <v>187.49</v>
      </c>
    </row>
    <row r="266" spans="1:18" s="450" customFormat="1" ht="20.2" hidden="1" customHeight="1">
      <c r="A266" s="617"/>
      <c r="B266" s="693"/>
      <c r="C266" s="694" t="s">
        <v>1306</v>
      </c>
      <c r="D266" s="471" t="s">
        <v>246</v>
      </c>
      <c r="E266" s="462">
        <v>0.9</v>
      </c>
      <c r="F266" s="462">
        <f>E266*10</f>
        <v>9</v>
      </c>
      <c r="G266" s="471">
        <v>0.89</v>
      </c>
      <c r="H266" s="462">
        <f>G266*F266</f>
        <v>8.01</v>
      </c>
      <c r="I266" s="471">
        <f>'Lead- Input sheet '!R10/1000</f>
        <v>69.62</v>
      </c>
      <c r="J266" s="471">
        <f>H266*I266</f>
        <v>557.65620000000001</v>
      </c>
      <c r="K266" s="694" t="s">
        <v>1306</v>
      </c>
      <c r="L266" s="471" t="s">
        <v>246</v>
      </c>
      <c r="M266" s="462">
        <v>0.9</v>
      </c>
      <c r="N266" s="462">
        <f>M266*10</f>
        <v>9</v>
      </c>
      <c r="O266" s="471">
        <v>1.1299999999999999</v>
      </c>
      <c r="P266" s="462">
        <f>O266*N266</f>
        <v>10.169999999999998</v>
      </c>
      <c r="Q266" s="471">
        <f>I266</f>
        <v>69.62</v>
      </c>
      <c r="R266" s="471">
        <f>P266*Q266</f>
        <v>708.03539999999987</v>
      </c>
    </row>
    <row r="267" spans="1:18" ht="20.2" hidden="1" customHeight="1">
      <c r="A267" s="617"/>
      <c r="B267" s="693"/>
      <c r="C267" s="694" t="s">
        <v>230</v>
      </c>
      <c r="D267" s="471"/>
      <c r="E267" s="462"/>
      <c r="F267" s="462"/>
      <c r="G267" s="462"/>
      <c r="H267" s="948">
        <v>1</v>
      </c>
      <c r="I267" s="471">
        <v>100</v>
      </c>
      <c r="J267" s="471">
        <f>H267*I267</f>
        <v>100</v>
      </c>
      <c r="K267" s="694" t="s">
        <v>230</v>
      </c>
      <c r="L267" s="471"/>
      <c r="M267" s="462"/>
      <c r="N267" s="462"/>
      <c r="O267" s="462"/>
      <c r="P267" s="948">
        <v>1</v>
      </c>
      <c r="Q267" s="471">
        <v>100</v>
      </c>
      <c r="R267" s="471">
        <f>P267*Q267</f>
        <v>100</v>
      </c>
    </row>
    <row r="268" spans="1:18" ht="20.2" hidden="1" customHeight="1">
      <c r="A268" s="617"/>
      <c r="B268" s="34"/>
      <c r="D268" s="951"/>
      <c r="E268" s="471"/>
      <c r="F268" s="462"/>
      <c r="G268" s="462"/>
      <c r="H268" s="462"/>
      <c r="I268" s="471"/>
      <c r="J268" s="471">
        <f>SUM(J252:J267)</f>
        <v>7300.8062</v>
      </c>
      <c r="K268" s="54"/>
      <c r="L268" s="951"/>
      <c r="M268" s="471"/>
      <c r="N268" s="462"/>
      <c r="O268" s="462"/>
      <c r="P268" s="462"/>
      <c r="Q268" s="471"/>
      <c r="R268" s="471">
        <f>SUM(R252:R267)</f>
        <v>6646.3653999999997</v>
      </c>
    </row>
    <row r="269" spans="1:18" s="18" customFormat="1" ht="20.2" hidden="1" customHeight="1">
      <c r="A269" s="617"/>
      <c r="B269" s="40"/>
      <c r="C269" s="54" t="s">
        <v>1600</v>
      </c>
      <c r="D269" s="954"/>
      <c r="E269" s="468"/>
      <c r="F269" s="458"/>
      <c r="G269" s="458"/>
      <c r="H269" s="458">
        <f>J268</f>
        <v>7300.8062</v>
      </c>
      <c r="I269" s="468">
        <f>I6</f>
        <v>0</v>
      </c>
      <c r="J269" s="468">
        <f>ROUND(H269*I269,2)</f>
        <v>0</v>
      </c>
      <c r="K269" s="54" t="s">
        <v>1600</v>
      </c>
      <c r="L269" s="954"/>
      <c r="M269" s="468"/>
      <c r="N269" s="458"/>
      <c r="O269" s="458"/>
      <c r="P269" s="458">
        <f>R268</f>
        <v>6646.3653999999997</v>
      </c>
      <c r="Q269" s="468">
        <f>Q6</f>
        <v>0</v>
      </c>
      <c r="R269" s="468">
        <f>ROUND(P269*Q269,2)</f>
        <v>0</v>
      </c>
    </row>
    <row r="270" spans="1:18" s="18" customFormat="1" ht="20.2" hidden="1" customHeight="1">
      <c r="A270" s="617"/>
      <c r="B270" s="411"/>
      <c r="C270" s="283" t="s">
        <v>256</v>
      </c>
      <c r="D270" s="955"/>
      <c r="E270" s="469"/>
      <c r="F270" s="460"/>
      <c r="G270" s="460"/>
      <c r="H270" s="460"/>
      <c r="I270" s="469" t="s">
        <v>416</v>
      </c>
      <c r="J270" s="469">
        <f>SUM(J268:J269)</f>
        <v>7300.8062</v>
      </c>
      <c r="K270" s="283" t="s">
        <v>256</v>
      </c>
      <c r="L270" s="955"/>
      <c r="M270" s="469"/>
      <c r="N270" s="460"/>
      <c r="O270" s="460"/>
      <c r="P270" s="460"/>
      <c r="Q270" s="469" t="s">
        <v>416</v>
      </c>
      <c r="R270" s="469">
        <f>SUM(R268:R269)</f>
        <v>6646.3653999999997</v>
      </c>
    </row>
    <row r="271" spans="1:18" hidden="1">
      <c r="A271" s="617"/>
      <c r="B271" s="34"/>
      <c r="C271" s="55" t="s">
        <v>1307</v>
      </c>
      <c r="D271" s="951"/>
      <c r="E271" s="471"/>
      <c r="F271" s="462"/>
      <c r="G271" s="462"/>
      <c r="H271" s="462"/>
      <c r="I271" s="471"/>
      <c r="J271" s="471"/>
      <c r="K271" s="55" t="s">
        <v>1307</v>
      </c>
      <c r="L271" s="951"/>
      <c r="M271" s="471"/>
      <c r="N271" s="462"/>
      <c r="O271" s="462"/>
      <c r="P271" s="462"/>
      <c r="Q271" s="471"/>
      <c r="R271" s="471"/>
    </row>
    <row r="272" spans="1:18" hidden="1">
      <c r="A272" s="617"/>
      <c r="B272" s="34"/>
      <c r="C272" s="54" t="s">
        <v>848</v>
      </c>
      <c r="D272" s="951"/>
      <c r="E272" s="471"/>
      <c r="F272" s="462"/>
      <c r="G272" s="462"/>
      <c r="H272" s="462"/>
      <c r="I272" s="471"/>
      <c r="J272" s="471"/>
      <c r="K272" s="54" t="s">
        <v>848</v>
      </c>
      <c r="L272" s="951"/>
      <c r="M272" s="471"/>
      <c r="N272" s="462"/>
      <c r="O272" s="462"/>
      <c r="P272" s="462"/>
      <c r="Q272" s="471"/>
      <c r="R272" s="471"/>
    </row>
    <row r="273" spans="1:18" ht="20.2" hidden="1" customHeight="1">
      <c r="A273" s="617"/>
      <c r="B273" s="34"/>
      <c r="C273" s="54" t="s">
        <v>780</v>
      </c>
      <c r="D273" s="951">
        <v>3</v>
      </c>
      <c r="E273" s="471">
        <v>1.35</v>
      </c>
      <c r="F273" s="462">
        <v>0.1</v>
      </c>
      <c r="G273" s="462">
        <v>7.4999999999999997E-2</v>
      </c>
      <c r="H273" s="462">
        <f>ROUND(D273*E273*F273*G273,3)</f>
        <v>0.03</v>
      </c>
      <c r="I273" s="471">
        <v>44785</v>
      </c>
      <c r="J273" s="471">
        <f>ROUND(H273*I273,2)</f>
        <v>1343.55</v>
      </c>
      <c r="K273" s="54" t="s">
        <v>780</v>
      </c>
      <c r="L273" s="951">
        <v>3</v>
      </c>
      <c r="M273" s="471">
        <v>1.2</v>
      </c>
      <c r="N273" s="462">
        <v>0.1</v>
      </c>
      <c r="O273" s="462">
        <v>7.4999999999999997E-2</v>
      </c>
      <c r="P273" s="462">
        <f>ROUND(L273*M273*N273*O273,3)</f>
        <v>2.7E-2</v>
      </c>
      <c r="Q273" s="471">
        <v>44785</v>
      </c>
      <c r="R273" s="471">
        <f>ROUND(P273*Q273,2)</f>
        <v>1209.2</v>
      </c>
    </row>
    <row r="274" spans="1:18" ht="20.2" hidden="1" customHeight="1">
      <c r="A274" s="617"/>
      <c r="B274" s="34"/>
      <c r="C274" s="54" t="s">
        <v>781</v>
      </c>
      <c r="D274" s="951">
        <v>2</v>
      </c>
      <c r="E274" s="471">
        <v>1.05</v>
      </c>
      <c r="F274" s="462">
        <v>0.1</v>
      </c>
      <c r="G274" s="462">
        <v>7.4999999999999997E-2</v>
      </c>
      <c r="H274" s="462">
        <f>ROUND(D274*E274*F274*G274,3)</f>
        <v>1.6E-2</v>
      </c>
      <c r="I274" s="471">
        <v>44785</v>
      </c>
      <c r="J274" s="471">
        <f>ROUND(H274*I274,2)</f>
        <v>716.56</v>
      </c>
      <c r="K274" s="54" t="s">
        <v>781</v>
      </c>
      <c r="L274" s="951">
        <v>2</v>
      </c>
      <c r="M274" s="471">
        <v>1.05</v>
      </c>
      <c r="N274" s="462">
        <v>0.1</v>
      </c>
      <c r="O274" s="462">
        <v>7.4999999999999997E-2</v>
      </c>
      <c r="P274" s="462">
        <f>ROUND(L274*M274*N274*O274,3)</f>
        <v>1.6E-2</v>
      </c>
      <c r="Q274" s="471">
        <v>44785</v>
      </c>
      <c r="R274" s="471">
        <f>ROUND(P274*Q274,2)</f>
        <v>716.56</v>
      </c>
    </row>
    <row r="275" spans="1:18" ht="20.2" hidden="1" customHeight="1">
      <c r="A275" s="617"/>
      <c r="B275" s="34"/>
      <c r="C275" s="54" t="s">
        <v>1482</v>
      </c>
      <c r="D275" s="951"/>
      <c r="E275" s="471"/>
      <c r="F275" s="462"/>
      <c r="G275" s="462"/>
      <c r="H275" s="462">
        <f>SUM(H273:H274)</f>
        <v>4.5999999999999999E-2</v>
      </c>
      <c r="I275" s="465">
        <f>G25</f>
        <v>19572.5</v>
      </c>
      <c r="J275" s="471">
        <f>ROUND(H275*I275,2)</f>
        <v>900.34</v>
      </c>
      <c r="K275" s="54" t="s">
        <v>1482</v>
      </c>
      <c r="L275" s="951"/>
      <c r="M275" s="471"/>
      <c r="N275" s="462"/>
      <c r="O275" s="462"/>
      <c r="P275" s="462">
        <f>SUM(P273:P274)</f>
        <v>4.2999999999999997E-2</v>
      </c>
      <c r="Q275" s="465">
        <f>I275</f>
        <v>19572.5</v>
      </c>
      <c r="R275" s="471">
        <f>ROUND(P275*Q275,2)</f>
        <v>841.62</v>
      </c>
    </row>
    <row r="276" spans="1:18" ht="33.299999999999997" hidden="1">
      <c r="A276" s="617" t="s">
        <v>787</v>
      </c>
      <c r="B276" s="19"/>
      <c r="C276" s="54" t="s">
        <v>788</v>
      </c>
      <c r="D276" s="951"/>
      <c r="E276" s="471"/>
      <c r="F276" s="462"/>
      <c r="G276" s="952"/>
      <c r="H276" s="952"/>
      <c r="I276" s="471"/>
      <c r="J276" s="471"/>
      <c r="K276" s="54" t="s">
        <v>788</v>
      </c>
      <c r="L276" s="951"/>
      <c r="M276" s="471"/>
      <c r="N276" s="462"/>
      <c r="O276" s="952"/>
      <c r="P276" s="952"/>
      <c r="Q276" s="471"/>
      <c r="R276" s="471"/>
    </row>
    <row r="277" spans="1:18" ht="20.2" hidden="1" customHeight="1">
      <c r="A277" s="617"/>
      <c r="B277" s="32"/>
      <c r="C277" s="54" t="s">
        <v>1598</v>
      </c>
      <c r="D277" s="951"/>
      <c r="E277" s="953" t="s">
        <v>1651</v>
      </c>
      <c r="F277" s="462"/>
      <c r="G277" s="462"/>
      <c r="H277" s="948">
        <v>4</v>
      </c>
      <c r="I277" s="471">
        <v>32</v>
      </c>
      <c r="J277" s="471">
        <f>ROUND(H277*I277,2)</f>
        <v>128</v>
      </c>
      <c r="K277" s="54" t="s">
        <v>1598</v>
      </c>
      <c r="L277" s="951"/>
      <c r="M277" s="953" t="s">
        <v>1651</v>
      </c>
      <c r="N277" s="462"/>
      <c r="O277" s="462"/>
      <c r="P277" s="948">
        <v>4</v>
      </c>
      <c r="Q277" s="471">
        <v>35</v>
      </c>
      <c r="R277" s="471">
        <f>ROUND(P277*Q277,2)</f>
        <v>140</v>
      </c>
    </row>
    <row r="278" spans="1:18" ht="20.2" hidden="1" customHeight="1">
      <c r="A278" s="617"/>
      <c r="B278" s="34"/>
      <c r="C278" s="54" t="s">
        <v>1484</v>
      </c>
      <c r="D278" s="951" t="s">
        <v>544</v>
      </c>
      <c r="E278" s="471">
        <v>0.9</v>
      </c>
      <c r="F278" s="462"/>
      <c r="G278" s="471">
        <v>1.35</v>
      </c>
      <c r="H278" s="462">
        <f>ROUND(G278*E278*2.75/3,2)</f>
        <v>1.1100000000000001</v>
      </c>
      <c r="I278" s="698">
        <f>G15</f>
        <v>561.35799999999995</v>
      </c>
      <c r="J278" s="471">
        <f>ROUND(H278*I278/10,2)</f>
        <v>62.31</v>
      </c>
      <c r="K278" s="54" t="s">
        <v>1484</v>
      </c>
      <c r="L278" s="951" t="s">
        <v>544</v>
      </c>
      <c r="M278" s="471">
        <v>0.9</v>
      </c>
      <c r="N278" s="462"/>
      <c r="O278" s="471">
        <v>1.35</v>
      </c>
      <c r="P278" s="462">
        <f>ROUND(O278*M278*2.75/3,2)</f>
        <v>1.1100000000000001</v>
      </c>
      <c r="Q278" s="698">
        <f>I278</f>
        <v>561.35799999999995</v>
      </c>
      <c r="R278" s="471">
        <f>ROUND(P278*Q278/10,2)</f>
        <v>62.31</v>
      </c>
    </row>
    <row r="279" spans="1:18" s="450" customFormat="1" ht="20.2" hidden="1" customHeight="1">
      <c r="A279" s="617"/>
      <c r="B279" s="693"/>
      <c r="C279" s="694" t="s">
        <v>1306</v>
      </c>
      <c r="D279" s="471" t="s">
        <v>246</v>
      </c>
      <c r="E279" s="462">
        <v>0.9</v>
      </c>
      <c r="F279" s="471">
        <f>E279*10</f>
        <v>9</v>
      </c>
      <c r="G279" s="471">
        <v>0.89</v>
      </c>
      <c r="H279" s="462">
        <f>G279*F279</f>
        <v>8.01</v>
      </c>
      <c r="I279" s="471">
        <f>'Lead- Input sheet '!R10/1000</f>
        <v>69.62</v>
      </c>
      <c r="J279" s="471">
        <f>H279*I279</f>
        <v>557.65620000000001</v>
      </c>
      <c r="K279" s="694" t="s">
        <v>1306</v>
      </c>
      <c r="L279" s="471" t="s">
        <v>246</v>
      </c>
      <c r="M279" s="462">
        <v>0.9</v>
      </c>
      <c r="N279" s="471">
        <f>M279*10</f>
        <v>9</v>
      </c>
      <c r="O279" s="471">
        <v>1.1299999999999999</v>
      </c>
      <c r="P279" s="462">
        <f>O279*N279</f>
        <v>10.169999999999998</v>
      </c>
      <c r="Q279" s="698">
        <f>I279</f>
        <v>69.62</v>
      </c>
      <c r="R279" s="471">
        <f>P279*Q279</f>
        <v>708.03539999999987</v>
      </c>
    </row>
    <row r="280" spans="1:18" ht="20.2" hidden="1" customHeight="1">
      <c r="A280" s="617"/>
      <c r="B280" s="34"/>
      <c r="C280" s="54" t="s">
        <v>230</v>
      </c>
      <c r="D280" s="951"/>
      <c r="E280" s="471"/>
      <c r="F280" s="462"/>
      <c r="G280" s="462"/>
      <c r="H280" s="948">
        <v>1</v>
      </c>
      <c r="I280" s="471">
        <v>50</v>
      </c>
      <c r="J280" s="471">
        <f>ROUND(H280*I280,2)</f>
        <v>50</v>
      </c>
      <c r="K280" s="54" t="s">
        <v>230</v>
      </c>
      <c r="L280" s="951"/>
      <c r="M280" s="471"/>
      <c r="N280" s="462"/>
      <c r="O280" s="462"/>
      <c r="P280" s="948">
        <v>1</v>
      </c>
      <c r="Q280" s="471">
        <v>50</v>
      </c>
      <c r="R280" s="471">
        <f>ROUND(P280*Q280,2)</f>
        <v>50</v>
      </c>
    </row>
    <row r="281" spans="1:18" ht="20.2" hidden="1" customHeight="1">
      <c r="A281" s="617"/>
      <c r="B281" s="34"/>
      <c r="D281" s="951"/>
      <c r="E281" s="471"/>
      <c r="F281" s="462"/>
      <c r="G281" s="462"/>
      <c r="H281" s="462"/>
      <c r="I281" s="471"/>
      <c r="J281" s="471">
        <f>SUM(J273:J280)</f>
        <v>3758.4161999999997</v>
      </c>
      <c r="K281" s="54"/>
      <c r="L281" s="951"/>
      <c r="M281" s="471"/>
      <c r="N281" s="462"/>
      <c r="O281" s="462"/>
      <c r="P281" s="462"/>
      <c r="Q281" s="471"/>
      <c r="R281" s="471">
        <f>SUM(R273:R280)</f>
        <v>3727.7253999999998</v>
      </c>
    </row>
    <row r="282" spans="1:18" s="18" customFormat="1" ht="20.2" hidden="1" customHeight="1">
      <c r="A282" s="617"/>
      <c r="B282" s="40"/>
      <c r="C282" s="54" t="s">
        <v>1600</v>
      </c>
      <c r="D282" s="954"/>
      <c r="E282" s="468"/>
      <c r="F282" s="458"/>
      <c r="G282" s="458"/>
      <c r="H282" s="458">
        <f>J281</f>
        <v>3758.4161999999997</v>
      </c>
      <c r="I282" s="468">
        <f>I6</f>
        <v>0</v>
      </c>
      <c r="J282" s="471">
        <f>ROUND(H282*I282,2)</f>
        <v>0</v>
      </c>
      <c r="K282" s="54" t="s">
        <v>1600</v>
      </c>
      <c r="L282" s="954"/>
      <c r="M282" s="468"/>
      <c r="N282" s="458"/>
      <c r="O282" s="458"/>
      <c r="P282" s="458">
        <f>R281</f>
        <v>3727.7253999999998</v>
      </c>
      <c r="Q282" s="468">
        <f>Q6</f>
        <v>0</v>
      </c>
      <c r="R282" s="471">
        <f>ROUND(P282*Q282,2)</f>
        <v>0</v>
      </c>
    </row>
    <row r="283" spans="1:18" s="439" customFormat="1" ht="20.2" hidden="1" customHeight="1">
      <c r="A283" s="617"/>
      <c r="B283" s="411"/>
      <c r="C283" s="448" t="s">
        <v>1308</v>
      </c>
      <c r="D283" s="955"/>
      <c r="E283" s="469"/>
      <c r="F283" s="460"/>
      <c r="G283" s="460"/>
      <c r="H283" s="460"/>
      <c r="I283" s="469" t="s">
        <v>416</v>
      </c>
      <c r="J283" s="469">
        <f>SUM(J281:J282)</f>
        <v>3758.4161999999997</v>
      </c>
      <c r="K283" s="448" t="s">
        <v>1308</v>
      </c>
      <c r="L283" s="955"/>
      <c r="M283" s="469"/>
      <c r="N283" s="460"/>
      <c r="O283" s="460"/>
      <c r="P283" s="460"/>
      <c r="Q283" s="469" t="s">
        <v>416</v>
      </c>
      <c r="R283" s="469">
        <f>SUM(R281:R282)</f>
        <v>3727.7253999999998</v>
      </c>
    </row>
    <row r="284" spans="1:18" s="439" customFormat="1" ht="20.2" hidden="1" customHeight="1">
      <c r="A284" s="617"/>
      <c r="B284" s="411"/>
      <c r="C284" s="448" t="s">
        <v>1309</v>
      </c>
      <c r="D284" s="955"/>
      <c r="E284" s="469"/>
      <c r="F284" s="460"/>
      <c r="G284" s="460"/>
      <c r="H284" s="460"/>
      <c r="I284" s="469" t="s">
        <v>416</v>
      </c>
      <c r="J284" s="469">
        <f>J270-J283</f>
        <v>3542.3900000000003</v>
      </c>
      <c r="K284" s="448" t="s">
        <v>1309</v>
      </c>
      <c r="L284" s="955"/>
      <c r="M284" s="469"/>
      <c r="N284" s="460"/>
      <c r="O284" s="460"/>
      <c r="P284" s="460"/>
      <c r="Q284" s="469" t="s">
        <v>416</v>
      </c>
      <c r="R284" s="469">
        <f>R270-R283</f>
        <v>2918.64</v>
      </c>
    </row>
    <row r="285" spans="1:18" ht="155.25" hidden="1" customHeight="1">
      <c r="A285" s="617"/>
      <c r="B285" s="26">
        <v>8</v>
      </c>
      <c r="C285" s="55" t="s">
        <v>1830</v>
      </c>
      <c r="D285" s="951"/>
      <c r="E285" s="471"/>
      <c r="F285" s="462"/>
      <c r="G285" s="462"/>
      <c r="H285" s="462"/>
      <c r="I285" s="471"/>
      <c r="J285" s="471"/>
      <c r="K285" s="55" t="s">
        <v>1935</v>
      </c>
      <c r="L285" s="951"/>
      <c r="M285" s="471"/>
      <c r="N285" s="462"/>
      <c r="O285" s="462"/>
      <c r="P285" s="462"/>
      <c r="Q285" s="471"/>
      <c r="R285" s="471"/>
    </row>
    <row r="286" spans="1:18" ht="20.2" hidden="1" customHeight="1">
      <c r="A286" s="617"/>
      <c r="B286" s="34"/>
      <c r="C286" s="55" t="s">
        <v>1310</v>
      </c>
      <c r="D286" s="951"/>
      <c r="E286" s="471"/>
      <c r="F286" s="462"/>
      <c r="G286" s="462"/>
      <c r="H286" s="462"/>
      <c r="I286" s="471"/>
      <c r="J286" s="471"/>
      <c r="K286" s="55" t="s">
        <v>1936</v>
      </c>
      <c r="L286" s="951"/>
      <c r="M286" s="471"/>
      <c r="N286" s="462"/>
      <c r="O286" s="462"/>
      <c r="P286" s="462"/>
      <c r="Q286" s="471"/>
      <c r="R286" s="471"/>
    </row>
    <row r="287" spans="1:18" hidden="1">
      <c r="A287" s="617"/>
      <c r="B287" s="34"/>
      <c r="C287" s="54" t="s">
        <v>848</v>
      </c>
      <c r="D287" s="951"/>
      <c r="E287" s="471"/>
      <c r="F287" s="462"/>
      <c r="G287" s="462"/>
      <c r="H287" s="462"/>
      <c r="I287" s="471"/>
      <c r="J287" s="471"/>
      <c r="K287" s="54" t="s">
        <v>848</v>
      </c>
      <c r="L287" s="951"/>
      <c r="M287" s="471"/>
      <c r="N287" s="462"/>
      <c r="O287" s="462"/>
      <c r="P287" s="462"/>
      <c r="Q287" s="471"/>
      <c r="R287" s="471"/>
    </row>
    <row r="288" spans="1:18" ht="20.2" hidden="1" customHeight="1">
      <c r="A288" s="617"/>
      <c r="B288" s="34"/>
      <c r="C288" s="54" t="s">
        <v>780</v>
      </c>
      <c r="D288" s="951">
        <v>4</v>
      </c>
      <c r="E288" s="471">
        <v>1.35</v>
      </c>
      <c r="F288" s="462">
        <v>0.1</v>
      </c>
      <c r="G288" s="462">
        <v>7.4999999999999997E-2</v>
      </c>
      <c r="H288" s="462">
        <f>ROUND(D288*E288*F288*G288,3)</f>
        <v>4.1000000000000002E-2</v>
      </c>
      <c r="I288" s="471">
        <v>44785</v>
      </c>
      <c r="J288" s="471">
        <f t="shared" ref="J288:J293" si="15">ROUND(H288*I288,2)</f>
        <v>1836.19</v>
      </c>
      <c r="K288" s="54" t="s">
        <v>780</v>
      </c>
      <c r="L288" s="951">
        <v>4</v>
      </c>
      <c r="M288" s="471">
        <v>1.2</v>
      </c>
      <c r="N288" s="462">
        <v>0.1</v>
      </c>
      <c r="O288" s="462">
        <v>7.4999999999999997E-2</v>
      </c>
      <c r="P288" s="462">
        <f>ROUND(L288*M288*N288*O288,3)</f>
        <v>3.5999999999999997E-2</v>
      </c>
      <c r="Q288" s="471">
        <v>44785</v>
      </c>
      <c r="R288" s="471">
        <f t="shared" ref="R288:R293" si="16">ROUND(P288*Q288,2)</f>
        <v>1612.26</v>
      </c>
    </row>
    <row r="289" spans="1:18" ht="20.2" hidden="1" customHeight="1">
      <c r="A289" s="617"/>
      <c r="B289" s="34"/>
      <c r="C289" s="54" t="s">
        <v>781</v>
      </c>
      <c r="D289" s="951">
        <v>2</v>
      </c>
      <c r="E289" s="471">
        <v>1.35</v>
      </c>
      <c r="F289" s="462">
        <v>0.1</v>
      </c>
      <c r="G289" s="462">
        <v>7.4999999999999997E-2</v>
      </c>
      <c r="H289" s="462">
        <f>ROUND(D289*E289*F289*G289,3)</f>
        <v>0.02</v>
      </c>
      <c r="I289" s="471">
        <v>44785</v>
      </c>
      <c r="J289" s="471">
        <f t="shared" si="15"/>
        <v>895.7</v>
      </c>
      <c r="K289" s="54" t="s">
        <v>781</v>
      </c>
      <c r="L289" s="951">
        <v>2</v>
      </c>
      <c r="M289" s="471">
        <v>1.35</v>
      </c>
      <c r="N289" s="462">
        <v>0.1</v>
      </c>
      <c r="O289" s="462">
        <v>7.4999999999999997E-2</v>
      </c>
      <c r="P289" s="462">
        <f>ROUND(L289*M289*N289*O289,3)</f>
        <v>0.02</v>
      </c>
      <c r="Q289" s="471">
        <v>44785</v>
      </c>
      <c r="R289" s="471">
        <f t="shared" si="16"/>
        <v>895.7</v>
      </c>
    </row>
    <row r="290" spans="1:18" ht="20.2" hidden="1" customHeight="1">
      <c r="A290" s="617"/>
      <c r="B290" s="34"/>
      <c r="C290" s="54" t="s">
        <v>782</v>
      </c>
      <c r="D290" s="951" t="s">
        <v>243</v>
      </c>
      <c r="E290" s="472">
        <f>(1.35-2*0.075+2*0.015)</f>
        <v>1.2300000000000002</v>
      </c>
      <c r="F290" s="462">
        <v>7.4999999999999997E-2</v>
      </c>
      <c r="G290" s="462">
        <f>1.25*25.4/1000</f>
        <v>3.175E-2</v>
      </c>
      <c r="H290" s="462">
        <f>ROUND(6*E290*F290*G290,3)</f>
        <v>1.7999999999999999E-2</v>
      </c>
      <c r="I290" s="471">
        <v>59715</v>
      </c>
      <c r="J290" s="471">
        <f t="shared" si="15"/>
        <v>1074.8699999999999</v>
      </c>
      <c r="K290" s="54" t="s">
        <v>782</v>
      </c>
      <c r="L290" s="951" t="s">
        <v>243</v>
      </c>
      <c r="M290" s="472">
        <f>(1.2-2*0.075+2*0.015)</f>
        <v>1.08</v>
      </c>
      <c r="N290" s="462">
        <v>7.4999999999999997E-2</v>
      </c>
      <c r="O290" s="462">
        <f>1.25*25.4/1000</f>
        <v>3.175E-2</v>
      </c>
      <c r="P290" s="462">
        <f>ROUND(6*M290*N290*O290,3)</f>
        <v>1.4999999999999999E-2</v>
      </c>
      <c r="Q290" s="471">
        <v>59715</v>
      </c>
      <c r="R290" s="471">
        <f t="shared" si="16"/>
        <v>895.73</v>
      </c>
    </row>
    <row r="291" spans="1:18" ht="20.2" hidden="1" customHeight="1">
      <c r="A291" s="617"/>
      <c r="B291" s="34"/>
      <c r="C291" s="54" t="s">
        <v>783</v>
      </c>
      <c r="D291" s="951" t="s">
        <v>244</v>
      </c>
      <c r="E291" s="471">
        <f>(1.2-3*0.075+4*0.015)/2</f>
        <v>0.51749999999999996</v>
      </c>
      <c r="F291" s="462">
        <v>7.4999999999999997E-2</v>
      </c>
      <c r="G291" s="462">
        <f>1.25*25.4/1000</f>
        <v>3.175E-2</v>
      </c>
      <c r="H291" s="462">
        <f>ROUND(9*E291*F291*G291,3)</f>
        <v>1.0999999999999999E-2</v>
      </c>
      <c r="I291" s="471">
        <v>59715</v>
      </c>
      <c r="J291" s="471">
        <f t="shared" si="15"/>
        <v>656.87</v>
      </c>
      <c r="K291" s="54" t="s">
        <v>783</v>
      </c>
      <c r="L291" s="951" t="s">
        <v>244</v>
      </c>
      <c r="M291" s="471">
        <f>(1.2-3*0.075+4*0.015)/2</f>
        <v>0.51749999999999996</v>
      </c>
      <c r="N291" s="462">
        <v>7.4999999999999997E-2</v>
      </c>
      <c r="O291" s="462">
        <f>1.25*25.4/1000</f>
        <v>3.175E-2</v>
      </c>
      <c r="P291" s="462">
        <f>ROUND(9*M291*N291*O291,3)</f>
        <v>1.0999999999999999E-2</v>
      </c>
      <c r="Q291" s="471">
        <v>59715</v>
      </c>
      <c r="R291" s="471">
        <f t="shared" si="16"/>
        <v>656.87</v>
      </c>
    </row>
    <row r="292" spans="1:18" ht="20.2" hidden="1" customHeight="1">
      <c r="A292" s="617"/>
      <c r="B292" s="34"/>
      <c r="C292" s="54" t="s">
        <v>1481</v>
      </c>
      <c r="D292" s="951" t="s">
        <v>245</v>
      </c>
      <c r="E292" s="471">
        <f>(1.2-4*0.075+6*0.015)/3-2*0.075+2*0.025</f>
        <v>0.22999999999999998</v>
      </c>
      <c r="F292" s="462">
        <f>(1.35-2*0.075+2*0.015-3*0.075)/2+2*0.025</f>
        <v>0.55250000000000021</v>
      </c>
      <c r="G292" s="462">
        <v>2.5000000000000001E-2</v>
      </c>
      <c r="H292" s="462">
        <f>ROUND(6*E292*F292*G292,3)</f>
        <v>1.9E-2</v>
      </c>
      <c r="I292" s="471">
        <v>59715</v>
      </c>
      <c r="J292" s="471">
        <f t="shared" si="15"/>
        <v>1134.5899999999999</v>
      </c>
      <c r="K292" s="54" t="s">
        <v>1481</v>
      </c>
      <c r="L292" s="951" t="s">
        <v>245</v>
      </c>
      <c r="M292" s="471">
        <f>(1.2-4*0.075+6*0.015)/3-2*0.075+2*0.025</f>
        <v>0.22999999999999998</v>
      </c>
      <c r="N292" s="462">
        <f>(1.2-2*0.075+2*0.015-3*0.075)/2+2*0.025</f>
        <v>0.47750000000000004</v>
      </c>
      <c r="O292" s="462">
        <v>2.5000000000000001E-2</v>
      </c>
      <c r="P292" s="462">
        <f>ROUND(6*M292*N292*O292,3)</f>
        <v>1.6E-2</v>
      </c>
      <c r="Q292" s="471">
        <v>59715</v>
      </c>
      <c r="R292" s="471">
        <f t="shared" si="16"/>
        <v>955.44</v>
      </c>
    </row>
    <row r="293" spans="1:18" ht="20.2" hidden="1" customHeight="1">
      <c r="A293" s="617"/>
      <c r="B293" s="34"/>
      <c r="C293" s="54" t="s">
        <v>1482</v>
      </c>
      <c r="D293" s="951"/>
      <c r="E293" s="471"/>
      <c r="F293" s="462"/>
      <c r="G293" s="462"/>
      <c r="H293" s="462">
        <f>SUM(H288:H292)</f>
        <v>0.109</v>
      </c>
      <c r="I293" s="465">
        <f>G25</f>
        <v>19572.5</v>
      </c>
      <c r="J293" s="471">
        <f t="shared" si="15"/>
        <v>2133.4</v>
      </c>
      <c r="K293" s="54" t="s">
        <v>1482</v>
      </c>
      <c r="L293" s="951"/>
      <c r="M293" s="471"/>
      <c r="N293" s="462"/>
      <c r="O293" s="462"/>
      <c r="P293" s="462">
        <f>SUM(P288:P292)</f>
        <v>9.799999999999999E-2</v>
      </c>
      <c r="Q293" s="465">
        <f>I293</f>
        <v>19572.5</v>
      </c>
      <c r="R293" s="471">
        <f t="shared" si="16"/>
        <v>1918.11</v>
      </c>
    </row>
    <row r="294" spans="1:18" ht="33.299999999999997" hidden="1">
      <c r="A294" s="617" t="s">
        <v>787</v>
      </c>
      <c r="B294" s="19"/>
      <c r="C294" s="54" t="s">
        <v>788</v>
      </c>
      <c r="D294" s="951"/>
      <c r="E294" s="471"/>
      <c r="F294" s="462"/>
      <c r="G294" s="952"/>
      <c r="H294" s="952"/>
      <c r="I294" s="471"/>
      <c r="J294" s="471"/>
      <c r="K294" s="54" t="s">
        <v>788</v>
      </c>
      <c r="L294" s="951"/>
      <c r="M294" s="471"/>
      <c r="N294" s="462"/>
      <c r="O294" s="952"/>
      <c r="P294" s="952"/>
      <c r="Q294" s="471"/>
      <c r="R294" s="471"/>
    </row>
    <row r="295" spans="1:18" ht="20.2" hidden="1" customHeight="1">
      <c r="A295" s="617"/>
      <c r="B295" s="693"/>
      <c r="C295" s="694" t="s">
        <v>915</v>
      </c>
      <c r="D295" s="471" t="s">
        <v>1035</v>
      </c>
      <c r="E295" s="462" t="s">
        <v>1624</v>
      </c>
      <c r="F295" s="462"/>
      <c r="G295" s="462"/>
      <c r="H295" s="948">
        <v>3</v>
      </c>
      <c r="I295" s="471">
        <v>35</v>
      </c>
      <c r="J295" s="471">
        <f t="shared" ref="J295:J300" si="17">ROUND(H295*I295,2)</f>
        <v>105</v>
      </c>
      <c r="K295" s="694" t="s">
        <v>915</v>
      </c>
      <c r="L295" s="471" t="s">
        <v>1035</v>
      </c>
      <c r="M295" s="462" t="s">
        <v>1624</v>
      </c>
      <c r="N295" s="462"/>
      <c r="O295" s="462"/>
      <c r="P295" s="948">
        <v>3</v>
      </c>
      <c r="Q295" s="471">
        <v>35</v>
      </c>
      <c r="R295" s="471">
        <f t="shared" ref="R295:R300" si="18">ROUND(P295*Q295,2)</f>
        <v>105</v>
      </c>
    </row>
    <row r="296" spans="1:18" ht="20.2" hidden="1" customHeight="1">
      <c r="A296" s="617"/>
      <c r="B296" s="693"/>
      <c r="C296" s="31" t="s">
        <v>916</v>
      </c>
      <c r="D296" s="471" t="s">
        <v>1035</v>
      </c>
      <c r="E296" s="462" t="s">
        <v>1624</v>
      </c>
      <c r="F296" s="462"/>
      <c r="G296" s="462"/>
      <c r="H296" s="948">
        <v>3</v>
      </c>
      <c r="I296" s="471">
        <v>35</v>
      </c>
      <c r="J296" s="471">
        <f t="shared" si="17"/>
        <v>105</v>
      </c>
      <c r="K296" s="31" t="s">
        <v>916</v>
      </c>
      <c r="L296" s="471" t="s">
        <v>1035</v>
      </c>
      <c r="M296" s="462" t="s">
        <v>1624</v>
      </c>
      <c r="N296" s="462"/>
      <c r="O296" s="462"/>
      <c r="P296" s="948">
        <v>3</v>
      </c>
      <c r="Q296" s="471">
        <v>35</v>
      </c>
      <c r="R296" s="471">
        <f t="shared" si="18"/>
        <v>105</v>
      </c>
    </row>
    <row r="297" spans="1:18" ht="20.2" hidden="1" customHeight="1">
      <c r="A297" s="617"/>
      <c r="B297" s="693"/>
      <c r="C297" s="946" t="s">
        <v>917</v>
      </c>
      <c r="D297" s="471" t="s">
        <v>1035</v>
      </c>
      <c r="E297" s="462" t="s">
        <v>1625</v>
      </c>
      <c r="F297" s="462"/>
      <c r="G297" s="462"/>
      <c r="H297" s="948">
        <v>6</v>
      </c>
      <c r="I297" s="471">
        <v>21</v>
      </c>
      <c r="J297" s="471">
        <f t="shared" si="17"/>
        <v>126</v>
      </c>
      <c r="K297" s="946" t="s">
        <v>917</v>
      </c>
      <c r="L297" s="471" t="s">
        <v>1035</v>
      </c>
      <c r="M297" s="462" t="s">
        <v>1625</v>
      </c>
      <c r="N297" s="462"/>
      <c r="O297" s="462"/>
      <c r="P297" s="948">
        <v>6</v>
      </c>
      <c r="Q297" s="471">
        <v>21</v>
      </c>
      <c r="R297" s="471">
        <f t="shared" si="18"/>
        <v>126</v>
      </c>
    </row>
    <row r="298" spans="1:18" ht="20.2" hidden="1" customHeight="1">
      <c r="A298" s="617"/>
      <c r="B298" s="693"/>
      <c r="C298" s="694" t="s">
        <v>918</v>
      </c>
      <c r="D298" s="471" t="s">
        <v>1035</v>
      </c>
      <c r="E298" s="462" t="s">
        <v>1626</v>
      </c>
      <c r="F298" s="462"/>
      <c r="G298" s="462"/>
      <c r="H298" s="948">
        <v>3</v>
      </c>
      <c r="I298" s="471">
        <v>213</v>
      </c>
      <c r="J298" s="471">
        <f t="shared" si="17"/>
        <v>639</v>
      </c>
      <c r="K298" s="694" t="s">
        <v>918</v>
      </c>
      <c r="L298" s="471" t="s">
        <v>1035</v>
      </c>
      <c r="M298" s="462" t="s">
        <v>1626</v>
      </c>
      <c r="N298" s="462"/>
      <c r="O298" s="462"/>
      <c r="P298" s="948">
        <v>3</v>
      </c>
      <c r="Q298" s="471">
        <v>213</v>
      </c>
      <c r="R298" s="471">
        <f t="shared" si="18"/>
        <v>639</v>
      </c>
    </row>
    <row r="299" spans="1:18" ht="20.2" hidden="1" customHeight="1">
      <c r="A299" s="617"/>
      <c r="B299" s="693"/>
      <c r="C299" s="694" t="s">
        <v>799</v>
      </c>
      <c r="D299" s="471" t="s">
        <v>882</v>
      </c>
      <c r="E299" s="462" t="s">
        <v>1652</v>
      </c>
      <c r="F299" s="462"/>
      <c r="G299" s="462"/>
      <c r="H299" s="948">
        <v>90</v>
      </c>
      <c r="I299" s="471">
        <v>3</v>
      </c>
      <c r="J299" s="471">
        <f t="shared" si="17"/>
        <v>270</v>
      </c>
      <c r="K299" s="694" t="s">
        <v>799</v>
      </c>
      <c r="L299" s="471" t="s">
        <v>882</v>
      </c>
      <c r="M299" s="462" t="s">
        <v>1652</v>
      </c>
      <c r="N299" s="462"/>
      <c r="O299" s="462"/>
      <c r="P299" s="948">
        <v>90</v>
      </c>
      <c r="Q299" s="471">
        <v>3</v>
      </c>
      <c r="R299" s="471">
        <f t="shared" si="18"/>
        <v>270</v>
      </c>
    </row>
    <row r="300" spans="1:18" ht="20.2" hidden="1" customHeight="1">
      <c r="A300" s="617"/>
      <c r="B300" s="693"/>
      <c r="C300" s="694" t="s">
        <v>1598</v>
      </c>
      <c r="D300" s="471"/>
      <c r="E300" s="953" t="s">
        <v>1651</v>
      </c>
      <c r="F300" s="462"/>
      <c r="G300" s="462"/>
      <c r="H300" s="948">
        <v>4</v>
      </c>
      <c r="I300" s="471">
        <v>32</v>
      </c>
      <c r="J300" s="471">
        <f t="shared" si="17"/>
        <v>128</v>
      </c>
      <c r="K300" s="694" t="s">
        <v>1598</v>
      </c>
      <c r="L300" s="471"/>
      <c r="M300" s="953" t="s">
        <v>1651</v>
      </c>
      <c r="N300" s="462"/>
      <c r="O300" s="462"/>
      <c r="P300" s="948">
        <v>4</v>
      </c>
      <c r="Q300" s="471">
        <v>32</v>
      </c>
      <c r="R300" s="471">
        <f t="shared" si="18"/>
        <v>128</v>
      </c>
    </row>
    <row r="301" spans="1:18" ht="20.2" hidden="1" customHeight="1">
      <c r="A301" s="617"/>
      <c r="B301" s="34"/>
      <c r="C301" s="54" t="s">
        <v>1484</v>
      </c>
      <c r="D301" s="951">
        <v>2.75</v>
      </c>
      <c r="E301" s="471">
        <v>1.2</v>
      </c>
      <c r="F301" s="462"/>
      <c r="G301" s="471">
        <v>1.35</v>
      </c>
      <c r="H301" s="462">
        <f>ROUND(G301*E301*D301,2)</f>
        <v>4.46</v>
      </c>
      <c r="I301" s="698">
        <f>G15</f>
        <v>561.35799999999995</v>
      </c>
      <c r="J301" s="471">
        <f>ROUND(H301*I301/10,2)</f>
        <v>250.37</v>
      </c>
      <c r="K301" s="54" t="s">
        <v>1484</v>
      </c>
      <c r="L301" s="951">
        <v>2.75</v>
      </c>
      <c r="M301" s="471">
        <v>1.2</v>
      </c>
      <c r="N301" s="462"/>
      <c r="O301" s="471">
        <v>1.2</v>
      </c>
      <c r="P301" s="462">
        <f>ROUND(O301*M301*L301,2)</f>
        <v>3.96</v>
      </c>
      <c r="Q301" s="698">
        <f>I301</f>
        <v>561.35799999999995</v>
      </c>
      <c r="R301" s="471">
        <f>ROUND(P301*Q301/10,2)</f>
        <v>222.3</v>
      </c>
    </row>
    <row r="302" spans="1:18" ht="20.2" hidden="1" customHeight="1">
      <c r="A302" s="617"/>
      <c r="B302" s="34"/>
      <c r="C302" s="451" t="s">
        <v>1306</v>
      </c>
      <c r="D302" s="951" t="s">
        <v>246</v>
      </c>
      <c r="E302" s="471">
        <v>1.2</v>
      </c>
      <c r="F302" s="462">
        <f>E302*10</f>
        <v>12</v>
      </c>
      <c r="G302" s="471">
        <v>1.1299999999999999</v>
      </c>
      <c r="H302" s="462">
        <f>G302*F302</f>
        <v>13.559999999999999</v>
      </c>
      <c r="I302" s="465">
        <f>'Lead- Input sheet '!R10/1000</f>
        <v>69.62</v>
      </c>
      <c r="J302" s="471">
        <f>H302*I302</f>
        <v>944.04719999999998</v>
      </c>
      <c r="K302" s="451" t="s">
        <v>1306</v>
      </c>
      <c r="L302" s="951" t="s">
        <v>246</v>
      </c>
      <c r="M302" s="471">
        <v>1.2</v>
      </c>
      <c r="N302" s="462">
        <f>M302*10</f>
        <v>12</v>
      </c>
      <c r="O302" s="471">
        <v>1.1299999999999999</v>
      </c>
      <c r="P302" s="462">
        <f>O302*N302</f>
        <v>13.559999999999999</v>
      </c>
      <c r="Q302" s="698">
        <f>I302</f>
        <v>69.62</v>
      </c>
      <c r="R302" s="471">
        <f>P302*Q302</f>
        <v>944.04719999999998</v>
      </c>
    </row>
    <row r="303" spans="1:18" ht="20.2" hidden="1" customHeight="1">
      <c r="A303" s="617"/>
      <c r="B303" s="34"/>
      <c r="C303" s="54" t="s">
        <v>230</v>
      </c>
      <c r="D303" s="951"/>
      <c r="E303" s="471"/>
      <c r="F303" s="462"/>
      <c r="G303" s="462"/>
      <c r="H303" s="948">
        <v>1</v>
      </c>
      <c r="I303" s="471">
        <v>100</v>
      </c>
      <c r="J303" s="471">
        <f>H303*I303</f>
        <v>100</v>
      </c>
      <c r="K303" s="54" t="s">
        <v>230</v>
      </c>
      <c r="L303" s="951"/>
      <c r="M303" s="471"/>
      <c r="N303" s="462"/>
      <c r="O303" s="462"/>
      <c r="P303" s="948">
        <v>1</v>
      </c>
      <c r="Q303" s="471">
        <v>100</v>
      </c>
      <c r="R303" s="471">
        <f>P303*Q303</f>
        <v>100</v>
      </c>
    </row>
    <row r="304" spans="1:18" ht="20.2" hidden="1" customHeight="1">
      <c r="A304" s="617"/>
      <c r="B304" s="34"/>
      <c r="D304" s="951"/>
      <c r="E304" s="471"/>
      <c r="F304" s="462"/>
      <c r="G304" s="462"/>
      <c r="H304" s="462"/>
      <c r="I304" s="471"/>
      <c r="J304" s="471">
        <f>SUM(J288:J303)</f>
        <v>10399.037200000002</v>
      </c>
      <c r="K304" s="54"/>
      <c r="L304" s="951"/>
      <c r="M304" s="471"/>
      <c r="N304" s="462"/>
      <c r="O304" s="462"/>
      <c r="P304" s="462"/>
      <c r="Q304" s="471"/>
      <c r="R304" s="471">
        <f>SUM(R288:R303)</f>
        <v>9573.4572000000007</v>
      </c>
    </row>
    <row r="305" spans="1:18" s="18" customFormat="1" ht="20.2" hidden="1" customHeight="1">
      <c r="A305" s="617"/>
      <c r="B305" s="40"/>
      <c r="C305" s="54" t="s">
        <v>1600</v>
      </c>
      <c r="D305" s="954"/>
      <c r="E305" s="468"/>
      <c r="F305" s="458"/>
      <c r="G305" s="458"/>
      <c r="H305" s="458">
        <f>J304</f>
        <v>10399.037200000002</v>
      </c>
      <c r="I305" s="468">
        <f>I6</f>
        <v>0</v>
      </c>
      <c r="J305" s="468">
        <f>ROUND(H305*I305,2)</f>
        <v>0</v>
      </c>
      <c r="K305" s="54" t="s">
        <v>1600</v>
      </c>
      <c r="L305" s="954"/>
      <c r="M305" s="468"/>
      <c r="N305" s="458"/>
      <c r="O305" s="458"/>
      <c r="P305" s="458">
        <f>R304</f>
        <v>9573.4572000000007</v>
      </c>
      <c r="Q305" s="468">
        <f>I305</f>
        <v>0</v>
      </c>
      <c r="R305" s="468">
        <f>ROUND(P305*Q305,2)</f>
        <v>0</v>
      </c>
    </row>
    <row r="306" spans="1:18" s="18" customFormat="1" ht="20.2" hidden="1" customHeight="1">
      <c r="A306" s="617"/>
      <c r="B306" s="411"/>
      <c r="C306" s="283" t="s">
        <v>256</v>
      </c>
      <c r="D306" s="955"/>
      <c r="E306" s="469"/>
      <c r="F306" s="460"/>
      <c r="G306" s="460"/>
      <c r="H306" s="460"/>
      <c r="I306" s="469" t="s">
        <v>416</v>
      </c>
      <c r="J306" s="469">
        <f>SUM(J304:J305)</f>
        <v>10399.037200000002</v>
      </c>
      <c r="K306" s="283" t="s">
        <v>256</v>
      </c>
      <c r="L306" s="955"/>
      <c r="M306" s="469"/>
      <c r="N306" s="460"/>
      <c r="O306" s="460"/>
      <c r="P306" s="460"/>
      <c r="Q306" s="469" t="s">
        <v>416</v>
      </c>
      <c r="R306" s="469">
        <f>SUM(R304:R305)</f>
        <v>9573.4572000000007</v>
      </c>
    </row>
    <row r="307" spans="1:18" hidden="1">
      <c r="A307" s="617"/>
      <c r="B307" s="34"/>
      <c r="C307" s="55" t="s">
        <v>1311</v>
      </c>
      <c r="D307" s="951"/>
      <c r="E307" s="471"/>
      <c r="F307" s="462"/>
      <c r="G307" s="462"/>
      <c r="H307" s="462"/>
      <c r="I307" s="471"/>
      <c r="J307" s="471"/>
      <c r="K307" s="55" t="s">
        <v>1311</v>
      </c>
      <c r="L307" s="951"/>
      <c r="M307" s="471"/>
      <c r="N307" s="462"/>
      <c r="O307" s="462"/>
      <c r="P307" s="462"/>
      <c r="Q307" s="471"/>
      <c r="R307" s="471"/>
    </row>
    <row r="308" spans="1:18" hidden="1">
      <c r="A308" s="617"/>
      <c r="B308" s="34"/>
      <c r="C308" s="54" t="s">
        <v>848</v>
      </c>
      <c r="D308" s="951"/>
      <c r="E308" s="471"/>
      <c r="F308" s="462"/>
      <c r="G308" s="462"/>
      <c r="H308" s="462"/>
      <c r="I308" s="471"/>
      <c r="J308" s="471"/>
      <c r="K308" s="54" t="s">
        <v>848</v>
      </c>
      <c r="L308" s="951"/>
      <c r="M308" s="471"/>
      <c r="N308" s="462"/>
      <c r="O308" s="462"/>
      <c r="P308" s="462"/>
      <c r="Q308" s="471"/>
      <c r="R308" s="471"/>
    </row>
    <row r="309" spans="1:18" ht="20.2" hidden="1" customHeight="1">
      <c r="A309" s="617"/>
      <c r="B309" s="34"/>
      <c r="C309" s="54" t="s">
        <v>780</v>
      </c>
      <c r="D309" s="951">
        <v>4</v>
      </c>
      <c r="E309" s="471">
        <v>1.35</v>
      </c>
      <c r="F309" s="462">
        <v>0.1</v>
      </c>
      <c r="G309" s="462">
        <v>7.4999999999999997E-2</v>
      </c>
      <c r="H309" s="462">
        <f>ROUND(D309*E309*F309*G309,3)</f>
        <v>4.1000000000000002E-2</v>
      </c>
      <c r="I309" s="471">
        <v>44785</v>
      </c>
      <c r="J309" s="471">
        <f>ROUND(H309*I309,2)</f>
        <v>1836.19</v>
      </c>
      <c r="K309" s="54" t="s">
        <v>780</v>
      </c>
      <c r="L309" s="951">
        <v>4</v>
      </c>
      <c r="M309" s="471">
        <v>1.2</v>
      </c>
      <c r="N309" s="462">
        <v>0.1</v>
      </c>
      <c r="O309" s="462">
        <v>7.4999999999999997E-2</v>
      </c>
      <c r="P309" s="462">
        <f>ROUND(L309*M309*N309*O309,3)</f>
        <v>3.5999999999999997E-2</v>
      </c>
      <c r="Q309" s="471">
        <v>44785</v>
      </c>
      <c r="R309" s="471">
        <f>ROUND(P309*Q309,2)</f>
        <v>1612.26</v>
      </c>
    </row>
    <row r="310" spans="1:18" ht="20.2" hidden="1" customHeight="1">
      <c r="A310" s="617"/>
      <c r="B310" s="34"/>
      <c r="C310" s="54" t="s">
        <v>781</v>
      </c>
      <c r="D310" s="951">
        <v>2</v>
      </c>
      <c r="E310" s="471">
        <v>1.35</v>
      </c>
      <c r="F310" s="462">
        <v>0.1</v>
      </c>
      <c r="G310" s="462">
        <v>7.4999999999999997E-2</v>
      </c>
      <c r="H310" s="462">
        <f>ROUND(D310*E310*F310*G310,3)</f>
        <v>0.02</v>
      </c>
      <c r="I310" s="471">
        <v>44785</v>
      </c>
      <c r="J310" s="471">
        <f>ROUND(H310*I310,2)</f>
        <v>895.7</v>
      </c>
      <c r="K310" s="54" t="s">
        <v>781</v>
      </c>
      <c r="L310" s="951">
        <v>2</v>
      </c>
      <c r="M310" s="471">
        <v>1.35</v>
      </c>
      <c r="N310" s="462">
        <v>0.1</v>
      </c>
      <c r="O310" s="462">
        <v>7.4999999999999997E-2</v>
      </c>
      <c r="P310" s="462">
        <f>ROUND(L310*M310*N310*O310,3)</f>
        <v>0.02</v>
      </c>
      <c r="Q310" s="471">
        <v>44785</v>
      </c>
      <c r="R310" s="471">
        <f>ROUND(P310*Q310,2)</f>
        <v>895.7</v>
      </c>
    </row>
    <row r="311" spans="1:18" ht="20.2" hidden="1" customHeight="1">
      <c r="A311" s="617"/>
      <c r="B311" s="34"/>
      <c r="C311" s="54" t="s">
        <v>1482</v>
      </c>
      <c r="D311" s="951"/>
      <c r="E311" s="471"/>
      <c r="F311" s="462"/>
      <c r="G311" s="462"/>
      <c r="H311" s="462">
        <f>SUM(H309:H310)</f>
        <v>6.0999999999999999E-2</v>
      </c>
      <c r="I311" s="465">
        <f>G25</f>
        <v>19572.5</v>
      </c>
      <c r="J311" s="471">
        <f>ROUND(H311*I311,2)</f>
        <v>1193.92</v>
      </c>
      <c r="K311" s="54" t="s">
        <v>1482</v>
      </c>
      <c r="L311" s="951"/>
      <c r="M311" s="471"/>
      <c r="N311" s="462"/>
      <c r="O311" s="462"/>
      <c r="P311" s="462">
        <f>SUM(P309:P310)</f>
        <v>5.5999999999999994E-2</v>
      </c>
      <c r="Q311" s="465">
        <f>I311</f>
        <v>19572.5</v>
      </c>
      <c r="R311" s="471">
        <f>ROUND(P311*Q311,2)</f>
        <v>1096.06</v>
      </c>
    </row>
    <row r="312" spans="1:18" ht="33.299999999999997" hidden="1">
      <c r="A312" s="617" t="s">
        <v>787</v>
      </c>
      <c r="B312" s="19"/>
      <c r="C312" s="54" t="s">
        <v>788</v>
      </c>
      <c r="D312" s="951"/>
      <c r="E312" s="471"/>
      <c r="F312" s="462"/>
      <c r="G312" s="952"/>
      <c r="H312" s="952"/>
      <c r="I312" s="471"/>
      <c r="J312" s="471"/>
      <c r="K312" s="54" t="s">
        <v>788</v>
      </c>
      <c r="L312" s="951"/>
      <c r="M312" s="471"/>
      <c r="N312" s="462"/>
      <c r="O312" s="952"/>
      <c r="P312" s="952"/>
      <c r="Q312" s="471"/>
      <c r="R312" s="471"/>
    </row>
    <row r="313" spans="1:18" ht="20.2" hidden="1" customHeight="1">
      <c r="A313" s="617"/>
      <c r="B313" s="32"/>
      <c r="C313" s="54" t="s">
        <v>1598</v>
      </c>
      <c r="D313" s="951"/>
      <c r="E313" s="953" t="s">
        <v>1651</v>
      </c>
      <c r="F313" s="462"/>
      <c r="G313" s="462"/>
      <c r="H313" s="948">
        <v>4</v>
      </c>
      <c r="I313" s="471">
        <v>32</v>
      </c>
      <c r="J313" s="471">
        <f>ROUND(H313*I313,2)</f>
        <v>128</v>
      </c>
      <c r="K313" s="54" t="s">
        <v>1598</v>
      </c>
      <c r="L313" s="951"/>
      <c r="M313" s="953" t="s">
        <v>1651</v>
      </c>
      <c r="N313" s="462"/>
      <c r="O313" s="462"/>
      <c r="P313" s="948">
        <v>4</v>
      </c>
      <c r="Q313" s="471">
        <v>32</v>
      </c>
      <c r="R313" s="471">
        <f>ROUND(P313*Q313,2)</f>
        <v>128</v>
      </c>
    </row>
    <row r="314" spans="1:18" ht="20.2" hidden="1" customHeight="1">
      <c r="A314" s="617"/>
      <c r="B314" s="34"/>
      <c r="C314" s="54" t="s">
        <v>1484</v>
      </c>
      <c r="D314" s="471" t="s">
        <v>544</v>
      </c>
      <c r="E314" s="471">
        <v>1.2</v>
      </c>
      <c r="F314" s="462"/>
      <c r="G314" s="471">
        <v>1.35</v>
      </c>
      <c r="H314" s="462">
        <f>ROUND(G314*E314*2.75/3,2)</f>
        <v>1.49</v>
      </c>
      <c r="I314" s="698">
        <f>G15</f>
        <v>561.35799999999995</v>
      </c>
      <c r="J314" s="471">
        <f>ROUND(H314*I314/10,2)</f>
        <v>83.64</v>
      </c>
      <c r="K314" s="54" t="s">
        <v>1484</v>
      </c>
      <c r="L314" s="471" t="s">
        <v>544</v>
      </c>
      <c r="M314" s="471">
        <v>1.2</v>
      </c>
      <c r="N314" s="462"/>
      <c r="O314" s="471">
        <v>1.35</v>
      </c>
      <c r="P314" s="462">
        <f>ROUND(O314*M314*2.75/3,2)</f>
        <v>1.49</v>
      </c>
      <c r="Q314" s="698">
        <f>I314</f>
        <v>561.35799999999995</v>
      </c>
      <c r="R314" s="471">
        <f>ROUND(P314*Q314/10,2)</f>
        <v>83.64</v>
      </c>
    </row>
    <row r="315" spans="1:18" ht="20.2" hidden="1" customHeight="1">
      <c r="A315" s="617"/>
      <c r="B315" s="34"/>
      <c r="C315" s="451" t="s">
        <v>1306</v>
      </c>
      <c r="D315" s="951" t="s">
        <v>246</v>
      </c>
      <c r="E315" s="471">
        <v>1.2</v>
      </c>
      <c r="F315" s="462">
        <f>E315*10</f>
        <v>12</v>
      </c>
      <c r="G315" s="471">
        <v>1.1299999999999999</v>
      </c>
      <c r="H315" s="462">
        <f>G315*F315</f>
        <v>13.559999999999999</v>
      </c>
      <c r="I315" s="465">
        <f>'Lead- Input sheet '!R10/1000</f>
        <v>69.62</v>
      </c>
      <c r="J315" s="471">
        <f>H315*I315</f>
        <v>944.04719999999998</v>
      </c>
      <c r="K315" s="451" t="s">
        <v>1306</v>
      </c>
      <c r="L315" s="951" t="s">
        <v>246</v>
      </c>
      <c r="M315" s="471">
        <v>1.2</v>
      </c>
      <c r="N315" s="462">
        <f>M315*10</f>
        <v>12</v>
      </c>
      <c r="O315" s="471">
        <v>1.1299999999999999</v>
      </c>
      <c r="P315" s="462">
        <f>O315*N315</f>
        <v>13.559999999999999</v>
      </c>
      <c r="Q315" s="698">
        <f>I315</f>
        <v>69.62</v>
      </c>
      <c r="R315" s="471">
        <f>P315*Q315</f>
        <v>944.04719999999998</v>
      </c>
    </row>
    <row r="316" spans="1:18" ht="20.2" hidden="1" customHeight="1">
      <c r="A316" s="617"/>
      <c r="B316" s="34"/>
      <c r="C316" s="54" t="s">
        <v>230</v>
      </c>
      <c r="D316" s="951"/>
      <c r="E316" s="471"/>
      <c r="F316" s="462"/>
      <c r="G316" s="462"/>
      <c r="H316" s="948">
        <v>1</v>
      </c>
      <c r="I316" s="471">
        <v>50</v>
      </c>
      <c r="J316" s="471">
        <f>H316*I316</f>
        <v>50</v>
      </c>
      <c r="K316" s="54" t="s">
        <v>230</v>
      </c>
      <c r="L316" s="951"/>
      <c r="M316" s="471"/>
      <c r="N316" s="462"/>
      <c r="O316" s="462"/>
      <c r="P316" s="948">
        <v>1</v>
      </c>
      <c r="Q316" s="471">
        <v>50</v>
      </c>
      <c r="R316" s="471">
        <f>P316*Q316</f>
        <v>50</v>
      </c>
    </row>
    <row r="317" spans="1:18" ht="20.2" hidden="1" customHeight="1">
      <c r="A317" s="617"/>
      <c r="B317" s="34"/>
      <c r="D317" s="951"/>
      <c r="E317" s="471"/>
      <c r="F317" s="462"/>
      <c r="G317" s="462"/>
      <c r="H317" s="462"/>
      <c r="I317" s="471"/>
      <c r="J317" s="471">
        <f>SUM(J309:J316)</f>
        <v>5131.4972000000007</v>
      </c>
      <c r="K317" s="54"/>
      <c r="L317" s="951"/>
      <c r="M317" s="471"/>
      <c r="N317" s="462"/>
      <c r="O317" s="462"/>
      <c r="P317" s="462"/>
      <c r="Q317" s="471"/>
      <c r="R317" s="471">
        <f>SUM(R309:R316)</f>
        <v>4809.7071999999998</v>
      </c>
    </row>
    <row r="318" spans="1:18" s="18" customFormat="1" ht="20.2" hidden="1" customHeight="1">
      <c r="A318" s="617"/>
      <c r="B318" s="40"/>
      <c r="C318" s="54" t="s">
        <v>1600</v>
      </c>
      <c r="D318" s="954"/>
      <c r="E318" s="468"/>
      <c r="F318" s="458"/>
      <c r="G318" s="458"/>
      <c r="H318" s="458">
        <f>J317</f>
        <v>5131.4972000000007</v>
      </c>
      <c r="I318" s="468">
        <f>I6</f>
        <v>0</v>
      </c>
      <c r="J318" s="468">
        <f>ROUND(H338*I338,2)</f>
        <v>1180.06</v>
      </c>
      <c r="K318" s="54" t="s">
        <v>1600</v>
      </c>
      <c r="L318" s="954"/>
      <c r="M318" s="468"/>
      <c r="N318" s="458"/>
      <c r="O318" s="458"/>
      <c r="P318" s="458">
        <f>R317</f>
        <v>4809.7071999999998</v>
      </c>
      <c r="Q318" s="698">
        <f>I318</f>
        <v>0</v>
      </c>
      <c r="R318" s="468">
        <f>ROUND(P338*Q338,2)</f>
        <v>0</v>
      </c>
    </row>
    <row r="319" spans="1:18" s="439" customFormat="1" ht="20.2" hidden="1" customHeight="1">
      <c r="A319" s="617"/>
      <c r="B319" s="411"/>
      <c r="C319" s="418" t="s">
        <v>1312</v>
      </c>
      <c r="D319" s="955"/>
      <c r="E319" s="469"/>
      <c r="F319" s="460"/>
      <c r="G319" s="460"/>
      <c r="H319" s="460"/>
      <c r="I319" s="469" t="s">
        <v>416</v>
      </c>
      <c r="J319" s="469">
        <f>SUM(J317:J318)</f>
        <v>6311.5572000000011</v>
      </c>
      <c r="K319" s="418" t="s">
        <v>1312</v>
      </c>
      <c r="L319" s="955"/>
      <c r="M319" s="469"/>
      <c r="N319" s="460"/>
      <c r="O319" s="460"/>
      <c r="P319" s="460"/>
      <c r="Q319" s="469" t="s">
        <v>416</v>
      </c>
      <c r="R319" s="469">
        <f>SUM(R317:R318)</f>
        <v>4809.7071999999998</v>
      </c>
    </row>
    <row r="320" spans="1:18" s="439" customFormat="1" ht="20.2" hidden="1" customHeight="1">
      <c r="A320" s="617"/>
      <c r="B320" s="411"/>
      <c r="C320" s="418" t="s">
        <v>1313</v>
      </c>
      <c r="D320" s="955"/>
      <c r="E320" s="469"/>
      <c r="F320" s="460"/>
      <c r="G320" s="460"/>
      <c r="H320" s="460"/>
      <c r="I320" s="469" t="s">
        <v>416</v>
      </c>
      <c r="J320" s="469">
        <f>J306-J319</f>
        <v>4087.4800000000014</v>
      </c>
      <c r="K320" s="418" t="s">
        <v>1313</v>
      </c>
      <c r="L320" s="955"/>
      <c r="M320" s="469"/>
      <c r="N320" s="460"/>
      <c r="O320" s="460"/>
      <c r="P320" s="460"/>
      <c r="Q320" s="469" t="s">
        <v>416</v>
      </c>
      <c r="R320" s="469">
        <f>R306-R319</f>
        <v>4763.7500000000009</v>
      </c>
    </row>
    <row r="321" spans="1:11" ht="129" hidden="1">
      <c r="A321" s="617"/>
      <c r="B321" s="26">
        <v>8</v>
      </c>
      <c r="C321" s="55" t="s">
        <v>1831</v>
      </c>
      <c r="D321" s="951"/>
      <c r="E321" s="471"/>
      <c r="F321" s="462"/>
      <c r="G321" s="462"/>
      <c r="H321" s="462"/>
      <c r="I321" s="471"/>
      <c r="J321" s="471"/>
      <c r="K321" s="31"/>
    </row>
    <row r="322" spans="1:11" hidden="1">
      <c r="A322" s="617"/>
      <c r="B322" s="34"/>
      <c r="C322" s="55" t="s">
        <v>1314</v>
      </c>
      <c r="D322" s="951"/>
      <c r="E322" s="471"/>
      <c r="F322" s="462"/>
      <c r="G322" s="462"/>
      <c r="H322" s="462"/>
      <c r="I322" s="471"/>
      <c r="J322" s="471"/>
      <c r="K322" s="31"/>
    </row>
    <row r="323" spans="1:11" hidden="1">
      <c r="A323" s="617"/>
      <c r="B323" s="34"/>
      <c r="C323" s="54" t="s">
        <v>848</v>
      </c>
      <c r="D323" s="951"/>
      <c r="E323" s="471"/>
      <c r="F323" s="462"/>
      <c r="G323" s="462"/>
      <c r="H323" s="462"/>
      <c r="I323" s="471"/>
      <c r="J323" s="471"/>
      <c r="K323" s="31"/>
    </row>
    <row r="324" spans="1:11" ht="20.2" hidden="1" customHeight="1">
      <c r="A324" s="617"/>
      <c r="B324" s="34"/>
      <c r="C324" s="54" t="s">
        <v>780</v>
      </c>
      <c r="D324" s="951">
        <v>4</v>
      </c>
      <c r="E324" s="471">
        <v>1.35</v>
      </c>
      <c r="F324" s="462">
        <v>0.1</v>
      </c>
      <c r="G324" s="462">
        <v>7.4999999999999997E-2</v>
      </c>
      <c r="H324" s="462">
        <f>ROUND(G324*F324*E324*D324,3)</f>
        <v>4.1000000000000002E-2</v>
      </c>
      <c r="I324" s="471">
        <v>44785</v>
      </c>
      <c r="J324" s="471">
        <f t="shared" ref="J324:J329" si="19">ROUND(H324*I324,2)</f>
        <v>1836.19</v>
      </c>
      <c r="K324" s="31"/>
    </row>
    <row r="325" spans="1:11" ht="20.2" hidden="1" customHeight="1">
      <c r="A325" s="617"/>
      <c r="B325" s="34"/>
      <c r="C325" s="54" t="s">
        <v>781</v>
      </c>
      <c r="D325" s="951">
        <v>2</v>
      </c>
      <c r="E325" s="471">
        <v>1.65</v>
      </c>
      <c r="F325" s="462">
        <v>0.1</v>
      </c>
      <c r="G325" s="462">
        <v>7.4999999999999997E-2</v>
      </c>
      <c r="H325" s="462">
        <f>ROUND(G325*F325*E325*D325,3)</f>
        <v>2.5000000000000001E-2</v>
      </c>
      <c r="I325" s="471">
        <v>44785</v>
      </c>
      <c r="J325" s="471">
        <f t="shared" si="19"/>
        <v>1119.6300000000001</v>
      </c>
      <c r="K325" s="31"/>
    </row>
    <row r="326" spans="1:11" ht="20.2" hidden="1" customHeight="1">
      <c r="A326" s="617"/>
      <c r="B326" s="34"/>
      <c r="C326" s="54" t="s">
        <v>782</v>
      </c>
      <c r="D326" s="951" t="s">
        <v>243</v>
      </c>
      <c r="E326" s="472">
        <f>(1.35-2*0.075+2*0.015)</f>
        <v>1.2300000000000002</v>
      </c>
      <c r="F326" s="462">
        <v>7.4999999999999997E-2</v>
      </c>
      <c r="G326" s="462">
        <f>1.25*25.4/1000</f>
        <v>3.175E-2</v>
      </c>
      <c r="H326" s="462">
        <f>ROUND(G326*F326*E326*6,3)</f>
        <v>1.7999999999999999E-2</v>
      </c>
      <c r="I326" s="471">
        <v>59715</v>
      </c>
      <c r="J326" s="471">
        <f t="shared" si="19"/>
        <v>1074.8699999999999</v>
      </c>
      <c r="K326" s="31"/>
    </row>
    <row r="327" spans="1:11" ht="20.2" hidden="1" customHeight="1">
      <c r="A327" s="617"/>
      <c r="B327" s="34"/>
      <c r="C327" s="54" t="s">
        <v>783</v>
      </c>
      <c r="D327" s="951" t="s">
        <v>244</v>
      </c>
      <c r="E327" s="471">
        <f>(1.5-3*0.075+6*0.015)/2</f>
        <v>0.6825</v>
      </c>
      <c r="F327" s="462">
        <v>7.4999999999999997E-2</v>
      </c>
      <c r="G327" s="462">
        <f>1.25*25.4/1000</f>
        <v>3.175E-2</v>
      </c>
      <c r="H327" s="462">
        <f>ROUND(9*E327*F327*G327,3)</f>
        <v>1.4999999999999999E-2</v>
      </c>
      <c r="I327" s="471">
        <v>59715</v>
      </c>
      <c r="J327" s="471">
        <f t="shared" si="19"/>
        <v>895.73</v>
      </c>
      <c r="K327" s="31"/>
    </row>
    <row r="328" spans="1:11" ht="20.2" hidden="1" customHeight="1">
      <c r="A328" s="617"/>
      <c r="B328" s="34"/>
      <c r="C328" s="54" t="s">
        <v>1481</v>
      </c>
      <c r="D328" s="951" t="s">
        <v>245</v>
      </c>
      <c r="E328" s="471">
        <f>(1.5-4*0.075+6*0.015)/3-2*0.075+2*0.025</f>
        <v>0.33</v>
      </c>
      <c r="F328" s="462">
        <f>(1.35-2*0.075+2*0.015-3*0.075)/2+2*0.025</f>
        <v>0.55250000000000021</v>
      </c>
      <c r="G328" s="462">
        <v>2.5000000000000001E-2</v>
      </c>
      <c r="H328" s="462">
        <f>ROUND(6*E328*F328*G328,3)</f>
        <v>2.7E-2</v>
      </c>
      <c r="I328" s="471">
        <v>59715</v>
      </c>
      <c r="J328" s="471">
        <f t="shared" si="19"/>
        <v>1612.31</v>
      </c>
      <c r="K328" s="31"/>
    </row>
    <row r="329" spans="1:11" ht="20.2" hidden="1" customHeight="1">
      <c r="A329" s="617"/>
      <c r="B329" s="34"/>
      <c r="C329" s="54" t="s">
        <v>1482</v>
      </c>
      <c r="D329" s="951"/>
      <c r="E329" s="471"/>
      <c r="F329" s="462"/>
      <c r="G329" s="462"/>
      <c r="H329" s="462">
        <f>SUM(H324:H328)</f>
        <v>0.126</v>
      </c>
      <c r="I329" s="465">
        <f>G25</f>
        <v>19572.5</v>
      </c>
      <c r="J329" s="471">
        <f t="shared" si="19"/>
        <v>2466.14</v>
      </c>
      <c r="K329" s="31"/>
    </row>
    <row r="330" spans="1:11" ht="33.299999999999997" hidden="1">
      <c r="A330" s="617" t="s">
        <v>787</v>
      </c>
      <c r="B330" s="19"/>
      <c r="C330" s="54" t="s">
        <v>788</v>
      </c>
      <c r="D330" s="951"/>
      <c r="E330" s="471"/>
      <c r="F330" s="462"/>
      <c r="G330" s="952"/>
      <c r="H330" s="952"/>
      <c r="I330" s="471"/>
      <c r="J330" s="471"/>
      <c r="K330" s="31"/>
    </row>
    <row r="331" spans="1:11" ht="20.2" hidden="1" customHeight="1">
      <c r="A331" s="617"/>
      <c r="B331" s="693"/>
      <c r="C331" s="694" t="s">
        <v>915</v>
      </c>
      <c r="D331" s="471" t="s">
        <v>1035</v>
      </c>
      <c r="E331" s="462" t="s">
        <v>1624</v>
      </c>
      <c r="F331" s="462"/>
      <c r="G331" s="462"/>
      <c r="H331" s="948">
        <v>3</v>
      </c>
      <c r="I331" s="471">
        <v>35</v>
      </c>
      <c r="J331" s="471">
        <f t="shared" ref="J331:J336" si="20">ROUND(H331*I331,2)</f>
        <v>105</v>
      </c>
      <c r="K331" s="31"/>
    </row>
    <row r="332" spans="1:11" ht="20.2" hidden="1" customHeight="1">
      <c r="A332" s="617"/>
      <c r="B332" s="693"/>
      <c r="C332" s="31" t="s">
        <v>916</v>
      </c>
      <c r="D332" s="471" t="s">
        <v>1035</v>
      </c>
      <c r="E332" s="462" t="s">
        <v>1624</v>
      </c>
      <c r="F332" s="462"/>
      <c r="G332" s="462"/>
      <c r="H332" s="948">
        <v>3</v>
      </c>
      <c r="I332" s="471">
        <v>35</v>
      </c>
      <c r="J332" s="471">
        <f t="shared" si="20"/>
        <v>105</v>
      </c>
      <c r="K332" s="31"/>
    </row>
    <row r="333" spans="1:11" ht="20.2" hidden="1" customHeight="1">
      <c r="A333" s="617"/>
      <c r="B333" s="693"/>
      <c r="C333" s="946" t="s">
        <v>917</v>
      </c>
      <c r="D333" s="471" t="s">
        <v>1035</v>
      </c>
      <c r="E333" s="462" t="s">
        <v>1625</v>
      </c>
      <c r="F333" s="462"/>
      <c r="G333" s="462"/>
      <c r="H333" s="948">
        <v>6</v>
      </c>
      <c r="I333" s="471">
        <v>21</v>
      </c>
      <c r="J333" s="471">
        <f t="shared" si="20"/>
        <v>126</v>
      </c>
      <c r="K333" s="31"/>
    </row>
    <row r="334" spans="1:11" ht="20.2" hidden="1" customHeight="1">
      <c r="A334" s="617"/>
      <c r="B334" s="693"/>
      <c r="C334" s="694" t="s">
        <v>918</v>
      </c>
      <c r="D334" s="471" t="s">
        <v>1035</v>
      </c>
      <c r="E334" s="462" t="s">
        <v>1626</v>
      </c>
      <c r="F334" s="462"/>
      <c r="G334" s="462"/>
      <c r="H334" s="948">
        <v>3</v>
      </c>
      <c r="I334" s="471">
        <v>213</v>
      </c>
      <c r="J334" s="471">
        <f t="shared" si="20"/>
        <v>639</v>
      </c>
      <c r="K334" s="31"/>
    </row>
    <row r="335" spans="1:11" ht="20.2" hidden="1" customHeight="1">
      <c r="A335" s="617"/>
      <c r="B335" s="693"/>
      <c r="C335" s="694" t="s">
        <v>799</v>
      </c>
      <c r="D335" s="471" t="s">
        <v>882</v>
      </c>
      <c r="E335" s="462" t="s">
        <v>1652</v>
      </c>
      <c r="F335" s="462"/>
      <c r="G335" s="462"/>
      <c r="H335" s="948">
        <v>90</v>
      </c>
      <c r="I335" s="471">
        <v>3</v>
      </c>
      <c r="J335" s="471">
        <f t="shared" si="20"/>
        <v>270</v>
      </c>
      <c r="K335" s="31"/>
    </row>
    <row r="336" spans="1:11" ht="20.2" hidden="1" customHeight="1">
      <c r="A336" s="617"/>
      <c r="B336" s="32"/>
      <c r="C336" s="54" t="s">
        <v>1598</v>
      </c>
      <c r="D336" s="951"/>
      <c r="E336" s="953" t="s">
        <v>1651</v>
      </c>
      <c r="F336" s="462"/>
      <c r="G336" s="462"/>
      <c r="H336" s="948">
        <v>4</v>
      </c>
      <c r="I336" s="471">
        <v>32</v>
      </c>
      <c r="J336" s="471">
        <f t="shared" si="20"/>
        <v>128</v>
      </c>
      <c r="K336" s="31"/>
    </row>
    <row r="337" spans="1:11" ht="20.2" hidden="1" customHeight="1">
      <c r="A337" s="617"/>
      <c r="B337" s="34"/>
      <c r="C337" s="54" t="s">
        <v>1484</v>
      </c>
      <c r="D337" s="951">
        <v>2.75</v>
      </c>
      <c r="E337" s="471">
        <v>1.5</v>
      </c>
      <c r="F337" s="462"/>
      <c r="G337" s="471">
        <v>1.35</v>
      </c>
      <c r="H337" s="462">
        <f>ROUND(G337*E337*D337,2)</f>
        <v>5.57</v>
      </c>
      <c r="I337" s="698">
        <f>G15</f>
        <v>561.35799999999995</v>
      </c>
      <c r="J337" s="471">
        <f>ROUND(H337*I337/10,2)</f>
        <v>312.68</v>
      </c>
      <c r="K337" s="31"/>
    </row>
    <row r="338" spans="1:11" ht="20.2" hidden="1" customHeight="1">
      <c r="A338" s="617"/>
      <c r="B338" s="34"/>
      <c r="C338" s="451" t="s">
        <v>1306</v>
      </c>
      <c r="D338" s="951" t="s">
        <v>246</v>
      </c>
      <c r="E338" s="471">
        <v>1.5</v>
      </c>
      <c r="F338" s="462">
        <f>E338*10</f>
        <v>15</v>
      </c>
      <c r="G338" s="471">
        <v>1.1299999999999999</v>
      </c>
      <c r="H338" s="462">
        <f>G338*F338</f>
        <v>16.95</v>
      </c>
      <c r="I338" s="465">
        <f>'Lead- Input sheet '!R10/1000</f>
        <v>69.62</v>
      </c>
      <c r="J338" s="471">
        <f>H338*I338</f>
        <v>1180.059</v>
      </c>
      <c r="K338" s="31"/>
    </row>
    <row r="339" spans="1:11" ht="20.2" hidden="1" customHeight="1">
      <c r="A339" s="617"/>
      <c r="B339" s="34"/>
      <c r="C339" s="54" t="s">
        <v>230</v>
      </c>
      <c r="D339" s="951"/>
      <c r="E339" s="471"/>
      <c r="F339" s="462"/>
      <c r="G339" s="462"/>
      <c r="H339" s="948">
        <v>1</v>
      </c>
      <c r="I339" s="471">
        <v>125</v>
      </c>
      <c r="J339" s="471">
        <f>H339*I339</f>
        <v>125</v>
      </c>
      <c r="K339" s="31"/>
    </row>
    <row r="340" spans="1:11" ht="20.2" hidden="1" customHeight="1">
      <c r="A340" s="617"/>
      <c r="B340" s="34"/>
      <c r="D340" s="951"/>
      <c r="E340" s="471"/>
      <c r="F340" s="462"/>
      <c r="G340" s="462"/>
      <c r="H340" s="462"/>
      <c r="I340" s="471"/>
      <c r="J340" s="471">
        <f>SUM(J324:J339)</f>
        <v>11995.608999999999</v>
      </c>
      <c r="K340" s="31"/>
    </row>
    <row r="341" spans="1:11" s="18" customFormat="1" ht="20.2" hidden="1" customHeight="1">
      <c r="A341" s="617"/>
      <c r="B341" s="40"/>
      <c r="C341" s="54" t="s">
        <v>1600</v>
      </c>
      <c r="D341" s="954"/>
      <c r="E341" s="468"/>
      <c r="F341" s="458"/>
      <c r="G341" s="458"/>
      <c r="H341" s="458">
        <f>J340</f>
        <v>11995.608999999999</v>
      </c>
      <c r="I341" s="468">
        <f>I6</f>
        <v>0</v>
      </c>
      <c r="J341" s="468">
        <f>ROUND(H341*I341,2)</f>
        <v>0</v>
      </c>
      <c r="K341" s="17"/>
    </row>
    <row r="342" spans="1:11" s="18" customFormat="1" ht="20.2" hidden="1" customHeight="1">
      <c r="A342" s="617"/>
      <c r="B342" s="411"/>
      <c r="C342" s="283" t="s">
        <v>256</v>
      </c>
      <c r="D342" s="955"/>
      <c r="E342" s="469"/>
      <c r="F342" s="460"/>
      <c r="G342" s="460"/>
      <c r="H342" s="460"/>
      <c r="I342" s="469" t="s">
        <v>416</v>
      </c>
      <c r="J342" s="469">
        <f>SUM(J340:J341)</f>
        <v>11995.608999999999</v>
      </c>
      <c r="K342" s="17"/>
    </row>
    <row r="343" spans="1:11" hidden="1">
      <c r="A343" s="617"/>
      <c r="B343" s="34"/>
      <c r="C343" s="55" t="s">
        <v>1315</v>
      </c>
      <c r="D343" s="951"/>
      <c r="E343" s="471"/>
      <c r="F343" s="462"/>
      <c r="G343" s="462"/>
      <c r="H343" s="462"/>
      <c r="I343" s="471"/>
      <c r="J343" s="471"/>
      <c r="K343" s="31"/>
    </row>
    <row r="344" spans="1:11" hidden="1">
      <c r="A344" s="617"/>
      <c r="B344" s="34"/>
      <c r="C344" s="54" t="s">
        <v>848</v>
      </c>
      <c r="D344" s="951"/>
      <c r="E344" s="471"/>
      <c r="F344" s="462"/>
      <c r="G344" s="462"/>
      <c r="H344" s="462"/>
      <c r="I344" s="471"/>
      <c r="J344" s="471"/>
      <c r="K344" s="31"/>
    </row>
    <row r="345" spans="1:11" ht="20.2" hidden="1" customHeight="1">
      <c r="A345" s="617"/>
      <c r="B345" s="34"/>
      <c r="C345" s="54" t="s">
        <v>780</v>
      </c>
      <c r="D345" s="951">
        <v>4</v>
      </c>
      <c r="E345" s="471">
        <v>1.35</v>
      </c>
      <c r="F345" s="462">
        <v>0.1</v>
      </c>
      <c r="G345" s="462">
        <v>7.4999999999999997E-2</v>
      </c>
      <c r="H345" s="462">
        <f>ROUND(D345*E345*F345*G345,3)</f>
        <v>4.1000000000000002E-2</v>
      </c>
      <c r="I345" s="471">
        <v>44785</v>
      </c>
      <c r="J345" s="471">
        <f>ROUND(H345*I345,2)</f>
        <v>1836.19</v>
      </c>
      <c r="K345" s="31"/>
    </row>
    <row r="346" spans="1:11" ht="20.2" hidden="1" customHeight="1">
      <c r="A346" s="617"/>
      <c r="B346" s="34"/>
      <c r="C346" s="54" t="s">
        <v>781</v>
      </c>
      <c r="D346" s="951">
        <v>2</v>
      </c>
      <c r="E346" s="471">
        <v>1.65</v>
      </c>
      <c r="F346" s="462">
        <v>0.1</v>
      </c>
      <c r="G346" s="462">
        <v>7.4999999999999997E-2</v>
      </c>
      <c r="H346" s="462">
        <f>ROUND(D346*E346*F346*G346,3)</f>
        <v>2.5000000000000001E-2</v>
      </c>
      <c r="I346" s="471">
        <v>44785</v>
      </c>
      <c r="J346" s="471">
        <f>ROUND(H346*I346,2)</f>
        <v>1119.6300000000001</v>
      </c>
      <c r="K346" s="31"/>
    </row>
    <row r="347" spans="1:11" ht="20.2" hidden="1" customHeight="1">
      <c r="A347" s="617"/>
      <c r="B347" s="34"/>
      <c r="C347" s="54" t="s">
        <v>1482</v>
      </c>
      <c r="D347" s="951"/>
      <c r="E347" s="471"/>
      <c r="F347" s="462"/>
      <c r="G347" s="462"/>
      <c r="H347" s="462">
        <f>SUM(H345:H346)</f>
        <v>6.6000000000000003E-2</v>
      </c>
      <c r="I347" s="465">
        <f>G25</f>
        <v>19572.5</v>
      </c>
      <c r="J347" s="471">
        <f>ROUND(H347*I347,2)</f>
        <v>1291.79</v>
      </c>
      <c r="K347" s="31"/>
    </row>
    <row r="348" spans="1:11" ht="33.299999999999997" hidden="1">
      <c r="A348" s="617" t="s">
        <v>787</v>
      </c>
      <c r="B348" s="19"/>
      <c r="C348" s="54" t="s">
        <v>788</v>
      </c>
      <c r="D348" s="951"/>
      <c r="E348" s="471"/>
      <c r="F348" s="462"/>
      <c r="G348" s="952"/>
      <c r="H348" s="952"/>
      <c r="I348" s="471"/>
      <c r="J348" s="471"/>
      <c r="K348" s="31"/>
    </row>
    <row r="349" spans="1:11" ht="20.2" hidden="1" customHeight="1">
      <c r="A349" s="617"/>
      <c r="B349" s="32"/>
      <c r="C349" s="54" t="s">
        <v>1598</v>
      </c>
      <c r="D349" s="951"/>
      <c r="E349" s="953" t="s">
        <v>1651</v>
      </c>
      <c r="F349" s="462"/>
      <c r="G349" s="462"/>
      <c r="H349" s="948">
        <v>4</v>
      </c>
      <c r="I349" s="471">
        <v>32</v>
      </c>
      <c r="J349" s="462">
        <f>ROUND(H349*I349,2)</f>
        <v>128</v>
      </c>
      <c r="K349" s="31"/>
    </row>
    <row r="350" spans="1:11" ht="20.2" hidden="1" customHeight="1">
      <c r="A350" s="617"/>
      <c r="B350" s="34"/>
      <c r="C350" s="54" t="s">
        <v>1484</v>
      </c>
      <c r="D350" s="462" t="s">
        <v>544</v>
      </c>
      <c r="E350" s="462">
        <v>1.5</v>
      </c>
      <c r="F350" s="462"/>
      <c r="G350" s="471">
        <v>1.35</v>
      </c>
      <c r="H350" s="462">
        <f>ROUND(G350*E350*2.75/3,2)</f>
        <v>1.86</v>
      </c>
      <c r="I350" s="471">
        <f>G15</f>
        <v>561.35799999999995</v>
      </c>
      <c r="J350" s="471">
        <f>ROUND(H350*I350/10,2)</f>
        <v>104.41</v>
      </c>
      <c r="K350" s="31"/>
    </row>
    <row r="351" spans="1:11" ht="20.2" hidden="1" customHeight="1">
      <c r="A351" s="617"/>
      <c r="B351" s="34"/>
      <c r="C351" s="451" t="s">
        <v>1306</v>
      </c>
      <c r="D351" s="951" t="s">
        <v>246</v>
      </c>
      <c r="E351" s="471">
        <v>1.5</v>
      </c>
      <c r="F351" s="462">
        <f>E351*10</f>
        <v>15</v>
      </c>
      <c r="G351" s="471">
        <v>1.1299999999999999</v>
      </c>
      <c r="H351" s="462">
        <f>G351*F351</f>
        <v>16.95</v>
      </c>
      <c r="I351" s="465">
        <f>'Lead- Input sheet '!R10/1000</f>
        <v>69.62</v>
      </c>
      <c r="J351" s="471">
        <f>H351*I351</f>
        <v>1180.059</v>
      </c>
      <c r="K351" s="31"/>
    </row>
    <row r="352" spans="1:11" ht="20.2" hidden="1" customHeight="1">
      <c r="A352" s="617"/>
      <c r="B352" s="34"/>
      <c r="C352" s="54" t="s">
        <v>230</v>
      </c>
      <c r="D352" s="951"/>
      <c r="E352" s="471"/>
      <c r="F352" s="462"/>
      <c r="G352" s="462"/>
      <c r="H352" s="948">
        <v>1</v>
      </c>
      <c r="I352" s="471">
        <v>75</v>
      </c>
      <c r="J352" s="471">
        <f>H352*I352</f>
        <v>75</v>
      </c>
      <c r="K352" s="31"/>
    </row>
    <row r="353" spans="1:11" ht="20.2" hidden="1" customHeight="1">
      <c r="A353" s="617"/>
      <c r="B353" s="34"/>
      <c r="D353" s="951"/>
      <c r="E353" s="471"/>
      <c r="F353" s="462"/>
      <c r="G353" s="462"/>
      <c r="H353" s="462"/>
      <c r="I353" s="471"/>
      <c r="J353" s="471">
        <f>SUM(J345:J352)</f>
        <v>5735.0790000000006</v>
      </c>
      <c r="K353" s="31"/>
    </row>
    <row r="354" spans="1:11" s="18" customFormat="1" ht="20.2" hidden="1" customHeight="1">
      <c r="A354" s="617"/>
      <c r="B354" s="40"/>
      <c r="C354" s="54" t="s">
        <v>1600</v>
      </c>
      <c r="D354" s="954"/>
      <c r="E354" s="468"/>
      <c r="F354" s="458"/>
      <c r="G354" s="458"/>
      <c r="H354" s="458">
        <f>J353</f>
        <v>5735.0790000000006</v>
      </c>
      <c r="I354" s="468">
        <f>I6</f>
        <v>0</v>
      </c>
      <c r="J354" s="471">
        <f>ROUND(H354*I354,2)</f>
        <v>0</v>
      </c>
      <c r="K354" s="17"/>
    </row>
    <row r="355" spans="1:11" s="439" customFormat="1" ht="20.2" hidden="1" customHeight="1">
      <c r="A355" s="617"/>
      <c r="B355" s="411"/>
      <c r="C355" s="448" t="s">
        <v>1316</v>
      </c>
      <c r="D355" s="955"/>
      <c r="E355" s="469"/>
      <c r="F355" s="460"/>
      <c r="G355" s="460"/>
      <c r="H355" s="460"/>
      <c r="I355" s="469" t="s">
        <v>416</v>
      </c>
      <c r="J355" s="469">
        <f>SUM(J353:J354)</f>
        <v>5735.0790000000006</v>
      </c>
      <c r="K355" s="447"/>
    </row>
    <row r="356" spans="1:11" s="439" customFormat="1" ht="20.2" hidden="1" customHeight="1">
      <c r="A356" s="617"/>
      <c r="B356" s="411"/>
      <c r="C356" s="448" t="s">
        <v>1317</v>
      </c>
      <c r="D356" s="955"/>
      <c r="E356" s="469"/>
      <c r="F356" s="460"/>
      <c r="G356" s="460"/>
      <c r="H356" s="460"/>
      <c r="I356" s="469" t="s">
        <v>416</v>
      </c>
      <c r="J356" s="469">
        <f>J342-J355</f>
        <v>6260.5299999999979</v>
      </c>
      <c r="K356" s="447"/>
    </row>
    <row r="357" spans="1:11" ht="116.1" hidden="1">
      <c r="A357" s="617"/>
      <c r="B357" s="26">
        <v>5</v>
      </c>
      <c r="C357" s="54" t="s">
        <v>1832</v>
      </c>
      <c r="D357" s="951"/>
      <c r="E357" s="471"/>
      <c r="F357" s="462"/>
      <c r="G357" s="462"/>
      <c r="H357" s="462"/>
      <c r="I357" s="471"/>
      <c r="J357" s="471"/>
      <c r="K357" s="31"/>
    </row>
    <row r="358" spans="1:11" hidden="1">
      <c r="A358" s="617"/>
      <c r="B358" s="34"/>
      <c r="C358" s="55" t="s">
        <v>1588</v>
      </c>
      <c r="D358" s="951"/>
      <c r="E358" s="471"/>
      <c r="F358" s="462"/>
      <c r="G358" s="462"/>
      <c r="H358" s="462"/>
      <c r="I358" s="471"/>
      <c r="J358" s="471"/>
      <c r="K358" s="31"/>
    </row>
    <row r="359" spans="1:11" hidden="1">
      <c r="A359" s="617"/>
      <c r="B359" s="34"/>
      <c r="C359" s="54" t="s">
        <v>848</v>
      </c>
      <c r="D359" s="951"/>
      <c r="E359" s="471"/>
      <c r="F359" s="462"/>
      <c r="G359" s="462"/>
      <c r="H359" s="462"/>
      <c r="I359" s="471"/>
      <c r="J359" s="471"/>
      <c r="K359" s="31"/>
    </row>
    <row r="360" spans="1:11" ht="20.2" hidden="1" customHeight="1">
      <c r="A360" s="617"/>
      <c r="B360" s="34"/>
      <c r="C360" s="54" t="s">
        <v>780</v>
      </c>
      <c r="D360" s="951">
        <v>4</v>
      </c>
      <c r="E360" s="471">
        <v>1.35</v>
      </c>
      <c r="F360" s="462">
        <v>0.1</v>
      </c>
      <c r="G360" s="462">
        <v>7.4999999999999997E-2</v>
      </c>
      <c r="H360" s="462">
        <f>ROUND(D360*E360*F360*G360,3)</f>
        <v>4.1000000000000002E-2</v>
      </c>
      <c r="I360" s="471">
        <v>44785</v>
      </c>
      <c r="J360" s="471">
        <f>ROUND(H360*I360,2)</f>
        <v>1836.19</v>
      </c>
      <c r="K360" s="31"/>
    </row>
    <row r="361" spans="1:11" ht="20.2" hidden="1" customHeight="1">
      <c r="A361" s="617"/>
      <c r="B361" s="34"/>
      <c r="C361" s="54" t="s">
        <v>441</v>
      </c>
      <c r="D361" s="951">
        <v>2</v>
      </c>
      <c r="E361" s="471">
        <v>1.5</v>
      </c>
      <c r="F361" s="462">
        <v>0.1</v>
      </c>
      <c r="G361" s="462">
        <v>7.4999999999999997E-2</v>
      </c>
      <c r="H361" s="462">
        <f>ROUND(D361*E361*F361*G361,3)</f>
        <v>2.3E-2</v>
      </c>
      <c r="I361" s="471">
        <v>44785</v>
      </c>
      <c r="J361" s="471">
        <f>ROUND(H361*I361,2)</f>
        <v>1030.06</v>
      </c>
      <c r="K361" s="31"/>
    </row>
    <row r="362" spans="1:11" ht="20.2" hidden="1" customHeight="1">
      <c r="A362" s="617"/>
      <c r="B362" s="34"/>
      <c r="C362" s="54" t="s">
        <v>782</v>
      </c>
      <c r="D362" s="951" t="s">
        <v>243</v>
      </c>
      <c r="E362" s="471">
        <f>(1.35-2*0.075+2*0.015)</f>
        <v>1.2300000000000002</v>
      </c>
      <c r="F362" s="462">
        <v>7.4999999999999997E-2</v>
      </c>
      <c r="G362" s="462">
        <v>3.2000000000000001E-2</v>
      </c>
      <c r="H362" s="462">
        <f>ROUND(6*E362*F362*G362,3)</f>
        <v>1.7999999999999999E-2</v>
      </c>
      <c r="I362" s="471">
        <v>59715</v>
      </c>
      <c r="J362" s="471">
        <f>ROUND(H362*I362,2)</f>
        <v>1074.8699999999999</v>
      </c>
      <c r="K362" s="31"/>
    </row>
    <row r="363" spans="1:11" ht="20.2" hidden="1" customHeight="1">
      <c r="A363" s="617"/>
      <c r="B363" s="34"/>
      <c r="C363" s="54" t="s">
        <v>783</v>
      </c>
      <c r="D363" s="951" t="s">
        <v>244</v>
      </c>
      <c r="E363" s="471">
        <f>(1.35-4*0.075+6*0.015)/3</f>
        <v>0.38000000000000006</v>
      </c>
      <c r="F363" s="462">
        <v>7.4999999999999997E-2</v>
      </c>
      <c r="G363" s="462">
        <v>3.2000000000000001E-2</v>
      </c>
      <c r="H363" s="462">
        <f>ROUND(9*E363*F363*G363,3)</f>
        <v>8.0000000000000002E-3</v>
      </c>
      <c r="I363" s="471">
        <v>59715</v>
      </c>
      <c r="J363" s="471">
        <f>ROUND(H363*I363,2)</f>
        <v>477.72</v>
      </c>
      <c r="K363" s="31"/>
    </row>
    <row r="364" spans="1:11" ht="35.200000000000003" hidden="1" customHeight="1">
      <c r="A364" s="617" t="s">
        <v>418</v>
      </c>
      <c r="C364" s="54" t="s">
        <v>417</v>
      </c>
      <c r="D364" s="951" t="s">
        <v>245</v>
      </c>
      <c r="E364" s="471">
        <f>(1.35-4*0.075+6*0.015)/3+2*0.025</f>
        <v>0.43000000000000005</v>
      </c>
      <c r="F364" s="462">
        <f>(1.35-2*0.075+2*0.015-3*0.075)/2+2*0.025</f>
        <v>0.55250000000000021</v>
      </c>
      <c r="G364" s="462">
        <f>ROUND(6*E364*F364,3)</f>
        <v>1.425</v>
      </c>
      <c r="H364" s="462"/>
      <c r="I364" s="471">
        <v>806</v>
      </c>
      <c r="J364" s="471">
        <f>ROUND(G364*I364,2)</f>
        <v>1148.55</v>
      </c>
      <c r="K364" s="31"/>
    </row>
    <row r="365" spans="1:11" ht="20.2" hidden="1" customHeight="1">
      <c r="A365" s="617"/>
      <c r="B365" s="34"/>
      <c r="C365" s="54" t="s">
        <v>1482</v>
      </c>
      <c r="D365" s="951"/>
      <c r="E365" s="471"/>
      <c r="F365" s="462"/>
      <c r="G365" s="462"/>
      <c r="H365" s="462">
        <f>SUM(H360:H364)</f>
        <v>0.09</v>
      </c>
      <c r="I365" s="465">
        <f>G25</f>
        <v>19572.5</v>
      </c>
      <c r="J365" s="471">
        <f>ROUND(H365*I365,2)</f>
        <v>1761.53</v>
      </c>
      <c r="K365" s="31"/>
    </row>
    <row r="366" spans="1:11" ht="33.299999999999997" hidden="1">
      <c r="A366" s="617" t="s">
        <v>787</v>
      </c>
      <c r="B366" s="19"/>
      <c r="C366" s="54" t="s">
        <v>788</v>
      </c>
      <c r="D366" s="951"/>
      <c r="E366" s="471"/>
      <c r="F366" s="462"/>
      <c r="G366" s="952"/>
      <c r="H366" s="952"/>
      <c r="I366" s="471"/>
      <c r="J366" s="471"/>
      <c r="K366" s="31"/>
    </row>
    <row r="367" spans="1:11" ht="20.2" hidden="1" customHeight="1">
      <c r="A367" s="617"/>
      <c r="B367" s="693"/>
      <c r="C367" s="694" t="s">
        <v>915</v>
      </c>
      <c r="D367" s="471" t="s">
        <v>1035</v>
      </c>
      <c r="E367" s="462" t="s">
        <v>1624</v>
      </c>
      <c r="F367" s="462"/>
      <c r="G367" s="462"/>
      <c r="H367" s="948">
        <v>3</v>
      </c>
      <c r="I367" s="471">
        <v>35</v>
      </c>
      <c r="J367" s="471">
        <f t="shared" ref="J367:J372" si="21">ROUND(H367*I367,2)</f>
        <v>105</v>
      </c>
      <c r="K367" s="31"/>
    </row>
    <row r="368" spans="1:11" ht="20.2" hidden="1" customHeight="1">
      <c r="A368" s="617"/>
      <c r="B368" s="693"/>
      <c r="C368" s="31" t="s">
        <v>916</v>
      </c>
      <c r="D368" s="471" t="s">
        <v>1035</v>
      </c>
      <c r="E368" s="462" t="s">
        <v>1624</v>
      </c>
      <c r="F368" s="462"/>
      <c r="G368" s="462"/>
      <c r="H368" s="948">
        <v>3</v>
      </c>
      <c r="I368" s="471">
        <v>35</v>
      </c>
      <c r="J368" s="471">
        <f t="shared" si="21"/>
        <v>105</v>
      </c>
      <c r="K368" s="31"/>
    </row>
    <row r="369" spans="1:12" ht="20.2" hidden="1" customHeight="1">
      <c r="A369" s="617"/>
      <c r="B369" s="693"/>
      <c r="C369" s="946" t="s">
        <v>917</v>
      </c>
      <c r="D369" s="471" t="s">
        <v>1035</v>
      </c>
      <c r="E369" s="462" t="s">
        <v>1625</v>
      </c>
      <c r="F369" s="462"/>
      <c r="G369" s="462"/>
      <c r="H369" s="948">
        <v>6</v>
      </c>
      <c r="I369" s="471">
        <v>21</v>
      </c>
      <c r="J369" s="471">
        <f t="shared" si="21"/>
        <v>126</v>
      </c>
      <c r="K369" s="31"/>
    </row>
    <row r="370" spans="1:12" ht="20.2" hidden="1" customHeight="1">
      <c r="A370" s="617"/>
      <c r="B370" s="693"/>
      <c r="C370" s="694" t="s">
        <v>918</v>
      </c>
      <c r="D370" s="471" t="s">
        <v>1035</v>
      </c>
      <c r="E370" s="462" t="s">
        <v>1626</v>
      </c>
      <c r="F370" s="462"/>
      <c r="G370" s="462"/>
      <c r="H370" s="948">
        <v>3</v>
      </c>
      <c r="I370" s="471">
        <v>213</v>
      </c>
      <c r="J370" s="471">
        <f t="shared" si="21"/>
        <v>639</v>
      </c>
      <c r="K370" s="31"/>
    </row>
    <row r="371" spans="1:12" ht="20.2" hidden="1" customHeight="1">
      <c r="A371" s="617"/>
      <c r="B371" s="693"/>
      <c r="C371" s="694" t="s">
        <v>799</v>
      </c>
      <c r="D371" s="471" t="s">
        <v>882</v>
      </c>
      <c r="E371" s="462" t="s">
        <v>1652</v>
      </c>
      <c r="F371" s="462"/>
      <c r="G371" s="462"/>
      <c r="H371" s="948">
        <v>90</v>
      </c>
      <c r="I371" s="471">
        <v>3</v>
      </c>
      <c r="J371" s="471">
        <f t="shared" si="21"/>
        <v>270</v>
      </c>
      <c r="K371" s="31"/>
    </row>
    <row r="372" spans="1:12" ht="20.2" hidden="1" customHeight="1">
      <c r="A372" s="617"/>
      <c r="B372" s="32"/>
      <c r="C372" s="54" t="s">
        <v>1598</v>
      </c>
      <c r="D372" s="951"/>
      <c r="E372" s="953" t="s">
        <v>1651</v>
      </c>
      <c r="F372" s="462"/>
      <c r="G372" s="462"/>
      <c r="H372" s="948">
        <v>4</v>
      </c>
      <c r="I372" s="471">
        <v>32</v>
      </c>
      <c r="J372" s="471">
        <f t="shared" si="21"/>
        <v>128</v>
      </c>
      <c r="K372" s="31"/>
      <c r="L372" s="105"/>
    </row>
    <row r="373" spans="1:12" ht="20.2" hidden="1" customHeight="1">
      <c r="A373" s="617"/>
      <c r="B373" s="34"/>
      <c r="C373" s="54" t="s">
        <v>1484</v>
      </c>
      <c r="D373" s="951">
        <v>2.75</v>
      </c>
      <c r="E373" s="471">
        <v>1.3</v>
      </c>
      <c r="F373" s="462"/>
      <c r="G373" s="471">
        <v>1.35</v>
      </c>
      <c r="H373" s="462">
        <f>ROUND(G373*E373*D373,2)</f>
        <v>4.83</v>
      </c>
      <c r="I373" s="698">
        <f>G15</f>
        <v>561.35799999999995</v>
      </c>
      <c r="J373" s="471">
        <f>ROUND(H373*I373/10,2)</f>
        <v>271.14</v>
      </c>
      <c r="K373" s="31"/>
      <c r="L373" s="105"/>
    </row>
    <row r="374" spans="1:12" ht="20.2" hidden="1" customHeight="1">
      <c r="A374" s="617"/>
      <c r="B374" s="34"/>
      <c r="C374" s="451" t="s">
        <v>1306</v>
      </c>
      <c r="D374" s="951" t="s">
        <v>246</v>
      </c>
      <c r="E374" s="471">
        <v>1.35</v>
      </c>
      <c r="F374" s="462">
        <f>10*1.35</f>
        <v>13.5</v>
      </c>
      <c r="G374" s="471">
        <v>1.1299999999999999</v>
      </c>
      <c r="H374" s="462">
        <f>G374*F374</f>
        <v>15.254999999999999</v>
      </c>
      <c r="I374" s="465">
        <f>'Lead- Input sheet '!R10/1000</f>
        <v>69.62</v>
      </c>
      <c r="J374" s="471">
        <f>ROUND(H374*I374,2)</f>
        <v>1062.05</v>
      </c>
      <c r="K374" s="31"/>
      <c r="L374" s="105"/>
    </row>
    <row r="375" spans="1:12" ht="20.2" hidden="1" customHeight="1">
      <c r="A375" s="617"/>
      <c r="B375" s="34"/>
      <c r="C375" s="54" t="s">
        <v>230</v>
      </c>
      <c r="D375" s="951"/>
      <c r="E375" s="471"/>
      <c r="F375" s="462"/>
      <c r="G375" s="462"/>
      <c r="H375" s="948">
        <v>1</v>
      </c>
      <c r="I375" s="471">
        <v>100</v>
      </c>
      <c r="J375" s="471">
        <f>H375*I375</f>
        <v>100</v>
      </c>
      <c r="K375" s="31"/>
      <c r="L375" s="105"/>
    </row>
    <row r="376" spans="1:12" ht="20.2" hidden="1" customHeight="1">
      <c r="A376" s="617"/>
      <c r="B376" s="34"/>
      <c r="D376" s="951"/>
      <c r="E376" s="471"/>
      <c r="F376" s="462"/>
      <c r="G376" s="462"/>
      <c r="H376" s="462"/>
      <c r="I376" s="471"/>
      <c r="J376" s="471">
        <f>SUM(J360:J375)</f>
        <v>10135.109999999999</v>
      </c>
      <c r="K376" s="31"/>
    </row>
    <row r="377" spans="1:12" s="18" customFormat="1" ht="20.2" hidden="1" customHeight="1">
      <c r="A377" s="617"/>
      <c r="B377" s="40"/>
      <c r="C377" s="54" t="s">
        <v>1600</v>
      </c>
      <c r="D377" s="954"/>
      <c r="E377" s="468"/>
      <c r="F377" s="458"/>
      <c r="G377" s="458"/>
      <c r="H377" s="458">
        <f>J376</f>
        <v>10135.109999999999</v>
      </c>
      <c r="I377" s="468">
        <f>I6</f>
        <v>0</v>
      </c>
      <c r="J377" s="471">
        <f>ROUND(H377*I377,2)</f>
        <v>0</v>
      </c>
      <c r="K377" s="17"/>
    </row>
    <row r="378" spans="1:12" s="439" customFormat="1" ht="20.2" hidden="1" customHeight="1">
      <c r="A378" s="617" t="s">
        <v>542</v>
      </c>
      <c r="B378" s="411"/>
      <c r="C378" s="283" t="s">
        <v>256</v>
      </c>
      <c r="D378" s="955"/>
      <c r="E378" s="469"/>
      <c r="F378" s="460"/>
      <c r="G378" s="460"/>
      <c r="H378" s="460"/>
      <c r="I378" s="469" t="s">
        <v>416</v>
      </c>
      <c r="J378" s="469">
        <f>SUM(J376:J377)</f>
        <v>10135.109999999999</v>
      </c>
      <c r="K378" s="447"/>
    </row>
    <row r="379" spans="1:12" hidden="1">
      <c r="A379" s="617"/>
      <c r="B379" s="34"/>
      <c r="C379" s="417" t="s">
        <v>543</v>
      </c>
      <c r="D379" s="951"/>
      <c r="E379" s="471"/>
      <c r="F379" s="462"/>
      <c r="G379" s="462"/>
      <c r="H379" s="462"/>
      <c r="I379" s="471"/>
      <c r="J379" s="471"/>
      <c r="K379" s="31"/>
    </row>
    <row r="380" spans="1:12" hidden="1">
      <c r="A380" s="617"/>
      <c r="B380" s="34"/>
      <c r="C380" s="54" t="s">
        <v>848</v>
      </c>
      <c r="D380" s="951"/>
      <c r="E380" s="471"/>
      <c r="F380" s="462"/>
      <c r="G380" s="462"/>
      <c r="H380" s="462"/>
      <c r="I380" s="471"/>
      <c r="J380" s="471"/>
      <c r="K380" s="31"/>
    </row>
    <row r="381" spans="1:12" ht="20.2" hidden="1" customHeight="1">
      <c r="A381" s="617"/>
      <c r="B381" s="34"/>
      <c r="C381" s="54" t="s">
        <v>780</v>
      </c>
      <c r="D381" s="951">
        <v>4</v>
      </c>
      <c r="E381" s="471">
        <v>1.35</v>
      </c>
      <c r="F381" s="462">
        <v>0.1</v>
      </c>
      <c r="G381" s="462">
        <v>7.4999999999999997E-2</v>
      </c>
      <c r="H381" s="462">
        <f>ROUND(D381*E381*F381*G381,3)</f>
        <v>4.1000000000000002E-2</v>
      </c>
      <c r="I381" s="471">
        <v>44785</v>
      </c>
      <c r="J381" s="471">
        <f>ROUND(H381*I381,2)</f>
        <v>1836.19</v>
      </c>
      <c r="K381" s="31"/>
    </row>
    <row r="382" spans="1:12" ht="20.2" hidden="1" customHeight="1">
      <c r="A382" s="617"/>
      <c r="B382" s="34"/>
      <c r="C382" s="54" t="s">
        <v>441</v>
      </c>
      <c r="D382" s="951">
        <v>2</v>
      </c>
      <c r="E382" s="471">
        <v>1.5</v>
      </c>
      <c r="F382" s="462">
        <v>0.1</v>
      </c>
      <c r="G382" s="462">
        <v>7.4999999999999997E-2</v>
      </c>
      <c r="H382" s="462">
        <f>ROUND(D382*E382*F382*G382,3)</f>
        <v>2.3E-2</v>
      </c>
      <c r="I382" s="471">
        <v>44785</v>
      </c>
      <c r="J382" s="471">
        <f>ROUND(H382*I382,2)</f>
        <v>1030.06</v>
      </c>
      <c r="K382" s="31"/>
    </row>
    <row r="383" spans="1:12" ht="20.2" hidden="1" customHeight="1">
      <c r="A383" s="617"/>
      <c r="B383" s="34"/>
      <c r="C383" s="54" t="s">
        <v>1482</v>
      </c>
      <c r="D383" s="951"/>
      <c r="E383" s="471"/>
      <c r="F383" s="462"/>
      <c r="G383" s="462"/>
      <c r="H383" s="462">
        <f>SUM(H381:H382)</f>
        <v>6.4000000000000001E-2</v>
      </c>
      <c r="I383" s="698">
        <f>G25</f>
        <v>19572.5</v>
      </c>
      <c r="J383" s="471">
        <f>ROUND(H383*I383,2)</f>
        <v>1252.6400000000001</v>
      </c>
      <c r="K383" s="31"/>
    </row>
    <row r="384" spans="1:12" ht="20.2" hidden="1" customHeight="1">
      <c r="A384" s="617"/>
      <c r="B384" s="32"/>
      <c r="C384" s="54" t="s">
        <v>1598</v>
      </c>
      <c r="D384" s="951"/>
      <c r="E384" s="953" t="s">
        <v>1651</v>
      </c>
      <c r="F384" s="462"/>
      <c r="G384" s="462"/>
      <c r="H384" s="948">
        <v>4</v>
      </c>
      <c r="I384" s="471">
        <v>32</v>
      </c>
      <c r="J384" s="471">
        <f>ROUND(H384*I384,2)</f>
        <v>128</v>
      </c>
      <c r="K384" s="31"/>
      <c r="L384" s="105"/>
    </row>
    <row r="385" spans="1:18" ht="20.2" hidden="1" customHeight="1">
      <c r="A385" s="617"/>
      <c r="B385" s="34"/>
      <c r="C385" s="54" t="s">
        <v>1484</v>
      </c>
      <c r="D385" s="951" t="s">
        <v>544</v>
      </c>
      <c r="E385" s="471">
        <v>1.3</v>
      </c>
      <c r="F385" s="462"/>
      <c r="G385" s="471">
        <v>1.35</v>
      </c>
      <c r="H385" s="462">
        <f>ROUND(G385*E385*2.75/3,2)</f>
        <v>1.61</v>
      </c>
      <c r="I385" s="698">
        <f>G15</f>
        <v>561.35799999999995</v>
      </c>
      <c r="J385" s="471">
        <f>ROUND(H385*I385/10,2)</f>
        <v>90.38</v>
      </c>
      <c r="K385" s="31"/>
      <c r="L385" s="105"/>
    </row>
    <row r="386" spans="1:18" ht="20.2" hidden="1" customHeight="1">
      <c r="A386" s="617"/>
      <c r="B386" s="34"/>
      <c r="C386" s="451" t="s">
        <v>1306</v>
      </c>
      <c r="D386" s="951" t="s">
        <v>246</v>
      </c>
      <c r="E386" s="471">
        <v>1.35</v>
      </c>
      <c r="F386" s="462">
        <f>10*1.35</f>
        <v>13.5</v>
      </c>
      <c r="G386" s="471">
        <v>1.1299999999999999</v>
      </c>
      <c r="H386" s="462">
        <f>G386*F386</f>
        <v>15.254999999999999</v>
      </c>
      <c r="I386" s="465">
        <f>'Lead- Input sheet '!R10/1000</f>
        <v>69.62</v>
      </c>
      <c r="J386" s="471">
        <f>H386*I386</f>
        <v>1062.0531000000001</v>
      </c>
      <c r="K386" s="31"/>
      <c r="L386" s="105"/>
    </row>
    <row r="387" spans="1:18" ht="20.2" hidden="1" customHeight="1">
      <c r="A387" s="617"/>
      <c r="B387" s="34"/>
      <c r="C387" s="54" t="s">
        <v>230</v>
      </c>
      <c r="D387" s="951"/>
      <c r="E387" s="471"/>
      <c r="F387" s="462"/>
      <c r="G387" s="462"/>
      <c r="H387" s="948">
        <v>1</v>
      </c>
      <c r="I387" s="471">
        <v>50</v>
      </c>
      <c r="J387" s="471">
        <f>H387*I387</f>
        <v>50</v>
      </c>
      <c r="K387" s="31"/>
      <c r="L387" s="105"/>
    </row>
    <row r="388" spans="1:18" ht="20.2" hidden="1" customHeight="1">
      <c r="A388" s="617"/>
      <c r="B388" s="34"/>
      <c r="D388" s="951"/>
      <c r="E388" s="471"/>
      <c r="F388" s="462"/>
      <c r="G388" s="462"/>
      <c r="H388" s="462"/>
      <c r="I388" s="471"/>
      <c r="J388" s="471">
        <f>SUM(J381:J387)</f>
        <v>5449.3231000000005</v>
      </c>
      <c r="K388" s="31"/>
    </row>
    <row r="389" spans="1:18" s="18" customFormat="1" ht="20.2" hidden="1" customHeight="1">
      <c r="A389" s="617"/>
      <c r="B389" s="40"/>
      <c r="C389" s="54" t="s">
        <v>1600</v>
      </c>
      <c r="D389" s="954"/>
      <c r="E389" s="468"/>
      <c r="F389" s="458"/>
      <c r="G389" s="458"/>
      <c r="H389" s="458">
        <f>J388</f>
        <v>5449.3231000000005</v>
      </c>
      <c r="I389" s="468">
        <f>I6</f>
        <v>0</v>
      </c>
      <c r="J389" s="471">
        <f>ROUND(H389*I389,2)</f>
        <v>0</v>
      </c>
      <c r="K389" s="17"/>
    </row>
    <row r="390" spans="1:18" s="439" customFormat="1" ht="20.2" hidden="1" customHeight="1">
      <c r="A390" s="617" t="s">
        <v>542</v>
      </c>
      <c r="B390" s="411"/>
      <c r="C390" s="418" t="s">
        <v>545</v>
      </c>
      <c r="D390" s="955"/>
      <c r="E390" s="469"/>
      <c r="F390" s="460"/>
      <c r="G390" s="460"/>
      <c r="H390" s="460"/>
      <c r="I390" s="469" t="s">
        <v>1486</v>
      </c>
      <c r="J390" s="469">
        <f>SUM(J388:J389)</f>
        <v>5449.3231000000005</v>
      </c>
      <c r="K390" s="447"/>
    </row>
    <row r="391" spans="1:18" s="439" customFormat="1" ht="20.2" hidden="1" customHeight="1">
      <c r="A391" s="617">
        <v>0</v>
      </c>
      <c r="B391" s="411"/>
      <c r="C391" s="418" t="s">
        <v>546</v>
      </c>
      <c r="D391" s="955"/>
      <c r="E391" s="469"/>
      <c r="F391" s="460"/>
      <c r="G391" s="460"/>
      <c r="H391" s="460"/>
      <c r="I391" s="469" t="s">
        <v>1486</v>
      </c>
      <c r="J391" s="469">
        <f>J378-J390</f>
        <v>4685.7868999999982</v>
      </c>
      <c r="K391" s="447"/>
    </row>
    <row r="392" spans="1:18" ht="116.1" hidden="1">
      <c r="A392" s="617"/>
      <c r="B392" s="966">
        <v>6</v>
      </c>
      <c r="C392" s="54" t="s">
        <v>1833</v>
      </c>
      <c r="D392" s="951"/>
      <c r="E392" s="471"/>
      <c r="F392" s="462"/>
      <c r="G392" s="462"/>
      <c r="H392" s="462"/>
      <c r="I392" s="471"/>
      <c r="J392" s="471"/>
      <c r="K392" s="31"/>
    </row>
    <row r="393" spans="1:18" hidden="1">
      <c r="A393" s="617"/>
      <c r="B393" s="34"/>
      <c r="C393" s="55" t="s">
        <v>947</v>
      </c>
      <c r="D393" s="951"/>
      <c r="E393" s="471"/>
      <c r="F393" s="462"/>
      <c r="G393" s="462"/>
      <c r="H393" s="462"/>
      <c r="I393" s="471"/>
      <c r="J393" s="471"/>
      <c r="K393" s="55" t="s">
        <v>1776</v>
      </c>
      <c r="L393" s="951"/>
      <c r="M393" s="471"/>
      <c r="N393" s="462"/>
      <c r="O393" s="462"/>
      <c r="P393" s="462"/>
      <c r="Q393" s="471"/>
      <c r="R393" s="471"/>
    </row>
    <row r="394" spans="1:18" hidden="1">
      <c r="A394" s="617"/>
      <c r="B394" s="34"/>
      <c r="C394" s="54" t="s">
        <v>848</v>
      </c>
      <c r="D394" s="951"/>
      <c r="E394" s="471"/>
      <c r="F394" s="462"/>
      <c r="G394" s="462"/>
      <c r="H394" s="462"/>
      <c r="I394" s="471"/>
      <c r="J394" s="471"/>
      <c r="K394" s="54" t="s">
        <v>848</v>
      </c>
      <c r="L394" s="951"/>
      <c r="M394" s="471"/>
      <c r="N394" s="462"/>
      <c r="O394" s="462"/>
      <c r="P394" s="462"/>
      <c r="Q394" s="471"/>
      <c r="R394" s="471"/>
    </row>
    <row r="395" spans="1:18" ht="20.2" hidden="1" customHeight="1">
      <c r="A395" s="617"/>
      <c r="B395" s="34"/>
      <c r="C395" s="54" t="s">
        <v>780</v>
      </c>
      <c r="D395" s="951">
        <v>5</v>
      </c>
      <c r="E395" s="471">
        <v>1.3</v>
      </c>
      <c r="F395" s="462">
        <v>0.1</v>
      </c>
      <c r="G395" s="462">
        <v>7.4999999999999997E-2</v>
      </c>
      <c r="H395" s="462">
        <f>ROUND(D395*E395*F395*G395,3)</f>
        <v>4.9000000000000002E-2</v>
      </c>
      <c r="I395" s="471">
        <v>44785</v>
      </c>
      <c r="J395" s="471">
        <f>ROUND(H395*I395,2)</f>
        <v>2194.4699999999998</v>
      </c>
      <c r="K395" s="54" t="s">
        <v>780</v>
      </c>
      <c r="L395" s="951">
        <v>5</v>
      </c>
      <c r="M395" s="471">
        <v>1.2</v>
      </c>
      <c r="N395" s="462">
        <v>0.1</v>
      </c>
      <c r="O395" s="462">
        <v>7.4999999999999997E-2</v>
      </c>
      <c r="P395" s="462">
        <f>ROUND(L395*M395*N395*O395,3)</f>
        <v>4.4999999999999998E-2</v>
      </c>
      <c r="Q395" s="471">
        <v>44785</v>
      </c>
      <c r="R395" s="471">
        <f>ROUND(P395*Q395,2)</f>
        <v>2015.33</v>
      </c>
    </row>
    <row r="396" spans="1:18" ht="20.2" hidden="1" customHeight="1">
      <c r="A396" s="617"/>
      <c r="B396" s="34"/>
      <c r="C396" s="54" t="s">
        <v>441</v>
      </c>
      <c r="D396" s="951">
        <v>2</v>
      </c>
      <c r="E396" s="471">
        <v>2</v>
      </c>
      <c r="F396" s="462">
        <v>0.1</v>
      </c>
      <c r="G396" s="462">
        <v>7.4999999999999997E-2</v>
      </c>
      <c r="H396" s="462">
        <f>ROUND(D396*E396*F396*G396,3)</f>
        <v>0.03</v>
      </c>
      <c r="I396" s="471">
        <v>44785</v>
      </c>
      <c r="J396" s="471">
        <f>ROUND(H396*I396,2)</f>
        <v>1343.55</v>
      </c>
      <c r="K396" s="54" t="s">
        <v>441</v>
      </c>
      <c r="L396" s="951">
        <v>2</v>
      </c>
      <c r="M396" s="471">
        <v>2</v>
      </c>
      <c r="N396" s="462">
        <v>0.1</v>
      </c>
      <c r="O396" s="462">
        <v>7.4999999999999997E-2</v>
      </c>
      <c r="P396" s="462">
        <f>ROUND(L396*M396*N396*O396,3)</f>
        <v>0.03</v>
      </c>
      <c r="Q396" s="471">
        <v>44785</v>
      </c>
      <c r="R396" s="471">
        <f>ROUND(P396*Q396,2)</f>
        <v>1343.55</v>
      </c>
    </row>
    <row r="397" spans="1:18" ht="20.2" hidden="1" customHeight="1">
      <c r="A397" s="617"/>
      <c r="B397" s="34"/>
      <c r="C397" s="54" t="s">
        <v>782</v>
      </c>
      <c r="D397" s="951" t="s">
        <v>854</v>
      </c>
      <c r="E397" s="471">
        <f>(1.35-2*0.075+2*0.015)</f>
        <v>1.2300000000000002</v>
      </c>
      <c r="F397" s="462">
        <v>7.4999999999999997E-2</v>
      </c>
      <c r="G397" s="462">
        <v>3.2000000000000001E-2</v>
      </c>
      <c r="H397" s="462">
        <f>ROUND(8*E397*F397*G397,3)</f>
        <v>2.4E-2</v>
      </c>
      <c r="I397" s="471">
        <v>59715</v>
      </c>
      <c r="J397" s="471">
        <f>ROUND(H397*I397,2)</f>
        <v>1433.16</v>
      </c>
      <c r="K397" s="54" t="s">
        <v>782</v>
      </c>
      <c r="L397" s="951" t="s">
        <v>854</v>
      </c>
      <c r="M397" s="471">
        <f>(1.2-2*0.075+2*0.015)</f>
        <v>1.08</v>
      </c>
      <c r="N397" s="462">
        <v>7.4999999999999997E-2</v>
      </c>
      <c r="O397" s="462">
        <v>3.2000000000000001E-2</v>
      </c>
      <c r="P397" s="462">
        <f>ROUND(8*M397*N397*O397,3)</f>
        <v>2.1000000000000001E-2</v>
      </c>
      <c r="Q397" s="471">
        <v>59715</v>
      </c>
      <c r="R397" s="471">
        <f>ROUND(P397*Q397,2)</f>
        <v>1254.02</v>
      </c>
    </row>
    <row r="398" spans="1:18" ht="20.2" hidden="1" customHeight="1">
      <c r="A398" s="617"/>
      <c r="B398" s="34"/>
      <c r="C398" s="54" t="s">
        <v>783</v>
      </c>
      <c r="D398" s="951" t="s">
        <v>855</v>
      </c>
      <c r="E398" s="471">
        <f>(1.85-5*0.075+8*0.015)/4</f>
        <v>0.39875000000000005</v>
      </c>
      <c r="F398" s="462">
        <v>7.4999999999999997E-2</v>
      </c>
      <c r="G398" s="462">
        <v>3.2000000000000001E-2</v>
      </c>
      <c r="H398" s="462">
        <f>ROUND(12*E398*F398*G398,3)</f>
        <v>1.0999999999999999E-2</v>
      </c>
      <c r="I398" s="471">
        <v>59715</v>
      </c>
      <c r="J398" s="471">
        <f>ROUND(H398*I398,2)</f>
        <v>656.87</v>
      </c>
      <c r="K398" s="54" t="s">
        <v>783</v>
      </c>
      <c r="L398" s="951" t="s">
        <v>855</v>
      </c>
      <c r="M398" s="471">
        <f>(1.85-5*0.075+8*0.015)/4</f>
        <v>0.39875000000000005</v>
      </c>
      <c r="N398" s="462">
        <v>7.4999999999999997E-2</v>
      </c>
      <c r="O398" s="462">
        <v>3.2000000000000001E-2</v>
      </c>
      <c r="P398" s="462">
        <f>ROUND(12*M398*N398*O398,3)</f>
        <v>1.0999999999999999E-2</v>
      </c>
      <c r="Q398" s="471">
        <v>59715</v>
      </c>
      <c r="R398" s="471">
        <f>ROUND(P398*Q398,2)</f>
        <v>656.87</v>
      </c>
    </row>
    <row r="399" spans="1:18" ht="35.200000000000003" hidden="1" customHeight="1">
      <c r="A399" s="617" t="s">
        <v>418</v>
      </c>
      <c r="C399" s="54" t="s">
        <v>417</v>
      </c>
      <c r="D399" s="951" t="s">
        <v>854</v>
      </c>
      <c r="E399" s="471">
        <f>(1.85-5*0.075+8*0.015)/4+2*0.025</f>
        <v>0.44875000000000004</v>
      </c>
      <c r="F399" s="462">
        <f>(1.35-2*0.075+2*0.015-3*0.075)/2+2*0.025</f>
        <v>0.55250000000000021</v>
      </c>
      <c r="G399" s="462">
        <f>ROUND(8*E399*F399,3)</f>
        <v>1.9830000000000001</v>
      </c>
      <c r="H399" s="462"/>
      <c r="I399" s="471">
        <v>806</v>
      </c>
      <c r="J399" s="471">
        <f>ROUND(G399*I399,2)</f>
        <v>1598.3</v>
      </c>
      <c r="K399" s="54" t="s">
        <v>417</v>
      </c>
      <c r="L399" s="951" t="s">
        <v>854</v>
      </c>
      <c r="M399" s="471">
        <f>(1.85-5*0.075+8*0.015)/4+2*0.025</f>
        <v>0.44875000000000004</v>
      </c>
      <c r="N399" s="462">
        <f>(1.2-2*0.075+2*0.015-3*0.075)/2+2*0.025</f>
        <v>0.47750000000000004</v>
      </c>
      <c r="O399" s="462">
        <f>ROUND(8*M399*N399,3)</f>
        <v>1.714</v>
      </c>
      <c r="P399" s="462"/>
      <c r="Q399" s="471">
        <v>806</v>
      </c>
      <c r="R399" s="471">
        <f>ROUND(O399*Q399,2)</f>
        <v>1381.48</v>
      </c>
    </row>
    <row r="400" spans="1:18" ht="20.2" hidden="1" customHeight="1">
      <c r="A400" s="617"/>
      <c r="B400" s="34"/>
      <c r="C400" s="54" t="s">
        <v>1482</v>
      </c>
      <c r="D400" s="951"/>
      <c r="E400" s="471"/>
      <c r="F400" s="462"/>
      <c r="G400" s="462"/>
      <c r="H400" s="462">
        <f>SUM(H395:H399)</f>
        <v>0.114</v>
      </c>
      <c r="I400" s="465">
        <f>G25</f>
        <v>19572.5</v>
      </c>
      <c r="J400" s="471">
        <f>ROUND(H400*I400,2)</f>
        <v>2231.27</v>
      </c>
      <c r="K400" s="54" t="s">
        <v>1482</v>
      </c>
      <c r="L400" s="951"/>
      <c r="M400" s="471"/>
      <c r="N400" s="462"/>
      <c r="O400" s="462"/>
      <c r="P400" s="462">
        <f>SUM(P395:P399)</f>
        <v>0.107</v>
      </c>
      <c r="Q400" s="465">
        <f>I400</f>
        <v>19572.5</v>
      </c>
      <c r="R400" s="471">
        <f>ROUND(P400*Q400,2)</f>
        <v>2094.2600000000002</v>
      </c>
    </row>
    <row r="401" spans="1:18" ht="33.299999999999997" hidden="1">
      <c r="A401" s="617" t="s">
        <v>787</v>
      </c>
      <c r="B401" s="19"/>
      <c r="C401" s="54" t="s">
        <v>788</v>
      </c>
      <c r="D401" s="951"/>
      <c r="E401" s="471"/>
      <c r="F401" s="462"/>
      <c r="G401" s="952"/>
      <c r="H401" s="952"/>
      <c r="I401" s="471"/>
      <c r="J401" s="471"/>
      <c r="K401" s="54" t="s">
        <v>788</v>
      </c>
      <c r="L401" s="951"/>
      <c r="M401" s="471"/>
      <c r="N401" s="462"/>
      <c r="O401" s="952"/>
      <c r="P401" s="952"/>
      <c r="Q401" s="471"/>
      <c r="R401" s="471"/>
    </row>
    <row r="402" spans="1:18" ht="20.2" hidden="1" customHeight="1">
      <c r="A402" s="617"/>
      <c r="B402" s="693"/>
      <c r="C402" s="694" t="s">
        <v>915</v>
      </c>
      <c r="D402" s="471" t="s">
        <v>1035</v>
      </c>
      <c r="E402" s="462" t="s">
        <v>1624</v>
      </c>
      <c r="F402" s="462"/>
      <c r="G402" s="462"/>
      <c r="H402" s="948">
        <v>4</v>
      </c>
      <c r="I402" s="471">
        <v>35</v>
      </c>
      <c r="J402" s="471">
        <f t="shared" ref="J402:J407" si="22">ROUND(H402*I402,2)</f>
        <v>140</v>
      </c>
      <c r="K402" s="694" t="s">
        <v>915</v>
      </c>
      <c r="L402" s="471" t="s">
        <v>1035</v>
      </c>
      <c r="M402" s="462" t="s">
        <v>1624</v>
      </c>
      <c r="N402" s="462"/>
      <c r="O402" s="462"/>
      <c r="P402" s="948">
        <v>3</v>
      </c>
      <c r="Q402" s="471">
        <v>38</v>
      </c>
      <c r="R402" s="471">
        <f t="shared" ref="R402:R407" si="23">ROUND(P402*Q402,2)</f>
        <v>114</v>
      </c>
    </row>
    <row r="403" spans="1:18" ht="20.2" hidden="1" customHeight="1">
      <c r="A403" s="617"/>
      <c r="B403" s="693"/>
      <c r="C403" s="31" t="s">
        <v>916</v>
      </c>
      <c r="D403" s="471" t="s">
        <v>1035</v>
      </c>
      <c r="E403" s="462" t="s">
        <v>1624</v>
      </c>
      <c r="F403" s="462"/>
      <c r="G403" s="462"/>
      <c r="H403" s="948">
        <v>4</v>
      </c>
      <c r="I403" s="471">
        <v>35</v>
      </c>
      <c r="J403" s="471">
        <f t="shared" si="22"/>
        <v>140</v>
      </c>
      <c r="K403" s="31" t="s">
        <v>916</v>
      </c>
      <c r="L403" s="471" t="s">
        <v>1035</v>
      </c>
      <c r="M403" s="462" t="s">
        <v>1624</v>
      </c>
      <c r="N403" s="462"/>
      <c r="O403" s="462"/>
      <c r="P403" s="948">
        <v>3</v>
      </c>
      <c r="Q403" s="471">
        <v>38</v>
      </c>
      <c r="R403" s="471">
        <f t="shared" si="23"/>
        <v>114</v>
      </c>
    </row>
    <row r="404" spans="1:18" ht="20.2" hidden="1" customHeight="1">
      <c r="A404" s="617"/>
      <c r="B404" s="693"/>
      <c r="C404" s="946" t="s">
        <v>917</v>
      </c>
      <c r="D404" s="471" t="s">
        <v>1035</v>
      </c>
      <c r="E404" s="462" t="s">
        <v>1625</v>
      </c>
      <c r="F404" s="462"/>
      <c r="G404" s="462"/>
      <c r="H404" s="948">
        <v>8</v>
      </c>
      <c r="I404" s="471">
        <v>21</v>
      </c>
      <c r="J404" s="471">
        <f t="shared" si="22"/>
        <v>168</v>
      </c>
      <c r="K404" s="946" t="s">
        <v>917</v>
      </c>
      <c r="L404" s="471" t="s">
        <v>1035</v>
      </c>
      <c r="M404" s="462" t="s">
        <v>1625</v>
      </c>
      <c r="N404" s="462"/>
      <c r="O404" s="462"/>
      <c r="P404" s="948">
        <v>6</v>
      </c>
      <c r="Q404" s="471">
        <v>26</v>
      </c>
      <c r="R404" s="471">
        <f t="shared" si="23"/>
        <v>156</v>
      </c>
    </row>
    <row r="405" spans="1:18" ht="20.2" hidden="1" customHeight="1">
      <c r="A405" s="617"/>
      <c r="B405" s="693"/>
      <c r="C405" s="694" t="s">
        <v>918</v>
      </c>
      <c r="D405" s="471" t="s">
        <v>1035</v>
      </c>
      <c r="E405" s="462" t="s">
        <v>1626</v>
      </c>
      <c r="F405" s="462"/>
      <c r="G405" s="462"/>
      <c r="H405" s="948">
        <v>4</v>
      </c>
      <c r="I405" s="471">
        <v>213</v>
      </c>
      <c r="J405" s="471">
        <f t="shared" si="22"/>
        <v>852</v>
      </c>
      <c r="K405" s="694" t="s">
        <v>918</v>
      </c>
      <c r="L405" s="471" t="s">
        <v>1035</v>
      </c>
      <c r="M405" s="462" t="s">
        <v>1626</v>
      </c>
      <c r="N405" s="462"/>
      <c r="O405" s="462"/>
      <c r="P405" s="948">
        <v>3</v>
      </c>
      <c r="Q405" s="471">
        <v>107</v>
      </c>
      <c r="R405" s="471">
        <f t="shared" si="23"/>
        <v>321</v>
      </c>
    </row>
    <row r="406" spans="1:18" ht="20.2" hidden="1" customHeight="1">
      <c r="A406" s="617"/>
      <c r="B406" s="693"/>
      <c r="C406" s="694" t="s">
        <v>799</v>
      </c>
      <c r="D406" s="471" t="s">
        <v>882</v>
      </c>
      <c r="E406" s="462" t="s">
        <v>1652</v>
      </c>
      <c r="F406" s="462"/>
      <c r="G406" s="462"/>
      <c r="H406" s="948">
        <v>120</v>
      </c>
      <c r="I406" s="471">
        <v>3</v>
      </c>
      <c r="J406" s="471">
        <f t="shared" si="22"/>
        <v>360</v>
      </c>
      <c r="K406" s="694" t="s">
        <v>799</v>
      </c>
      <c r="L406" s="471" t="s">
        <v>882</v>
      </c>
      <c r="M406" s="462" t="s">
        <v>1652</v>
      </c>
      <c r="N406" s="462"/>
      <c r="O406" s="462"/>
      <c r="P406" s="948">
        <v>90</v>
      </c>
      <c r="Q406" s="471">
        <v>0.89</v>
      </c>
      <c r="R406" s="471">
        <f t="shared" si="23"/>
        <v>80.099999999999994</v>
      </c>
    </row>
    <row r="407" spans="1:18" ht="20.2" hidden="1" customHeight="1">
      <c r="A407" s="617"/>
      <c r="B407" s="32"/>
      <c r="C407" s="54" t="s">
        <v>1598</v>
      </c>
      <c r="D407" s="951"/>
      <c r="E407" s="953" t="s">
        <v>1651</v>
      </c>
      <c r="F407" s="462"/>
      <c r="G407" s="462"/>
      <c r="H407" s="948">
        <v>4</v>
      </c>
      <c r="I407" s="471">
        <v>32</v>
      </c>
      <c r="J407" s="471">
        <f t="shared" si="22"/>
        <v>128</v>
      </c>
      <c r="K407" s="54" t="s">
        <v>1598</v>
      </c>
      <c r="L407" s="951"/>
      <c r="M407" s="953" t="s">
        <v>1651</v>
      </c>
      <c r="N407" s="462"/>
      <c r="O407" s="462"/>
      <c r="P407" s="948">
        <v>4</v>
      </c>
      <c r="Q407" s="471">
        <v>35</v>
      </c>
      <c r="R407" s="471">
        <f t="shared" si="23"/>
        <v>140</v>
      </c>
    </row>
    <row r="408" spans="1:18" ht="20.2" hidden="1" customHeight="1">
      <c r="A408" s="617"/>
      <c r="B408" s="34"/>
      <c r="C408" s="54" t="s">
        <v>1484</v>
      </c>
      <c r="D408" s="951">
        <v>2.75</v>
      </c>
      <c r="E408" s="471">
        <v>1.8</v>
      </c>
      <c r="F408" s="462"/>
      <c r="G408" s="471">
        <v>1.35</v>
      </c>
      <c r="H408" s="462">
        <f>ROUND(G408*E408*D408,2)</f>
        <v>6.68</v>
      </c>
      <c r="I408" s="698">
        <f>G15</f>
        <v>561.35799999999995</v>
      </c>
      <c r="J408" s="471">
        <f>ROUND(H408*I408/10,2)</f>
        <v>374.99</v>
      </c>
      <c r="K408" s="54" t="s">
        <v>1484</v>
      </c>
      <c r="L408" s="951">
        <v>2.75</v>
      </c>
      <c r="M408" s="471">
        <v>1.8</v>
      </c>
      <c r="N408" s="462"/>
      <c r="O408" s="471">
        <v>1.2</v>
      </c>
      <c r="P408" s="462">
        <f>ROUND(O408*M408*L408,2)</f>
        <v>5.94</v>
      </c>
      <c r="Q408" s="698">
        <f>I408</f>
        <v>561.35799999999995</v>
      </c>
      <c r="R408" s="471">
        <f>ROUND(P408*Q408/10,2)</f>
        <v>333.45</v>
      </c>
    </row>
    <row r="409" spans="1:18" ht="20.2" hidden="1" customHeight="1">
      <c r="A409" s="617"/>
      <c r="B409" s="34"/>
      <c r="C409" s="451" t="s">
        <v>1306</v>
      </c>
      <c r="D409" s="951" t="s">
        <v>246</v>
      </c>
      <c r="E409" s="471">
        <v>1.8</v>
      </c>
      <c r="F409" s="462">
        <f>10*1.8</f>
        <v>18</v>
      </c>
      <c r="G409" s="471">
        <v>1.1299999999999999</v>
      </c>
      <c r="H409" s="462">
        <f>G409*F409</f>
        <v>20.339999999999996</v>
      </c>
      <c r="I409" s="465">
        <f>'Lead- Input sheet '!R10/1000</f>
        <v>69.62</v>
      </c>
      <c r="J409" s="471">
        <f>H409*I409</f>
        <v>1416.0707999999997</v>
      </c>
      <c r="K409" s="451" t="s">
        <v>1306</v>
      </c>
      <c r="L409" s="951" t="s">
        <v>246</v>
      </c>
      <c r="M409" s="471">
        <v>1.8</v>
      </c>
      <c r="N409" s="462">
        <f>10*1.8</f>
        <v>18</v>
      </c>
      <c r="O409" s="471">
        <v>1.1299999999999999</v>
      </c>
      <c r="P409" s="462">
        <f>O409*N409</f>
        <v>20.339999999999996</v>
      </c>
      <c r="Q409" s="698">
        <f>I409</f>
        <v>69.62</v>
      </c>
      <c r="R409" s="471">
        <f>P409*Q409</f>
        <v>1416.0707999999997</v>
      </c>
    </row>
    <row r="410" spans="1:18" ht="20.2" hidden="1" customHeight="1">
      <c r="A410" s="617"/>
      <c r="B410" s="34"/>
      <c r="C410" s="54" t="s">
        <v>230</v>
      </c>
      <c r="D410" s="951"/>
      <c r="E410" s="471"/>
      <c r="F410" s="462"/>
      <c r="G410" s="462"/>
      <c r="H410" s="948">
        <v>1</v>
      </c>
      <c r="I410" s="471">
        <v>150</v>
      </c>
      <c r="J410" s="471">
        <f>H410*I410</f>
        <v>150</v>
      </c>
      <c r="K410" s="54" t="s">
        <v>230</v>
      </c>
      <c r="L410" s="951"/>
      <c r="M410" s="471"/>
      <c r="N410" s="462"/>
      <c r="O410" s="462"/>
      <c r="P410" s="948">
        <v>1</v>
      </c>
      <c r="Q410" s="471">
        <v>150</v>
      </c>
      <c r="R410" s="471">
        <f>P410*Q410</f>
        <v>150</v>
      </c>
    </row>
    <row r="411" spans="1:18" ht="20.2" hidden="1" customHeight="1">
      <c r="A411" s="617"/>
      <c r="B411" s="34"/>
      <c r="D411" s="951"/>
      <c r="E411" s="471"/>
      <c r="F411" s="462"/>
      <c r="G411" s="462"/>
      <c r="H411" s="462"/>
      <c r="I411" s="471"/>
      <c r="J411" s="471">
        <f>SUM(J395:J410)</f>
        <v>13186.680799999998</v>
      </c>
      <c r="K411" s="54"/>
      <c r="L411" s="951"/>
      <c r="M411" s="471"/>
      <c r="N411" s="462"/>
      <c r="O411" s="462"/>
      <c r="P411" s="462"/>
      <c r="Q411" s="471"/>
      <c r="R411" s="471">
        <f>SUM(R395:R410)</f>
        <v>11570.130800000001</v>
      </c>
    </row>
    <row r="412" spans="1:18" s="18" customFormat="1" ht="20.2" hidden="1" customHeight="1">
      <c r="A412" s="617"/>
      <c r="B412" s="40"/>
      <c r="C412" s="54" t="s">
        <v>1600</v>
      </c>
      <c r="D412" s="954"/>
      <c r="E412" s="468"/>
      <c r="F412" s="458"/>
      <c r="G412" s="458"/>
      <c r="H412" s="458">
        <f>J411</f>
        <v>13186.680799999998</v>
      </c>
      <c r="I412" s="468">
        <f>I6</f>
        <v>0</v>
      </c>
      <c r="J412" s="471">
        <f>ROUND(H412*I412,2)</f>
        <v>0</v>
      </c>
      <c r="K412" s="54" t="s">
        <v>1600</v>
      </c>
      <c r="L412" s="954"/>
      <c r="M412" s="468"/>
      <c r="N412" s="458"/>
      <c r="O412" s="458"/>
      <c r="P412" s="458">
        <f>R411</f>
        <v>11570.130800000001</v>
      </c>
      <c r="Q412" s="468">
        <f>R6</f>
        <v>0</v>
      </c>
      <c r="R412" s="471">
        <f>ROUND(P412*Q412,2)</f>
        <v>0</v>
      </c>
    </row>
    <row r="413" spans="1:18" s="439" customFormat="1" ht="20.2" hidden="1" customHeight="1">
      <c r="A413" s="617" t="s">
        <v>547</v>
      </c>
      <c r="B413" s="411"/>
      <c r="C413" s="283" t="s">
        <v>256</v>
      </c>
      <c r="D413" s="955"/>
      <c r="E413" s="469"/>
      <c r="F413" s="460"/>
      <c r="G413" s="460"/>
      <c r="H413" s="460"/>
      <c r="I413" s="469" t="s">
        <v>416</v>
      </c>
      <c r="J413" s="469">
        <f>SUM(J411:J412)</f>
        <v>13186.680799999998</v>
      </c>
      <c r="K413" s="283" t="s">
        <v>256</v>
      </c>
      <c r="L413" s="955"/>
      <c r="M413" s="469"/>
      <c r="N413" s="460"/>
      <c r="O413" s="460"/>
      <c r="P413" s="460"/>
      <c r="Q413" s="469" t="s">
        <v>416</v>
      </c>
      <c r="R413" s="469">
        <f>SUM(R411:R412)</f>
        <v>11570.130800000001</v>
      </c>
    </row>
    <row r="414" spans="1:18" hidden="1">
      <c r="A414" s="617"/>
      <c r="B414" s="34"/>
      <c r="C414" s="417" t="s">
        <v>14</v>
      </c>
      <c r="D414" s="951"/>
      <c r="E414" s="471"/>
      <c r="F414" s="462"/>
      <c r="G414" s="462"/>
      <c r="H414" s="462"/>
      <c r="I414" s="471"/>
      <c r="J414" s="471"/>
      <c r="K414" s="417" t="s">
        <v>14</v>
      </c>
      <c r="L414" s="951"/>
      <c r="M414" s="471"/>
      <c r="N414" s="462"/>
      <c r="O414" s="462"/>
      <c r="P414" s="462"/>
      <c r="Q414" s="471"/>
      <c r="R414" s="471"/>
    </row>
    <row r="415" spans="1:18" hidden="1">
      <c r="A415" s="617"/>
      <c r="B415" s="34"/>
      <c r="C415" s="54" t="s">
        <v>848</v>
      </c>
      <c r="D415" s="951"/>
      <c r="E415" s="471"/>
      <c r="F415" s="462"/>
      <c r="G415" s="462"/>
      <c r="H415" s="462"/>
      <c r="I415" s="471"/>
      <c r="J415" s="471"/>
      <c r="K415" s="54" t="s">
        <v>848</v>
      </c>
      <c r="L415" s="951"/>
      <c r="M415" s="471"/>
      <c r="N415" s="462"/>
      <c r="O415" s="462"/>
      <c r="P415" s="462"/>
      <c r="Q415" s="471"/>
      <c r="R415" s="471"/>
    </row>
    <row r="416" spans="1:18" ht="20.2" hidden="1" customHeight="1">
      <c r="A416" s="617"/>
      <c r="B416" s="34"/>
      <c r="C416" s="54" t="s">
        <v>780</v>
      </c>
      <c r="D416" s="951">
        <v>5</v>
      </c>
      <c r="E416" s="471">
        <v>1.3</v>
      </c>
      <c r="F416" s="462">
        <v>0.1</v>
      </c>
      <c r="G416" s="462">
        <v>7.4999999999999997E-2</v>
      </c>
      <c r="H416" s="462">
        <f>ROUND(D416*E416*F416*G416,3)</f>
        <v>4.9000000000000002E-2</v>
      </c>
      <c r="I416" s="471">
        <v>44785</v>
      </c>
      <c r="J416" s="471">
        <f>ROUND(H416*I416,2)</f>
        <v>2194.4699999999998</v>
      </c>
      <c r="K416" s="54" t="s">
        <v>780</v>
      </c>
      <c r="L416" s="951">
        <v>5</v>
      </c>
      <c r="M416" s="471">
        <v>1.2</v>
      </c>
      <c r="N416" s="462">
        <v>0.1</v>
      </c>
      <c r="O416" s="462">
        <v>7.4999999999999997E-2</v>
      </c>
      <c r="P416" s="462">
        <f>ROUND(L416*M416*N416*O416,3)</f>
        <v>4.4999999999999998E-2</v>
      </c>
      <c r="Q416" s="471">
        <v>44785</v>
      </c>
      <c r="R416" s="471">
        <f>ROUND(P416*Q416,2)</f>
        <v>2015.33</v>
      </c>
    </row>
    <row r="417" spans="1:18" ht="20.2" hidden="1" customHeight="1">
      <c r="A417" s="617"/>
      <c r="B417" s="34"/>
      <c r="C417" s="54" t="s">
        <v>441</v>
      </c>
      <c r="D417" s="951">
        <v>2</v>
      </c>
      <c r="E417" s="471">
        <v>2</v>
      </c>
      <c r="F417" s="462">
        <v>0.1</v>
      </c>
      <c r="G417" s="462">
        <v>7.4999999999999997E-2</v>
      </c>
      <c r="H417" s="462">
        <f>ROUND(D417*E417*F417*G417,3)</f>
        <v>0.03</v>
      </c>
      <c r="I417" s="471">
        <v>44785</v>
      </c>
      <c r="J417" s="471">
        <f>ROUND(H417*I417,2)</f>
        <v>1343.55</v>
      </c>
      <c r="K417" s="54" t="s">
        <v>441</v>
      </c>
      <c r="L417" s="951">
        <v>2</v>
      </c>
      <c r="M417" s="471">
        <v>2</v>
      </c>
      <c r="N417" s="462">
        <v>0.1</v>
      </c>
      <c r="O417" s="462">
        <v>7.4999999999999997E-2</v>
      </c>
      <c r="P417" s="462">
        <f>ROUND(L417*M417*N417*O417,3)</f>
        <v>0.03</v>
      </c>
      <c r="Q417" s="471">
        <v>44785</v>
      </c>
      <c r="R417" s="471">
        <f>ROUND(P417*Q417,2)</f>
        <v>1343.55</v>
      </c>
    </row>
    <row r="418" spans="1:18" ht="20.2" hidden="1" customHeight="1">
      <c r="A418" s="617"/>
      <c r="B418" s="34"/>
      <c r="C418" s="54" t="s">
        <v>1482</v>
      </c>
      <c r="D418" s="951"/>
      <c r="E418" s="471"/>
      <c r="F418" s="462"/>
      <c r="G418" s="462"/>
      <c r="H418" s="462">
        <f>SUM(H416:H417)</f>
        <v>7.9000000000000001E-2</v>
      </c>
      <c r="I418" s="465">
        <f>G25</f>
        <v>19572.5</v>
      </c>
      <c r="J418" s="471">
        <f>ROUND(H418*I418,2)</f>
        <v>1546.23</v>
      </c>
      <c r="K418" s="54" t="s">
        <v>1482</v>
      </c>
      <c r="L418" s="951"/>
      <c r="M418" s="471"/>
      <c r="N418" s="462"/>
      <c r="O418" s="462"/>
      <c r="P418" s="462">
        <f>SUM(P416:P417)</f>
        <v>7.4999999999999997E-2</v>
      </c>
      <c r="Q418" s="465">
        <f>I418</f>
        <v>19572.5</v>
      </c>
      <c r="R418" s="471">
        <f>ROUND(P418*Q418,2)</f>
        <v>1467.94</v>
      </c>
    </row>
    <row r="419" spans="1:18" ht="33.299999999999997" hidden="1">
      <c r="A419" s="617" t="s">
        <v>787</v>
      </c>
      <c r="B419" s="19"/>
      <c r="C419" s="54" t="s">
        <v>788</v>
      </c>
      <c r="D419" s="951"/>
      <c r="E419" s="471"/>
      <c r="F419" s="462"/>
      <c r="G419" s="952"/>
      <c r="H419" s="952"/>
      <c r="I419" s="471"/>
      <c r="J419" s="471"/>
      <c r="K419" s="54" t="s">
        <v>788</v>
      </c>
      <c r="L419" s="951"/>
      <c r="M419" s="471"/>
      <c r="N419" s="462"/>
      <c r="O419" s="952"/>
      <c r="P419" s="952"/>
      <c r="Q419" s="471"/>
      <c r="R419" s="471"/>
    </row>
    <row r="420" spans="1:18" ht="20.2" hidden="1" customHeight="1">
      <c r="A420" s="617"/>
      <c r="B420" s="32"/>
      <c r="C420" s="54" t="s">
        <v>1598</v>
      </c>
      <c r="D420" s="951"/>
      <c r="E420" s="953" t="s">
        <v>1651</v>
      </c>
      <c r="F420" s="462"/>
      <c r="G420" s="462"/>
      <c r="H420" s="948">
        <v>4</v>
      </c>
      <c r="I420" s="471">
        <v>32</v>
      </c>
      <c r="J420" s="471">
        <f>ROUND(H420*I420,2)</f>
        <v>128</v>
      </c>
      <c r="K420" s="54" t="s">
        <v>1598</v>
      </c>
      <c r="L420" s="951"/>
      <c r="M420" s="953" t="s">
        <v>1651</v>
      </c>
      <c r="N420" s="462"/>
      <c r="O420" s="462"/>
      <c r="P420" s="948">
        <v>4</v>
      </c>
      <c r="Q420" s="471">
        <v>35</v>
      </c>
      <c r="R420" s="471">
        <f>ROUND(P420*Q420,2)</f>
        <v>140</v>
      </c>
    </row>
    <row r="421" spans="1:18" ht="20.2" hidden="1" customHeight="1">
      <c r="A421" s="617"/>
      <c r="B421" s="34"/>
      <c r="C421" s="54" t="s">
        <v>1484</v>
      </c>
      <c r="D421" s="951">
        <v>2.75</v>
      </c>
      <c r="E421" s="471">
        <v>1.8</v>
      </c>
      <c r="F421" s="462"/>
      <c r="G421" s="471">
        <v>1.3</v>
      </c>
      <c r="H421" s="462">
        <f>ROUND(G421*E421*D421,2)</f>
        <v>6.44</v>
      </c>
      <c r="I421" s="698">
        <f>G15</f>
        <v>561.35799999999995</v>
      </c>
      <c r="J421" s="471">
        <f>ROUND(H421*I421/10,2)</f>
        <v>361.51</v>
      </c>
      <c r="K421" s="54" t="s">
        <v>1484</v>
      </c>
      <c r="L421" s="951">
        <v>2.75</v>
      </c>
      <c r="M421" s="471">
        <v>1.8</v>
      </c>
      <c r="N421" s="462"/>
      <c r="O421" s="471">
        <v>1.3</v>
      </c>
      <c r="P421" s="462">
        <f>ROUND(O421*M421*L421,2)</f>
        <v>6.44</v>
      </c>
      <c r="Q421" s="698">
        <f>I421</f>
        <v>561.35799999999995</v>
      </c>
      <c r="R421" s="471">
        <f>ROUND(P421*Q421/10,2)</f>
        <v>361.51</v>
      </c>
    </row>
    <row r="422" spans="1:18" ht="20.2" hidden="1" customHeight="1">
      <c r="A422" s="617"/>
      <c r="B422" s="34"/>
      <c r="C422" s="451" t="s">
        <v>1306</v>
      </c>
      <c r="D422" s="951" t="s">
        <v>246</v>
      </c>
      <c r="E422" s="471">
        <v>1.8</v>
      </c>
      <c r="F422" s="462">
        <f>10*1.8</f>
        <v>18</v>
      </c>
      <c r="G422" s="471">
        <v>1.1299999999999999</v>
      </c>
      <c r="H422" s="462">
        <f>G422*F422</f>
        <v>20.339999999999996</v>
      </c>
      <c r="I422" s="465">
        <f>'Lead- Input sheet '!R10/1000</f>
        <v>69.62</v>
      </c>
      <c r="J422" s="471">
        <f>H422*I422</f>
        <v>1416.0707999999997</v>
      </c>
      <c r="K422" s="451" t="s">
        <v>1306</v>
      </c>
      <c r="L422" s="951" t="s">
        <v>246</v>
      </c>
      <c r="M422" s="471">
        <v>1.8</v>
      </c>
      <c r="N422" s="462">
        <f>10*1.8</f>
        <v>18</v>
      </c>
      <c r="O422" s="471">
        <v>1.1299999999999999</v>
      </c>
      <c r="P422" s="462">
        <f>O422*N422</f>
        <v>20.339999999999996</v>
      </c>
      <c r="Q422" s="465">
        <f>I422</f>
        <v>69.62</v>
      </c>
      <c r="R422" s="471">
        <f>P422*Q422</f>
        <v>1416.0707999999997</v>
      </c>
    </row>
    <row r="423" spans="1:18" ht="20.2" hidden="1" customHeight="1">
      <c r="A423" s="617"/>
      <c r="B423" s="34"/>
      <c r="C423" s="54" t="s">
        <v>230</v>
      </c>
      <c r="D423" s="951"/>
      <c r="E423" s="471"/>
      <c r="F423" s="462"/>
      <c r="G423" s="462"/>
      <c r="H423" s="948">
        <v>1</v>
      </c>
      <c r="I423" s="471">
        <v>75</v>
      </c>
      <c r="J423" s="471">
        <f>H423*I423</f>
        <v>75</v>
      </c>
      <c r="K423" s="54" t="s">
        <v>230</v>
      </c>
      <c r="L423" s="951"/>
      <c r="M423" s="471"/>
      <c r="N423" s="462"/>
      <c r="O423" s="462"/>
      <c r="P423" s="948">
        <v>1</v>
      </c>
      <c r="Q423" s="471">
        <v>75</v>
      </c>
      <c r="R423" s="471">
        <f>P423*Q423</f>
        <v>75</v>
      </c>
    </row>
    <row r="424" spans="1:18" ht="20.2" hidden="1" customHeight="1">
      <c r="A424" s="617"/>
      <c r="B424" s="34"/>
      <c r="D424" s="951"/>
      <c r="E424" s="471"/>
      <c r="F424" s="462"/>
      <c r="G424" s="462"/>
      <c r="H424" s="462"/>
      <c r="I424" s="471"/>
      <c r="J424" s="471">
        <f>SUM(J416:J423)</f>
        <v>7064.8307999999997</v>
      </c>
      <c r="K424" s="54"/>
      <c r="L424" s="951"/>
      <c r="M424" s="471"/>
      <c r="N424" s="462"/>
      <c r="O424" s="462"/>
      <c r="P424" s="462"/>
      <c r="Q424" s="471"/>
      <c r="R424" s="471">
        <f>SUM(R416:R423)</f>
        <v>6819.4007999999994</v>
      </c>
    </row>
    <row r="425" spans="1:18" s="18" customFormat="1" ht="20.2" hidden="1" customHeight="1">
      <c r="A425" s="617"/>
      <c r="B425" s="40"/>
      <c r="C425" s="54" t="s">
        <v>1600</v>
      </c>
      <c r="D425" s="954"/>
      <c r="E425" s="468"/>
      <c r="F425" s="458"/>
      <c r="G425" s="458"/>
      <c r="H425" s="458">
        <f>'Lead- Input sheet '!Q32</f>
        <v>0</v>
      </c>
      <c r="I425" s="468">
        <f>J424</f>
        <v>7064.8307999999997</v>
      </c>
      <c r="J425" s="471">
        <f>ROUND(H425*I425,2)</f>
        <v>0</v>
      </c>
      <c r="K425" s="54" t="s">
        <v>1600</v>
      </c>
      <c r="L425" s="954"/>
      <c r="M425" s="468"/>
      <c r="N425" s="458"/>
      <c r="O425" s="458"/>
      <c r="P425" s="458">
        <f>'Lead- Input sheet '!X32</f>
        <v>0</v>
      </c>
      <c r="Q425" s="468">
        <f>R424</f>
        <v>6819.4007999999994</v>
      </c>
      <c r="R425" s="471">
        <f>ROUND(P425*Q425,2)</f>
        <v>0</v>
      </c>
    </row>
    <row r="426" spans="1:18" s="439" customFormat="1" ht="20.2" hidden="1" customHeight="1">
      <c r="A426" s="617"/>
      <c r="B426" s="411"/>
      <c r="C426" s="418" t="s">
        <v>15</v>
      </c>
      <c r="D426" s="955"/>
      <c r="E426" s="469"/>
      <c r="F426" s="460"/>
      <c r="G426" s="460"/>
      <c r="H426" s="460"/>
      <c r="I426" s="469" t="s">
        <v>1486</v>
      </c>
      <c r="J426" s="469">
        <f>SUM(J424:J425)</f>
        <v>7064.8307999999997</v>
      </c>
      <c r="K426" s="418" t="s">
        <v>15</v>
      </c>
      <c r="L426" s="955"/>
      <c r="M426" s="469"/>
      <c r="N426" s="460"/>
      <c r="O426" s="460"/>
      <c r="P426" s="460"/>
      <c r="Q426" s="469" t="s">
        <v>1486</v>
      </c>
      <c r="R426" s="469">
        <f>SUM(R424:R425)</f>
        <v>6819.4007999999994</v>
      </c>
    </row>
    <row r="427" spans="1:18" s="439" customFormat="1" ht="20.2" hidden="1" customHeight="1">
      <c r="A427" s="617"/>
      <c r="B427" s="411"/>
      <c r="C427" s="418" t="s">
        <v>16</v>
      </c>
      <c r="D427" s="955"/>
      <c r="E427" s="469"/>
      <c r="F427" s="460"/>
      <c r="G427" s="460"/>
      <c r="H427" s="460"/>
      <c r="I427" s="469" t="s">
        <v>1486</v>
      </c>
      <c r="J427" s="469">
        <f>J413-J426</f>
        <v>6121.8499999999985</v>
      </c>
      <c r="K427" s="418" t="s">
        <v>16</v>
      </c>
      <c r="L427" s="955"/>
      <c r="M427" s="469"/>
      <c r="N427" s="460"/>
      <c r="O427" s="460"/>
      <c r="P427" s="460"/>
      <c r="Q427" s="469" t="s">
        <v>1486</v>
      </c>
      <c r="R427" s="469">
        <f>R413-R426</f>
        <v>4750.7300000000014</v>
      </c>
    </row>
    <row r="428" spans="1:18" ht="129" hidden="1">
      <c r="A428" s="617"/>
      <c r="B428" s="26">
        <v>8</v>
      </c>
      <c r="C428" s="55" t="s">
        <v>1834</v>
      </c>
      <c r="D428" s="951"/>
      <c r="E428" s="471"/>
      <c r="F428" s="462"/>
      <c r="G428" s="462"/>
      <c r="H428" s="462"/>
      <c r="I428" s="471"/>
      <c r="J428" s="471"/>
    </row>
    <row r="429" spans="1:18" hidden="1">
      <c r="A429" s="617"/>
      <c r="B429" s="34"/>
      <c r="C429" s="55" t="s">
        <v>9</v>
      </c>
      <c r="D429" s="951"/>
      <c r="E429" s="471"/>
      <c r="F429" s="462"/>
      <c r="G429" s="462"/>
      <c r="H429" s="462"/>
      <c r="I429" s="471"/>
      <c r="J429" s="471"/>
    </row>
    <row r="430" spans="1:18" s="500" customFormat="1" hidden="1">
      <c r="A430" s="617"/>
      <c r="B430" s="34"/>
      <c r="C430" s="54" t="s">
        <v>848</v>
      </c>
      <c r="D430" s="951"/>
      <c r="E430" s="471"/>
      <c r="F430" s="462"/>
      <c r="G430" s="462"/>
      <c r="H430" s="462"/>
      <c r="I430" s="471"/>
      <c r="J430" s="471"/>
    </row>
    <row r="431" spans="1:18" s="500" customFormat="1" hidden="1">
      <c r="A431" s="617"/>
      <c r="B431" s="34"/>
      <c r="C431" s="54" t="s">
        <v>780</v>
      </c>
      <c r="D431" s="951">
        <v>4</v>
      </c>
      <c r="E431" s="471">
        <v>1.2</v>
      </c>
      <c r="F431" s="462">
        <v>0.1</v>
      </c>
      <c r="G431" s="462">
        <v>7.4999999999999997E-2</v>
      </c>
      <c r="H431" s="462">
        <f>ROUND(D431*E431*F431*G431,3)</f>
        <v>3.5999999999999997E-2</v>
      </c>
      <c r="I431" s="471">
        <v>44785</v>
      </c>
      <c r="J431" s="471">
        <f t="shared" ref="J431:J436" si="24">ROUND(H431*I431,2)</f>
        <v>1612.26</v>
      </c>
    </row>
    <row r="432" spans="1:18" hidden="1">
      <c r="A432" s="617"/>
      <c r="B432" s="34"/>
      <c r="C432" s="54" t="s">
        <v>781</v>
      </c>
      <c r="D432" s="951">
        <v>2</v>
      </c>
      <c r="E432" s="471">
        <v>1.35</v>
      </c>
      <c r="F432" s="462">
        <v>0.1</v>
      </c>
      <c r="G432" s="462">
        <v>7.4999999999999997E-2</v>
      </c>
      <c r="H432" s="462">
        <f>ROUND(D432*E432*F432*G432,3)</f>
        <v>0.02</v>
      </c>
      <c r="I432" s="471">
        <v>44785</v>
      </c>
      <c r="J432" s="471">
        <f t="shared" si="24"/>
        <v>895.7</v>
      </c>
    </row>
    <row r="433" spans="1:11" hidden="1">
      <c r="A433" s="617"/>
      <c r="B433" s="34"/>
      <c r="C433" s="54" t="s">
        <v>782</v>
      </c>
      <c r="D433" s="951" t="s">
        <v>243</v>
      </c>
      <c r="E433" s="472">
        <f>(1.2-2*0.075+2*0.015)</f>
        <v>1.08</v>
      </c>
      <c r="F433" s="462">
        <v>7.4999999999999997E-2</v>
      </c>
      <c r="G433" s="462">
        <f>1.25*25.4/1000</f>
        <v>3.175E-2</v>
      </c>
      <c r="H433" s="462">
        <f>ROUND(6*E433*F433*G433,3)</f>
        <v>1.4999999999999999E-2</v>
      </c>
      <c r="I433" s="471">
        <v>59715</v>
      </c>
      <c r="J433" s="471">
        <f t="shared" si="24"/>
        <v>895.73</v>
      </c>
    </row>
    <row r="434" spans="1:11" hidden="1">
      <c r="A434" s="617"/>
      <c r="B434" s="34"/>
      <c r="C434" s="54" t="s">
        <v>783</v>
      </c>
      <c r="D434" s="951" t="s">
        <v>244</v>
      </c>
      <c r="E434" s="471">
        <f>(1.2-3*0.075+4*0.015)/2</f>
        <v>0.51749999999999996</v>
      </c>
      <c r="F434" s="462">
        <v>7.4999999999999997E-2</v>
      </c>
      <c r="G434" s="462">
        <f>1.25*25.4/1000</f>
        <v>3.175E-2</v>
      </c>
      <c r="H434" s="462">
        <f>ROUND(9*E434*F434*G434,3)</f>
        <v>1.0999999999999999E-2</v>
      </c>
      <c r="I434" s="471">
        <v>59715</v>
      </c>
      <c r="J434" s="471">
        <f t="shared" si="24"/>
        <v>656.87</v>
      </c>
    </row>
    <row r="435" spans="1:11" hidden="1">
      <c r="A435" s="617"/>
      <c r="B435" s="34"/>
      <c r="C435" s="54" t="s">
        <v>1481</v>
      </c>
      <c r="D435" s="951" t="s">
        <v>245</v>
      </c>
      <c r="E435" s="471">
        <f>(1.2-4*0.075+6*0.015)/3-2*0.075+2*0.025</f>
        <v>0.22999999999999998</v>
      </c>
      <c r="F435" s="462">
        <f>(1.2-2*0.075+2*0.015-3*0.075)/2+2*0.025</f>
        <v>0.47750000000000004</v>
      </c>
      <c r="G435" s="462">
        <v>2.5000000000000001E-2</v>
      </c>
      <c r="H435" s="462">
        <f>ROUND(6*E435*F435*G435,3)</f>
        <v>1.6E-2</v>
      </c>
      <c r="I435" s="471">
        <v>59715</v>
      </c>
      <c r="J435" s="471">
        <f t="shared" si="24"/>
        <v>955.44</v>
      </c>
    </row>
    <row r="436" spans="1:11" hidden="1">
      <c r="A436" s="617"/>
      <c r="B436" s="34"/>
      <c r="C436" s="54" t="s">
        <v>1482</v>
      </c>
      <c r="D436" s="951"/>
      <c r="E436" s="471"/>
      <c r="F436" s="462"/>
      <c r="G436" s="462"/>
      <c r="H436" s="462">
        <f>SUM(H431:H435)</f>
        <v>9.799999999999999E-2</v>
      </c>
      <c r="I436" s="465">
        <f>G25</f>
        <v>19572.5</v>
      </c>
      <c r="J436" s="471">
        <f t="shared" si="24"/>
        <v>1918.11</v>
      </c>
    </row>
    <row r="437" spans="1:11" ht="33.299999999999997" hidden="1">
      <c r="A437" s="617" t="s">
        <v>787</v>
      </c>
      <c r="B437" s="19"/>
      <c r="C437" s="54" t="s">
        <v>788</v>
      </c>
      <c r="D437" s="951"/>
      <c r="E437" s="471"/>
      <c r="F437" s="462"/>
      <c r="G437" s="952"/>
      <c r="H437" s="952"/>
      <c r="I437" s="471"/>
      <c r="J437" s="471"/>
    </row>
    <row r="438" spans="1:11" hidden="1">
      <c r="A438" s="617"/>
      <c r="B438" s="693"/>
      <c r="C438" s="694" t="s">
        <v>915</v>
      </c>
      <c r="D438" s="471" t="s">
        <v>1035</v>
      </c>
      <c r="E438" s="462" t="s">
        <v>1624</v>
      </c>
      <c r="F438" s="462"/>
      <c r="G438" s="462"/>
      <c r="H438" s="948">
        <v>3</v>
      </c>
      <c r="I438" s="471">
        <v>35</v>
      </c>
      <c r="J438" s="471">
        <f t="shared" ref="J438:J443" si="25">ROUND(H438*I438,2)</f>
        <v>105</v>
      </c>
    </row>
    <row r="439" spans="1:11" hidden="1">
      <c r="A439" s="617"/>
      <c r="B439" s="693"/>
      <c r="C439" s="31" t="s">
        <v>916</v>
      </c>
      <c r="D439" s="471" t="s">
        <v>1035</v>
      </c>
      <c r="E439" s="462" t="s">
        <v>1624</v>
      </c>
      <c r="F439" s="462"/>
      <c r="G439" s="462"/>
      <c r="H439" s="948">
        <v>3</v>
      </c>
      <c r="I439" s="471">
        <v>35</v>
      </c>
      <c r="J439" s="471">
        <f t="shared" si="25"/>
        <v>105</v>
      </c>
    </row>
    <row r="440" spans="1:11" hidden="1">
      <c r="A440" s="617"/>
      <c r="B440" s="693"/>
      <c r="C440" s="946" t="s">
        <v>917</v>
      </c>
      <c r="D440" s="471" t="s">
        <v>1035</v>
      </c>
      <c r="E440" s="462" t="s">
        <v>1625</v>
      </c>
      <c r="F440" s="462"/>
      <c r="G440" s="462"/>
      <c r="H440" s="948">
        <v>6</v>
      </c>
      <c r="I440" s="471">
        <v>21</v>
      </c>
      <c r="J440" s="471">
        <f t="shared" si="25"/>
        <v>126</v>
      </c>
    </row>
    <row r="441" spans="1:11" hidden="1">
      <c r="A441" s="617"/>
      <c r="B441" s="693"/>
      <c r="C441" s="694" t="s">
        <v>918</v>
      </c>
      <c r="D441" s="471" t="s">
        <v>1035</v>
      </c>
      <c r="E441" s="462" t="s">
        <v>1626</v>
      </c>
      <c r="F441" s="462"/>
      <c r="G441" s="462"/>
      <c r="H441" s="948">
        <v>3</v>
      </c>
      <c r="I441" s="471">
        <v>213</v>
      </c>
      <c r="J441" s="471">
        <f t="shared" si="25"/>
        <v>639</v>
      </c>
    </row>
    <row r="442" spans="1:11" hidden="1">
      <c r="A442" s="617"/>
      <c r="B442" s="693"/>
      <c r="C442" s="694" t="s">
        <v>799</v>
      </c>
      <c r="D442" s="471" t="s">
        <v>882</v>
      </c>
      <c r="E442" s="462" t="s">
        <v>1652</v>
      </c>
      <c r="F442" s="462"/>
      <c r="G442" s="462"/>
      <c r="H442" s="948">
        <v>90</v>
      </c>
      <c r="I442" s="471">
        <v>3</v>
      </c>
      <c r="J442" s="471">
        <f t="shared" si="25"/>
        <v>270</v>
      </c>
    </row>
    <row r="443" spans="1:11" hidden="1">
      <c r="A443" s="617"/>
      <c r="B443" s="693"/>
      <c r="C443" s="694" t="s">
        <v>1598</v>
      </c>
      <c r="D443" s="471"/>
      <c r="E443" s="953" t="s">
        <v>1651</v>
      </c>
      <c r="F443" s="462"/>
      <c r="G443" s="462"/>
      <c r="H443" s="948">
        <v>4</v>
      </c>
      <c r="I443" s="471">
        <v>32</v>
      </c>
      <c r="J443" s="471">
        <f t="shared" si="25"/>
        <v>128</v>
      </c>
    </row>
    <row r="444" spans="1:11" hidden="1">
      <c r="A444" s="617"/>
      <c r="B444" s="34"/>
      <c r="C444" s="54" t="s">
        <v>1484</v>
      </c>
      <c r="D444" s="951">
        <v>2.75</v>
      </c>
      <c r="E444" s="471">
        <v>1.2</v>
      </c>
      <c r="F444" s="462"/>
      <c r="G444" s="471">
        <v>1.2</v>
      </c>
      <c r="H444" s="462">
        <f>ROUND(G444*E444*D444,2)</f>
        <v>3.96</v>
      </c>
      <c r="I444" s="698">
        <f>G15</f>
        <v>561.35799999999995</v>
      </c>
      <c r="J444" s="471">
        <f>ROUND(H444*I444/10,2)</f>
        <v>222.3</v>
      </c>
    </row>
    <row r="445" spans="1:11" hidden="1">
      <c r="A445" s="617"/>
      <c r="B445" s="34"/>
      <c r="C445" s="451" t="s">
        <v>1306</v>
      </c>
      <c r="D445" s="951" t="s">
        <v>10</v>
      </c>
      <c r="E445" s="471">
        <v>1.2</v>
      </c>
      <c r="F445" s="471">
        <f>E445*9</f>
        <v>10.799999999999999</v>
      </c>
      <c r="G445" s="471">
        <v>1.1299999999999999</v>
      </c>
      <c r="H445" s="462">
        <f>G445*F445</f>
        <v>12.203999999999997</v>
      </c>
      <c r="I445" s="465">
        <f>'Lead- Input sheet '!R10/1000</f>
        <v>69.62</v>
      </c>
      <c r="J445" s="471">
        <f>H445*I445</f>
        <v>849.64247999999986</v>
      </c>
      <c r="K445" s="25">
        <f>(1.2-0.075*2-0.1)/0.1</f>
        <v>9.5</v>
      </c>
    </row>
    <row r="446" spans="1:11" hidden="1">
      <c r="A446" s="617"/>
      <c r="B446" s="34"/>
      <c r="C446" s="54" t="s">
        <v>230</v>
      </c>
      <c r="D446" s="951"/>
      <c r="E446" s="471"/>
      <c r="F446" s="462"/>
      <c r="G446" s="462"/>
      <c r="H446" s="948">
        <v>1</v>
      </c>
      <c r="I446" s="471">
        <v>100</v>
      </c>
      <c r="J446" s="471">
        <f>H446*I446</f>
        <v>100</v>
      </c>
    </row>
    <row r="447" spans="1:11" hidden="1">
      <c r="A447" s="617"/>
      <c r="B447" s="34"/>
      <c r="D447" s="951"/>
      <c r="E447" s="471"/>
      <c r="F447" s="462"/>
      <c r="G447" s="462"/>
      <c r="H447" s="462"/>
      <c r="I447" s="471"/>
      <c r="J447" s="471">
        <f>SUM(J431:J446)</f>
        <v>9479.0524800000003</v>
      </c>
    </row>
    <row r="448" spans="1:11" ht="25.8" hidden="1">
      <c r="A448" s="617"/>
      <c r="B448" s="40"/>
      <c r="C448" s="54" t="s">
        <v>1600</v>
      </c>
      <c r="D448" s="954"/>
      <c r="E448" s="468"/>
      <c r="F448" s="458"/>
      <c r="G448" s="458"/>
      <c r="H448" s="458">
        <f>'Lead- Input sheet '!Q32</f>
        <v>0</v>
      </c>
      <c r="I448" s="468">
        <f>J447</f>
        <v>9479.0524800000003</v>
      </c>
      <c r="J448" s="468">
        <f>ROUND(H448*I448,2)</f>
        <v>0</v>
      </c>
    </row>
    <row r="449" spans="1:10" hidden="1">
      <c r="A449" s="617"/>
      <c r="B449" s="411"/>
      <c r="C449" s="283" t="s">
        <v>256</v>
      </c>
      <c r="D449" s="955"/>
      <c r="E449" s="469"/>
      <c r="F449" s="460"/>
      <c r="G449" s="460"/>
      <c r="H449" s="460"/>
      <c r="I449" s="469" t="s">
        <v>416</v>
      </c>
      <c r="J449" s="469">
        <f>SUM(J447:J448)</f>
        <v>9479.0524800000003</v>
      </c>
    </row>
    <row r="450" spans="1:10" hidden="1">
      <c r="A450" s="617"/>
      <c r="B450" s="34"/>
      <c r="C450" s="55" t="s">
        <v>11</v>
      </c>
      <c r="D450" s="951"/>
      <c r="E450" s="471"/>
      <c r="F450" s="462"/>
      <c r="G450" s="462"/>
      <c r="H450" s="462"/>
      <c r="I450" s="471"/>
      <c r="J450" s="471"/>
    </row>
    <row r="451" spans="1:10" hidden="1">
      <c r="A451" s="617"/>
      <c r="B451" s="34"/>
      <c r="C451" s="54" t="s">
        <v>848</v>
      </c>
      <c r="D451" s="951"/>
      <c r="E451" s="471"/>
      <c r="F451" s="462"/>
      <c r="G451" s="462"/>
      <c r="H451" s="462"/>
      <c r="I451" s="471"/>
      <c r="J451" s="471"/>
    </row>
    <row r="452" spans="1:10" hidden="1">
      <c r="A452" s="617"/>
      <c r="B452" s="34"/>
      <c r="C452" s="54" t="s">
        <v>780</v>
      </c>
      <c r="D452" s="951">
        <v>4</v>
      </c>
      <c r="E452" s="471">
        <v>1.2</v>
      </c>
      <c r="F452" s="462">
        <v>0.1</v>
      </c>
      <c r="G452" s="462">
        <v>7.4999999999999997E-2</v>
      </c>
      <c r="H452" s="462">
        <f>ROUND(D452*E452*F452*G452,3)</f>
        <v>3.5999999999999997E-2</v>
      </c>
      <c r="I452" s="471">
        <v>44785</v>
      </c>
      <c r="J452" s="471">
        <f>ROUND(H452*I452,2)</f>
        <v>1612.26</v>
      </c>
    </row>
    <row r="453" spans="1:10" hidden="1">
      <c r="A453" s="617"/>
      <c r="B453" s="34"/>
      <c r="C453" s="54" t="s">
        <v>781</v>
      </c>
      <c r="D453" s="951">
        <v>2</v>
      </c>
      <c r="E453" s="471">
        <v>1.35</v>
      </c>
      <c r="F453" s="462">
        <v>0.1</v>
      </c>
      <c r="G453" s="462">
        <v>7.4999999999999997E-2</v>
      </c>
      <c r="H453" s="462">
        <f>ROUND(D453*E453*F453*G453,3)</f>
        <v>0.02</v>
      </c>
      <c r="I453" s="471">
        <v>44785</v>
      </c>
      <c r="J453" s="471">
        <f>ROUND(H453*I453,2)</f>
        <v>895.7</v>
      </c>
    </row>
    <row r="454" spans="1:10" hidden="1">
      <c r="A454" s="617"/>
      <c r="B454" s="34"/>
      <c r="C454" s="54" t="s">
        <v>1482</v>
      </c>
      <c r="D454" s="951"/>
      <c r="E454" s="471"/>
      <c r="F454" s="462"/>
      <c r="G454" s="462"/>
      <c r="H454" s="462">
        <f>SUM(H452:H453)</f>
        <v>5.5999999999999994E-2</v>
      </c>
      <c r="I454" s="465">
        <f>G25</f>
        <v>19572.5</v>
      </c>
      <c r="J454" s="471">
        <f>ROUND(H454*I454,2)</f>
        <v>1096.06</v>
      </c>
    </row>
    <row r="455" spans="1:10" ht="33.299999999999997" hidden="1">
      <c r="A455" s="617" t="s">
        <v>787</v>
      </c>
      <c r="B455" s="19"/>
      <c r="C455" s="54" t="s">
        <v>788</v>
      </c>
      <c r="D455" s="951"/>
      <c r="E455" s="471"/>
      <c r="F455" s="462"/>
      <c r="G455" s="952"/>
      <c r="H455" s="952"/>
      <c r="I455" s="471"/>
      <c r="J455" s="471"/>
    </row>
    <row r="456" spans="1:10" hidden="1">
      <c r="A456" s="617"/>
      <c r="B456" s="32"/>
      <c r="C456" s="54" t="s">
        <v>1598</v>
      </c>
      <c r="D456" s="951"/>
      <c r="E456" s="953" t="s">
        <v>1651</v>
      </c>
      <c r="F456" s="462"/>
      <c r="G456" s="462"/>
      <c r="H456" s="948">
        <v>4</v>
      </c>
      <c r="I456" s="471">
        <v>32</v>
      </c>
      <c r="J456" s="471">
        <f>ROUND(H456*I456,2)</f>
        <v>128</v>
      </c>
    </row>
    <row r="457" spans="1:10" hidden="1">
      <c r="A457" s="617"/>
      <c r="B457" s="34"/>
      <c r="C457" s="54" t="s">
        <v>1484</v>
      </c>
      <c r="D457" s="471" t="s">
        <v>544</v>
      </c>
      <c r="E457" s="471">
        <v>1.2</v>
      </c>
      <c r="F457" s="462"/>
      <c r="G457" s="471">
        <v>1.2</v>
      </c>
      <c r="H457" s="462">
        <f>ROUND(G457*E457*2.75/3,2)</f>
        <v>1.32</v>
      </c>
      <c r="I457" s="698">
        <f>G15</f>
        <v>561.35799999999995</v>
      </c>
      <c r="J457" s="471">
        <f>ROUND(H457*I457/10,2)</f>
        <v>74.099999999999994</v>
      </c>
    </row>
    <row r="458" spans="1:10" hidden="1">
      <c r="A458" s="617"/>
      <c r="B458" s="34"/>
      <c r="C458" s="451" t="s">
        <v>1306</v>
      </c>
      <c r="D458" s="951" t="s">
        <v>10</v>
      </c>
      <c r="E458" s="471">
        <v>1.2</v>
      </c>
      <c r="F458" s="471">
        <f>E458*9</f>
        <v>10.799999999999999</v>
      </c>
      <c r="G458" s="471">
        <v>1.1299999999999999</v>
      </c>
      <c r="H458" s="462">
        <f>G458*F458</f>
        <v>12.203999999999997</v>
      </c>
      <c r="I458" s="465">
        <f>'Lead- Input sheet '!R10/1000</f>
        <v>69.62</v>
      </c>
      <c r="J458" s="471">
        <f>H458*I458</f>
        <v>849.64247999999986</v>
      </c>
    </row>
    <row r="459" spans="1:10" hidden="1">
      <c r="A459" s="617"/>
      <c r="B459" s="34"/>
      <c r="C459" s="54" t="s">
        <v>230</v>
      </c>
      <c r="D459" s="951"/>
      <c r="E459" s="471"/>
      <c r="F459" s="462"/>
      <c r="G459" s="462"/>
      <c r="H459" s="948">
        <v>1</v>
      </c>
      <c r="I459" s="471">
        <v>50</v>
      </c>
      <c r="J459" s="471">
        <f>H459*I459</f>
        <v>50</v>
      </c>
    </row>
    <row r="460" spans="1:10" hidden="1">
      <c r="A460" s="617"/>
      <c r="B460" s="34"/>
      <c r="D460" s="951"/>
      <c r="E460" s="471"/>
      <c r="F460" s="462"/>
      <c r="G460" s="462"/>
      <c r="H460" s="462"/>
      <c r="I460" s="471"/>
      <c r="J460" s="471">
        <f>SUM(J452:J459)</f>
        <v>4705.7624799999994</v>
      </c>
    </row>
    <row r="461" spans="1:10" ht="25.8" hidden="1">
      <c r="A461" s="617"/>
      <c r="B461" s="40"/>
      <c r="C461" s="54" t="s">
        <v>1600</v>
      </c>
      <c r="D461" s="954"/>
      <c r="E461" s="468"/>
      <c r="F461" s="458"/>
      <c r="G461" s="458"/>
      <c r="H461" s="458">
        <f>'Lead- Input sheet '!Q32</f>
        <v>0</v>
      </c>
      <c r="I461" s="468">
        <f>J460</f>
        <v>4705.7624799999994</v>
      </c>
      <c r="J461" s="471">
        <f>H461*I461</f>
        <v>0</v>
      </c>
    </row>
    <row r="462" spans="1:10" hidden="1">
      <c r="A462" s="617"/>
      <c r="B462" s="411"/>
      <c r="C462" s="418" t="s">
        <v>12</v>
      </c>
      <c r="D462" s="955"/>
      <c r="E462" s="469"/>
      <c r="F462" s="460"/>
      <c r="G462" s="460"/>
      <c r="H462" s="460"/>
      <c r="I462" s="469" t="s">
        <v>416</v>
      </c>
      <c r="J462" s="469">
        <f>SUM(J460:J461)</f>
        <v>4705.7624799999994</v>
      </c>
    </row>
    <row r="463" spans="1:10" hidden="1">
      <c r="A463" s="617"/>
      <c r="B463" s="411"/>
      <c r="C463" s="418" t="s">
        <v>13</v>
      </c>
      <c r="D463" s="955"/>
      <c r="E463" s="469"/>
      <c r="F463" s="460"/>
      <c r="G463" s="460"/>
      <c r="H463" s="460"/>
      <c r="I463" s="469" t="s">
        <v>416</v>
      </c>
      <c r="J463" s="469">
        <f>J449-J462</f>
        <v>4773.2900000000009</v>
      </c>
    </row>
    <row r="464" spans="1:10" hidden="1">
      <c r="A464" s="617"/>
      <c r="E464" s="222"/>
      <c r="F464" s="947"/>
      <c r="G464" s="947"/>
      <c r="H464" s="950"/>
      <c r="I464" s="472"/>
      <c r="J464" s="441"/>
    </row>
    <row r="465" spans="1:10" hidden="1"/>
    <row r="466" spans="1:10" ht="116.1" hidden="1">
      <c r="A466" s="617"/>
      <c r="B466" s="26">
        <v>8</v>
      </c>
      <c r="C466" s="55" t="s">
        <v>1835</v>
      </c>
      <c r="D466" s="951"/>
      <c r="E466" s="471"/>
      <c r="F466" s="462"/>
      <c r="G466" s="462"/>
      <c r="H466" s="462"/>
      <c r="I466" s="471"/>
      <c r="J466" s="471"/>
    </row>
    <row r="467" spans="1:10" hidden="1">
      <c r="A467" s="617"/>
      <c r="B467" s="34"/>
      <c r="C467" s="55" t="s">
        <v>1778</v>
      </c>
      <c r="D467" s="951"/>
      <c r="E467" s="471"/>
      <c r="F467" s="462"/>
      <c r="G467" s="462"/>
      <c r="H467" s="462"/>
      <c r="I467" s="471"/>
      <c r="J467" s="471"/>
    </row>
    <row r="468" spans="1:10" hidden="1">
      <c r="A468" s="617"/>
      <c r="B468" s="34"/>
      <c r="C468" s="54" t="s">
        <v>848</v>
      </c>
      <c r="D468" s="951"/>
      <c r="E468" s="471"/>
      <c r="F468" s="462"/>
      <c r="G468" s="462"/>
      <c r="H468" s="462"/>
      <c r="I468" s="471"/>
      <c r="J468" s="471"/>
    </row>
    <row r="469" spans="1:10" hidden="1">
      <c r="A469" s="617"/>
      <c r="B469" s="34"/>
      <c r="C469" s="54" t="s">
        <v>780</v>
      </c>
      <c r="D469" s="951">
        <v>3</v>
      </c>
      <c r="E469" s="471">
        <v>0.3</v>
      </c>
      <c r="F469" s="462">
        <v>6.5000000000000002E-2</v>
      </c>
      <c r="G469" s="462">
        <v>7.4999999999999997E-2</v>
      </c>
      <c r="H469" s="462">
        <f>ROUND(D469*E469*F469*G469,3)</f>
        <v>4.0000000000000001E-3</v>
      </c>
      <c r="I469" s="471">
        <v>44785</v>
      </c>
      <c r="J469" s="471">
        <f>ROUND(H469*I469,2)</f>
        <v>179.14</v>
      </c>
    </row>
    <row r="470" spans="1:10" hidden="1">
      <c r="A470" s="617"/>
      <c r="B470" s="34"/>
      <c r="C470" s="54" t="s">
        <v>781</v>
      </c>
      <c r="D470" s="951">
        <v>2</v>
      </c>
      <c r="E470" s="471">
        <v>0.6</v>
      </c>
      <c r="F470" s="462">
        <v>6.5000000000000002E-2</v>
      </c>
      <c r="G470" s="462">
        <v>7.4999999999999997E-2</v>
      </c>
      <c r="H470" s="462">
        <f>ROUND(D470*E470*F470*G470,3)</f>
        <v>6.0000000000000001E-3</v>
      </c>
      <c r="I470" s="471">
        <v>44785</v>
      </c>
      <c r="J470" s="471">
        <f>ROUND(H470*I470,2)</f>
        <v>268.70999999999998</v>
      </c>
    </row>
    <row r="471" spans="1:10" hidden="1">
      <c r="A471" s="617"/>
      <c r="B471" s="34"/>
      <c r="C471" s="54" t="s">
        <v>1482</v>
      </c>
      <c r="D471" s="951"/>
      <c r="E471" s="471"/>
      <c r="F471" s="462"/>
      <c r="G471" s="462"/>
      <c r="H471" s="462">
        <f>SUM(H469:H470)</f>
        <v>0.01</v>
      </c>
      <c r="I471" s="465">
        <f>I454</f>
        <v>19572.5</v>
      </c>
      <c r="J471" s="471">
        <f>ROUND(H471*I471,2)</f>
        <v>195.73</v>
      </c>
    </row>
    <row r="472" spans="1:10" hidden="1">
      <c r="A472" s="617"/>
      <c r="B472" s="34"/>
      <c r="C472" s="54" t="s">
        <v>1484</v>
      </c>
      <c r="D472" s="951">
        <v>2.25</v>
      </c>
      <c r="E472" s="471">
        <v>0.6</v>
      </c>
      <c r="F472" s="462"/>
      <c r="G472" s="471">
        <v>0.3</v>
      </c>
      <c r="H472" s="462">
        <f>ROUND(G472*E472*D472,2)</f>
        <v>0.41</v>
      </c>
      <c r="I472" s="698">
        <f>I457</f>
        <v>561.35799999999995</v>
      </c>
      <c r="J472" s="471">
        <f>ROUND(H472*I472/10,2)</f>
        <v>23.02</v>
      </c>
    </row>
    <row r="473" spans="1:10" hidden="1">
      <c r="A473" s="617"/>
      <c r="B473" s="34"/>
      <c r="C473" s="451" t="s">
        <v>1779</v>
      </c>
      <c r="D473" s="951" t="s">
        <v>1780</v>
      </c>
      <c r="E473" s="471">
        <v>0.6</v>
      </c>
      <c r="F473" s="471">
        <f>E473*2</f>
        <v>1.2</v>
      </c>
      <c r="G473" s="471">
        <v>0.62</v>
      </c>
      <c r="H473" s="462">
        <f>G473*F473</f>
        <v>0.74399999999999999</v>
      </c>
      <c r="I473" s="465">
        <f>I458</f>
        <v>69.62</v>
      </c>
      <c r="J473" s="471">
        <f>H473*I473</f>
        <v>51.797280000000001</v>
      </c>
    </row>
    <row r="474" spans="1:10" hidden="1">
      <c r="A474" s="617"/>
      <c r="B474" s="34"/>
      <c r="D474" s="951"/>
      <c r="E474" s="471"/>
      <c r="F474" s="462"/>
      <c r="G474" s="462"/>
      <c r="H474" s="462"/>
      <c r="I474" s="471"/>
      <c r="J474" s="471">
        <f>SUM(J469:J473)</f>
        <v>718.39727999999991</v>
      </c>
    </row>
    <row r="475" spans="1:10" ht="25.8" hidden="1">
      <c r="A475" s="617"/>
      <c r="B475" s="40"/>
      <c r="C475" s="54" t="s">
        <v>1600</v>
      </c>
      <c r="D475" s="954"/>
      <c r="E475" s="468"/>
      <c r="F475" s="458"/>
      <c r="G475" s="458"/>
      <c r="H475" s="458">
        <f>'Lead- Input sheet '!Q75</f>
        <v>0</v>
      </c>
      <c r="I475" s="468">
        <f>J474</f>
        <v>718.39727999999991</v>
      </c>
      <c r="J475" s="468">
        <f>ROUND(H475*I475,2)</f>
        <v>0</v>
      </c>
    </row>
    <row r="476" spans="1:10" hidden="1">
      <c r="A476" s="617"/>
      <c r="B476" s="411"/>
      <c r="C476" s="283" t="s">
        <v>256</v>
      </c>
      <c r="D476" s="955"/>
      <c r="E476" s="469"/>
      <c r="F476" s="460"/>
      <c r="G476" s="460"/>
      <c r="H476" s="460"/>
      <c r="I476" s="469" t="s">
        <v>416</v>
      </c>
      <c r="J476" s="469">
        <f>SUM(J474:J475)</f>
        <v>718.39727999999991</v>
      </c>
    </row>
    <row r="478" spans="1:10" ht="245.1">
      <c r="C478" s="54" t="s">
        <v>2264</v>
      </c>
    </row>
  </sheetData>
  <mergeCells count="2">
    <mergeCell ref="A1:J1"/>
    <mergeCell ref="A2:J2"/>
  </mergeCells>
  <printOptions horizontalCentered="1"/>
  <pageMargins left="0.24" right="0.1" top="0.5" bottom="0.4" header="0.23622047244094499" footer="0.15748031496063"/>
  <pageSetup paperSize="9" orientation="portrait" r:id="rId1"/>
  <headerFooter alignWithMargins="0">
    <oddFooter>&amp;C&amp;P&amp;R&amp;A</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rgb="FFD99694"/>
  </sheetPr>
  <dimension ref="A1:IV437"/>
  <sheetViews>
    <sheetView topLeftCell="A171" zoomScaleSheetLayoutView="100" workbookViewId="0">
      <selection activeCell="B172" sqref="B172"/>
    </sheetView>
  </sheetViews>
  <sheetFormatPr defaultColWidth="13.88671875" defaultRowHeight="12.9"/>
  <cols>
    <col min="1" max="1" width="6.44140625" style="170" customWidth="1"/>
    <col min="2" max="2" width="5.109375" style="56" customWidth="1"/>
    <col min="3" max="3" width="37.5546875" style="54" customWidth="1"/>
    <col min="4" max="4" width="4.5546875" style="20" customWidth="1"/>
    <col min="5" max="5" width="6.88671875" style="129" customWidth="1"/>
    <col min="6" max="6" width="7.109375" style="682" customWidth="1"/>
    <col min="7" max="7" width="9" style="682" customWidth="1"/>
    <col min="8" max="8" width="7.109375" style="682" customWidth="1"/>
    <col min="9" max="9" width="7.109375" style="105" customWidth="1"/>
    <col min="10" max="10" width="10.5546875" style="105" customWidth="1"/>
    <col min="11" max="11" width="20.88671875" style="25" customWidth="1"/>
    <col min="12" max="12" width="5.5546875" style="25" customWidth="1"/>
    <col min="13" max="13" width="6.5546875" style="25" customWidth="1"/>
    <col min="14" max="14" width="7.88671875" style="25" customWidth="1"/>
    <col min="15" max="15" width="10.33203125" style="25" customWidth="1"/>
    <col min="16" max="16" width="9.44140625" style="25" customWidth="1"/>
    <col min="17" max="17" width="8.109375" style="25" customWidth="1"/>
    <col min="18" max="256" width="13.88671875" style="25"/>
  </cols>
  <sheetData>
    <row r="1" spans="1:11" s="421" customFormat="1" ht="15" customHeight="1">
      <c r="A1" s="2664" t="s">
        <v>1989</v>
      </c>
      <c r="B1" s="2665"/>
      <c r="C1" s="2665"/>
      <c r="D1" s="2665"/>
      <c r="E1" s="2665"/>
      <c r="F1" s="2665"/>
      <c r="G1" s="2665"/>
      <c r="H1" s="2665"/>
      <c r="I1" s="2665"/>
      <c r="J1" s="2665"/>
    </row>
    <row r="2" spans="1:11" ht="50.2" customHeight="1">
      <c r="A2" s="2666" t="str">
        <f>'Lead- Input sheet '!A2</f>
        <v xml:space="preserve"> Construction of  Anganwadi Building at Jeedipally Thanda (V) of Kalwakurthy (M) of Nagarkurnool District </v>
      </c>
      <c r="B2" s="2667"/>
      <c r="C2" s="2667"/>
      <c r="D2" s="2667"/>
      <c r="E2" s="2667"/>
      <c r="F2" s="2667"/>
      <c r="G2" s="2667"/>
      <c r="H2" s="2667"/>
      <c r="I2" s="2667"/>
      <c r="J2" s="2667"/>
    </row>
    <row r="3" spans="1:11" s="426" customFormat="1" ht="64.5" customHeight="1">
      <c r="A3" s="704" t="s">
        <v>926</v>
      </c>
      <c r="B3" s="422" t="s">
        <v>148</v>
      </c>
      <c r="C3" s="423" t="s">
        <v>517</v>
      </c>
      <c r="D3" s="326" t="s">
        <v>1035</v>
      </c>
      <c r="E3" s="424" t="s">
        <v>1417</v>
      </c>
      <c r="F3" s="678" t="s">
        <v>784</v>
      </c>
      <c r="G3" s="679" t="s">
        <v>785</v>
      </c>
      <c r="H3" s="679" t="s">
        <v>786</v>
      </c>
      <c r="I3" s="419" t="s">
        <v>1479</v>
      </c>
      <c r="J3" s="424" t="s">
        <v>150</v>
      </c>
      <c r="K3" s="425"/>
    </row>
    <row r="4" spans="1:11" s="396" customFormat="1" ht="11.25" customHeight="1">
      <c r="A4" s="701">
        <v>1</v>
      </c>
      <c r="B4" s="702">
        <v>2</v>
      </c>
      <c r="C4" s="702">
        <f>B4+1</f>
        <v>3</v>
      </c>
      <c r="D4" s="702">
        <f t="shared" ref="D4:J4" si="0">C4+1</f>
        <v>4</v>
      </c>
      <c r="E4" s="702">
        <f t="shared" si="0"/>
        <v>5</v>
      </c>
      <c r="F4" s="702">
        <f t="shared" si="0"/>
        <v>6</v>
      </c>
      <c r="G4" s="702">
        <f t="shared" si="0"/>
        <v>7</v>
      </c>
      <c r="H4" s="702">
        <f t="shared" si="0"/>
        <v>8</v>
      </c>
      <c r="I4" s="916">
        <f t="shared" si="0"/>
        <v>9</v>
      </c>
      <c r="J4" s="702">
        <f t="shared" si="0"/>
        <v>10</v>
      </c>
      <c r="K4" s="703"/>
    </row>
    <row r="5" spans="1:11" ht="50.2" customHeight="1">
      <c r="A5" s="705" t="s">
        <v>927</v>
      </c>
      <c r="B5" s="420" t="s">
        <v>794</v>
      </c>
      <c r="C5" s="427" t="s">
        <v>795</v>
      </c>
      <c r="D5" s="428"/>
      <c r="E5" s="429"/>
      <c r="F5" s="680"/>
      <c r="G5" s="681" t="s">
        <v>1284</v>
      </c>
      <c r="H5" s="688"/>
      <c r="I5" s="430">
        <f>'Lead- Input sheet '!Q31</f>
        <v>0</v>
      </c>
      <c r="J5" s="431"/>
    </row>
    <row r="6" spans="1:11">
      <c r="A6" s="61"/>
      <c r="C6" s="54" t="s">
        <v>1394</v>
      </c>
      <c r="D6" s="191"/>
      <c r="G6" s="681" t="s">
        <v>1285</v>
      </c>
      <c r="H6" s="688"/>
      <c r="I6" s="944">
        <f>'Lead- Input sheet '!Q32</f>
        <v>0</v>
      </c>
    </row>
    <row r="7" spans="1:11">
      <c r="A7" s="61"/>
      <c r="C7" s="59" t="s">
        <v>1395</v>
      </c>
      <c r="D7" s="191"/>
      <c r="G7" s="463"/>
      <c r="H7" s="689"/>
    </row>
    <row r="8" spans="1:11">
      <c r="A8" s="61"/>
      <c r="C8" s="60" t="s">
        <v>1646</v>
      </c>
      <c r="D8" s="191" t="s">
        <v>1417</v>
      </c>
      <c r="E8" s="129">
        <v>0.7</v>
      </c>
      <c r="F8" s="712">
        <v>144</v>
      </c>
      <c r="G8" s="432">
        <f>E8*F8</f>
        <v>100.8</v>
      </c>
      <c r="H8" s="689"/>
    </row>
    <row r="9" spans="1:11">
      <c r="A9" s="61"/>
      <c r="C9" s="59" t="s">
        <v>653</v>
      </c>
      <c r="D9" s="191"/>
      <c r="F9" s="129"/>
      <c r="G9" s="432"/>
      <c r="H9" s="689"/>
    </row>
    <row r="10" spans="1:11">
      <c r="A10" s="61"/>
      <c r="C10" s="60" t="s">
        <v>989</v>
      </c>
      <c r="D10" s="189" t="s">
        <v>1047</v>
      </c>
      <c r="E10" s="433">
        <v>0.7</v>
      </c>
      <c r="F10" s="712">
        <f>'Lead- Input sheet '!R36</f>
        <v>650</v>
      </c>
      <c r="G10" s="432">
        <f>E10*F10</f>
        <v>454.99999999999994</v>
      </c>
      <c r="H10" s="689"/>
    </row>
    <row r="11" spans="1:11">
      <c r="A11" s="61"/>
      <c r="C11" s="60" t="s">
        <v>1286</v>
      </c>
      <c r="D11" s="189"/>
      <c r="E11" s="433">
        <f>G10</f>
        <v>454.99999999999994</v>
      </c>
      <c r="F11" s="712">
        <f>I5</f>
        <v>0</v>
      </c>
      <c r="G11" s="432">
        <f>E11*F11</f>
        <v>0</v>
      </c>
      <c r="H11" s="689"/>
    </row>
    <row r="12" spans="1:11">
      <c r="A12" s="61"/>
      <c r="C12" s="60" t="s">
        <v>1166</v>
      </c>
      <c r="D12" s="189"/>
      <c r="E12" s="433">
        <v>0.01</v>
      </c>
      <c r="F12" s="712">
        <f>SUM(G8:G11)</f>
        <v>555.79999999999995</v>
      </c>
      <c r="G12" s="432">
        <f>E12*F12</f>
        <v>5.5579999999999998</v>
      </c>
      <c r="H12" s="689"/>
    </row>
    <row r="13" spans="1:11">
      <c r="A13" s="61"/>
      <c r="C13" s="59" t="s">
        <v>1398</v>
      </c>
      <c r="D13" s="191"/>
      <c r="E13" s="433"/>
      <c r="F13" s="129"/>
      <c r="G13" s="434">
        <f>SUM(G8:G12)</f>
        <v>561.35799999999995</v>
      </c>
      <c r="H13" s="689"/>
    </row>
    <row r="14" spans="1:11" s="18" customFormat="1" ht="25.8">
      <c r="A14" s="45"/>
      <c r="B14" s="53"/>
      <c r="C14" s="55" t="s">
        <v>1600</v>
      </c>
      <c r="D14" s="190"/>
      <c r="E14" s="435">
        <f>G13</f>
        <v>561.35799999999995</v>
      </c>
      <c r="F14" s="713"/>
      <c r="G14" s="434">
        <f>ROUND(E14*F14,2)</f>
        <v>0</v>
      </c>
      <c r="H14" s="690"/>
      <c r="I14" s="436"/>
      <c r="J14" s="436"/>
    </row>
    <row r="15" spans="1:11" s="439" customFormat="1">
      <c r="A15" s="281"/>
      <c r="B15" s="282"/>
      <c r="C15" s="283" t="s">
        <v>1231</v>
      </c>
      <c r="D15" s="437"/>
      <c r="E15" s="438"/>
      <c r="F15" s="684" t="s">
        <v>1486</v>
      </c>
      <c r="G15" s="684">
        <f>SUM(G13:G14)</f>
        <v>561.35799999999995</v>
      </c>
      <c r="H15" s="691"/>
      <c r="I15" s="440"/>
      <c r="J15" s="440"/>
    </row>
    <row r="16" spans="1:11" ht="38.700000000000003">
      <c r="A16" s="706" t="s">
        <v>925</v>
      </c>
      <c r="B16" s="19">
        <v>1</v>
      </c>
      <c r="C16" s="54" t="s">
        <v>462</v>
      </c>
      <c r="E16" s="466"/>
      <c r="F16" s="463"/>
      <c r="G16" s="685"/>
      <c r="H16" s="685"/>
      <c r="I16" s="432"/>
      <c r="J16" s="441"/>
    </row>
    <row r="17" spans="1:16">
      <c r="B17" s="19"/>
      <c r="C17" s="54" t="s">
        <v>498</v>
      </c>
      <c r="D17" s="26"/>
      <c r="E17" s="467"/>
      <c r="F17" s="292"/>
      <c r="G17" s="459"/>
      <c r="H17" s="459"/>
      <c r="I17" s="289"/>
      <c r="J17" s="290"/>
      <c r="K17" s="31"/>
    </row>
    <row r="18" spans="1:16">
      <c r="B18" s="19"/>
      <c r="C18" s="54" t="s">
        <v>499</v>
      </c>
      <c r="D18" s="26"/>
      <c r="E18" s="467"/>
      <c r="F18" s="292"/>
      <c r="G18" s="459"/>
      <c r="H18" s="459"/>
      <c r="I18" s="289"/>
      <c r="J18" s="290"/>
      <c r="K18" s="31"/>
    </row>
    <row r="19" spans="1:16" ht="25.8">
      <c r="B19" s="19"/>
      <c r="C19" s="54" t="s">
        <v>73</v>
      </c>
      <c r="D19" s="26" t="s">
        <v>1473</v>
      </c>
      <c r="E19" s="467">
        <v>1</v>
      </c>
      <c r="F19" s="459"/>
      <c r="G19" s="683" t="s">
        <v>935</v>
      </c>
      <c r="H19" s="459"/>
      <c r="I19" s="291"/>
      <c r="J19" s="290"/>
      <c r="K19" s="31"/>
    </row>
    <row r="20" spans="1:16">
      <c r="B20" s="19"/>
      <c r="C20" s="54" t="s">
        <v>500</v>
      </c>
      <c r="D20" s="26"/>
      <c r="E20" s="467"/>
      <c r="F20" s="292"/>
      <c r="G20" s="459"/>
      <c r="H20" s="459"/>
      <c r="I20" s="289"/>
      <c r="J20" s="290"/>
      <c r="K20" s="31"/>
    </row>
    <row r="21" spans="1:16">
      <c r="B21" s="19"/>
      <c r="C21" s="54" t="s">
        <v>501</v>
      </c>
      <c r="D21" s="26" t="s">
        <v>1047</v>
      </c>
      <c r="E21" s="467">
        <v>17.7</v>
      </c>
      <c r="F21" s="714">
        <f>'Lead- Input sheet '!R34</f>
        <v>805</v>
      </c>
      <c r="G21" s="714">
        <f>E21*F21</f>
        <v>14248.5</v>
      </c>
      <c r="H21" s="292"/>
      <c r="I21" s="289"/>
      <c r="J21" s="290"/>
      <c r="K21" s="31"/>
    </row>
    <row r="22" spans="1:16">
      <c r="B22" s="19"/>
      <c r="C22" s="54" t="s">
        <v>502</v>
      </c>
      <c r="D22" s="26" t="s">
        <v>1047</v>
      </c>
      <c r="E22" s="467">
        <v>8.8000000000000007</v>
      </c>
      <c r="F22" s="714">
        <f>'Lead- Input sheet '!R28</f>
        <v>605</v>
      </c>
      <c r="G22" s="714">
        <f>E22*F22</f>
        <v>5324</v>
      </c>
      <c r="H22" s="292"/>
      <c r="I22" s="289"/>
      <c r="J22" s="290"/>
      <c r="K22" s="31"/>
    </row>
    <row r="23" spans="1:16">
      <c r="A23" s="61"/>
      <c r="C23" s="60" t="s">
        <v>1286</v>
      </c>
      <c r="D23" s="189"/>
      <c r="E23" s="945">
        <f>SUM(G21:G22)</f>
        <v>19572.5</v>
      </c>
      <c r="F23" s="712">
        <f>I5</f>
        <v>0</v>
      </c>
      <c r="G23" s="714">
        <f>E23*F23</f>
        <v>0</v>
      </c>
      <c r="H23" s="689"/>
    </row>
    <row r="24" spans="1:16">
      <c r="B24" s="19"/>
      <c r="C24" s="54" t="s">
        <v>503</v>
      </c>
      <c r="D24" s="26"/>
      <c r="E24" s="467" t="s">
        <v>975</v>
      </c>
      <c r="F24" s="686"/>
      <c r="G24" s="461"/>
      <c r="H24" s="459"/>
      <c r="I24" s="289"/>
      <c r="J24" s="290"/>
      <c r="K24" s="31"/>
    </row>
    <row r="25" spans="1:16">
      <c r="B25" s="19"/>
      <c r="C25" s="54" t="s">
        <v>74</v>
      </c>
      <c r="D25" s="26"/>
      <c r="E25" s="467"/>
      <c r="F25" s="686" t="s">
        <v>1486</v>
      </c>
      <c r="G25" s="446">
        <f>SUM(G21:G24)</f>
        <v>19572.5</v>
      </c>
      <c r="H25" s="459"/>
      <c r="I25" s="289"/>
      <c r="J25" s="290"/>
      <c r="K25" s="31"/>
    </row>
    <row r="26" spans="1:16" ht="245.1">
      <c r="A26" s="617" t="s">
        <v>925</v>
      </c>
      <c r="B26" s="966">
        <v>2</v>
      </c>
      <c r="C26" s="54" t="s">
        <v>1836</v>
      </c>
      <c r="D26" s="26"/>
      <c r="E26" s="289"/>
      <c r="F26" s="292"/>
      <c r="G26" s="292"/>
      <c r="H26" s="292"/>
      <c r="I26" s="289"/>
      <c r="J26" s="289"/>
      <c r="K26" s="31"/>
    </row>
    <row r="27" spans="1:16" s="444" customFormat="1">
      <c r="A27" s="172"/>
      <c r="B27" s="158"/>
      <c r="C27" s="55" t="s">
        <v>442</v>
      </c>
      <c r="D27" s="19"/>
      <c r="E27" s="291"/>
      <c r="F27" s="459"/>
      <c r="G27" s="459"/>
      <c r="H27" s="459"/>
      <c r="I27" s="291"/>
      <c r="J27" s="291"/>
      <c r="K27" s="443"/>
    </row>
    <row r="28" spans="1:16">
      <c r="A28" s="617"/>
      <c r="B28" s="34"/>
      <c r="C28" s="54" t="s">
        <v>779</v>
      </c>
      <c r="D28" s="26"/>
      <c r="E28" s="289"/>
      <c r="F28" s="292"/>
      <c r="G28" s="292"/>
      <c r="H28" s="292"/>
      <c r="I28" s="289"/>
      <c r="J28" s="289"/>
      <c r="K28" s="31"/>
    </row>
    <row r="29" spans="1:16" ht="20.2" customHeight="1">
      <c r="A29" s="617"/>
      <c r="B29" s="34"/>
      <c r="C29" s="54" t="s">
        <v>1647</v>
      </c>
      <c r="D29" s="951">
        <v>2</v>
      </c>
      <c r="E29" s="471">
        <v>2.1</v>
      </c>
      <c r="F29" s="462">
        <v>0.1</v>
      </c>
      <c r="G29" s="462">
        <v>7.4999999999999997E-2</v>
      </c>
      <c r="H29" s="462">
        <f>ROUND(D29*E29*F29*G29,3)</f>
        <v>3.2000000000000001E-2</v>
      </c>
      <c r="I29" s="471">
        <v>44785</v>
      </c>
      <c r="J29" s="471">
        <f t="shared" ref="J29:J34" si="1">ROUND(H29*I29,2)</f>
        <v>1433.12</v>
      </c>
      <c r="K29" s="31"/>
      <c r="L29" s="205"/>
      <c r="P29" s="471">
        <v>44785</v>
      </c>
    </row>
    <row r="30" spans="1:16" ht="20.2" customHeight="1">
      <c r="A30" s="617"/>
      <c r="B30" s="34"/>
      <c r="C30" s="54" t="s">
        <v>781</v>
      </c>
      <c r="D30" s="951">
        <v>1</v>
      </c>
      <c r="E30" s="471">
        <v>0.9</v>
      </c>
      <c r="F30" s="462">
        <v>0.1</v>
      </c>
      <c r="G30" s="462">
        <v>7.4999999999999997E-2</v>
      </c>
      <c r="H30" s="462">
        <f>ROUND(D30*E30*F30*G30,3)</f>
        <v>7.0000000000000001E-3</v>
      </c>
      <c r="I30" s="471">
        <v>44785</v>
      </c>
      <c r="J30" s="471">
        <f t="shared" si="1"/>
        <v>313.5</v>
      </c>
      <c r="K30" s="31"/>
      <c r="L30" s="205"/>
      <c r="P30" s="471">
        <v>44785</v>
      </c>
    </row>
    <row r="31" spans="1:16" ht="20.2" customHeight="1">
      <c r="A31" s="617"/>
      <c r="B31" s="34"/>
      <c r="C31" s="54" t="s">
        <v>1482</v>
      </c>
      <c r="D31" s="951"/>
      <c r="E31" s="471"/>
      <c r="F31" s="462"/>
      <c r="G31" s="462"/>
      <c r="H31" s="462">
        <f>SUM(H29:H30)</f>
        <v>3.9E-2</v>
      </c>
      <c r="I31" s="465">
        <f>G25</f>
        <v>19572.5</v>
      </c>
      <c r="J31" s="471">
        <f t="shared" si="1"/>
        <v>763.33</v>
      </c>
      <c r="K31" s="292"/>
      <c r="L31" s="292"/>
      <c r="P31" s="471">
        <v>59715</v>
      </c>
    </row>
    <row r="32" spans="1:16" ht="72" customHeight="1">
      <c r="A32" s="617" t="s">
        <v>2237</v>
      </c>
      <c r="B32" s="34"/>
      <c r="C32" s="54" t="s">
        <v>2236</v>
      </c>
      <c r="D32" s="951">
        <v>1</v>
      </c>
      <c r="E32" s="471">
        <f>(0.75-2*0.075+2*0.015)</f>
        <v>0.63</v>
      </c>
      <c r="F32" s="462"/>
      <c r="G32" s="471">
        <f>(2.1-1*0.075-0.075)+1*0.015</f>
        <v>1.9649999999999999</v>
      </c>
      <c r="H32" s="462">
        <f>G32*E32*D32</f>
        <v>1.2379499999999999</v>
      </c>
      <c r="I32" s="465">
        <v>1731</v>
      </c>
      <c r="J32" s="471">
        <f t="shared" si="1"/>
        <v>2142.89</v>
      </c>
      <c r="K32" s="31"/>
      <c r="P32" s="471">
        <v>59715</v>
      </c>
    </row>
    <row r="33" spans="1:16" ht="72" customHeight="1">
      <c r="A33" s="617" t="s">
        <v>2239</v>
      </c>
      <c r="B33" s="34"/>
      <c r="C33" s="54" t="s">
        <v>2238</v>
      </c>
      <c r="D33" s="951">
        <v>1</v>
      </c>
      <c r="E33" s="471">
        <f>(0.75-2*0.075+2*0.015)</f>
        <v>0.63</v>
      </c>
      <c r="F33" s="462"/>
      <c r="G33" s="471">
        <f>(2.1-1*0.075-0.075)+1*0.015</f>
        <v>1.9649999999999999</v>
      </c>
      <c r="H33" s="462">
        <f>G33*E33*D33</f>
        <v>1.2379499999999999</v>
      </c>
      <c r="I33" s="465">
        <v>354</v>
      </c>
      <c r="J33" s="471">
        <f>ROUND(H33*I33,2)</f>
        <v>438.23</v>
      </c>
      <c r="K33" s="31"/>
      <c r="P33" s="471">
        <v>59715</v>
      </c>
    </row>
    <row r="34" spans="1:16" ht="40.5" customHeight="1">
      <c r="A34" s="617" t="s">
        <v>2226</v>
      </c>
      <c r="B34" s="34"/>
      <c r="C34" s="54" t="s">
        <v>1482</v>
      </c>
      <c r="D34" s="951">
        <v>2</v>
      </c>
      <c r="E34" s="471">
        <f>(1.5-2*0.1+2*0.015)/2</f>
        <v>0.66500000000000004</v>
      </c>
      <c r="F34" s="462"/>
      <c r="G34" s="471">
        <f>(2.1-1*0.075-0.075)+1*0.015</f>
        <v>1.9649999999999999</v>
      </c>
      <c r="H34" s="462">
        <f>G34*E34*D34</f>
        <v>2.6134499999999998</v>
      </c>
      <c r="I34" s="465">
        <v>445</v>
      </c>
      <c r="J34" s="471">
        <f t="shared" si="1"/>
        <v>1162.99</v>
      </c>
      <c r="K34" s="31"/>
    </row>
    <row r="35" spans="1:16" ht="33.299999999999997">
      <c r="A35" s="617" t="s">
        <v>787</v>
      </c>
      <c r="B35" s="19"/>
      <c r="C35" s="54" t="s">
        <v>788</v>
      </c>
      <c r="D35" s="951"/>
      <c r="E35" s="471"/>
      <c r="F35" s="462"/>
      <c r="G35" s="952"/>
      <c r="H35" s="952"/>
      <c r="I35" s="471"/>
      <c r="J35" s="471"/>
      <c r="K35" s="31"/>
    </row>
    <row r="36" spans="1:16" ht="20.2" customHeight="1">
      <c r="A36" s="617"/>
      <c r="B36" s="19"/>
      <c r="C36" s="24" t="s">
        <v>911</v>
      </c>
      <c r="D36" s="951" t="s">
        <v>1035</v>
      </c>
      <c r="E36" s="471" t="s">
        <v>1617</v>
      </c>
      <c r="F36" s="462"/>
      <c r="G36" s="462"/>
      <c r="H36" s="948">
        <v>1</v>
      </c>
      <c r="I36" s="471">
        <v>68</v>
      </c>
      <c r="J36" s="471">
        <f t="shared" ref="J36:J42" si="2">ROUND(H36*I36,2)</f>
        <v>68</v>
      </c>
      <c r="K36" s="31"/>
      <c r="L36" s="471">
        <v>68</v>
      </c>
    </row>
    <row r="37" spans="1:16" ht="20.2" customHeight="1">
      <c r="A37" s="617"/>
      <c r="B37" s="19"/>
      <c r="C37" s="949" t="s">
        <v>913</v>
      </c>
      <c r="D37" s="951" t="s">
        <v>1035</v>
      </c>
      <c r="E37" s="471" t="s">
        <v>1619</v>
      </c>
      <c r="F37" s="462"/>
      <c r="G37" s="462"/>
      <c r="H37" s="948">
        <v>6</v>
      </c>
      <c r="I37" s="471">
        <v>31</v>
      </c>
      <c r="J37" s="471">
        <f t="shared" si="2"/>
        <v>186</v>
      </c>
      <c r="K37" s="31"/>
      <c r="L37" s="471">
        <v>31</v>
      </c>
    </row>
    <row r="38" spans="1:16" ht="20.2" customHeight="1">
      <c r="A38" s="617"/>
      <c r="B38" s="19"/>
      <c r="C38" s="24" t="s">
        <v>914</v>
      </c>
      <c r="D38" s="951" t="s">
        <v>1035</v>
      </c>
      <c r="E38" s="471" t="s">
        <v>1620</v>
      </c>
      <c r="F38" s="462"/>
      <c r="G38" s="462"/>
      <c r="H38" s="948">
        <v>1</v>
      </c>
      <c r="I38" s="471">
        <v>164</v>
      </c>
      <c r="J38" s="471">
        <f t="shared" si="2"/>
        <v>164</v>
      </c>
      <c r="K38" s="31"/>
      <c r="L38" s="471">
        <v>164</v>
      </c>
    </row>
    <row r="39" spans="1:16" ht="20.2" customHeight="1">
      <c r="A39" s="617"/>
      <c r="B39" s="19"/>
      <c r="C39" s="24" t="s">
        <v>296</v>
      </c>
      <c r="D39" s="951" t="s">
        <v>1035</v>
      </c>
      <c r="E39" s="471" t="s">
        <v>1621</v>
      </c>
      <c r="F39" s="462"/>
      <c r="G39" s="462"/>
      <c r="H39" s="948">
        <v>1</v>
      </c>
      <c r="I39" s="471">
        <v>45</v>
      </c>
      <c r="J39" s="471">
        <f t="shared" si="2"/>
        <v>45</v>
      </c>
      <c r="K39" s="31"/>
      <c r="L39" s="471">
        <v>45</v>
      </c>
    </row>
    <row r="40" spans="1:16" ht="20.2" customHeight="1">
      <c r="A40" s="617"/>
      <c r="B40" s="19"/>
      <c r="C40" s="24" t="s">
        <v>420</v>
      </c>
      <c r="D40" s="951"/>
      <c r="E40" s="471" t="s">
        <v>1649</v>
      </c>
      <c r="F40" s="462"/>
      <c r="G40" s="462"/>
      <c r="H40" s="948">
        <v>3</v>
      </c>
      <c r="I40" s="471">
        <v>31</v>
      </c>
      <c r="J40" s="471">
        <f t="shared" si="2"/>
        <v>93</v>
      </c>
      <c r="K40" s="31"/>
      <c r="L40" s="471">
        <v>31</v>
      </c>
    </row>
    <row r="41" spans="1:16" ht="20.2" customHeight="1">
      <c r="A41" s="617"/>
      <c r="B41" s="19"/>
      <c r="C41" s="24" t="s">
        <v>799</v>
      </c>
      <c r="D41" s="951" t="s">
        <v>882</v>
      </c>
      <c r="E41" s="471" t="s">
        <v>1826</v>
      </c>
      <c r="F41" s="462"/>
      <c r="G41" s="462"/>
      <c r="H41" s="948">
        <v>80</v>
      </c>
      <c r="I41" s="471">
        <v>3</v>
      </c>
      <c r="J41" s="471">
        <f t="shared" si="2"/>
        <v>240</v>
      </c>
      <c r="K41" s="31"/>
      <c r="L41" s="471">
        <v>3</v>
      </c>
    </row>
    <row r="42" spans="1:16" ht="20.2" customHeight="1">
      <c r="A42" s="617"/>
      <c r="B42" s="19"/>
      <c r="C42" s="24" t="s">
        <v>1623</v>
      </c>
      <c r="D42" s="951" t="s">
        <v>882</v>
      </c>
      <c r="E42" s="471" t="s">
        <v>1650</v>
      </c>
      <c r="F42" s="462"/>
      <c r="G42" s="462"/>
      <c r="H42" s="948">
        <v>10</v>
      </c>
      <c r="I42" s="471">
        <v>16</v>
      </c>
      <c r="J42" s="471">
        <f t="shared" si="2"/>
        <v>160</v>
      </c>
      <c r="K42" s="31"/>
      <c r="L42" s="471">
        <v>16</v>
      </c>
    </row>
    <row r="43" spans="1:16" ht="20.2" customHeight="1">
      <c r="A43" s="617"/>
      <c r="B43" s="34"/>
      <c r="C43" s="24" t="s">
        <v>1484</v>
      </c>
      <c r="D43" s="951">
        <v>2.25</v>
      </c>
      <c r="E43" s="471">
        <v>0.75</v>
      </c>
      <c r="F43" s="462"/>
      <c r="G43" s="462">
        <v>2.1</v>
      </c>
      <c r="H43" s="462">
        <f>ROUND(G43*E43*D43,2)</f>
        <v>3.54</v>
      </c>
      <c r="I43" s="698">
        <f>G15</f>
        <v>561.35799999999995</v>
      </c>
      <c r="J43" s="471">
        <f>H43*I43/10</f>
        <v>198.72073199999997</v>
      </c>
      <c r="K43" s="31"/>
    </row>
    <row r="44" spans="1:16" ht="20.2" customHeight="1">
      <c r="A44" s="617"/>
      <c r="B44" s="32"/>
      <c r="C44" s="24" t="s">
        <v>1598</v>
      </c>
      <c r="D44" s="951"/>
      <c r="E44" s="953" t="s">
        <v>1651</v>
      </c>
      <c r="F44" s="462"/>
      <c r="G44" s="462"/>
      <c r="H44" s="948">
        <v>6</v>
      </c>
      <c r="I44" s="471">
        <v>32</v>
      </c>
      <c r="J44" s="471">
        <f>ROUND(H44*I44,2)</f>
        <v>192</v>
      </c>
      <c r="K44" s="31"/>
    </row>
    <row r="45" spans="1:16" ht="20.2" customHeight="1">
      <c r="A45" s="617"/>
      <c r="B45" s="34"/>
      <c r="C45" s="24" t="s">
        <v>230</v>
      </c>
      <c r="D45" s="951"/>
      <c r="E45" s="471"/>
      <c r="F45" s="462"/>
      <c r="G45" s="462"/>
      <c r="H45" s="948">
        <v>1</v>
      </c>
      <c r="I45" s="471">
        <v>75</v>
      </c>
      <c r="J45" s="471">
        <f>H45*I45</f>
        <v>75</v>
      </c>
      <c r="K45" s="31"/>
    </row>
    <row r="46" spans="1:16" ht="20.2" customHeight="1">
      <c r="A46" s="617"/>
      <c r="B46" s="34"/>
      <c r="C46" s="24"/>
      <c r="D46" s="951"/>
      <c r="E46" s="471"/>
      <c r="F46" s="462"/>
      <c r="G46" s="462"/>
      <c r="H46" s="462"/>
      <c r="I46" s="471"/>
      <c r="J46" s="468">
        <f>ROUND(SUM(J29:J45),1)</f>
        <v>7675.8</v>
      </c>
      <c r="K46" s="31"/>
    </row>
    <row r="47" spans="1:16" s="18" customFormat="1" ht="20.2" customHeight="1">
      <c r="A47" s="617"/>
      <c r="B47" s="40"/>
      <c r="C47" s="54" t="s">
        <v>1600</v>
      </c>
      <c r="D47" s="954"/>
      <c r="E47" s="468"/>
      <c r="F47" s="458"/>
      <c r="G47" s="458"/>
      <c r="H47" s="458">
        <f>J46</f>
        <v>7675.8</v>
      </c>
      <c r="I47" s="468">
        <f>I6</f>
        <v>0</v>
      </c>
      <c r="J47" s="471">
        <f>ROUND(H47*I47,2)</f>
        <v>0</v>
      </c>
      <c r="K47" s="17"/>
    </row>
    <row r="48" spans="1:16" s="439" customFormat="1" ht="20.2" customHeight="1">
      <c r="A48" s="617" t="s">
        <v>1288</v>
      </c>
      <c r="B48" s="411"/>
      <c r="C48" s="283" t="s">
        <v>256</v>
      </c>
      <c r="D48" s="955"/>
      <c r="E48" s="469"/>
      <c r="F48" s="460"/>
      <c r="G48" s="460"/>
      <c r="H48" s="460"/>
      <c r="I48" s="469" t="s">
        <v>416</v>
      </c>
      <c r="J48" s="469">
        <f>SUM(J46:J47)</f>
        <v>7675.8</v>
      </c>
      <c r="K48" s="447"/>
    </row>
    <row r="49" spans="1:11" s="444" customFormat="1">
      <c r="A49" s="617"/>
      <c r="B49" s="158"/>
      <c r="C49" s="55" t="s">
        <v>538</v>
      </c>
      <c r="D49" s="954"/>
      <c r="E49" s="468"/>
      <c r="F49" s="458"/>
      <c r="G49" s="458"/>
      <c r="H49" s="458"/>
      <c r="I49" s="468"/>
      <c r="J49" s="468"/>
      <c r="K49" s="443"/>
    </row>
    <row r="50" spans="1:11">
      <c r="A50" s="617"/>
      <c r="B50" s="34"/>
      <c r="C50" s="54" t="s">
        <v>779</v>
      </c>
      <c r="D50" s="951"/>
      <c r="E50" s="471"/>
      <c r="F50" s="462"/>
      <c r="G50" s="462"/>
      <c r="H50" s="462"/>
      <c r="I50" s="471"/>
      <c r="J50" s="471"/>
      <c r="K50" s="31"/>
    </row>
    <row r="51" spans="1:11" ht="20.2" customHeight="1">
      <c r="A51" s="617"/>
      <c r="B51" s="34"/>
      <c r="C51" s="54" t="s">
        <v>780</v>
      </c>
      <c r="D51" s="951">
        <v>2</v>
      </c>
      <c r="E51" s="471">
        <v>2.1</v>
      </c>
      <c r="F51" s="462">
        <v>0.1</v>
      </c>
      <c r="G51" s="462">
        <v>7.4999999999999997E-2</v>
      </c>
      <c r="H51" s="462">
        <f>ROUND(D51*E51*F51*G51,3)</f>
        <v>3.2000000000000001E-2</v>
      </c>
      <c r="I51" s="471">
        <v>44785</v>
      </c>
      <c r="J51" s="471">
        <f>ROUND(H51*I51,2)</f>
        <v>1433.12</v>
      </c>
      <c r="K51" s="31"/>
    </row>
    <row r="52" spans="1:11" ht="20.2" customHeight="1">
      <c r="A52" s="617"/>
      <c r="B52" s="34"/>
      <c r="C52" s="54" t="s">
        <v>781</v>
      </c>
      <c r="D52" s="951">
        <v>1</v>
      </c>
      <c r="E52" s="471">
        <v>0.9</v>
      </c>
      <c r="F52" s="462">
        <v>0.1</v>
      </c>
      <c r="G52" s="462">
        <v>7.4999999999999997E-2</v>
      </c>
      <c r="H52" s="462">
        <f>ROUND(D52*E52*F52*G52,3)</f>
        <v>7.0000000000000001E-3</v>
      </c>
      <c r="I52" s="471">
        <v>44785</v>
      </c>
      <c r="J52" s="471">
        <f>ROUND(H52*I52,2)</f>
        <v>313.5</v>
      </c>
      <c r="K52" s="31"/>
    </row>
    <row r="53" spans="1:11" ht="20.2" customHeight="1">
      <c r="A53" s="617"/>
      <c r="B53" s="34"/>
      <c r="C53" s="54" t="s">
        <v>1482</v>
      </c>
      <c r="D53" s="951"/>
      <c r="E53" s="471"/>
      <c r="F53" s="462"/>
      <c r="G53" s="462"/>
      <c r="H53" s="462">
        <f>SUM(H51:H52)</f>
        <v>3.9E-2</v>
      </c>
      <c r="I53" s="465">
        <f>G25</f>
        <v>19572.5</v>
      </c>
      <c r="J53" s="471">
        <f>ROUND(H53*I53,2)</f>
        <v>763.33</v>
      </c>
      <c r="K53" s="31"/>
    </row>
    <row r="54" spans="1:11" ht="20.2" customHeight="1">
      <c r="A54" s="617"/>
      <c r="B54" s="34"/>
      <c r="C54" s="54" t="s">
        <v>1484</v>
      </c>
      <c r="D54" s="951" t="s">
        <v>1289</v>
      </c>
      <c r="E54" s="471">
        <v>0.75</v>
      </c>
      <c r="F54" s="462"/>
      <c r="G54" s="462">
        <v>2.1</v>
      </c>
      <c r="H54" s="462">
        <f>ROUND(G54*E54*2.25/3,2)</f>
        <v>1.18</v>
      </c>
      <c r="I54" s="698">
        <f>G15</f>
        <v>561.35799999999995</v>
      </c>
      <c r="J54" s="471">
        <f>H54*I54/10</f>
        <v>66.24024399999999</v>
      </c>
      <c r="K54" s="31"/>
    </row>
    <row r="55" spans="1:11" ht="20.2" customHeight="1">
      <c r="A55" s="617"/>
      <c r="B55" s="32"/>
      <c r="C55" s="54" t="s">
        <v>1598</v>
      </c>
      <c r="D55" s="951"/>
      <c r="E55" s="953" t="s">
        <v>1651</v>
      </c>
      <c r="F55" s="462"/>
      <c r="G55" s="462"/>
      <c r="H55" s="948">
        <v>6</v>
      </c>
      <c r="I55" s="471">
        <v>32</v>
      </c>
      <c r="J55" s="471">
        <f>ROUND(H55*I55,2)</f>
        <v>192</v>
      </c>
      <c r="K55" s="31"/>
    </row>
    <row r="56" spans="1:11" ht="20.2" customHeight="1">
      <c r="A56" s="617"/>
      <c r="B56" s="34"/>
      <c r="C56" s="54" t="s">
        <v>230</v>
      </c>
      <c r="D56" s="951"/>
      <c r="E56" s="471"/>
      <c r="F56" s="462"/>
      <c r="G56" s="462"/>
      <c r="H56" s="948">
        <v>1</v>
      </c>
      <c r="I56" s="471">
        <v>50</v>
      </c>
      <c r="J56" s="471">
        <f>H56*I56</f>
        <v>50</v>
      </c>
      <c r="K56" s="31"/>
    </row>
    <row r="57" spans="1:11" ht="20.2" customHeight="1">
      <c r="A57" s="617"/>
      <c r="B57" s="34"/>
      <c r="D57" s="951"/>
      <c r="E57" s="471"/>
      <c r="F57" s="462"/>
      <c r="G57" s="462"/>
      <c r="H57" s="462"/>
      <c r="I57" s="471"/>
      <c r="J57" s="468">
        <f>SUM(J51:J56)</f>
        <v>2818.1902439999999</v>
      </c>
      <c r="K57" s="31"/>
    </row>
    <row r="58" spans="1:11" s="18" customFormat="1" ht="20.2" customHeight="1">
      <c r="A58" s="617"/>
      <c r="B58" s="40"/>
      <c r="C58" s="54" t="s">
        <v>1600</v>
      </c>
      <c r="D58" s="954"/>
      <c r="E58" s="468"/>
      <c r="F58" s="458"/>
      <c r="G58" s="458"/>
      <c r="H58" s="458">
        <f>J57</f>
        <v>2818.1902439999999</v>
      </c>
      <c r="I58" s="468">
        <f>I6</f>
        <v>0</v>
      </c>
      <c r="J58" s="471">
        <f>ROUND(H58*I58,2)</f>
        <v>0</v>
      </c>
      <c r="K58" s="17"/>
    </row>
    <row r="59" spans="1:11" s="439" customFormat="1" ht="20.2" customHeight="1">
      <c r="A59" s="617" t="s">
        <v>1288</v>
      </c>
      <c r="B59" s="411"/>
      <c r="C59" s="283" t="s">
        <v>540</v>
      </c>
      <c r="D59" s="955"/>
      <c r="E59" s="469"/>
      <c r="F59" s="460"/>
      <c r="G59" s="460"/>
      <c r="H59" s="460"/>
      <c r="I59" s="469" t="s">
        <v>1486</v>
      </c>
      <c r="J59" s="469">
        <f>SUM(J57:J58)</f>
        <v>2818.1902439999999</v>
      </c>
      <c r="K59" s="447"/>
    </row>
    <row r="60" spans="1:11" s="439" customFormat="1" ht="20.2" customHeight="1">
      <c r="A60" s="617"/>
      <c r="B60" s="411"/>
      <c r="C60" s="283" t="s">
        <v>541</v>
      </c>
      <c r="D60" s="955"/>
      <c r="E60" s="469"/>
      <c r="F60" s="460"/>
      <c r="G60" s="460"/>
      <c r="H60" s="460"/>
      <c r="I60" s="469" t="s">
        <v>1486</v>
      </c>
      <c r="J60" s="469">
        <f>J48-J59</f>
        <v>4857.6097559999998</v>
      </c>
      <c r="K60" s="447"/>
    </row>
    <row r="61" spans="1:11" ht="245.1">
      <c r="A61" s="617"/>
      <c r="B61" s="26">
        <v>3</v>
      </c>
      <c r="C61" s="54" t="s">
        <v>2232</v>
      </c>
      <c r="D61" s="951"/>
      <c r="E61" s="471"/>
      <c r="F61" s="462"/>
      <c r="G61" s="462"/>
      <c r="H61" s="462"/>
      <c r="I61" s="471"/>
      <c r="J61" s="471"/>
      <c r="K61" s="31"/>
    </row>
    <row r="62" spans="1:11" ht="25.8">
      <c r="A62" s="617"/>
      <c r="B62" s="34"/>
      <c r="C62" s="55" t="s">
        <v>2231</v>
      </c>
      <c r="D62" s="954"/>
      <c r="E62" s="468"/>
      <c r="F62" s="462"/>
      <c r="G62" s="462"/>
      <c r="H62" s="462"/>
      <c r="I62" s="471"/>
      <c r="J62" s="471"/>
      <c r="K62" s="31"/>
    </row>
    <row r="63" spans="1:11">
      <c r="A63" s="617"/>
      <c r="B63" s="34"/>
      <c r="C63" s="54" t="s">
        <v>779</v>
      </c>
      <c r="D63" s="951"/>
      <c r="E63" s="471"/>
      <c r="F63" s="462"/>
      <c r="G63" s="462"/>
      <c r="H63" s="462"/>
      <c r="I63" s="471"/>
      <c r="J63" s="471"/>
      <c r="K63" s="31"/>
    </row>
    <row r="64" spans="1:11" ht="20.2" customHeight="1">
      <c r="A64" s="617"/>
      <c r="B64" s="34"/>
      <c r="C64" s="54" t="s">
        <v>780</v>
      </c>
      <c r="D64" s="951">
        <v>2</v>
      </c>
      <c r="E64" s="471">
        <v>2.1</v>
      </c>
      <c r="F64" s="462">
        <v>0.1</v>
      </c>
      <c r="G64" s="462">
        <v>7.4999999999999997E-2</v>
      </c>
      <c r="H64" s="462">
        <f>ROUND(D64*E64*F64*G64,3)</f>
        <v>3.2000000000000001E-2</v>
      </c>
      <c r="I64" s="471">
        <v>44785</v>
      </c>
      <c r="J64" s="471">
        <f>ROUND(H64*I64,2)</f>
        <v>1433.12</v>
      </c>
      <c r="K64" s="31"/>
    </row>
    <row r="65" spans="1:12" ht="20.2" customHeight="1">
      <c r="A65" s="617"/>
      <c r="B65" s="34"/>
      <c r="C65" s="54" t="s">
        <v>781</v>
      </c>
      <c r="D65" s="951">
        <v>1</v>
      </c>
      <c r="E65" s="471">
        <v>1.05</v>
      </c>
      <c r="F65" s="462">
        <v>0.1</v>
      </c>
      <c r="G65" s="462">
        <v>7.4999999999999997E-2</v>
      </c>
      <c r="H65" s="462">
        <f>ROUND(D65*E65*F65*G65,3)</f>
        <v>8.0000000000000002E-3</v>
      </c>
      <c r="I65" s="471">
        <v>44785</v>
      </c>
      <c r="J65" s="471">
        <f>ROUND(H65*I65,2)</f>
        <v>358.28</v>
      </c>
      <c r="K65" s="31"/>
    </row>
    <row r="66" spans="1:12" ht="20.2" customHeight="1">
      <c r="A66" s="617"/>
      <c r="B66" s="34"/>
      <c r="C66" s="54" t="s">
        <v>1482</v>
      </c>
      <c r="D66" s="951"/>
      <c r="E66" s="471"/>
      <c r="F66" s="462"/>
      <c r="G66" s="462"/>
      <c r="H66" s="462">
        <f>SUM(H60:H65)</f>
        <v>0.04</v>
      </c>
      <c r="I66" s="465">
        <f>G25</f>
        <v>19572.5</v>
      </c>
      <c r="J66" s="471">
        <f>ROUND(H66*I66,2)</f>
        <v>782.9</v>
      </c>
      <c r="K66" s="31"/>
    </row>
    <row r="67" spans="1:12" ht="72" customHeight="1">
      <c r="A67" s="617"/>
      <c r="B67" s="34"/>
      <c r="C67" s="54" t="s">
        <v>2225</v>
      </c>
      <c r="D67" s="951">
        <v>2</v>
      </c>
      <c r="E67" s="471">
        <f>(0.9-2*0.1+2*0.015)/2</f>
        <v>0.36499999999999999</v>
      </c>
      <c r="F67" s="462"/>
      <c r="G67" s="471">
        <f>(2.1-1*0.075-0.075)+1*0.015</f>
        <v>1.9649999999999999</v>
      </c>
      <c r="H67" s="462">
        <f>G67*E67*D67</f>
        <v>1.4344499999999998</v>
      </c>
      <c r="I67" s="465">
        <v>1848</v>
      </c>
      <c r="J67" s="471">
        <f>ROUND(H67*I67,2)</f>
        <v>2650.86</v>
      </c>
      <c r="K67" s="31"/>
    </row>
    <row r="68" spans="1:12" ht="40.5" customHeight="1">
      <c r="A68" s="617" t="s">
        <v>2226</v>
      </c>
      <c r="B68" s="34"/>
      <c r="C68" s="54" t="s">
        <v>1482</v>
      </c>
      <c r="D68" s="951">
        <v>2</v>
      </c>
      <c r="E68" s="471">
        <f>(1.5-2*0.1+2*0.015)/2</f>
        <v>0.66500000000000004</v>
      </c>
      <c r="F68" s="462"/>
      <c r="G68" s="471">
        <f>(2.1-1*0.075-0.075)+1*0.015</f>
        <v>1.9649999999999999</v>
      </c>
      <c r="H68" s="462">
        <f>G68*E68*D68</f>
        <v>2.6134499999999998</v>
      </c>
      <c r="I68" s="465">
        <v>445</v>
      </c>
      <c r="J68" s="471">
        <f>ROUND(H68*I68,2)</f>
        <v>1162.99</v>
      </c>
      <c r="K68" s="31"/>
    </row>
    <row r="69" spans="1:12" ht="33.299999999999997">
      <c r="A69" s="617" t="s">
        <v>787</v>
      </c>
      <c r="B69" s="19"/>
      <c r="C69" s="54" t="s">
        <v>788</v>
      </c>
      <c r="D69" s="951"/>
      <c r="E69" s="471"/>
      <c r="F69" s="462"/>
      <c r="G69" s="952"/>
      <c r="H69" s="952"/>
      <c r="I69" s="471"/>
      <c r="J69" s="471"/>
      <c r="K69" s="31"/>
    </row>
    <row r="70" spans="1:12" s="697" customFormat="1" ht="20.2" customHeight="1">
      <c r="A70" s="617"/>
      <c r="B70" s="692"/>
      <c r="C70" s="693" t="s">
        <v>911</v>
      </c>
      <c r="D70" s="951" t="s">
        <v>1035</v>
      </c>
      <c r="E70" s="471" t="s">
        <v>1617</v>
      </c>
      <c r="F70" s="462"/>
      <c r="G70" s="462"/>
      <c r="H70" s="948">
        <v>2</v>
      </c>
      <c r="I70" s="471">
        <v>68</v>
      </c>
      <c r="J70" s="471">
        <f t="shared" ref="J70:J78" si="3">ROUND(H70*I70,2)</f>
        <v>136</v>
      </c>
      <c r="K70" s="694"/>
      <c r="L70" s="471">
        <v>68</v>
      </c>
    </row>
    <row r="71" spans="1:12" s="697" customFormat="1" ht="20.2" customHeight="1">
      <c r="A71" s="617"/>
      <c r="B71" s="692"/>
      <c r="C71" s="693" t="s">
        <v>912</v>
      </c>
      <c r="D71" s="951" t="s">
        <v>1035</v>
      </c>
      <c r="E71" s="471" t="s">
        <v>1618</v>
      </c>
      <c r="F71" s="462"/>
      <c r="G71" s="462"/>
      <c r="H71" s="948">
        <v>1</v>
      </c>
      <c r="I71" s="471">
        <v>35</v>
      </c>
      <c r="J71" s="471">
        <f t="shared" si="3"/>
        <v>35</v>
      </c>
      <c r="K71" s="694"/>
      <c r="L71" s="471">
        <v>35</v>
      </c>
    </row>
    <row r="72" spans="1:12" s="697" customFormat="1" ht="20.2" customHeight="1">
      <c r="A72" s="617"/>
      <c r="B72" s="692"/>
      <c r="C72" s="196" t="s">
        <v>913</v>
      </c>
      <c r="D72" s="951" t="s">
        <v>1035</v>
      </c>
      <c r="E72" s="471" t="s">
        <v>1619</v>
      </c>
      <c r="F72" s="462"/>
      <c r="G72" s="462"/>
      <c r="H72" s="948">
        <v>6</v>
      </c>
      <c r="I72" s="471">
        <v>31</v>
      </c>
      <c r="J72" s="471">
        <f t="shared" si="3"/>
        <v>186</v>
      </c>
      <c r="K72" s="694"/>
      <c r="L72" s="471">
        <v>31</v>
      </c>
    </row>
    <row r="73" spans="1:12" s="697" customFormat="1" ht="20.2" customHeight="1">
      <c r="A73" s="617"/>
      <c r="B73" s="692"/>
      <c r="C73" s="693" t="s">
        <v>914</v>
      </c>
      <c r="D73" s="951" t="s">
        <v>1035</v>
      </c>
      <c r="E73" s="471" t="s">
        <v>1620</v>
      </c>
      <c r="F73" s="462"/>
      <c r="G73" s="462"/>
      <c r="H73" s="948">
        <v>1</v>
      </c>
      <c r="I73" s="471">
        <v>164</v>
      </c>
      <c r="J73" s="471">
        <f t="shared" si="3"/>
        <v>164</v>
      </c>
      <c r="K73" s="694"/>
      <c r="L73" s="471">
        <v>164</v>
      </c>
    </row>
    <row r="74" spans="1:12" s="697" customFormat="1" ht="20.2" customHeight="1">
      <c r="A74" s="617"/>
      <c r="B74" s="692"/>
      <c r="C74" s="693" t="s">
        <v>296</v>
      </c>
      <c r="D74" s="951" t="s">
        <v>1035</v>
      </c>
      <c r="E74" s="471" t="s">
        <v>1621</v>
      </c>
      <c r="F74" s="462"/>
      <c r="G74" s="462"/>
      <c r="H74" s="948">
        <v>2</v>
      </c>
      <c r="I74" s="471">
        <v>45</v>
      </c>
      <c r="J74" s="471">
        <f t="shared" si="3"/>
        <v>90</v>
      </c>
      <c r="K74" s="694"/>
      <c r="L74" s="471">
        <v>45</v>
      </c>
    </row>
    <row r="75" spans="1:12" ht="20.2" customHeight="1">
      <c r="A75" s="617"/>
      <c r="B75" s="19"/>
      <c r="C75" s="54" t="s">
        <v>420</v>
      </c>
      <c r="D75" s="951"/>
      <c r="E75" s="471" t="s">
        <v>1622</v>
      </c>
      <c r="F75" s="462"/>
      <c r="G75" s="462"/>
      <c r="H75" s="948">
        <v>3</v>
      </c>
      <c r="I75" s="471">
        <v>31</v>
      </c>
      <c r="J75" s="471">
        <f t="shared" si="3"/>
        <v>93</v>
      </c>
      <c r="K75" s="31"/>
      <c r="L75" s="471">
        <v>31</v>
      </c>
    </row>
    <row r="76" spans="1:12" s="697" customFormat="1" ht="20.2" customHeight="1">
      <c r="A76" s="617"/>
      <c r="B76" s="692"/>
      <c r="C76" s="693" t="s">
        <v>799</v>
      </c>
      <c r="D76" s="951" t="s">
        <v>882</v>
      </c>
      <c r="E76" s="471" t="s">
        <v>1652</v>
      </c>
      <c r="F76" s="462"/>
      <c r="G76" s="462"/>
      <c r="H76" s="948">
        <v>80</v>
      </c>
      <c r="I76" s="471">
        <v>3</v>
      </c>
      <c r="J76" s="471">
        <f t="shared" si="3"/>
        <v>240</v>
      </c>
      <c r="K76" s="694"/>
      <c r="L76" s="471">
        <v>3</v>
      </c>
    </row>
    <row r="77" spans="1:12" s="697" customFormat="1" ht="20.2" customHeight="1">
      <c r="A77" s="617"/>
      <c r="B77" s="692"/>
      <c r="C77" s="693" t="s">
        <v>231</v>
      </c>
      <c r="D77" s="951" t="s">
        <v>882</v>
      </c>
      <c r="E77" s="471" t="s">
        <v>1650</v>
      </c>
      <c r="F77" s="462"/>
      <c r="G77" s="462"/>
      <c r="H77" s="948">
        <v>10</v>
      </c>
      <c r="I77" s="471">
        <v>16</v>
      </c>
      <c r="J77" s="471">
        <f t="shared" si="3"/>
        <v>160</v>
      </c>
      <c r="K77" s="694"/>
      <c r="L77" s="471">
        <v>16</v>
      </c>
    </row>
    <row r="78" spans="1:12" s="697" customFormat="1" ht="20.2" customHeight="1">
      <c r="A78" s="617"/>
      <c r="B78" s="694"/>
      <c r="C78" s="693" t="s">
        <v>1598</v>
      </c>
      <c r="D78" s="951"/>
      <c r="E78" s="953" t="s">
        <v>1651</v>
      </c>
      <c r="F78" s="462"/>
      <c r="G78" s="462"/>
      <c r="H78" s="948">
        <v>6</v>
      </c>
      <c r="I78" s="471">
        <v>32</v>
      </c>
      <c r="J78" s="471">
        <f t="shared" si="3"/>
        <v>192</v>
      </c>
      <c r="K78" s="694"/>
    </row>
    <row r="79" spans="1:12" s="697" customFormat="1" ht="20.2" customHeight="1">
      <c r="A79" s="617"/>
      <c r="B79" s="695"/>
      <c r="C79" s="693" t="s">
        <v>1484</v>
      </c>
      <c r="D79" s="951">
        <v>2.25</v>
      </c>
      <c r="E79" s="471">
        <v>0.9</v>
      </c>
      <c r="F79" s="462"/>
      <c r="G79" s="462">
        <v>2.1</v>
      </c>
      <c r="H79" s="462">
        <f>ROUND(G79*E79*D79,2)</f>
        <v>4.25</v>
      </c>
      <c r="I79" s="698">
        <f>G15</f>
        <v>561.35799999999995</v>
      </c>
      <c r="J79" s="471">
        <f>H79*I79/10</f>
        <v>238.57714999999999</v>
      </c>
      <c r="K79" s="694"/>
    </row>
    <row r="80" spans="1:12" s="697" customFormat="1" ht="20.2" customHeight="1">
      <c r="A80" s="617"/>
      <c r="B80" s="695"/>
      <c r="C80" s="693" t="s">
        <v>230</v>
      </c>
      <c r="D80" s="951"/>
      <c r="E80" s="471"/>
      <c r="F80" s="462"/>
      <c r="G80" s="462"/>
      <c r="H80" s="948">
        <v>1</v>
      </c>
      <c r="I80" s="471">
        <v>75</v>
      </c>
      <c r="J80" s="471">
        <f>H80*I80</f>
        <v>75</v>
      </c>
      <c r="K80" s="694"/>
    </row>
    <row r="81" spans="1:11" ht="20.2" customHeight="1">
      <c r="A81" s="617"/>
      <c r="B81" s="34"/>
      <c r="D81" s="951"/>
      <c r="E81" s="471"/>
      <c r="F81" s="462"/>
      <c r="G81" s="462"/>
      <c r="H81" s="462"/>
      <c r="I81" s="471"/>
      <c r="J81" s="471">
        <f>SUM(J64:J80)</f>
        <v>7997.7271499999997</v>
      </c>
      <c r="K81" s="31"/>
    </row>
    <row r="82" spans="1:11" s="18" customFormat="1" ht="20.2" customHeight="1">
      <c r="A82" s="617"/>
      <c r="B82" s="40"/>
      <c r="C82" s="54" t="s">
        <v>1600</v>
      </c>
      <c r="D82" s="954"/>
      <c r="E82" s="468"/>
      <c r="F82" s="458"/>
      <c r="G82" s="458"/>
      <c r="H82" s="458">
        <f>J81</f>
        <v>7997.7271499999997</v>
      </c>
      <c r="I82" s="468">
        <f>I6</f>
        <v>0</v>
      </c>
      <c r="J82" s="471">
        <f>ROUND(H82*I82,2)</f>
        <v>0</v>
      </c>
      <c r="K82" s="17"/>
    </row>
    <row r="83" spans="1:11" s="439" customFormat="1" ht="20.2" customHeight="1">
      <c r="A83" s="617" t="s">
        <v>542</v>
      </c>
      <c r="B83" s="411"/>
      <c r="C83" s="283" t="s">
        <v>256</v>
      </c>
      <c r="D83" s="955"/>
      <c r="E83" s="469"/>
      <c r="F83" s="460"/>
      <c r="G83" s="460"/>
      <c r="H83" s="460"/>
      <c r="I83" s="469" t="s">
        <v>416</v>
      </c>
      <c r="J83" s="469">
        <f>SUM(J81:J82)</f>
        <v>7997.7271499999997</v>
      </c>
      <c r="K83" s="447"/>
    </row>
    <row r="84" spans="1:11">
      <c r="A84" s="617"/>
      <c r="B84" s="34"/>
      <c r="C84" s="55" t="s">
        <v>1291</v>
      </c>
      <c r="D84" s="954"/>
      <c r="E84" s="468"/>
      <c r="F84" s="462"/>
      <c r="G84" s="462"/>
      <c r="H84" s="462"/>
      <c r="I84" s="471"/>
      <c r="J84" s="471"/>
      <c r="K84" s="31"/>
    </row>
    <row r="85" spans="1:11">
      <c r="A85" s="617"/>
      <c r="B85" s="34"/>
      <c r="C85" s="54" t="s">
        <v>779</v>
      </c>
      <c r="D85" s="951"/>
      <c r="E85" s="471"/>
      <c r="F85" s="462"/>
      <c r="G85" s="462"/>
      <c r="H85" s="462"/>
      <c r="I85" s="471"/>
      <c r="J85" s="471"/>
      <c r="K85" s="31"/>
    </row>
    <row r="86" spans="1:11" ht="20.2" customHeight="1">
      <c r="A86" s="617"/>
      <c r="B86" s="34"/>
      <c r="C86" s="54" t="s">
        <v>780</v>
      </c>
      <c r="D86" s="951">
        <v>2</v>
      </c>
      <c r="E86" s="471">
        <v>2.1</v>
      </c>
      <c r="F86" s="462">
        <v>0.1</v>
      </c>
      <c r="G86" s="462">
        <v>7.4999999999999997E-2</v>
      </c>
      <c r="H86" s="462">
        <f>ROUND(D86*E86*F86*G86,3)</f>
        <v>3.2000000000000001E-2</v>
      </c>
      <c r="I86" s="471">
        <v>44785</v>
      </c>
      <c r="J86" s="471">
        <f>ROUND(H86*I86,2)</f>
        <v>1433.12</v>
      </c>
      <c r="K86" s="31"/>
    </row>
    <row r="87" spans="1:11" ht="20.2" customHeight="1">
      <c r="A87" s="617"/>
      <c r="B87" s="34"/>
      <c r="C87" s="54" t="s">
        <v>781</v>
      </c>
      <c r="D87" s="951">
        <v>1</v>
      </c>
      <c r="E87" s="471">
        <v>1.05</v>
      </c>
      <c r="F87" s="462">
        <v>0.1</v>
      </c>
      <c r="G87" s="462">
        <v>7.4999999999999997E-2</v>
      </c>
      <c r="H87" s="462">
        <f>ROUND(D87*E87*F87*G87,3)</f>
        <v>8.0000000000000002E-3</v>
      </c>
      <c r="I87" s="471">
        <v>44785</v>
      </c>
      <c r="J87" s="471">
        <f>ROUND(H87*I87,2)</f>
        <v>358.28</v>
      </c>
      <c r="K87" s="31"/>
    </row>
    <row r="88" spans="1:11" ht="20.2" customHeight="1">
      <c r="A88" s="617"/>
      <c r="B88" s="34"/>
      <c r="C88" s="54" t="s">
        <v>1482</v>
      </c>
      <c r="D88" s="951"/>
      <c r="E88" s="471"/>
      <c r="F88" s="462"/>
      <c r="G88" s="462"/>
      <c r="H88" s="462">
        <f>SUM(H86:H87)</f>
        <v>0.04</v>
      </c>
      <c r="I88" s="465">
        <f>G25</f>
        <v>19572.5</v>
      </c>
      <c r="J88" s="471">
        <f>ROUND(H88*I88,2)</f>
        <v>782.9</v>
      </c>
      <c r="K88" s="31"/>
    </row>
    <row r="89" spans="1:11" ht="33.299999999999997">
      <c r="A89" s="617" t="s">
        <v>787</v>
      </c>
      <c r="B89" s="19"/>
      <c r="C89" s="54" t="s">
        <v>788</v>
      </c>
      <c r="D89" s="951"/>
      <c r="E89" s="471"/>
      <c r="F89" s="462"/>
      <c r="G89" s="952"/>
      <c r="H89" s="952"/>
      <c r="I89" s="471"/>
      <c r="J89" s="471"/>
      <c r="K89" s="31"/>
    </row>
    <row r="90" spans="1:11" ht="20.2" customHeight="1">
      <c r="A90" s="617"/>
      <c r="B90" s="32"/>
      <c r="C90" s="54" t="s">
        <v>1598</v>
      </c>
      <c r="D90" s="951"/>
      <c r="E90" s="953" t="s">
        <v>1651</v>
      </c>
      <c r="F90" s="462"/>
      <c r="G90" s="462"/>
      <c r="H90" s="948">
        <v>6</v>
      </c>
      <c r="I90" s="471">
        <v>32</v>
      </c>
      <c r="J90" s="471">
        <f>ROUND(H90*I90,2)</f>
        <v>192</v>
      </c>
      <c r="K90" s="31"/>
    </row>
    <row r="91" spans="1:11" ht="20.2" customHeight="1">
      <c r="A91" s="617"/>
      <c r="B91" s="34"/>
      <c r="C91" s="54" t="s">
        <v>1484</v>
      </c>
      <c r="D91" s="951" t="s">
        <v>539</v>
      </c>
      <c r="E91" s="471">
        <v>0.9</v>
      </c>
      <c r="F91" s="462"/>
      <c r="G91" s="471">
        <v>2.1</v>
      </c>
      <c r="H91" s="462">
        <f>ROUND(G91*E91*2.25/3,2)</f>
        <v>1.42</v>
      </c>
      <c r="I91" s="698">
        <f>G15</f>
        <v>561.35799999999995</v>
      </c>
      <c r="J91" s="471">
        <f>H91*I91/10</f>
        <v>79.712835999999996</v>
      </c>
      <c r="K91" s="31"/>
    </row>
    <row r="92" spans="1:11" ht="20.2" customHeight="1">
      <c r="A92" s="617"/>
      <c r="B92" s="34"/>
      <c r="C92" s="54" t="s">
        <v>230</v>
      </c>
      <c r="D92" s="951"/>
      <c r="E92" s="471"/>
      <c r="F92" s="462"/>
      <c r="G92" s="462"/>
      <c r="H92" s="948">
        <v>1</v>
      </c>
      <c r="I92" s="471">
        <v>50</v>
      </c>
      <c r="J92" s="471">
        <f>H92*I92</f>
        <v>50</v>
      </c>
      <c r="K92" s="31"/>
    </row>
    <row r="93" spans="1:11" ht="20.2" customHeight="1">
      <c r="A93" s="617"/>
      <c r="B93" s="34"/>
      <c r="D93" s="951"/>
      <c r="E93" s="471"/>
      <c r="F93" s="462"/>
      <c r="G93" s="462"/>
      <c r="H93" s="462"/>
      <c r="I93" s="471"/>
      <c r="J93" s="471">
        <f>SUM(J86:J92)</f>
        <v>2896.0128359999999</v>
      </c>
      <c r="K93" s="31"/>
    </row>
    <row r="94" spans="1:11" s="18" customFormat="1" ht="20.2" customHeight="1">
      <c r="A94" s="617"/>
      <c r="B94" s="40"/>
      <c r="C94" s="54" t="s">
        <v>1600</v>
      </c>
      <c r="D94" s="954"/>
      <c r="E94" s="468"/>
      <c r="F94" s="458"/>
      <c r="G94" s="458"/>
      <c r="H94" s="458">
        <f>J93</f>
        <v>2896.0128359999999</v>
      </c>
      <c r="I94" s="468">
        <f>I6</f>
        <v>0</v>
      </c>
      <c r="J94" s="471">
        <f>ROUND(H94*I94,2)</f>
        <v>0</v>
      </c>
      <c r="K94" s="17"/>
    </row>
    <row r="95" spans="1:11" s="439" customFormat="1" ht="20.2" customHeight="1">
      <c r="A95" s="617" t="s">
        <v>542</v>
      </c>
      <c r="B95" s="411"/>
      <c r="C95" s="448" t="s">
        <v>1292</v>
      </c>
      <c r="D95" s="955"/>
      <c r="E95" s="469"/>
      <c r="F95" s="460"/>
      <c r="G95" s="460"/>
      <c r="H95" s="460"/>
      <c r="I95" s="469" t="s">
        <v>416</v>
      </c>
      <c r="J95" s="469">
        <f>SUM(J93:J94)</f>
        <v>2896.0128359999999</v>
      </c>
      <c r="K95" s="447"/>
    </row>
    <row r="96" spans="1:11" s="439" customFormat="1" ht="20.2" customHeight="1">
      <c r="A96" s="617"/>
      <c r="B96" s="411"/>
      <c r="C96" s="448" t="s">
        <v>1293</v>
      </c>
      <c r="D96" s="955"/>
      <c r="E96" s="469"/>
      <c r="F96" s="460"/>
      <c r="G96" s="460"/>
      <c r="H96" s="460"/>
      <c r="I96" s="469" t="s">
        <v>416</v>
      </c>
      <c r="J96" s="469">
        <f>J83-J95</f>
        <v>5101.7143139999998</v>
      </c>
      <c r="K96" s="447"/>
    </row>
    <row r="97" spans="1:12" ht="258">
      <c r="A97" s="617"/>
      <c r="B97" s="966">
        <v>4</v>
      </c>
      <c r="C97" s="55" t="s">
        <v>1837</v>
      </c>
      <c r="D97" s="951"/>
      <c r="E97" s="471"/>
      <c r="F97" s="462"/>
      <c r="G97" s="462"/>
      <c r="H97" s="462"/>
      <c r="I97" s="471"/>
      <c r="J97" s="471"/>
      <c r="K97" s="31"/>
    </row>
    <row r="98" spans="1:12">
      <c r="A98" s="617"/>
      <c r="B98" s="34"/>
      <c r="C98" s="55" t="s">
        <v>793</v>
      </c>
      <c r="D98" s="954"/>
      <c r="E98" s="468"/>
      <c r="F98" s="462"/>
      <c r="G98" s="462"/>
      <c r="H98" s="462"/>
      <c r="I98" s="471"/>
      <c r="J98" s="471"/>
      <c r="K98" s="31"/>
    </row>
    <row r="99" spans="1:12">
      <c r="A99" s="617"/>
      <c r="B99" s="34"/>
      <c r="C99" s="54" t="s">
        <v>779</v>
      </c>
      <c r="D99" s="951"/>
      <c r="E99" s="471"/>
      <c r="F99" s="462"/>
      <c r="G99" s="462"/>
      <c r="H99" s="462"/>
      <c r="I99" s="471"/>
      <c r="J99" s="471"/>
      <c r="K99" s="31"/>
    </row>
    <row r="100" spans="1:12" ht="20.2" customHeight="1">
      <c r="A100" s="617"/>
      <c r="B100" s="34"/>
      <c r="C100" s="54" t="s">
        <v>780</v>
      </c>
      <c r="D100" s="951">
        <v>2</v>
      </c>
      <c r="E100" s="471">
        <v>2.1</v>
      </c>
      <c r="F100" s="462">
        <v>0.1</v>
      </c>
      <c r="G100" s="462">
        <v>7.4999999999999997E-2</v>
      </c>
      <c r="H100" s="462">
        <f>ROUND(D100*E100*F100*G100,3)</f>
        <v>3.2000000000000001E-2</v>
      </c>
      <c r="I100" s="471">
        <v>44785</v>
      </c>
      <c r="J100" s="471">
        <f t="shared" ref="J100:J105" si="4">ROUND(H100*I100,2)</f>
        <v>1433.12</v>
      </c>
      <c r="K100" s="31"/>
    </row>
    <row r="101" spans="1:12" ht="20.2" customHeight="1">
      <c r="A101" s="617"/>
      <c r="B101" s="34"/>
      <c r="C101" s="54" t="s">
        <v>781</v>
      </c>
      <c r="D101" s="951">
        <v>1</v>
      </c>
      <c r="E101" s="471">
        <v>1.2</v>
      </c>
      <c r="F101" s="462">
        <v>0.1</v>
      </c>
      <c r="G101" s="462">
        <v>7.4999999999999997E-2</v>
      </c>
      <c r="H101" s="462">
        <f>ROUND(D101*E101*F101*G101,3)</f>
        <v>8.9999999999999993E-3</v>
      </c>
      <c r="I101" s="471">
        <v>44785</v>
      </c>
      <c r="J101" s="471">
        <f t="shared" si="4"/>
        <v>403.07</v>
      </c>
      <c r="K101" s="31"/>
    </row>
    <row r="102" spans="1:12" ht="20.2" customHeight="1">
      <c r="A102" s="617"/>
      <c r="B102" s="34"/>
      <c r="C102" s="54" t="s">
        <v>782</v>
      </c>
      <c r="D102" s="951">
        <v>4</v>
      </c>
      <c r="E102" s="471">
        <f>(2.1-1*0.075-0.075)+1*0.015</f>
        <v>1.9649999999999999</v>
      </c>
      <c r="F102" s="462">
        <v>0.1</v>
      </c>
      <c r="G102" s="462">
        <f>1.25*25.4/1000</f>
        <v>3.175E-2</v>
      </c>
      <c r="H102" s="462">
        <f>ROUND(D102*E102*F102*G102,3)</f>
        <v>2.5000000000000001E-2</v>
      </c>
      <c r="I102" s="471">
        <v>145240</v>
      </c>
      <c r="J102" s="471">
        <f t="shared" si="4"/>
        <v>3631</v>
      </c>
      <c r="K102" s="31"/>
    </row>
    <row r="103" spans="1:12" ht="20.2" customHeight="1">
      <c r="A103" s="617"/>
      <c r="B103" s="34"/>
      <c r="C103" s="54" t="s">
        <v>783</v>
      </c>
      <c r="D103" s="951" t="s">
        <v>791</v>
      </c>
      <c r="E103" s="471">
        <f>(1.05-2*0.075+2*0.015)/2</f>
        <v>0.46500000000000002</v>
      </c>
      <c r="F103" s="462">
        <v>0.1</v>
      </c>
      <c r="G103" s="462">
        <f>1.25*25.4/1000</f>
        <v>3.175E-2</v>
      </c>
      <c r="H103" s="462">
        <f>ROUND(12*E103*F103*G103,3)</f>
        <v>1.7999999999999999E-2</v>
      </c>
      <c r="I103" s="471">
        <v>145240</v>
      </c>
      <c r="J103" s="471">
        <f t="shared" si="4"/>
        <v>2614.3200000000002</v>
      </c>
      <c r="K103" s="31"/>
    </row>
    <row r="104" spans="1:12" ht="20.2" customHeight="1">
      <c r="A104" s="617"/>
      <c r="B104" s="34"/>
      <c r="C104" s="54" t="s">
        <v>1481</v>
      </c>
      <c r="D104" s="951" t="s">
        <v>792</v>
      </c>
      <c r="E104" s="471">
        <f>(1.05-2*0.075+2*0.015)/2-2*0.1+2*0.025</f>
        <v>0.315</v>
      </c>
      <c r="F104" s="462">
        <f>(2.1-2*0.075+1*0.015-6*0.1)/5+2*0.025</f>
        <v>0.32300000000000001</v>
      </c>
      <c r="G104" s="462">
        <v>2.5000000000000001E-2</v>
      </c>
      <c r="H104" s="462">
        <f>ROUND(10*E104*F104*G104,3)</f>
        <v>2.5000000000000001E-2</v>
      </c>
      <c r="I104" s="471">
        <v>145240</v>
      </c>
      <c r="J104" s="471">
        <f t="shared" si="4"/>
        <v>3631</v>
      </c>
      <c r="K104" s="31"/>
    </row>
    <row r="105" spans="1:12" ht="20.2" customHeight="1">
      <c r="A105" s="617"/>
      <c r="B105" s="34"/>
      <c r="C105" s="54" t="s">
        <v>1482</v>
      </c>
      <c r="D105" s="951"/>
      <c r="E105" s="471"/>
      <c r="F105" s="462"/>
      <c r="G105" s="462"/>
      <c r="H105" s="462">
        <f>SUM(H100:H104)</f>
        <v>0.10900000000000001</v>
      </c>
      <c r="I105" s="465">
        <f>G25</f>
        <v>19572.5</v>
      </c>
      <c r="J105" s="471">
        <f t="shared" si="4"/>
        <v>2133.4</v>
      </c>
      <c r="K105" s="31"/>
    </row>
    <row r="106" spans="1:12" ht="33.299999999999997">
      <c r="A106" s="617" t="s">
        <v>787</v>
      </c>
      <c r="B106" s="19"/>
      <c r="C106" s="54" t="s">
        <v>788</v>
      </c>
      <c r="D106" s="951"/>
      <c r="E106" s="471"/>
      <c r="F106" s="462"/>
      <c r="G106" s="952"/>
      <c r="H106" s="952"/>
      <c r="I106" s="471"/>
      <c r="J106" s="471"/>
      <c r="K106" s="31"/>
    </row>
    <row r="107" spans="1:12" ht="20.2" customHeight="1">
      <c r="A107" s="617"/>
      <c r="B107" s="19"/>
      <c r="C107" s="693" t="s">
        <v>911</v>
      </c>
      <c r="D107" s="951" t="s">
        <v>1035</v>
      </c>
      <c r="E107" s="471" t="s">
        <v>1617</v>
      </c>
      <c r="F107" s="462"/>
      <c r="G107" s="462"/>
      <c r="H107" s="948">
        <v>2</v>
      </c>
      <c r="I107" s="471">
        <v>68</v>
      </c>
      <c r="J107" s="471">
        <f t="shared" ref="J107:J115" si="5">ROUND(H107*I107,2)</f>
        <v>136</v>
      </c>
      <c r="K107" s="31"/>
      <c r="L107" s="471">
        <v>68</v>
      </c>
    </row>
    <row r="108" spans="1:12" ht="20.2" customHeight="1">
      <c r="A108" s="617"/>
      <c r="B108" s="19"/>
      <c r="C108" s="693" t="s">
        <v>912</v>
      </c>
      <c r="D108" s="951" t="s">
        <v>1035</v>
      </c>
      <c r="E108" s="471" t="s">
        <v>1618</v>
      </c>
      <c r="F108" s="462"/>
      <c r="G108" s="462"/>
      <c r="H108" s="948">
        <v>1</v>
      </c>
      <c r="I108" s="471">
        <v>35</v>
      </c>
      <c r="J108" s="471">
        <f t="shared" si="5"/>
        <v>35</v>
      </c>
      <c r="K108" s="31"/>
      <c r="L108" s="471">
        <v>35</v>
      </c>
    </row>
    <row r="109" spans="1:12" ht="20.2" customHeight="1">
      <c r="A109" s="617"/>
      <c r="B109" s="19"/>
      <c r="C109" s="196" t="s">
        <v>913</v>
      </c>
      <c r="D109" s="951" t="s">
        <v>1035</v>
      </c>
      <c r="E109" s="471" t="s">
        <v>1619</v>
      </c>
      <c r="F109" s="462"/>
      <c r="G109" s="462"/>
      <c r="H109" s="948">
        <v>6</v>
      </c>
      <c r="I109" s="471">
        <v>31</v>
      </c>
      <c r="J109" s="471">
        <f t="shared" si="5"/>
        <v>186</v>
      </c>
      <c r="K109" s="31"/>
      <c r="L109" s="471">
        <v>31</v>
      </c>
    </row>
    <row r="110" spans="1:12" ht="20.2" customHeight="1">
      <c r="A110" s="617"/>
      <c r="B110" s="19"/>
      <c r="C110" s="693" t="s">
        <v>914</v>
      </c>
      <c r="D110" s="951" t="s">
        <v>1035</v>
      </c>
      <c r="E110" s="471" t="s">
        <v>1620</v>
      </c>
      <c r="F110" s="462"/>
      <c r="G110" s="462"/>
      <c r="H110" s="948">
        <v>1</v>
      </c>
      <c r="I110" s="471">
        <v>164</v>
      </c>
      <c r="J110" s="471">
        <f t="shared" si="5"/>
        <v>164</v>
      </c>
      <c r="K110" s="31"/>
      <c r="L110" s="471">
        <v>164</v>
      </c>
    </row>
    <row r="111" spans="1:12" ht="20.2" customHeight="1">
      <c r="A111" s="617"/>
      <c r="B111" s="19"/>
      <c r="C111" s="693" t="s">
        <v>296</v>
      </c>
      <c r="D111" s="951" t="s">
        <v>1035</v>
      </c>
      <c r="E111" s="471" t="s">
        <v>1621</v>
      </c>
      <c r="F111" s="462"/>
      <c r="G111" s="462"/>
      <c r="H111" s="948">
        <v>2</v>
      </c>
      <c r="I111" s="471">
        <v>45</v>
      </c>
      <c r="J111" s="471">
        <f t="shared" si="5"/>
        <v>90</v>
      </c>
      <c r="K111" s="31"/>
      <c r="L111" s="471">
        <v>45</v>
      </c>
    </row>
    <row r="112" spans="1:12" ht="20.2" customHeight="1">
      <c r="A112" s="617"/>
      <c r="B112" s="19"/>
      <c r="C112" s="54" t="s">
        <v>420</v>
      </c>
      <c r="D112" s="951"/>
      <c r="E112" s="471" t="s">
        <v>1622</v>
      </c>
      <c r="F112" s="462"/>
      <c r="G112" s="462"/>
      <c r="H112" s="948">
        <v>3</v>
      </c>
      <c r="I112" s="471">
        <v>31</v>
      </c>
      <c r="J112" s="471">
        <f t="shared" si="5"/>
        <v>93</v>
      </c>
      <c r="K112" s="31"/>
      <c r="L112" s="471">
        <v>31</v>
      </c>
    </row>
    <row r="113" spans="1:12" ht="20.2" customHeight="1">
      <c r="A113" s="617"/>
      <c r="B113" s="19"/>
      <c r="C113" s="693" t="s">
        <v>799</v>
      </c>
      <c r="D113" s="951" t="s">
        <v>882</v>
      </c>
      <c r="E113" s="471" t="s">
        <v>1652</v>
      </c>
      <c r="F113" s="462"/>
      <c r="G113" s="462"/>
      <c r="H113" s="948">
        <v>80</v>
      </c>
      <c r="I113" s="471">
        <v>3</v>
      </c>
      <c r="J113" s="471">
        <f t="shared" si="5"/>
        <v>240</v>
      </c>
      <c r="K113" s="31"/>
      <c r="L113" s="471">
        <v>3</v>
      </c>
    </row>
    <row r="114" spans="1:12" ht="20.2" customHeight="1">
      <c r="A114" s="617"/>
      <c r="B114" s="19"/>
      <c r="C114" s="693" t="s">
        <v>231</v>
      </c>
      <c r="D114" s="951" t="s">
        <v>882</v>
      </c>
      <c r="E114" s="471" t="s">
        <v>1650</v>
      </c>
      <c r="F114" s="462"/>
      <c r="G114" s="462"/>
      <c r="H114" s="948">
        <v>10</v>
      </c>
      <c r="I114" s="471">
        <v>16</v>
      </c>
      <c r="J114" s="471">
        <f t="shared" si="5"/>
        <v>160</v>
      </c>
      <c r="K114" s="31"/>
      <c r="L114" s="471">
        <v>16</v>
      </c>
    </row>
    <row r="115" spans="1:12" ht="20.2" customHeight="1">
      <c r="A115" s="617"/>
      <c r="B115" s="32"/>
      <c r="C115" s="693" t="s">
        <v>1598</v>
      </c>
      <c r="D115" s="951"/>
      <c r="E115" s="953" t="s">
        <v>1651</v>
      </c>
      <c r="F115" s="462"/>
      <c r="G115" s="462"/>
      <c r="H115" s="948">
        <v>6</v>
      </c>
      <c r="I115" s="471">
        <v>32</v>
      </c>
      <c r="J115" s="471">
        <f t="shared" si="5"/>
        <v>192</v>
      </c>
      <c r="K115" s="31"/>
    </row>
    <row r="116" spans="1:12" ht="20.2" customHeight="1">
      <c r="A116" s="617"/>
      <c r="B116" s="34"/>
      <c r="C116" s="54" t="s">
        <v>1484</v>
      </c>
      <c r="D116" s="951">
        <v>2.25</v>
      </c>
      <c r="E116" s="471">
        <v>1.05</v>
      </c>
      <c r="F116" s="462"/>
      <c r="G116" s="471">
        <v>2.1</v>
      </c>
      <c r="H116" s="462">
        <f>ROUND(G116*E116*D116,2)</f>
        <v>4.96</v>
      </c>
      <c r="I116" s="698">
        <f>G15</f>
        <v>561.35799999999995</v>
      </c>
      <c r="J116" s="471">
        <f>H116*I116/10</f>
        <v>278.43356799999998</v>
      </c>
      <c r="K116" s="31"/>
    </row>
    <row r="117" spans="1:12" ht="20.2" customHeight="1">
      <c r="A117" s="617"/>
      <c r="B117" s="34"/>
      <c r="C117" s="54" t="s">
        <v>230</v>
      </c>
      <c r="D117" s="951"/>
      <c r="E117" s="471"/>
      <c r="F117" s="462"/>
      <c r="G117" s="462"/>
      <c r="H117" s="948">
        <v>1</v>
      </c>
      <c r="I117" s="471">
        <v>75</v>
      </c>
      <c r="J117" s="471">
        <f>H117*I117</f>
        <v>75</v>
      </c>
      <c r="K117" s="31"/>
    </row>
    <row r="118" spans="1:12" ht="20.2" customHeight="1">
      <c r="A118" s="617"/>
      <c r="B118" s="34"/>
      <c r="D118" s="951"/>
      <c r="E118" s="471"/>
      <c r="F118" s="462"/>
      <c r="G118" s="462"/>
      <c r="H118" s="462"/>
      <c r="I118" s="471"/>
      <c r="J118" s="471">
        <f>SUM(J100:J117)</f>
        <v>15495.343568</v>
      </c>
      <c r="K118" s="31"/>
    </row>
    <row r="119" spans="1:12" s="18" customFormat="1" ht="20.2" customHeight="1">
      <c r="A119" s="617"/>
      <c r="B119" s="40"/>
      <c r="C119" s="54" t="s">
        <v>1600</v>
      </c>
      <c r="D119" s="954"/>
      <c r="E119" s="468"/>
      <c r="F119" s="458"/>
      <c r="G119" s="458"/>
      <c r="H119" s="458">
        <f>J118</f>
        <v>15495.343568</v>
      </c>
      <c r="I119" s="468">
        <f>I6</f>
        <v>0</v>
      </c>
      <c r="J119" s="468">
        <f>ROUND(H119*I119,2)</f>
        <v>0</v>
      </c>
      <c r="K119" s="17"/>
    </row>
    <row r="120" spans="1:12" s="18" customFormat="1" ht="20.2" customHeight="1">
      <c r="A120" s="617"/>
      <c r="B120" s="411"/>
      <c r="C120" s="283" t="s">
        <v>256</v>
      </c>
      <c r="D120" s="955"/>
      <c r="E120" s="469"/>
      <c r="F120" s="460"/>
      <c r="G120" s="460"/>
      <c r="H120" s="460"/>
      <c r="I120" s="469" t="s">
        <v>416</v>
      </c>
      <c r="J120" s="469">
        <f>SUM(J118:J119)</f>
        <v>15495.343568</v>
      </c>
      <c r="K120" s="17"/>
    </row>
    <row r="121" spans="1:12" ht="20.25" customHeight="1">
      <c r="A121" s="617" t="s">
        <v>1927</v>
      </c>
      <c r="B121" s="34"/>
      <c r="C121" s="55" t="s">
        <v>1294</v>
      </c>
      <c r="D121" s="954"/>
      <c r="E121" s="468"/>
      <c r="F121" s="462"/>
      <c r="G121" s="462"/>
      <c r="H121" s="462"/>
      <c r="I121" s="471"/>
      <c r="J121" s="471"/>
      <c r="K121" s="31"/>
    </row>
    <row r="122" spans="1:12">
      <c r="A122" s="617"/>
      <c r="B122" s="34"/>
      <c r="C122" s="54" t="s">
        <v>779</v>
      </c>
      <c r="D122" s="951"/>
      <c r="E122" s="471"/>
      <c r="F122" s="462"/>
      <c r="G122" s="462"/>
      <c r="H122" s="462"/>
      <c r="I122" s="471"/>
      <c r="J122" s="471"/>
      <c r="K122" s="31"/>
    </row>
    <row r="123" spans="1:12">
      <c r="A123" s="617"/>
      <c r="B123" s="34"/>
      <c r="C123" s="54" t="s">
        <v>780</v>
      </c>
      <c r="D123" s="951">
        <v>2</v>
      </c>
      <c r="E123" s="471">
        <v>2.1</v>
      </c>
      <c r="F123" s="462">
        <v>0.1</v>
      </c>
      <c r="G123" s="462">
        <v>7.4999999999999997E-2</v>
      </c>
      <c r="H123" s="462">
        <f>ROUND(D123*E123*F123*G123,3)</f>
        <v>3.2000000000000001E-2</v>
      </c>
      <c r="I123" s="471">
        <v>44785</v>
      </c>
      <c r="J123" s="471">
        <f>ROUND(H123*I123,2)</f>
        <v>1433.12</v>
      </c>
      <c r="K123" s="31"/>
    </row>
    <row r="124" spans="1:12">
      <c r="A124" s="617"/>
      <c r="B124" s="34"/>
      <c r="C124" s="54" t="s">
        <v>781</v>
      </c>
      <c r="D124" s="951">
        <v>1</v>
      </c>
      <c r="E124" s="471">
        <v>1.2</v>
      </c>
      <c r="F124" s="462">
        <v>0.1</v>
      </c>
      <c r="G124" s="462">
        <v>7.4999999999999997E-2</v>
      </c>
      <c r="H124" s="462">
        <f>ROUND(D124*E124*F124*G124,3)</f>
        <v>8.9999999999999993E-3</v>
      </c>
      <c r="I124" s="471">
        <v>44785</v>
      </c>
      <c r="J124" s="471">
        <f>ROUND(H124*I124,2)</f>
        <v>403.07</v>
      </c>
      <c r="K124" s="31"/>
    </row>
    <row r="125" spans="1:12">
      <c r="A125" s="617"/>
      <c r="B125" s="34"/>
      <c r="C125" s="54" t="s">
        <v>1482</v>
      </c>
      <c r="D125" s="951"/>
      <c r="E125" s="471"/>
      <c r="F125" s="462"/>
      <c r="G125" s="462"/>
      <c r="H125" s="462">
        <f>SUM(H123:H124)</f>
        <v>4.1000000000000002E-2</v>
      </c>
      <c r="I125" s="465">
        <f>G25</f>
        <v>19572.5</v>
      </c>
      <c r="J125" s="471">
        <f>ROUND(H125*I125,2)</f>
        <v>802.47</v>
      </c>
      <c r="K125" s="31"/>
    </row>
    <row r="126" spans="1:12">
      <c r="A126" s="617"/>
      <c r="B126" s="34"/>
      <c r="C126" s="54" t="s">
        <v>1484</v>
      </c>
      <c r="D126" s="951" t="s">
        <v>539</v>
      </c>
      <c r="E126" s="471">
        <v>1.05</v>
      </c>
      <c r="F126" s="462"/>
      <c r="G126" s="462">
        <v>2.1</v>
      </c>
      <c r="H126" s="462">
        <f>ROUND(G126*E126*2.25/3,2)</f>
        <v>1.65</v>
      </c>
      <c r="I126" s="698">
        <f>G15</f>
        <v>561.35799999999995</v>
      </c>
      <c r="J126" s="471">
        <f>ROUND(H126*I126/10,2)</f>
        <v>92.62</v>
      </c>
      <c r="K126" s="31"/>
    </row>
    <row r="127" spans="1:12">
      <c r="A127" s="617"/>
      <c r="B127" s="32"/>
      <c r="C127" s="54" t="s">
        <v>1598</v>
      </c>
      <c r="D127" s="951"/>
      <c r="E127" s="953" t="s">
        <v>1651</v>
      </c>
      <c r="F127" s="462"/>
      <c r="G127" s="462"/>
      <c r="H127" s="948">
        <v>6</v>
      </c>
      <c r="I127" s="471">
        <v>32</v>
      </c>
      <c r="J127" s="471">
        <f>ROUND(H127*I127,2)</f>
        <v>192</v>
      </c>
      <c r="K127" s="31"/>
    </row>
    <row r="128" spans="1:12">
      <c r="A128" s="617"/>
      <c r="B128" s="34"/>
      <c r="C128" s="54" t="s">
        <v>230</v>
      </c>
      <c r="D128" s="951"/>
      <c r="E128" s="471"/>
      <c r="F128" s="462"/>
      <c r="G128" s="462"/>
      <c r="H128" s="948">
        <v>1</v>
      </c>
      <c r="I128" s="471">
        <v>50</v>
      </c>
      <c r="J128" s="471">
        <f>ROUND(H128*I128,2)</f>
        <v>50</v>
      </c>
      <c r="K128" s="31"/>
    </row>
    <row r="129" spans="1:12">
      <c r="A129" s="617"/>
      <c r="B129" s="34"/>
      <c r="D129" s="951"/>
      <c r="E129" s="471"/>
      <c r="F129" s="462"/>
      <c r="G129" s="462"/>
      <c r="H129" s="462"/>
      <c r="I129" s="471"/>
      <c r="J129" s="471">
        <f>SUM(J123:J128)</f>
        <v>2973.2799999999997</v>
      </c>
      <c r="K129" s="31"/>
    </row>
    <row r="130" spans="1:12" s="18" customFormat="1" ht="25.8">
      <c r="A130" s="617"/>
      <c r="B130" s="40"/>
      <c r="C130" s="54" t="s">
        <v>1600</v>
      </c>
      <c r="D130" s="954"/>
      <c r="E130" s="468"/>
      <c r="F130" s="458"/>
      <c r="G130" s="458"/>
      <c r="H130" s="458">
        <f>J129</f>
        <v>2973.2799999999997</v>
      </c>
      <c r="I130" s="468">
        <f>I6</f>
        <v>0</v>
      </c>
      <c r="J130" s="471">
        <f>ROUND(H130*I130,2)</f>
        <v>0</v>
      </c>
      <c r="K130" s="17"/>
    </row>
    <row r="131" spans="1:12" s="439" customFormat="1">
      <c r="A131" s="617" t="s">
        <v>542</v>
      </c>
      <c r="B131" s="411"/>
      <c r="C131" s="283" t="s">
        <v>1295</v>
      </c>
      <c r="D131" s="955"/>
      <c r="E131" s="469"/>
      <c r="F131" s="460"/>
      <c r="G131" s="460"/>
      <c r="H131" s="460"/>
      <c r="I131" s="469" t="s">
        <v>1486</v>
      </c>
      <c r="J131" s="469">
        <f>SUM(J129:J130)</f>
        <v>2973.2799999999997</v>
      </c>
      <c r="K131" s="447"/>
    </row>
    <row r="132" spans="1:12" s="439" customFormat="1" ht="20.2" customHeight="1">
      <c r="A132" s="617"/>
      <c r="B132" s="411"/>
      <c r="C132" s="283" t="s">
        <v>1296</v>
      </c>
      <c r="D132" s="955"/>
      <c r="E132" s="469"/>
      <c r="F132" s="460"/>
      <c r="G132" s="460"/>
      <c r="H132" s="460"/>
      <c r="I132" s="469" t="s">
        <v>1486</v>
      </c>
      <c r="J132" s="469">
        <f>J120-J131</f>
        <v>12522.063568000001</v>
      </c>
      <c r="K132" s="447"/>
    </row>
    <row r="133" spans="1:12" ht="263.25" customHeight="1">
      <c r="A133" s="617"/>
      <c r="B133" s="966">
        <v>5</v>
      </c>
      <c r="C133" s="54" t="s">
        <v>1838</v>
      </c>
      <c r="D133" s="951"/>
      <c r="E133" s="471"/>
      <c r="F133" s="462"/>
      <c r="G133" s="462"/>
      <c r="H133" s="462"/>
      <c r="I133" s="471"/>
      <c r="J133" s="471"/>
      <c r="K133" s="31"/>
    </row>
    <row r="134" spans="1:12">
      <c r="A134" s="617"/>
      <c r="B134" s="34"/>
      <c r="C134" s="55" t="s">
        <v>1297</v>
      </c>
      <c r="D134" s="954"/>
      <c r="E134" s="468"/>
      <c r="F134" s="462"/>
      <c r="G134" s="462"/>
      <c r="H134" s="462"/>
      <c r="I134" s="471"/>
      <c r="J134" s="471"/>
      <c r="K134" s="31"/>
    </row>
    <row r="135" spans="1:12">
      <c r="A135" s="617"/>
      <c r="B135" s="34"/>
      <c r="C135" s="54" t="s">
        <v>779</v>
      </c>
      <c r="D135" s="951"/>
      <c r="E135" s="471"/>
      <c r="F135" s="462"/>
      <c r="G135" s="462"/>
      <c r="H135" s="462"/>
      <c r="I135" s="471"/>
      <c r="J135" s="471"/>
      <c r="K135" s="31"/>
    </row>
    <row r="136" spans="1:12" ht="20.2" customHeight="1">
      <c r="A136" s="617"/>
      <c r="B136" s="34"/>
      <c r="C136" s="54" t="s">
        <v>780</v>
      </c>
      <c r="D136" s="951">
        <v>2</v>
      </c>
      <c r="E136" s="471">
        <v>2.1</v>
      </c>
      <c r="F136" s="462">
        <v>0.1</v>
      </c>
      <c r="G136" s="462">
        <v>7.4999999999999997E-2</v>
      </c>
      <c r="H136" s="462">
        <f>ROUND(D136*E136*F136*G136,3)</f>
        <v>3.2000000000000001E-2</v>
      </c>
      <c r="I136" s="471">
        <v>44785</v>
      </c>
      <c r="J136" s="471">
        <f t="shared" ref="J136:J141" si="6">ROUND(H136*I136,2)</f>
        <v>1433.12</v>
      </c>
      <c r="K136" s="31"/>
    </row>
    <row r="137" spans="1:12" ht="20.2" customHeight="1">
      <c r="A137" s="617"/>
      <c r="B137" s="34"/>
      <c r="C137" s="54" t="s">
        <v>781</v>
      </c>
      <c r="D137" s="951">
        <v>1</v>
      </c>
      <c r="E137" s="471">
        <v>1.35</v>
      </c>
      <c r="F137" s="462">
        <v>0.1</v>
      </c>
      <c r="G137" s="462">
        <v>7.4999999999999997E-2</v>
      </c>
      <c r="H137" s="462">
        <f>ROUND(D137*E137*F137*G137,3)</f>
        <v>0.01</v>
      </c>
      <c r="I137" s="471">
        <v>44785</v>
      </c>
      <c r="J137" s="471">
        <f t="shared" si="6"/>
        <v>447.85</v>
      </c>
      <c r="K137" s="31"/>
    </row>
    <row r="138" spans="1:12" ht="20.2" customHeight="1">
      <c r="A138" s="617"/>
      <c r="B138" s="34"/>
      <c r="C138" s="54" t="s">
        <v>782</v>
      </c>
      <c r="D138" s="951">
        <v>4</v>
      </c>
      <c r="E138" s="471">
        <f>(2.1-1*0.075-0.075)+1*0.015</f>
        <v>1.9649999999999999</v>
      </c>
      <c r="F138" s="462">
        <v>0.1</v>
      </c>
      <c r="G138" s="462">
        <f>1.25*25.4/1000</f>
        <v>3.175E-2</v>
      </c>
      <c r="H138" s="462">
        <f>ROUND(D138*E138*F138*G138,3)</f>
        <v>2.5000000000000001E-2</v>
      </c>
      <c r="I138" s="471">
        <v>145240</v>
      </c>
      <c r="J138" s="471">
        <f t="shared" si="6"/>
        <v>3631</v>
      </c>
      <c r="K138" s="31"/>
    </row>
    <row r="139" spans="1:12" ht="20.2" customHeight="1">
      <c r="A139" s="617"/>
      <c r="B139" s="34"/>
      <c r="C139" s="54" t="s">
        <v>783</v>
      </c>
      <c r="D139" s="951" t="s">
        <v>791</v>
      </c>
      <c r="E139" s="471">
        <f>(1.2-2*0.075+2*0.015)/2</f>
        <v>0.54</v>
      </c>
      <c r="F139" s="462">
        <v>0.1</v>
      </c>
      <c r="G139" s="462">
        <f>1.25*25.4/1000</f>
        <v>3.175E-2</v>
      </c>
      <c r="H139" s="462">
        <f>ROUND(12*E139*F139*G139,3)</f>
        <v>2.1000000000000001E-2</v>
      </c>
      <c r="I139" s="471">
        <v>145240</v>
      </c>
      <c r="J139" s="471">
        <f t="shared" si="6"/>
        <v>3050.04</v>
      </c>
      <c r="K139" s="31"/>
    </row>
    <row r="140" spans="1:12" ht="20.2" customHeight="1">
      <c r="A140" s="617"/>
      <c r="B140" s="34"/>
      <c r="C140" s="54" t="s">
        <v>1481</v>
      </c>
      <c r="D140" s="951" t="s">
        <v>792</v>
      </c>
      <c r="E140" s="471">
        <f>(1.2-2*0.075+2*0.015)/2-2*0.1+2*0.025</f>
        <v>0.39</v>
      </c>
      <c r="F140" s="462">
        <f>(2.1-2*0.075+1*0.015-6*0.1)/5+2*0.025</f>
        <v>0.32300000000000001</v>
      </c>
      <c r="G140" s="462">
        <v>2.5000000000000001E-2</v>
      </c>
      <c r="H140" s="462">
        <f>ROUND(10*E140*F140*G140,3)</f>
        <v>3.1E-2</v>
      </c>
      <c r="I140" s="471">
        <v>145240</v>
      </c>
      <c r="J140" s="471">
        <f t="shared" si="6"/>
        <v>4502.4399999999996</v>
      </c>
      <c r="K140" s="31"/>
    </row>
    <row r="141" spans="1:12" ht="20.2" customHeight="1">
      <c r="A141" s="617"/>
      <c r="B141" s="34"/>
      <c r="C141" s="54" t="s">
        <v>1482</v>
      </c>
      <c r="D141" s="951"/>
      <c r="E141" s="471"/>
      <c r="F141" s="462"/>
      <c r="G141" s="462"/>
      <c r="H141" s="462">
        <f>SUM(H136:H140)</f>
        <v>0.11900000000000001</v>
      </c>
      <c r="I141" s="465">
        <f>G25</f>
        <v>19572.5</v>
      </c>
      <c r="J141" s="471">
        <f t="shared" si="6"/>
        <v>2329.13</v>
      </c>
      <c r="K141" s="31"/>
    </row>
    <row r="142" spans="1:12" ht="33.299999999999997">
      <c r="A142" s="617" t="s">
        <v>787</v>
      </c>
      <c r="B142" s="19"/>
      <c r="C142" s="54" t="s">
        <v>788</v>
      </c>
      <c r="D142" s="951"/>
      <c r="E142" s="471"/>
      <c r="F142" s="462"/>
      <c r="G142" s="952"/>
      <c r="H142" s="952"/>
      <c r="I142" s="471"/>
      <c r="J142" s="471"/>
      <c r="K142" s="31"/>
    </row>
    <row r="143" spans="1:12" ht="20.2" customHeight="1">
      <c r="A143" s="617"/>
      <c r="B143" s="19"/>
      <c r="C143" s="693" t="s">
        <v>911</v>
      </c>
      <c r="D143" s="951" t="s">
        <v>1035</v>
      </c>
      <c r="E143" s="471" t="s">
        <v>1617</v>
      </c>
      <c r="F143" s="462"/>
      <c r="G143" s="462"/>
      <c r="H143" s="948">
        <v>2</v>
      </c>
      <c r="I143" s="471">
        <v>68</v>
      </c>
      <c r="J143" s="471">
        <f t="shared" ref="J143:J151" si="7">ROUND(H143*I143,2)</f>
        <v>136</v>
      </c>
      <c r="K143" s="31"/>
      <c r="L143" s="471">
        <v>68</v>
      </c>
    </row>
    <row r="144" spans="1:12" ht="20.2" customHeight="1">
      <c r="A144" s="617"/>
      <c r="B144" s="19"/>
      <c r="C144" s="693" t="s">
        <v>912</v>
      </c>
      <c r="D144" s="951" t="s">
        <v>1035</v>
      </c>
      <c r="E144" s="471" t="s">
        <v>1618</v>
      </c>
      <c r="F144" s="462"/>
      <c r="G144" s="462"/>
      <c r="H144" s="948">
        <v>1</v>
      </c>
      <c r="I144" s="471">
        <v>35</v>
      </c>
      <c r="J144" s="471">
        <f t="shared" si="7"/>
        <v>35</v>
      </c>
      <c r="K144" s="31"/>
      <c r="L144" s="471">
        <v>35</v>
      </c>
    </row>
    <row r="145" spans="1:12" ht="20.2" customHeight="1">
      <c r="A145" s="617"/>
      <c r="B145" s="19"/>
      <c r="C145" s="196" t="s">
        <v>913</v>
      </c>
      <c r="D145" s="951" t="s">
        <v>1035</v>
      </c>
      <c r="E145" s="471" t="s">
        <v>1619</v>
      </c>
      <c r="F145" s="462"/>
      <c r="G145" s="462"/>
      <c r="H145" s="948">
        <v>6</v>
      </c>
      <c r="I145" s="471">
        <v>31</v>
      </c>
      <c r="J145" s="471">
        <f t="shared" si="7"/>
        <v>186</v>
      </c>
      <c r="K145" s="31"/>
      <c r="L145" s="471">
        <v>31</v>
      </c>
    </row>
    <row r="146" spans="1:12" ht="20.2" customHeight="1">
      <c r="A146" s="617"/>
      <c r="B146" s="19"/>
      <c r="C146" s="693" t="s">
        <v>914</v>
      </c>
      <c r="D146" s="951" t="s">
        <v>1035</v>
      </c>
      <c r="E146" s="471" t="s">
        <v>1620</v>
      </c>
      <c r="F146" s="462"/>
      <c r="G146" s="462"/>
      <c r="H146" s="948">
        <v>1</v>
      </c>
      <c r="I146" s="471">
        <v>164</v>
      </c>
      <c r="J146" s="471">
        <f t="shared" si="7"/>
        <v>164</v>
      </c>
      <c r="K146" s="31"/>
      <c r="L146" s="471">
        <v>164</v>
      </c>
    </row>
    <row r="147" spans="1:12" ht="20.2" customHeight="1">
      <c r="A147" s="617"/>
      <c r="B147" s="19"/>
      <c r="C147" s="693" t="s">
        <v>296</v>
      </c>
      <c r="D147" s="951" t="s">
        <v>1035</v>
      </c>
      <c r="E147" s="471" t="s">
        <v>1621</v>
      </c>
      <c r="F147" s="462"/>
      <c r="G147" s="462"/>
      <c r="H147" s="948">
        <v>2</v>
      </c>
      <c r="I147" s="471">
        <v>45</v>
      </c>
      <c r="J147" s="471">
        <f t="shared" si="7"/>
        <v>90</v>
      </c>
      <c r="K147" s="31"/>
      <c r="L147" s="471">
        <v>45</v>
      </c>
    </row>
    <row r="148" spans="1:12" ht="20.2" customHeight="1">
      <c r="A148" s="617"/>
      <c r="B148" s="19"/>
      <c r="C148" s="54" t="s">
        <v>420</v>
      </c>
      <c r="D148" s="951"/>
      <c r="E148" s="471" t="s">
        <v>1622</v>
      </c>
      <c r="F148" s="462"/>
      <c r="G148" s="462"/>
      <c r="H148" s="948">
        <v>3</v>
      </c>
      <c r="I148" s="471">
        <v>31</v>
      </c>
      <c r="J148" s="471">
        <f t="shared" si="7"/>
        <v>93</v>
      </c>
      <c r="K148" s="31"/>
      <c r="L148" s="471">
        <v>31</v>
      </c>
    </row>
    <row r="149" spans="1:12" ht="20.2" customHeight="1">
      <c r="A149" s="617"/>
      <c r="B149" s="19"/>
      <c r="C149" s="693" t="s">
        <v>799</v>
      </c>
      <c r="D149" s="951" t="s">
        <v>882</v>
      </c>
      <c r="E149" s="471" t="s">
        <v>1652</v>
      </c>
      <c r="F149" s="462"/>
      <c r="G149" s="462"/>
      <c r="H149" s="948">
        <v>80</v>
      </c>
      <c r="I149" s="471">
        <v>3</v>
      </c>
      <c r="J149" s="471">
        <f t="shared" si="7"/>
        <v>240</v>
      </c>
      <c r="K149" s="31"/>
      <c r="L149" s="471">
        <v>3</v>
      </c>
    </row>
    <row r="150" spans="1:12" ht="20.2" customHeight="1">
      <c r="A150" s="617"/>
      <c r="B150" s="19"/>
      <c r="C150" s="693" t="s">
        <v>231</v>
      </c>
      <c r="D150" s="951" t="s">
        <v>882</v>
      </c>
      <c r="E150" s="471" t="s">
        <v>1650</v>
      </c>
      <c r="F150" s="462"/>
      <c r="G150" s="462"/>
      <c r="H150" s="948">
        <v>10</v>
      </c>
      <c r="I150" s="471">
        <v>16</v>
      </c>
      <c r="J150" s="471">
        <f t="shared" si="7"/>
        <v>160</v>
      </c>
      <c r="K150" s="31"/>
      <c r="L150" s="471">
        <v>16</v>
      </c>
    </row>
    <row r="151" spans="1:12" ht="20.2" customHeight="1">
      <c r="A151" s="617"/>
      <c r="B151" s="32"/>
      <c r="C151" s="693" t="s">
        <v>1598</v>
      </c>
      <c r="D151" s="951"/>
      <c r="E151" s="953" t="s">
        <v>1651</v>
      </c>
      <c r="F151" s="462"/>
      <c r="G151" s="462"/>
      <c r="H151" s="948">
        <v>6</v>
      </c>
      <c r="I151" s="471">
        <v>32</v>
      </c>
      <c r="J151" s="471">
        <f t="shared" si="7"/>
        <v>192</v>
      </c>
      <c r="K151" s="31"/>
    </row>
    <row r="152" spans="1:12" ht="20.2" customHeight="1">
      <c r="A152" s="617"/>
      <c r="B152" s="34"/>
      <c r="C152" s="54" t="s">
        <v>1484</v>
      </c>
      <c r="D152" s="951">
        <v>2.25</v>
      </c>
      <c r="E152" s="471">
        <v>1.2</v>
      </c>
      <c r="F152" s="462"/>
      <c r="G152" s="471">
        <v>2.1</v>
      </c>
      <c r="H152" s="462">
        <f>ROUND(G152*E152*D152,2)</f>
        <v>5.67</v>
      </c>
      <c r="I152" s="698">
        <f>G15</f>
        <v>561.35799999999995</v>
      </c>
      <c r="J152" s="471">
        <f>H152*I152/10</f>
        <v>318.28998599999994</v>
      </c>
      <c r="K152" s="31"/>
    </row>
    <row r="153" spans="1:12" ht="20.2" customHeight="1">
      <c r="A153" s="617"/>
      <c r="B153" s="34"/>
      <c r="C153" s="54" t="s">
        <v>230</v>
      </c>
      <c r="D153" s="951"/>
      <c r="E153" s="471"/>
      <c r="F153" s="462"/>
      <c r="G153" s="462"/>
      <c r="H153" s="948">
        <v>1</v>
      </c>
      <c r="I153" s="471">
        <v>75</v>
      </c>
      <c r="J153" s="471">
        <f>ROUND(H153*I153,2)</f>
        <v>75</v>
      </c>
      <c r="K153" s="31"/>
    </row>
    <row r="154" spans="1:12" ht="20.2" customHeight="1">
      <c r="A154" s="617"/>
      <c r="B154" s="34"/>
      <c r="D154" s="951"/>
      <c r="E154" s="471"/>
      <c r="F154" s="462"/>
      <c r="G154" s="462"/>
      <c r="H154" s="462"/>
      <c r="I154" s="471"/>
      <c r="J154" s="471">
        <f>SUM(J136:J153)</f>
        <v>17082.869985999998</v>
      </c>
      <c r="K154" s="31"/>
    </row>
    <row r="155" spans="1:12" s="18" customFormat="1" ht="20.2" customHeight="1">
      <c r="A155" s="617"/>
      <c r="B155" s="40"/>
      <c r="C155" s="54" t="s">
        <v>1600</v>
      </c>
      <c r="D155" s="954"/>
      <c r="E155" s="468"/>
      <c r="F155" s="458"/>
      <c r="G155" s="458"/>
      <c r="H155" s="458">
        <f>J154</f>
        <v>17082.869985999998</v>
      </c>
      <c r="I155" s="468">
        <f>I6</f>
        <v>0</v>
      </c>
      <c r="J155" s="468">
        <f>ROUND(H155*I155,2)</f>
        <v>0</v>
      </c>
      <c r="K155" s="17"/>
    </row>
    <row r="156" spans="1:12" s="18" customFormat="1" ht="20.2" customHeight="1">
      <c r="A156" s="617"/>
      <c r="B156" s="411"/>
      <c r="C156" s="283" t="s">
        <v>256</v>
      </c>
      <c r="D156" s="955"/>
      <c r="E156" s="469"/>
      <c r="F156" s="460"/>
      <c r="G156" s="460"/>
      <c r="H156" s="460"/>
      <c r="I156" s="469" t="s">
        <v>416</v>
      </c>
      <c r="J156" s="469">
        <f>SUM(J154:J155)</f>
        <v>17082.869985999998</v>
      </c>
      <c r="K156" s="17"/>
    </row>
    <row r="157" spans="1:12">
      <c r="A157" s="617"/>
      <c r="B157" s="34"/>
      <c r="C157" s="55" t="s">
        <v>1298</v>
      </c>
      <c r="D157" s="954"/>
      <c r="E157" s="468"/>
      <c r="F157" s="462"/>
      <c r="G157" s="462"/>
      <c r="H157" s="462"/>
      <c r="I157" s="471"/>
      <c r="J157" s="471"/>
      <c r="K157" s="31"/>
    </row>
    <row r="158" spans="1:12">
      <c r="A158" s="617"/>
      <c r="B158" s="34"/>
      <c r="C158" s="54" t="s">
        <v>779</v>
      </c>
      <c r="D158" s="951"/>
      <c r="E158" s="471"/>
      <c r="F158" s="462"/>
      <c r="G158" s="462"/>
      <c r="H158" s="462"/>
      <c r="I158" s="471"/>
      <c r="J158" s="471"/>
      <c r="K158" s="31"/>
    </row>
    <row r="159" spans="1:12" ht="20.2" customHeight="1">
      <c r="A159" s="617"/>
      <c r="B159" s="34"/>
      <c r="C159" s="54" t="s">
        <v>780</v>
      </c>
      <c r="D159" s="951">
        <v>2</v>
      </c>
      <c r="E159" s="471">
        <v>2.1</v>
      </c>
      <c r="F159" s="462">
        <v>0.1</v>
      </c>
      <c r="G159" s="462">
        <v>7.4999999999999997E-2</v>
      </c>
      <c r="H159" s="462">
        <f>ROUND(D159*E159*F159*G159,3)</f>
        <v>3.2000000000000001E-2</v>
      </c>
      <c r="I159" s="471">
        <v>44785</v>
      </c>
      <c r="J159" s="462">
        <f>ROUND(H159*I159,2)</f>
        <v>1433.12</v>
      </c>
      <c r="K159" s="31"/>
    </row>
    <row r="160" spans="1:12" ht="20.2" customHeight="1">
      <c r="A160" s="617"/>
      <c r="B160" s="34"/>
      <c r="C160" s="54" t="s">
        <v>781</v>
      </c>
      <c r="D160" s="951">
        <v>1</v>
      </c>
      <c r="E160" s="471">
        <v>1.35</v>
      </c>
      <c r="F160" s="462">
        <v>0.1</v>
      </c>
      <c r="G160" s="462">
        <v>7.4999999999999997E-2</v>
      </c>
      <c r="H160" s="462">
        <f>ROUND(D160*E160*F160*G160,3)</f>
        <v>0.01</v>
      </c>
      <c r="I160" s="471">
        <v>44785</v>
      </c>
      <c r="J160" s="462">
        <f>ROUND(H160*I160,2)</f>
        <v>447.85</v>
      </c>
      <c r="K160" s="31"/>
    </row>
    <row r="161" spans="1:11" ht="20.2" customHeight="1">
      <c r="A161" s="617"/>
      <c r="B161" s="34"/>
      <c r="C161" s="54" t="s">
        <v>1482</v>
      </c>
      <c r="D161" s="951"/>
      <c r="E161" s="471"/>
      <c r="F161" s="462"/>
      <c r="G161" s="462"/>
      <c r="H161" s="462">
        <f>SUM(H159:H160)</f>
        <v>4.2000000000000003E-2</v>
      </c>
      <c r="I161" s="465">
        <f>G25</f>
        <v>19572.5</v>
      </c>
      <c r="J161" s="462">
        <f>ROUND(H161*I161,2)</f>
        <v>822.05</v>
      </c>
      <c r="K161" s="31"/>
    </row>
    <row r="162" spans="1:11" ht="20.2" customHeight="1">
      <c r="A162" s="617"/>
      <c r="B162" s="34"/>
      <c r="C162" s="54" t="s">
        <v>1484</v>
      </c>
      <c r="D162" s="951" t="s">
        <v>539</v>
      </c>
      <c r="E162" s="471">
        <v>1.2</v>
      </c>
      <c r="F162" s="462"/>
      <c r="G162" s="462">
        <v>2.1</v>
      </c>
      <c r="H162" s="462">
        <f>ROUND(G162*E162*2.25/3,2)</f>
        <v>1.89</v>
      </c>
      <c r="I162" s="698">
        <f>G15</f>
        <v>561.35799999999995</v>
      </c>
      <c r="J162" s="471">
        <f>H162*I162/10</f>
        <v>106.09666199999999</v>
      </c>
      <c r="K162" s="31"/>
    </row>
    <row r="163" spans="1:11" ht="20.2" customHeight="1">
      <c r="A163" s="617"/>
      <c r="B163" s="32"/>
      <c r="C163" s="54" t="s">
        <v>1598</v>
      </c>
      <c r="D163" s="951"/>
      <c r="E163" s="953" t="s">
        <v>1651</v>
      </c>
      <c r="F163" s="462"/>
      <c r="G163" s="462"/>
      <c r="H163" s="948">
        <v>6</v>
      </c>
      <c r="I163" s="471">
        <v>32</v>
      </c>
      <c r="J163" s="471">
        <f>ROUND(H163*I163,2)</f>
        <v>192</v>
      </c>
      <c r="K163" s="31"/>
    </row>
    <row r="164" spans="1:11" ht="20.2" customHeight="1">
      <c r="A164" s="617"/>
      <c r="B164" s="34"/>
      <c r="C164" s="54" t="s">
        <v>230</v>
      </c>
      <c r="D164" s="951"/>
      <c r="E164" s="471"/>
      <c r="F164" s="462"/>
      <c r="G164" s="462"/>
      <c r="H164" s="948">
        <v>1</v>
      </c>
      <c r="I164" s="471">
        <v>50</v>
      </c>
      <c r="J164" s="471">
        <f>H164*I164</f>
        <v>50</v>
      </c>
      <c r="K164" s="31"/>
    </row>
    <row r="165" spans="1:11" ht="20.2" customHeight="1">
      <c r="A165" s="617"/>
      <c r="B165" s="34"/>
      <c r="D165" s="951"/>
      <c r="E165" s="471"/>
      <c r="F165" s="462"/>
      <c r="G165" s="462"/>
      <c r="H165" s="462"/>
      <c r="I165" s="471"/>
      <c r="J165" s="471">
        <f>SUM(J159:J164)</f>
        <v>3051.1166619999995</v>
      </c>
      <c r="K165" s="31"/>
    </row>
    <row r="166" spans="1:11" s="18" customFormat="1" ht="20.2" customHeight="1">
      <c r="A166" s="617"/>
      <c r="B166" s="40"/>
      <c r="C166" s="54" t="s">
        <v>1600</v>
      </c>
      <c r="D166" s="954"/>
      <c r="E166" s="468"/>
      <c r="F166" s="458"/>
      <c r="G166" s="458"/>
      <c r="H166" s="458">
        <f>J165</f>
        <v>3051.1166619999995</v>
      </c>
      <c r="I166" s="468">
        <f>+I6</f>
        <v>0</v>
      </c>
      <c r="J166" s="468">
        <f>ROUND(H166*I166,2)</f>
        <v>0</v>
      </c>
      <c r="K166" s="17"/>
    </row>
    <row r="167" spans="1:11" s="439" customFormat="1" ht="20.2" customHeight="1">
      <c r="A167" s="617" t="s">
        <v>542</v>
      </c>
      <c r="B167" s="411"/>
      <c r="C167" s="283" t="s">
        <v>1299</v>
      </c>
      <c r="D167" s="955"/>
      <c r="E167" s="469"/>
      <c r="F167" s="460"/>
      <c r="G167" s="460"/>
      <c r="H167" s="460"/>
      <c r="I167" s="469" t="s">
        <v>1486</v>
      </c>
      <c r="J167" s="469">
        <f>SUM(J165:J166)</f>
        <v>3051.1166619999995</v>
      </c>
      <c r="K167" s="447"/>
    </row>
    <row r="168" spans="1:11" s="439" customFormat="1" ht="20.2" customHeight="1">
      <c r="A168" s="617"/>
      <c r="B168" s="411"/>
      <c r="C168" s="283" t="s">
        <v>1300</v>
      </c>
      <c r="D168" s="955"/>
      <c r="E168" s="469"/>
      <c r="F168" s="460"/>
      <c r="G168" s="460"/>
      <c r="H168" s="460"/>
      <c r="I168" s="469" t="s">
        <v>1486</v>
      </c>
      <c r="J168" s="469">
        <f>J156-J167</f>
        <v>14031.753323999998</v>
      </c>
      <c r="K168" s="447"/>
    </row>
    <row r="169" spans="1:11" ht="245.1">
      <c r="A169" s="617"/>
      <c r="B169" s="26">
        <v>6</v>
      </c>
      <c r="C169" s="54" t="s">
        <v>2233</v>
      </c>
      <c r="D169" s="951"/>
      <c r="E169" s="471"/>
      <c r="F169" s="462"/>
      <c r="G169" s="462"/>
      <c r="H169" s="462"/>
      <c r="I169" s="471"/>
      <c r="J169" s="471"/>
      <c r="K169" s="31"/>
    </row>
    <row r="170" spans="1:11">
      <c r="A170" s="617"/>
      <c r="B170" s="34"/>
      <c r="C170" s="55" t="s">
        <v>2228</v>
      </c>
      <c r="D170" s="954"/>
      <c r="E170" s="468"/>
      <c r="F170" s="462"/>
      <c r="G170" s="462"/>
      <c r="H170" s="462"/>
      <c r="I170" s="471"/>
      <c r="J170" s="471"/>
      <c r="K170" s="31"/>
    </row>
    <row r="171" spans="1:11">
      <c r="A171" s="617"/>
      <c r="B171" s="34"/>
      <c r="C171" s="54" t="s">
        <v>779</v>
      </c>
      <c r="D171" s="951"/>
      <c r="E171" s="471"/>
      <c r="F171" s="462"/>
      <c r="G171" s="462"/>
      <c r="H171" s="462"/>
      <c r="I171" s="471"/>
      <c r="J171" s="471"/>
      <c r="K171" s="31"/>
    </row>
    <row r="172" spans="1:11" ht="20.2" customHeight="1">
      <c r="A172" s="617"/>
      <c r="B172" s="34"/>
      <c r="C172" s="54" t="s">
        <v>780</v>
      </c>
      <c r="D172" s="951">
        <v>2</v>
      </c>
      <c r="E172" s="471">
        <v>2.4</v>
      </c>
      <c r="F172" s="462">
        <v>0.1</v>
      </c>
      <c r="G172" s="462">
        <v>0.15</v>
      </c>
      <c r="H172" s="462">
        <f>ROUND(D172*E172*F172*G172,3)</f>
        <v>7.1999999999999995E-2</v>
      </c>
      <c r="I172" s="471">
        <v>44785</v>
      </c>
      <c r="J172" s="471">
        <f>ROUND(H172*I172,2)</f>
        <v>3224.52</v>
      </c>
      <c r="K172" s="31"/>
    </row>
    <row r="173" spans="1:11" ht="20.2" customHeight="1">
      <c r="A173" s="617"/>
      <c r="B173" s="34"/>
      <c r="C173" s="54" t="s">
        <v>781</v>
      </c>
      <c r="D173" s="951">
        <v>2</v>
      </c>
      <c r="E173" s="471">
        <v>1.65</v>
      </c>
      <c r="F173" s="462">
        <v>0.1</v>
      </c>
      <c r="G173" s="462">
        <v>0.15</v>
      </c>
      <c r="H173" s="462">
        <f>ROUND(D173*E173*F173*G173,3)</f>
        <v>0.05</v>
      </c>
      <c r="I173" s="471">
        <v>44785</v>
      </c>
      <c r="J173" s="471">
        <f>ROUND(H173*I173,2)</f>
        <v>2239.25</v>
      </c>
      <c r="K173" s="31"/>
    </row>
    <row r="174" spans="1:11" ht="20.2" customHeight="1">
      <c r="A174" s="617"/>
      <c r="B174" s="34"/>
      <c r="C174" s="54" t="s">
        <v>1482</v>
      </c>
      <c r="D174" s="951"/>
      <c r="E174" s="471"/>
      <c r="F174" s="462"/>
      <c r="G174" s="462"/>
      <c r="H174" s="462">
        <f>SUM(H172:H173)</f>
        <v>0.122</v>
      </c>
      <c r="I174" s="465">
        <f>G25</f>
        <v>19572.5</v>
      </c>
      <c r="J174" s="471">
        <f>ROUND(H174*I174,2)</f>
        <v>2387.85</v>
      </c>
      <c r="K174" s="31"/>
    </row>
    <row r="175" spans="1:11" ht="72" customHeight="1">
      <c r="A175" s="617"/>
      <c r="B175" s="34"/>
      <c r="C175" s="54" t="s">
        <v>2225</v>
      </c>
      <c r="D175" s="951">
        <v>2</v>
      </c>
      <c r="E175" s="471">
        <f>(1.5-2*0.1+2*0.015)/2</f>
        <v>0.66500000000000004</v>
      </c>
      <c r="F175" s="462"/>
      <c r="G175" s="471">
        <f>(2.4-1*0.075-0.075)+1*0.015</f>
        <v>2.2649999999999997</v>
      </c>
      <c r="H175" s="462">
        <f>G175*E175*D175</f>
        <v>3.0124499999999999</v>
      </c>
      <c r="I175" s="465">
        <v>1848</v>
      </c>
      <c r="J175" s="471">
        <f>ROUND(H175*I175,2)</f>
        <v>5567.01</v>
      </c>
      <c r="K175" s="31"/>
    </row>
    <row r="176" spans="1:11" ht="40.5" customHeight="1">
      <c r="A176" s="617" t="s">
        <v>2226</v>
      </c>
      <c r="B176" s="34"/>
      <c r="C176" s="54" t="s">
        <v>1482</v>
      </c>
      <c r="D176" s="951">
        <v>2</v>
      </c>
      <c r="E176" s="471">
        <f>(1.5-2*0.1+2*0.015)/2</f>
        <v>0.66500000000000004</v>
      </c>
      <c r="F176" s="462"/>
      <c r="G176" s="471">
        <f>(2.4-1*0.075-0.075)+1*0.015</f>
        <v>2.2649999999999997</v>
      </c>
      <c r="H176" s="462">
        <f>G176*E176*D176</f>
        <v>3.0124499999999999</v>
      </c>
      <c r="I176" s="465">
        <v>445</v>
      </c>
      <c r="J176" s="471">
        <f>ROUND(H176*I176,2)</f>
        <v>1340.54</v>
      </c>
      <c r="K176" s="31"/>
    </row>
    <row r="177" spans="1:12" ht="33.299999999999997">
      <c r="A177" s="617" t="s">
        <v>787</v>
      </c>
      <c r="B177" s="19"/>
      <c r="C177" s="54" t="s">
        <v>788</v>
      </c>
      <c r="D177" s="951"/>
      <c r="E177" s="471"/>
      <c r="F177" s="462"/>
      <c r="G177" s="952"/>
      <c r="H177" s="952"/>
      <c r="I177" s="471"/>
      <c r="J177" s="471"/>
      <c r="K177" s="31"/>
    </row>
    <row r="178" spans="1:12" ht="20.2" customHeight="1">
      <c r="A178" s="617"/>
      <c r="B178" s="19"/>
      <c r="C178" s="693" t="s">
        <v>911</v>
      </c>
      <c r="D178" s="951" t="s">
        <v>1035</v>
      </c>
      <c r="E178" s="471" t="s">
        <v>1617</v>
      </c>
      <c r="F178" s="462"/>
      <c r="G178" s="462"/>
      <c r="H178" s="948">
        <v>2</v>
      </c>
      <c r="I178" s="471">
        <v>68</v>
      </c>
      <c r="J178" s="471">
        <f t="shared" ref="J178:J186" si="8">ROUND(H178*I178,2)</f>
        <v>136</v>
      </c>
      <c r="K178" s="31"/>
      <c r="L178" s="471"/>
    </row>
    <row r="179" spans="1:12" ht="20.2" customHeight="1">
      <c r="A179" s="617"/>
      <c r="B179" s="19"/>
      <c r="C179" s="693" t="s">
        <v>912</v>
      </c>
      <c r="D179" s="951" t="s">
        <v>1035</v>
      </c>
      <c r="E179" s="471" t="s">
        <v>1618</v>
      </c>
      <c r="F179" s="462"/>
      <c r="G179" s="462"/>
      <c r="H179" s="948">
        <v>1</v>
      </c>
      <c r="I179" s="471">
        <v>35</v>
      </c>
      <c r="J179" s="471">
        <f t="shared" si="8"/>
        <v>35</v>
      </c>
      <c r="K179" s="31"/>
      <c r="L179" s="471"/>
    </row>
    <row r="180" spans="1:12" ht="20.2" customHeight="1">
      <c r="A180" s="617"/>
      <c r="B180" s="19"/>
      <c r="C180" s="196" t="s">
        <v>913</v>
      </c>
      <c r="D180" s="951" t="s">
        <v>1035</v>
      </c>
      <c r="E180" s="471" t="s">
        <v>1619</v>
      </c>
      <c r="F180" s="462"/>
      <c r="G180" s="462"/>
      <c r="H180" s="948">
        <v>6</v>
      </c>
      <c r="I180" s="471">
        <v>31</v>
      </c>
      <c r="J180" s="471">
        <f t="shared" si="8"/>
        <v>186</v>
      </c>
      <c r="K180" s="31"/>
      <c r="L180" s="471"/>
    </row>
    <row r="181" spans="1:12" ht="20.2" customHeight="1">
      <c r="A181" s="617"/>
      <c r="B181" s="19"/>
      <c r="C181" s="693" t="s">
        <v>914</v>
      </c>
      <c r="D181" s="951" t="s">
        <v>1035</v>
      </c>
      <c r="E181" s="471" t="s">
        <v>1620</v>
      </c>
      <c r="F181" s="462"/>
      <c r="G181" s="462"/>
      <c r="H181" s="948">
        <v>1</v>
      </c>
      <c r="I181" s="471">
        <v>164</v>
      </c>
      <c r="J181" s="471">
        <f t="shared" si="8"/>
        <v>164</v>
      </c>
      <c r="K181" s="31"/>
      <c r="L181" s="471"/>
    </row>
    <row r="182" spans="1:12" ht="20.2" customHeight="1">
      <c r="A182" s="617"/>
      <c r="B182" s="19"/>
      <c r="C182" s="693" t="s">
        <v>296</v>
      </c>
      <c r="D182" s="951" t="s">
        <v>1035</v>
      </c>
      <c r="E182" s="471" t="s">
        <v>1621</v>
      </c>
      <c r="F182" s="462"/>
      <c r="G182" s="462"/>
      <c r="H182" s="948">
        <v>2</v>
      </c>
      <c r="I182" s="471">
        <v>45</v>
      </c>
      <c r="J182" s="471">
        <f t="shared" si="8"/>
        <v>90</v>
      </c>
      <c r="K182" s="31"/>
      <c r="L182" s="471"/>
    </row>
    <row r="183" spans="1:12" ht="20.2" customHeight="1">
      <c r="A183" s="617"/>
      <c r="B183" s="19"/>
      <c r="C183" s="54" t="s">
        <v>420</v>
      </c>
      <c r="D183" s="951"/>
      <c r="E183" s="471" t="s">
        <v>1622</v>
      </c>
      <c r="F183" s="462"/>
      <c r="G183" s="462"/>
      <c r="H183" s="948">
        <v>3</v>
      </c>
      <c r="I183" s="471">
        <v>31</v>
      </c>
      <c r="J183" s="471">
        <f t="shared" si="8"/>
        <v>93</v>
      </c>
      <c r="K183" s="31"/>
      <c r="L183" s="471"/>
    </row>
    <row r="184" spans="1:12" ht="20.2" customHeight="1">
      <c r="A184" s="617"/>
      <c r="B184" s="19"/>
      <c r="C184" s="693" t="s">
        <v>799</v>
      </c>
      <c r="D184" s="951" t="s">
        <v>882</v>
      </c>
      <c r="E184" s="471" t="s">
        <v>1652</v>
      </c>
      <c r="F184" s="462"/>
      <c r="G184" s="462"/>
      <c r="H184" s="948">
        <v>80</v>
      </c>
      <c r="I184" s="471">
        <v>3</v>
      </c>
      <c r="J184" s="471">
        <f t="shared" si="8"/>
        <v>240</v>
      </c>
      <c r="K184" s="31"/>
      <c r="L184" s="471"/>
    </row>
    <row r="185" spans="1:12" ht="20.2" customHeight="1">
      <c r="A185" s="617"/>
      <c r="B185" s="19"/>
      <c r="C185" s="693" t="s">
        <v>231</v>
      </c>
      <c r="D185" s="951" t="s">
        <v>882</v>
      </c>
      <c r="E185" s="471" t="s">
        <v>1650</v>
      </c>
      <c r="F185" s="462"/>
      <c r="G185" s="462"/>
      <c r="H185" s="948">
        <v>10</v>
      </c>
      <c r="I185" s="471">
        <v>16</v>
      </c>
      <c r="J185" s="471">
        <f t="shared" si="8"/>
        <v>160</v>
      </c>
      <c r="K185" s="31"/>
      <c r="L185" s="471"/>
    </row>
    <row r="186" spans="1:12" ht="20.2" customHeight="1">
      <c r="A186" s="617"/>
      <c r="B186" s="32"/>
      <c r="C186" s="693" t="s">
        <v>1598</v>
      </c>
      <c r="D186" s="951"/>
      <c r="E186" s="953" t="s">
        <v>1651</v>
      </c>
      <c r="F186" s="462"/>
      <c r="G186" s="462"/>
      <c r="H186" s="948">
        <v>6</v>
      </c>
      <c r="I186" s="471">
        <v>32</v>
      </c>
      <c r="J186" s="471">
        <f t="shared" si="8"/>
        <v>192</v>
      </c>
      <c r="K186" s="31"/>
    </row>
    <row r="187" spans="1:12" ht="20.2" customHeight="1">
      <c r="A187" s="617"/>
      <c r="B187" s="34"/>
      <c r="C187" s="54" t="s">
        <v>1484</v>
      </c>
      <c r="D187" s="951">
        <v>2.25</v>
      </c>
      <c r="E187" s="471">
        <v>1.5</v>
      </c>
      <c r="F187" s="462"/>
      <c r="G187" s="471">
        <v>2.1</v>
      </c>
      <c r="H187" s="462">
        <f>ROUND(G187*E187*2.25,2)</f>
        <v>7.09</v>
      </c>
      <c r="I187" s="698">
        <f>G15</f>
        <v>561.35799999999995</v>
      </c>
      <c r="J187" s="471">
        <f>H187*I187/10</f>
        <v>398.00282199999998</v>
      </c>
      <c r="K187" s="31"/>
    </row>
    <row r="188" spans="1:12" ht="20.2" customHeight="1">
      <c r="A188" s="617"/>
      <c r="B188" s="34"/>
      <c r="C188" s="54" t="s">
        <v>230</v>
      </c>
      <c r="D188" s="951"/>
      <c r="E188" s="471"/>
      <c r="F188" s="462"/>
      <c r="G188" s="462"/>
      <c r="H188" s="948">
        <v>1</v>
      </c>
      <c r="I188" s="471">
        <v>100</v>
      </c>
      <c r="J188" s="471">
        <f>H188*I188</f>
        <v>100</v>
      </c>
      <c r="K188" s="31"/>
    </row>
    <row r="189" spans="1:12" ht="20.2" customHeight="1">
      <c r="A189" s="617"/>
      <c r="B189" s="34"/>
      <c r="D189" s="951"/>
      <c r="E189" s="471"/>
      <c r="F189" s="462"/>
      <c r="G189" s="462"/>
      <c r="H189" s="462"/>
      <c r="I189" s="471"/>
      <c r="J189" s="471">
        <f>SUM(J172:J188)</f>
        <v>16553.172822</v>
      </c>
      <c r="K189" s="31"/>
    </row>
    <row r="190" spans="1:12" s="18" customFormat="1" ht="20.2" customHeight="1">
      <c r="A190" s="617"/>
      <c r="B190" s="40"/>
      <c r="C190" s="54" t="s">
        <v>1600</v>
      </c>
      <c r="D190" s="954"/>
      <c r="E190" s="468"/>
      <c r="F190" s="458"/>
      <c r="G190" s="458"/>
      <c r="H190" s="458">
        <f>J189</f>
        <v>16553.172822</v>
      </c>
      <c r="I190" s="468">
        <f>I6</f>
        <v>0</v>
      </c>
      <c r="J190" s="468">
        <f>ROUND(H190*I190,2)</f>
        <v>0</v>
      </c>
      <c r="K190" s="17"/>
    </row>
    <row r="191" spans="1:12" s="439" customFormat="1" ht="20.2" customHeight="1">
      <c r="A191" s="617" t="s">
        <v>1302</v>
      </c>
      <c r="B191" s="411"/>
      <c r="C191" s="413" t="s">
        <v>256</v>
      </c>
      <c r="D191" s="955"/>
      <c r="E191" s="469"/>
      <c r="F191" s="460"/>
      <c r="G191" s="460"/>
      <c r="H191" s="460"/>
      <c r="I191" s="469" t="s">
        <v>416</v>
      </c>
      <c r="J191" s="469">
        <f>SUM(J189:J190)</f>
        <v>16553.172822</v>
      </c>
      <c r="K191" s="447"/>
    </row>
    <row r="192" spans="1:12" s="439" customFormat="1" ht="20.2" customHeight="1">
      <c r="A192" s="617"/>
      <c r="B192" s="411"/>
      <c r="C192" s="413" t="s">
        <v>2227</v>
      </c>
      <c r="D192" s="955"/>
      <c r="E192" s="469"/>
      <c r="F192" s="460"/>
      <c r="G192" s="460"/>
      <c r="H192" s="460"/>
      <c r="I192" s="469"/>
      <c r="J192" s="469">
        <f>ROUND((J191/(1.5*2.1))*(1.8*2.4),2)</f>
        <v>22701.49</v>
      </c>
      <c r="K192" s="447"/>
    </row>
    <row r="193" spans="1:18">
      <c r="A193" s="617"/>
      <c r="B193" s="34"/>
      <c r="C193" s="55" t="s">
        <v>1303</v>
      </c>
      <c r="D193" s="954"/>
      <c r="E193" s="468"/>
      <c r="F193" s="462"/>
      <c r="G193" s="462"/>
      <c r="H193" s="462"/>
      <c r="I193" s="471"/>
      <c r="J193" s="471"/>
      <c r="K193" s="31"/>
    </row>
    <row r="194" spans="1:18">
      <c r="A194" s="617"/>
      <c r="B194" s="34"/>
      <c r="C194" s="54" t="s">
        <v>779</v>
      </c>
      <c r="D194" s="951"/>
      <c r="E194" s="471"/>
      <c r="F194" s="462"/>
      <c r="G194" s="462"/>
      <c r="H194" s="462"/>
      <c r="I194" s="471"/>
      <c r="J194" s="471"/>
      <c r="K194" s="31"/>
    </row>
    <row r="195" spans="1:18" ht="20.2" customHeight="1">
      <c r="A195" s="617"/>
      <c r="B195" s="34"/>
      <c r="C195" s="54" t="s">
        <v>780</v>
      </c>
      <c r="D195" s="951">
        <v>2</v>
      </c>
      <c r="E195" s="471">
        <v>2.1</v>
      </c>
      <c r="F195" s="462">
        <v>0.1</v>
      </c>
      <c r="G195" s="462">
        <v>0.15</v>
      </c>
      <c r="H195" s="462">
        <f>ROUND(D195*E195*F195*G195,3)</f>
        <v>6.3E-2</v>
      </c>
      <c r="I195" s="471">
        <v>44785</v>
      </c>
      <c r="J195" s="471">
        <f>ROUND(H195*I195,2)</f>
        <v>2821.46</v>
      </c>
      <c r="K195" s="31"/>
    </row>
    <row r="196" spans="1:18" ht="20.2" customHeight="1">
      <c r="A196" s="617"/>
      <c r="B196" s="34"/>
      <c r="C196" s="54" t="s">
        <v>781</v>
      </c>
      <c r="D196" s="951">
        <v>2</v>
      </c>
      <c r="E196" s="471">
        <v>1.65</v>
      </c>
      <c r="F196" s="462">
        <v>0.1</v>
      </c>
      <c r="G196" s="462">
        <v>0.15</v>
      </c>
      <c r="H196" s="462">
        <f>ROUND(D196*E196*F196*G196,3)</f>
        <v>0.05</v>
      </c>
      <c r="I196" s="471">
        <v>44785</v>
      </c>
      <c r="J196" s="471">
        <f>ROUND(H196*I196,2)</f>
        <v>2239.25</v>
      </c>
      <c r="K196" s="31"/>
    </row>
    <row r="197" spans="1:18" ht="20.2" customHeight="1">
      <c r="A197" s="617"/>
      <c r="B197" s="34"/>
      <c r="C197" s="54" t="s">
        <v>1482</v>
      </c>
      <c r="D197" s="951"/>
      <c r="E197" s="471"/>
      <c r="F197" s="462"/>
      <c r="G197" s="462"/>
      <c r="H197" s="462">
        <f>SUM(H195:H196)</f>
        <v>0.113</v>
      </c>
      <c r="I197" s="465">
        <f>G25</f>
        <v>19572.5</v>
      </c>
      <c r="J197" s="471">
        <f>ROUND(H197*I197,2)</f>
        <v>2211.69</v>
      </c>
      <c r="K197" s="31"/>
    </row>
    <row r="198" spans="1:18" ht="20.2" customHeight="1">
      <c r="A198" s="617"/>
      <c r="B198" s="32"/>
      <c r="C198" s="54" t="s">
        <v>1598</v>
      </c>
      <c r="D198" s="951"/>
      <c r="E198" s="953" t="s">
        <v>1651</v>
      </c>
      <c r="F198" s="462"/>
      <c r="G198" s="462"/>
      <c r="H198" s="948">
        <v>6</v>
      </c>
      <c r="I198" s="471">
        <v>32</v>
      </c>
      <c r="J198" s="471">
        <f>ROUND(H198*I198,2)</f>
        <v>192</v>
      </c>
      <c r="K198" s="31"/>
    </row>
    <row r="199" spans="1:18" ht="20.2" customHeight="1">
      <c r="A199" s="617"/>
      <c r="B199" s="34"/>
      <c r="C199" s="54" t="s">
        <v>1484</v>
      </c>
      <c r="D199" s="951" t="s">
        <v>539</v>
      </c>
      <c r="E199" s="471">
        <v>1.5</v>
      </c>
      <c r="F199" s="462"/>
      <c r="G199" s="471">
        <v>2.1</v>
      </c>
      <c r="H199" s="462">
        <f>ROUND(G199*E199*2.25/3,2)</f>
        <v>2.36</v>
      </c>
      <c r="I199" s="698">
        <f>G15</f>
        <v>561.35799999999995</v>
      </c>
      <c r="J199" s="471">
        <f>H199*I199/10</f>
        <v>132.48048799999998</v>
      </c>
      <c r="K199" s="31"/>
    </row>
    <row r="200" spans="1:18" ht="20.2" customHeight="1">
      <c r="A200" s="617"/>
      <c r="B200" s="34"/>
      <c r="C200" s="54" t="s">
        <v>230</v>
      </c>
      <c r="D200" s="951"/>
      <c r="E200" s="471"/>
      <c r="F200" s="462"/>
      <c r="G200" s="462"/>
      <c r="H200" s="948">
        <v>1</v>
      </c>
      <c r="I200" s="471">
        <v>60</v>
      </c>
      <c r="J200" s="471">
        <f>H200*I200</f>
        <v>60</v>
      </c>
      <c r="K200" s="31"/>
    </row>
    <row r="201" spans="1:18" ht="20.2" customHeight="1">
      <c r="A201" s="617"/>
      <c r="B201" s="34"/>
      <c r="D201" s="951"/>
      <c r="E201" s="471"/>
      <c r="F201" s="462"/>
      <c r="G201" s="462"/>
      <c r="H201" s="462"/>
      <c r="I201" s="471"/>
      <c r="J201" s="471">
        <f>SUM(J195:J200)</f>
        <v>7656.8804879999998</v>
      </c>
      <c r="K201" s="31"/>
    </row>
    <row r="202" spans="1:18" s="18" customFormat="1" ht="20.2" customHeight="1">
      <c r="A202" s="617"/>
      <c r="B202" s="40"/>
      <c r="C202" s="54" t="s">
        <v>1600</v>
      </c>
      <c r="D202" s="954"/>
      <c r="E202" s="468"/>
      <c r="F202" s="458"/>
      <c r="G202" s="458"/>
      <c r="H202" s="458">
        <f>J201</f>
        <v>7656.8804879999998</v>
      </c>
      <c r="I202" s="468">
        <f>I6</f>
        <v>0</v>
      </c>
      <c r="J202" s="468">
        <f>ROUND(H202*I202,2)</f>
        <v>0</v>
      </c>
      <c r="K202" s="17"/>
    </row>
    <row r="203" spans="1:18" s="439" customFormat="1" ht="20.2" customHeight="1">
      <c r="A203" s="617" t="s">
        <v>1302</v>
      </c>
      <c r="B203" s="411"/>
      <c r="C203" s="283" t="s">
        <v>1304</v>
      </c>
      <c r="D203" s="955"/>
      <c r="E203" s="469"/>
      <c r="F203" s="460"/>
      <c r="G203" s="460"/>
      <c r="H203" s="460"/>
      <c r="I203" s="469" t="s">
        <v>1486</v>
      </c>
      <c r="J203" s="469">
        <f>SUM(J201:J202)</f>
        <v>7656.8804879999998</v>
      </c>
      <c r="K203" s="447"/>
    </row>
    <row r="204" spans="1:18" s="439" customFormat="1" ht="20.2" customHeight="1">
      <c r="A204" s="617"/>
      <c r="B204" s="411"/>
      <c r="C204" s="413" t="s">
        <v>2227</v>
      </c>
      <c r="D204" s="955"/>
      <c r="E204" s="469"/>
      <c r="F204" s="460"/>
      <c r="G204" s="460"/>
      <c r="H204" s="460"/>
      <c r="I204" s="469"/>
      <c r="J204" s="469">
        <f>ROUND((J203/(1.5*2.1))*(1.8*2.4),2)</f>
        <v>10500.86</v>
      </c>
      <c r="K204" s="447"/>
    </row>
    <row r="205" spans="1:18" s="439" customFormat="1" ht="20.2" customHeight="1">
      <c r="A205" s="617"/>
      <c r="B205" s="411"/>
      <c r="C205" s="283" t="s">
        <v>1305</v>
      </c>
      <c r="D205" s="955"/>
      <c r="E205" s="469"/>
      <c r="F205" s="460"/>
      <c r="G205" s="460"/>
      <c r="H205" s="460"/>
      <c r="I205" s="469" t="s">
        <v>1486</v>
      </c>
      <c r="J205" s="469">
        <f>J191-J203</f>
        <v>8896.2923340000016</v>
      </c>
      <c r="K205" s="447"/>
    </row>
    <row r="206" spans="1:18" ht="129">
      <c r="A206" s="617"/>
      <c r="B206" s="966">
        <v>7</v>
      </c>
      <c r="C206" s="55" t="s">
        <v>1839</v>
      </c>
      <c r="D206" s="951"/>
      <c r="E206" s="471"/>
      <c r="F206" s="462"/>
      <c r="G206" s="462"/>
      <c r="H206" s="956"/>
      <c r="I206" s="957"/>
      <c r="J206" s="957"/>
      <c r="K206" s="31"/>
    </row>
    <row r="207" spans="1:18" ht="25.8">
      <c r="A207" s="617"/>
      <c r="B207" s="34"/>
      <c r="C207" s="55" t="s">
        <v>1096</v>
      </c>
      <c r="D207" s="951"/>
      <c r="E207" s="471"/>
      <c r="F207" s="462"/>
      <c r="G207" s="462"/>
      <c r="H207" s="462"/>
      <c r="I207" s="471"/>
      <c r="J207" s="471"/>
      <c r="K207" s="55" t="s">
        <v>1775</v>
      </c>
      <c r="L207" s="951"/>
      <c r="M207" s="471"/>
      <c r="N207" s="462"/>
      <c r="O207" s="462"/>
      <c r="P207" s="462"/>
      <c r="Q207" s="471"/>
      <c r="R207" s="471"/>
    </row>
    <row r="208" spans="1:18">
      <c r="A208" s="617"/>
      <c r="B208" s="34"/>
      <c r="C208" s="54" t="s">
        <v>848</v>
      </c>
      <c r="D208" s="951"/>
      <c r="E208" s="471"/>
      <c r="F208" s="462"/>
      <c r="G208" s="462"/>
      <c r="H208" s="462"/>
      <c r="I208" s="471"/>
      <c r="J208" s="471"/>
      <c r="K208" s="54" t="s">
        <v>848</v>
      </c>
      <c r="L208" s="951"/>
      <c r="M208" s="471"/>
      <c r="N208" s="462"/>
      <c r="O208" s="462"/>
      <c r="P208" s="462"/>
      <c r="Q208" s="471"/>
      <c r="R208" s="471"/>
    </row>
    <row r="209" spans="1:18" ht="20.2" customHeight="1">
      <c r="A209" s="617"/>
      <c r="B209" s="34"/>
      <c r="C209" s="54" t="s">
        <v>780</v>
      </c>
      <c r="D209" s="951">
        <v>3</v>
      </c>
      <c r="E209" s="471">
        <v>1.35</v>
      </c>
      <c r="F209" s="462">
        <v>0.1</v>
      </c>
      <c r="G209" s="462">
        <v>7.4999999999999997E-2</v>
      </c>
      <c r="H209" s="462">
        <f>ROUND(D209*E209*F209*G209,3)</f>
        <v>0.03</v>
      </c>
      <c r="I209" s="471">
        <v>44785</v>
      </c>
      <c r="J209" s="471">
        <f t="shared" ref="J209:J214" si="9">ROUND(H209*I209,2)</f>
        <v>1343.55</v>
      </c>
      <c r="K209" s="54" t="s">
        <v>780</v>
      </c>
      <c r="L209" s="951">
        <v>3</v>
      </c>
      <c r="M209" s="471">
        <v>1.2</v>
      </c>
      <c r="N209" s="462">
        <v>0.1</v>
      </c>
      <c r="O209" s="462">
        <v>7.4999999999999997E-2</v>
      </c>
      <c r="P209" s="462">
        <f>ROUND(L209*M209*N209*O209,3)</f>
        <v>2.7E-2</v>
      </c>
      <c r="Q209" s="471">
        <v>44785</v>
      </c>
      <c r="R209" s="471">
        <f t="shared" ref="R209:R214" si="10">ROUND(P209*Q209,2)</f>
        <v>1209.2</v>
      </c>
    </row>
    <row r="210" spans="1:18" ht="20.2" customHeight="1">
      <c r="A210" s="617"/>
      <c r="B210" s="34"/>
      <c r="C210" s="54" t="s">
        <v>781</v>
      </c>
      <c r="D210" s="951">
        <v>2</v>
      </c>
      <c r="E210" s="471">
        <v>1.05</v>
      </c>
      <c r="F210" s="462">
        <v>0.1</v>
      </c>
      <c r="G210" s="462">
        <v>7.4999999999999997E-2</v>
      </c>
      <c r="H210" s="462">
        <f>ROUND(D210*E210*F210*G210,3)</f>
        <v>1.6E-2</v>
      </c>
      <c r="I210" s="471">
        <v>44785</v>
      </c>
      <c r="J210" s="471">
        <f t="shared" si="9"/>
        <v>716.56</v>
      </c>
      <c r="K210" s="54" t="s">
        <v>781</v>
      </c>
      <c r="L210" s="951">
        <v>2</v>
      </c>
      <c r="M210" s="471">
        <v>1.05</v>
      </c>
      <c r="N210" s="462">
        <v>0.1</v>
      </c>
      <c r="O210" s="462">
        <v>7.4999999999999997E-2</v>
      </c>
      <c r="P210" s="462">
        <f>ROUND(L210*M210*N210*O210,3)</f>
        <v>1.6E-2</v>
      </c>
      <c r="Q210" s="471">
        <v>44785</v>
      </c>
      <c r="R210" s="471">
        <f t="shared" si="10"/>
        <v>716.56</v>
      </c>
    </row>
    <row r="211" spans="1:18" ht="20.2" customHeight="1">
      <c r="A211" s="617"/>
      <c r="B211" s="34"/>
      <c r="C211" s="54" t="s">
        <v>782</v>
      </c>
      <c r="D211" s="951" t="s">
        <v>234</v>
      </c>
      <c r="E211" s="472">
        <f>(1.35-2*0.075+2*0.015)</f>
        <v>1.2300000000000002</v>
      </c>
      <c r="F211" s="462">
        <v>7.4999999999999997E-2</v>
      </c>
      <c r="G211" s="462">
        <f>1.25*25.4/1000</f>
        <v>3.175E-2</v>
      </c>
      <c r="H211" s="462">
        <f>ROUND(4*E211*F211*G211,3)</f>
        <v>1.2E-2</v>
      </c>
      <c r="I211" s="471">
        <v>145240</v>
      </c>
      <c r="J211" s="471">
        <f t="shared" si="9"/>
        <v>1742.88</v>
      </c>
      <c r="K211" s="54" t="s">
        <v>782</v>
      </c>
      <c r="L211" s="951" t="s">
        <v>234</v>
      </c>
      <c r="M211" s="472">
        <f>(1.2-2*0.075+2*0.015)</f>
        <v>1.08</v>
      </c>
      <c r="N211" s="462">
        <v>7.4999999999999997E-2</v>
      </c>
      <c r="O211" s="462">
        <f>1.25*25.4/1000</f>
        <v>3.175E-2</v>
      </c>
      <c r="P211" s="462">
        <f>ROUND(4*M211*N211*O211,3)</f>
        <v>0.01</v>
      </c>
      <c r="Q211" s="471">
        <v>145240</v>
      </c>
      <c r="R211" s="471">
        <f t="shared" si="10"/>
        <v>1452.4</v>
      </c>
    </row>
    <row r="212" spans="1:18" ht="20.2" customHeight="1">
      <c r="A212" s="617"/>
      <c r="B212" s="34"/>
      <c r="C212" s="54" t="s">
        <v>783</v>
      </c>
      <c r="D212" s="951" t="s">
        <v>235</v>
      </c>
      <c r="E212" s="471">
        <f>(0.9-3*0.075+4*0.015)/2</f>
        <v>0.36750000000000005</v>
      </c>
      <c r="F212" s="462">
        <v>7.4999999999999997E-2</v>
      </c>
      <c r="G212" s="462">
        <f>1.25*25.4/1000</f>
        <v>3.175E-2</v>
      </c>
      <c r="H212" s="462">
        <f>ROUND(6*E212*F212*G212,3)</f>
        <v>5.0000000000000001E-3</v>
      </c>
      <c r="I212" s="471">
        <v>145240</v>
      </c>
      <c r="J212" s="471">
        <f t="shared" si="9"/>
        <v>726.2</v>
      </c>
      <c r="K212" s="54" t="s">
        <v>783</v>
      </c>
      <c r="L212" s="951" t="s">
        <v>235</v>
      </c>
      <c r="M212" s="471">
        <f>(0.9-3*0.075+4*0.015)/2</f>
        <v>0.36750000000000005</v>
      </c>
      <c r="N212" s="462">
        <v>7.4999999999999997E-2</v>
      </c>
      <c r="O212" s="462">
        <f>1.25*25.4/1000</f>
        <v>3.175E-2</v>
      </c>
      <c r="P212" s="462">
        <f>ROUND(6*M212*N212*O212,3)</f>
        <v>5.0000000000000001E-3</v>
      </c>
      <c r="Q212" s="471">
        <v>145240</v>
      </c>
      <c r="R212" s="471">
        <f t="shared" si="10"/>
        <v>726.2</v>
      </c>
    </row>
    <row r="213" spans="1:18" ht="20.2" customHeight="1">
      <c r="A213" s="617"/>
      <c r="B213" s="34"/>
      <c r="C213" s="54" t="s">
        <v>1481</v>
      </c>
      <c r="D213" s="951" t="s">
        <v>236</v>
      </c>
      <c r="E213" s="471">
        <f>(0.9-3*0.075+4*0.015)/2-2*0.075+2*0.025</f>
        <v>0.26750000000000007</v>
      </c>
      <c r="F213" s="462">
        <f>(1.35-2*0.075+2*0.015-3*0.075)/2+2*0.025</f>
        <v>0.55250000000000021</v>
      </c>
      <c r="G213" s="462">
        <v>2.5000000000000001E-2</v>
      </c>
      <c r="H213" s="462">
        <f>ROUND(4*E213*F213*G213,3)</f>
        <v>1.4999999999999999E-2</v>
      </c>
      <c r="I213" s="471">
        <v>145240</v>
      </c>
      <c r="J213" s="471">
        <f t="shared" si="9"/>
        <v>2178.6</v>
      </c>
      <c r="K213" s="54" t="s">
        <v>1481</v>
      </c>
      <c r="L213" s="951" t="s">
        <v>236</v>
      </c>
      <c r="M213" s="471">
        <f>(0.9-3*0.075+4*0.015)/2-2*0.075+2*0.025</f>
        <v>0.26750000000000007</v>
      </c>
      <c r="N213" s="462">
        <f>(1.2-2*0.075+2*0.015-3*0.075)/2+2*0.025</f>
        <v>0.47750000000000004</v>
      </c>
      <c r="O213" s="462">
        <v>2.5000000000000001E-2</v>
      </c>
      <c r="P213" s="462">
        <f>ROUND(4*M213*N213*O213,3)</f>
        <v>1.2999999999999999E-2</v>
      </c>
      <c r="Q213" s="471">
        <v>145240</v>
      </c>
      <c r="R213" s="471">
        <f t="shared" si="10"/>
        <v>1888.12</v>
      </c>
    </row>
    <row r="214" spans="1:18" ht="20.2" customHeight="1">
      <c r="A214" s="617"/>
      <c r="B214" s="34"/>
      <c r="C214" s="54" t="s">
        <v>1482</v>
      </c>
      <c r="D214" s="951"/>
      <c r="E214" s="471"/>
      <c r="F214" s="462"/>
      <c r="G214" s="462"/>
      <c r="H214" s="462">
        <f>SUM(H209:H213)</f>
        <v>7.8E-2</v>
      </c>
      <c r="I214" s="465">
        <f>G25</f>
        <v>19572.5</v>
      </c>
      <c r="J214" s="471">
        <f t="shared" si="9"/>
        <v>1526.66</v>
      </c>
      <c r="K214" s="54" t="s">
        <v>1482</v>
      </c>
      <c r="L214" s="951"/>
      <c r="M214" s="471"/>
      <c r="N214" s="462"/>
      <c r="O214" s="462"/>
      <c r="P214" s="462">
        <f>SUM(P209:P213)</f>
        <v>7.0999999999999994E-2</v>
      </c>
      <c r="Q214" s="465">
        <f>I214</f>
        <v>19572.5</v>
      </c>
      <c r="R214" s="471">
        <f t="shared" si="10"/>
        <v>1389.65</v>
      </c>
    </row>
    <row r="215" spans="1:18" ht="38.700000000000003">
      <c r="A215" s="617" t="s">
        <v>787</v>
      </c>
      <c r="B215" s="19"/>
      <c r="C215" s="54" t="s">
        <v>788</v>
      </c>
      <c r="D215" s="951"/>
      <c r="E215" s="471"/>
      <c r="F215" s="462"/>
      <c r="G215" s="952"/>
      <c r="H215" s="952"/>
      <c r="I215" s="471"/>
      <c r="J215" s="471"/>
      <c r="K215" s="54" t="s">
        <v>788</v>
      </c>
      <c r="L215" s="951"/>
      <c r="M215" s="471"/>
      <c r="N215" s="462"/>
      <c r="O215" s="952"/>
      <c r="P215" s="952"/>
      <c r="Q215" s="471"/>
      <c r="R215" s="471"/>
    </row>
    <row r="216" spans="1:18" ht="20.2" customHeight="1">
      <c r="A216" s="617"/>
      <c r="B216" s="693"/>
      <c r="C216" s="694" t="s">
        <v>915</v>
      </c>
      <c r="D216" s="471" t="s">
        <v>1035</v>
      </c>
      <c r="E216" s="462" t="s">
        <v>1624</v>
      </c>
      <c r="F216" s="462"/>
      <c r="G216" s="462"/>
      <c r="H216" s="948">
        <v>2</v>
      </c>
      <c r="I216" s="471">
        <v>35</v>
      </c>
      <c r="J216" s="471">
        <f t="shared" ref="J216:J221" si="11">ROUND(H216*I216,2)</f>
        <v>70</v>
      </c>
      <c r="K216" s="694" t="s">
        <v>915</v>
      </c>
      <c r="L216" s="471" t="s">
        <v>1035</v>
      </c>
      <c r="M216" s="462" t="s">
        <v>1624</v>
      </c>
      <c r="N216" s="462"/>
      <c r="O216" s="462"/>
      <c r="P216" s="948">
        <v>2</v>
      </c>
      <c r="Q216" s="471">
        <v>38</v>
      </c>
      <c r="R216" s="471">
        <f t="shared" ref="R216:R221" si="12">ROUND(P216*Q216,2)</f>
        <v>76</v>
      </c>
    </row>
    <row r="217" spans="1:18" ht="20.2" customHeight="1">
      <c r="A217" s="617"/>
      <c r="B217" s="693"/>
      <c r="C217" s="31" t="s">
        <v>916</v>
      </c>
      <c r="D217" s="471" t="s">
        <v>1035</v>
      </c>
      <c r="E217" s="462" t="s">
        <v>1624</v>
      </c>
      <c r="F217" s="462"/>
      <c r="G217" s="462"/>
      <c r="H217" s="948">
        <v>2</v>
      </c>
      <c r="I217" s="471">
        <v>35</v>
      </c>
      <c r="J217" s="471">
        <f t="shared" si="11"/>
        <v>70</v>
      </c>
      <c r="K217" s="31" t="s">
        <v>916</v>
      </c>
      <c r="L217" s="471" t="s">
        <v>1035</v>
      </c>
      <c r="M217" s="462" t="s">
        <v>1624</v>
      </c>
      <c r="N217" s="462"/>
      <c r="O217" s="462"/>
      <c r="P217" s="948">
        <v>2</v>
      </c>
      <c r="Q217" s="471">
        <v>38</v>
      </c>
      <c r="R217" s="471">
        <f t="shared" si="12"/>
        <v>76</v>
      </c>
    </row>
    <row r="218" spans="1:18" ht="20.2" customHeight="1">
      <c r="A218" s="617"/>
      <c r="B218" s="693"/>
      <c r="C218" s="946" t="s">
        <v>917</v>
      </c>
      <c r="D218" s="471" t="s">
        <v>1035</v>
      </c>
      <c r="E218" s="462" t="s">
        <v>1625</v>
      </c>
      <c r="F218" s="462"/>
      <c r="G218" s="462"/>
      <c r="H218" s="948">
        <v>4</v>
      </c>
      <c r="I218" s="471">
        <v>21</v>
      </c>
      <c r="J218" s="471">
        <f t="shared" si="11"/>
        <v>84</v>
      </c>
      <c r="K218" s="946" t="s">
        <v>917</v>
      </c>
      <c r="L218" s="471" t="s">
        <v>1035</v>
      </c>
      <c r="M218" s="462" t="s">
        <v>1625</v>
      </c>
      <c r="N218" s="462"/>
      <c r="O218" s="462"/>
      <c r="P218" s="948">
        <v>4</v>
      </c>
      <c r="Q218" s="471">
        <v>26</v>
      </c>
      <c r="R218" s="471">
        <f t="shared" si="12"/>
        <v>104</v>
      </c>
    </row>
    <row r="219" spans="1:18" ht="20.2" customHeight="1">
      <c r="A219" s="617"/>
      <c r="B219" s="693"/>
      <c r="C219" s="694" t="s">
        <v>918</v>
      </c>
      <c r="D219" s="471" t="s">
        <v>1035</v>
      </c>
      <c r="E219" s="462" t="s">
        <v>1626</v>
      </c>
      <c r="F219" s="462"/>
      <c r="G219" s="462"/>
      <c r="H219" s="948">
        <v>2</v>
      </c>
      <c r="I219" s="471">
        <v>213</v>
      </c>
      <c r="J219" s="471">
        <f t="shared" si="11"/>
        <v>426</v>
      </c>
      <c r="K219" s="694" t="s">
        <v>918</v>
      </c>
      <c r="L219" s="471" t="s">
        <v>1035</v>
      </c>
      <c r="M219" s="462" t="s">
        <v>1626</v>
      </c>
      <c r="N219" s="462"/>
      <c r="O219" s="462"/>
      <c r="P219" s="948">
        <v>2</v>
      </c>
      <c r="Q219" s="471">
        <v>107</v>
      </c>
      <c r="R219" s="471">
        <f t="shared" si="12"/>
        <v>214</v>
      </c>
    </row>
    <row r="220" spans="1:18" ht="20.2" customHeight="1">
      <c r="A220" s="617"/>
      <c r="B220" s="693"/>
      <c r="C220" s="694" t="s">
        <v>799</v>
      </c>
      <c r="D220" s="471" t="s">
        <v>882</v>
      </c>
      <c r="E220" s="462" t="s">
        <v>1652</v>
      </c>
      <c r="F220" s="462"/>
      <c r="G220" s="462"/>
      <c r="H220" s="948">
        <v>60</v>
      </c>
      <c r="I220" s="471">
        <v>3</v>
      </c>
      <c r="J220" s="471">
        <f t="shared" si="11"/>
        <v>180</v>
      </c>
      <c r="K220" s="694" t="s">
        <v>799</v>
      </c>
      <c r="L220" s="471" t="s">
        <v>882</v>
      </c>
      <c r="M220" s="462" t="s">
        <v>1652</v>
      </c>
      <c r="N220" s="462"/>
      <c r="O220" s="462"/>
      <c r="P220" s="948">
        <v>60</v>
      </c>
      <c r="Q220" s="471">
        <v>0.89</v>
      </c>
      <c r="R220" s="471">
        <f t="shared" si="12"/>
        <v>53.4</v>
      </c>
    </row>
    <row r="221" spans="1:18" ht="20.2" customHeight="1">
      <c r="A221" s="617"/>
      <c r="B221" s="693"/>
      <c r="C221" s="694" t="s">
        <v>1598</v>
      </c>
      <c r="D221" s="471"/>
      <c r="E221" s="953" t="s">
        <v>1651</v>
      </c>
      <c r="F221" s="462"/>
      <c r="G221" s="462"/>
      <c r="H221" s="948">
        <v>4</v>
      </c>
      <c r="I221" s="471">
        <v>32</v>
      </c>
      <c r="J221" s="471">
        <f t="shared" si="11"/>
        <v>128</v>
      </c>
      <c r="K221" s="694" t="s">
        <v>1598</v>
      </c>
      <c r="L221" s="471"/>
      <c r="M221" s="953" t="s">
        <v>1651</v>
      </c>
      <c r="N221" s="462"/>
      <c r="O221" s="462"/>
      <c r="P221" s="948">
        <v>4</v>
      </c>
      <c r="Q221" s="471">
        <v>35</v>
      </c>
      <c r="R221" s="471">
        <f t="shared" si="12"/>
        <v>140</v>
      </c>
    </row>
    <row r="222" spans="1:18" ht="20.2" customHeight="1">
      <c r="A222" s="617"/>
      <c r="B222" s="693"/>
      <c r="C222" s="694" t="s">
        <v>1484</v>
      </c>
      <c r="D222" s="471">
        <v>2.75</v>
      </c>
      <c r="E222" s="462">
        <v>0.9</v>
      </c>
      <c r="F222" s="462"/>
      <c r="G222" s="471">
        <v>1.35</v>
      </c>
      <c r="H222" s="462">
        <f>ROUND(G222*E222*D222,2)</f>
        <v>3.34</v>
      </c>
      <c r="I222" s="471">
        <f>G15</f>
        <v>561.35799999999995</v>
      </c>
      <c r="J222" s="471">
        <f>ROUND(H222*I222/10,2)</f>
        <v>187.49</v>
      </c>
      <c r="K222" s="694" t="s">
        <v>1484</v>
      </c>
      <c r="L222" s="471">
        <v>2.75</v>
      </c>
      <c r="M222" s="462">
        <v>0.9</v>
      </c>
      <c r="N222" s="462"/>
      <c r="O222" s="471">
        <v>1.35</v>
      </c>
      <c r="P222" s="462">
        <f>ROUND(O222*M222*L222,2)</f>
        <v>3.34</v>
      </c>
      <c r="Q222" s="471">
        <f>I222</f>
        <v>561.35799999999995</v>
      </c>
      <c r="R222" s="471">
        <f>ROUND(P222*Q222/10,2)</f>
        <v>187.49</v>
      </c>
    </row>
    <row r="223" spans="1:18" s="450" customFormat="1" ht="20.2" customHeight="1">
      <c r="A223" s="617"/>
      <c r="B223" s="693"/>
      <c r="C223" s="694" t="s">
        <v>1306</v>
      </c>
      <c r="D223" s="471" t="s">
        <v>246</v>
      </c>
      <c r="E223" s="462">
        <v>0.9</v>
      </c>
      <c r="F223" s="462">
        <f>E223*10</f>
        <v>9</v>
      </c>
      <c r="G223" s="471">
        <v>1.1299999999999999</v>
      </c>
      <c r="H223" s="462">
        <f>G223*F223</f>
        <v>10.169999999999998</v>
      </c>
      <c r="I223" s="471">
        <f>'Lead- Input sheet '!R10/1000</f>
        <v>69.62</v>
      </c>
      <c r="J223" s="471">
        <f>H223*I223</f>
        <v>708.03539999999987</v>
      </c>
      <c r="K223" s="694" t="s">
        <v>1306</v>
      </c>
      <c r="L223" s="471" t="s">
        <v>246</v>
      </c>
      <c r="M223" s="462">
        <v>0.9</v>
      </c>
      <c r="N223" s="462">
        <f>M223*10</f>
        <v>9</v>
      </c>
      <c r="O223" s="471">
        <v>1.1299999999999999</v>
      </c>
      <c r="P223" s="462">
        <f>O223*N223</f>
        <v>10.169999999999998</v>
      </c>
      <c r="Q223" s="471">
        <f>I223</f>
        <v>69.62</v>
      </c>
      <c r="R223" s="471">
        <f>P223*Q223</f>
        <v>708.03539999999987</v>
      </c>
    </row>
    <row r="224" spans="1:18" ht="20.2" customHeight="1">
      <c r="A224" s="617"/>
      <c r="B224" s="693"/>
      <c r="C224" s="694" t="s">
        <v>230</v>
      </c>
      <c r="D224" s="471"/>
      <c r="E224" s="462"/>
      <c r="F224" s="462"/>
      <c r="G224" s="462"/>
      <c r="H224" s="948">
        <v>1</v>
      </c>
      <c r="I224" s="471">
        <v>100</v>
      </c>
      <c r="J224" s="471">
        <f>H224*I224</f>
        <v>100</v>
      </c>
      <c r="K224" s="694" t="s">
        <v>230</v>
      </c>
      <c r="L224" s="471"/>
      <c r="M224" s="462"/>
      <c r="N224" s="462"/>
      <c r="O224" s="462"/>
      <c r="P224" s="948">
        <v>1</v>
      </c>
      <c r="Q224" s="471">
        <v>100</v>
      </c>
      <c r="R224" s="471">
        <f>P224*Q224</f>
        <v>100</v>
      </c>
    </row>
    <row r="225" spans="1:18" ht="20.2" customHeight="1">
      <c r="A225" s="617"/>
      <c r="B225" s="34"/>
      <c r="D225" s="951"/>
      <c r="E225" s="471"/>
      <c r="F225" s="462"/>
      <c r="G225" s="462"/>
      <c r="H225" s="462"/>
      <c r="I225" s="471"/>
      <c r="J225" s="471">
        <f>SUM(J209:J224)</f>
        <v>10187.975399999999</v>
      </c>
      <c r="K225" s="54"/>
      <c r="L225" s="951"/>
      <c r="M225" s="471"/>
      <c r="N225" s="462"/>
      <c r="O225" s="462"/>
      <c r="P225" s="462"/>
      <c r="Q225" s="471"/>
      <c r="R225" s="471">
        <f>SUM(R209:R224)</f>
        <v>9041.0553999999993</v>
      </c>
    </row>
    <row r="226" spans="1:18" s="18" customFormat="1" ht="20.2" customHeight="1">
      <c r="A226" s="617"/>
      <c r="B226" s="40"/>
      <c r="C226" s="54" t="s">
        <v>1600</v>
      </c>
      <c r="D226" s="954"/>
      <c r="E226" s="468"/>
      <c r="F226" s="458"/>
      <c r="G226" s="458"/>
      <c r="H226" s="458">
        <f>J225</f>
        <v>10187.975399999999</v>
      </c>
      <c r="I226" s="468">
        <f>I6</f>
        <v>0</v>
      </c>
      <c r="J226" s="468">
        <f>ROUND(H226*I226,2)</f>
        <v>0</v>
      </c>
      <c r="K226" s="54" t="s">
        <v>1600</v>
      </c>
      <c r="L226" s="954"/>
      <c r="M226" s="468"/>
      <c r="N226" s="458"/>
      <c r="O226" s="458"/>
      <c r="P226" s="458">
        <f>R225</f>
        <v>9041.0553999999993</v>
      </c>
      <c r="Q226" s="468">
        <f>Q6</f>
        <v>0</v>
      </c>
      <c r="R226" s="468">
        <f>ROUND(P226*Q226,2)</f>
        <v>0</v>
      </c>
    </row>
    <row r="227" spans="1:18" s="18" customFormat="1" ht="20.2" customHeight="1">
      <c r="A227" s="617"/>
      <c r="B227" s="411"/>
      <c r="C227" s="283" t="s">
        <v>256</v>
      </c>
      <c r="D227" s="955"/>
      <c r="E227" s="469"/>
      <c r="F227" s="460"/>
      <c r="G227" s="460"/>
      <c r="H227" s="460"/>
      <c r="I227" s="469" t="s">
        <v>416</v>
      </c>
      <c r="J227" s="469">
        <f>SUM(J225:J226)</f>
        <v>10187.975399999999</v>
      </c>
      <c r="K227" s="283" t="s">
        <v>256</v>
      </c>
      <c r="L227" s="955"/>
      <c r="M227" s="469"/>
      <c r="N227" s="460"/>
      <c r="O227" s="460"/>
      <c r="P227" s="460"/>
      <c r="Q227" s="469" t="s">
        <v>416</v>
      </c>
      <c r="R227" s="469">
        <f>SUM(R225:R226)</f>
        <v>9041.0553999999993</v>
      </c>
    </row>
    <row r="228" spans="1:18" ht="38.700000000000003">
      <c r="A228" s="617"/>
      <c r="B228" s="34"/>
      <c r="C228" s="55" t="s">
        <v>1307</v>
      </c>
      <c r="D228" s="951"/>
      <c r="E228" s="471"/>
      <c r="F228" s="462"/>
      <c r="G228" s="462"/>
      <c r="H228" s="462"/>
      <c r="I228" s="471"/>
      <c r="J228" s="471"/>
      <c r="K228" s="55" t="s">
        <v>1986</v>
      </c>
      <c r="L228" s="951"/>
      <c r="M228" s="471"/>
      <c r="N228" s="462"/>
      <c r="O228" s="462"/>
      <c r="P228" s="462"/>
      <c r="Q228" s="471"/>
      <c r="R228" s="471"/>
    </row>
    <row r="229" spans="1:18">
      <c r="A229" s="617"/>
      <c r="B229" s="34"/>
      <c r="C229" s="54" t="s">
        <v>848</v>
      </c>
      <c r="D229" s="951"/>
      <c r="E229" s="471"/>
      <c r="F229" s="462"/>
      <c r="G229" s="462"/>
      <c r="H229" s="462"/>
      <c r="I229" s="471"/>
      <c r="J229" s="471"/>
      <c r="K229" s="54" t="s">
        <v>848</v>
      </c>
      <c r="L229" s="951"/>
      <c r="M229" s="471"/>
      <c r="N229" s="462"/>
      <c r="O229" s="462"/>
      <c r="P229" s="462"/>
      <c r="Q229" s="471"/>
      <c r="R229" s="471"/>
    </row>
    <row r="230" spans="1:18" ht="20.2" customHeight="1">
      <c r="A230" s="617"/>
      <c r="B230" s="34"/>
      <c r="C230" s="54" t="s">
        <v>780</v>
      </c>
      <c r="D230" s="951">
        <v>3</v>
      </c>
      <c r="E230" s="471">
        <v>1.35</v>
      </c>
      <c r="F230" s="462">
        <v>0.1</v>
      </c>
      <c r="G230" s="462">
        <v>7.4999999999999997E-2</v>
      </c>
      <c r="H230" s="462">
        <f>ROUND(D230*E230*F230*G230,3)</f>
        <v>0.03</v>
      </c>
      <c r="I230" s="471">
        <v>44785</v>
      </c>
      <c r="J230" s="471">
        <f>ROUND(H230*I230,2)</f>
        <v>1343.55</v>
      </c>
      <c r="K230" s="54" t="s">
        <v>780</v>
      </c>
      <c r="L230" s="951">
        <v>3</v>
      </c>
      <c r="M230" s="471">
        <v>1.2</v>
      </c>
      <c r="N230" s="462">
        <v>0.1</v>
      </c>
      <c r="O230" s="462">
        <v>7.4999999999999997E-2</v>
      </c>
      <c r="P230" s="462">
        <f>ROUND(L230*M230*N230*O230,3)</f>
        <v>2.7E-2</v>
      </c>
      <c r="Q230" s="471">
        <v>44785</v>
      </c>
      <c r="R230" s="471">
        <f>ROUND(P230*Q230,2)</f>
        <v>1209.2</v>
      </c>
    </row>
    <row r="231" spans="1:18" ht="20.2" customHeight="1">
      <c r="A231" s="617"/>
      <c r="B231" s="34"/>
      <c r="C231" s="54" t="s">
        <v>781</v>
      </c>
      <c r="D231" s="951">
        <v>2</v>
      </c>
      <c r="E231" s="471">
        <v>1.05</v>
      </c>
      <c r="F231" s="462">
        <v>0.1</v>
      </c>
      <c r="G231" s="462">
        <v>7.4999999999999997E-2</v>
      </c>
      <c r="H231" s="462">
        <f>ROUND(D231*E231*F231*G231,3)</f>
        <v>1.6E-2</v>
      </c>
      <c r="I231" s="471">
        <v>44785</v>
      </c>
      <c r="J231" s="471">
        <f>ROUND(H231*I231,2)</f>
        <v>716.56</v>
      </c>
      <c r="K231" s="54" t="s">
        <v>781</v>
      </c>
      <c r="L231" s="951">
        <v>2</v>
      </c>
      <c r="M231" s="471">
        <v>1.05</v>
      </c>
      <c r="N231" s="462">
        <v>0.1</v>
      </c>
      <c r="O231" s="462">
        <v>7.4999999999999997E-2</v>
      </c>
      <c r="P231" s="462">
        <f>ROUND(L231*M231*N231*O231,3)</f>
        <v>1.6E-2</v>
      </c>
      <c r="Q231" s="471">
        <v>44785</v>
      </c>
      <c r="R231" s="471">
        <f>ROUND(P231*Q231,2)</f>
        <v>716.56</v>
      </c>
    </row>
    <row r="232" spans="1:18" ht="20.2" customHeight="1">
      <c r="A232" s="617"/>
      <c r="B232" s="34"/>
      <c r="C232" s="54" t="s">
        <v>1482</v>
      </c>
      <c r="D232" s="951"/>
      <c r="E232" s="471"/>
      <c r="F232" s="462"/>
      <c r="G232" s="462"/>
      <c r="H232" s="462">
        <f>SUM(H230:H231)</f>
        <v>4.5999999999999999E-2</v>
      </c>
      <c r="I232" s="465">
        <f>G25</f>
        <v>19572.5</v>
      </c>
      <c r="J232" s="471">
        <f>ROUND(H232*I232,2)</f>
        <v>900.34</v>
      </c>
      <c r="K232" s="54" t="s">
        <v>1482</v>
      </c>
      <c r="L232" s="951"/>
      <c r="M232" s="471"/>
      <c r="N232" s="462"/>
      <c r="O232" s="462"/>
      <c r="P232" s="462">
        <f>SUM(P230:P231)</f>
        <v>4.2999999999999997E-2</v>
      </c>
      <c r="Q232" s="465">
        <f>I232</f>
        <v>19572.5</v>
      </c>
      <c r="R232" s="471">
        <f>ROUND(P232*Q232,2)</f>
        <v>841.62</v>
      </c>
    </row>
    <row r="233" spans="1:18" ht="38.700000000000003">
      <c r="A233" s="617" t="s">
        <v>787</v>
      </c>
      <c r="B233" s="19"/>
      <c r="C233" s="54" t="s">
        <v>788</v>
      </c>
      <c r="D233" s="951"/>
      <c r="E233" s="471"/>
      <c r="F233" s="462"/>
      <c r="G233" s="952"/>
      <c r="H233" s="952"/>
      <c r="I233" s="471"/>
      <c r="J233" s="471"/>
      <c r="K233" s="54" t="s">
        <v>788</v>
      </c>
      <c r="L233" s="951"/>
      <c r="M233" s="471"/>
      <c r="N233" s="462"/>
      <c r="O233" s="952"/>
      <c r="P233" s="952"/>
      <c r="Q233" s="471"/>
      <c r="R233" s="471"/>
    </row>
    <row r="234" spans="1:18" ht="20.2" customHeight="1">
      <c r="A234" s="617"/>
      <c r="B234" s="32"/>
      <c r="C234" s="54" t="s">
        <v>1598</v>
      </c>
      <c r="D234" s="951"/>
      <c r="E234" s="953" t="s">
        <v>1651</v>
      </c>
      <c r="F234" s="462"/>
      <c r="G234" s="462"/>
      <c r="H234" s="948">
        <v>4</v>
      </c>
      <c r="I234" s="471">
        <v>32</v>
      </c>
      <c r="J234" s="471">
        <f>ROUND(H234*I234,2)</f>
        <v>128</v>
      </c>
      <c r="K234" s="54" t="s">
        <v>1598</v>
      </c>
      <c r="L234" s="951"/>
      <c r="M234" s="953" t="s">
        <v>1651</v>
      </c>
      <c r="N234" s="462"/>
      <c r="O234" s="462"/>
      <c r="P234" s="948">
        <v>4</v>
      </c>
      <c r="Q234" s="471">
        <v>35</v>
      </c>
      <c r="R234" s="471">
        <f>ROUND(P234*Q234,2)</f>
        <v>140</v>
      </c>
    </row>
    <row r="235" spans="1:18" ht="20.2" customHeight="1">
      <c r="A235" s="617"/>
      <c r="B235" s="34"/>
      <c r="C235" s="54" t="s">
        <v>1484</v>
      </c>
      <c r="D235" s="951" t="s">
        <v>544</v>
      </c>
      <c r="E235" s="471">
        <v>0.9</v>
      </c>
      <c r="F235" s="462"/>
      <c r="G235" s="471">
        <v>1.35</v>
      </c>
      <c r="H235" s="462">
        <f>ROUND(G235*E235*2.75/3,2)</f>
        <v>1.1100000000000001</v>
      </c>
      <c r="I235" s="698">
        <f>G15</f>
        <v>561.35799999999995</v>
      </c>
      <c r="J235" s="471">
        <f>ROUND(H235*I235/10,2)</f>
        <v>62.31</v>
      </c>
      <c r="K235" s="54" t="s">
        <v>1484</v>
      </c>
      <c r="L235" s="951" t="s">
        <v>544</v>
      </c>
      <c r="M235" s="471">
        <v>0.9</v>
      </c>
      <c r="N235" s="462"/>
      <c r="O235" s="471">
        <v>1.35</v>
      </c>
      <c r="P235" s="462">
        <f>ROUND(O235*M235*2.75/3,2)</f>
        <v>1.1100000000000001</v>
      </c>
      <c r="Q235" s="698">
        <f>I235</f>
        <v>561.35799999999995</v>
      </c>
      <c r="R235" s="471">
        <f>ROUND(P235*Q235/10,2)</f>
        <v>62.31</v>
      </c>
    </row>
    <row r="236" spans="1:18" s="450" customFormat="1" ht="20.2" customHeight="1">
      <c r="A236" s="617"/>
      <c r="B236" s="693"/>
      <c r="C236" s="694" t="s">
        <v>1306</v>
      </c>
      <c r="D236" s="471" t="s">
        <v>246</v>
      </c>
      <c r="E236" s="462">
        <v>0.9</v>
      </c>
      <c r="F236" s="471">
        <f>E236*10</f>
        <v>9</v>
      </c>
      <c r="G236" s="471">
        <v>1.1299999999999999</v>
      </c>
      <c r="H236" s="462">
        <f>G236*F236</f>
        <v>10.169999999999998</v>
      </c>
      <c r="I236" s="471">
        <f>'Lead- Input sheet '!R10/1000</f>
        <v>69.62</v>
      </c>
      <c r="J236" s="471">
        <f>H236*I236</f>
        <v>708.03539999999987</v>
      </c>
      <c r="K236" s="694" t="s">
        <v>1306</v>
      </c>
      <c r="L236" s="471" t="s">
        <v>246</v>
      </c>
      <c r="M236" s="462">
        <v>0.9</v>
      </c>
      <c r="N236" s="471">
        <f>M236*10</f>
        <v>9</v>
      </c>
      <c r="O236" s="471">
        <v>1.1299999999999999</v>
      </c>
      <c r="P236" s="462">
        <f>O236*N236</f>
        <v>10.169999999999998</v>
      </c>
      <c r="Q236" s="698">
        <f>I236</f>
        <v>69.62</v>
      </c>
      <c r="R236" s="471">
        <f>P236*Q236</f>
        <v>708.03539999999987</v>
      </c>
    </row>
    <row r="237" spans="1:18" ht="20.2" customHeight="1">
      <c r="A237" s="617"/>
      <c r="B237" s="34"/>
      <c r="C237" s="54" t="s">
        <v>230</v>
      </c>
      <c r="D237" s="951"/>
      <c r="E237" s="471"/>
      <c r="F237" s="462"/>
      <c r="G237" s="462"/>
      <c r="H237" s="948">
        <v>1</v>
      </c>
      <c r="I237" s="471">
        <v>50</v>
      </c>
      <c r="J237" s="471">
        <f>ROUND(H237*I237,2)</f>
        <v>50</v>
      </c>
      <c r="K237" s="54" t="s">
        <v>230</v>
      </c>
      <c r="L237" s="951"/>
      <c r="M237" s="471"/>
      <c r="N237" s="462"/>
      <c r="O237" s="462"/>
      <c r="P237" s="948">
        <v>1</v>
      </c>
      <c r="Q237" s="471">
        <v>50</v>
      </c>
      <c r="R237" s="471">
        <f>ROUND(P237*Q237,2)</f>
        <v>50</v>
      </c>
    </row>
    <row r="238" spans="1:18" ht="20.2" customHeight="1">
      <c r="A238" s="617"/>
      <c r="B238" s="34"/>
      <c r="D238" s="951"/>
      <c r="E238" s="471"/>
      <c r="F238" s="462"/>
      <c r="G238" s="462"/>
      <c r="H238" s="462"/>
      <c r="I238" s="471"/>
      <c r="J238" s="471">
        <f>SUM(J230:J237)</f>
        <v>3908.7953999999995</v>
      </c>
      <c r="K238" s="54"/>
      <c r="L238" s="951"/>
      <c r="M238" s="471"/>
      <c r="N238" s="462"/>
      <c r="O238" s="462"/>
      <c r="P238" s="462"/>
      <c r="Q238" s="471"/>
      <c r="R238" s="471">
        <f>SUM(R230:R237)</f>
        <v>3727.7253999999998</v>
      </c>
    </row>
    <row r="239" spans="1:18" s="18" customFormat="1" ht="20.2" customHeight="1">
      <c r="A239" s="617"/>
      <c r="B239" s="40"/>
      <c r="C239" s="54" t="s">
        <v>1600</v>
      </c>
      <c r="D239" s="954"/>
      <c r="E239" s="468"/>
      <c r="F239" s="458"/>
      <c r="G239" s="458"/>
      <c r="H239" s="458">
        <f>J238</f>
        <v>3908.7953999999995</v>
      </c>
      <c r="I239" s="468">
        <f>I6</f>
        <v>0</v>
      </c>
      <c r="J239" s="471">
        <f>ROUND(H239*I239,2)</f>
        <v>0</v>
      </c>
      <c r="K239" s="54" t="s">
        <v>1600</v>
      </c>
      <c r="L239" s="954"/>
      <c r="M239" s="468"/>
      <c r="N239" s="458"/>
      <c r="O239" s="458"/>
      <c r="P239" s="458">
        <f>R238</f>
        <v>3727.7253999999998</v>
      </c>
      <c r="Q239" s="468">
        <f>Q6</f>
        <v>0</v>
      </c>
      <c r="R239" s="471">
        <f>ROUND(P239*Q239,2)</f>
        <v>0</v>
      </c>
    </row>
    <row r="240" spans="1:18" s="439" customFormat="1" ht="20.2" customHeight="1">
      <c r="A240" s="617"/>
      <c r="B240" s="411"/>
      <c r="C240" s="448" t="s">
        <v>1308</v>
      </c>
      <c r="D240" s="955"/>
      <c r="E240" s="469"/>
      <c r="F240" s="460"/>
      <c r="G240" s="460"/>
      <c r="H240" s="460"/>
      <c r="I240" s="469" t="s">
        <v>416</v>
      </c>
      <c r="J240" s="469">
        <f>SUM(J238:J239)</f>
        <v>3908.7953999999995</v>
      </c>
      <c r="K240" s="448" t="s">
        <v>1308</v>
      </c>
      <c r="L240" s="955"/>
      <c r="M240" s="469"/>
      <c r="N240" s="460"/>
      <c r="O240" s="460"/>
      <c r="P240" s="460"/>
      <c r="Q240" s="469" t="s">
        <v>416</v>
      </c>
      <c r="R240" s="469">
        <f>SUM(R238:R239)</f>
        <v>3727.7253999999998</v>
      </c>
    </row>
    <row r="241" spans="1:18" s="439" customFormat="1" ht="20.2" customHeight="1">
      <c r="A241" s="617"/>
      <c r="B241" s="411"/>
      <c r="C241" s="448" t="s">
        <v>1309</v>
      </c>
      <c r="D241" s="955"/>
      <c r="E241" s="469"/>
      <c r="F241" s="460"/>
      <c r="G241" s="460"/>
      <c r="H241" s="460"/>
      <c r="I241" s="469" t="s">
        <v>416</v>
      </c>
      <c r="J241" s="469">
        <f>J227-J240</f>
        <v>6279.18</v>
      </c>
      <c r="K241" s="448" t="s">
        <v>1309</v>
      </c>
      <c r="L241" s="955"/>
      <c r="M241" s="469"/>
      <c r="N241" s="460"/>
      <c r="O241" s="460"/>
      <c r="P241" s="460"/>
      <c r="Q241" s="469" t="s">
        <v>416</v>
      </c>
      <c r="R241" s="469">
        <f>R227-R240</f>
        <v>5313.33</v>
      </c>
    </row>
    <row r="242" spans="1:18" ht="129">
      <c r="A242" s="617"/>
      <c r="B242" s="26">
        <v>8</v>
      </c>
      <c r="C242" s="55" t="s">
        <v>1840</v>
      </c>
      <c r="D242" s="951"/>
      <c r="E242" s="471"/>
      <c r="F242" s="462"/>
      <c r="G242" s="462"/>
      <c r="H242" s="462"/>
      <c r="I242" s="471"/>
      <c r="J242" s="471"/>
      <c r="K242" s="31"/>
    </row>
    <row r="243" spans="1:18">
      <c r="A243" s="617"/>
      <c r="B243" s="34"/>
      <c r="C243" s="55" t="s">
        <v>1310</v>
      </c>
      <c r="D243" s="951"/>
      <c r="E243" s="471"/>
      <c r="F243" s="462"/>
      <c r="G243" s="462"/>
      <c r="H243" s="462"/>
      <c r="I243" s="471"/>
      <c r="J243" s="471"/>
      <c r="K243" s="31"/>
    </row>
    <row r="244" spans="1:18">
      <c r="A244" s="617"/>
      <c r="B244" s="34"/>
      <c r="C244" s="54" t="s">
        <v>848</v>
      </c>
      <c r="D244" s="951"/>
      <c r="E244" s="471"/>
      <c r="F244" s="462"/>
      <c r="G244" s="462"/>
      <c r="H244" s="462"/>
      <c r="I244" s="471"/>
      <c r="J244" s="471"/>
      <c r="K244" s="31"/>
    </row>
    <row r="245" spans="1:18" ht="20.2" customHeight="1">
      <c r="A245" s="617"/>
      <c r="B245" s="34"/>
      <c r="C245" s="54" t="s">
        <v>780</v>
      </c>
      <c r="D245" s="951">
        <v>4</v>
      </c>
      <c r="E245" s="471">
        <v>1.35</v>
      </c>
      <c r="F245" s="462">
        <v>0.1</v>
      </c>
      <c r="G245" s="462">
        <v>7.4999999999999997E-2</v>
      </c>
      <c r="H245" s="462">
        <f>ROUND(D245*E245*F245*G245,3)</f>
        <v>4.1000000000000002E-2</v>
      </c>
      <c r="I245" s="471">
        <v>44785</v>
      </c>
      <c r="J245" s="471">
        <f t="shared" ref="J245:J250" si="13">ROUND(H245*I245,2)</f>
        <v>1836.19</v>
      </c>
      <c r="K245" s="31"/>
    </row>
    <row r="246" spans="1:18" ht="20.2" customHeight="1">
      <c r="A246" s="617"/>
      <c r="B246" s="34"/>
      <c r="C246" s="54" t="s">
        <v>781</v>
      </c>
      <c r="D246" s="951">
        <v>2</v>
      </c>
      <c r="E246" s="471">
        <v>1.35</v>
      </c>
      <c r="F246" s="462">
        <v>0.1</v>
      </c>
      <c r="G246" s="462">
        <v>7.4999999999999997E-2</v>
      </c>
      <c r="H246" s="462">
        <f>ROUND(D246*E246*F246*G246,3)</f>
        <v>0.02</v>
      </c>
      <c r="I246" s="471">
        <v>44785</v>
      </c>
      <c r="J246" s="471">
        <f t="shared" si="13"/>
        <v>895.7</v>
      </c>
      <c r="K246" s="31"/>
    </row>
    <row r="247" spans="1:18" ht="20.2" customHeight="1">
      <c r="A247" s="617"/>
      <c r="B247" s="34"/>
      <c r="C247" s="54" t="s">
        <v>782</v>
      </c>
      <c r="D247" s="951" t="s">
        <v>243</v>
      </c>
      <c r="E247" s="472">
        <f>(1.35-2*0.075+2*0.015)</f>
        <v>1.2300000000000002</v>
      </c>
      <c r="F247" s="462">
        <v>7.4999999999999997E-2</v>
      </c>
      <c r="G247" s="462">
        <f>1.25*25.4/1000</f>
        <v>3.175E-2</v>
      </c>
      <c r="H247" s="462">
        <f>ROUND(6*E247*F247*G247,3)</f>
        <v>1.7999999999999999E-2</v>
      </c>
      <c r="I247" s="471">
        <v>145240</v>
      </c>
      <c r="J247" s="471">
        <f t="shared" si="13"/>
        <v>2614.3200000000002</v>
      </c>
      <c r="K247" s="31"/>
    </row>
    <row r="248" spans="1:18" ht="20.2" customHeight="1">
      <c r="A248" s="617"/>
      <c r="B248" s="34"/>
      <c r="C248" s="54" t="s">
        <v>783</v>
      </c>
      <c r="D248" s="951" t="s">
        <v>244</v>
      </c>
      <c r="E248" s="471">
        <f>(1.2-3*0.075+4*0.015)/2</f>
        <v>0.51749999999999996</v>
      </c>
      <c r="F248" s="462">
        <v>7.4999999999999997E-2</v>
      </c>
      <c r="G248" s="462">
        <f>1.25*25.4/1000</f>
        <v>3.175E-2</v>
      </c>
      <c r="H248" s="462">
        <f>ROUND(9*E248*F248*G248,3)</f>
        <v>1.0999999999999999E-2</v>
      </c>
      <c r="I248" s="471">
        <v>145240</v>
      </c>
      <c r="J248" s="471">
        <f t="shared" si="13"/>
        <v>1597.64</v>
      </c>
      <c r="K248" s="31"/>
    </row>
    <row r="249" spans="1:18" ht="20.2" customHeight="1">
      <c r="A249" s="617"/>
      <c r="B249" s="34"/>
      <c r="C249" s="54" t="s">
        <v>1481</v>
      </c>
      <c r="D249" s="951" t="s">
        <v>245</v>
      </c>
      <c r="E249" s="471">
        <f>(1.2-4*0.075+6*0.015)/3-2*0.075+2*0.025</f>
        <v>0.22999999999999998</v>
      </c>
      <c r="F249" s="462">
        <f>(1.35-2*0.075+2*0.015-3*0.075)/2+2*0.025</f>
        <v>0.55250000000000021</v>
      </c>
      <c r="G249" s="462">
        <v>2.5000000000000001E-2</v>
      </c>
      <c r="H249" s="462">
        <f>ROUND(6*E249*F249*G249,3)</f>
        <v>1.9E-2</v>
      </c>
      <c r="I249" s="471">
        <v>145240</v>
      </c>
      <c r="J249" s="471">
        <f t="shared" si="13"/>
        <v>2759.56</v>
      </c>
      <c r="K249" s="31"/>
    </row>
    <row r="250" spans="1:18" ht="20.2" customHeight="1">
      <c r="A250" s="617"/>
      <c r="B250" s="34"/>
      <c r="C250" s="54" t="s">
        <v>1482</v>
      </c>
      <c r="D250" s="951"/>
      <c r="E250" s="471"/>
      <c r="F250" s="462"/>
      <c r="G250" s="462"/>
      <c r="H250" s="462">
        <f>SUM(H245:H249)</f>
        <v>0.109</v>
      </c>
      <c r="I250" s="465">
        <f>G25</f>
        <v>19572.5</v>
      </c>
      <c r="J250" s="471">
        <f t="shared" si="13"/>
        <v>2133.4</v>
      </c>
      <c r="K250" s="31"/>
    </row>
    <row r="251" spans="1:18" ht="33.299999999999997">
      <c r="A251" s="617" t="s">
        <v>787</v>
      </c>
      <c r="B251" s="19"/>
      <c r="C251" s="54" t="s">
        <v>788</v>
      </c>
      <c r="D251" s="951"/>
      <c r="E251" s="471"/>
      <c r="F251" s="462"/>
      <c r="G251" s="952"/>
      <c r="H251" s="952"/>
      <c r="I251" s="471"/>
      <c r="J251" s="471"/>
      <c r="K251" s="31"/>
    </row>
    <row r="252" spans="1:18" ht="20.2" customHeight="1">
      <c r="A252" s="617"/>
      <c r="B252" s="693"/>
      <c r="C252" s="694" t="s">
        <v>915</v>
      </c>
      <c r="D252" s="471" t="s">
        <v>1035</v>
      </c>
      <c r="E252" s="462" t="s">
        <v>1624</v>
      </c>
      <c r="F252" s="462"/>
      <c r="G252" s="462"/>
      <c r="H252" s="948">
        <v>3</v>
      </c>
      <c r="I252" s="471">
        <v>35</v>
      </c>
      <c r="J252" s="471">
        <f t="shared" ref="J252:J257" si="14">ROUND(H252*I252,2)</f>
        <v>105</v>
      </c>
      <c r="K252" s="31"/>
    </row>
    <row r="253" spans="1:18" ht="20.2" customHeight="1">
      <c r="A253" s="617"/>
      <c r="B253" s="693"/>
      <c r="C253" s="31" t="s">
        <v>916</v>
      </c>
      <c r="D253" s="471" t="s">
        <v>1035</v>
      </c>
      <c r="E253" s="462" t="s">
        <v>1624</v>
      </c>
      <c r="F253" s="462"/>
      <c r="G253" s="462"/>
      <c r="H253" s="948">
        <v>3</v>
      </c>
      <c r="I253" s="471">
        <v>35</v>
      </c>
      <c r="J253" s="471">
        <f t="shared" si="14"/>
        <v>105</v>
      </c>
      <c r="K253" s="31"/>
    </row>
    <row r="254" spans="1:18" ht="20.2" customHeight="1">
      <c r="A254" s="617"/>
      <c r="B254" s="693"/>
      <c r="C254" s="946" t="s">
        <v>917</v>
      </c>
      <c r="D254" s="471" t="s">
        <v>1035</v>
      </c>
      <c r="E254" s="462" t="s">
        <v>1625</v>
      </c>
      <c r="F254" s="462"/>
      <c r="G254" s="462"/>
      <c r="H254" s="948">
        <v>6</v>
      </c>
      <c r="I254" s="471">
        <v>21</v>
      </c>
      <c r="J254" s="471">
        <f t="shared" si="14"/>
        <v>126</v>
      </c>
      <c r="K254" s="31"/>
    </row>
    <row r="255" spans="1:18" ht="20.2" customHeight="1">
      <c r="A255" s="617"/>
      <c r="B255" s="693"/>
      <c r="C255" s="694" t="s">
        <v>918</v>
      </c>
      <c r="D255" s="471" t="s">
        <v>1035</v>
      </c>
      <c r="E255" s="462" t="s">
        <v>1626</v>
      </c>
      <c r="F255" s="462"/>
      <c r="G255" s="462"/>
      <c r="H255" s="948">
        <v>3</v>
      </c>
      <c r="I255" s="471">
        <v>213</v>
      </c>
      <c r="J255" s="471">
        <f t="shared" si="14"/>
        <v>639</v>
      </c>
      <c r="K255" s="31"/>
    </row>
    <row r="256" spans="1:18" ht="20.2" customHeight="1">
      <c r="A256" s="617"/>
      <c r="B256" s="693"/>
      <c r="C256" s="694" t="s">
        <v>799</v>
      </c>
      <c r="D256" s="471" t="s">
        <v>882</v>
      </c>
      <c r="E256" s="462" t="s">
        <v>1652</v>
      </c>
      <c r="F256" s="462"/>
      <c r="G256" s="462"/>
      <c r="H256" s="948">
        <v>90</v>
      </c>
      <c r="I256" s="471">
        <v>3</v>
      </c>
      <c r="J256" s="471">
        <f t="shared" si="14"/>
        <v>270</v>
      </c>
      <c r="K256" s="31"/>
    </row>
    <row r="257" spans="1:11" ht="20.2" customHeight="1">
      <c r="A257" s="617"/>
      <c r="B257" s="693"/>
      <c r="C257" s="694" t="s">
        <v>1598</v>
      </c>
      <c r="D257" s="471"/>
      <c r="E257" s="953" t="s">
        <v>1651</v>
      </c>
      <c r="F257" s="462"/>
      <c r="G257" s="462"/>
      <c r="H257" s="948">
        <v>4</v>
      </c>
      <c r="I257" s="471">
        <v>32</v>
      </c>
      <c r="J257" s="471">
        <f t="shared" si="14"/>
        <v>128</v>
      </c>
      <c r="K257" s="31"/>
    </row>
    <row r="258" spans="1:11" ht="20.2" customHeight="1">
      <c r="A258" s="617"/>
      <c r="B258" s="34"/>
      <c r="C258" s="54" t="s">
        <v>1484</v>
      </c>
      <c r="D258" s="951">
        <v>2.75</v>
      </c>
      <c r="E258" s="471">
        <v>1.2</v>
      </c>
      <c r="F258" s="462"/>
      <c r="G258" s="471">
        <v>1.35</v>
      </c>
      <c r="H258" s="462">
        <f>ROUND(G258*E258*D258,2)</f>
        <v>4.46</v>
      </c>
      <c r="I258" s="698">
        <f>G15</f>
        <v>561.35799999999995</v>
      </c>
      <c r="J258" s="471">
        <f>ROUND(H258*I258/10,2)</f>
        <v>250.37</v>
      </c>
      <c r="K258" s="31"/>
    </row>
    <row r="259" spans="1:11" ht="20.2" customHeight="1">
      <c r="A259" s="617"/>
      <c r="B259" s="34"/>
      <c r="C259" s="451" t="s">
        <v>1306</v>
      </c>
      <c r="D259" s="951" t="s">
        <v>246</v>
      </c>
      <c r="E259" s="471">
        <v>1.2</v>
      </c>
      <c r="F259" s="462">
        <f>E259*10</f>
        <v>12</v>
      </c>
      <c r="G259" s="471">
        <v>1.1299999999999999</v>
      </c>
      <c r="H259" s="462">
        <f>G259*F259</f>
        <v>13.559999999999999</v>
      </c>
      <c r="I259" s="465">
        <f>'Lead- Input sheet '!R10/1000</f>
        <v>69.62</v>
      </c>
      <c r="J259" s="471">
        <f>H259*I259</f>
        <v>944.04719999999998</v>
      </c>
      <c r="K259" s="31"/>
    </row>
    <row r="260" spans="1:11" ht="20.2" customHeight="1">
      <c r="A260" s="617"/>
      <c r="B260" s="34"/>
      <c r="C260" s="54" t="s">
        <v>230</v>
      </c>
      <c r="D260" s="951"/>
      <c r="E260" s="471"/>
      <c r="F260" s="462"/>
      <c r="G260" s="462"/>
      <c r="H260" s="948">
        <v>1</v>
      </c>
      <c r="I260" s="471">
        <v>100</v>
      </c>
      <c r="J260" s="471">
        <f>H260*I260</f>
        <v>100</v>
      </c>
      <c r="K260" s="31"/>
    </row>
    <row r="261" spans="1:11" ht="20.2" customHeight="1">
      <c r="A261" s="617"/>
      <c r="B261" s="34"/>
      <c r="D261" s="951"/>
      <c r="E261" s="471"/>
      <c r="F261" s="462"/>
      <c r="G261" s="462"/>
      <c r="H261" s="462"/>
      <c r="I261" s="471"/>
      <c r="J261" s="471">
        <f>SUM(J245:J260)</f>
        <v>14504.227200000001</v>
      </c>
      <c r="K261" s="31"/>
    </row>
    <row r="262" spans="1:11" s="18" customFormat="1" ht="20.2" customHeight="1">
      <c r="A262" s="617"/>
      <c r="B262" s="40"/>
      <c r="C262" s="54" t="s">
        <v>1600</v>
      </c>
      <c r="D262" s="954"/>
      <c r="E262" s="468"/>
      <c r="F262" s="458"/>
      <c r="G262" s="458"/>
      <c r="H262" s="458">
        <f>J261</f>
        <v>14504.227200000001</v>
      </c>
      <c r="I262" s="468">
        <f>I6</f>
        <v>0</v>
      </c>
      <c r="J262" s="468">
        <f>ROUND(H262*I262,2)</f>
        <v>0</v>
      </c>
      <c r="K262" s="17"/>
    </row>
    <row r="263" spans="1:11" s="18" customFormat="1" ht="20.2" customHeight="1">
      <c r="A263" s="617"/>
      <c r="B263" s="411"/>
      <c r="C263" s="283" t="s">
        <v>256</v>
      </c>
      <c r="D263" s="955"/>
      <c r="E263" s="469"/>
      <c r="F263" s="460"/>
      <c r="G263" s="460"/>
      <c r="H263" s="460"/>
      <c r="I263" s="469" t="s">
        <v>416</v>
      </c>
      <c r="J263" s="469">
        <f>SUM(J261:J262)</f>
        <v>14504.227200000001</v>
      </c>
      <c r="K263" s="17"/>
    </row>
    <row r="264" spans="1:11">
      <c r="A264" s="617"/>
      <c r="B264" s="34"/>
      <c r="C264" s="55" t="s">
        <v>1311</v>
      </c>
      <c r="D264" s="951"/>
      <c r="E264" s="471"/>
      <c r="F264" s="462"/>
      <c r="G264" s="462"/>
      <c r="H264" s="462"/>
      <c r="I264" s="471"/>
      <c r="J264" s="471"/>
      <c r="K264" s="31"/>
    </row>
    <row r="265" spans="1:11">
      <c r="A265" s="617"/>
      <c r="B265" s="34"/>
      <c r="C265" s="54" t="s">
        <v>848</v>
      </c>
      <c r="D265" s="951"/>
      <c r="E265" s="471"/>
      <c r="F265" s="462"/>
      <c r="G265" s="462"/>
      <c r="H265" s="462"/>
      <c r="I265" s="471"/>
      <c r="J265" s="471"/>
      <c r="K265" s="31"/>
    </row>
    <row r="266" spans="1:11" ht="20.2" customHeight="1">
      <c r="A266" s="617"/>
      <c r="B266" s="34"/>
      <c r="C266" s="54" t="s">
        <v>780</v>
      </c>
      <c r="D266" s="951">
        <v>4</v>
      </c>
      <c r="E266" s="471">
        <v>1.35</v>
      </c>
      <c r="F266" s="462">
        <v>0.1</v>
      </c>
      <c r="G266" s="462">
        <v>7.4999999999999997E-2</v>
      </c>
      <c r="H266" s="462">
        <f>ROUND(D266*E266*F266*G266,3)</f>
        <v>4.1000000000000002E-2</v>
      </c>
      <c r="I266" s="471">
        <v>44785</v>
      </c>
      <c r="J266" s="471">
        <f>ROUND(H266*I266,2)</f>
        <v>1836.19</v>
      </c>
      <c r="K266" s="31"/>
    </row>
    <row r="267" spans="1:11" ht="20.2" customHeight="1">
      <c r="A267" s="617"/>
      <c r="B267" s="34"/>
      <c r="C267" s="54" t="s">
        <v>781</v>
      </c>
      <c r="D267" s="951">
        <v>2</v>
      </c>
      <c r="E267" s="471">
        <v>1.35</v>
      </c>
      <c r="F267" s="462">
        <v>0.1</v>
      </c>
      <c r="G267" s="462">
        <v>7.4999999999999997E-2</v>
      </c>
      <c r="H267" s="462">
        <f>ROUND(D267*E267*F267*G267,3)</f>
        <v>0.02</v>
      </c>
      <c r="I267" s="471">
        <v>44785</v>
      </c>
      <c r="J267" s="471">
        <f>ROUND(H267*I267,2)</f>
        <v>895.7</v>
      </c>
      <c r="K267" s="31"/>
    </row>
    <row r="268" spans="1:11" ht="20.2" customHeight="1">
      <c r="A268" s="617"/>
      <c r="B268" s="34"/>
      <c r="C268" s="54" t="s">
        <v>1482</v>
      </c>
      <c r="D268" s="951"/>
      <c r="E268" s="471"/>
      <c r="F268" s="462"/>
      <c r="G268" s="462"/>
      <c r="H268" s="462">
        <f>SUM(H266:H267)</f>
        <v>6.0999999999999999E-2</v>
      </c>
      <c r="I268" s="465">
        <f>G25</f>
        <v>19572.5</v>
      </c>
      <c r="J268" s="471">
        <f>ROUND(H268*I268,2)</f>
        <v>1193.92</v>
      </c>
      <c r="K268" s="31"/>
    </row>
    <row r="269" spans="1:11" ht="33.299999999999997">
      <c r="A269" s="617" t="s">
        <v>787</v>
      </c>
      <c r="B269" s="19"/>
      <c r="C269" s="54" t="s">
        <v>788</v>
      </c>
      <c r="D269" s="951"/>
      <c r="E269" s="471"/>
      <c r="F269" s="462"/>
      <c r="G269" s="952"/>
      <c r="H269" s="952"/>
      <c r="I269" s="471"/>
      <c r="J269" s="471"/>
      <c r="K269" s="31"/>
    </row>
    <row r="270" spans="1:11" ht="20.2" customHeight="1">
      <c r="A270" s="617"/>
      <c r="B270" s="32"/>
      <c r="C270" s="54" t="s">
        <v>1598</v>
      </c>
      <c r="D270" s="951"/>
      <c r="E270" s="953" t="s">
        <v>1651</v>
      </c>
      <c r="F270" s="462"/>
      <c r="G270" s="462"/>
      <c r="H270" s="948">
        <v>4</v>
      </c>
      <c r="I270" s="471">
        <v>32</v>
      </c>
      <c r="J270" s="471">
        <f>ROUND(H270*I270,2)</f>
        <v>128</v>
      </c>
      <c r="K270" s="31"/>
    </row>
    <row r="271" spans="1:11" ht="20.2" customHeight="1">
      <c r="A271" s="617"/>
      <c r="B271" s="34"/>
      <c r="C271" s="54" t="s">
        <v>1484</v>
      </c>
      <c r="D271" s="471" t="s">
        <v>544</v>
      </c>
      <c r="E271" s="471">
        <v>1.2</v>
      </c>
      <c r="F271" s="462"/>
      <c r="G271" s="471">
        <v>1.35</v>
      </c>
      <c r="H271" s="462">
        <f>ROUND(G271*E271*2.75/3,2)</f>
        <v>1.49</v>
      </c>
      <c r="I271" s="698">
        <f>G15</f>
        <v>561.35799999999995</v>
      </c>
      <c r="J271" s="471">
        <f>ROUND(H271*I271/10,2)</f>
        <v>83.64</v>
      </c>
      <c r="K271" s="31"/>
    </row>
    <row r="272" spans="1:11" ht="20.2" customHeight="1">
      <c r="A272" s="617"/>
      <c r="B272" s="34"/>
      <c r="C272" s="451" t="s">
        <v>1306</v>
      </c>
      <c r="D272" s="951" t="s">
        <v>246</v>
      </c>
      <c r="E272" s="471">
        <v>1.2</v>
      </c>
      <c r="F272" s="462">
        <f>E272*10</f>
        <v>12</v>
      </c>
      <c r="G272" s="471">
        <v>1.1299999999999999</v>
      </c>
      <c r="H272" s="462">
        <f>G272*F272</f>
        <v>13.559999999999999</v>
      </c>
      <c r="I272" s="465">
        <f>'Lead- Input sheet '!R10/1000</f>
        <v>69.62</v>
      </c>
      <c r="J272" s="471">
        <f>H272*I272</f>
        <v>944.04719999999998</v>
      </c>
      <c r="K272" s="31"/>
    </row>
    <row r="273" spans="1:11" ht="20.2" customHeight="1">
      <c r="A273" s="617"/>
      <c r="B273" s="34"/>
      <c r="C273" s="54" t="s">
        <v>230</v>
      </c>
      <c r="D273" s="951"/>
      <c r="E273" s="471"/>
      <c r="F273" s="462"/>
      <c r="G273" s="462"/>
      <c r="H273" s="948">
        <v>1</v>
      </c>
      <c r="I273" s="471">
        <v>50</v>
      </c>
      <c r="J273" s="471">
        <f>H273*I273</f>
        <v>50</v>
      </c>
      <c r="K273" s="31"/>
    </row>
    <row r="274" spans="1:11" ht="20.2" customHeight="1">
      <c r="A274" s="617"/>
      <c r="B274" s="34"/>
      <c r="D274" s="951"/>
      <c r="E274" s="471"/>
      <c r="F274" s="462"/>
      <c r="G274" s="462"/>
      <c r="H274" s="462"/>
      <c r="I274" s="471"/>
      <c r="J274" s="471">
        <f>SUM(J266:J273)</f>
        <v>5131.4972000000007</v>
      </c>
      <c r="K274" s="31"/>
    </row>
    <row r="275" spans="1:11" s="18" customFormat="1" ht="20.2" customHeight="1">
      <c r="A275" s="617"/>
      <c r="B275" s="40"/>
      <c r="C275" s="54" t="s">
        <v>1600</v>
      </c>
      <c r="D275" s="954"/>
      <c r="E275" s="468"/>
      <c r="F275" s="458"/>
      <c r="G275" s="458"/>
      <c r="H275" s="458">
        <f>J274</f>
        <v>5131.4972000000007</v>
      </c>
      <c r="I275" s="468">
        <f>I6</f>
        <v>0</v>
      </c>
      <c r="J275" s="468">
        <f>ROUND(H295*I295,2)</f>
        <v>1180.06</v>
      </c>
      <c r="K275" s="17"/>
    </row>
    <row r="276" spans="1:11" s="439" customFormat="1" ht="20.2" customHeight="1">
      <c r="A276" s="617"/>
      <c r="B276" s="411"/>
      <c r="C276" s="418" t="s">
        <v>1312</v>
      </c>
      <c r="D276" s="955"/>
      <c r="E276" s="469"/>
      <c r="F276" s="460"/>
      <c r="G276" s="460"/>
      <c r="H276" s="460"/>
      <c r="I276" s="469" t="s">
        <v>416</v>
      </c>
      <c r="J276" s="469">
        <f>SUM(J274:J275)</f>
        <v>6311.5572000000011</v>
      </c>
      <c r="K276" s="447"/>
    </row>
    <row r="277" spans="1:11" s="439" customFormat="1" ht="20.2" customHeight="1">
      <c r="A277" s="617"/>
      <c r="B277" s="411"/>
      <c r="C277" s="418" t="s">
        <v>1313</v>
      </c>
      <c r="D277" s="955"/>
      <c r="E277" s="469"/>
      <c r="F277" s="460"/>
      <c r="G277" s="460"/>
      <c r="H277" s="460"/>
      <c r="I277" s="469" t="s">
        <v>416</v>
      </c>
      <c r="J277" s="469">
        <f>J263-J276</f>
        <v>8192.67</v>
      </c>
      <c r="K277" s="447"/>
    </row>
    <row r="278" spans="1:11" ht="129">
      <c r="A278" s="617"/>
      <c r="B278" s="26">
        <v>8</v>
      </c>
      <c r="C278" s="55" t="s">
        <v>1841</v>
      </c>
      <c r="D278" s="951"/>
      <c r="E278" s="471"/>
      <c r="F278" s="462"/>
      <c r="G278" s="462"/>
      <c r="H278" s="462"/>
      <c r="I278" s="471"/>
      <c r="J278" s="471"/>
      <c r="K278" s="31"/>
    </row>
    <row r="279" spans="1:11">
      <c r="A279" s="617"/>
      <c r="B279" s="34"/>
      <c r="C279" s="55" t="s">
        <v>1314</v>
      </c>
      <c r="D279" s="951"/>
      <c r="E279" s="471"/>
      <c r="F279" s="462"/>
      <c r="G279" s="462"/>
      <c r="H279" s="462"/>
      <c r="I279" s="471"/>
      <c r="J279" s="471"/>
      <c r="K279" s="31"/>
    </row>
    <row r="280" spans="1:11">
      <c r="A280" s="617"/>
      <c r="B280" s="34"/>
      <c r="C280" s="54" t="s">
        <v>848</v>
      </c>
      <c r="D280" s="951"/>
      <c r="E280" s="471"/>
      <c r="F280" s="462"/>
      <c r="G280" s="462"/>
      <c r="H280" s="462"/>
      <c r="I280" s="471"/>
      <c r="J280" s="471"/>
      <c r="K280" s="31"/>
    </row>
    <row r="281" spans="1:11" ht="20.2" customHeight="1">
      <c r="A281" s="617"/>
      <c r="B281" s="34"/>
      <c r="C281" s="54" t="s">
        <v>780</v>
      </c>
      <c r="D281" s="951">
        <v>4</v>
      </c>
      <c r="E281" s="471">
        <v>1.35</v>
      </c>
      <c r="F281" s="462">
        <v>0.1</v>
      </c>
      <c r="G281" s="462">
        <v>7.4999999999999997E-2</v>
      </c>
      <c r="H281" s="462">
        <f>ROUND(G281*F281*E281*D281,3)</f>
        <v>4.1000000000000002E-2</v>
      </c>
      <c r="I281" s="471">
        <v>44785</v>
      </c>
      <c r="J281" s="471">
        <f t="shared" ref="J281:J286" si="15">ROUND(H281*I281,2)</f>
        <v>1836.19</v>
      </c>
      <c r="K281" s="31"/>
    </row>
    <row r="282" spans="1:11" ht="20.2" customHeight="1">
      <c r="A282" s="617"/>
      <c r="B282" s="34"/>
      <c r="C282" s="54" t="s">
        <v>781</v>
      </c>
      <c r="D282" s="951">
        <v>2</v>
      </c>
      <c r="E282" s="471">
        <v>1.65</v>
      </c>
      <c r="F282" s="462">
        <v>0.1</v>
      </c>
      <c r="G282" s="462">
        <v>7.4999999999999997E-2</v>
      </c>
      <c r="H282" s="462">
        <f>ROUND(G282*F282*E282*D282,3)</f>
        <v>2.5000000000000001E-2</v>
      </c>
      <c r="I282" s="471">
        <v>44785</v>
      </c>
      <c r="J282" s="471">
        <f t="shared" si="15"/>
        <v>1119.6300000000001</v>
      </c>
      <c r="K282" s="31"/>
    </row>
    <row r="283" spans="1:11" ht="20.2" customHeight="1">
      <c r="A283" s="617"/>
      <c r="B283" s="34"/>
      <c r="C283" s="54" t="s">
        <v>782</v>
      </c>
      <c r="D283" s="951" t="s">
        <v>243</v>
      </c>
      <c r="E283" s="472">
        <f>(1.35-2*0.075+2*0.015)</f>
        <v>1.2300000000000002</v>
      </c>
      <c r="F283" s="462">
        <v>7.4999999999999997E-2</v>
      </c>
      <c r="G283" s="462">
        <f>1.25*25.4/1000</f>
        <v>3.175E-2</v>
      </c>
      <c r="H283" s="462">
        <f>ROUND(G283*F283*E283*6,3)</f>
        <v>1.7999999999999999E-2</v>
      </c>
      <c r="I283" s="471">
        <v>145240</v>
      </c>
      <c r="J283" s="471">
        <f t="shared" si="15"/>
        <v>2614.3200000000002</v>
      </c>
      <c r="K283" s="31"/>
    </row>
    <row r="284" spans="1:11" ht="20.2" customHeight="1">
      <c r="A284" s="617"/>
      <c r="B284" s="34"/>
      <c r="C284" s="54" t="s">
        <v>783</v>
      </c>
      <c r="D284" s="951" t="s">
        <v>244</v>
      </c>
      <c r="E284" s="471">
        <f>(1.5-3*0.075+6*0.015)/2</f>
        <v>0.6825</v>
      </c>
      <c r="F284" s="462">
        <v>7.4999999999999997E-2</v>
      </c>
      <c r="G284" s="462">
        <f>1.25*25.4/1000</f>
        <v>3.175E-2</v>
      </c>
      <c r="H284" s="462">
        <f>ROUND(9*E284*F284*G284,3)</f>
        <v>1.4999999999999999E-2</v>
      </c>
      <c r="I284" s="471">
        <v>145240</v>
      </c>
      <c r="J284" s="471">
        <f t="shared" si="15"/>
        <v>2178.6</v>
      </c>
      <c r="K284" s="31"/>
    </row>
    <row r="285" spans="1:11" ht="20.2" customHeight="1">
      <c r="A285" s="617"/>
      <c r="B285" s="34"/>
      <c r="C285" s="54" t="s">
        <v>1481</v>
      </c>
      <c r="D285" s="951" t="s">
        <v>245</v>
      </c>
      <c r="E285" s="471">
        <f>(1.5-4*0.075+6*0.015)/3-2*0.075+2*0.025</f>
        <v>0.33</v>
      </c>
      <c r="F285" s="462">
        <f>(1.35-2*0.075+2*0.015-3*0.075)/2+2*0.025</f>
        <v>0.55250000000000021</v>
      </c>
      <c r="G285" s="462">
        <v>2.5000000000000001E-2</v>
      </c>
      <c r="H285" s="462">
        <f>ROUND(6*E285*F285*G285,3)</f>
        <v>2.7E-2</v>
      </c>
      <c r="I285" s="471">
        <v>145240</v>
      </c>
      <c r="J285" s="471">
        <f t="shared" si="15"/>
        <v>3921.48</v>
      </c>
      <c r="K285" s="31"/>
    </row>
    <row r="286" spans="1:11" ht="20.2" customHeight="1">
      <c r="A286" s="617"/>
      <c r="B286" s="34"/>
      <c r="C286" s="54" t="s">
        <v>1482</v>
      </c>
      <c r="D286" s="951"/>
      <c r="E286" s="471"/>
      <c r="F286" s="462"/>
      <c r="G286" s="462"/>
      <c r="H286" s="462">
        <f>SUM(H281:H285)</f>
        <v>0.126</v>
      </c>
      <c r="I286" s="465">
        <f>G25</f>
        <v>19572.5</v>
      </c>
      <c r="J286" s="471">
        <f t="shared" si="15"/>
        <v>2466.14</v>
      </c>
      <c r="K286" s="31"/>
    </row>
    <row r="287" spans="1:11" ht="33.299999999999997">
      <c r="A287" s="617" t="s">
        <v>787</v>
      </c>
      <c r="B287" s="19"/>
      <c r="C287" s="54" t="s">
        <v>788</v>
      </c>
      <c r="D287" s="951"/>
      <c r="E287" s="471"/>
      <c r="F287" s="462"/>
      <c r="G287" s="952"/>
      <c r="H287" s="952"/>
      <c r="I287" s="471"/>
      <c r="J287" s="471"/>
      <c r="K287" s="31"/>
    </row>
    <row r="288" spans="1:11" ht="20.2" customHeight="1">
      <c r="A288" s="617"/>
      <c r="B288" s="693"/>
      <c r="C288" s="694" t="s">
        <v>915</v>
      </c>
      <c r="D288" s="471" t="s">
        <v>1035</v>
      </c>
      <c r="E288" s="462" t="s">
        <v>1624</v>
      </c>
      <c r="F288" s="462"/>
      <c r="G288" s="462"/>
      <c r="H288" s="948">
        <v>3</v>
      </c>
      <c r="I288" s="471">
        <v>35</v>
      </c>
      <c r="J288" s="471">
        <f t="shared" ref="J288:J293" si="16">ROUND(H288*I288,2)</f>
        <v>105</v>
      </c>
      <c r="K288" s="31"/>
    </row>
    <row r="289" spans="1:11" ht="20.2" customHeight="1">
      <c r="A289" s="617"/>
      <c r="B289" s="693"/>
      <c r="C289" s="31" t="s">
        <v>916</v>
      </c>
      <c r="D289" s="471" t="s">
        <v>1035</v>
      </c>
      <c r="E289" s="462" t="s">
        <v>1624</v>
      </c>
      <c r="F289" s="462"/>
      <c r="G289" s="462"/>
      <c r="H289" s="948">
        <v>3</v>
      </c>
      <c r="I289" s="471">
        <v>35</v>
      </c>
      <c r="J289" s="471">
        <f t="shared" si="16"/>
        <v>105</v>
      </c>
      <c r="K289" s="31"/>
    </row>
    <row r="290" spans="1:11" ht="20.2" customHeight="1">
      <c r="A290" s="617"/>
      <c r="B290" s="693"/>
      <c r="C290" s="946" t="s">
        <v>917</v>
      </c>
      <c r="D290" s="471" t="s">
        <v>1035</v>
      </c>
      <c r="E290" s="462" t="s">
        <v>1625</v>
      </c>
      <c r="F290" s="462"/>
      <c r="G290" s="462"/>
      <c r="H290" s="948">
        <v>6</v>
      </c>
      <c r="I290" s="471">
        <v>21</v>
      </c>
      <c r="J290" s="471">
        <f t="shared" si="16"/>
        <v>126</v>
      </c>
      <c r="K290" s="31"/>
    </row>
    <row r="291" spans="1:11" ht="20.2" customHeight="1">
      <c r="A291" s="617"/>
      <c r="B291" s="693"/>
      <c r="C291" s="694" t="s">
        <v>918</v>
      </c>
      <c r="D291" s="471" t="s">
        <v>1035</v>
      </c>
      <c r="E291" s="462" t="s">
        <v>1626</v>
      </c>
      <c r="F291" s="462"/>
      <c r="G291" s="462"/>
      <c r="H291" s="948">
        <v>3</v>
      </c>
      <c r="I291" s="471">
        <v>213</v>
      </c>
      <c r="J291" s="471">
        <f t="shared" si="16"/>
        <v>639</v>
      </c>
      <c r="K291" s="31"/>
    </row>
    <row r="292" spans="1:11" ht="20.2" customHeight="1">
      <c r="A292" s="617"/>
      <c r="B292" s="693"/>
      <c r="C292" s="694" t="s">
        <v>799</v>
      </c>
      <c r="D292" s="471" t="s">
        <v>882</v>
      </c>
      <c r="E292" s="462" t="s">
        <v>1652</v>
      </c>
      <c r="F292" s="462"/>
      <c r="G292" s="462"/>
      <c r="H292" s="948">
        <v>90</v>
      </c>
      <c r="I292" s="471">
        <v>3</v>
      </c>
      <c r="J292" s="471">
        <f t="shared" si="16"/>
        <v>270</v>
      </c>
      <c r="K292" s="31"/>
    </row>
    <row r="293" spans="1:11" ht="20.2" customHeight="1">
      <c r="A293" s="617"/>
      <c r="B293" s="32"/>
      <c r="C293" s="54" t="s">
        <v>1598</v>
      </c>
      <c r="D293" s="951"/>
      <c r="E293" s="953" t="s">
        <v>1651</v>
      </c>
      <c r="F293" s="462"/>
      <c r="G293" s="462"/>
      <c r="H293" s="948">
        <v>4</v>
      </c>
      <c r="I293" s="471">
        <v>32</v>
      </c>
      <c r="J293" s="471">
        <f t="shared" si="16"/>
        <v>128</v>
      </c>
      <c r="K293" s="31"/>
    </row>
    <row r="294" spans="1:11" ht="20.2" customHeight="1">
      <c r="A294" s="617"/>
      <c r="B294" s="34"/>
      <c r="C294" s="54" t="s">
        <v>1484</v>
      </c>
      <c r="D294" s="951">
        <v>2.75</v>
      </c>
      <c r="E294" s="471">
        <v>1.5</v>
      </c>
      <c r="F294" s="462"/>
      <c r="G294" s="471">
        <v>1.35</v>
      </c>
      <c r="H294" s="462">
        <f>ROUND(G294*E294*D294,2)</f>
        <v>5.57</v>
      </c>
      <c r="I294" s="698">
        <f>G15</f>
        <v>561.35799999999995</v>
      </c>
      <c r="J294" s="471">
        <f>ROUND(H294*I294/10,2)</f>
        <v>312.68</v>
      </c>
      <c r="K294" s="31"/>
    </row>
    <row r="295" spans="1:11" ht="20.2" customHeight="1">
      <c r="A295" s="617"/>
      <c r="B295" s="34"/>
      <c r="C295" s="451" t="s">
        <v>1306</v>
      </c>
      <c r="D295" s="951" t="s">
        <v>246</v>
      </c>
      <c r="E295" s="471">
        <v>1.5</v>
      </c>
      <c r="F295" s="462">
        <f>E295*10</f>
        <v>15</v>
      </c>
      <c r="G295" s="471">
        <v>1.1299999999999999</v>
      </c>
      <c r="H295" s="462">
        <f>G295*F295</f>
        <v>16.95</v>
      </c>
      <c r="I295" s="465">
        <f>'Lead- Input sheet '!R10/1000</f>
        <v>69.62</v>
      </c>
      <c r="J295" s="471">
        <f>H295*I295</f>
        <v>1180.059</v>
      </c>
      <c r="K295" s="31"/>
    </row>
    <row r="296" spans="1:11" ht="20.2" customHeight="1">
      <c r="A296" s="617"/>
      <c r="B296" s="34"/>
      <c r="C296" s="54" t="s">
        <v>230</v>
      </c>
      <c r="D296" s="951"/>
      <c r="E296" s="471"/>
      <c r="F296" s="462"/>
      <c r="G296" s="462"/>
      <c r="H296" s="948">
        <v>1</v>
      </c>
      <c r="I296" s="471">
        <v>125</v>
      </c>
      <c r="J296" s="471">
        <f>H296*I296</f>
        <v>125</v>
      </c>
      <c r="K296" s="31"/>
    </row>
    <row r="297" spans="1:11" ht="20.2" customHeight="1">
      <c r="A297" s="617"/>
      <c r="B297" s="34"/>
      <c r="D297" s="951"/>
      <c r="E297" s="471"/>
      <c r="F297" s="462"/>
      <c r="G297" s="462"/>
      <c r="H297" s="462"/>
      <c r="I297" s="471"/>
      <c r="J297" s="471">
        <f>SUM(J281:J296)</f>
        <v>17127.098999999998</v>
      </c>
      <c r="K297" s="31"/>
    </row>
    <row r="298" spans="1:11" s="18" customFormat="1" ht="20.2" customHeight="1">
      <c r="A298" s="617"/>
      <c r="B298" s="40"/>
      <c r="C298" s="54" t="s">
        <v>1600</v>
      </c>
      <c r="D298" s="954"/>
      <c r="E298" s="468"/>
      <c r="F298" s="458"/>
      <c r="G298" s="458"/>
      <c r="H298" s="458">
        <f>J297</f>
        <v>17127.098999999998</v>
      </c>
      <c r="I298" s="468">
        <f>I6</f>
        <v>0</v>
      </c>
      <c r="J298" s="468">
        <f>ROUND(H298*I298,2)</f>
        <v>0</v>
      </c>
      <c r="K298" s="17"/>
    </row>
    <row r="299" spans="1:11" s="18" customFormat="1" ht="20.2" customHeight="1">
      <c r="A299" s="617"/>
      <c r="B299" s="411"/>
      <c r="C299" s="283" t="s">
        <v>256</v>
      </c>
      <c r="D299" s="955"/>
      <c r="E299" s="469"/>
      <c r="F299" s="460"/>
      <c r="G299" s="460"/>
      <c r="H299" s="460"/>
      <c r="I299" s="469" t="s">
        <v>416</v>
      </c>
      <c r="J299" s="469">
        <f>SUM(J297:J298)</f>
        <v>17127.098999999998</v>
      </c>
      <c r="K299" s="17"/>
    </row>
    <row r="300" spans="1:11">
      <c r="A300" s="617"/>
      <c r="B300" s="34"/>
      <c r="C300" s="55" t="s">
        <v>1315</v>
      </c>
      <c r="D300" s="951"/>
      <c r="E300" s="471"/>
      <c r="F300" s="462"/>
      <c r="G300" s="462"/>
      <c r="H300" s="462"/>
      <c r="I300" s="471"/>
      <c r="J300" s="471"/>
      <c r="K300" s="31"/>
    </row>
    <row r="301" spans="1:11">
      <c r="A301" s="617"/>
      <c r="B301" s="34"/>
      <c r="C301" s="54" t="s">
        <v>848</v>
      </c>
      <c r="D301" s="951"/>
      <c r="E301" s="471"/>
      <c r="F301" s="462"/>
      <c r="G301" s="462"/>
      <c r="H301" s="462"/>
      <c r="I301" s="471"/>
      <c r="J301" s="471"/>
      <c r="K301" s="31"/>
    </row>
    <row r="302" spans="1:11" ht="20.2" customHeight="1">
      <c r="A302" s="617"/>
      <c r="B302" s="34"/>
      <c r="C302" s="54" t="s">
        <v>780</v>
      </c>
      <c r="D302" s="951">
        <v>4</v>
      </c>
      <c r="E302" s="471">
        <v>1.35</v>
      </c>
      <c r="F302" s="462">
        <v>0.1</v>
      </c>
      <c r="G302" s="462">
        <v>7.4999999999999997E-2</v>
      </c>
      <c r="H302" s="462">
        <f>ROUND(D302*E302*F302*G302,3)</f>
        <v>4.1000000000000002E-2</v>
      </c>
      <c r="I302" s="471">
        <v>44785</v>
      </c>
      <c r="J302" s="471">
        <f>ROUND(H302*I302,2)</f>
        <v>1836.19</v>
      </c>
      <c r="K302" s="31"/>
    </row>
    <row r="303" spans="1:11" ht="20.2" customHeight="1">
      <c r="A303" s="617"/>
      <c r="B303" s="34"/>
      <c r="C303" s="54" t="s">
        <v>781</v>
      </c>
      <c r="D303" s="951">
        <v>2</v>
      </c>
      <c r="E303" s="471">
        <v>1.65</v>
      </c>
      <c r="F303" s="462">
        <v>0.1</v>
      </c>
      <c r="G303" s="462">
        <v>7.4999999999999997E-2</v>
      </c>
      <c r="H303" s="462">
        <f>ROUND(D303*E303*F303*G303,3)</f>
        <v>2.5000000000000001E-2</v>
      </c>
      <c r="I303" s="471">
        <v>44785</v>
      </c>
      <c r="J303" s="471">
        <f>ROUND(H303*I303,2)</f>
        <v>1119.6300000000001</v>
      </c>
      <c r="K303" s="31"/>
    </row>
    <row r="304" spans="1:11" ht="20.2" customHeight="1">
      <c r="A304" s="617"/>
      <c r="B304" s="34"/>
      <c r="C304" s="54" t="s">
        <v>1482</v>
      </c>
      <c r="D304" s="951"/>
      <c r="E304" s="471"/>
      <c r="F304" s="462"/>
      <c r="G304" s="462"/>
      <c r="H304" s="462">
        <f>SUM(H302:H303)</f>
        <v>6.6000000000000003E-2</v>
      </c>
      <c r="I304" s="465">
        <f>G25</f>
        <v>19572.5</v>
      </c>
      <c r="J304" s="471">
        <f>ROUND(H304*I304,2)</f>
        <v>1291.79</v>
      </c>
      <c r="K304" s="31"/>
    </row>
    <row r="305" spans="1:11" ht="33.299999999999997">
      <c r="A305" s="617" t="s">
        <v>787</v>
      </c>
      <c r="B305" s="19"/>
      <c r="C305" s="54" t="s">
        <v>788</v>
      </c>
      <c r="D305" s="951"/>
      <c r="E305" s="471"/>
      <c r="F305" s="462"/>
      <c r="G305" s="952"/>
      <c r="H305" s="952"/>
      <c r="I305" s="471"/>
      <c r="J305" s="471"/>
      <c r="K305" s="31"/>
    </row>
    <row r="306" spans="1:11" ht="20.2" customHeight="1">
      <c r="A306" s="617"/>
      <c r="B306" s="32"/>
      <c r="C306" s="54" t="s">
        <v>1598</v>
      </c>
      <c r="D306" s="951"/>
      <c r="E306" s="953" t="s">
        <v>1651</v>
      </c>
      <c r="F306" s="462"/>
      <c r="G306" s="462"/>
      <c r="H306" s="948">
        <v>4</v>
      </c>
      <c r="I306" s="471">
        <v>32</v>
      </c>
      <c r="J306" s="462">
        <f>ROUND(H306*I306,2)</f>
        <v>128</v>
      </c>
      <c r="K306" s="31"/>
    </row>
    <row r="307" spans="1:11" ht="20.2" customHeight="1">
      <c r="A307" s="617"/>
      <c r="B307" s="34"/>
      <c r="C307" s="54" t="s">
        <v>1484</v>
      </c>
      <c r="D307" s="462" t="s">
        <v>544</v>
      </c>
      <c r="E307" s="462">
        <v>1.5</v>
      </c>
      <c r="F307" s="462"/>
      <c r="G307" s="471">
        <v>1.35</v>
      </c>
      <c r="H307" s="462">
        <f>ROUND(G307*E307*2.75/3,2)</f>
        <v>1.86</v>
      </c>
      <c r="I307" s="471">
        <f>G15</f>
        <v>561.35799999999995</v>
      </c>
      <c r="J307" s="471">
        <f>ROUND(H307*I307/10,2)</f>
        <v>104.41</v>
      </c>
      <c r="K307" s="31"/>
    </row>
    <row r="308" spans="1:11" ht="20.2" customHeight="1">
      <c r="A308" s="617"/>
      <c r="B308" s="34"/>
      <c r="C308" s="451" t="s">
        <v>1306</v>
      </c>
      <c r="D308" s="951" t="s">
        <v>246</v>
      </c>
      <c r="E308" s="471">
        <v>1.5</v>
      </c>
      <c r="F308" s="462">
        <f>E308*10</f>
        <v>15</v>
      </c>
      <c r="G308" s="471">
        <v>1.1299999999999999</v>
      </c>
      <c r="H308" s="462">
        <f>G308*F308</f>
        <v>16.95</v>
      </c>
      <c r="I308" s="465">
        <f>'Lead- Input sheet '!R10/1000</f>
        <v>69.62</v>
      </c>
      <c r="J308" s="471">
        <f>H308*I308</f>
        <v>1180.059</v>
      </c>
      <c r="K308" s="31"/>
    </row>
    <row r="309" spans="1:11" ht="20.2" customHeight="1">
      <c r="A309" s="617"/>
      <c r="B309" s="34"/>
      <c r="C309" s="54" t="s">
        <v>230</v>
      </c>
      <c r="D309" s="951"/>
      <c r="E309" s="471"/>
      <c r="F309" s="462"/>
      <c r="G309" s="462"/>
      <c r="H309" s="948">
        <v>1</v>
      </c>
      <c r="I309" s="471">
        <v>75</v>
      </c>
      <c r="J309" s="471">
        <f>H309*I309</f>
        <v>75</v>
      </c>
      <c r="K309" s="31"/>
    </row>
    <row r="310" spans="1:11" ht="20.2" customHeight="1">
      <c r="A310" s="617"/>
      <c r="B310" s="34"/>
      <c r="D310" s="951"/>
      <c r="E310" s="471"/>
      <c r="F310" s="462"/>
      <c r="G310" s="462"/>
      <c r="H310" s="462"/>
      <c r="I310" s="471"/>
      <c r="J310" s="471">
        <f>SUM(J302:J309)</f>
        <v>5735.0790000000006</v>
      </c>
      <c r="K310" s="31"/>
    </row>
    <row r="311" spans="1:11" s="18" customFormat="1" ht="20.2" customHeight="1">
      <c r="A311" s="617"/>
      <c r="B311" s="40"/>
      <c r="C311" s="54" t="s">
        <v>1600</v>
      </c>
      <c r="D311" s="954"/>
      <c r="E311" s="468"/>
      <c r="F311" s="458"/>
      <c r="G311" s="458"/>
      <c r="H311" s="458">
        <f>J310</f>
        <v>5735.0790000000006</v>
      </c>
      <c r="I311" s="468">
        <f>I6</f>
        <v>0</v>
      </c>
      <c r="J311" s="471">
        <f>ROUND(H311*I311,2)</f>
        <v>0</v>
      </c>
      <c r="K311" s="17"/>
    </row>
    <row r="312" spans="1:11" s="439" customFormat="1" ht="20.2" customHeight="1">
      <c r="A312" s="617"/>
      <c r="B312" s="411"/>
      <c r="C312" s="448" t="s">
        <v>1316</v>
      </c>
      <c r="D312" s="955"/>
      <c r="E312" s="469"/>
      <c r="F312" s="460"/>
      <c r="G312" s="460"/>
      <c r="H312" s="460"/>
      <c r="I312" s="469" t="s">
        <v>416</v>
      </c>
      <c r="J312" s="469">
        <f>SUM(J310:J311)</f>
        <v>5735.0790000000006</v>
      </c>
      <c r="K312" s="447"/>
    </row>
    <row r="313" spans="1:11" s="439" customFormat="1" ht="20.2" customHeight="1">
      <c r="A313" s="617"/>
      <c r="B313" s="411"/>
      <c r="C313" s="448" t="s">
        <v>1317</v>
      </c>
      <c r="D313" s="955"/>
      <c r="E313" s="469"/>
      <c r="F313" s="460"/>
      <c r="G313" s="460"/>
      <c r="H313" s="460"/>
      <c r="I313" s="469" t="s">
        <v>416</v>
      </c>
      <c r="J313" s="469">
        <f>J299-J312</f>
        <v>11392.019999999997</v>
      </c>
      <c r="K313" s="447"/>
    </row>
    <row r="314" spans="1:11" ht="116.1">
      <c r="A314" s="617"/>
      <c r="B314" s="26">
        <v>5</v>
      </c>
      <c r="C314" s="54" t="s">
        <v>1842</v>
      </c>
      <c r="D314" s="951"/>
      <c r="E314" s="471"/>
      <c r="F314" s="462"/>
      <c r="G314" s="462"/>
      <c r="H314" s="462"/>
      <c r="I314" s="471"/>
      <c r="J314" s="471"/>
      <c r="K314" s="31"/>
    </row>
    <row r="315" spans="1:11">
      <c r="A315" s="617"/>
      <c r="B315" s="34"/>
      <c r="C315" s="55" t="s">
        <v>1588</v>
      </c>
      <c r="D315" s="951"/>
      <c r="E315" s="471"/>
      <c r="F315" s="462"/>
      <c r="G315" s="462"/>
      <c r="H315" s="462"/>
      <c r="I315" s="471"/>
      <c r="J315" s="471"/>
      <c r="K315" s="31"/>
    </row>
    <row r="316" spans="1:11">
      <c r="A316" s="617"/>
      <c r="B316" s="34"/>
      <c r="C316" s="54" t="s">
        <v>848</v>
      </c>
      <c r="D316" s="951"/>
      <c r="E316" s="471"/>
      <c r="F316" s="462"/>
      <c r="G316" s="462"/>
      <c r="H316" s="462"/>
      <c r="I316" s="471"/>
      <c r="J316" s="471"/>
      <c r="K316" s="31"/>
    </row>
    <row r="317" spans="1:11" ht="20.2" customHeight="1">
      <c r="A317" s="617"/>
      <c r="B317" s="34"/>
      <c r="C317" s="54" t="s">
        <v>780</v>
      </c>
      <c r="D317" s="951">
        <v>4</v>
      </c>
      <c r="E317" s="471">
        <v>1.35</v>
      </c>
      <c r="F317" s="462">
        <v>0.1</v>
      </c>
      <c r="G317" s="462">
        <v>7.4999999999999997E-2</v>
      </c>
      <c r="H317" s="462">
        <f>ROUND(D317*E317*F317*G317,3)</f>
        <v>4.1000000000000002E-2</v>
      </c>
      <c r="I317" s="471">
        <v>44785</v>
      </c>
      <c r="J317" s="471">
        <f>ROUND(H317*I317,2)</f>
        <v>1836.19</v>
      </c>
      <c r="K317" s="31"/>
    </row>
    <row r="318" spans="1:11" ht="20.2" customHeight="1">
      <c r="A318" s="617"/>
      <c r="B318" s="34"/>
      <c r="C318" s="54" t="s">
        <v>441</v>
      </c>
      <c r="D318" s="951">
        <v>2</v>
      </c>
      <c r="E318" s="471">
        <v>1.5</v>
      </c>
      <c r="F318" s="462">
        <v>0.1</v>
      </c>
      <c r="G318" s="462">
        <v>7.4999999999999997E-2</v>
      </c>
      <c r="H318" s="462">
        <f>ROUND(D318*E318*F318*G318,3)</f>
        <v>2.3E-2</v>
      </c>
      <c r="I318" s="471">
        <v>44785</v>
      </c>
      <c r="J318" s="471">
        <f>ROUND(H318*I318,2)</f>
        <v>1030.06</v>
      </c>
      <c r="K318" s="31"/>
    </row>
    <row r="319" spans="1:11" ht="20.2" customHeight="1">
      <c r="A319" s="617"/>
      <c r="B319" s="34"/>
      <c r="C319" s="54" t="s">
        <v>782</v>
      </c>
      <c r="D319" s="951" t="s">
        <v>243</v>
      </c>
      <c r="E319" s="471">
        <f>(1.35-2*0.075+2*0.015)</f>
        <v>1.2300000000000002</v>
      </c>
      <c r="F319" s="462">
        <v>7.4999999999999997E-2</v>
      </c>
      <c r="G319" s="462">
        <v>3.2000000000000001E-2</v>
      </c>
      <c r="H319" s="462">
        <f>ROUND(6*E319*F319*G319,3)</f>
        <v>1.7999999999999999E-2</v>
      </c>
      <c r="I319" s="471">
        <v>145240</v>
      </c>
      <c r="J319" s="471">
        <f>ROUND(H319*I319,2)</f>
        <v>2614.3200000000002</v>
      </c>
      <c r="K319" s="31"/>
    </row>
    <row r="320" spans="1:11" ht="20.2" customHeight="1">
      <c r="A320" s="617"/>
      <c r="B320" s="34"/>
      <c r="C320" s="54" t="s">
        <v>783</v>
      </c>
      <c r="D320" s="951" t="s">
        <v>244</v>
      </c>
      <c r="E320" s="471">
        <f>(1.35-4*0.075+6*0.015)/3</f>
        <v>0.38000000000000006</v>
      </c>
      <c r="F320" s="462">
        <v>7.4999999999999997E-2</v>
      </c>
      <c r="G320" s="462">
        <v>3.2000000000000001E-2</v>
      </c>
      <c r="H320" s="462">
        <f>ROUND(9*E320*F320*G320,3)</f>
        <v>8.0000000000000002E-3</v>
      </c>
      <c r="I320" s="471">
        <v>145240</v>
      </c>
      <c r="J320" s="471">
        <f>ROUND(H320*I320,2)</f>
        <v>1161.92</v>
      </c>
      <c r="K320" s="31"/>
    </row>
    <row r="321" spans="1:12" ht="35.200000000000003" customHeight="1">
      <c r="A321" s="617" t="s">
        <v>418</v>
      </c>
      <c r="C321" s="54" t="s">
        <v>417</v>
      </c>
      <c r="D321" s="951" t="s">
        <v>245</v>
      </c>
      <c r="E321" s="471">
        <f>(1.35-4*0.075+6*0.015)/3+2*0.025</f>
        <v>0.43000000000000005</v>
      </c>
      <c r="F321" s="462">
        <f>(1.35-2*0.075+2*0.015-3*0.075)/2+2*0.025</f>
        <v>0.55250000000000021</v>
      </c>
      <c r="G321" s="462">
        <f>ROUND(6*E321*F321,3)</f>
        <v>1.425</v>
      </c>
      <c r="H321" s="462"/>
      <c r="I321" s="471">
        <v>806</v>
      </c>
      <c r="J321" s="471">
        <f>ROUND(G321*I321,2)</f>
        <v>1148.55</v>
      </c>
      <c r="K321" s="31"/>
    </row>
    <row r="322" spans="1:12" ht="20.2" customHeight="1">
      <c r="A322" s="617"/>
      <c r="B322" s="34"/>
      <c r="C322" s="54" t="s">
        <v>1482</v>
      </c>
      <c r="D322" s="951"/>
      <c r="E322" s="471"/>
      <c r="F322" s="462"/>
      <c r="G322" s="462"/>
      <c r="H322" s="462">
        <f>SUM(H317:H321)</f>
        <v>0.09</v>
      </c>
      <c r="I322" s="465">
        <f>G25</f>
        <v>19572.5</v>
      </c>
      <c r="J322" s="471">
        <f>ROUND(H322*I322,2)</f>
        <v>1761.53</v>
      </c>
      <c r="K322" s="31"/>
    </row>
    <row r="323" spans="1:12" ht="33.299999999999997">
      <c r="A323" s="617" t="s">
        <v>787</v>
      </c>
      <c r="B323" s="19"/>
      <c r="C323" s="54" t="s">
        <v>788</v>
      </c>
      <c r="D323" s="951"/>
      <c r="E323" s="471"/>
      <c r="F323" s="462"/>
      <c r="G323" s="952"/>
      <c r="H323" s="952"/>
      <c r="I323" s="471"/>
      <c r="J323" s="471"/>
      <c r="K323" s="31"/>
    </row>
    <row r="324" spans="1:12" ht="20.2" customHeight="1">
      <c r="A324" s="617"/>
      <c r="B324" s="693"/>
      <c r="C324" s="694" t="s">
        <v>915</v>
      </c>
      <c r="D324" s="471" t="s">
        <v>1035</v>
      </c>
      <c r="E324" s="462" t="s">
        <v>1624</v>
      </c>
      <c r="F324" s="462"/>
      <c r="G324" s="462"/>
      <c r="H324" s="948">
        <v>3</v>
      </c>
      <c r="I324" s="471">
        <v>35</v>
      </c>
      <c r="J324" s="471">
        <f t="shared" ref="J324:J329" si="17">ROUND(H324*I324,2)</f>
        <v>105</v>
      </c>
      <c r="K324" s="31"/>
    </row>
    <row r="325" spans="1:12" ht="20.2" customHeight="1">
      <c r="A325" s="617"/>
      <c r="B325" s="693"/>
      <c r="C325" s="31" t="s">
        <v>916</v>
      </c>
      <c r="D325" s="471" t="s">
        <v>1035</v>
      </c>
      <c r="E325" s="462" t="s">
        <v>1624</v>
      </c>
      <c r="F325" s="462"/>
      <c r="G325" s="462"/>
      <c r="H325" s="948">
        <v>3</v>
      </c>
      <c r="I325" s="471">
        <v>35</v>
      </c>
      <c r="J325" s="471">
        <f t="shared" si="17"/>
        <v>105</v>
      </c>
      <c r="K325" s="31"/>
    </row>
    <row r="326" spans="1:12" ht="20.2" customHeight="1">
      <c r="A326" s="617"/>
      <c r="B326" s="693"/>
      <c r="C326" s="946" t="s">
        <v>917</v>
      </c>
      <c r="D326" s="471" t="s">
        <v>1035</v>
      </c>
      <c r="E326" s="462" t="s">
        <v>1625</v>
      </c>
      <c r="F326" s="462"/>
      <c r="G326" s="462"/>
      <c r="H326" s="948">
        <v>6</v>
      </c>
      <c r="I326" s="471">
        <v>21</v>
      </c>
      <c r="J326" s="471">
        <f t="shared" si="17"/>
        <v>126</v>
      </c>
      <c r="K326" s="31"/>
    </row>
    <row r="327" spans="1:12" ht="20.2" customHeight="1">
      <c r="A327" s="617"/>
      <c r="B327" s="693"/>
      <c r="C327" s="694" t="s">
        <v>918</v>
      </c>
      <c r="D327" s="471" t="s">
        <v>1035</v>
      </c>
      <c r="E327" s="462" t="s">
        <v>1626</v>
      </c>
      <c r="F327" s="462"/>
      <c r="G327" s="462"/>
      <c r="H327" s="948">
        <v>3</v>
      </c>
      <c r="I327" s="471">
        <v>213</v>
      </c>
      <c r="J327" s="471">
        <f t="shared" si="17"/>
        <v>639</v>
      </c>
      <c r="K327" s="31"/>
    </row>
    <row r="328" spans="1:12" ht="20.2" customHeight="1">
      <c r="A328" s="617"/>
      <c r="B328" s="693"/>
      <c r="C328" s="694" t="s">
        <v>799</v>
      </c>
      <c r="D328" s="471" t="s">
        <v>882</v>
      </c>
      <c r="E328" s="462" t="s">
        <v>1652</v>
      </c>
      <c r="F328" s="462"/>
      <c r="G328" s="462"/>
      <c r="H328" s="948">
        <v>90</v>
      </c>
      <c r="I328" s="471">
        <v>3</v>
      </c>
      <c r="J328" s="471">
        <f t="shared" si="17"/>
        <v>270</v>
      </c>
      <c r="K328" s="31"/>
    </row>
    <row r="329" spans="1:12" ht="20.2" customHeight="1">
      <c r="A329" s="617"/>
      <c r="B329" s="32"/>
      <c r="C329" s="54" t="s">
        <v>1598</v>
      </c>
      <c r="D329" s="951"/>
      <c r="E329" s="953" t="s">
        <v>1651</v>
      </c>
      <c r="F329" s="462"/>
      <c r="G329" s="462"/>
      <c r="H329" s="948">
        <v>4</v>
      </c>
      <c r="I329" s="471">
        <v>32</v>
      </c>
      <c r="J329" s="471">
        <f t="shared" si="17"/>
        <v>128</v>
      </c>
      <c r="K329" s="31"/>
      <c r="L329" s="105"/>
    </row>
    <row r="330" spans="1:12" ht="20.2" customHeight="1">
      <c r="A330" s="617"/>
      <c r="B330" s="34"/>
      <c r="C330" s="54" t="s">
        <v>1484</v>
      </c>
      <c r="D330" s="951">
        <v>2.75</v>
      </c>
      <c r="E330" s="471">
        <v>1.3</v>
      </c>
      <c r="F330" s="462"/>
      <c r="G330" s="471">
        <v>1.35</v>
      </c>
      <c r="H330" s="462">
        <f>ROUND(G330*E330*D330,2)</f>
        <v>4.83</v>
      </c>
      <c r="I330" s="698">
        <f>G15</f>
        <v>561.35799999999995</v>
      </c>
      <c r="J330" s="471">
        <f>ROUND(H330*I330/10,2)</f>
        <v>271.14</v>
      </c>
      <c r="K330" s="31"/>
      <c r="L330" s="105"/>
    </row>
    <row r="331" spans="1:12" ht="20.2" customHeight="1">
      <c r="A331" s="617"/>
      <c r="B331" s="34"/>
      <c r="C331" s="451" t="s">
        <v>1306</v>
      </c>
      <c r="D331" s="951" t="s">
        <v>246</v>
      </c>
      <c r="E331" s="471">
        <v>1.35</v>
      </c>
      <c r="F331" s="462">
        <f>10*1.35</f>
        <v>13.5</v>
      </c>
      <c r="G331" s="471">
        <v>1.1299999999999999</v>
      </c>
      <c r="H331" s="462">
        <f>G331*F331</f>
        <v>15.254999999999999</v>
      </c>
      <c r="I331" s="465">
        <f>'Lead- Input sheet '!R10/1000</f>
        <v>69.62</v>
      </c>
      <c r="J331" s="471">
        <f>ROUND(H331*I331,2)</f>
        <v>1062.05</v>
      </c>
      <c r="K331" s="31"/>
      <c r="L331" s="105"/>
    </row>
    <row r="332" spans="1:12" ht="20.2" customHeight="1">
      <c r="A332" s="617"/>
      <c r="B332" s="34"/>
      <c r="C332" s="54" t="s">
        <v>230</v>
      </c>
      <c r="D332" s="951"/>
      <c r="E332" s="471"/>
      <c r="F332" s="462"/>
      <c r="G332" s="462"/>
      <c r="H332" s="948">
        <v>1</v>
      </c>
      <c r="I332" s="471">
        <v>100</v>
      </c>
      <c r="J332" s="471">
        <f>H332*I332</f>
        <v>100</v>
      </c>
      <c r="K332" s="31"/>
      <c r="L332" s="105"/>
    </row>
    <row r="333" spans="1:12" ht="20.2" customHeight="1">
      <c r="A333" s="617"/>
      <c r="B333" s="34"/>
      <c r="D333" s="951"/>
      <c r="E333" s="471"/>
      <c r="F333" s="462"/>
      <c r="G333" s="462"/>
      <c r="H333" s="462"/>
      <c r="I333" s="471"/>
      <c r="J333" s="471">
        <f>SUM(J317:J332)</f>
        <v>12358.759999999998</v>
      </c>
      <c r="K333" s="31"/>
    </row>
    <row r="334" spans="1:12" s="18" customFormat="1" ht="20.2" customHeight="1">
      <c r="A334" s="617"/>
      <c r="B334" s="40"/>
      <c r="C334" s="54" t="s">
        <v>1600</v>
      </c>
      <c r="D334" s="954"/>
      <c r="E334" s="468"/>
      <c r="F334" s="458"/>
      <c r="G334" s="458"/>
      <c r="H334" s="458">
        <f>J333</f>
        <v>12358.759999999998</v>
      </c>
      <c r="I334" s="468">
        <f>I6</f>
        <v>0</v>
      </c>
      <c r="J334" s="471">
        <f>ROUND(H334*I334,2)</f>
        <v>0</v>
      </c>
      <c r="K334" s="17"/>
    </row>
    <row r="335" spans="1:12" s="439" customFormat="1" ht="20.2" customHeight="1">
      <c r="A335" s="617" t="s">
        <v>542</v>
      </c>
      <c r="B335" s="411"/>
      <c r="C335" s="283" t="s">
        <v>256</v>
      </c>
      <c r="D335" s="955"/>
      <c r="E335" s="469"/>
      <c r="F335" s="460"/>
      <c r="G335" s="460"/>
      <c r="H335" s="460"/>
      <c r="I335" s="469" t="s">
        <v>416</v>
      </c>
      <c r="J335" s="469">
        <f>SUM(J333:J334)</f>
        <v>12358.759999999998</v>
      </c>
      <c r="K335" s="447"/>
    </row>
    <row r="336" spans="1:12">
      <c r="A336" s="617"/>
      <c r="B336" s="34"/>
      <c r="C336" s="417" t="s">
        <v>543</v>
      </c>
      <c r="D336" s="951"/>
      <c r="E336" s="471"/>
      <c r="F336" s="462"/>
      <c r="G336" s="462"/>
      <c r="H336" s="462"/>
      <c r="I336" s="471"/>
      <c r="J336" s="471"/>
      <c r="K336" s="31"/>
    </row>
    <row r="337" spans="1:18">
      <c r="A337" s="617"/>
      <c r="B337" s="34"/>
      <c r="C337" s="54" t="s">
        <v>848</v>
      </c>
      <c r="D337" s="951"/>
      <c r="E337" s="471"/>
      <c r="F337" s="462"/>
      <c r="G337" s="462"/>
      <c r="H337" s="462"/>
      <c r="I337" s="471"/>
      <c r="J337" s="471"/>
      <c r="K337" s="31"/>
    </row>
    <row r="338" spans="1:18" ht="20.2" customHeight="1">
      <c r="A338" s="617"/>
      <c r="B338" s="34"/>
      <c r="C338" s="54" t="s">
        <v>780</v>
      </c>
      <c r="D338" s="951">
        <v>4</v>
      </c>
      <c r="E338" s="471">
        <v>1.35</v>
      </c>
      <c r="F338" s="462">
        <v>0.1</v>
      </c>
      <c r="G338" s="462">
        <v>7.4999999999999997E-2</v>
      </c>
      <c r="H338" s="462">
        <f>ROUND(D338*E338*F338*G338,3)</f>
        <v>4.1000000000000002E-2</v>
      </c>
      <c r="I338" s="471">
        <v>44785</v>
      </c>
      <c r="J338" s="471">
        <f>ROUND(H338*I338,2)</f>
        <v>1836.19</v>
      </c>
      <c r="K338" s="31"/>
    </row>
    <row r="339" spans="1:18" ht="20.2" customHeight="1">
      <c r="A339" s="617"/>
      <c r="B339" s="34"/>
      <c r="C339" s="54" t="s">
        <v>441</v>
      </c>
      <c r="D339" s="951">
        <v>2</v>
      </c>
      <c r="E339" s="471">
        <v>1.5</v>
      </c>
      <c r="F339" s="462">
        <v>0.1</v>
      </c>
      <c r="G339" s="462">
        <v>7.4999999999999997E-2</v>
      </c>
      <c r="H339" s="462">
        <f>ROUND(D339*E339*F339*G339,3)</f>
        <v>2.3E-2</v>
      </c>
      <c r="I339" s="471">
        <v>44785</v>
      </c>
      <c r="J339" s="471">
        <f>ROUND(H339*I339,2)</f>
        <v>1030.06</v>
      </c>
      <c r="K339" s="31"/>
    </row>
    <row r="340" spans="1:18" ht="20.2" customHeight="1">
      <c r="A340" s="617"/>
      <c r="B340" s="34"/>
      <c r="C340" s="54" t="s">
        <v>1482</v>
      </c>
      <c r="D340" s="951"/>
      <c r="E340" s="471"/>
      <c r="F340" s="462"/>
      <c r="G340" s="462"/>
      <c r="H340" s="462">
        <f>SUM(H338:H339)</f>
        <v>6.4000000000000001E-2</v>
      </c>
      <c r="I340" s="698">
        <f>G25</f>
        <v>19572.5</v>
      </c>
      <c r="J340" s="471">
        <f>ROUND(H340*I340,2)</f>
        <v>1252.6400000000001</v>
      </c>
      <c r="K340" s="31"/>
    </row>
    <row r="341" spans="1:18" ht="20.2" customHeight="1">
      <c r="A341" s="617"/>
      <c r="B341" s="32"/>
      <c r="C341" s="54" t="s">
        <v>1598</v>
      </c>
      <c r="D341" s="951"/>
      <c r="E341" s="953" t="s">
        <v>1651</v>
      </c>
      <c r="F341" s="462"/>
      <c r="G341" s="462"/>
      <c r="H341" s="948">
        <v>4</v>
      </c>
      <c r="I341" s="471">
        <v>32</v>
      </c>
      <c r="J341" s="471">
        <f>ROUND(H341*I341,2)</f>
        <v>128</v>
      </c>
      <c r="K341" s="31"/>
      <c r="L341" s="105"/>
    </row>
    <row r="342" spans="1:18" ht="20.2" customHeight="1">
      <c r="A342" s="617"/>
      <c r="B342" s="34"/>
      <c r="C342" s="54" t="s">
        <v>1484</v>
      </c>
      <c r="D342" s="951" t="s">
        <v>544</v>
      </c>
      <c r="E342" s="471">
        <v>1.3</v>
      </c>
      <c r="F342" s="462"/>
      <c r="G342" s="471">
        <v>1.35</v>
      </c>
      <c r="H342" s="462">
        <f>ROUND(G342*E342*2.75/3,2)</f>
        <v>1.61</v>
      </c>
      <c r="I342" s="698">
        <f>G15</f>
        <v>561.35799999999995</v>
      </c>
      <c r="J342" s="471">
        <f>ROUND(H342*I342/10,2)</f>
        <v>90.38</v>
      </c>
      <c r="K342" s="31"/>
      <c r="L342" s="105"/>
    </row>
    <row r="343" spans="1:18" ht="20.2" customHeight="1">
      <c r="A343" s="617"/>
      <c r="B343" s="34"/>
      <c r="C343" s="451" t="s">
        <v>1306</v>
      </c>
      <c r="D343" s="951" t="s">
        <v>246</v>
      </c>
      <c r="E343" s="471">
        <v>1.35</v>
      </c>
      <c r="F343" s="462">
        <f>10*1.35</f>
        <v>13.5</v>
      </c>
      <c r="G343" s="471">
        <v>1.1299999999999999</v>
      </c>
      <c r="H343" s="462">
        <f>G343*F343</f>
        <v>15.254999999999999</v>
      </c>
      <c r="I343" s="465">
        <f>'Lead- Input sheet '!R10/1000</f>
        <v>69.62</v>
      </c>
      <c r="J343" s="471">
        <f>H343*I343</f>
        <v>1062.0531000000001</v>
      </c>
      <c r="K343" s="31"/>
      <c r="L343" s="105"/>
    </row>
    <row r="344" spans="1:18" ht="20.2" customHeight="1">
      <c r="A344" s="617"/>
      <c r="B344" s="34"/>
      <c r="C344" s="54" t="s">
        <v>230</v>
      </c>
      <c r="D344" s="951"/>
      <c r="E344" s="471"/>
      <c r="F344" s="462"/>
      <c r="G344" s="462"/>
      <c r="H344" s="948">
        <v>1</v>
      </c>
      <c r="I344" s="471">
        <v>50</v>
      </c>
      <c r="J344" s="471">
        <f>H344*I344</f>
        <v>50</v>
      </c>
      <c r="K344" s="31"/>
      <c r="L344" s="105"/>
    </row>
    <row r="345" spans="1:18" ht="20.2" customHeight="1">
      <c r="A345" s="617"/>
      <c r="B345" s="34"/>
      <c r="D345" s="951"/>
      <c r="E345" s="471"/>
      <c r="F345" s="462"/>
      <c r="G345" s="462"/>
      <c r="H345" s="462"/>
      <c r="I345" s="471"/>
      <c r="J345" s="471">
        <f>SUM(J338:J344)</f>
        <v>5449.3231000000005</v>
      </c>
      <c r="K345" s="31"/>
    </row>
    <row r="346" spans="1:18" s="18" customFormat="1" ht="20.2" customHeight="1">
      <c r="A346" s="617"/>
      <c r="B346" s="40"/>
      <c r="C346" s="54" t="s">
        <v>1600</v>
      </c>
      <c r="D346" s="954"/>
      <c r="E346" s="468"/>
      <c r="F346" s="458"/>
      <c r="G346" s="458"/>
      <c r="H346" s="458">
        <f>J345</f>
        <v>5449.3231000000005</v>
      </c>
      <c r="I346" s="468">
        <f>I6</f>
        <v>0</v>
      </c>
      <c r="J346" s="471">
        <f>ROUND(H346*I346,2)</f>
        <v>0</v>
      </c>
      <c r="K346" s="17"/>
    </row>
    <row r="347" spans="1:18" s="439" customFormat="1" ht="20.2" customHeight="1">
      <c r="A347" s="617" t="s">
        <v>542</v>
      </c>
      <c r="B347" s="411"/>
      <c r="C347" s="418" t="s">
        <v>545</v>
      </c>
      <c r="D347" s="955"/>
      <c r="E347" s="469"/>
      <c r="F347" s="460"/>
      <c r="G347" s="460"/>
      <c r="H347" s="460"/>
      <c r="I347" s="469" t="s">
        <v>1486</v>
      </c>
      <c r="J347" s="469">
        <f>SUM(J345:J346)</f>
        <v>5449.3231000000005</v>
      </c>
      <c r="K347" s="447"/>
    </row>
    <row r="348" spans="1:18" s="439" customFormat="1" ht="20.2" customHeight="1">
      <c r="A348" s="617">
        <v>0</v>
      </c>
      <c r="B348" s="411"/>
      <c r="C348" s="418" t="s">
        <v>546</v>
      </c>
      <c r="D348" s="955"/>
      <c r="E348" s="469"/>
      <c r="F348" s="460"/>
      <c r="G348" s="460"/>
      <c r="H348" s="460"/>
      <c r="I348" s="469" t="s">
        <v>1486</v>
      </c>
      <c r="J348" s="469">
        <f>J335-J347</f>
        <v>6909.4368999999979</v>
      </c>
      <c r="K348" s="447"/>
    </row>
    <row r="349" spans="1:18" ht="116.1">
      <c r="A349" s="617"/>
      <c r="B349" s="966">
        <v>6</v>
      </c>
      <c r="C349" s="54" t="s">
        <v>1843</v>
      </c>
      <c r="D349" s="951"/>
      <c r="E349" s="471"/>
      <c r="F349" s="462"/>
      <c r="G349" s="462"/>
      <c r="H349" s="462"/>
      <c r="I349" s="471"/>
      <c r="J349" s="471"/>
      <c r="K349" s="31"/>
    </row>
    <row r="350" spans="1:18" ht="25.8">
      <c r="A350" s="617"/>
      <c r="B350" s="34"/>
      <c r="C350" s="55" t="s">
        <v>947</v>
      </c>
      <c r="D350" s="951"/>
      <c r="E350" s="471"/>
      <c r="F350" s="462"/>
      <c r="G350" s="462"/>
      <c r="H350" s="462"/>
      <c r="I350" s="471"/>
      <c r="J350" s="471"/>
      <c r="K350" s="55" t="s">
        <v>1776</v>
      </c>
      <c r="L350" s="951"/>
      <c r="M350" s="471"/>
      <c r="N350" s="462"/>
      <c r="O350" s="462"/>
      <c r="P350" s="462"/>
      <c r="Q350" s="471"/>
      <c r="R350" s="471"/>
    </row>
    <row r="351" spans="1:18">
      <c r="A351" s="617"/>
      <c r="B351" s="34"/>
      <c r="C351" s="54" t="s">
        <v>848</v>
      </c>
      <c r="D351" s="951"/>
      <c r="E351" s="471"/>
      <c r="F351" s="462"/>
      <c r="G351" s="462"/>
      <c r="H351" s="462"/>
      <c r="I351" s="471"/>
      <c r="J351" s="471"/>
      <c r="K351" s="54" t="s">
        <v>848</v>
      </c>
      <c r="L351" s="951"/>
      <c r="M351" s="471"/>
      <c r="N351" s="462"/>
      <c r="O351" s="462"/>
      <c r="P351" s="462"/>
      <c r="Q351" s="471"/>
      <c r="R351" s="471"/>
    </row>
    <row r="352" spans="1:18" ht="20.2" customHeight="1">
      <c r="A352" s="617"/>
      <c r="B352" s="34"/>
      <c r="C352" s="54" t="s">
        <v>780</v>
      </c>
      <c r="D352" s="951">
        <v>5</v>
      </c>
      <c r="E352" s="471">
        <v>1.3</v>
      </c>
      <c r="F352" s="462">
        <v>0.1</v>
      </c>
      <c r="G352" s="462">
        <v>7.4999999999999997E-2</v>
      </c>
      <c r="H352" s="462">
        <f>ROUND(D352*E352*F352*G352,3)</f>
        <v>4.9000000000000002E-2</v>
      </c>
      <c r="I352" s="471">
        <v>44785</v>
      </c>
      <c r="J352" s="471">
        <f>ROUND(H352*I352,2)</f>
        <v>2194.4699999999998</v>
      </c>
      <c r="K352" s="54" t="s">
        <v>780</v>
      </c>
      <c r="L352" s="951">
        <v>5</v>
      </c>
      <c r="M352" s="471">
        <v>1.2</v>
      </c>
      <c r="N352" s="462">
        <v>0.1</v>
      </c>
      <c r="O352" s="462">
        <v>7.4999999999999997E-2</v>
      </c>
      <c r="P352" s="462">
        <f>ROUND(L352*M352*N352*O352,3)</f>
        <v>4.4999999999999998E-2</v>
      </c>
      <c r="Q352" s="471">
        <v>44785</v>
      </c>
      <c r="R352" s="471">
        <f>ROUND(P352*Q352,2)</f>
        <v>2015.33</v>
      </c>
    </row>
    <row r="353" spans="1:18" ht="20.2" customHeight="1">
      <c r="A353" s="617"/>
      <c r="B353" s="34"/>
      <c r="C353" s="54" t="s">
        <v>441</v>
      </c>
      <c r="D353" s="951">
        <v>2</v>
      </c>
      <c r="E353" s="471">
        <v>2</v>
      </c>
      <c r="F353" s="462">
        <v>0.1</v>
      </c>
      <c r="G353" s="462">
        <v>7.4999999999999997E-2</v>
      </c>
      <c r="H353" s="462">
        <f>ROUND(D353*E353*F353*G353,3)</f>
        <v>0.03</v>
      </c>
      <c r="I353" s="471">
        <v>44785</v>
      </c>
      <c r="J353" s="471">
        <f>ROUND(H353*I353,2)</f>
        <v>1343.55</v>
      </c>
      <c r="K353" s="54" t="s">
        <v>441</v>
      </c>
      <c r="L353" s="951">
        <v>2</v>
      </c>
      <c r="M353" s="471">
        <v>2</v>
      </c>
      <c r="N353" s="462">
        <v>0.1</v>
      </c>
      <c r="O353" s="462">
        <v>7.4999999999999997E-2</v>
      </c>
      <c r="P353" s="462">
        <f>ROUND(L353*M353*N353*O353,3)</f>
        <v>0.03</v>
      </c>
      <c r="Q353" s="471">
        <v>44785</v>
      </c>
      <c r="R353" s="471">
        <f>ROUND(P353*Q353,2)</f>
        <v>1343.55</v>
      </c>
    </row>
    <row r="354" spans="1:18" ht="20.2" customHeight="1">
      <c r="A354" s="617"/>
      <c r="B354" s="34"/>
      <c r="C354" s="54" t="s">
        <v>782</v>
      </c>
      <c r="D354" s="951" t="s">
        <v>854</v>
      </c>
      <c r="E354" s="471">
        <f>(1.35-2*0.075+2*0.015)</f>
        <v>1.2300000000000002</v>
      </c>
      <c r="F354" s="462">
        <v>7.4999999999999997E-2</v>
      </c>
      <c r="G354" s="462">
        <v>3.2000000000000001E-2</v>
      </c>
      <c r="H354" s="462">
        <f>ROUND(8*E354*F354*G354,3)</f>
        <v>2.4E-2</v>
      </c>
      <c r="I354" s="471">
        <v>145240</v>
      </c>
      <c r="J354" s="471">
        <f>ROUND(H354*I354,2)</f>
        <v>3485.76</v>
      </c>
      <c r="K354" s="54" t="s">
        <v>782</v>
      </c>
      <c r="L354" s="951" t="s">
        <v>854</v>
      </c>
      <c r="M354" s="471">
        <f>(1.2-2*0.075+2*0.015)</f>
        <v>1.08</v>
      </c>
      <c r="N354" s="462">
        <v>7.4999999999999997E-2</v>
      </c>
      <c r="O354" s="462">
        <v>3.2000000000000001E-2</v>
      </c>
      <c r="P354" s="462">
        <f>ROUND(8*M354*N354*O354,3)</f>
        <v>2.1000000000000001E-2</v>
      </c>
      <c r="Q354" s="471">
        <v>145240</v>
      </c>
      <c r="R354" s="471">
        <f>ROUND(P354*Q354,2)</f>
        <v>3050.04</v>
      </c>
    </row>
    <row r="355" spans="1:18" ht="20.2" customHeight="1">
      <c r="A355" s="617"/>
      <c r="B355" s="34"/>
      <c r="C355" s="54" t="s">
        <v>783</v>
      </c>
      <c r="D355" s="951" t="s">
        <v>855</v>
      </c>
      <c r="E355" s="471">
        <f>(1.85-5*0.075+8*0.015)/4</f>
        <v>0.39875000000000005</v>
      </c>
      <c r="F355" s="462">
        <v>7.4999999999999997E-2</v>
      </c>
      <c r="G355" s="462">
        <v>3.2000000000000001E-2</v>
      </c>
      <c r="H355" s="462">
        <f>ROUND(12*E355*F355*G355,3)</f>
        <v>1.0999999999999999E-2</v>
      </c>
      <c r="I355" s="471">
        <v>145240</v>
      </c>
      <c r="J355" s="471">
        <f>ROUND(H355*I355,2)</f>
        <v>1597.64</v>
      </c>
      <c r="K355" s="54" t="s">
        <v>783</v>
      </c>
      <c r="L355" s="951" t="s">
        <v>855</v>
      </c>
      <c r="M355" s="471">
        <f>(1.85-5*0.075+8*0.015)/4</f>
        <v>0.39875000000000005</v>
      </c>
      <c r="N355" s="462">
        <v>7.4999999999999997E-2</v>
      </c>
      <c r="O355" s="462">
        <v>3.2000000000000001E-2</v>
      </c>
      <c r="P355" s="462">
        <f>ROUND(12*M355*N355*O355,3)</f>
        <v>1.0999999999999999E-2</v>
      </c>
      <c r="Q355" s="471">
        <v>145240</v>
      </c>
      <c r="R355" s="471">
        <f>ROUND(P355*Q355,2)</f>
        <v>1597.64</v>
      </c>
    </row>
    <row r="356" spans="1:18" ht="35.200000000000003" customHeight="1">
      <c r="A356" s="617" t="s">
        <v>418</v>
      </c>
      <c r="C356" s="54" t="s">
        <v>417</v>
      </c>
      <c r="D356" s="951" t="s">
        <v>854</v>
      </c>
      <c r="E356" s="471">
        <f>(1.85-5*0.075+8*0.015)/4+2*0.025</f>
        <v>0.44875000000000004</v>
      </c>
      <c r="F356" s="462">
        <f>(1.35-2*0.075+2*0.015-3*0.075)/2+2*0.025</f>
        <v>0.55250000000000021</v>
      </c>
      <c r="G356" s="462">
        <f>ROUND(8*E356*F356,3)</f>
        <v>1.9830000000000001</v>
      </c>
      <c r="H356" s="462"/>
      <c r="I356" s="471">
        <v>806</v>
      </c>
      <c r="J356" s="471">
        <f>ROUND(G356*I356,2)</f>
        <v>1598.3</v>
      </c>
      <c r="K356" s="54" t="s">
        <v>417</v>
      </c>
      <c r="L356" s="951" t="s">
        <v>854</v>
      </c>
      <c r="M356" s="471">
        <f>(1.85-5*0.075+8*0.015)/4+2*0.025</f>
        <v>0.44875000000000004</v>
      </c>
      <c r="N356" s="462">
        <f>(1.2-2*0.075+2*0.015-3*0.075)/2+2*0.025</f>
        <v>0.47750000000000004</v>
      </c>
      <c r="O356" s="462">
        <f>ROUND(8*M356*N356,3)</f>
        <v>1.714</v>
      </c>
      <c r="P356" s="462"/>
      <c r="Q356" s="471">
        <v>806</v>
      </c>
      <c r="R356" s="471">
        <f>ROUND(O356*Q356,2)</f>
        <v>1381.48</v>
      </c>
    </row>
    <row r="357" spans="1:18" ht="20.2" customHeight="1">
      <c r="A357" s="617"/>
      <c r="B357" s="34"/>
      <c r="C357" s="54" t="s">
        <v>1482</v>
      </c>
      <c r="D357" s="951"/>
      <c r="E357" s="471"/>
      <c r="F357" s="462"/>
      <c r="G357" s="462"/>
      <c r="H357" s="462">
        <f>SUM(H352:H356)</f>
        <v>0.114</v>
      </c>
      <c r="I357" s="465">
        <f>G25</f>
        <v>19572.5</v>
      </c>
      <c r="J357" s="471">
        <f>ROUND(H357*I357,2)</f>
        <v>2231.27</v>
      </c>
      <c r="K357" s="54" t="s">
        <v>1482</v>
      </c>
      <c r="L357" s="951"/>
      <c r="M357" s="471"/>
      <c r="N357" s="462"/>
      <c r="O357" s="462"/>
      <c r="P357" s="462">
        <f>SUM(P352:P356)</f>
        <v>0.107</v>
      </c>
      <c r="Q357" s="465">
        <f>I357</f>
        <v>19572.5</v>
      </c>
      <c r="R357" s="471">
        <f>ROUND(P357*Q357,2)</f>
        <v>2094.2600000000002</v>
      </c>
    </row>
    <row r="358" spans="1:18" ht="38.700000000000003">
      <c r="A358" s="617" t="s">
        <v>787</v>
      </c>
      <c r="B358" s="19"/>
      <c r="C358" s="54" t="s">
        <v>788</v>
      </c>
      <c r="D358" s="951"/>
      <c r="E358" s="471"/>
      <c r="F358" s="462"/>
      <c r="G358" s="952"/>
      <c r="H358" s="952"/>
      <c r="I358" s="471"/>
      <c r="J358" s="471"/>
      <c r="K358" s="54" t="s">
        <v>788</v>
      </c>
      <c r="L358" s="951"/>
      <c r="M358" s="471"/>
      <c r="N358" s="462"/>
      <c r="O358" s="952"/>
      <c r="P358" s="952"/>
      <c r="Q358" s="471"/>
      <c r="R358" s="471"/>
    </row>
    <row r="359" spans="1:18" ht="20.2" customHeight="1">
      <c r="A359" s="617"/>
      <c r="B359" s="693"/>
      <c r="C359" s="694" t="s">
        <v>915</v>
      </c>
      <c r="D359" s="471" t="s">
        <v>1035</v>
      </c>
      <c r="E359" s="462" t="s">
        <v>1624</v>
      </c>
      <c r="F359" s="462"/>
      <c r="G359" s="462"/>
      <c r="H359" s="948">
        <v>4</v>
      </c>
      <c r="I359" s="471">
        <v>35</v>
      </c>
      <c r="J359" s="471">
        <f t="shared" ref="J359:J364" si="18">ROUND(H359*I359,2)</f>
        <v>140</v>
      </c>
      <c r="K359" s="694" t="s">
        <v>915</v>
      </c>
      <c r="L359" s="471" t="s">
        <v>1035</v>
      </c>
      <c r="M359" s="462" t="s">
        <v>1624</v>
      </c>
      <c r="N359" s="462"/>
      <c r="O359" s="462"/>
      <c r="P359" s="948">
        <v>4</v>
      </c>
      <c r="Q359" s="471">
        <v>38</v>
      </c>
      <c r="R359" s="471">
        <f t="shared" ref="R359:R364" si="19">ROUND(P359*Q359,2)</f>
        <v>152</v>
      </c>
    </row>
    <row r="360" spans="1:18" ht="20.2" customHeight="1">
      <c r="A360" s="617"/>
      <c r="B360" s="693"/>
      <c r="C360" s="31" t="s">
        <v>916</v>
      </c>
      <c r="D360" s="471" t="s">
        <v>1035</v>
      </c>
      <c r="E360" s="462" t="s">
        <v>1624</v>
      </c>
      <c r="F360" s="462"/>
      <c r="G360" s="462"/>
      <c r="H360" s="948">
        <v>4</v>
      </c>
      <c r="I360" s="471">
        <v>35</v>
      </c>
      <c r="J360" s="471">
        <f t="shared" si="18"/>
        <v>140</v>
      </c>
      <c r="K360" s="31" t="s">
        <v>916</v>
      </c>
      <c r="L360" s="471" t="s">
        <v>1035</v>
      </c>
      <c r="M360" s="462" t="s">
        <v>1624</v>
      </c>
      <c r="N360" s="462"/>
      <c r="O360" s="462"/>
      <c r="P360" s="948">
        <v>4</v>
      </c>
      <c r="Q360" s="471">
        <v>38</v>
      </c>
      <c r="R360" s="471">
        <f t="shared" si="19"/>
        <v>152</v>
      </c>
    </row>
    <row r="361" spans="1:18" ht="20.2" customHeight="1">
      <c r="A361" s="617"/>
      <c r="B361" s="693"/>
      <c r="C361" s="946" t="s">
        <v>917</v>
      </c>
      <c r="D361" s="471" t="s">
        <v>1035</v>
      </c>
      <c r="E361" s="462" t="s">
        <v>1625</v>
      </c>
      <c r="F361" s="462"/>
      <c r="G361" s="462"/>
      <c r="H361" s="948">
        <v>8</v>
      </c>
      <c r="I361" s="471">
        <v>21</v>
      </c>
      <c r="J361" s="471">
        <f t="shared" si="18"/>
        <v>168</v>
      </c>
      <c r="K361" s="946" t="s">
        <v>917</v>
      </c>
      <c r="L361" s="471" t="s">
        <v>1035</v>
      </c>
      <c r="M361" s="462" t="s">
        <v>1625</v>
      </c>
      <c r="N361" s="462"/>
      <c r="O361" s="462"/>
      <c r="P361" s="948">
        <v>8</v>
      </c>
      <c r="Q361" s="471">
        <v>26</v>
      </c>
      <c r="R361" s="471">
        <f t="shared" si="19"/>
        <v>208</v>
      </c>
    </row>
    <row r="362" spans="1:18" ht="20.2" customHeight="1">
      <c r="A362" s="617"/>
      <c r="B362" s="693"/>
      <c r="C362" s="694" t="s">
        <v>918</v>
      </c>
      <c r="D362" s="471" t="s">
        <v>1035</v>
      </c>
      <c r="E362" s="462" t="s">
        <v>1626</v>
      </c>
      <c r="F362" s="462"/>
      <c r="G362" s="462"/>
      <c r="H362" s="948">
        <v>4</v>
      </c>
      <c r="I362" s="471">
        <v>213</v>
      </c>
      <c r="J362" s="471">
        <f t="shared" si="18"/>
        <v>852</v>
      </c>
      <c r="K362" s="694" t="s">
        <v>918</v>
      </c>
      <c r="L362" s="471" t="s">
        <v>1035</v>
      </c>
      <c r="M362" s="462" t="s">
        <v>1626</v>
      </c>
      <c r="N362" s="462"/>
      <c r="O362" s="462"/>
      <c r="P362" s="948">
        <v>4</v>
      </c>
      <c r="Q362" s="471">
        <v>107</v>
      </c>
      <c r="R362" s="471">
        <f t="shared" si="19"/>
        <v>428</v>
      </c>
    </row>
    <row r="363" spans="1:18" ht="20.2" customHeight="1">
      <c r="A363" s="617"/>
      <c r="B363" s="693"/>
      <c r="C363" s="694" t="s">
        <v>799</v>
      </c>
      <c r="D363" s="471" t="s">
        <v>882</v>
      </c>
      <c r="E363" s="462" t="s">
        <v>1652</v>
      </c>
      <c r="F363" s="462"/>
      <c r="G363" s="462"/>
      <c r="H363" s="948">
        <v>90</v>
      </c>
      <c r="I363" s="471">
        <v>3</v>
      </c>
      <c r="J363" s="471">
        <f t="shared" si="18"/>
        <v>270</v>
      </c>
      <c r="K363" s="694" t="s">
        <v>799</v>
      </c>
      <c r="L363" s="471" t="s">
        <v>882</v>
      </c>
      <c r="M363" s="462" t="s">
        <v>1652</v>
      </c>
      <c r="N363" s="462"/>
      <c r="O363" s="462"/>
      <c r="P363" s="948">
        <v>90</v>
      </c>
      <c r="Q363" s="471">
        <v>0.89</v>
      </c>
      <c r="R363" s="471">
        <f t="shared" si="19"/>
        <v>80.099999999999994</v>
      </c>
    </row>
    <row r="364" spans="1:18" ht="20.2" customHeight="1">
      <c r="A364" s="617"/>
      <c r="B364" s="32"/>
      <c r="C364" s="54" t="s">
        <v>1598</v>
      </c>
      <c r="D364" s="951"/>
      <c r="E364" s="953" t="s">
        <v>1651</v>
      </c>
      <c r="F364" s="462"/>
      <c r="G364" s="462"/>
      <c r="H364" s="948">
        <v>4</v>
      </c>
      <c r="I364" s="471">
        <v>32</v>
      </c>
      <c r="J364" s="471">
        <f t="shared" si="18"/>
        <v>128</v>
      </c>
      <c r="K364" s="54" t="s">
        <v>1598</v>
      </c>
      <c r="L364" s="951"/>
      <c r="M364" s="953" t="s">
        <v>1651</v>
      </c>
      <c r="N364" s="462"/>
      <c r="O364" s="462"/>
      <c r="P364" s="948">
        <v>4</v>
      </c>
      <c r="Q364" s="471">
        <v>35</v>
      </c>
      <c r="R364" s="471">
        <f t="shared" si="19"/>
        <v>140</v>
      </c>
    </row>
    <row r="365" spans="1:18" ht="20.2" customHeight="1">
      <c r="A365" s="617"/>
      <c r="B365" s="34"/>
      <c r="C365" s="54" t="s">
        <v>1484</v>
      </c>
      <c r="D365" s="951">
        <v>2.75</v>
      </c>
      <c r="E365" s="471">
        <v>1.8</v>
      </c>
      <c r="F365" s="462"/>
      <c r="G365" s="471">
        <v>1.35</v>
      </c>
      <c r="H365" s="462">
        <f>ROUND(G365*E365*D365,2)</f>
        <v>6.68</v>
      </c>
      <c r="I365" s="698">
        <f>G15</f>
        <v>561.35799999999995</v>
      </c>
      <c r="J365" s="471">
        <f>ROUND(H365*I365/10,2)</f>
        <v>374.99</v>
      </c>
      <c r="K365" s="54" t="s">
        <v>1484</v>
      </c>
      <c r="L365" s="951">
        <v>2.75</v>
      </c>
      <c r="M365" s="471">
        <v>1.8</v>
      </c>
      <c r="N365" s="462"/>
      <c r="O365" s="471">
        <v>1.2</v>
      </c>
      <c r="P365" s="462">
        <f>ROUND(O365*M365*L365,2)</f>
        <v>5.94</v>
      </c>
      <c r="Q365" s="698">
        <f>I365</f>
        <v>561.35799999999995</v>
      </c>
      <c r="R365" s="471">
        <f>ROUND(P365*Q365/10,2)</f>
        <v>333.45</v>
      </c>
    </row>
    <row r="366" spans="1:18" ht="20.2" customHeight="1">
      <c r="A366" s="617"/>
      <c r="B366" s="34"/>
      <c r="C366" s="451" t="s">
        <v>1306</v>
      </c>
      <c r="D366" s="951" t="s">
        <v>246</v>
      </c>
      <c r="E366" s="471">
        <v>1.8</v>
      </c>
      <c r="F366" s="462">
        <f>10*1.8</f>
        <v>18</v>
      </c>
      <c r="G366" s="471">
        <v>1.1299999999999999</v>
      </c>
      <c r="H366" s="462">
        <f>G366*F366</f>
        <v>20.339999999999996</v>
      </c>
      <c r="I366" s="465">
        <f>'Lead- Input sheet '!R10/1000</f>
        <v>69.62</v>
      </c>
      <c r="J366" s="471">
        <f>H366*I366</f>
        <v>1416.0707999999997</v>
      </c>
      <c r="K366" s="451" t="s">
        <v>1306</v>
      </c>
      <c r="L366" s="951" t="s">
        <v>246</v>
      </c>
      <c r="M366" s="471">
        <v>1.8</v>
      </c>
      <c r="N366" s="462">
        <f>10*1.8</f>
        <v>18</v>
      </c>
      <c r="O366" s="471">
        <v>1.1299999999999999</v>
      </c>
      <c r="P366" s="462">
        <f>O366*N366</f>
        <v>20.339999999999996</v>
      </c>
      <c r="Q366" s="698">
        <f>I366</f>
        <v>69.62</v>
      </c>
      <c r="R366" s="471">
        <f>P366*Q366</f>
        <v>1416.0707999999997</v>
      </c>
    </row>
    <row r="367" spans="1:18" ht="20.2" customHeight="1">
      <c r="A367" s="617"/>
      <c r="B367" s="34"/>
      <c r="C367" s="54" t="s">
        <v>230</v>
      </c>
      <c r="D367" s="951"/>
      <c r="E367" s="471"/>
      <c r="F367" s="462"/>
      <c r="G367" s="462"/>
      <c r="H367" s="948">
        <v>1</v>
      </c>
      <c r="I367" s="471">
        <v>150</v>
      </c>
      <c r="J367" s="471">
        <f>H367*I367</f>
        <v>150</v>
      </c>
      <c r="K367" s="54" t="s">
        <v>230</v>
      </c>
      <c r="L367" s="951"/>
      <c r="M367" s="471"/>
      <c r="N367" s="462"/>
      <c r="O367" s="462"/>
      <c r="P367" s="948">
        <v>1</v>
      </c>
      <c r="Q367" s="471">
        <v>150</v>
      </c>
      <c r="R367" s="471">
        <f>P367*Q367</f>
        <v>150</v>
      </c>
    </row>
    <row r="368" spans="1:18" ht="20.2" customHeight="1">
      <c r="A368" s="617"/>
      <c r="B368" s="34"/>
      <c r="D368" s="951"/>
      <c r="E368" s="471"/>
      <c r="F368" s="462"/>
      <c r="G368" s="462"/>
      <c r="H368" s="462"/>
      <c r="I368" s="471"/>
      <c r="J368" s="471">
        <f>SUM(J352:J367)</f>
        <v>16090.050799999999</v>
      </c>
      <c r="K368" s="54"/>
      <c r="L368" s="951"/>
      <c r="M368" s="471"/>
      <c r="N368" s="462"/>
      <c r="O368" s="462"/>
      <c r="P368" s="462"/>
      <c r="Q368" s="471"/>
      <c r="R368" s="471">
        <f>SUM(R352:R367)</f>
        <v>14541.920800000002</v>
      </c>
    </row>
    <row r="369" spans="1:18" s="18" customFormat="1" ht="20.2" customHeight="1">
      <c r="A369" s="617"/>
      <c r="B369" s="40"/>
      <c r="C369" s="54" t="s">
        <v>1600</v>
      </c>
      <c r="D369" s="954"/>
      <c r="E369" s="468"/>
      <c r="F369" s="458"/>
      <c r="G369" s="458"/>
      <c r="H369" s="458">
        <f>J368</f>
        <v>16090.050799999999</v>
      </c>
      <c r="I369" s="468">
        <f>I6</f>
        <v>0</v>
      </c>
      <c r="J369" s="471">
        <f>ROUND(H369*I369,2)</f>
        <v>0</v>
      </c>
      <c r="K369" s="54" t="s">
        <v>1600</v>
      </c>
      <c r="L369" s="954"/>
      <c r="M369" s="468"/>
      <c r="N369" s="458"/>
      <c r="O369" s="458"/>
      <c r="P369" s="458">
        <f>R368</f>
        <v>14541.920800000002</v>
      </c>
      <c r="Q369" s="468">
        <f>R6</f>
        <v>0</v>
      </c>
      <c r="R369" s="471">
        <f>ROUND(P369*Q369,2)</f>
        <v>0</v>
      </c>
    </row>
    <row r="370" spans="1:18" s="439" customFormat="1" ht="20.2" customHeight="1">
      <c r="A370" s="617" t="s">
        <v>547</v>
      </c>
      <c r="B370" s="411"/>
      <c r="C370" s="283" t="s">
        <v>256</v>
      </c>
      <c r="D370" s="955"/>
      <c r="E370" s="469"/>
      <c r="F370" s="460"/>
      <c r="G370" s="460"/>
      <c r="H370" s="460"/>
      <c r="I370" s="469" t="s">
        <v>416</v>
      </c>
      <c r="J370" s="469">
        <f>SUM(J368:J369)</f>
        <v>16090.050799999999</v>
      </c>
      <c r="K370" s="283" t="s">
        <v>256</v>
      </c>
      <c r="L370" s="955"/>
      <c r="M370" s="469"/>
      <c r="N370" s="460"/>
      <c r="O370" s="460"/>
      <c r="P370" s="460"/>
      <c r="Q370" s="469" t="s">
        <v>416</v>
      </c>
      <c r="R370" s="469">
        <f>SUM(R368:R369)</f>
        <v>14541.920800000002</v>
      </c>
    </row>
    <row r="371" spans="1:18" ht="22.2">
      <c r="A371" s="617"/>
      <c r="B371" s="34"/>
      <c r="C371" s="417" t="s">
        <v>14</v>
      </c>
      <c r="D371" s="951"/>
      <c r="E371" s="471"/>
      <c r="F371" s="462"/>
      <c r="G371" s="462"/>
      <c r="H371" s="462"/>
      <c r="I371" s="471"/>
      <c r="J371" s="471"/>
      <c r="K371" s="417" t="s">
        <v>14</v>
      </c>
      <c r="L371" s="951"/>
      <c r="M371" s="471"/>
      <c r="N371" s="462"/>
      <c r="O371" s="462"/>
      <c r="P371" s="462"/>
      <c r="Q371" s="471"/>
      <c r="R371" s="471"/>
    </row>
    <row r="372" spans="1:18">
      <c r="A372" s="617"/>
      <c r="B372" s="34"/>
      <c r="C372" s="54" t="s">
        <v>848</v>
      </c>
      <c r="D372" s="951"/>
      <c r="E372" s="471"/>
      <c r="F372" s="462"/>
      <c r="G372" s="462"/>
      <c r="H372" s="462"/>
      <c r="I372" s="471"/>
      <c r="J372" s="471"/>
      <c r="K372" s="54" t="s">
        <v>848</v>
      </c>
      <c r="L372" s="951"/>
      <c r="M372" s="471"/>
      <c r="N372" s="462"/>
      <c r="O372" s="462"/>
      <c r="P372" s="462"/>
      <c r="Q372" s="471"/>
      <c r="R372" s="471"/>
    </row>
    <row r="373" spans="1:18" ht="20.2" customHeight="1">
      <c r="A373" s="617"/>
      <c r="B373" s="34"/>
      <c r="C373" s="54" t="s">
        <v>780</v>
      </c>
      <c r="D373" s="951">
        <v>5</v>
      </c>
      <c r="E373" s="471">
        <v>1.3</v>
      </c>
      <c r="F373" s="462">
        <v>0.1</v>
      </c>
      <c r="G373" s="462">
        <v>7.4999999999999997E-2</v>
      </c>
      <c r="H373" s="462">
        <f>ROUND(D373*E373*F373*G373,3)</f>
        <v>4.9000000000000002E-2</v>
      </c>
      <c r="I373" s="471">
        <v>44785</v>
      </c>
      <c r="J373" s="471">
        <f>ROUND(H373*I373,2)</f>
        <v>2194.4699999999998</v>
      </c>
      <c r="K373" s="54" t="s">
        <v>780</v>
      </c>
      <c r="L373" s="951">
        <v>5</v>
      </c>
      <c r="M373" s="471">
        <v>1.2</v>
      </c>
      <c r="N373" s="462">
        <v>0.1</v>
      </c>
      <c r="O373" s="462">
        <v>7.4999999999999997E-2</v>
      </c>
      <c r="P373" s="462">
        <f>ROUND(L373*M373*N373*O373,3)</f>
        <v>4.4999999999999998E-2</v>
      </c>
      <c r="Q373" s="471">
        <v>44785</v>
      </c>
      <c r="R373" s="471">
        <f>ROUND(P373*Q373,2)</f>
        <v>2015.33</v>
      </c>
    </row>
    <row r="374" spans="1:18" ht="20.2" customHeight="1">
      <c r="A374" s="617"/>
      <c r="B374" s="34"/>
      <c r="C374" s="54" t="s">
        <v>441</v>
      </c>
      <c r="D374" s="951">
        <v>2</v>
      </c>
      <c r="E374" s="471">
        <v>2</v>
      </c>
      <c r="F374" s="462">
        <v>0.1</v>
      </c>
      <c r="G374" s="462">
        <v>7.4999999999999997E-2</v>
      </c>
      <c r="H374" s="462">
        <f>ROUND(D374*E374*F374*G374,3)</f>
        <v>0.03</v>
      </c>
      <c r="I374" s="471">
        <v>44785</v>
      </c>
      <c r="J374" s="471">
        <f>ROUND(H374*I374,2)</f>
        <v>1343.55</v>
      </c>
      <c r="K374" s="54" t="s">
        <v>441</v>
      </c>
      <c r="L374" s="951">
        <v>2</v>
      </c>
      <c r="M374" s="471">
        <v>2</v>
      </c>
      <c r="N374" s="462">
        <v>0.1</v>
      </c>
      <c r="O374" s="462">
        <v>7.4999999999999997E-2</v>
      </c>
      <c r="P374" s="462">
        <f>ROUND(L374*M374*N374*O374,3)</f>
        <v>0.03</v>
      </c>
      <c r="Q374" s="471">
        <v>44785</v>
      </c>
      <c r="R374" s="471">
        <f>ROUND(P374*Q374,2)</f>
        <v>1343.55</v>
      </c>
    </row>
    <row r="375" spans="1:18" ht="20.2" customHeight="1">
      <c r="A375" s="617"/>
      <c r="B375" s="34"/>
      <c r="C375" s="54" t="s">
        <v>1482</v>
      </c>
      <c r="D375" s="951"/>
      <c r="E375" s="471"/>
      <c r="F375" s="462"/>
      <c r="G375" s="462"/>
      <c r="H375" s="462">
        <f>SUM(H373:H374)</f>
        <v>7.9000000000000001E-2</v>
      </c>
      <c r="I375" s="465">
        <f>G25</f>
        <v>19572.5</v>
      </c>
      <c r="J375" s="471">
        <f>ROUND(H375*I375,2)</f>
        <v>1546.23</v>
      </c>
      <c r="K375" s="54" t="s">
        <v>1482</v>
      </c>
      <c r="L375" s="951"/>
      <c r="M375" s="471"/>
      <c r="N375" s="462"/>
      <c r="O375" s="462"/>
      <c r="P375" s="462">
        <f>SUM(P373:P374)</f>
        <v>7.4999999999999997E-2</v>
      </c>
      <c r="Q375" s="465">
        <f>I375</f>
        <v>19572.5</v>
      </c>
      <c r="R375" s="471">
        <f>ROUND(P375*Q375,2)</f>
        <v>1467.94</v>
      </c>
    </row>
    <row r="376" spans="1:18" ht="38.700000000000003">
      <c r="A376" s="617" t="s">
        <v>787</v>
      </c>
      <c r="B376" s="19"/>
      <c r="C376" s="54" t="s">
        <v>788</v>
      </c>
      <c r="D376" s="951"/>
      <c r="E376" s="471"/>
      <c r="F376" s="462"/>
      <c r="G376" s="952"/>
      <c r="H376" s="952"/>
      <c r="I376" s="471"/>
      <c r="J376" s="471"/>
      <c r="K376" s="54" t="s">
        <v>788</v>
      </c>
      <c r="L376" s="951"/>
      <c r="M376" s="471"/>
      <c r="N376" s="462"/>
      <c r="O376" s="952"/>
      <c r="P376" s="952"/>
      <c r="Q376" s="471"/>
      <c r="R376" s="471"/>
    </row>
    <row r="377" spans="1:18" ht="20.2" customHeight="1">
      <c r="A377" s="617"/>
      <c r="B377" s="32"/>
      <c r="C377" s="54" t="s">
        <v>1598</v>
      </c>
      <c r="D377" s="951"/>
      <c r="E377" s="953" t="s">
        <v>1651</v>
      </c>
      <c r="F377" s="462"/>
      <c r="G377" s="462"/>
      <c r="H377" s="948">
        <v>4</v>
      </c>
      <c r="I377" s="471">
        <v>32</v>
      </c>
      <c r="J377" s="471">
        <f>ROUND(H377*I377,2)</f>
        <v>128</v>
      </c>
      <c r="K377" s="54" t="s">
        <v>1598</v>
      </c>
      <c r="L377" s="951"/>
      <c r="M377" s="953" t="s">
        <v>1651</v>
      </c>
      <c r="N377" s="462"/>
      <c r="O377" s="462"/>
      <c r="P377" s="948">
        <v>4</v>
      </c>
      <c r="Q377" s="471">
        <v>35</v>
      </c>
      <c r="R377" s="471">
        <f>ROUND(P377*Q377,2)</f>
        <v>140</v>
      </c>
    </row>
    <row r="378" spans="1:18" ht="20.2" customHeight="1">
      <c r="A378" s="617"/>
      <c r="B378" s="34"/>
      <c r="C378" s="54" t="s">
        <v>1484</v>
      </c>
      <c r="D378" s="951">
        <v>2.75</v>
      </c>
      <c r="E378" s="471">
        <v>1.8</v>
      </c>
      <c r="F378" s="462"/>
      <c r="G378" s="471">
        <v>1.3</v>
      </c>
      <c r="H378" s="462">
        <f>ROUND(G378*E378*D378,2)</f>
        <v>6.44</v>
      </c>
      <c r="I378" s="698">
        <f>G15</f>
        <v>561.35799999999995</v>
      </c>
      <c r="J378" s="471">
        <f>ROUND(H378*I378/10,2)</f>
        <v>361.51</v>
      </c>
      <c r="K378" s="54" t="s">
        <v>1484</v>
      </c>
      <c r="L378" s="951">
        <v>2.75</v>
      </c>
      <c r="M378" s="471">
        <v>1.8</v>
      </c>
      <c r="N378" s="462"/>
      <c r="O378" s="471">
        <v>1.3</v>
      </c>
      <c r="P378" s="462">
        <f>ROUND(O378*M378*L378,2)</f>
        <v>6.44</v>
      </c>
      <c r="Q378" s="698">
        <f>I378</f>
        <v>561.35799999999995</v>
      </c>
      <c r="R378" s="471">
        <f>ROUND(P378*Q378/10,2)</f>
        <v>361.51</v>
      </c>
    </row>
    <row r="379" spans="1:18" ht="20.2" customHeight="1">
      <c r="A379" s="617"/>
      <c r="B379" s="34"/>
      <c r="C379" s="451" t="s">
        <v>1306</v>
      </c>
      <c r="D379" s="951" t="s">
        <v>246</v>
      </c>
      <c r="E379" s="471">
        <v>1.8</v>
      </c>
      <c r="F379" s="462">
        <f>10*1.8</f>
        <v>18</v>
      </c>
      <c r="G379" s="471">
        <v>1.1299999999999999</v>
      </c>
      <c r="H379" s="462">
        <f>G379*F379</f>
        <v>20.339999999999996</v>
      </c>
      <c r="I379" s="465">
        <f>'Lead- Input sheet '!R10/1000</f>
        <v>69.62</v>
      </c>
      <c r="J379" s="471">
        <f>H379*I379</f>
        <v>1416.0707999999997</v>
      </c>
      <c r="K379" s="451" t="s">
        <v>1306</v>
      </c>
      <c r="L379" s="951" t="s">
        <v>246</v>
      </c>
      <c r="M379" s="471">
        <v>1.8</v>
      </c>
      <c r="N379" s="462">
        <f>10*1.8</f>
        <v>18</v>
      </c>
      <c r="O379" s="471">
        <v>1.1299999999999999</v>
      </c>
      <c r="P379" s="462">
        <f>O379*N379</f>
        <v>20.339999999999996</v>
      </c>
      <c r="Q379" s="465">
        <f>I379</f>
        <v>69.62</v>
      </c>
      <c r="R379" s="471">
        <f>P379*Q379</f>
        <v>1416.0707999999997</v>
      </c>
    </row>
    <row r="380" spans="1:18" ht="20.2" customHeight="1">
      <c r="A380" s="617"/>
      <c r="B380" s="34"/>
      <c r="C380" s="54" t="s">
        <v>230</v>
      </c>
      <c r="D380" s="951"/>
      <c r="E380" s="471"/>
      <c r="F380" s="462"/>
      <c r="G380" s="462"/>
      <c r="H380" s="948">
        <v>1</v>
      </c>
      <c r="I380" s="471">
        <v>75</v>
      </c>
      <c r="J380" s="471">
        <f>H380*I380</f>
        <v>75</v>
      </c>
      <c r="K380" s="54" t="s">
        <v>230</v>
      </c>
      <c r="L380" s="951"/>
      <c r="M380" s="471"/>
      <c r="N380" s="462"/>
      <c r="O380" s="462"/>
      <c r="P380" s="948">
        <v>1</v>
      </c>
      <c r="Q380" s="471">
        <v>75</v>
      </c>
      <c r="R380" s="471">
        <f>P380*Q380</f>
        <v>75</v>
      </c>
    </row>
    <row r="381" spans="1:18" ht="20.2" customHeight="1">
      <c r="A381" s="617"/>
      <c r="B381" s="34"/>
      <c r="D381" s="951"/>
      <c r="E381" s="471"/>
      <c r="F381" s="462"/>
      <c r="G381" s="462"/>
      <c r="H381" s="462"/>
      <c r="I381" s="471"/>
      <c r="J381" s="471">
        <f>SUM(J373:J380)</f>
        <v>7064.8307999999997</v>
      </c>
      <c r="K381" s="54"/>
      <c r="L381" s="951"/>
      <c r="M381" s="471"/>
      <c r="N381" s="462"/>
      <c r="O381" s="462"/>
      <c r="P381" s="462"/>
      <c r="Q381" s="471"/>
      <c r="R381" s="471">
        <f>SUM(R373:R380)</f>
        <v>6819.4007999999994</v>
      </c>
    </row>
    <row r="382" spans="1:18" s="18" customFormat="1" ht="20.2" customHeight="1">
      <c r="A382" s="617"/>
      <c r="B382" s="40"/>
      <c r="C382" s="54" t="s">
        <v>1600</v>
      </c>
      <c r="D382" s="954"/>
      <c r="E382" s="468"/>
      <c r="F382" s="458"/>
      <c r="G382" s="458"/>
      <c r="H382" s="458">
        <f>'Lead- Input sheet '!Q32</f>
        <v>0</v>
      </c>
      <c r="I382" s="468">
        <f>J381</f>
        <v>7064.8307999999997</v>
      </c>
      <c r="J382" s="471">
        <f>ROUND(H382*I382,2)</f>
        <v>0</v>
      </c>
      <c r="K382" s="54" t="s">
        <v>1600</v>
      </c>
      <c r="L382" s="954"/>
      <c r="M382" s="468"/>
      <c r="N382" s="458"/>
      <c r="O382" s="458"/>
      <c r="P382" s="458">
        <f>'Lead- Input sheet '!X32</f>
        <v>0</v>
      </c>
      <c r="Q382" s="468">
        <f>R381</f>
        <v>6819.4007999999994</v>
      </c>
      <c r="R382" s="471">
        <f>ROUND(P382*Q382,2)</f>
        <v>0</v>
      </c>
    </row>
    <row r="383" spans="1:18" s="439" customFormat="1" ht="20.2" customHeight="1">
      <c r="A383" s="617"/>
      <c r="B383" s="411"/>
      <c r="C383" s="418" t="s">
        <v>15</v>
      </c>
      <c r="D383" s="955"/>
      <c r="E383" s="469"/>
      <c r="F383" s="460"/>
      <c r="G383" s="460"/>
      <c r="H383" s="460"/>
      <c r="I383" s="469" t="s">
        <v>1486</v>
      </c>
      <c r="J383" s="469">
        <f>SUM(J381:J382)</f>
        <v>7064.8307999999997</v>
      </c>
      <c r="K383" s="418" t="s">
        <v>15</v>
      </c>
      <c r="L383" s="955"/>
      <c r="M383" s="469"/>
      <c r="N383" s="460"/>
      <c r="O383" s="460"/>
      <c r="P383" s="460"/>
      <c r="Q383" s="469" t="s">
        <v>1486</v>
      </c>
      <c r="R383" s="469">
        <f>SUM(R381:R382)</f>
        <v>6819.4007999999994</v>
      </c>
    </row>
    <row r="384" spans="1:18" s="439" customFormat="1" ht="20.2" customHeight="1">
      <c r="A384" s="617"/>
      <c r="B384" s="411"/>
      <c r="C384" s="418" t="s">
        <v>16</v>
      </c>
      <c r="D384" s="955"/>
      <c r="E384" s="469"/>
      <c r="F384" s="460"/>
      <c r="G384" s="460"/>
      <c r="H384" s="460"/>
      <c r="I384" s="469" t="s">
        <v>1486</v>
      </c>
      <c r="J384" s="469">
        <f>J370-J383</f>
        <v>9025.2199999999993</v>
      </c>
      <c r="K384" s="418" t="s">
        <v>16</v>
      </c>
      <c r="L384" s="955"/>
      <c r="M384" s="469"/>
      <c r="N384" s="460"/>
      <c r="O384" s="460"/>
      <c r="P384" s="460"/>
      <c r="Q384" s="469" t="s">
        <v>1486</v>
      </c>
      <c r="R384" s="469">
        <f>R370-R383</f>
        <v>7722.5200000000023</v>
      </c>
    </row>
    <row r="385" spans="1:10" ht="129">
      <c r="A385" s="617"/>
      <c r="B385" s="26">
        <v>8</v>
      </c>
      <c r="C385" s="55" t="s">
        <v>1844</v>
      </c>
      <c r="D385" s="951"/>
      <c r="E385" s="471"/>
      <c r="F385" s="462"/>
      <c r="G385" s="462"/>
      <c r="H385" s="462"/>
      <c r="I385" s="471"/>
      <c r="J385" s="471"/>
    </row>
    <row r="386" spans="1:10">
      <c r="A386" s="617"/>
      <c r="B386" s="34"/>
      <c r="C386" s="55" t="s">
        <v>9</v>
      </c>
      <c r="D386" s="951"/>
      <c r="E386" s="471"/>
      <c r="F386" s="462"/>
      <c r="G386" s="462"/>
      <c r="H386" s="462"/>
      <c r="I386" s="471"/>
      <c r="J386" s="471"/>
    </row>
    <row r="387" spans="1:10" s="500" customFormat="1">
      <c r="A387" s="617"/>
      <c r="B387" s="34"/>
      <c r="C387" s="54" t="s">
        <v>848</v>
      </c>
      <c r="D387" s="951"/>
      <c r="E387" s="471"/>
      <c r="F387" s="462"/>
      <c r="G387" s="462"/>
      <c r="H387" s="462"/>
      <c r="I387" s="471"/>
      <c r="J387" s="471"/>
    </row>
    <row r="388" spans="1:10" s="500" customFormat="1">
      <c r="A388" s="617"/>
      <c r="B388" s="34"/>
      <c r="C388" s="54" t="s">
        <v>780</v>
      </c>
      <c r="D388" s="951">
        <v>4</v>
      </c>
      <c r="E388" s="471">
        <v>1.2</v>
      </c>
      <c r="F388" s="462">
        <v>0.1</v>
      </c>
      <c r="G388" s="462">
        <v>7.4999999999999997E-2</v>
      </c>
      <c r="H388" s="462">
        <f>ROUND(D388*E388*F388*G388,3)</f>
        <v>3.5999999999999997E-2</v>
      </c>
      <c r="I388" s="471">
        <v>44785</v>
      </c>
      <c r="J388" s="471">
        <f t="shared" ref="J388:J393" si="20">ROUND(H388*I388,2)</f>
        <v>1612.26</v>
      </c>
    </row>
    <row r="389" spans="1:10">
      <c r="A389" s="617"/>
      <c r="B389" s="34"/>
      <c r="C389" s="54" t="s">
        <v>781</v>
      </c>
      <c r="D389" s="951">
        <v>2</v>
      </c>
      <c r="E389" s="471">
        <v>1.35</v>
      </c>
      <c r="F389" s="462">
        <v>0.1</v>
      </c>
      <c r="G389" s="462">
        <v>7.4999999999999997E-2</v>
      </c>
      <c r="H389" s="462">
        <f>ROUND(D389*E389*F389*G389,3)</f>
        <v>0.02</v>
      </c>
      <c r="I389" s="471">
        <v>44785</v>
      </c>
      <c r="J389" s="471">
        <f t="shared" si="20"/>
        <v>895.7</v>
      </c>
    </row>
    <row r="390" spans="1:10">
      <c r="A390" s="617"/>
      <c r="B390" s="34"/>
      <c r="C390" s="54" t="s">
        <v>782</v>
      </c>
      <c r="D390" s="951" t="s">
        <v>243</v>
      </c>
      <c r="E390" s="472">
        <f>(1.2-2*0.075+2*0.015)</f>
        <v>1.08</v>
      </c>
      <c r="F390" s="462">
        <v>7.4999999999999997E-2</v>
      </c>
      <c r="G390" s="462">
        <f>1.25*25.4/1000</f>
        <v>3.175E-2</v>
      </c>
      <c r="H390" s="462">
        <f>ROUND(6*E390*F390*G390,3)</f>
        <v>1.4999999999999999E-2</v>
      </c>
      <c r="I390" s="471">
        <v>145240</v>
      </c>
      <c r="J390" s="471">
        <f t="shared" si="20"/>
        <v>2178.6</v>
      </c>
    </row>
    <row r="391" spans="1:10">
      <c r="A391" s="617"/>
      <c r="B391" s="34"/>
      <c r="C391" s="54" t="s">
        <v>783</v>
      </c>
      <c r="D391" s="951" t="s">
        <v>244</v>
      </c>
      <c r="E391" s="471">
        <f>(1.2-3*0.075+4*0.015)/2</f>
        <v>0.51749999999999996</v>
      </c>
      <c r="F391" s="462">
        <v>7.4999999999999997E-2</v>
      </c>
      <c r="G391" s="462">
        <f>1.25*25.4/1000</f>
        <v>3.175E-2</v>
      </c>
      <c r="H391" s="462">
        <f>ROUND(9*E391*F391*G391,3)</f>
        <v>1.0999999999999999E-2</v>
      </c>
      <c r="I391" s="471">
        <v>145240</v>
      </c>
      <c r="J391" s="471">
        <f t="shared" si="20"/>
        <v>1597.64</v>
      </c>
    </row>
    <row r="392" spans="1:10">
      <c r="A392" s="617"/>
      <c r="B392" s="34"/>
      <c r="C392" s="54" t="s">
        <v>1481</v>
      </c>
      <c r="D392" s="951" t="s">
        <v>245</v>
      </c>
      <c r="E392" s="471">
        <f>(1.2-4*0.075+6*0.015)/3-2*0.075+2*0.025</f>
        <v>0.22999999999999998</v>
      </c>
      <c r="F392" s="462">
        <f>(1.2-2*0.075+2*0.015-3*0.075)/2+2*0.025</f>
        <v>0.47750000000000004</v>
      </c>
      <c r="G392" s="462">
        <v>2.5000000000000001E-2</v>
      </c>
      <c r="H392" s="462">
        <f>ROUND(6*E392*F392*G392,3)</f>
        <v>1.6E-2</v>
      </c>
      <c r="I392" s="471">
        <v>145240</v>
      </c>
      <c r="J392" s="471">
        <f t="shared" si="20"/>
        <v>2323.84</v>
      </c>
    </row>
    <row r="393" spans="1:10">
      <c r="A393" s="617"/>
      <c r="B393" s="34"/>
      <c r="C393" s="54" t="s">
        <v>1482</v>
      </c>
      <c r="D393" s="951"/>
      <c r="E393" s="471"/>
      <c r="F393" s="462"/>
      <c r="G393" s="462"/>
      <c r="H393" s="462">
        <f>SUM(H388:H392)</f>
        <v>9.799999999999999E-2</v>
      </c>
      <c r="I393" s="465">
        <f>G25</f>
        <v>19572.5</v>
      </c>
      <c r="J393" s="471">
        <f t="shared" si="20"/>
        <v>1918.11</v>
      </c>
    </row>
    <row r="394" spans="1:10" ht="33.299999999999997">
      <c r="A394" s="617" t="s">
        <v>787</v>
      </c>
      <c r="B394" s="19"/>
      <c r="C394" s="54" t="s">
        <v>788</v>
      </c>
      <c r="D394" s="951"/>
      <c r="E394" s="471"/>
      <c r="F394" s="462"/>
      <c r="G394" s="952"/>
      <c r="H394" s="952"/>
      <c r="I394" s="471"/>
      <c r="J394" s="471"/>
    </row>
    <row r="395" spans="1:10">
      <c r="A395" s="617"/>
      <c r="B395" s="693"/>
      <c r="C395" s="694" t="s">
        <v>915</v>
      </c>
      <c r="D395" s="471" t="s">
        <v>1035</v>
      </c>
      <c r="E395" s="462" t="s">
        <v>1624</v>
      </c>
      <c r="F395" s="462"/>
      <c r="G395" s="462"/>
      <c r="H395" s="948">
        <v>3</v>
      </c>
      <c r="I395" s="471">
        <v>35</v>
      </c>
      <c r="J395" s="471">
        <f t="shared" ref="J395:J400" si="21">ROUND(H395*I395,2)</f>
        <v>105</v>
      </c>
    </row>
    <row r="396" spans="1:10">
      <c r="A396" s="617"/>
      <c r="B396" s="693"/>
      <c r="C396" s="31" t="s">
        <v>916</v>
      </c>
      <c r="D396" s="471" t="s">
        <v>1035</v>
      </c>
      <c r="E396" s="462" t="s">
        <v>1624</v>
      </c>
      <c r="F396" s="462"/>
      <c r="G396" s="462"/>
      <c r="H396" s="948">
        <v>3</v>
      </c>
      <c r="I396" s="471">
        <v>35</v>
      </c>
      <c r="J396" s="471">
        <f t="shared" si="21"/>
        <v>105</v>
      </c>
    </row>
    <row r="397" spans="1:10">
      <c r="A397" s="617"/>
      <c r="B397" s="693"/>
      <c r="C397" s="946" t="s">
        <v>917</v>
      </c>
      <c r="D397" s="471" t="s">
        <v>1035</v>
      </c>
      <c r="E397" s="462" t="s">
        <v>1625</v>
      </c>
      <c r="F397" s="462"/>
      <c r="G397" s="462"/>
      <c r="H397" s="948">
        <v>6</v>
      </c>
      <c r="I397" s="471">
        <v>21</v>
      </c>
      <c r="J397" s="471">
        <f t="shared" si="21"/>
        <v>126</v>
      </c>
    </row>
    <row r="398" spans="1:10">
      <c r="A398" s="617"/>
      <c r="B398" s="693"/>
      <c r="C398" s="694" t="s">
        <v>918</v>
      </c>
      <c r="D398" s="471" t="s">
        <v>1035</v>
      </c>
      <c r="E398" s="462" t="s">
        <v>1626</v>
      </c>
      <c r="F398" s="462"/>
      <c r="G398" s="462"/>
      <c r="H398" s="948">
        <v>3</v>
      </c>
      <c r="I398" s="471">
        <v>213</v>
      </c>
      <c r="J398" s="471">
        <f t="shared" si="21"/>
        <v>639</v>
      </c>
    </row>
    <row r="399" spans="1:10">
      <c r="A399" s="617"/>
      <c r="B399" s="693"/>
      <c r="C399" s="694" t="s">
        <v>799</v>
      </c>
      <c r="D399" s="471" t="s">
        <v>882</v>
      </c>
      <c r="E399" s="462" t="s">
        <v>1652</v>
      </c>
      <c r="F399" s="462"/>
      <c r="G399" s="462"/>
      <c r="H399" s="948">
        <v>90</v>
      </c>
      <c r="I399" s="471">
        <v>3</v>
      </c>
      <c r="J399" s="471">
        <f t="shared" si="21"/>
        <v>270</v>
      </c>
    </row>
    <row r="400" spans="1:10">
      <c r="A400" s="617"/>
      <c r="B400" s="693"/>
      <c r="C400" s="694" t="s">
        <v>1598</v>
      </c>
      <c r="D400" s="471"/>
      <c r="E400" s="953" t="s">
        <v>1651</v>
      </c>
      <c r="F400" s="462"/>
      <c r="G400" s="462"/>
      <c r="H400" s="948">
        <v>4</v>
      </c>
      <c r="I400" s="471">
        <v>32</v>
      </c>
      <c r="J400" s="471">
        <f t="shared" si="21"/>
        <v>128</v>
      </c>
    </row>
    <row r="401" spans="1:11">
      <c r="A401" s="617"/>
      <c r="B401" s="34"/>
      <c r="C401" s="54" t="s">
        <v>1484</v>
      </c>
      <c r="D401" s="951">
        <v>2.75</v>
      </c>
      <c r="E401" s="471">
        <v>1.2</v>
      </c>
      <c r="F401" s="462"/>
      <c r="G401" s="471">
        <v>1.2</v>
      </c>
      <c r="H401" s="462">
        <f>ROUND(G401*E401*D401,2)</f>
        <v>3.96</v>
      </c>
      <c r="I401" s="698">
        <f>G15</f>
        <v>561.35799999999995</v>
      </c>
      <c r="J401" s="471">
        <f>ROUND(H401*I401/10,2)</f>
        <v>222.3</v>
      </c>
    </row>
    <row r="402" spans="1:11">
      <c r="A402" s="617"/>
      <c r="B402" s="34"/>
      <c r="C402" s="451" t="s">
        <v>1306</v>
      </c>
      <c r="D402" s="951" t="s">
        <v>10</v>
      </c>
      <c r="E402" s="471">
        <v>1.2</v>
      </c>
      <c r="F402" s="471">
        <f>E402*9</f>
        <v>10.799999999999999</v>
      </c>
      <c r="G402" s="471">
        <v>1.1299999999999999</v>
      </c>
      <c r="H402" s="462">
        <f>G402*F402</f>
        <v>12.203999999999997</v>
      </c>
      <c r="I402" s="465">
        <f>'Lead- Input sheet '!R10/1000</f>
        <v>69.62</v>
      </c>
      <c r="J402" s="471">
        <f>H402*I402</f>
        <v>849.64247999999986</v>
      </c>
      <c r="K402" s="25">
        <f>(1.2-0.075*2-0.1)/0.1</f>
        <v>9.5</v>
      </c>
    </row>
    <row r="403" spans="1:11">
      <c r="A403" s="617"/>
      <c r="B403" s="34"/>
      <c r="C403" s="54" t="s">
        <v>230</v>
      </c>
      <c r="D403" s="951"/>
      <c r="E403" s="471"/>
      <c r="F403" s="462"/>
      <c r="G403" s="462"/>
      <c r="H403" s="948">
        <v>1</v>
      </c>
      <c r="I403" s="471">
        <v>100</v>
      </c>
      <c r="J403" s="471">
        <f>H403*I403</f>
        <v>100</v>
      </c>
    </row>
    <row r="404" spans="1:11">
      <c r="A404" s="617"/>
      <c r="B404" s="34"/>
      <c r="D404" s="951"/>
      <c r="E404" s="471"/>
      <c r="F404" s="462"/>
      <c r="G404" s="462"/>
      <c r="H404" s="462"/>
      <c r="I404" s="471"/>
      <c r="J404" s="471">
        <f>SUM(J388:J403)</f>
        <v>13071.092480000001</v>
      </c>
    </row>
    <row r="405" spans="1:11" ht="25.8">
      <c r="A405" s="617"/>
      <c r="B405" s="40"/>
      <c r="C405" s="54" t="s">
        <v>1600</v>
      </c>
      <c r="D405" s="954"/>
      <c r="E405" s="468"/>
      <c r="F405" s="458"/>
      <c r="G405" s="458"/>
      <c r="H405" s="458">
        <f>'Lead- Input sheet '!Q32</f>
        <v>0</v>
      </c>
      <c r="I405" s="468">
        <f>J404</f>
        <v>13071.092480000001</v>
      </c>
      <c r="J405" s="468">
        <f>ROUND(H405*I405,2)</f>
        <v>0</v>
      </c>
    </row>
    <row r="406" spans="1:11">
      <c r="A406" s="617"/>
      <c r="B406" s="411"/>
      <c r="C406" s="283" t="s">
        <v>256</v>
      </c>
      <c r="D406" s="955"/>
      <c r="E406" s="469"/>
      <c r="F406" s="460"/>
      <c r="G406" s="460"/>
      <c r="H406" s="460"/>
      <c r="I406" s="469" t="s">
        <v>416</v>
      </c>
      <c r="J406" s="469">
        <f>SUM(J404:J405)</f>
        <v>13071.092480000001</v>
      </c>
    </row>
    <row r="407" spans="1:11">
      <c r="A407" s="617"/>
      <c r="B407" s="34"/>
      <c r="C407" s="55" t="s">
        <v>11</v>
      </c>
      <c r="D407" s="951"/>
      <c r="E407" s="471"/>
      <c r="F407" s="462"/>
      <c r="G407" s="462"/>
      <c r="H407" s="462"/>
      <c r="I407" s="471"/>
      <c r="J407" s="471"/>
    </row>
    <row r="408" spans="1:11">
      <c r="A408" s="617"/>
      <c r="B408" s="34"/>
      <c r="C408" s="54" t="s">
        <v>848</v>
      </c>
      <c r="D408" s="951"/>
      <c r="E408" s="471"/>
      <c r="F408" s="462"/>
      <c r="G408" s="462"/>
      <c r="H408" s="462"/>
      <c r="I408" s="471"/>
      <c r="J408" s="471"/>
    </row>
    <row r="409" spans="1:11">
      <c r="A409" s="617"/>
      <c r="B409" s="34"/>
      <c r="C409" s="54" t="s">
        <v>780</v>
      </c>
      <c r="D409" s="951">
        <v>4</v>
      </c>
      <c r="E409" s="471">
        <v>1.2</v>
      </c>
      <c r="F409" s="462">
        <v>0.1</v>
      </c>
      <c r="G409" s="462">
        <v>7.4999999999999997E-2</v>
      </c>
      <c r="H409" s="462">
        <f>ROUND(D409*E409*F409*G409,3)</f>
        <v>3.5999999999999997E-2</v>
      </c>
      <c r="I409" s="471">
        <v>44785</v>
      </c>
      <c r="J409" s="471">
        <f>ROUND(H409*I409,2)</f>
        <v>1612.26</v>
      </c>
    </row>
    <row r="410" spans="1:11">
      <c r="A410" s="617"/>
      <c r="B410" s="34"/>
      <c r="C410" s="54" t="s">
        <v>781</v>
      </c>
      <c r="D410" s="951">
        <v>2</v>
      </c>
      <c r="E410" s="471">
        <v>1.35</v>
      </c>
      <c r="F410" s="462">
        <v>0.1</v>
      </c>
      <c r="G410" s="462">
        <v>7.4999999999999997E-2</v>
      </c>
      <c r="H410" s="462">
        <f>ROUND(D410*E410*F410*G410,3)</f>
        <v>0.02</v>
      </c>
      <c r="I410" s="471">
        <v>44785</v>
      </c>
      <c r="J410" s="471">
        <f>ROUND(H410*I410,2)</f>
        <v>895.7</v>
      </c>
    </row>
    <row r="411" spans="1:11">
      <c r="A411" s="617"/>
      <c r="B411" s="34"/>
      <c r="C411" s="54" t="s">
        <v>1482</v>
      </c>
      <c r="D411" s="951"/>
      <c r="E411" s="471"/>
      <c r="F411" s="462"/>
      <c r="G411" s="462"/>
      <c r="H411" s="462">
        <f>SUM(H409:H410)</f>
        <v>5.5999999999999994E-2</v>
      </c>
      <c r="I411" s="465">
        <f>G25</f>
        <v>19572.5</v>
      </c>
      <c r="J411" s="471">
        <f>ROUND(H411*I411,2)</f>
        <v>1096.06</v>
      </c>
    </row>
    <row r="412" spans="1:11" ht="33.299999999999997">
      <c r="A412" s="617" t="s">
        <v>787</v>
      </c>
      <c r="B412" s="19"/>
      <c r="C412" s="54" t="s">
        <v>788</v>
      </c>
      <c r="D412" s="951"/>
      <c r="E412" s="471"/>
      <c r="F412" s="462"/>
      <c r="G412" s="952"/>
      <c r="H412" s="952"/>
      <c r="I412" s="471"/>
      <c r="J412" s="471"/>
    </row>
    <row r="413" spans="1:11">
      <c r="A413" s="617"/>
      <c r="B413" s="32"/>
      <c r="C413" s="54" t="s">
        <v>1598</v>
      </c>
      <c r="D413" s="951"/>
      <c r="E413" s="953" t="s">
        <v>1651</v>
      </c>
      <c r="F413" s="462"/>
      <c r="G413" s="462"/>
      <c r="H413" s="948">
        <v>4</v>
      </c>
      <c r="I413" s="471">
        <v>32</v>
      </c>
      <c r="J413" s="471">
        <f>ROUND(H413*I413,2)</f>
        <v>128</v>
      </c>
    </row>
    <row r="414" spans="1:11">
      <c r="A414" s="617"/>
      <c r="B414" s="34"/>
      <c r="C414" s="54" t="s">
        <v>1484</v>
      </c>
      <c r="D414" s="471" t="s">
        <v>544</v>
      </c>
      <c r="E414" s="471">
        <v>1.2</v>
      </c>
      <c r="F414" s="462"/>
      <c r="G414" s="471">
        <v>1.2</v>
      </c>
      <c r="H414" s="462">
        <f>ROUND(G414*E414*2.75/3,2)</f>
        <v>1.32</v>
      </c>
      <c r="I414" s="698">
        <f>G15</f>
        <v>561.35799999999995</v>
      </c>
      <c r="J414" s="471">
        <f>ROUND(H414*I414/10,2)</f>
        <v>74.099999999999994</v>
      </c>
    </row>
    <row r="415" spans="1:11">
      <c r="A415" s="617"/>
      <c r="B415" s="34"/>
      <c r="C415" s="451" t="s">
        <v>1306</v>
      </c>
      <c r="D415" s="951" t="s">
        <v>10</v>
      </c>
      <c r="E415" s="471">
        <v>1.2</v>
      </c>
      <c r="F415" s="471">
        <f>E415*9</f>
        <v>10.799999999999999</v>
      </c>
      <c r="G415" s="471">
        <v>1.1299999999999999</v>
      </c>
      <c r="H415" s="462">
        <f>G415*F415</f>
        <v>12.203999999999997</v>
      </c>
      <c r="I415" s="465">
        <f>'Lead- Input sheet '!R10/1000</f>
        <v>69.62</v>
      </c>
      <c r="J415" s="471">
        <f>H415*I415</f>
        <v>849.64247999999986</v>
      </c>
    </row>
    <row r="416" spans="1:11">
      <c r="A416" s="617"/>
      <c r="B416" s="34"/>
      <c r="C416" s="54" t="s">
        <v>230</v>
      </c>
      <c r="D416" s="951"/>
      <c r="E416" s="471"/>
      <c r="F416" s="462"/>
      <c r="G416" s="462"/>
      <c r="H416" s="948">
        <v>1</v>
      </c>
      <c r="I416" s="471">
        <v>50</v>
      </c>
      <c r="J416" s="471">
        <f>H416*I416</f>
        <v>50</v>
      </c>
    </row>
    <row r="417" spans="1:10">
      <c r="A417" s="617"/>
      <c r="B417" s="34"/>
      <c r="D417" s="951"/>
      <c r="E417" s="471"/>
      <c r="F417" s="462"/>
      <c r="G417" s="462"/>
      <c r="H417" s="462"/>
      <c r="I417" s="471"/>
      <c r="J417" s="471">
        <f>SUM(J409:J416)</f>
        <v>4705.7624799999994</v>
      </c>
    </row>
    <row r="418" spans="1:10" ht="25.8">
      <c r="A418" s="617"/>
      <c r="B418" s="40"/>
      <c r="C418" s="54" t="s">
        <v>1600</v>
      </c>
      <c r="D418" s="954"/>
      <c r="E418" s="468"/>
      <c r="F418" s="458"/>
      <c r="G418" s="458"/>
      <c r="H418" s="458">
        <f>'Lead- Input sheet '!Q32</f>
        <v>0</v>
      </c>
      <c r="I418" s="468">
        <f>J417</f>
        <v>4705.7624799999994</v>
      </c>
      <c r="J418" s="471">
        <f>H418*I418</f>
        <v>0</v>
      </c>
    </row>
    <row r="419" spans="1:10">
      <c r="A419" s="617"/>
      <c r="B419" s="411"/>
      <c r="C419" s="418" t="s">
        <v>12</v>
      </c>
      <c r="D419" s="955"/>
      <c r="E419" s="469"/>
      <c r="F419" s="460"/>
      <c r="G419" s="460"/>
      <c r="H419" s="460"/>
      <c r="I419" s="469" t="s">
        <v>416</v>
      </c>
      <c r="J419" s="469">
        <f>SUM(J417:J418)</f>
        <v>4705.7624799999994</v>
      </c>
    </row>
    <row r="420" spans="1:10">
      <c r="A420" s="617"/>
      <c r="B420" s="411"/>
      <c r="C420" s="418" t="s">
        <v>13</v>
      </c>
      <c r="D420" s="955"/>
      <c r="E420" s="469"/>
      <c r="F420" s="460"/>
      <c r="G420" s="460"/>
      <c r="H420" s="460"/>
      <c r="I420" s="469" t="s">
        <v>416</v>
      </c>
      <c r="J420" s="469">
        <f>J406-J419</f>
        <v>8365.3300000000017</v>
      </c>
    </row>
    <row r="421" spans="1:10">
      <c r="A421" s="617"/>
      <c r="E421" s="222"/>
      <c r="F421" s="947"/>
      <c r="G421" s="947"/>
      <c r="H421" s="950"/>
      <c r="I421" s="472"/>
      <c r="J421" s="441"/>
    </row>
    <row r="423" spans="1:10" ht="116.1">
      <c r="A423" s="617"/>
      <c r="B423" s="26">
        <v>8</v>
      </c>
      <c r="C423" s="55" t="s">
        <v>1845</v>
      </c>
      <c r="D423" s="951"/>
      <c r="E423" s="471"/>
      <c r="F423" s="462"/>
      <c r="G423" s="462"/>
      <c r="H423" s="462"/>
      <c r="I423" s="471"/>
      <c r="J423" s="471"/>
    </row>
    <row r="424" spans="1:10">
      <c r="A424" s="617"/>
      <c r="B424" s="34"/>
      <c r="C424" s="55" t="s">
        <v>1778</v>
      </c>
      <c r="D424" s="951"/>
      <c r="E424" s="471"/>
      <c r="F424" s="462"/>
      <c r="G424" s="462"/>
      <c r="H424" s="462"/>
      <c r="I424" s="471"/>
      <c r="J424" s="471"/>
    </row>
    <row r="425" spans="1:10">
      <c r="A425" s="617"/>
      <c r="B425" s="34"/>
      <c r="C425" s="54" t="s">
        <v>848</v>
      </c>
      <c r="D425" s="951"/>
      <c r="E425" s="471"/>
      <c r="F425" s="462"/>
      <c r="G425" s="462"/>
      <c r="H425" s="462"/>
      <c r="I425" s="471"/>
      <c r="J425" s="471"/>
    </row>
    <row r="426" spans="1:10">
      <c r="A426" s="617"/>
      <c r="B426" s="34"/>
      <c r="C426" s="54" t="s">
        <v>780</v>
      </c>
      <c r="D426" s="951">
        <v>3</v>
      </c>
      <c r="E426" s="471">
        <v>0.3</v>
      </c>
      <c r="F426" s="462">
        <v>6.5000000000000002E-2</v>
      </c>
      <c r="G426" s="462">
        <v>7.4999999999999997E-2</v>
      </c>
      <c r="H426" s="462">
        <f>ROUND(D426*E426*F426*G426,3)</f>
        <v>4.0000000000000001E-3</v>
      </c>
      <c r="I426" s="471">
        <v>44785</v>
      </c>
      <c r="J426" s="471">
        <f>ROUND(H426*I426,2)</f>
        <v>179.14</v>
      </c>
    </row>
    <row r="427" spans="1:10">
      <c r="A427" s="617"/>
      <c r="B427" s="34"/>
      <c r="C427" s="54" t="s">
        <v>781</v>
      </c>
      <c r="D427" s="951">
        <v>2</v>
      </c>
      <c r="E427" s="471">
        <v>0.6</v>
      </c>
      <c r="F427" s="462">
        <v>6.5000000000000002E-2</v>
      </c>
      <c r="G427" s="462">
        <v>7.4999999999999997E-2</v>
      </c>
      <c r="H427" s="462">
        <f>ROUND(D427*E427*F427*G427,3)</f>
        <v>6.0000000000000001E-3</v>
      </c>
      <c r="I427" s="471">
        <v>44785</v>
      </c>
      <c r="J427" s="471">
        <f>ROUND(H427*I427,2)</f>
        <v>268.70999999999998</v>
      </c>
    </row>
    <row r="428" spans="1:10">
      <c r="A428" s="617"/>
      <c r="B428" s="34"/>
      <c r="C428" s="54" t="s">
        <v>1482</v>
      </c>
      <c r="D428" s="951"/>
      <c r="E428" s="471"/>
      <c r="F428" s="462"/>
      <c r="G428" s="462"/>
      <c r="H428" s="462">
        <f>SUM(H426:H427)</f>
        <v>0.01</v>
      </c>
      <c r="I428" s="465">
        <f>I411</f>
        <v>19572.5</v>
      </c>
      <c r="J428" s="471">
        <f>ROUND(H428*I428,2)</f>
        <v>195.73</v>
      </c>
    </row>
    <row r="429" spans="1:10">
      <c r="A429" s="617"/>
      <c r="B429" s="34"/>
      <c r="C429" s="54" t="s">
        <v>1484</v>
      </c>
      <c r="D429" s="951">
        <v>2.25</v>
      </c>
      <c r="E429" s="471">
        <v>0.6</v>
      </c>
      <c r="F429" s="462"/>
      <c r="G429" s="471">
        <v>0.3</v>
      </c>
      <c r="H429" s="462">
        <f>ROUND(G429*E429*D429,2)</f>
        <v>0.41</v>
      </c>
      <c r="I429" s="698">
        <f>I414</f>
        <v>561.35799999999995</v>
      </c>
      <c r="J429" s="471">
        <f>ROUND(H429*I429/10,2)</f>
        <v>23.02</v>
      </c>
    </row>
    <row r="430" spans="1:10">
      <c r="A430" s="617"/>
      <c r="B430" s="34"/>
      <c r="C430" s="451" t="s">
        <v>1779</v>
      </c>
      <c r="D430" s="951" t="s">
        <v>1780</v>
      </c>
      <c r="E430" s="471">
        <v>0.6</v>
      </c>
      <c r="F430" s="471">
        <f>E430*2</f>
        <v>1.2</v>
      </c>
      <c r="G430" s="471">
        <v>0.62</v>
      </c>
      <c r="H430" s="462">
        <f>G430*F430</f>
        <v>0.74399999999999999</v>
      </c>
      <c r="I430" s="465">
        <f>I415</f>
        <v>69.62</v>
      </c>
      <c r="J430" s="471">
        <f>H430*I430</f>
        <v>51.797280000000001</v>
      </c>
    </row>
    <row r="431" spans="1:10">
      <c r="A431" s="617"/>
      <c r="B431" s="34"/>
      <c r="D431" s="951"/>
      <c r="E431" s="471"/>
      <c r="F431" s="462"/>
      <c r="G431" s="462"/>
      <c r="H431" s="462"/>
      <c r="I431" s="471"/>
      <c r="J431" s="471">
        <f>SUM(J426:J430)</f>
        <v>718.39727999999991</v>
      </c>
    </row>
    <row r="432" spans="1:10" ht="25.8">
      <c r="A432" s="617"/>
      <c r="B432" s="40"/>
      <c r="C432" s="54" t="s">
        <v>1600</v>
      </c>
      <c r="D432" s="954"/>
      <c r="E432" s="468"/>
      <c r="F432" s="458"/>
      <c r="G432" s="458"/>
      <c r="H432" s="458">
        <f>'Lead- Input sheet '!Q75</f>
        <v>0</v>
      </c>
      <c r="I432" s="468">
        <f>J431</f>
        <v>718.39727999999991</v>
      </c>
      <c r="J432" s="468">
        <f>ROUND(H432*I432,2)</f>
        <v>0</v>
      </c>
    </row>
    <row r="433" spans="1:10">
      <c r="A433" s="617"/>
      <c r="B433" s="411"/>
      <c r="C433" s="283" t="s">
        <v>256</v>
      </c>
      <c r="D433" s="955"/>
      <c r="E433" s="469"/>
      <c r="F433" s="460"/>
      <c r="G433" s="460"/>
      <c r="H433" s="460"/>
      <c r="I433" s="469" t="s">
        <v>416</v>
      </c>
      <c r="J433" s="469">
        <f>SUM(J431:J432)</f>
        <v>718.39727999999991</v>
      </c>
    </row>
    <row r="436" spans="1:10" ht="335.4">
      <c r="C436" s="54" t="s">
        <v>2235</v>
      </c>
      <c r="J436" s="105">
        <v>6134</v>
      </c>
    </row>
    <row r="437" spans="1:10">
      <c r="J437" s="105" t="s">
        <v>2169</v>
      </c>
    </row>
  </sheetData>
  <mergeCells count="2">
    <mergeCell ref="A1:J1"/>
    <mergeCell ref="A2:J2"/>
  </mergeCells>
  <printOptions horizontalCentered="1"/>
  <pageMargins left="0.24" right="0.1" top="0.5" bottom="0.4" header="0.23622047244094499" footer="0.15748031496063"/>
  <pageSetup paperSize="9" orientation="portrait" r:id="rId1"/>
  <headerFooter alignWithMargins="0">
    <oddFooter>&amp;C&amp;P&amp;R&amp;A</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rgb="FF568FD4"/>
  </sheetPr>
  <dimension ref="A1:IV434"/>
  <sheetViews>
    <sheetView topLeftCell="A244" zoomScaleSheetLayoutView="100" workbookViewId="0">
      <selection activeCell="B107" sqref="B107"/>
    </sheetView>
  </sheetViews>
  <sheetFormatPr defaultColWidth="13.88671875" defaultRowHeight="12.9"/>
  <cols>
    <col min="1" max="1" width="6.44140625" style="170" customWidth="1"/>
    <col min="2" max="2" width="5.109375" style="56" customWidth="1"/>
    <col min="3" max="3" width="37.5546875" style="54" customWidth="1"/>
    <col min="4" max="4" width="4.5546875" style="20" customWidth="1"/>
    <col min="5" max="5" width="6.88671875" style="129" customWidth="1"/>
    <col min="6" max="6" width="7.109375" style="682" customWidth="1"/>
    <col min="7" max="7" width="9" style="682" customWidth="1"/>
    <col min="8" max="8" width="7.109375" style="682" customWidth="1"/>
    <col min="9" max="9" width="7.109375" style="105" customWidth="1"/>
    <col min="10" max="10" width="10.5546875" style="105" customWidth="1"/>
    <col min="11" max="11" width="42.5546875" style="25" customWidth="1"/>
    <col min="12" max="12" width="5.5546875" style="25" customWidth="1"/>
    <col min="13" max="13" width="6.5546875" style="25" customWidth="1"/>
    <col min="14" max="14" width="7.88671875" style="25" customWidth="1"/>
    <col min="15" max="15" width="10.33203125" style="25" customWidth="1"/>
    <col min="16" max="16" width="9.44140625" style="25" customWidth="1"/>
    <col min="17" max="17" width="8.109375" style="25" customWidth="1"/>
    <col min="18" max="256" width="13.88671875" style="25"/>
  </cols>
  <sheetData>
    <row r="1" spans="1:11" s="421" customFormat="1" ht="15" customHeight="1">
      <c r="A1" s="2664" t="s">
        <v>1988</v>
      </c>
      <c r="B1" s="2665"/>
      <c r="C1" s="2665"/>
      <c r="D1" s="2665"/>
      <c r="E1" s="2665"/>
      <c r="F1" s="2665"/>
      <c r="G1" s="2665"/>
      <c r="H1" s="2665"/>
      <c r="I1" s="2665"/>
      <c r="J1" s="2665"/>
    </row>
    <row r="2" spans="1:11" ht="50.2" customHeight="1">
      <c r="A2" s="2666" t="str">
        <f>'Lead- Input sheet '!A2</f>
        <v xml:space="preserve"> Construction of  Anganwadi Building at Jeedipally Thanda (V) of Kalwakurthy (M) of Nagarkurnool District </v>
      </c>
      <c r="B2" s="2667"/>
      <c r="C2" s="2667"/>
      <c r="D2" s="2667"/>
      <c r="E2" s="2667"/>
      <c r="F2" s="2667"/>
      <c r="G2" s="2667"/>
      <c r="H2" s="2667"/>
      <c r="I2" s="2667"/>
      <c r="J2" s="2667"/>
    </row>
    <row r="3" spans="1:11" s="426" customFormat="1" ht="64.5" customHeight="1">
      <c r="A3" s="704" t="s">
        <v>926</v>
      </c>
      <c r="B3" s="422" t="s">
        <v>148</v>
      </c>
      <c r="C3" s="423" t="s">
        <v>517</v>
      </c>
      <c r="D3" s="326" t="s">
        <v>1035</v>
      </c>
      <c r="E3" s="424" t="s">
        <v>1417</v>
      </c>
      <c r="F3" s="678" t="s">
        <v>784</v>
      </c>
      <c r="G3" s="679" t="s">
        <v>785</v>
      </c>
      <c r="H3" s="679" t="s">
        <v>786</v>
      </c>
      <c r="I3" s="419" t="s">
        <v>1479</v>
      </c>
      <c r="J3" s="424" t="s">
        <v>150</v>
      </c>
      <c r="K3" s="425"/>
    </row>
    <row r="4" spans="1:11" s="396" customFormat="1" ht="11.25" customHeight="1">
      <c r="A4" s="701">
        <v>1</v>
      </c>
      <c r="B4" s="702">
        <v>2</v>
      </c>
      <c r="C4" s="702">
        <f>B4+1</f>
        <v>3</v>
      </c>
      <c r="D4" s="702">
        <f t="shared" ref="D4:J4" si="0">C4+1</f>
        <v>4</v>
      </c>
      <c r="E4" s="702">
        <f t="shared" si="0"/>
        <v>5</v>
      </c>
      <c r="F4" s="702">
        <f t="shared" si="0"/>
        <v>6</v>
      </c>
      <c r="G4" s="702">
        <f t="shared" si="0"/>
        <v>7</v>
      </c>
      <c r="H4" s="702">
        <f t="shared" si="0"/>
        <v>8</v>
      </c>
      <c r="I4" s="916">
        <f t="shared" si="0"/>
        <v>9</v>
      </c>
      <c r="J4" s="702">
        <f t="shared" si="0"/>
        <v>10</v>
      </c>
      <c r="K4" s="703"/>
    </row>
    <row r="5" spans="1:11" ht="50.2" customHeight="1">
      <c r="A5" s="705" t="s">
        <v>927</v>
      </c>
      <c r="B5" s="420" t="s">
        <v>794</v>
      </c>
      <c r="C5" s="427" t="s">
        <v>795</v>
      </c>
      <c r="D5" s="428"/>
      <c r="E5" s="429"/>
      <c r="F5" s="680"/>
      <c r="G5" s="681" t="s">
        <v>1284</v>
      </c>
      <c r="H5" s="688"/>
      <c r="I5" s="430">
        <f>'Lead- Input sheet '!Q31</f>
        <v>0</v>
      </c>
      <c r="J5" s="431"/>
    </row>
    <row r="6" spans="1:11">
      <c r="A6" s="61"/>
      <c r="C6" s="54" t="s">
        <v>1394</v>
      </c>
      <c r="D6" s="191"/>
      <c r="G6" s="681" t="s">
        <v>1285</v>
      </c>
      <c r="H6" s="688"/>
      <c r="I6" s="944">
        <f>'Lead- Input sheet '!Q32</f>
        <v>0</v>
      </c>
    </row>
    <row r="7" spans="1:11">
      <c r="A7" s="61"/>
      <c r="C7" s="59" t="s">
        <v>1395</v>
      </c>
      <c r="D7" s="191"/>
      <c r="G7" s="463"/>
      <c r="H7" s="689"/>
    </row>
    <row r="8" spans="1:11">
      <c r="A8" s="61"/>
      <c r="C8" s="60" t="s">
        <v>1646</v>
      </c>
      <c r="D8" s="191" t="s">
        <v>1417</v>
      </c>
      <c r="E8" s="129">
        <v>0.7</v>
      </c>
      <c r="F8" s="712">
        <v>144</v>
      </c>
      <c r="G8" s="432">
        <f>E8*F8</f>
        <v>100.8</v>
      </c>
      <c r="H8" s="689"/>
    </row>
    <row r="9" spans="1:11">
      <c r="A9" s="61"/>
      <c r="C9" s="59" t="s">
        <v>653</v>
      </c>
      <c r="D9" s="191"/>
      <c r="F9" s="129"/>
      <c r="G9" s="432"/>
      <c r="H9" s="689"/>
    </row>
    <row r="10" spans="1:11">
      <c r="A10" s="61"/>
      <c r="C10" s="60" t="s">
        <v>989</v>
      </c>
      <c r="D10" s="189" t="s">
        <v>1047</v>
      </c>
      <c r="E10" s="433">
        <v>0.7</v>
      </c>
      <c r="F10" s="712">
        <f>'Lead- Input sheet '!R36</f>
        <v>650</v>
      </c>
      <c r="G10" s="432">
        <f>E10*F10</f>
        <v>454.99999999999994</v>
      </c>
      <c r="H10" s="689"/>
    </row>
    <row r="11" spans="1:11">
      <c r="A11" s="61"/>
      <c r="C11" s="60" t="s">
        <v>1286</v>
      </c>
      <c r="D11" s="189"/>
      <c r="E11" s="433">
        <f>G10</f>
        <v>454.99999999999994</v>
      </c>
      <c r="F11" s="712">
        <f>I5</f>
        <v>0</v>
      </c>
      <c r="G11" s="432">
        <f>E11*F11</f>
        <v>0</v>
      </c>
      <c r="H11" s="689"/>
    </row>
    <row r="12" spans="1:11">
      <c r="A12" s="61"/>
      <c r="C12" s="60" t="s">
        <v>1166</v>
      </c>
      <c r="D12" s="189"/>
      <c r="E12" s="433">
        <v>0.01</v>
      </c>
      <c r="F12" s="712">
        <f>SUM(G8:G11)</f>
        <v>555.79999999999995</v>
      </c>
      <c r="G12" s="432">
        <f>E12*F12</f>
        <v>5.5579999999999998</v>
      </c>
      <c r="H12" s="689"/>
    </row>
    <row r="13" spans="1:11">
      <c r="A13" s="61"/>
      <c r="C13" s="59" t="s">
        <v>1398</v>
      </c>
      <c r="D13" s="191"/>
      <c r="E13" s="433"/>
      <c r="F13" s="129"/>
      <c r="G13" s="434">
        <f>SUM(G8:G12)</f>
        <v>561.35799999999995</v>
      </c>
      <c r="H13" s="689"/>
    </row>
    <row r="14" spans="1:11" s="18" customFormat="1" ht="25.8">
      <c r="A14" s="45"/>
      <c r="B14" s="53"/>
      <c r="C14" s="55" t="s">
        <v>1600</v>
      </c>
      <c r="D14" s="190"/>
      <c r="E14" s="435">
        <f>G13</f>
        <v>561.35799999999995</v>
      </c>
      <c r="F14" s="713"/>
      <c r="G14" s="434">
        <f>ROUND(E14*F14,2)</f>
        <v>0</v>
      </c>
      <c r="H14" s="690"/>
      <c r="I14" s="436"/>
      <c r="J14" s="436"/>
    </row>
    <row r="15" spans="1:11" s="439" customFormat="1">
      <c r="A15" s="281"/>
      <c r="B15" s="282"/>
      <c r="C15" s="283" t="s">
        <v>1231</v>
      </c>
      <c r="D15" s="437"/>
      <c r="E15" s="438"/>
      <c r="F15" s="684" t="s">
        <v>1486</v>
      </c>
      <c r="G15" s="684">
        <f>SUM(G13:G14)</f>
        <v>561.35799999999995</v>
      </c>
      <c r="H15" s="691"/>
      <c r="I15" s="440"/>
      <c r="J15" s="440"/>
    </row>
    <row r="16" spans="1:11" ht="38.700000000000003">
      <c r="A16" s="706" t="s">
        <v>925</v>
      </c>
      <c r="B16" s="19">
        <v>1</v>
      </c>
      <c r="C16" s="54" t="s">
        <v>462</v>
      </c>
      <c r="E16" s="466"/>
      <c r="F16" s="463"/>
      <c r="G16" s="685"/>
      <c r="H16" s="685"/>
      <c r="I16" s="432"/>
      <c r="J16" s="441"/>
    </row>
    <row r="17" spans="1:12">
      <c r="B17" s="19"/>
      <c r="C17" s="54" t="s">
        <v>498</v>
      </c>
      <c r="D17" s="26"/>
      <c r="E17" s="467"/>
      <c r="F17" s="292"/>
      <c r="G17" s="459"/>
      <c r="H17" s="459"/>
      <c r="I17" s="289"/>
      <c r="J17" s="290"/>
      <c r="K17" s="31"/>
    </row>
    <row r="18" spans="1:12">
      <c r="B18" s="19"/>
      <c r="C18" s="54" t="s">
        <v>499</v>
      </c>
      <c r="D18" s="26"/>
      <c r="E18" s="467"/>
      <c r="F18" s="292"/>
      <c r="G18" s="459"/>
      <c r="H18" s="459"/>
      <c r="I18" s="289"/>
      <c r="J18" s="290"/>
      <c r="K18" s="31"/>
    </row>
    <row r="19" spans="1:12" ht="25.8">
      <c r="B19" s="19"/>
      <c r="C19" s="54" t="s">
        <v>1653</v>
      </c>
      <c r="D19" s="26" t="s">
        <v>1473</v>
      </c>
      <c r="E19" s="467">
        <v>1</v>
      </c>
      <c r="F19" s="459"/>
      <c r="G19" s="683" t="s">
        <v>935</v>
      </c>
      <c r="H19" s="459"/>
      <c r="I19" s="291"/>
      <c r="J19" s="290"/>
      <c r="K19" s="31"/>
    </row>
    <row r="20" spans="1:12">
      <c r="B20" s="19"/>
      <c r="C20" s="54" t="s">
        <v>500</v>
      </c>
      <c r="D20" s="26"/>
      <c r="E20" s="467"/>
      <c r="F20" s="292"/>
      <c r="G20" s="459"/>
      <c r="H20" s="459"/>
      <c r="I20" s="289"/>
      <c r="J20" s="290"/>
      <c r="K20" s="31"/>
    </row>
    <row r="21" spans="1:12">
      <c r="B21" s="19"/>
      <c r="C21" s="54" t="s">
        <v>501</v>
      </c>
      <c r="D21" s="26" t="s">
        <v>1047</v>
      </c>
      <c r="E21" s="467">
        <v>17.7</v>
      </c>
      <c r="F21" s="714">
        <v>590</v>
      </c>
      <c r="G21" s="714">
        <f>E21*F21</f>
        <v>10443</v>
      </c>
      <c r="H21" s="292"/>
      <c r="I21" s="289"/>
      <c r="J21" s="290"/>
      <c r="K21" s="31"/>
    </row>
    <row r="22" spans="1:12">
      <c r="B22" s="19"/>
      <c r="C22" s="54" t="s">
        <v>502</v>
      </c>
      <c r="D22" s="26" t="s">
        <v>1047</v>
      </c>
      <c r="E22" s="467">
        <v>8.8000000000000007</v>
      </c>
      <c r="F22" s="714">
        <f>'Lead- Input sheet '!R28</f>
        <v>605</v>
      </c>
      <c r="G22" s="714">
        <f>E22*F22</f>
        <v>5324</v>
      </c>
      <c r="H22" s="292"/>
      <c r="I22" s="289"/>
      <c r="J22" s="290"/>
      <c r="K22" s="31"/>
    </row>
    <row r="23" spans="1:12">
      <c r="A23" s="61"/>
      <c r="C23" s="60" t="s">
        <v>1286</v>
      </c>
      <c r="D23" s="189"/>
      <c r="E23" s="945">
        <f>SUM(G21:G22)</f>
        <v>15767</v>
      </c>
      <c r="F23" s="712">
        <f>I5</f>
        <v>0</v>
      </c>
      <c r="G23" s="714">
        <f>E23*F23</f>
        <v>0</v>
      </c>
      <c r="H23" s="689"/>
    </row>
    <row r="24" spans="1:12">
      <c r="B24" s="19"/>
      <c r="C24" s="54" t="s">
        <v>503</v>
      </c>
      <c r="D24" s="26"/>
      <c r="E24" s="467" t="s">
        <v>975</v>
      </c>
      <c r="F24" s="686"/>
      <c r="G24" s="461"/>
      <c r="H24" s="459"/>
      <c r="I24" s="289"/>
      <c r="J24" s="290"/>
      <c r="K24" s="31"/>
    </row>
    <row r="25" spans="1:12">
      <c r="B25" s="19"/>
      <c r="C25" s="54" t="s">
        <v>74</v>
      </c>
      <c r="D25" s="26"/>
      <c r="E25" s="467"/>
      <c r="F25" s="686" t="s">
        <v>1486</v>
      </c>
      <c r="G25" s="446">
        <f>SUM(G21:G24)</f>
        <v>15767</v>
      </c>
      <c r="H25" s="459"/>
      <c r="I25" s="289"/>
      <c r="J25" s="290"/>
      <c r="K25" s="31"/>
    </row>
    <row r="26" spans="1:12" ht="245.1">
      <c r="A26" s="617" t="s">
        <v>925</v>
      </c>
      <c r="B26" s="966">
        <v>2</v>
      </c>
      <c r="C26" s="54" t="s">
        <v>888</v>
      </c>
      <c r="D26" s="26"/>
      <c r="E26" s="289"/>
      <c r="F26" s="292"/>
      <c r="G26" s="292"/>
      <c r="H26" s="292"/>
      <c r="I26" s="289"/>
      <c r="J26" s="289"/>
      <c r="K26" s="31"/>
    </row>
    <row r="27" spans="1:12" s="444" customFormat="1">
      <c r="A27" s="172"/>
      <c r="B27" s="158"/>
      <c r="C27" s="55" t="s">
        <v>442</v>
      </c>
      <c r="D27" s="19"/>
      <c r="E27" s="291"/>
      <c r="F27" s="459"/>
      <c r="G27" s="459"/>
      <c r="H27" s="459"/>
      <c r="I27" s="291"/>
      <c r="J27" s="291"/>
      <c r="K27" s="443"/>
    </row>
    <row r="28" spans="1:12">
      <c r="A28" s="617"/>
      <c r="B28" s="34"/>
      <c r="C28" s="54" t="s">
        <v>779</v>
      </c>
      <c r="D28" s="26"/>
      <c r="E28" s="289"/>
      <c r="F28" s="292"/>
      <c r="G28" s="292"/>
      <c r="H28" s="292"/>
      <c r="I28" s="289"/>
      <c r="J28" s="289"/>
      <c r="K28" s="31"/>
    </row>
    <row r="29" spans="1:12" ht="20.2" customHeight="1">
      <c r="A29" s="617"/>
      <c r="B29" s="34"/>
      <c r="C29" s="54" t="s">
        <v>1647</v>
      </c>
      <c r="D29" s="951">
        <v>2</v>
      </c>
      <c r="E29" s="471">
        <v>2.1</v>
      </c>
      <c r="F29" s="462">
        <v>0.1</v>
      </c>
      <c r="G29" s="462">
        <v>7.4999999999999997E-2</v>
      </c>
      <c r="H29" s="462">
        <f>ROUND(D29*E29*F29*G29,3)</f>
        <v>3.2000000000000001E-2</v>
      </c>
      <c r="I29" s="471">
        <v>25497.19</v>
      </c>
      <c r="J29" s="471">
        <f t="shared" ref="J29:J34" si="1">ROUND(H29*I29,2)</f>
        <v>815.91</v>
      </c>
      <c r="K29" s="31"/>
      <c r="L29" s="205"/>
    </row>
    <row r="30" spans="1:12" ht="20.2" customHeight="1">
      <c r="A30" s="617"/>
      <c r="B30" s="34"/>
      <c r="C30" s="54" t="s">
        <v>781</v>
      </c>
      <c r="D30" s="951">
        <v>1</v>
      </c>
      <c r="E30" s="471">
        <v>0.9</v>
      </c>
      <c r="F30" s="462">
        <v>0.1</v>
      </c>
      <c r="G30" s="462">
        <v>7.4999999999999997E-2</v>
      </c>
      <c r="H30" s="462">
        <f>ROUND(D30*E30*F30*G30,3)</f>
        <v>7.0000000000000001E-3</v>
      </c>
      <c r="I30" s="471">
        <v>25497.19</v>
      </c>
      <c r="J30" s="471">
        <f t="shared" si="1"/>
        <v>178.48</v>
      </c>
      <c r="K30" s="31"/>
      <c r="L30" s="205"/>
    </row>
    <row r="31" spans="1:12" ht="20.2" customHeight="1">
      <c r="A31" s="617"/>
      <c r="B31" s="34"/>
      <c r="C31" s="54" t="s">
        <v>1648</v>
      </c>
      <c r="D31" s="951">
        <v>2</v>
      </c>
      <c r="E31" s="471">
        <f>2.1-0.075*2+0.015</f>
        <v>1.9650000000000001</v>
      </c>
      <c r="F31" s="462">
        <v>0.125</v>
      </c>
      <c r="G31" s="462">
        <f>0.03175</f>
        <v>3.175E-2</v>
      </c>
      <c r="H31" s="462">
        <f>ROUND(D31*E31*F31*G31,3)</f>
        <v>1.6E-2</v>
      </c>
      <c r="I31" s="471">
        <v>31076.9</v>
      </c>
      <c r="J31" s="471">
        <f t="shared" si="1"/>
        <v>497.23</v>
      </c>
      <c r="K31" s="31"/>
      <c r="L31" s="205"/>
    </row>
    <row r="32" spans="1:12" ht="20.2" customHeight="1">
      <c r="A32" s="617"/>
      <c r="B32" s="34"/>
      <c r="C32" s="54" t="s">
        <v>783</v>
      </c>
      <c r="D32" s="951">
        <v>5</v>
      </c>
      <c r="E32" s="471">
        <f>(0.75-2*0.075+2*0.015)</f>
        <v>0.63</v>
      </c>
      <c r="F32" s="462">
        <v>0.125</v>
      </c>
      <c r="G32" s="462">
        <f>0.03175</f>
        <v>3.175E-2</v>
      </c>
      <c r="H32" s="462">
        <f>ROUND(D32*E32*F32*G32,3)</f>
        <v>1.2999999999999999E-2</v>
      </c>
      <c r="I32" s="471">
        <v>31076.9</v>
      </c>
      <c r="J32" s="471">
        <f t="shared" si="1"/>
        <v>404</v>
      </c>
      <c r="K32" s="31"/>
      <c r="L32" s="205"/>
    </row>
    <row r="33" spans="1:12" ht="20.2" customHeight="1">
      <c r="A33" s="617"/>
      <c r="B33" s="34"/>
      <c r="C33" s="54" t="s">
        <v>1481</v>
      </c>
      <c r="D33" s="951">
        <v>4</v>
      </c>
      <c r="E33" s="471">
        <f>0.75-2*0.075+2*0.015-2*0.125+2*0.025</f>
        <v>0.43</v>
      </c>
      <c r="F33" s="462">
        <f>(2.1-2*0.075+1*0.015-5*0.125)/4+2*0.025</f>
        <v>0.38500000000000001</v>
      </c>
      <c r="G33" s="462">
        <f>0.025</f>
        <v>2.5000000000000001E-2</v>
      </c>
      <c r="H33" s="462">
        <f>ROUND(D33*E33*F33*G33,3)</f>
        <v>1.7000000000000001E-2</v>
      </c>
      <c r="I33" s="471">
        <v>31076.9</v>
      </c>
      <c r="J33" s="471">
        <f t="shared" si="1"/>
        <v>528.30999999999995</v>
      </c>
      <c r="K33" s="31"/>
      <c r="L33" s="205"/>
    </row>
    <row r="34" spans="1:12" ht="20.2" customHeight="1">
      <c r="A34" s="617"/>
      <c r="B34" s="34"/>
      <c r="C34" s="54" t="s">
        <v>1482</v>
      </c>
      <c r="D34" s="951"/>
      <c r="E34" s="471"/>
      <c r="F34" s="462"/>
      <c r="G34" s="462"/>
      <c r="H34" s="462">
        <f>SUM(H29:H33)</f>
        <v>8.5000000000000006E-2</v>
      </c>
      <c r="I34" s="465">
        <f>G25</f>
        <v>15767</v>
      </c>
      <c r="J34" s="471">
        <f t="shared" si="1"/>
        <v>1340.2</v>
      </c>
      <c r="K34" s="292"/>
      <c r="L34" s="292"/>
    </row>
    <row r="35" spans="1:12" ht="33.299999999999997">
      <c r="A35" s="617" t="s">
        <v>787</v>
      </c>
      <c r="B35" s="19"/>
      <c r="C35" s="54" t="s">
        <v>788</v>
      </c>
      <c r="D35" s="951"/>
      <c r="E35" s="471"/>
      <c r="F35" s="462"/>
      <c r="G35" s="952"/>
      <c r="H35" s="952"/>
      <c r="I35" s="471"/>
      <c r="J35" s="471"/>
      <c r="K35" s="31"/>
    </row>
    <row r="36" spans="1:12" ht="20.2" customHeight="1">
      <c r="A36" s="617"/>
      <c r="B36" s="19"/>
      <c r="C36" s="24" t="s">
        <v>911</v>
      </c>
      <c r="D36" s="951" t="s">
        <v>1035</v>
      </c>
      <c r="E36" s="471" t="s">
        <v>1617</v>
      </c>
      <c r="F36" s="462"/>
      <c r="G36" s="462"/>
      <c r="H36" s="948">
        <v>2</v>
      </c>
      <c r="I36" s="471">
        <v>68</v>
      </c>
      <c r="J36" s="471">
        <f t="shared" ref="J36:J43" si="2">ROUND(H36*I36,2)</f>
        <v>136</v>
      </c>
      <c r="K36" s="31"/>
    </row>
    <row r="37" spans="1:12" ht="20.2" customHeight="1">
      <c r="A37" s="617"/>
      <c r="B37" s="19"/>
      <c r="C37" s="24" t="s">
        <v>912</v>
      </c>
      <c r="D37" s="951" t="s">
        <v>1035</v>
      </c>
      <c r="E37" s="471" t="s">
        <v>1618</v>
      </c>
      <c r="F37" s="462"/>
      <c r="G37" s="462"/>
      <c r="H37" s="948">
        <v>1</v>
      </c>
      <c r="I37" s="471">
        <v>35</v>
      </c>
      <c r="J37" s="471">
        <f t="shared" si="2"/>
        <v>35</v>
      </c>
      <c r="K37" s="31"/>
    </row>
    <row r="38" spans="1:12" ht="20.2" customHeight="1">
      <c r="A38" s="617"/>
      <c r="B38" s="19"/>
      <c r="C38" s="949" t="s">
        <v>913</v>
      </c>
      <c r="D38" s="951" t="s">
        <v>1035</v>
      </c>
      <c r="E38" s="471" t="s">
        <v>1619</v>
      </c>
      <c r="F38" s="462"/>
      <c r="G38" s="462"/>
      <c r="H38" s="948">
        <v>6</v>
      </c>
      <c r="I38" s="471">
        <v>31</v>
      </c>
      <c r="J38" s="471">
        <f t="shared" si="2"/>
        <v>186</v>
      </c>
      <c r="K38" s="31"/>
    </row>
    <row r="39" spans="1:12" ht="20.2" customHeight="1">
      <c r="A39" s="617"/>
      <c r="B39" s="19"/>
      <c r="C39" s="24" t="s">
        <v>914</v>
      </c>
      <c r="D39" s="951" t="s">
        <v>1035</v>
      </c>
      <c r="E39" s="471" t="s">
        <v>1620</v>
      </c>
      <c r="F39" s="462"/>
      <c r="G39" s="462"/>
      <c r="H39" s="948">
        <v>1</v>
      </c>
      <c r="I39" s="471">
        <v>164</v>
      </c>
      <c r="J39" s="471">
        <f t="shared" si="2"/>
        <v>164</v>
      </c>
      <c r="K39" s="31"/>
    </row>
    <row r="40" spans="1:12" ht="20.2" customHeight="1">
      <c r="A40" s="617"/>
      <c r="B40" s="19"/>
      <c r="C40" s="24" t="s">
        <v>296</v>
      </c>
      <c r="D40" s="951" t="s">
        <v>1035</v>
      </c>
      <c r="E40" s="471" t="s">
        <v>1621</v>
      </c>
      <c r="F40" s="462"/>
      <c r="G40" s="462"/>
      <c r="H40" s="948">
        <v>2</v>
      </c>
      <c r="I40" s="471">
        <v>45</v>
      </c>
      <c r="J40" s="471">
        <f t="shared" si="2"/>
        <v>90</v>
      </c>
      <c r="K40" s="31"/>
    </row>
    <row r="41" spans="1:12" ht="20.2" customHeight="1">
      <c r="A41" s="617"/>
      <c r="B41" s="19"/>
      <c r="C41" s="24" t="s">
        <v>420</v>
      </c>
      <c r="D41" s="951"/>
      <c r="E41" s="471" t="s">
        <v>1649</v>
      </c>
      <c r="F41" s="462"/>
      <c r="G41" s="462"/>
      <c r="H41" s="948">
        <v>3</v>
      </c>
      <c r="I41" s="471">
        <v>31</v>
      </c>
      <c r="J41" s="471">
        <f t="shared" si="2"/>
        <v>93</v>
      </c>
      <c r="K41" s="31"/>
    </row>
    <row r="42" spans="1:12" ht="20.2" customHeight="1">
      <c r="A42" s="617"/>
      <c r="B42" s="19"/>
      <c r="C42" s="24" t="s">
        <v>799</v>
      </c>
      <c r="D42" s="951" t="s">
        <v>882</v>
      </c>
      <c r="E42" s="471" t="s">
        <v>1826</v>
      </c>
      <c r="F42" s="462"/>
      <c r="G42" s="462"/>
      <c r="H42" s="948">
        <v>80</v>
      </c>
      <c r="I42" s="471">
        <v>3</v>
      </c>
      <c r="J42" s="471">
        <f t="shared" si="2"/>
        <v>240</v>
      </c>
      <c r="K42" s="31"/>
    </row>
    <row r="43" spans="1:12" ht="20.2" customHeight="1">
      <c r="A43" s="617"/>
      <c r="B43" s="19"/>
      <c r="C43" s="24" t="s">
        <v>1623</v>
      </c>
      <c r="D43" s="951" t="s">
        <v>882</v>
      </c>
      <c r="E43" s="471" t="s">
        <v>1650</v>
      </c>
      <c r="F43" s="462"/>
      <c r="G43" s="462"/>
      <c r="H43" s="948">
        <v>10</v>
      </c>
      <c r="I43" s="471">
        <v>16</v>
      </c>
      <c r="J43" s="471">
        <f t="shared" si="2"/>
        <v>160</v>
      </c>
      <c r="K43" s="31"/>
    </row>
    <row r="44" spans="1:12" ht="20.2" customHeight="1">
      <c r="A44" s="617"/>
      <c r="B44" s="34"/>
      <c r="C44" s="24" t="s">
        <v>1484</v>
      </c>
      <c r="D44" s="951">
        <v>2.25</v>
      </c>
      <c r="E44" s="471">
        <v>0.75</v>
      </c>
      <c r="F44" s="462"/>
      <c r="G44" s="462">
        <v>2.1</v>
      </c>
      <c r="H44" s="462">
        <f>ROUND(G44*E44*D44,2)</f>
        <v>3.54</v>
      </c>
      <c r="I44" s="698">
        <f>G15</f>
        <v>561.35799999999995</v>
      </c>
      <c r="J44" s="471">
        <f>H44*I44/10</f>
        <v>198.72073199999997</v>
      </c>
      <c r="K44" s="31"/>
    </row>
    <row r="45" spans="1:12" ht="20.2" customHeight="1">
      <c r="A45" s="617"/>
      <c r="B45" s="32"/>
      <c r="C45" s="24" t="s">
        <v>1598</v>
      </c>
      <c r="D45" s="951"/>
      <c r="E45" s="953" t="s">
        <v>1651</v>
      </c>
      <c r="F45" s="462"/>
      <c r="G45" s="462"/>
      <c r="H45" s="948">
        <v>6</v>
      </c>
      <c r="I45" s="471">
        <v>32</v>
      </c>
      <c r="J45" s="471">
        <f>ROUND(H45*I45,2)</f>
        <v>192</v>
      </c>
      <c r="K45" s="31"/>
    </row>
    <row r="46" spans="1:12" ht="20.2" customHeight="1">
      <c r="A46" s="617"/>
      <c r="B46" s="34"/>
      <c r="C46" s="24" t="s">
        <v>230</v>
      </c>
      <c r="D46" s="951"/>
      <c r="E46" s="471"/>
      <c r="F46" s="462"/>
      <c r="G46" s="462"/>
      <c r="H46" s="948">
        <v>1</v>
      </c>
      <c r="I46" s="471">
        <v>75</v>
      </c>
      <c r="J46" s="471">
        <f>H46*I46</f>
        <v>75</v>
      </c>
      <c r="K46" s="31"/>
    </row>
    <row r="47" spans="1:12" ht="20.2" customHeight="1">
      <c r="A47" s="617"/>
      <c r="B47" s="34"/>
      <c r="C47" s="24"/>
      <c r="D47" s="951"/>
      <c r="E47" s="471"/>
      <c r="F47" s="462"/>
      <c r="G47" s="462"/>
      <c r="H47" s="462"/>
      <c r="I47" s="471"/>
      <c r="J47" s="468">
        <f>ROUND(SUM(J29:J46),1)</f>
        <v>5333.9</v>
      </c>
      <c r="K47" s="31"/>
    </row>
    <row r="48" spans="1:12" s="18" customFormat="1" ht="20.2" customHeight="1">
      <c r="A48" s="617"/>
      <c r="B48" s="40"/>
      <c r="C48" s="54" t="s">
        <v>1600</v>
      </c>
      <c r="D48" s="954"/>
      <c r="E48" s="468"/>
      <c r="F48" s="458"/>
      <c r="G48" s="458"/>
      <c r="H48" s="458">
        <f>J47</f>
        <v>5333.9</v>
      </c>
      <c r="I48" s="468">
        <f>I6</f>
        <v>0</v>
      </c>
      <c r="J48" s="471">
        <f>ROUND(H48*I48,2)</f>
        <v>0</v>
      </c>
      <c r="K48" s="17"/>
    </row>
    <row r="49" spans="1:18" s="439" customFormat="1" ht="20.2" customHeight="1">
      <c r="A49" s="617" t="s">
        <v>1288</v>
      </c>
      <c r="B49" s="411"/>
      <c r="C49" s="283" t="s">
        <v>256</v>
      </c>
      <c r="D49" s="955"/>
      <c r="E49" s="469"/>
      <c r="F49" s="460"/>
      <c r="G49" s="460"/>
      <c r="H49" s="460"/>
      <c r="I49" s="469" t="s">
        <v>416</v>
      </c>
      <c r="J49" s="469">
        <f>SUM(J47:J48)</f>
        <v>5333.9</v>
      </c>
      <c r="K49" s="447"/>
    </row>
    <row r="50" spans="1:18" s="444" customFormat="1">
      <c r="A50" s="617"/>
      <c r="B50" s="158"/>
      <c r="C50" s="55" t="s">
        <v>538</v>
      </c>
      <c r="D50" s="954"/>
      <c r="E50" s="468"/>
      <c r="F50" s="458"/>
      <c r="G50" s="458"/>
      <c r="H50" s="458"/>
      <c r="I50" s="468"/>
      <c r="J50" s="468"/>
      <c r="K50" s="443"/>
    </row>
    <row r="51" spans="1:18">
      <c r="A51" s="617"/>
      <c r="B51" s="34"/>
      <c r="C51" s="54" t="s">
        <v>779</v>
      </c>
      <c r="D51" s="951"/>
      <c r="E51" s="471"/>
      <c r="F51" s="462"/>
      <c r="G51" s="462"/>
      <c r="H51" s="462"/>
      <c r="I51" s="471"/>
      <c r="J51" s="471"/>
      <c r="K51" s="31"/>
    </row>
    <row r="52" spans="1:18" ht="20.2" customHeight="1">
      <c r="A52" s="617"/>
      <c r="B52" s="34"/>
      <c r="C52" s="54" t="s">
        <v>780</v>
      </c>
      <c r="D52" s="951">
        <v>2</v>
      </c>
      <c r="E52" s="471">
        <v>2.1</v>
      </c>
      <c r="F52" s="462">
        <v>0.1</v>
      </c>
      <c r="G52" s="462">
        <v>7.4999999999999997E-2</v>
      </c>
      <c r="H52" s="462">
        <f>ROUND(D52*E52*F52*G52,3)</f>
        <v>3.2000000000000001E-2</v>
      </c>
      <c r="I52" s="471">
        <v>25497.19</v>
      </c>
      <c r="J52" s="471">
        <f>ROUND(H52*I52,2)</f>
        <v>815.91</v>
      </c>
      <c r="K52" s="31"/>
    </row>
    <row r="53" spans="1:18" ht="20.2" customHeight="1">
      <c r="A53" s="617"/>
      <c r="B53" s="34"/>
      <c r="C53" s="54" t="s">
        <v>781</v>
      </c>
      <c r="D53" s="951">
        <v>1</v>
      </c>
      <c r="E53" s="471">
        <v>0.9</v>
      </c>
      <c r="F53" s="462">
        <v>0.1</v>
      </c>
      <c r="G53" s="462">
        <v>7.4999999999999997E-2</v>
      </c>
      <c r="H53" s="462">
        <f>ROUND(D53*E53*F53*G53,3)</f>
        <v>7.0000000000000001E-3</v>
      </c>
      <c r="I53" s="471">
        <v>25497.19</v>
      </c>
      <c r="J53" s="471">
        <f>ROUND(H53*I53,2)</f>
        <v>178.48</v>
      </c>
      <c r="K53" s="31"/>
    </row>
    <row r="54" spans="1:18" ht="20.2" customHeight="1">
      <c r="A54" s="617"/>
      <c r="B54" s="34"/>
      <c r="C54" s="54" t="s">
        <v>1482</v>
      </c>
      <c r="D54" s="951"/>
      <c r="E54" s="471"/>
      <c r="F54" s="462"/>
      <c r="G54" s="462"/>
      <c r="H54" s="462">
        <f>SUM(H52:H53)</f>
        <v>3.9E-2</v>
      </c>
      <c r="I54" s="465">
        <f>G25</f>
        <v>15767</v>
      </c>
      <c r="J54" s="471">
        <f>ROUND(H54*I54,2)</f>
        <v>614.91</v>
      </c>
      <c r="K54" s="31"/>
    </row>
    <row r="55" spans="1:18" ht="20.2" customHeight="1">
      <c r="A55" s="617"/>
      <c r="B55" s="34"/>
      <c r="C55" s="54" t="s">
        <v>1484</v>
      </c>
      <c r="D55" s="951" t="s">
        <v>1289</v>
      </c>
      <c r="E55" s="471">
        <v>0.75</v>
      </c>
      <c r="F55" s="462"/>
      <c r="G55" s="462">
        <v>2.1</v>
      </c>
      <c r="H55" s="462">
        <f>ROUND(G55*E55*2.25/3,2)</f>
        <v>1.18</v>
      </c>
      <c r="I55" s="698">
        <f>G15</f>
        <v>561.35799999999995</v>
      </c>
      <c r="J55" s="471">
        <f>H55*I55/10</f>
        <v>66.24024399999999</v>
      </c>
      <c r="K55" s="31"/>
    </row>
    <row r="56" spans="1:18" ht="20.2" customHeight="1">
      <c r="A56" s="617"/>
      <c r="B56" s="32"/>
      <c r="C56" s="54" t="s">
        <v>1598</v>
      </c>
      <c r="D56" s="951"/>
      <c r="E56" s="953" t="s">
        <v>1651</v>
      </c>
      <c r="F56" s="462"/>
      <c r="G56" s="462"/>
      <c r="H56" s="948">
        <v>6</v>
      </c>
      <c r="I56" s="471">
        <v>32</v>
      </c>
      <c r="J56" s="471">
        <f>ROUND(H56*I56,2)</f>
        <v>192</v>
      </c>
      <c r="K56" s="31"/>
    </row>
    <row r="57" spans="1:18" ht="20.2" customHeight="1">
      <c r="A57" s="617"/>
      <c r="B57" s="34"/>
      <c r="C57" s="54" t="s">
        <v>230</v>
      </c>
      <c r="D57" s="951"/>
      <c r="E57" s="471"/>
      <c r="F57" s="462"/>
      <c r="G57" s="462"/>
      <c r="H57" s="948">
        <v>1</v>
      </c>
      <c r="I57" s="471">
        <v>50</v>
      </c>
      <c r="J57" s="471">
        <f>H57*I57</f>
        <v>50</v>
      </c>
      <c r="K57" s="31"/>
    </row>
    <row r="58" spans="1:18" ht="20.2" customHeight="1">
      <c r="A58" s="617"/>
      <c r="B58" s="34"/>
      <c r="D58" s="951"/>
      <c r="E58" s="471"/>
      <c r="F58" s="462"/>
      <c r="G58" s="462"/>
      <c r="H58" s="462"/>
      <c r="I58" s="471"/>
      <c r="J58" s="468">
        <f>SUM(J52:J57)</f>
        <v>1917.540244</v>
      </c>
      <c r="K58" s="31"/>
    </row>
    <row r="59" spans="1:18" s="18" customFormat="1" ht="20.2" customHeight="1">
      <c r="A59" s="617"/>
      <c r="B59" s="40"/>
      <c r="C59" s="54" t="s">
        <v>1600</v>
      </c>
      <c r="D59" s="954"/>
      <c r="E59" s="468"/>
      <c r="F59" s="458"/>
      <c r="G59" s="458"/>
      <c r="H59" s="458">
        <f>J58</f>
        <v>1917.540244</v>
      </c>
      <c r="I59" s="468">
        <f>I6</f>
        <v>0</v>
      </c>
      <c r="J59" s="471">
        <f>ROUND(H59*I59,2)</f>
        <v>0</v>
      </c>
      <c r="K59" s="17"/>
    </row>
    <row r="60" spans="1:18" s="439" customFormat="1" ht="20.2" customHeight="1">
      <c r="A60" s="617" t="s">
        <v>1288</v>
      </c>
      <c r="B60" s="411"/>
      <c r="C60" s="283" t="s">
        <v>540</v>
      </c>
      <c r="D60" s="955"/>
      <c r="E60" s="469"/>
      <c r="F60" s="460"/>
      <c r="G60" s="460"/>
      <c r="H60" s="460"/>
      <c r="I60" s="469" t="s">
        <v>1486</v>
      </c>
      <c r="J60" s="469">
        <f>SUM(J58:J59)</f>
        <v>1917.540244</v>
      </c>
      <c r="K60" s="447"/>
    </row>
    <row r="61" spans="1:18" s="439" customFormat="1" ht="20.2" customHeight="1">
      <c r="A61" s="617"/>
      <c r="B61" s="411"/>
      <c r="C61" s="283" t="s">
        <v>541</v>
      </c>
      <c r="D61" s="955"/>
      <c r="E61" s="469"/>
      <c r="F61" s="460"/>
      <c r="G61" s="460"/>
      <c r="H61" s="460"/>
      <c r="I61" s="469" t="s">
        <v>1486</v>
      </c>
      <c r="J61" s="469">
        <f>J49-J60</f>
        <v>3416.3597559999998</v>
      </c>
      <c r="K61" s="447"/>
    </row>
    <row r="62" spans="1:18" ht="214.5" customHeight="1">
      <c r="A62" s="617"/>
      <c r="B62" s="26">
        <v>3</v>
      </c>
      <c r="C62" s="54" t="s">
        <v>889</v>
      </c>
      <c r="D62" s="951"/>
      <c r="E62" s="471"/>
      <c r="F62" s="462"/>
      <c r="G62" s="462"/>
      <c r="H62" s="462"/>
      <c r="I62" s="471"/>
      <c r="J62" s="471"/>
      <c r="K62" s="54" t="s">
        <v>1924</v>
      </c>
    </row>
    <row r="63" spans="1:18" ht="24.9" customHeight="1">
      <c r="A63" s="617"/>
      <c r="B63" s="34"/>
      <c r="C63" s="55" t="s">
        <v>1290</v>
      </c>
      <c r="D63" s="954"/>
      <c r="E63" s="468"/>
      <c r="F63" s="462"/>
      <c r="G63" s="462"/>
      <c r="H63" s="462"/>
      <c r="I63" s="471"/>
      <c r="J63" s="471"/>
      <c r="K63" s="55" t="s">
        <v>1290</v>
      </c>
      <c r="L63" s="954"/>
      <c r="M63" s="468"/>
      <c r="N63" s="462"/>
      <c r="O63" s="462"/>
      <c r="P63" s="462"/>
      <c r="Q63" s="471"/>
      <c r="R63" s="471"/>
    </row>
    <row r="64" spans="1:18" ht="20.2" customHeight="1">
      <c r="A64" s="617"/>
      <c r="B64" s="34"/>
      <c r="C64" s="54" t="s">
        <v>779</v>
      </c>
      <c r="D64" s="951"/>
      <c r="E64" s="471"/>
      <c r="F64" s="462"/>
      <c r="G64" s="462"/>
      <c r="H64" s="462"/>
      <c r="I64" s="471"/>
      <c r="J64" s="471"/>
      <c r="K64" s="54" t="s">
        <v>779</v>
      </c>
      <c r="L64" s="951"/>
      <c r="M64" s="471"/>
      <c r="N64" s="462"/>
      <c r="O64" s="462"/>
      <c r="P64" s="462"/>
      <c r="Q64" s="471"/>
      <c r="R64" s="471"/>
    </row>
    <row r="65" spans="1:18" ht="20.2" customHeight="1">
      <c r="A65" s="617"/>
      <c r="B65" s="34"/>
      <c r="C65" s="54" t="s">
        <v>780</v>
      </c>
      <c r="D65" s="951">
        <v>2</v>
      </c>
      <c r="E65" s="471">
        <v>2.1</v>
      </c>
      <c r="F65" s="462">
        <v>0.1</v>
      </c>
      <c r="G65" s="462">
        <v>7.4999999999999997E-2</v>
      </c>
      <c r="H65" s="462">
        <f>ROUND(D65*E65*F65*G65,3)</f>
        <v>3.2000000000000001E-2</v>
      </c>
      <c r="I65" s="471">
        <v>25497.19</v>
      </c>
      <c r="J65" s="471">
        <f t="shared" ref="J65:J70" si="3">ROUND(H65*I65,2)</f>
        <v>815.91</v>
      </c>
      <c r="K65" s="54" t="s">
        <v>780</v>
      </c>
      <c r="L65" s="951">
        <v>2</v>
      </c>
      <c r="M65" s="471">
        <v>2.1</v>
      </c>
      <c r="N65" s="462">
        <v>0.1</v>
      </c>
      <c r="O65" s="462">
        <v>7.4999999999999997E-2</v>
      </c>
      <c r="P65" s="462">
        <f>ROUND(L65*M65*N65*O65,3)</f>
        <v>3.2000000000000001E-2</v>
      </c>
      <c r="Q65" s="471">
        <v>25497.19</v>
      </c>
      <c r="R65" s="471">
        <f t="shared" ref="R65:R70" si="4">ROUND(P65*Q65,2)</f>
        <v>815.91</v>
      </c>
    </row>
    <row r="66" spans="1:18" ht="20.2" customHeight="1">
      <c r="A66" s="617"/>
      <c r="B66" s="34"/>
      <c r="C66" s="54" t="s">
        <v>781</v>
      </c>
      <c r="D66" s="951">
        <v>1</v>
      </c>
      <c r="E66" s="471">
        <v>1.05</v>
      </c>
      <c r="F66" s="462">
        <v>0.1</v>
      </c>
      <c r="G66" s="462">
        <v>7.4999999999999997E-2</v>
      </c>
      <c r="H66" s="462">
        <f>ROUND(D66*E66*F66*G66,3)</f>
        <v>8.0000000000000002E-3</v>
      </c>
      <c r="I66" s="471">
        <v>25497.19</v>
      </c>
      <c r="J66" s="471">
        <f t="shared" si="3"/>
        <v>203.98</v>
      </c>
      <c r="K66" s="54" t="s">
        <v>781</v>
      </c>
      <c r="L66" s="951">
        <v>1</v>
      </c>
      <c r="M66" s="471">
        <v>1.05</v>
      </c>
      <c r="N66" s="462">
        <v>0.1</v>
      </c>
      <c r="O66" s="462">
        <v>7.4999999999999997E-2</v>
      </c>
      <c r="P66" s="462">
        <f>ROUND(L66*M66*N66*O66,3)</f>
        <v>8.0000000000000002E-3</v>
      </c>
      <c r="Q66" s="471">
        <v>25497.19</v>
      </c>
      <c r="R66" s="471">
        <f t="shared" si="4"/>
        <v>203.98</v>
      </c>
    </row>
    <row r="67" spans="1:18" ht="20.2" customHeight="1">
      <c r="A67" s="617"/>
      <c r="B67" s="34"/>
      <c r="C67" s="54" t="s">
        <v>782</v>
      </c>
      <c r="D67" s="951">
        <v>4</v>
      </c>
      <c r="E67" s="471">
        <f>(2.1-2*0.075)+1*0.015</f>
        <v>1.9650000000000001</v>
      </c>
      <c r="F67" s="462">
        <v>0.1</v>
      </c>
      <c r="G67" s="462">
        <f>1.25*25.4/1000</f>
        <v>3.175E-2</v>
      </c>
      <c r="H67" s="462">
        <f>ROUND(D67*E67*F67*G67,3)</f>
        <v>2.5000000000000001E-2</v>
      </c>
      <c r="I67" s="471">
        <v>31076.9</v>
      </c>
      <c r="J67" s="471">
        <f t="shared" si="3"/>
        <v>776.92</v>
      </c>
      <c r="K67" s="54" t="s">
        <v>1482</v>
      </c>
      <c r="L67" s="951"/>
      <c r="M67" s="471"/>
      <c r="N67" s="471"/>
      <c r="O67" s="462"/>
      <c r="P67" s="462">
        <f>SUM(P65:P66)</f>
        <v>0.04</v>
      </c>
      <c r="Q67" s="471">
        <f>G25</f>
        <v>15767</v>
      </c>
      <c r="R67" s="471">
        <f t="shared" si="4"/>
        <v>630.67999999999995</v>
      </c>
    </row>
    <row r="68" spans="1:18" ht="20.2" customHeight="1">
      <c r="A68" s="617"/>
      <c r="B68" s="34"/>
      <c r="C68" s="54" t="s">
        <v>783</v>
      </c>
      <c r="D68" s="951" t="s">
        <v>791</v>
      </c>
      <c r="E68" s="471">
        <f>(0.9-2*0.075+2*0.015)/2</f>
        <v>0.39</v>
      </c>
      <c r="F68" s="462">
        <v>0.1</v>
      </c>
      <c r="G68" s="462">
        <f>1.25*25.4/1000</f>
        <v>3.175E-2</v>
      </c>
      <c r="H68" s="462">
        <f>ROUND(12*E68*F68*G68,3)</f>
        <v>1.4999999999999999E-2</v>
      </c>
      <c r="I68" s="471">
        <v>31076.9</v>
      </c>
      <c r="J68" s="471">
        <f t="shared" si="3"/>
        <v>466.15</v>
      </c>
      <c r="K68" s="54"/>
      <c r="L68" s="951"/>
      <c r="M68" s="471"/>
      <c r="N68" s="462"/>
      <c r="O68" s="462"/>
      <c r="P68" s="462"/>
      <c r="Q68" s="471"/>
      <c r="R68" s="471"/>
    </row>
    <row r="69" spans="1:18" ht="20.2" customHeight="1">
      <c r="A69" s="617"/>
      <c r="B69" s="34"/>
      <c r="C69" s="54" t="s">
        <v>1481</v>
      </c>
      <c r="D69" s="951" t="s">
        <v>792</v>
      </c>
      <c r="E69" s="471">
        <f>(0.9-2*0.075+2*0.015)/2-2*0.1+2*0.025</f>
        <v>0.24</v>
      </c>
      <c r="F69" s="462">
        <f>(2.1-2*0.075+1*0.015-6*0.1)/5+2*0.025</f>
        <v>0.32300000000000001</v>
      </c>
      <c r="G69" s="462">
        <v>2.5000000000000001E-2</v>
      </c>
      <c r="H69" s="462">
        <f>ROUND(10*E69*F69*G69,3)</f>
        <v>1.9E-2</v>
      </c>
      <c r="I69" s="471">
        <v>31076.9</v>
      </c>
      <c r="J69" s="471">
        <f t="shared" si="3"/>
        <v>590.46</v>
      </c>
      <c r="K69" s="54" t="s">
        <v>1923</v>
      </c>
      <c r="L69" s="951">
        <v>1</v>
      </c>
      <c r="M69" s="471">
        <f>(0.9-2*0.075+2*0.015)</f>
        <v>0.78</v>
      </c>
      <c r="N69" s="471">
        <f>(2.1-1*0.075)+1*0.015</f>
        <v>2.04</v>
      </c>
      <c r="O69" s="462">
        <v>1</v>
      </c>
      <c r="P69" s="462">
        <f>ROUND(L69*M69*N69*O69,3)</f>
        <v>1.591</v>
      </c>
      <c r="Q69" s="471">
        <v>987</v>
      </c>
      <c r="R69" s="471">
        <f>ROUND(P69*Q69,2)</f>
        <v>1570.32</v>
      </c>
    </row>
    <row r="70" spans="1:18" ht="20.2" customHeight="1">
      <c r="A70" s="617"/>
      <c r="B70" s="34"/>
      <c r="C70" s="54" t="s">
        <v>1482</v>
      </c>
      <c r="D70" s="951"/>
      <c r="E70" s="471"/>
      <c r="F70" s="462"/>
      <c r="G70" s="462"/>
      <c r="H70" s="462">
        <f>SUM(H65:H69)</f>
        <v>9.9000000000000005E-2</v>
      </c>
      <c r="I70" s="465">
        <f>G25</f>
        <v>15767</v>
      </c>
      <c r="J70" s="471">
        <f t="shared" si="3"/>
        <v>1560.93</v>
      </c>
      <c r="K70" s="54" t="s">
        <v>1482</v>
      </c>
      <c r="L70" s="951">
        <v>1</v>
      </c>
      <c r="M70" s="471">
        <f>(0.9-2*0.075+2*0.015)</f>
        <v>0.78</v>
      </c>
      <c r="N70" s="471">
        <f>(2.1-1*0.075)+1*0.015</f>
        <v>2.04</v>
      </c>
      <c r="O70" s="462">
        <v>1</v>
      </c>
      <c r="P70" s="462">
        <f>ROUND(L70*M70*N70*O70,3)</f>
        <v>1.591</v>
      </c>
      <c r="Q70" s="465">
        <v>426</v>
      </c>
      <c r="R70" s="471">
        <f t="shared" si="4"/>
        <v>677.77</v>
      </c>
    </row>
    <row r="71" spans="1:18" ht="20.2" customHeight="1">
      <c r="A71" s="617" t="s">
        <v>787</v>
      </c>
      <c r="B71" s="19"/>
      <c r="C71" s="54" t="s">
        <v>788</v>
      </c>
      <c r="D71" s="951"/>
      <c r="E71" s="471"/>
      <c r="F71" s="462"/>
      <c r="G71" s="952"/>
      <c r="H71" s="952"/>
      <c r="I71" s="471"/>
      <c r="J71" s="471"/>
      <c r="K71" s="54" t="s">
        <v>788</v>
      </c>
      <c r="L71" s="951"/>
      <c r="M71" s="471"/>
      <c r="N71" s="462"/>
      <c r="O71" s="952"/>
      <c r="P71" s="952"/>
      <c r="Q71" s="471"/>
      <c r="R71" s="471"/>
    </row>
    <row r="72" spans="1:18" s="697" customFormat="1" ht="20.2" customHeight="1">
      <c r="A72" s="617"/>
      <c r="B72" s="692"/>
      <c r="C72" s="693" t="s">
        <v>911</v>
      </c>
      <c r="D72" s="951" t="s">
        <v>1035</v>
      </c>
      <c r="E72" s="471" t="s">
        <v>1617</v>
      </c>
      <c r="F72" s="462"/>
      <c r="G72" s="462"/>
      <c r="H72" s="948">
        <v>2</v>
      </c>
      <c r="I72" s="471">
        <v>68</v>
      </c>
      <c r="J72" s="471">
        <f t="shared" ref="J72:J80" si="5">ROUND(H72*I72,2)</f>
        <v>136</v>
      </c>
      <c r="K72" s="693" t="s">
        <v>911</v>
      </c>
      <c r="L72" s="951" t="s">
        <v>1035</v>
      </c>
      <c r="M72" s="471" t="s">
        <v>1617</v>
      </c>
      <c r="N72" s="462"/>
      <c r="O72" s="462"/>
      <c r="P72" s="948">
        <v>1</v>
      </c>
      <c r="Q72" s="471">
        <v>68</v>
      </c>
      <c r="R72" s="471">
        <f t="shared" ref="R72:R80" si="6">ROUND(P72*Q72,2)</f>
        <v>68</v>
      </c>
    </row>
    <row r="73" spans="1:18" s="697" customFormat="1" ht="20.2" customHeight="1">
      <c r="A73" s="617"/>
      <c r="B73" s="692"/>
      <c r="C73" s="693" t="s">
        <v>912</v>
      </c>
      <c r="D73" s="951" t="s">
        <v>1035</v>
      </c>
      <c r="E73" s="471" t="s">
        <v>1618</v>
      </c>
      <c r="F73" s="462"/>
      <c r="G73" s="462"/>
      <c r="H73" s="948">
        <v>1</v>
      </c>
      <c r="I73" s="471">
        <v>35</v>
      </c>
      <c r="J73" s="471">
        <f t="shared" si="5"/>
        <v>35</v>
      </c>
      <c r="K73" s="693" t="s">
        <v>912</v>
      </c>
      <c r="L73" s="951" t="s">
        <v>1035</v>
      </c>
      <c r="M73" s="471" t="s">
        <v>1618</v>
      </c>
      <c r="N73" s="462"/>
      <c r="O73" s="462"/>
      <c r="P73" s="948">
        <v>1</v>
      </c>
      <c r="Q73" s="471">
        <v>35</v>
      </c>
      <c r="R73" s="471">
        <f t="shared" si="6"/>
        <v>35</v>
      </c>
    </row>
    <row r="74" spans="1:18" s="697" customFormat="1" ht="20.2" customHeight="1">
      <c r="A74" s="617"/>
      <c r="B74" s="692"/>
      <c r="C74" s="196" t="s">
        <v>913</v>
      </c>
      <c r="D74" s="951" t="s">
        <v>1035</v>
      </c>
      <c r="E74" s="471" t="s">
        <v>1619</v>
      </c>
      <c r="F74" s="462"/>
      <c r="G74" s="462"/>
      <c r="H74" s="948">
        <v>6</v>
      </c>
      <c r="I74" s="471">
        <v>31</v>
      </c>
      <c r="J74" s="471">
        <f t="shared" si="5"/>
        <v>186</v>
      </c>
      <c r="K74" s="196" t="s">
        <v>913</v>
      </c>
      <c r="L74" s="951" t="s">
        <v>1035</v>
      </c>
      <c r="M74" s="471" t="s">
        <v>1619</v>
      </c>
      <c r="N74" s="462"/>
      <c r="O74" s="462"/>
      <c r="P74" s="948">
        <v>4</v>
      </c>
      <c r="Q74" s="471">
        <v>31</v>
      </c>
      <c r="R74" s="471">
        <f t="shared" si="6"/>
        <v>124</v>
      </c>
    </row>
    <row r="75" spans="1:18" s="697" customFormat="1" ht="20.2" customHeight="1">
      <c r="A75" s="617"/>
      <c r="B75" s="692"/>
      <c r="C75" s="693" t="s">
        <v>914</v>
      </c>
      <c r="D75" s="951" t="s">
        <v>1035</v>
      </c>
      <c r="E75" s="471" t="s">
        <v>1620</v>
      </c>
      <c r="F75" s="462"/>
      <c r="G75" s="462"/>
      <c r="H75" s="948">
        <v>1</v>
      </c>
      <c r="I75" s="471">
        <v>164</v>
      </c>
      <c r="J75" s="471">
        <f t="shared" si="5"/>
        <v>164</v>
      </c>
      <c r="K75" s="693" t="s">
        <v>914</v>
      </c>
      <c r="L75" s="951" t="s">
        <v>1035</v>
      </c>
      <c r="M75" s="471" t="s">
        <v>1620</v>
      </c>
      <c r="N75" s="462"/>
      <c r="O75" s="462"/>
      <c r="P75" s="948">
        <v>1</v>
      </c>
      <c r="Q75" s="471">
        <v>164</v>
      </c>
      <c r="R75" s="471">
        <f t="shared" si="6"/>
        <v>164</v>
      </c>
    </row>
    <row r="76" spans="1:18" s="697" customFormat="1" ht="20.2" customHeight="1">
      <c r="A76" s="617"/>
      <c r="B76" s="692"/>
      <c r="C76" s="693" t="s">
        <v>296</v>
      </c>
      <c r="D76" s="951" t="s">
        <v>1035</v>
      </c>
      <c r="E76" s="471" t="s">
        <v>1621</v>
      </c>
      <c r="F76" s="462"/>
      <c r="G76" s="462"/>
      <c r="H76" s="948">
        <v>2</v>
      </c>
      <c r="I76" s="471">
        <v>45</v>
      </c>
      <c r="J76" s="471">
        <f t="shared" si="5"/>
        <v>90</v>
      </c>
      <c r="K76" s="693" t="s">
        <v>296</v>
      </c>
      <c r="L76" s="951" t="s">
        <v>1035</v>
      </c>
      <c r="M76" s="471" t="s">
        <v>1621</v>
      </c>
      <c r="N76" s="462"/>
      <c r="O76" s="462"/>
      <c r="P76" s="948">
        <v>1</v>
      </c>
      <c r="Q76" s="471">
        <v>45</v>
      </c>
      <c r="R76" s="471">
        <f t="shared" si="6"/>
        <v>45</v>
      </c>
    </row>
    <row r="77" spans="1:18" ht="20.2" customHeight="1">
      <c r="A77" s="617"/>
      <c r="B77" s="19"/>
      <c r="C77" s="54" t="s">
        <v>420</v>
      </c>
      <c r="D77" s="951"/>
      <c r="E77" s="471" t="s">
        <v>1622</v>
      </c>
      <c r="F77" s="462"/>
      <c r="G77" s="462"/>
      <c r="H77" s="948">
        <v>3</v>
      </c>
      <c r="I77" s="471">
        <v>31</v>
      </c>
      <c r="J77" s="471">
        <f t="shared" si="5"/>
        <v>93</v>
      </c>
      <c r="K77" s="54" t="s">
        <v>420</v>
      </c>
      <c r="L77" s="951"/>
      <c r="M77" s="471" t="s">
        <v>1622</v>
      </c>
      <c r="N77" s="462"/>
      <c r="O77" s="462"/>
      <c r="P77" s="948">
        <v>2</v>
      </c>
      <c r="Q77" s="471">
        <v>31</v>
      </c>
      <c r="R77" s="471">
        <f t="shared" si="6"/>
        <v>62</v>
      </c>
    </row>
    <row r="78" spans="1:18" s="697" customFormat="1" ht="20.2" customHeight="1">
      <c r="A78" s="617"/>
      <c r="B78" s="692"/>
      <c r="C78" s="693" t="s">
        <v>799</v>
      </c>
      <c r="D78" s="951" t="s">
        <v>882</v>
      </c>
      <c r="E78" s="471" t="s">
        <v>1652</v>
      </c>
      <c r="F78" s="462"/>
      <c r="G78" s="462"/>
      <c r="H78" s="948">
        <v>80</v>
      </c>
      <c r="I78" s="471">
        <v>3</v>
      </c>
      <c r="J78" s="471">
        <f t="shared" si="5"/>
        <v>240</v>
      </c>
      <c r="K78" s="693" t="s">
        <v>799</v>
      </c>
      <c r="L78" s="951" t="s">
        <v>882</v>
      </c>
      <c r="M78" s="471" t="s">
        <v>1652</v>
      </c>
      <c r="N78" s="462"/>
      <c r="O78" s="462"/>
      <c r="P78" s="948">
        <v>60</v>
      </c>
      <c r="Q78" s="471">
        <v>3</v>
      </c>
      <c r="R78" s="471">
        <f t="shared" si="6"/>
        <v>180</v>
      </c>
    </row>
    <row r="79" spans="1:18" s="697" customFormat="1" ht="20.2" customHeight="1">
      <c r="A79" s="617"/>
      <c r="B79" s="692"/>
      <c r="C79" s="693" t="s">
        <v>231</v>
      </c>
      <c r="D79" s="951" t="s">
        <v>882</v>
      </c>
      <c r="E79" s="471" t="s">
        <v>1650</v>
      </c>
      <c r="F79" s="462"/>
      <c r="G79" s="462"/>
      <c r="H79" s="948">
        <v>10</v>
      </c>
      <c r="I79" s="471">
        <v>16</v>
      </c>
      <c r="J79" s="471">
        <f t="shared" si="5"/>
        <v>160</v>
      </c>
      <c r="K79" s="693" t="s">
        <v>231</v>
      </c>
      <c r="L79" s="951" t="s">
        <v>882</v>
      </c>
      <c r="M79" s="471" t="s">
        <v>1650</v>
      </c>
      <c r="N79" s="462"/>
      <c r="O79" s="462"/>
      <c r="P79" s="948">
        <v>10</v>
      </c>
      <c r="Q79" s="471">
        <v>13</v>
      </c>
      <c r="R79" s="471">
        <f t="shared" si="6"/>
        <v>130</v>
      </c>
    </row>
    <row r="80" spans="1:18" s="697" customFormat="1" ht="20.2" customHeight="1">
      <c r="A80" s="617"/>
      <c r="B80" s="694"/>
      <c r="C80" s="693" t="s">
        <v>1598</v>
      </c>
      <c r="D80" s="951"/>
      <c r="E80" s="953" t="s">
        <v>1651</v>
      </c>
      <c r="F80" s="462"/>
      <c r="G80" s="462"/>
      <c r="H80" s="948">
        <v>6</v>
      </c>
      <c r="I80" s="471">
        <v>32</v>
      </c>
      <c r="J80" s="471">
        <f t="shared" si="5"/>
        <v>192</v>
      </c>
      <c r="K80" s="693" t="s">
        <v>1598</v>
      </c>
      <c r="L80" s="951"/>
      <c r="M80" s="953" t="s">
        <v>1651</v>
      </c>
      <c r="N80" s="462"/>
      <c r="O80" s="462"/>
      <c r="P80" s="948">
        <v>6</v>
      </c>
      <c r="Q80" s="471">
        <v>32</v>
      </c>
      <c r="R80" s="471">
        <f t="shared" si="6"/>
        <v>192</v>
      </c>
    </row>
    <row r="81" spans="1:18" s="697" customFormat="1" ht="20.2" customHeight="1">
      <c r="A81" s="617"/>
      <c r="B81" s="695"/>
      <c r="C81" s="693" t="s">
        <v>1484</v>
      </c>
      <c r="D81" s="951">
        <v>2.25</v>
      </c>
      <c r="E81" s="471">
        <v>0.9</v>
      </c>
      <c r="F81" s="462"/>
      <c r="G81" s="462">
        <v>2.1</v>
      </c>
      <c r="H81" s="462">
        <f>ROUND(G81*E81*D81,2)</f>
        <v>4.25</v>
      </c>
      <c r="I81" s="698">
        <f>G15</f>
        <v>561.35799999999995</v>
      </c>
      <c r="J81" s="471">
        <f>H81*I81/10</f>
        <v>238.57714999999999</v>
      </c>
      <c r="K81" s="693" t="s">
        <v>1484</v>
      </c>
      <c r="L81" s="951">
        <v>2.25</v>
      </c>
      <c r="M81" s="471">
        <v>0.9</v>
      </c>
      <c r="N81" s="462"/>
      <c r="O81" s="462">
        <v>2.1</v>
      </c>
      <c r="P81" s="462">
        <v>0</v>
      </c>
      <c r="Q81" s="698">
        <f>O15</f>
        <v>0</v>
      </c>
      <c r="R81" s="471">
        <f>P81*Q81/10</f>
        <v>0</v>
      </c>
    </row>
    <row r="82" spans="1:18" s="697" customFormat="1" ht="20.2" customHeight="1">
      <c r="A82" s="617"/>
      <c r="B82" s="695"/>
      <c r="C82" s="693" t="s">
        <v>230</v>
      </c>
      <c r="D82" s="951"/>
      <c r="E82" s="471"/>
      <c r="F82" s="462"/>
      <c r="G82" s="462"/>
      <c r="H82" s="948">
        <v>1</v>
      </c>
      <c r="I82" s="471">
        <v>75</v>
      </c>
      <c r="J82" s="471">
        <f>H82*I82</f>
        <v>75</v>
      </c>
      <c r="K82" s="693" t="s">
        <v>230</v>
      </c>
      <c r="L82" s="951"/>
      <c r="M82" s="471"/>
      <c r="N82" s="462"/>
      <c r="O82" s="462"/>
      <c r="P82" s="948">
        <v>1</v>
      </c>
      <c r="Q82" s="471">
        <v>75</v>
      </c>
      <c r="R82" s="471">
        <f>P82*Q82</f>
        <v>75</v>
      </c>
    </row>
    <row r="83" spans="1:18" ht="20.2" customHeight="1">
      <c r="A83" s="617"/>
      <c r="B83" s="34"/>
      <c r="D83" s="951"/>
      <c r="E83" s="471"/>
      <c r="F83" s="462"/>
      <c r="G83" s="462"/>
      <c r="H83" s="462"/>
      <c r="I83" s="471"/>
      <c r="J83" s="471">
        <f>SUM(J65:J82)</f>
        <v>6023.9271500000004</v>
      </c>
      <c r="K83" s="54"/>
      <c r="L83" s="951"/>
      <c r="M83" s="471"/>
      <c r="N83" s="462"/>
      <c r="O83" s="462"/>
      <c r="P83" s="462"/>
      <c r="Q83" s="471"/>
      <c r="R83" s="471">
        <f>SUM(R65:R82)</f>
        <v>4973.66</v>
      </c>
    </row>
    <row r="84" spans="1:18" s="18" customFormat="1" ht="20.2" customHeight="1">
      <c r="A84" s="617"/>
      <c r="B84" s="40"/>
      <c r="C84" s="54" t="s">
        <v>1600</v>
      </c>
      <c r="D84" s="954"/>
      <c r="E84" s="468"/>
      <c r="F84" s="458"/>
      <c r="G84" s="458"/>
      <c r="H84" s="458">
        <f>J83</f>
        <v>6023.9271500000004</v>
      </c>
      <c r="I84" s="468">
        <f>I6</f>
        <v>0</v>
      </c>
      <c r="J84" s="471">
        <f>ROUND(H84*I84,2)</f>
        <v>0</v>
      </c>
      <c r="K84" s="54" t="s">
        <v>1600</v>
      </c>
      <c r="L84" s="954"/>
      <c r="M84" s="468"/>
      <c r="N84" s="458"/>
      <c r="O84" s="458"/>
      <c r="P84" s="458">
        <f>R83</f>
        <v>4973.66</v>
      </c>
      <c r="Q84" s="468">
        <f>I84</f>
        <v>0</v>
      </c>
      <c r="R84" s="471">
        <f>ROUND(P84*Q84,2)</f>
        <v>0</v>
      </c>
    </row>
    <row r="85" spans="1:18" s="439" customFormat="1" ht="20.2" customHeight="1">
      <c r="A85" s="617" t="s">
        <v>542</v>
      </c>
      <c r="B85" s="411"/>
      <c r="C85" s="283" t="s">
        <v>256</v>
      </c>
      <c r="D85" s="955"/>
      <c r="E85" s="469"/>
      <c r="F85" s="460"/>
      <c r="G85" s="460"/>
      <c r="H85" s="460"/>
      <c r="I85" s="469" t="s">
        <v>416</v>
      </c>
      <c r="J85" s="469">
        <f>SUM(J83:J84)</f>
        <v>6023.9271500000004</v>
      </c>
      <c r="K85" s="283" t="s">
        <v>256</v>
      </c>
      <c r="L85" s="955"/>
      <c r="M85" s="469"/>
      <c r="N85" s="460"/>
      <c r="O85" s="460"/>
      <c r="P85" s="460"/>
      <c r="Q85" s="469" t="s">
        <v>416</v>
      </c>
      <c r="R85" s="469">
        <f>SUM(R83:R84)</f>
        <v>4973.66</v>
      </c>
    </row>
    <row r="86" spans="1:18" ht="20.2" customHeight="1">
      <c r="A86" s="617"/>
      <c r="B86" s="34"/>
      <c r="C86" s="55" t="s">
        <v>1291</v>
      </c>
      <c r="D86" s="954"/>
      <c r="E86" s="468"/>
      <c r="F86" s="462"/>
      <c r="G86" s="462"/>
      <c r="H86" s="462"/>
      <c r="I86" s="471"/>
      <c r="J86" s="471"/>
      <c r="K86" s="55" t="s">
        <v>1291</v>
      </c>
      <c r="L86" s="954"/>
      <c r="M86" s="468"/>
      <c r="N86" s="462"/>
      <c r="O86" s="462"/>
      <c r="P86" s="462"/>
      <c r="Q86" s="471"/>
      <c r="R86" s="471"/>
    </row>
    <row r="87" spans="1:18" ht="20.2" customHeight="1">
      <c r="A87" s="617"/>
      <c r="B87" s="34"/>
      <c r="C87" s="54" t="s">
        <v>779</v>
      </c>
      <c r="D87" s="951"/>
      <c r="E87" s="471"/>
      <c r="F87" s="462"/>
      <c r="G87" s="462"/>
      <c r="H87" s="462"/>
      <c r="I87" s="471"/>
      <c r="J87" s="471"/>
      <c r="K87" s="54" t="s">
        <v>779</v>
      </c>
      <c r="L87" s="951"/>
      <c r="M87" s="471"/>
      <c r="N87" s="462"/>
      <c r="O87" s="462"/>
      <c r="P87" s="462"/>
      <c r="Q87" s="471"/>
      <c r="R87" s="471"/>
    </row>
    <row r="88" spans="1:18" ht="20.2" customHeight="1">
      <c r="A88" s="617"/>
      <c r="B88" s="34"/>
      <c r="C88" s="54" t="s">
        <v>780</v>
      </c>
      <c r="D88" s="951">
        <v>2</v>
      </c>
      <c r="E88" s="471">
        <v>2.1</v>
      </c>
      <c r="F88" s="462">
        <v>0.1</v>
      </c>
      <c r="G88" s="462">
        <v>7.4999999999999997E-2</v>
      </c>
      <c r="H88" s="462">
        <f>ROUND(D88*E88*F88*G88,3)</f>
        <v>3.2000000000000001E-2</v>
      </c>
      <c r="I88" s="471">
        <v>25497.19</v>
      </c>
      <c r="J88" s="471">
        <f>ROUND(H88*I88,2)</f>
        <v>815.91</v>
      </c>
      <c r="K88" s="54" t="s">
        <v>780</v>
      </c>
      <c r="L88" s="951">
        <v>2</v>
      </c>
      <c r="M88" s="471">
        <v>2.1</v>
      </c>
      <c r="N88" s="462">
        <v>0.1</v>
      </c>
      <c r="O88" s="462">
        <v>7.4999999999999997E-2</v>
      </c>
      <c r="P88" s="462">
        <f>ROUND(L88*M88*N88*O88,3)</f>
        <v>3.2000000000000001E-2</v>
      </c>
      <c r="Q88" s="471">
        <v>25497.19</v>
      </c>
      <c r="R88" s="471">
        <f>ROUND(P88*Q88,2)</f>
        <v>815.91</v>
      </c>
    </row>
    <row r="89" spans="1:18" ht="20.2" customHeight="1">
      <c r="A89" s="617"/>
      <c r="B89" s="34"/>
      <c r="C89" s="54" t="s">
        <v>781</v>
      </c>
      <c r="D89" s="951">
        <v>1</v>
      </c>
      <c r="E89" s="471">
        <v>1.05</v>
      </c>
      <c r="F89" s="462">
        <v>0.1</v>
      </c>
      <c r="G89" s="462">
        <v>7.4999999999999997E-2</v>
      </c>
      <c r="H89" s="462">
        <f>ROUND(D89*E89*F89*G89,3)</f>
        <v>8.0000000000000002E-3</v>
      </c>
      <c r="I89" s="471">
        <v>25497.19</v>
      </c>
      <c r="J89" s="471">
        <f>ROUND(H89*I89,2)</f>
        <v>203.98</v>
      </c>
      <c r="K89" s="54" t="s">
        <v>781</v>
      </c>
      <c r="L89" s="951">
        <v>1</v>
      </c>
      <c r="M89" s="471">
        <v>1.05</v>
      </c>
      <c r="N89" s="462">
        <v>0.1</v>
      </c>
      <c r="O89" s="462">
        <v>7.4999999999999997E-2</v>
      </c>
      <c r="P89" s="462">
        <f>ROUND(L89*M89*N89*O89,3)</f>
        <v>8.0000000000000002E-3</v>
      </c>
      <c r="Q89" s="471">
        <v>25497.19</v>
      </c>
      <c r="R89" s="471">
        <f>ROUND(P89*Q89,2)</f>
        <v>203.98</v>
      </c>
    </row>
    <row r="90" spans="1:18" ht="20.2" customHeight="1">
      <c r="A90" s="617"/>
      <c r="B90" s="34"/>
      <c r="C90" s="54" t="s">
        <v>1482</v>
      </c>
      <c r="D90" s="951"/>
      <c r="E90" s="471"/>
      <c r="F90" s="462"/>
      <c r="G90" s="462"/>
      <c r="H90" s="462">
        <f>SUM(H88:H89)</f>
        <v>0.04</v>
      </c>
      <c r="I90" s="465">
        <f>G25</f>
        <v>15767</v>
      </c>
      <c r="J90" s="471">
        <f>ROUND(H90*I90,2)</f>
        <v>630.67999999999995</v>
      </c>
      <c r="K90" s="54" t="s">
        <v>1482</v>
      </c>
      <c r="L90" s="951"/>
      <c r="M90" s="471"/>
      <c r="N90" s="462"/>
      <c r="O90" s="462"/>
      <c r="P90" s="462">
        <f>SUM(P88:P89)</f>
        <v>0.04</v>
      </c>
      <c r="Q90" s="465">
        <f>I90</f>
        <v>15767</v>
      </c>
      <c r="R90" s="471">
        <f>ROUND(P90*Q90,2)</f>
        <v>630.67999999999995</v>
      </c>
    </row>
    <row r="91" spans="1:18" ht="20.2" customHeight="1">
      <c r="A91" s="617" t="s">
        <v>787</v>
      </c>
      <c r="B91" s="19"/>
      <c r="C91" s="54" t="s">
        <v>788</v>
      </c>
      <c r="D91" s="951"/>
      <c r="E91" s="471"/>
      <c r="F91" s="462"/>
      <c r="G91" s="952"/>
      <c r="H91" s="952"/>
      <c r="I91" s="471"/>
      <c r="J91" s="471"/>
      <c r="K91" s="54" t="s">
        <v>788</v>
      </c>
      <c r="L91" s="951"/>
      <c r="M91" s="471"/>
      <c r="N91" s="462"/>
      <c r="O91" s="952"/>
      <c r="P91" s="952"/>
      <c r="Q91" s="471"/>
      <c r="R91" s="471"/>
    </row>
    <row r="92" spans="1:18" ht="20.2" customHeight="1">
      <c r="A92" s="617"/>
      <c r="B92" s="32"/>
      <c r="C92" s="54" t="s">
        <v>1598</v>
      </c>
      <c r="D92" s="951"/>
      <c r="E92" s="953" t="s">
        <v>1651</v>
      </c>
      <c r="F92" s="462"/>
      <c r="G92" s="462"/>
      <c r="H92" s="948">
        <v>6</v>
      </c>
      <c r="I92" s="471">
        <v>32</v>
      </c>
      <c r="J92" s="471">
        <f>ROUND(H92*I92,2)</f>
        <v>192</v>
      </c>
      <c r="K92" s="54" t="s">
        <v>1598</v>
      </c>
      <c r="L92" s="951"/>
      <c r="M92" s="953" t="s">
        <v>1651</v>
      </c>
      <c r="N92" s="462"/>
      <c r="O92" s="462"/>
      <c r="P92" s="948">
        <v>6</v>
      </c>
      <c r="Q92" s="471">
        <v>32</v>
      </c>
      <c r="R92" s="471">
        <f>ROUND(P92*Q92,2)</f>
        <v>192</v>
      </c>
    </row>
    <row r="93" spans="1:18" ht="20.2" customHeight="1">
      <c r="A93" s="617"/>
      <c r="B93" s="34"/>
      <c r="C93" s="54" t="s">
        <v>1484</v>
      </c>
      <c r="D93" s="951" t="s">
        <v>539</v>
      </c>
      <c r="E93" s="471">
        <v>0.9</v>
      </c>
      <c r="F93" s="462"/>
      <c r="G93" s="471">
        <v>2.1</v>
      </c>
      <c r="H93" s="462">
        <f>ROUND(G93*E93*2.25/3,2)</f>
        <v>1.42</v>
      </c>
      <c r="I93" s="698">
        <f>G15</f>
        <v>561.35799999999995</v>
      </c>
      <c r="J93" s="471">
        <f>H93*I93/10</f>
        <v>79.712835999999996</v>
      </c>
      <c r="K93" s="54" t="s">
        <v>1484</v>
      </c>
      <c r="L93" s="951"/>
      <c r="M93" s="471"/>
      <c r="N93" s="462"/>
      <c r="O93" s="471"/>
      <c r="P93" s="462"/>
      <c r="Q93" s="698"/>
      <c r="R93" s="471">
        <f>P93*Q93/10</f>
        <v>0</v>
      </c>
    </row>
    <row r="94" spans="1:18" ht="20.2" customHeight="1">
      <c r="A94" s="617"/>
      <c r="B94" s="34"/>
      <c r="C94" s="54" t="s">
        <v>230</v>
      </c>
      <c r="D94" s="951"/>
      <c r="E94" s="471"/>
      <c r="F94" s="462"/>
      <c r="G94" s="462"/>
      <c r="H94" s="948">
        <v>1</v>
      </c>
      <c r="I94" s="471">
        <v>50</v>
      </c>
      <c r="J94" s="471">
        <f>H94*I94</f>
        <v>50</v>
      </c>
      <c r="K94" s="54" t="s">
        <v>230</v>
      </c>
      <c r="L94" s="951"/>
      <c r="M94" s="471"/>
      <c r="N94" s="462"/>
      <c r="O94" s="462"/>
      <c r="P94" s="948">
        <v>1</v>
      </c>
      <c r="Q94" s="471">
        <v>50</v>
      </c>
      <c r="R94" s="471">
        <f>P94*Q94</f>
        <v>50</v>
      </c>
    </row>
    <row r="95" spans="1:18" ht="20.2" customHeight="1">
      <c r="A95" s="617"/>
      <c r="B95" s="34"/>
      <c r="D95" s="951"/>
      <c r="E95" s="471"/>
      <c r="F95" s="462"/>
      <c r="G95" s="462"/>
      <c r="H95" s="462"/>
      <c r="I95" s="471"/>
      <c r="J95" s="471">
        <f>SUM(J88:J94)</f>
        <v>1972.2828359999999</v>
      </c>
      <c r="K95" s="54"/>
      <c r="L95" s="951"/>
      <c r="M95" s="471"/>
      <c r="N95" s="462"/>
      <c r="O95" s="462"/>
      <c r="P95" s="462"/>
      <c r="Q95" s="471"/>
      <c r="R95" s="471">
        <f>SUM(R88:R94)</f>
        <v>1892.57</v>
      </c>
    </row>
    <row r="96" spans="1:18" s="18" customFormat="1" ht="20.2" customHeight="1">
      <c r="A96" s="617"/>
      <c r="B96" s="40"/>
      <c r="C96" s="54" t="s">
        <v>1600</v>
      </c>
      <c r="D96" s="954"/>
      <c r="E96" s="468"/>
      <c r="F96" s="458"/>
      <c r="G96" s="458"/>
      <c r="H96" s="458">
        <f>J95</f>
        <v>1972.2828359999999</v>
      </c>
      <c r="I96" s="468">
        <f>I6</f>
        <v>0</v>
      </c>
      <c r="J96" s="471">
        <f>ROUND(H96*I96,2)</f>
        <v>0</v>
      </c>
      <c r="K96" s="54" t="s">
        <v>1600</v>
      </c>
      <c r="L96" s="954"/>
      <c r="M96" s="468"/>
      <c r="N96" s="458"/>
      <c r="O96" s="458"/>
      <c r="P96" s="458">
        <f>R95</f>
        <v>1892.57</v>
      </c>
      <c r="Q96" s="468">
        <f>Q6</f>
        <v>0</v>
      </c>
      <c r="R96" s="471">
        <f>ROUND(P96*Q96,2)</f>
        <v>0</v>
      </c>
    </row>
    <row r="97" spans="1:18" s="439" customFormat="1" ht="20.2" customHeight="1">
      <c r="A97" s="617" t="s">
        <v>542</v>
      </c>
      <c r="B97" s="411"/>
      <c r="C97" s="448" t="s">
        <v>1292</v>
      </c>
      <c r="D97" s="955"/>
      <c r="E97" s="469"/>
      <c r="F97" s="460"/>
      <c r="G97" s="460"/>
      <c r="H97" s="460"/>
      <c r="I97" s="469" t="s">
        <v>416</v>
      </c>
      <c r="J97" s="469">
        <f>SUM(J95:J96)</f>
        <v>1972.2828359999999</v>
      </c>
      <c r="K97" s="448" t="s">
        <v>1292</v>
      </c>
      <c r="L97" s="955"/>
      <c r="M97" s="469"/>
      <c r="N97" s="460"/>
      <c r="O97" s="460"/>
      <c r="P97" s="460"/>
      <c r="Q97" s="469" t="s">
        <v>416</v>
      </c>
      <c r="R97" s="469">
        <f>SUM(R95:R96)</f>
        <v>1892.57</v>
      </c>
    </row>
    <row r="98" spans="1:18" s="439" customFormat="1" ht="20.2" customHeight="1">
      <c r="A98" s="617"/>
      <c r="B98" s="411"/>
      <c r="C98" s="448" t="s">
        <v>1293</v>
      </c>
      <c r="D98" s="955"/>
      <c r="E98" s="469"/>
      <c r="F98" s="460"/>
      <c r="G98" s="460"/>
      <c r="H98" s="460"/>
      <c r="I98" s="469" t="s">
        <v>416</v>
      </c>
      <c r="J98" s="469">
        <f>J85-J97</f>
        <v>4051.6443140000006</v>
      </c>
      <c r="K98" s="448" t="s">
        <v>1293</v>
      </c>
      <c r="L98" s="955"/>
      <c r="M98" s="469"/>
      <c r="N98" s="460"/>
      <c r="O98" s="460"/>
      <c r="P98" s="460"/>
      <c r="Q98" s="469" t="s">
        <v>416</v>
      </c>
      <c r="R98" s="469">
        <f>R85-R97</f>
        <v>3081.09</v>
      </c>
    </row>
    <row r="99" spans="1:18" ht="245.1">
      <c r="A99" s="617"/>
      <c r="B99" s="966">
        <v>4</v>
      </c>
      <c r="C99" s="55" t="s">
        <v>1258</v>
      </c>
      <c r="D99" s="951"/>
      <c r="E99" s="471"/>
      <c r="F99" s="462"/>
      <c r="G99" s="462"/>
      <c r="H99" s="462"/>
      <c r="I99" s="471"/>
      <c r="J99" s="471"/>
      <c r="K99" s="31"/>
    </row>
    <row r="100" spans="1:18">
      <c r="A100" s="617"/>
      <c r="B100" s="34"/>
      <c r="C100" s="55" t="s">
        <v>793</v>
      </c>
      <c r="D100" s="954"/>
      <c r="E100" s="468"/>
      <c r="F100" s="462"/>
      <c r="G100" s="462"/>
      <c r="H100" s="462"/>
      <c r="I100" s="471"/>
      <c r="J100" s="471"/>
      <c r="K100" s="31"/>
    </row>
    <row r="101" spans="1:18">
      <c r="A101" s="617"/>
      <c r="B101" s="34"/>
      <c r="C101" s="54" t="s">
        <v>779</v>
      </c>
      <c r="D101" s="951"/>
      <c r="E101" s="471"/>
      <c r="F101" s="462"/>
      <c r="G101" s="462"/>
      <c r="H101" s="462"/>
      <c r="I101" s="471"/>
      <c r="J101" s="471"/>
      <c r="K101" s="31"/>
    </row>
    <row r="102" spans="1:18" ht="20.2" customHeight="1">
      <c r="A102" s="617"/>
      <c r="B102" s="34"/>
      <c r="C102" s="54" t="s">
        <v>780</v>
      </c>
      <c r="D102" s="951">
        <v>2</v>
      </c>
      <c r="E102" s="471">
        <v>2.1</v>
      </c>
      <c r="F102" s="462">
        <v>0.1</v>
      </c>
      <c r="G102" s="462">
        <v>7.4999999999999997E-2</v>
      </c>
      <c r="H102" s="462">
        <f>ROUND(D102*E102*F102*G102,3)</f>
        <v>3.2000000000000001E-2</v>
      </c>
      <c r="I102" s="471">
        <v>25497.19</v>
      </c>
      <c r="J102" s="471">
        <f t="shared" ref="J102:J107" si="7">ROUND(H102*I102,2)</f>
        <v>815.91</v>
      </c>
      <c r="K102" s="31"/>
    </row>
    <row r="103" spans="1:18" ht="20.2" customHeight="1">
      <c r="A103" s="617"/>
      <c r="B103" s="34"/>
      <c r="C103" s="54" t="s">
        <v>781</v>
      </c>
      <c r="D103" s="951">
        <v>1</v>
      </c>
      <c r="E103" s="471">
        <v>1.2</v>
      </c>
      <c r="F103" s="462">
        <v>0.1</v>
      </c>
      <c r="G103" s="462">
        <v>7.4999999999999997E-2</v>
      </c>
      <c r="H103" s="462">
        <f>ROUND(D103*E103*F103*G103,3)</f>
        <v>8.9999999999999993E-3</v>
      </c>
      <c r="I103" s="471">
        <v>25497.19</v>
      </c>
      <c r="J103" s="471">
        <f t="shared" si="7"/>
        <v>229.47</v>
      </c>
      <c r="K103" s="31"/>
    </row>
    <row r="104" spans="1:18" ht="20.2" customHeight="1">
      <c r="A104" s="617"/>
      <c r="B104" s="34"/>
      <c r="C104" s="54" t="s">
        <v>782</v>
      </c>
      <c r="D104" s="951">
        <v>4</v>
      </c>
      <c r="E104" s="471">
        <f>(2.1-1*0.075-0.075)+1*0.015</f>
        <v>1.9649999999999999</v>
      </c>
      <c r="F104" s="462">
        <v>0.1</v>
      </c>
      <c r="G104" s="462">
        <f>1.25*25.4/1000</f>
        <v>3.175E-2</v>
      </c>
      <c r="H104" s="462">
        <f>ROUND(D104*E104*F104*G104,3)</f>
        <v>2.5000000000000001E-2</v>
      </c>
      <c r="I104" s="471">
        <v>31076.9</v>
      </c>
      <c r="J104" s="471">
        <f t="shared" si="7"/>
        <v>776.92</v>
      </c>
      <c r="K104" s="31"/>
    </row>
    <row r="105" spans="1:18" ht="20.2" customHeight="1">
      <c r="A105" s="617"/>
      <c r="B105" s="34"/>
      <c r="C105" s="54" t="s">
        <v>783</v>
      </c>
      <c r="D105" s="951" t="s">
        <v>791</v>
      </c>
      <c r="E105" s="471">
        <f>(1.05-2*0.075+2*0.015)/2</f>
        <v>0.46500000000000002</v>
      </c>
      <c r="F105" s="462">
        <v>0.1</v>
      </c>
      <c r="G105" s="462">
        <f>1.25*25.4/1000</f>
        <v>3.175E-2</v>
      </c>
      <c r="H105" s="462">
        <f>ROUND(12*E105*F105*G105,3)</f>
        <v>1.7999999999999999E-2</v>
      </c>
      <c r="I105" s="471">
        <v>31076.9</v>
      </c>
      <c r="J105" s="471">
        <f t="shared" si="7"/>
        <v>559.38</v>
      </c>
      <c r="K105" s="31"/>
    </row>
    <row r="106" spans="1:18" ht="20.2" customHeight="1">
      <c r="A106" s="617"/>
      <c r="B106" s="34"/>
      <c r="C106" s="54" t="s">
        <v>1481</v>
      </c>
      <c r="D106" s="951" t="s">
        <v>792</v>
      </c>
      <c r="E106" s="471">
        <f>(1.05-2*0.075+2*0.015)/2-2*0.1+2*0.025</f>
        <v>0.315</v>
      </c>
      <c r="F106" s="462">
        <f>(2.1-2*0.075+1*0.015-6*0.1)/5+2*0.025</f>
        <v>0.32300000000000001</v>
      </c>
      <c r="G106" s="462">
        <v>2.5000000000000001E-2</v>
      </c>
      <c r="H106" s="462">
        <f>ROUND(10*E106*F106*G106,3)</f>
        <v>2.5000000000000001E-2</v>
      </c>
      <c r="I106" s="471">
        <v>31076.9</v>
      </c>
      <c r="J106" s="471">
        <f t="shared" si="7"/>
        <v>776.92</v>
      </c>
      <c r="K106" s="31"/>
    </row>
    <row r="107" spans="1:18" ht="20.2" customHeight="1">
      <c r="A107" s="617"/>
      <c r="B107" s="34"/>
      <c r="C107" s="54" t="s">
        <v>1482</v>
      </c>
      <c r="D107" s="951"/>
      <c r="E107" s="471"/>
      <c r="F107" s="462"/>
      <c r="G107" s="462"/>
      <c r="H107" s="462">
        <f>SUM(H102:H106)</f>
        <v>0.10900000000000001</v>
      </c>
      <c r="I107" s="465">
        <f>G25</f>
        <v>15767</v>
      </c>
      <c r="J107" s="471">
        <f t="shared" si="7"/>
        <v>1718.6</v>
      </c>
      <c r="K107" s="31"/>
    </row>
    <row r="108" spans="1:18" ht="33.299999999999997">
      <c r="A108" s="617" t="s">
        <v>787</v>
      </c>
      <c r="B108" s="19"/>
      <c r="C108" s="54" t="s">
        <v>788</v>
      </c>
      <c r="D108" s="951"/>
      <c r="E108" s="471"/>
      <c r="F108" s="462"/>
      <c r="G108" s="952"/>
      <c r="H108" s="952"/>
      <c r="I108" s="471"/>
      <c r="J108" s="471"/>
      <c r="K108" s="31"/>
    </row>
    <row r="109" spans="1:18" ht="20.2" customHeight="1">
      <c r="A109" s="617"/>
      <c r="B109" s="19"/>
      <c r="C109" s="693" t="s">
        <v>911</v>
      </c>
      <c r="D109" s="951" t="s">
        <v>1035</v>
      </c>
      <c r="E109" s="471" t="s">
        <v>1617</v>
      </c>
      <c r="F109" s="462"/>
      <c r="G109" s="462"/>
      <c r="H109" s="948">
        <v>2</v>
      </c>
      <c r="I109" s="471">
        <v>68</v>
      </c>
      <c r="J109" s="471">
        <f t="shared" ref="J109:J117" si="8">ROUND(H109*I109,2)</f>
        <v>136</v>
      </c>
      <c r="K109" s="31"/>
    </row>
    <row r="110" spans="1:18" ht="20.2" customHeight="1">
      <c r="A110" s="617"/>
      <c r="B110" s="19"/>
      <c r="C110" s="693" t="s">
        <v>912</v>
      </c>
      <c r="D110" s="951" t="s">
        <v>1035</v>
      </c>
      <c r="E110" s="471" t="s">
        <v>1618</v>
      </c>
      <c r="F110" s="462"/>
      <c r="G110" s="462"/>
      <c r="H110" s="948">
        <v>1</v>
      </c>
      <c r="I110" s="471">
        <v>35</v>
      </c>
      <c r="J110" s="471">
        <f t="shared" si="8"/>
        <v>35</v>
      </c>
      <c r="K110" s="31"/>
    </row>
    <row r="111" spans="1:18" ht="20.2" customHeight="1">
      <c r="A111" s="617"/>
      <c r="B111" s="19"/>
      <c r="C111" s="196" t="s">
        <v>913</v>
      </c>
      <c r="D111" s="951" t="s">
        <v>1035</v>
      </c>
      <c r="E111" s="471" t="s">
        <v>1619</v>
      </c>
      <c r="F111" s="462"/>
      <c r="G111" s="462"/>
      <c r="H111" s="948">
        <v>6</v>
      </c>
      <c r="I111" s="471">
        <v>31</v>
      </c>
      <c r="J111" s="471">
        <f t="shared" si="8"/>
        <v>186</v>
      </c>
      <c r="K111" s="31"/>
    </row>
    <row r="112" spans="1:18" ht="20.2" customHeight="1">
      <c r="A112" s="617"/>
      <c r="B112" s="19"/>
      <c r="C112" s="693" t="s">
        <v>914</v>
      </c>
      <c r="D112" s="951" t="s">
        <v>1035</v>
      </c>
      <c r="E112" s="471" t="s">
        <v>1620</v>
      </c>
      <c r="F112" s="462"/>
      <c r="G112" s="462"/>
      <c r="H112" s="948">
        <v>1</v>
      </c>
      <c r="I112" s="471">
        <v>164</v>
      </c>
      <c r="J112" s="471">
        <f t="shared" si="8"/>
        <v>164</v>
      </c>
      <c r="K112" s="31"/>
    </row>
    <row r="113" spans="1:11" ht="20.2" customHeight="1">
      <c r="A113" s="617"/>
      <c r="B113" s="19"/>
      <c r="C113" s="693" t="s">
        <v>296</v>
      </c>
      <c r="D113" s="951" t="s">
        <v>1035</v>
      </c>
      <c r="E113" s="471" t="s">
        <v>1621</v>
      </c>
      <c r="F113" s="462"/>
      <c r="G113" s="462"/>
      <c r="H113" s="948">
        <v>2</v>
      </c>
      <c r="I113" s="471">
        <v>45</v>
      </c>
      <c r="J113" s="471">
        <f t="shared" si="8"/>
        <v>90</v>
      </c>
      <c r="K113" s="31"/>
    </row>
    <row r="114" spans="1:11" ht="20.2" customHeight="1">
      <c r="A114" s="617"/>
      <c r="B114" s="19"/>
      <c r="C114" s="54" t="s">
        <v>420</v>
      </c>
      <c r="D114" s="951"/>
      <c r="E114" s="471" t="s">
        <v>1622</v>
      </c>
      <c r="F114" s="462"/>
      <c r="G114" s="462"/>
      <c r="H114" s="948">
        <v>3</v>
      </c>
      <c r="I114" s="471">
        <v>31</v>
      </c>
      <c r="J114" s="471">
        <f t="shared" si="8"/>
        <v>93</v>
      </c>
      <c r="K114" s="31"/>
    </row>
    <row r="115" spans="1:11" ht="20.2" customHeight="1">
      <c r="A115" s="617"/>
      <c r="B115" s="19"/>
      <c r="C115" s="693" t="s">
        <v>799</v>
      </c>
      <c r="D115" s="951" t="s">
        <v>882</v>
      </c>
      <c r="E115" s="471" t="s">
        <v>1652</v>
      </c>
      <c r="F115" s="462"/>
      <c r="G115" s="462"/>
      <c r="H115" s="948">
        <v>80</v>
      </c>
      <c r="I115" s="471">
        <v>3</v>
      </c>
      <c r="J115" s="471">
        <f t="shared" si="8"/>
        <v>240</v>
      </c>
      <c r="K115" s="31"/>
    </row>
    <row r="116" spans="1:11" ht="20.2" customHeight="1">
      <c r="A116" s="617"/>
      <c r="B116" s="19"/>
      <c r="C116" s="693" t="s">
        <v>231</v>
      </c>
      <c r="D116" s="951" t="s">
        <v>882</v>
      </c>
      <c r="E116" s="471" t="s">
        <v>1650</v>
      </c>
      <c r="F116" s="462"/>
      <c r="G116" s="462"/>
      <c r="H116" s="948">
        <v>10</v>
      </c>
      <c r="I116" s="471">
        <v>16</v>
      </c>
      <c r="J116" s="471">
        <f t="shared" si="8"/>
        <v>160</v>
      </c>
      <c r="K116" s="31"/>
    </row>
    <row r="117" spans="1:11" ht="20.2" customHeight="1">
      <c r="A117" s="617"/>
      <c r="B117" s="32"/>
      <c r="C117" s="693" t="s">
        <v>1598</v>
      </c>
      <c r="D117" s="951"/>
      <c r="E117" s="953" t="s">
        <v>1651</v>
      </c>
      <c r="F117" s="462"/>
      <c r="G117" s="462"/>
      <c r="H117" s="948">
        <v>6</v>
      </c>
      <c r="I117" s="471">
        <v>32</v>
      </c>
      <c r="J117" s="471">
        <f t="shared" si="8"/>
        <v>192</v>
      </c>
      <c r="K117" s="31"/>
    </row>
    <row r="118" spans="1:11" ht="20.2" customHeight="1">
      <c r="A118" s="617"/>
      <c r="B118" s="34"/>
      <c r="C118" s="54" t="s">
        <v>1484</v>
      </c>
      <c r="D118" s="951">
        <v>2.25</v>
      </c>
      <c r="E118" s="471">
        <v>1.05</v>
      </c>
      <c r="F118" s="462"/>
      <c r="G118" s="471">
        <v>2.1</v>
      </c>
      <c r="H118" s="462">
        <f>ROUND(G118*E118*D118,2)</f>
        <v>4.96</v>
      </c>
      <c r="I118" s="698">
        <f>G15</f>
        <v>561.35799999999995</v>
      </c>
      <c r="J118" s="471">
        <f>H118*I118/10</f>
        <v>278.43356799999998</v>
      </c>
      <c r="K118" s="31"/>
    </row>
    <row r="119" spans="1:11" ht="20.2" customHeight="1">
      <c r="A119" s="617"/>
      <c r="B119" s="34"/>
      <c r="C119" s="54" t="s">
        <v>230</v>
      </c>
      <c r="D119" s="951"/>
      <c r="E119" s="471"/>
      <c r="F119" s="462"/>
      <c r="G119" s="462"/>
      <c r="H119" s="948">
        <v>1</v>
      </c>
      <c r="I119" s="471">
        <v>75</v>
      </c>
      <c r="J119" s="471">
        <f>H119*I119</f>
        <v>75</v>
      </c>
      <c r="K119" s="31"/>
    </row>
    <row r="120" spans="1:11" ht="20.2" customHeight="1">
      <c r="A120" s="617"/>
      <c r="B120" s="34"/>
      <c r="D120" s="951"/>
      <c r="E120" s="471"/>
      <c r="F120" s="462"/>
      <c r="G120" s="462"/>
      <c r="H120" s="462"/>
      <c r="I120" s="471"/>
      <c r="J120" s="471">
        <f>SUM(J102:J119)</f>
        <v>6526.6335680000002</v>
      </c>
      <c r="K120" s="31"/>
    </row>
    <row r="121" spans="1:11" s="18" customFormat="1" ht="20.2" customHeight="1">
      <c r="A121" s="617"/>
      <c r="B121" s="40"/>
      <c r="C121" s="54" t="s">
        <v>1600</v>
      </c>
      <c r="D121" s="954"/>
      <c r="E121" s="468"/>
      <c r="F121" s="458"/>
      <c r="G121" s="458"/>
      <c r="H121" s="458">
        <f>J120</f>
        <v>6526.6335680000002</v>
      </c>
      <c r="I121" s="468">
        <f>I6</f>
        <v>0</v>
      </c>
      <c r="J121" s="468">
        <f>ROUND(H121*I121,2)</f>
        <v>0</v>
      </c>
      <c r="K121" s="17"/>
    </row>
    <row r="122" spans="1:11" s="18" customFormat="1" ht="20.2" customHeight="1">
      <c r="A122" s="617"/>
      <c r="B122" s="411"/>
      <c r="C122" s="283" t="s">
        <v>256</v>
      </c>
      <c r="D122" s="955"/>
      <c r="E122" s="469"/>
      <c r="F122" s="460"/>
      <c r="G122" s="460"/>
      <c r="H122" s="460"/>
      <c r="I122" s="469" t="s">
        <v>416</v>
      </c>
      <c r="J122" s="469">
        <f>SUM(J120:J121)</f>
        <v>6526.6335680000002</v>
      </c>
      <c r="K122" s="17"/>
    </row>
    <row r="123" spans="1:11">
      <c r="A123" s="617"/>
      <c r="B123" s="34"/>
      <c r="C123" s="55" t="s">
        <v>1294</v>
      </c>
      <c r="D123" s="954"/>
      <c r="E123" s="468"/>
      <c r="F123" s="462"/>
      <c r="G123" s="462"/>
      <c r="H123" s="462"/>
      <c r="I123" s="471"/>
      <c r="J123" s="471"/>
      <c r="K123" s="31"/>
    </row>
    <row r="124" spans="1:11">
      <c r="A124" s="617"/>
      <c r="B124" s="34"/>
      <c r="C124" s="54" t="s">
        <v>779</v>
      </c>
      <c r="D124" s="951"/>
      <c r="E124" s="471"/>
      <c r="F124" s="462"/>
      <c r="G124" s="462"/>
      <c r="H124" s="462"/>
      <c r="I124" s="471"/>
      <c r="J124" s="471"/>
      <c r="K124" s="31"/>
    </row>
    <row r="125" spans="1:11" ht="20.2" customHeight="1">
      <c r="A125" s="617"/>
      <c r="B125" s="34"/>
      <c r="C125" s="54" t="s">
        <v>780</v>
      </c>
      <c r="D125" s="951">
        <v>2</v>
      </c>
      <c r="E125" s="471">
        <v>2.1</v>
      </c>
      <c r="F125" s="462">
        <v>0.1</v>
      </c>
      <c r="G125" s="462">
        <v>7.4999999999999997E-2</v>
      </c>
      <c r="H125" s="462">
        <f>ROUND(D125*E125*F125*G125,3)</f>
        <v>3.2000000000000001E-2</v>
      </c>
      <c r="I125" s="471">
        <v>25497.19</v>
      </c>
      <c r="J125" s="471">
        <f>ROUND(H125*I125,2)</f>
        <v>815.91</v>
      </c>
      <c r="K125" s="31"/>
    </row>
    <row r="126" spans="1:11" ht="20.2" customHeight="1">
      <c r="A126" s="617"/>
      <c r="B126" s="34"/>
      <c r="C126" s="54" t="s">
        <v>781</v>
      </c>
      <c r="D126" s="951">
        <v>1</v>
      </c>
      <c r="E126" s="471">
        <v>1.2</v>
      </c>
      <c r="F126" s="462">
        <v>0.1</v>
      </c>
      <c r="G126" s="462">
        <v>7.4999999999999997E-2</v>
      </c>
      <c r="H126" s="462">
        <f>ROUND(D126*E126*F126*G126,3)</f>
        <v>8.9999999999999993E-3</v>
      </c>
      <c r="I126" s="471">
        <v>25497.19</v>
      </c>
      <c r="J126" s="471">
        <f>ROUND(H126*I126,2)</f>
        <v>229.47</v>
      </c>
      <c r="K126" s="31"/>
    </row>
    <row r="127" spans="1:11" ht="20.2" customHeight="1">
      <c r="A127" s="617"/>
      <c r="B127" s="34"/>
      <c r="C127" s="54" t="s">
        <v>1482</v>
      </c>
      <c r="D127" s="951"/>
      <c r="E127" s="471"/>
      <c r="F127" s="462"/>
      <c r="G127" s="462"/>
      <c r="H127" s="462">
        <f>SUM(H125:H126)</f>
        <v>4.1000000000000002E-2</v>
      </c>
      <c r="I127" s="465">
        <f>G25</f>
        <v>15767</v>
      </c>
      <c r="J127" s="471">
        <f>ROUND(H127*I127,2)</f>
        <v>646.45000000000005</v>
      </c>
      <c r="K127" s="31"/>
    </row>
    <row r="128" spans="1:11" ht="20.2" customHeight="1">
      <c r="A128" s="617"/>
      <c r="B128" s="34"/>
      <c r="C128" s="54" t="s">
        <v>1484</v>
      </c>
      <c r="D128" s="951" t="s">
        <v>539</v>
      </c>
      <c r="E128" s="471">
        <v>1.05</v>
      </c>
      <c r="F128" s="462"/>
      <c r="G128" s="462">
        <v>2.1</v>
      </c>
      <c r="H128" s="462">
        <f>ROUND(G128*E128*2.25/3,2)</f>
        <v>1.65</v>
      </c>
      <c r="I128" s="698">
        <f>G15</f>
        <v>561.35799999999995</v>
      </c>
      <c r="J128" s="471">
        <f>ROUND(H128*I128/10,2)</f>
        <v>92.62</v>
      </c>
      <c r="K128" s="31"/>
    </row>
    <row r="129" spans="1:11" ht="20.2" customHeight="1">
      <c r="A129" s="617"/>
      <c r="B129" s="32"/>
      <c r="C129" s="54" t="s">
        <v>1598</v>
      </c>
      <c r="D129" s="951"/>
      <c r="E129" s="953" t="s">
        <v>1651</v>
      </c>
      <c r="F129" s="462"/>
      <c r="G129" s="462"/>
      <c r="H129" s="948">
        <v>6</v>
      </c>
      <c r="I129" s="471">
        <v>32</v>
      </c>
      <c r="J129" s="471">
        <f>ROUND(H129*I129,2)</f>
        <v>192</v>
      </c>
      <c r="K129" s="31"/>
    </row>
    <row r="130" spans="1:11" ht="20.2" customHeight="1">
      <c r="A130" s="617"/>
      <c r="B130" s="34"/>
      <c r="C130" s="54" t="s">
        <v>230</v>
      </c>
      <c r="D130" s="951"/>
      <c r="E130" s="471"/>
      <c r="F130" s="462"/>
      <c r="G130" s="462"/>
      <c r="H130" s="948">
        <v>1</v>
      </c>
      <c r="I130" s="471">
        <v>50</v>
      </c>
      <c r="J130" s="471">
        <f>ROUND(H130*I130,2)</f>
        <v>50</v>
      </c>
      <c r="K130" s="31"/>
    </row>
    <row r="131" spans="1:11" ht="20.2" customHeight="1">
      <c r="A131" s="617"/>
      <c r="B131" s="34"/>
      <c r="D131" s="951"/>
      <c r="E131" s="471"/>
      <c r="F131" s="462"/>
      <c r="G131" s="462"/>
      <c r="H131" s="462"/>
      <c r="I131" s="471"/>
      <c r="J131" s="471">
        <f>SUM(J125:J130)</f>
        <v>2026.4499999999998</v>
      </c>
      <c r="K131" s="31"/>
    </row>
    <row r="132" spans="1:11" s="18" customFormat="1" ht="20.2" customHeight="1">
      <c r="A132" s="617"/>
      <c r="B132" s="40"/>
      <c r="C132" s="54" t="s">
        <v>1600</v>
      </c>
      <c r="D132" s="954"/>
      <c r="E132" s="468"/>
      <c r="F132" s="458"/>
      <c r="G132" s="458"/>
      <c r="H132" s="458">
        <f>J131</f>
        <v>2026.4499999999998</v>
      </c>
      <c r="I132" s="468">
        <f>I6</f>
        <v>0</v>
      </c>
      <c r="J132" s="471">
        <f>ROUND(H132*I132,2)</f>
        <v>0</v>
      </c>
      <c r="K132" s="17"/>
    </row>
    <row r="133" spans="1:11" s="439" customFormat="1" ht="20.2" customHeight="1">
      <c r="A133" s="617" t="s">
        <v>542</v>
      </c>
      <c r="B133" s="411"/>
      <c r="C133" s="283" t="s">
        <v>1295</v>
      </c>
      <c r="D133" s="955"/>
      <c r="E133" s="469"/>
      <c r="F133" s="460"/>
      <c r="G133" s="460"/>
      <c r="H133" s="460"/>
      <c r="I133" s="469" t="s">
        <v>1486</v>
      </c>
      <c r="J133" s="469">
        <f>SUM(J131:J132)</f>
        <v>2026.4499999999998</v>
      </c>
      <c r="K133" s="447"/>
    </row>
    <row r="134" spans="1:11" s="439" customFormat="1" ht="20.2" customHeight="1">
      <c r="A134" s="617"/>
      <c r="B134" s="411"/>
      <c r="C134" s="283" t="s">
        <v>1296</v>
      </c>
      <c r="D134" s="955"/>
      <c r="E134" s="469"/>
      <c r="F134" s="460"/>
      <c r="G134" s="460"/>
      <c r="H134" s="460"/>
      <c r="I134" s="469" t="s">
        <v>1486</v>
      </c>
      <c r="J134" s="469">
        <f>J122-J133</f>
        <v>4500.1835680000004</v>
      </c>
      <c r="K134" s="447"/>
    </row>
    <row r="135" spans="1:11" ht="263.25" customHeight="1">
      <c r="A135" s="617"/>
      <c r="B135" s="966">
        <v>5</v>
      </c>
      <c r="C135" s="55" t="s">
        <v>890</v>
      </c>
      <c r="D135" s="951"/>
      <c r="E135" s="471"/>
      <c r="F135" s="462"/>
      <c r="G135" s="462"/>
      <c r="H135" s="462"/>
      <c r="I135" s="471"/>
      <c r="J135" s="471"/>
      <c r="K135" s="31"/>
    </row>
    <row r="136" spans="1:11">
      <c r="A136" s="617"/>
      <c r="B136" s="34"/>
      <c r="C136" s="55" t="s">
        <v>1297</v>
      </c>
      <c r="D136" s="954"/>
      <c r="E136" s="468"/>
      <c r="F136" s="462"/>
      <c r="G136" s="462"/>
      <c r="H136" s="462"/>
      <c r="I136" s="471"/>
      <c r="J136" s="471"/>
      <c r="K136" s="31"/>
    </row>
    <row r="137" spans="1:11">
      <c r="A137" s="617"/>
      <c r="B137" s="34"/>
      <c r="C137" s="54" t="s">
        <v>779</v>
      </c>
      <c r="D137" s="951"/>
      <c r="E137" s="471"/>
      <c r="F137" s="462"/>
      <c r="G137" s="462"/>
      <c r="H137" s="462"/>
      <c r="I137" s="471"/>
      <c r="J137" s="471"/>
      <c r="K137" s="31"/>
    </row>
    <row r="138" spans="1:11" ht="20.2" customHeight="1">
      <c r="A138" s="617"/>
      <c r="B138" s="34"/>
      <c r="C138" s="54" t="s">
        <v>780</v>
      </c>
      <c r="D138" s="951">
        <v>2</v>
      </c>
      <c r="E138" s="471">
        <v>2.1</v>
      </c>
      <c r="F138" s="462">
        <v>0.1</v>
      </c>
      <c r="G138" s="462">
        <v>7.4999999999999997E-2</v>
      </c>
      <c r="H138" s="462">
        <f>ROUND(D138*E138*F138*G138,3)</f>
        <v>3.2000000000000001E-2</v>
      </c>
      <c r="I138" s="471">
        <v>25497.19</v>
      </c>
      <c r="J138" s="471">
        <f t="shared" ref="J138:J143" si="9">ROUND(H138*I138,2)</f>
        <v>815.91</v>
      </c>
      <c r="K138" s="31"/>
    </row>
    <row r="139" spans="1:11" ht="20.2" customHeight="1">
      <c r="A139" s="617"/>
      <c r="B139" s="34"/>
      <c r="C139" s="54" t="s">
        <v>781</v>
      </c>
      <c r="D139" s="951">
        <v>1</v>
      </c>
      <c r="E139" s="471">
        <v>1.35</v>
      </c>
      <c r="F139" s="462">
        <v>0.1</v>
      </c>
      <c r="G139" s="462">
        <v>7.4999999999999997E-2</v>
      </c>
      <c r="H139" s="462">
        <f>ROUND(D139*E139*F139*G139,3)</f>
        <v>0.01</v>
      </c>
      <c r="I139" s="471">
        <v>25497.19</v>
      </c>
      <c r="J139" s="471">
        <f t="shared" si="9"/>
        <v>254.97</v>
      </c>
      <c r="K139" s="31"/>
    </row>
    <row r="140" spans="1:11" ht="20.2" customHeight="1">
      <c r="A140" s="617"/>
      <c r="B140" s="34"/>
      <c r="C140" s="54" t="s">
        <v>782</v>
      </c>
      <c r="D140" s="951">
        <v>4</v>
      </c>
      <c r="E140" s="471">
        <f>(2.1-1*0.075-0.075)+1*0.015</f>
        <v>1.9649999999999999</v>
      </c>
      <c r="F140" s="462">
        <v>0.1</v>
      </c>
      <c r="G140" s="462">
        <f>1.25*25.4/1000</f>
        <v>3.175E-2</v>
      </c>
      <c r="H140" s="462">
        <f>ROUND(D140*E140*F140*G140,3)</f>
        <v>2.5000000000000001E-2</v>
      </c>
      <c r="I140" s="471">
        <v>31076.9</v>
      </c>
      <c r="J140" s="471">
        <f t="shared" si="9"/>
        <v>776.92</v>
      </c>
      <c r="K140" s="31"/>
    </row>
    <row r="141" spans="1:11" ht="20.2" customHeight="1">
      <c r="A141" s="617"/>
      <c r="B141" s="34"/>
      <c r="C141" s="54" t="s">
        <v>783</v>
      </c>
      <c r="D141" s="951" t="s">
        <v>791</v>
      </c>
      <c r="E141" s="471">
        <f>(1.2-2*0.075+2*0.015)/2</f>
        <v>0.54</v>
      </c>
      <c r="F141" s="462">
        <v>0.1</v>
      </c>
      <c r="G141" s="462">
        <f>1.25*25.4/1000</f>
        <v>3.175E-2</v>
      </c>
      <c r="H141" s="462">
        <f>ROUND(12*E141*F141*G141,3)</f>
        <v>2.1000000000000001E-2</v>
      </c>
      <c r="I141" s="471">
        <v>31076.9</v>
      </c>
      <c r="J141" s="471">
        <f t="shared" si="9"/>
        <v>652.61</v>
      </c>
      <c r="K141" s="31"/>
    </row>
    <row r="142" spans="1:11" ht="20.2" customHeight="1">
      <c r="A142" s="617"/>
      <c r="B142" s="34"/>
      <c r="C142" s="54" t="s">
        <v>1481</v>
      </c>
      <c r="D142" s="951" t="s">
        <v>792</v>
      </c>
      <c r="E142" s="471">
        <f>(1.2-2*0.075+2*0.015)/2-2*0.1+2*0.025</f>
        <v>0.39</v>
      </c>
      <c r="F142" s="462">
        <f>(2.1-2*0.075+1*0.015-6*0.1)/5+2*0.025</f>
        <v>0.32300000000000001</v>
      </c>
      <c r="G142" s="462">
        <v>2.5000000000000001E-2</v>
      </c>
      <c r="H142" s="462">
        <f>ROUND(10*E142*F142*G142,3)</f>
        <v>3.1E-2</v>
      </c>
      <c r="I142" s="471">
        <v>31076.9</v>
      </c>
      <c r="J142" s="471">
        <f t="shared" si="9"/>
        <v>963.38</v>
      </c>
      <c r="K142" s="31"/>
    </row>
    <row r="143" spans="1:11" ht="20.2" customHeight="1">
      <c r="A143" s="617"/>
      <c r="B143" s="34"/>
      <c r="C143" s="54" t="s">
        <v>1482</v>
      </c>
      <c r="D143" s="951"/>
      <c r="E143" s="471"/>
      <c r="F143" s="462"/>
      <c r="G143" s="462"/>
      <c r="H143" s="462">
        <f>SUM(H138:H142)</f>
        <v>0.11900000000000001</v>
      </c>
      <c r="I143" s="465">
        <f>G25</f>
        <v>15767</v>
      </c>
      <c r="J143" s="471">
        <f t="shared" si="9"/>
        <v>1876.27</v>
      </c>
      <c r="K143" s="31"/>
    </row>
    <row r="144" spans="1:11" ht="33.299999999999997">
      <c r="A144" s="617" t="s">
        <v>787</v>
      </c>
      <c r="B144" s="19"/>
      <c r="C144" s="54" t="s">
        <v>788</v>
      </c>
      <c r="D144" s="951"/>
      <c r="E144" s="471"/>
      <c r="F144" s="462"/>
      <c r="G144" s="952"/>
      <c r="H144" s="952"/>
      <c r="I144" s="471"/>
      <c r="J144" s="471"/>
      <c r="K144" s="31"/>
    </row>
    <row r="145" spans="1:11" ht="20.2" customHeight="1">
      <c r="A145" s="617"/>
      <c r="B145" s="19"/>
      <c r="C145" s="693" t="s">
        <v>911</v>
      </c>
      <c r="D145" s="951" t="s">
        <v>1035</v>
      </c>
      <c r="E145" s="471" t="s">
        <v>1617</v>
      </c>
      <c r="F145" s="462"/>
      <c r="G145" s="462"/>
      <c r="H145" s="948">
        <v>2</v>
      </c>
      <c r="I145" s="471">
        <v>68</v>
      </c>
      <c r="J145" s="471">
        <f t="shared" ref="J145:J153" si="10">ROUND(H145*I145,2)</f>
        <v>136</v>
      </c>
      <c r="K145" s="31"/>
    </row>
    <row r="146" spans="1:11" ht="20.2" customHeight="1">
      <c r="A146" s="617"/>
      <c r="B146" s="19"/>
      <c r="C146" s="693" t="s">
        <v>912</v>
      </c>
      <c r="D146" s="951" t="s">
        <v>1035</v>
      </c>
      <c r="E146" s="471" t="s">
        <v>1618</v>
      </c>
      <c r="F146" s="462"/>
      <c r="G146" s="462"/>
      <c r="H146" s="948">
        <v>1</v>
      </c>
      <c r="I146" s="471">
        <v>35</v>
      </c>
      <c r="J146" s="471">
        <f t="shared" si="10"/>
        <v>35</v>
      </c>
      <c r="K146" s="31"/>
    </row>
    <row r="147" spans="1:11" ht="20.2" customHeight="1">
      <c r="A147" s="617"/>
      <c r="B147" s="19"/>
      <c r="C147" s="196" t="s">
        <v>913</v>
      </c>
      <c r="D147" s="951" t="s">
        <v>1035</v>
      </c>
      <c r="E147" s="471" t="s">
        <v>1619</v>
      </c>
      <c r="F147" s="462"/>
      <c r="G147" s="462"/>
      <c r="H147" s="948">
        <v>6</v>
      </c>
      <c r="I147" s="471">
        <v>31</v>
      </c>
      <c r="J147" s="471">
        <f t="shared" si="10"/>
        <v>186</v>
      </c>
      <c r="K147" s="31"/>
    </row>
    <row r="148" spans="1:11" ht="20.2" customHeight="1">
      <c r="A148" s="617"/>
      <c r="B148" s="19"/>
      <c r="C148" s="693" t="s">
        <v>914</v>
      </c>
      <c r="D148" s="951" t="s">
        <v>1035</v>
      </c>
      <c r="E148" s="471" t="s">
        <v>1620</v>
      </c>
      <c r="F148" s="462"/>
      <c r="G148" s="462"/>
      <c r="H148" s="948">
        <v>1</v>
      </c>
      <c r="I148" s="471">
        <v>164</v>
      </c>
      <c r="J148" s="471">
        <f t="shared" si="10"/>
        <v>164</v>
      </c>
      <c r="K148" s="31"/>
    </row>
    <row r="149" spans="1:11" ht="20.2" customHeight="1">
      <c r="A149" s="617"/>
      <c r="B149" s="19"/>
      <c r="C149" s="693" t="s">
        <v>296</v>
      </c>
      <c r="D149" s="951" t="s">
        <v>1035</v>
      </c>
      <c r="E149" s="471" t="s">
        <v>1621</v>
      </c>
      <c r="F149" s="462"/>
      <c r="G149" s="462"/>
      <c r="H149" s="948">
        <v>2</v>
      </c>
      <c r="I149" s="471">
        <v>45</v>
      </c>
      <c r="J149" s="471">
        <f t="shared" si="10"/>
        <v>90</v>
      </c>
      <c r="K149" s="31"/>
    </row>
    <row r="150" spans="1:11" ht="20.2" customHeight="1">
      <c r="A150" s="617"/>
      <c r="B150" s="19"/>
      <c r="C150" s="54" t="s">
        <v>420</v>
      </c>
      <c r="D150" s="951"/>
      <c r="E150" s="471" t="s">
        <v>1622</v>
      </c>
      <c r="F150" s="462"/>
      <c r="G150" s="462"/>
      <c r="H150" s="948">
        <v>3</v>
      </c>
      <c r="I150" s="471">
        <v>31</v>
      </c>
      <c r="J150" s="471">
        <f t="shared" si="10"/>
        <v>93</v>
      </c>
      <c r="K150" s="31"/>
    </row>
    <row r="151" spans="1:11" ht="20.2" customHeight="1">
      <c r="A151" s="617"/>
      <c r="B151" s="19"/>
      <c r="C151" s="693" t="s">
        <v>799</v>
      </c>
      <c r="D151" s="951" t="s">
        <v>882</v>
      </c>
      <c r="E151" s="471" t="s">
        <v>1652</v>
      </c>
      <c r="F151" s="462"/>
      <c r="G151" s="462"/>
      <c r="H151" s="948">
        <v>80</v>
      </c>
      <c r="I151" s="471">
        <v>3</v>
      </c>
      <c r="J151" s="471">
        <f t="shared" si="10"/>
        <v>240</v>
      </c>
      <c r="K151" s="31"/>
    </row>
    <row r="152" spans="1:11" ht="20.2" customHeight="1">
      <c r="A152" s="617"/>
      <c r="B152" s="19"/>
      <c r="C152" s="693" t="s">
        <v>231</v>
      </c>
      <c r="D152" s="951" t="s">
        <v>882</v>
      </c>
      <c r="E152" s="471" t="s">
        <v>1650</v>
      </c>
      <c r="F152" s="462"/>
      <c r="G152" s="462"/>
      <c r="H152" s="948">
        <v>10</v>
      </c>
      <c r="I152" s="471">
        <v>16</v>
      </c>
      <c r="J152" s="471">
        <f t="shared" si="10"/>
        <v>160</v>
      </c>
      <c r="K152" s="31"/>
    </row>
    <row r="153" spans="1:11" ht="20.2" customHeight="1">
      <c r="A153" s="617"/>
      <c r="B153" s="32"/>
      <c r="C153" s="693" t="s">
        <v>1598</v>
      </c>
      <c r="D153" s="951"/>
      <c r="E153" s="953" t="s">
        <v>1651</v>
      </c>
      <c r="F153" s="462"/>
      <c r="G153" s="462"/>
      <c r="H153" s="948">
        <v>6</v>
      </c>
      <c r="I153" s="471">
        <v>32</v>
      </c>
      <c r="J153" s="471">
        <f t="shared" si="10"/>
        <v>192</v>
      </c>
      <c r="K153" s="31"/>
    </row>
    <row r="154" spans="1:11" ht="20.2" customHeight="1">
      <c r="A154" s="617"/>
      <c r="B154" s="34"/>
      <c r="C154" s="54" t="s">
        <v>1484</v>
      </c>
      <c r="D154" s="951">
        <v>2.25</v>
      </c>
      <c r="E154" s="471">
        <v>1.2</v>
      </c>
      <c r="F154" s="462"/>
      <c r="G154" s="471">
        <v>2.1</v>
      </c>
      <c r="H154" s="462">
        <f>ROUND(G154*E154*D154,2)</f>
        <v>5.67</v>
      </c>
      <c r="I154" s="698">
        <f>G15</f>
        <v>561.35799999999995</v>
      </c>
      <c r="J154" s="471">
        <f>H154*I154/10</f>
        <v>318.28998599999994</v>
      </c>
      <c r="K154" s="31"/>
    </row>
    <row r="155" spans="1:11" ht="20.2" customHeight="1">
      <c r="A155" s="617"/>
      <c r="B155" s="34"/>
      <c r="C155" s="54" t="s">
        <v>230</v>
      </c>
      <c r="D155" s="951"/>
      <c r="E155" s="471"/>
      <c r="F155" s="462"/>
      <c r="G155" s="462"/>
      <c r="H155" s="948">
        <v>1</v>
      </c>
      <c r="I155" s="471">
        <v>75</v>
      </c>
      <c r="J155" s="471">
        <f>ROUND(H155*I155,2)</f>
        <v>75</v>
      </c>
      <c r="K155" s="31"/>
    </row>
    <row r="156" spans="1:11" ht="20.2" customHeight="1">
      <c r="A156" s="617"/>
      <c r="B156" s="34"/>
      <c r="D156" s="951"/>
      <c r="E156" s="471"/>
      <c r="F156" s="462"/>
      <c r="G156" s="462"/>
      <c r="H156" s="462"/>
      <c r="I156" s="471"/>
      <c r="J156" s="471">
        <f>SUM(J138:J155)</f>
        <v>7029.3499859999993</v>
      </c>
      <c r="K156" s="31"/>
    </row>
    <row r="157" spans="1:11" s="18" customFormat="1" ht="20.2" customHeight="1">
      <c r="A157" s="617"/>
      <c r="B157" s="40"/>
      <c r="C157" s="54" t="s">
        <v>1600</v>
      </c>
      <c r="D157" s="954"/>
      <c r="E157" s="468"/>
      <c r="F157" s="458"/>
      <c r="G157" s="458"/>
      <c r="H157" s="458">
        <f>J156</f>
        <v>7029.3499859999993</v>
      </c>
      <c r="I157" s="468">
        <f>I6</f>
        <v>0</v>
      </c>
      <c r="J157" s="468">
        <f>ROUND(H157*I157,2)</f>
        <v>0</v>
      </c>
      <c r="K157" s="17"/>
    </row>
    <row r="158" spans="1:11" s="18" customFormat="1" ht="20.2" customHeight="1">
      <c r="A158" s="617"/>
      <c r="B158" s="411"/>
      <c r="C158" s="283" t="s">
        <v>256</v>
      </c>
      <c r="D158" s="955"/>
      <c r="E158" s="469"/>
      <c r="F158" s="460"/>
      <c r="G158" s="460"/>
      <c r="H158" s="460"/>
      <c r="I158" s="469" t="s">
        <v>416</v>
      </c>
      <c r="J158" s="469">
        <f>SUM(J156:J157)</f>
        <v>7029.3499859999993</v>
      </c>
      <c r="K158" s="17"/>
    </row>
    <row r="159" spans="1:11">
      <c r="A159" s="617"/>
      <c r="B159" s="34"/>
      <c r="C159" s="55" t="s">
        <v>1298</v>
      </c>
      <c r="D159" s="954"/>
      <c r="E159" s="468"/>
      <c r="F159" s="462"/>
      <c r="G159" s="462"/>
      <c r="H159" s="462"/>
      <c r="I159" s="471"/>
      <c r="J159" s="471"/>
      <c r="K159" s="31"/>
    </row>
    <row r="160" spans="1:11">
      <c r="A160" s="617"/>
      <c r="B160" s="34"/>
      <c r="C160" s="54" t="s">
        <v>779</v>
      </c>
      <c r="D160" s="951"/>
      <c r="E160" s="471"/>
      <c r="F160" s="462"/>
      <c r="G160" s="462"/>
      <c r="H160" s="462"/>
      <c r="I160" s="471"/>
      <c r="J160" s="471"/>
      <c r="K160" s="31"/>
    </row>
    <row r="161" spans="1:11" ht="20.2" customHeight="1">
      <c r="A161" s="617"/>
      <c r="B161" s="34"/>
      <c r="C161" s="54" t="s">
        <v>780</v>
      </c>
      <c r="D161" s="951">
        <v>2</v>
      </c>
      <c r="E161" s="471">
        <v>2.1</v>
      </c>
      <c r="F161" s="462">
        <v>0.1</v>
      </c>
      <c r="G161" s="462">
        <v>7.4999999999999997E-2</v>
      </c>
      <c r="H161" s="462">
        <f>ROUND(D161*E161*F161*G161,3)</f>
        <v>3.2000000000000001E-2</v>
      </c>
      <c r="I161" s="471">
        <v>25497.19</v>
      </c>
      <c r="J161" s="462">
        <f>ROUND(H161*I161,2)</f>
        <v>815.91</v>
      </c>
      <c r="K161" s="31"/>
    </row>
    <row r="162" spans="1:11" ht="20.2" customHeight="1">
      <c r="A162" s="617"/>
      <c r="B162" s="34"/>
      <c r="C162" s="54" t="s">
        <v>781</v>
      </c>
      <c r="D162" s="951">
        <v>1</v>
      </c>
      <c r="E162" s="471">
        <v>1.35</v>
      </c>
      <c r="F162" s="462">
        <v>0.1</v>
      </c>
      <c r="G162" s="462">
        <v>7.4999999999999997E-2</v>
      </c>
      <c r="H162" s="462">
        <f>ROUND(D162*E162*F162*G162,3)</f>
        <v>0.01</v>
      </c>
      <c r="I162" s="471">
        <v>25497.19</v>
      </c>
      <c r="J162" s="462">
        <f>ROUND(H162*I162,2)</f>
        <v>254.97</v>
      </c>
      <c r="K162" s="31"/>
    </row>
    <row r="163" spans="1:11" ht="20.2" customHeight="1">
      <c r="A163" s="617"/>
      <c r="B163" s="34"/>
      <c r="C163" s="54" t="s">
        <v>1482</v>
      </c>
      <c r="D163" s="951"/>
      <c r="E163" s="471"/>
      <c r="F163" s="462"/>
      <c r="G163" s="462"/>
      <c r="H163" s="462">
        <f>SUM(H161:H162)</f>
        <v>4.2000000000000003E-2</v>
      </c>
      <c r="I163" s="465">
        <f>G25</f>
        <v>15767</v>
      </c>
      <c r="J163" s="462">
        <f>ROUND(H163*I163,2)</f>
        <v>662.21</v>
      </c>
      <c r="K163" s="31"/>
    </row>
    <row r="164" spans="1:11" ht="20.2" customHeight="1">
      <c r="A164" s="617"/>
      <c r="B164" s="34"/>
      <c r="C164" s="54" t="s">
        <v>1484</v>
      </c>
      <c r="D164" s="951" t="s">
        <v>539</v>
      </c>
      <c r="E164" s="471">
        <v>1.2</v>
      </c>
      <c r="F164" s="462"/>
      <c r="G164" s="462">
        <v>2.1</v>
      </c>
      <c r="H164" s="462">
        <f>ROUND(G164*E164*2.25/3,2)</f>
        <v>1.89</v>
      </c>
      <c r="I164" s="698">
        <f>G15</f>
        <v>561.35799999999995</v>
      </c>
      <c r="J164" s="471">
        <f>H164*I164/10</f>
        <v>106.09666199999999</v>
      </c>
      <c r="K164" s="31"/>
    </row>
    <row r="165" spans="1:11" ht="20.2" customHeight="1">
      <c r="A165" s="617"/>
      <c r="B165" s="32"/>
      <c r="C165" s="54" t="s">
        <v>1598</v>
      </c>
      <c r="D165" s="951"/>
      <c r="E165" s="953" t="s">
        <v>1651</v>
      </c>
      <c r="F165" s="462"/>
      <c r="G165" s="462"/>
      <c r="H165" s="948">
        <v>6</v>
      </c>
      <c r="I165" s="471">
        <v>32</v>
      </c>
      <c r="J165" s="471">
        <f>ROUND(H165*I165,2)</f>
        <v>192</v>
      </c>
      <c r="K165" s="31"/>
    </row>
    <row r="166" spans="1:11" ht="20.2" customHeight="1">
      <c r="A166" s="617"/>
      <c r="B166" s="34"/>
      <c r="C166" s="54" t="s">
        <v>230</v>
      </c>
      <c r="D166" s="951"/>
      <c r="E166" s="471"/>
      <c r="F166" s="462"/>
      <c r="G166" s="462"/>
      <c r="H166" s="948">
        <v>1</v>
      </c>
      <c r="I166" s="471">
        <v>50</v>
      </c>
      <c r="J166" s="471">
        <f>H166*I166</f>
        <v>50</v>
      </c>
      <c r="K166" s="31"/>
    </row>
    <row r="167" spans="1:11" ht="20.2" customHeight="1">
      <c r="A167" s="617"/>
      <c r="B167" s="34"/>
      <c r="D167" s="951"/>
      <c r="E167" s="471"/>
      <c r="F167" s="462"/>
      <c r="G167" s="462"/>
      <c r="H167" s="462"/>
      <c r="I167" s="471"/>
      <c r="J167" s="471">
        <f>SUM(J161:J166)</f>
        <v>2081.1866620000001</v>
      </c>
      <c r="K167" s="31"/>
    </row>
    <row r="168" spans="1:11" s="18" customFormat="1" ht="20.2" customHeight="1">
      <c r="A168" s="617"/>
      <c r="B168" s="40"/>
      <c r="C168" s="54" t="s">
        <v>1600</v>
      </c>
      <c r="D168" s="954"/>
      <c r="E168" s="468"/>
      <c r="F168" s="458"/>
      <c r="G168" s="458"/>
      <c r="H168" s="458">
        <f>J167</f>
        <v>2081.1866620000001</v>
      </c>
      <c r="I168" s="468">
        <f>+I6</f>
        <v>0</v>
      </c>
      <c r="J168" s="468">
        <f>ROUND(H168*I168,2)</f>
        <v>0</v>
      </c>
      <c r="K168" s="17"/>
    </row>
    <row r="169" spans="1:11" s="439" customFormat="1" ht="20.2" customHeight="1">
      <c r="A169" s="617" t="s">
        <v>542</v>
      </c>
      <c r="B169" s="411"/>
      <c r="C169" s="283" t="s">
        <v>1299</v>
      </c>
      <c r="D169" s="955"/>
      <c r="E169" s="469"/>
      <c r="F169" s="460"/>
      <c r="G169" s="460"/>
      <c r="H169" s="460"/>
      <c r="I169" s="469" t="s">
        <v>1486</v>
      </c>
      <c r="J169" s="469">
        <f>SUM(J167:J168)</f>
        <v>2081.1866620000001</v>
      </c>
      <c r="K169" s="447"/>
    </row>
    <row r="170" spans="1:11" s="439" customFormat="1" ht="20.2" customHeight="1">
      <c r="A170" s="617"/>
      <c r="B170" s="411"/>
      <c r="C170" s="283" t="s">
        <v>1300</v>
      </c>
      <c r="D170" s="955"/>
      <c r="E170" s="469"/>
      <c r="F170" s="460"/>
      <c r="G170" s="460"/>
      <c r="H170" s="460"/>
      <c r="I170" s="469" t="s">
        <v>1486</v>
      </c>
      <c r="J170" s="469">
        <f>J158-J169</f>
        <v>4948.1633239999992</v>
      </c>
      <c r="K170" s="447"/>
    </row>
    <row r="171" spans="1:11" ht="245.1">
      <c r="A171" s="617"/>
      <c r="B171" s="26">
        <v>6</v>
      </c>
      <c r="C171" s="54" t="s">
        <v>891</v>
      </c>
      <c r="D171" s="951"/>
      <c r="E171" s="471"/>
      <c r="F171" s="462"/>
      <c r="G171" s="462"/>
      <c r="H171" s="462"/>
      <c r="I171" s="471"/>
      <c r="J171" s="471"/>
      <c r="K171" s="31"/>
    </row>
    <row r="172" spans="1:11">
      <c r="A172" s="617"/>
      <c r="B172" s="34"/>
      <c r="C172" s="55" t="s">
        <v>1301</v>
      </c>
      <c r="D172" s="954"/>
      <c r="E172" s="468"/>
      <c r="F172" s="462"/>
      <c r="G172" s="462"/>
      <c r="H172" s="462"/>
      <c r="I172" s="471"/>
      <c r="J172" s="471"/>
      <c r="K172" s="31"/>
    </row>
    <row r="173" spans="1:11">
      <c r="A173" s="617"/>
      <c r="B173" s="34"/>
      <c r="C173" s="54" t="s">
        <v>779</v>
      </c>
      <c r="D173" s="951"/>
      <c r="E173" s="471"/>
      <c r="F173" s="462"/>
      <c r="G173" s="462"/>
      <c r="H173" s="462"/>
      <c r="I173" s="471"/>
      <c r="J173" s="471"/>
      <c r="K173" s="31"/>
    </row>
    <row r="174" spans="1:11" ht="20.2" customHeight="1">
      <c r="A174" s="617"/>
      <c r="B174" s="34"/>
      <c r="C174" s="54" t="s">
        <v>780</v>
      </c>
      <c r="D174" s="951">
        <v>2</v>
      </c>
      <c r="E174" s="471">
        <v>2.1</v>
      </c>
      <c r="F174" s="462">
        <v>0.1</v>
      </c>
      <c r="G174" s="462">
        <v>7.4999999999999997E-2</v>
      </c>
      <c r="H174" s="462">
        <f>ROUND(D174*E174*F174*G174,3)</f>
        <v>3.2000000000000001E-2</v>
      </c>
      <c r="I174" s="471">
        <v>25497.19</v>
      </c>
      <c r="J174" s="471">
        <f t="shared" ref="J174:J179" si="11">ROUND(H174*I174,2)</f>
        <v>815.91</v>
      </c>
      <c r="K174" s="31"/>
    </row>
    <row r="175" spans="1:11" ht="20.2" customHeight="1">
      <c r="A175" s="617"/>
      <c r="B175" s="34"/>
      <c r="C175" s="54" t="s">
        <v>781</v>
      </c>
      <c r="D175" s="951">
        <v>1</v>
      </c>
      <c r="E175" s="471">
        <v>1.65</v>
      </c>
      <c r="F175" s="462">
        <v>0.1</v>
      </c>
      <c r="G175" s="462">
        <v>7.4999999999999997E-2</v>
      </c>
      <c r="H175" s="462">
        <f>ROUND(D175*E175*F175*G175,3)</f>
        <v>1.2E-2</v>
      </c>
      <c r="I175" s="471">
        <v>25497.19</v>
      </c>
      <c r="J175" s="471">
        <f t="shared" si="11"/>
        <v>305.97000000000003</v>
      </c>
      <c r="K175" s="31"/>
    </row>
    <row r="176" spans="1:11" ht="20.2" customHeight="1">
      <c r="A176" s="617"/>
      <c r="B176" s="34"/>
      <c r="C176" s="54" t="s">
        <v>782</v>
      </c>
      <c r="D176" s="951">
        <v>4</v>
      </c>
      <c r="E176" s="471">
        <f>(2.1-1*0.075-0.075)+1*0.015</f>
        <v>1.9649999999999999</v>
      </c>
      <c r="F176" s="462">
        <v>0.1</v>
      </c>
      <c r="G176" s="462">
        <f>1.25*25.4/1000</f>
        <v>3.175E-2</v>
      </c>
      <c r="H176" s="462">
        <f>ROUND(D176*E176*F176*G176,3)</f>
        <v>2.5000000000000001E-2</v>
      </c>
      <c r="I176" s="471">
        <v>31076.9</v>
      </c>
      <c r="J176" s="471">
        <f t="shared" si="11"/>
        <v>776.92</v>
      </c>
      <c r="K176" s="31"/>
    </row>
    <row r="177" spans="1:11" ht="20.2" customHeight="1">
      <c r="A177" s="617"/>
      <c r="B177" s="34"/>
      <c r="C177" s="54" t="s">
        <v>783</v>
      </c>
      <c r="D177" s="951" t="s">
        <v>791</v>
      </c>
      <c r="E177" s="471">
        <f>(1.5-2*0.075+2*0.015)/2</f>
        <v>0.69000000000000006</v>
      </c>
      <c r="F177" s="462">
        <v>0.1</v>
      </c>
      <c r="G177" s="462">
        <f>1.25*25.4/1000</f>
        <v>3.175E-2</v>
      </c>
      <c r="H177" s="462">
        <f>ROUND(12*E177*F177*G177,3)</f>
        <v>2.5999999999999999E-2</v>
      </c>
      <c r="I177" s="471">
        <v>31076.9</v>
      </c>
      <c r="J177" s="471">
        <f t="shared" si="11"/>
        <v>808</v>
      </c>
      <c r="K177" s="31"/>
    </row>
    <row r="178" spans="1:11" ht="20.2" customHeight="1">
      <c r="A178" s="617"/>
      <c r="B178" s="34"/>
      <c r="C178" s="54" t="s">
        <v>1481</v>
      </c>
      <c r="D178" s="951" t="s">
        <v>792</v>
      </c>
      <c r="E178" s="471">
        <f>(1.5-2*0.075+2*0.015)/2-2*0.1+2*0.025</f>
        <v>0.54</v>
      </c>
      <c r="F178" s="462">
        <f>(2.1-2*0.075+1*0.015-6*0.1)/5+2*0.025</f>
        <v>0.32300000000000001</v>
      </c>
      <c r="G178" s="462">
        <v>2.5000000000000001E-2</v>
      </c>
      <c r="H178" s="462">
        <f>ROUND(10*E178*F178*G178,3)</f>
        <v>4.3999999999999997E-2</v>
      </c>
      <c r="I178" s="471">
        <v>31076.9</v>
      </c>
      <c r="J178" s="471">
        <f t="shared" si="11"/>
        <v>1367.38</v>
      </c>
      <c r="K178" s="31"/>
    </row>
    <row r="179" spans="1:11" ht="20.2" customHeight="1">
      <c r="A179" s="617"/>
      <c r="B179" s="34"/>
      <c r="C179" s="54" t="s">
        <v>1482</v>
      </c>
      <c r="D179" s="951"/>
      <c r="E179" s="471"/>
      <c r="F179" s="462"/>
      <c r="G179" s="462"/>
      <c r="H179" s="462">
        <f>SUM(H174:H178)</f>
        <v>0.13900000000000001</v>
      </c>
      <c r="I179" s="465">
        <f>G25</f>
        <v>15767</v>
      </c>
      <c r="J179" s="471">
        <f t="shared" si="11"/>
        <v>2191.61</v>
      </c>
      <c r="K179" s="31"/>
    </row>
    <row r="180" spans="1:11" ht="33.299999999999997">
      <c r="A180" s="617" t="s">
        <v>787</v>
      </c>
      <c r="B180" s="19"/>
      <c r="C180" s="54" t="s">
        <v>788</v>
      </c>
      <c r="D180" s="951"/>
      <c r="E180" s="471"/>
      <c r="F180" s="462"/>
      <c r="G180" s="952"/>
      <c r="H180" s="952"/>
      <c r="I180" s="471"/>
      <c r="J180" s="471"/>
      <c r="K180" s="31"/>
    </row>
    <row r="181" spans="1:11" ht="20.2" customHeight="1">
      <c r="A181" s="617"/>
      <c r="B181" s="19"/>
      <c r="C181" s="693" t="s">
        <v>911</v>
      </c>
      <c r="D181" s="951" t="s">
        <v>1035</v>
      </c>
      <c r="E181" s="471" t="s">
        <v>1617</v>
      </c>
      <c r="F181" s="462"/>
      <c r="G181" s="462"/>
      <c r="H181" s="948">
        <v>2</v>
      </c>
      <c r="I181" s="471">
        <v>68</v>
      </c>
      <c r="J181" s="471">
        <f t="shared" ref="J181:J189" si="12">ROUND(H181*I181,2)</f>
        <v>136</v>
      </c>
      <c r="K181" s="31"/>
    </row>
    <row r="182" spans="1:11" ht="20.2" customHeight="1">
      <c r="A182" s="617"/>
      <c r="B182" s="19"/>
      <c r="C182" s="693" t="s">
        <v>912</v>
      </c>
      <c r="D182" s="951" t="s">
        <v>1035</v>
      </c>
      <c r="E182" s="471" t="s">
        <v>1618</v>
      </c>
      <c r="F182" s="462"/>
      <c r="G182" s="462"/>
      <c r="H182" s="948">
        <v>1</v>
      </c>
      <c r="I182" s="471">
        <v>35</v>
      </c>
      <c r="J182" s="471">
        <f t="shared" si="12"/>
        <v>35</v>
      </c>
      <c r="K182" s="31"/>
    </row>
    <row r="183" spans="1:11" ht="20.2" customHeight="1">
      <c r="A183" s="617"/>
      <c r="B183" s="19"/>
      <c r="C183" s="196" t="s">
        <v>913</v>
      </c>
      <c r="D183" s="951" t="s">
        <v>1035</v>
      </c>
      <c r="E183" s="471" t="s">
        <v>1619</v>
      </c>
      <c r="F183" s="462"/>
      <c r="G183" s="462"/>
      <c r="H183" s="948">
        <v>6</v>
      </c>
      <c r="I183" s="471">
        <v>31</v>
      </c>
      <c r="J183" s="471">
        <f t="shared" si="12"/>
        <v>186</v>
      </c>
      <c r="K183" s="31"/>
    </row>
    <row r="184" spans="1:11" ht="20.2" customHeight="1">
      <c r="A184" s="617"/>
      <c r="B184" s="19"/>
      <c r="C184" s="693" t="s">
        <v>914</v>
      </c>
      <c r="D184" s="951" t="s">
        <v>1035</v>
      </c>
      <c r="E184" s="471" t="s">
        <v>1620</v>
      </c>
      <c r="F184" s="462"/>
      <c r="G184" s="462"/>
      <c r="H184" s="948">
        <v>1</v>
      </c>
      <c r="I184" s="471">
        <v>164</v>
      </c>
      <c r="J184" s="471">
        <f t="shared" si="12"/>
        <v>164</v>
      </c>
      <c r="K184" s="31"/>
    </row>
    <row r="185" spans="1:11" ht="20.2" customHeight="1">
      <c r="A185" s="617"/>
      <c r="B185" s="19"/>
      <c r="C185" s="693" t="s">
        <v>296</v>
      </c>
      <c r="D185" s="951" t="s">
        <v>1035</v>
      </c>
      <c r="E185" s="471" t="s">
        <v>1621</v>
      </c>
      <c r="F185" s="462"/>
      <c r="G185" s="462"/>
      <c r="H185" s="948">
        <v>2</v>
      </c>
      <c r="I185" s="471">
        <v>45</v>
      </c>
      <c r="J185" s="471">
        <f t="shared" si="12"/>
        <v>90</v>
      </c>
      <c r="K185" s="31"/>
    </row>
    <row r="186" spans="1:11" ht="20.2" customHeight="1">
      <c r="A186" s="617"/>
      <c r="B186" s="19"/>
      <c r="C186" s="54" t="s">
        <v>420</v>
      </c>
      <c r="D186" s="951"/>
      <c r="E186" s="471" t="s">
        <v>1622</v>
      </c>
      <c r="F186" s="462"/>
      <c r="G186" s="462"/>
      <c r="H186" s="948">
        <v>3</v>
      </c>
      <c r="I186" s="471">
        <v>31</v>
      </c>
      <c r="J186" s="471">
        <f t="shared" si="12"/>
        <v>93</v>
      </c>
      <c r="K186" s="31"/>
    </row>
    <row r="187" spans="1:11" ht="20.2" customHeight="1">
      <c r="A187" s="617"/>
      <c r="B187" s="19"/>
      <c r="C187" s="693" t="s">
        <v>799</v>
      </c>
      <c r="D187" s="951" t="s">
        <v>882</v>
      </c>
      <c r="E187" s="471" t="s">
        <v>1652</v>
      </c>
      <c r="F187" s="462"/>
      <c r="G187" s="462"/>
      <c r="H187" s="948">
        <v>80</v>
      </c>
      <c r="I187" s="471">
        <v>3</v>
      </c>
      <c r="J187" s="471">
        <f t="shared" si="12"/>
        <v>240</v>
      </c>
      <c r="K187" s="31"/>
    </row>
    <row r="188" spans="1:11" ht="20.2" customHeight="1">
      <c r="A188" s="617"/>
      <c r="B188" s="19"/>
      <c r="C188" s="693" t="s">
        <v>231</v>
      </c>
      <c r="D188" s="951" t="s">
        <v>882</v>
      </c>
      <c r="E188" s="471" t="s">
        <v>1650</v>
      </c>
      <c r="F188" s="462"/>
      <c r="G188" s="462"/>
      <c r="H188" s="948">
        <v>10</v>
      </c>
      <c r="I188" s="471">
        <v>16</v>
      </c>
      <c r="J188" s="471">
        <f t="shared" si="12"/>
        <v>160</v>
      </c>
      <c r="K188" s="31"/>
    </row>
    <row r="189" spans="1:11" ht="20.2" customHeight="1">
      <c r="A189" s="617"/>
      <c r="B189" s="32"/>
      <c r="C189" s="693" t="s">
        <v>1598</v>
      </c>
      <c r="D189" s="951"/>
      <c r="E189" s="953" t="s">
        <v>1651</v>
      </c>
      <c r="F189" s="462"/>
      <c r="G189" s="462"/>
      <c r="H189" s="948">
        <v>6</v>
      </c>
      <c r="I189" s="471">
        <v>32</v>
      </c>
      <c r="J189" s="471">
        <f t="shared" si="12"/>
        <v>192</v>
      </c>
      <c r="K189" s="31"/>
    </row>
    <row r="190" spans="1:11" ht="20.2" customHeight="1">
      <c r="A190" s="617"/>
      <c r="B190" s="34"/>
      <c r="C190" s="54" t="s">
        <v>1484</v>
      </c>
      <c r="D190" s="951">
        <v>2.25</v>
      </c>
      <c r="E190" s="471">
        <v>1.5</v>
      </c>
      <c r="F190" s="462"/>
      <c r="G190" s="471">
        <v>2.1</v>
      </c>
      <c r="H190" s="462">
        <f>ROUND(G190*E190*2.25,2)</f>
        <v>7.09</v>
      </c>
      <c r="I190" s="698">
        <f>G15</f>
        <v>561.35799999999995</v>
      </c>
      <c r="J190" s="471">
        <f>H190*I190/10</f>
        <v>398.00282199999998</v>
      </c>
      <c r="K190" s="31"/>
    </row>
    <row r="191" spans="1:11" ht="20.2" customHeight="1">
      <c r="A191" s="617"/>
      <c r="B191" s="34"/>
      <c r="C191" s="54" t="s">
        <v>230</v>
      </c>
      <c r="D191" s="951"/>
      <c r="E191" s="471"/>
      <c r="F191" s="462"/>
      <c r="G191" s="462"/>
      <c r="H191" s="948">
        <v>1</v>
      </c>
      <c r="I191" s="471">
        <v>100</v>
      </c>
      <c r="J191" s="471">
        <f>H191*I191</f>
        <v>100</v>
      </c>
      <c r="K191" s="31"/>
    </row>
    <row r="192" spans="1:11" ht="20.2" customHeight="1">
      <c r="A192" s="617"/>
      <c r="B192" s="34"/>
      <c r="D192" s="951"/>
      <c r="E192" s="471"/>
      <c r="F192" s="462"/>
      <c r="G192" s="462"/>
      <c r="H192" s="462"/>
      <c r="I192" s="471"/>
      <c r="J192" s="471">
        <f>SUM(J174:J191)</f>
        <v>8059.7928220000013</v>
      </c>
      <c r="K192" s="31"/>
    </row>
    <row r="193" spans="1:18" s="18" customFormat="1" ht="20.2" customHeight="1">
      <c r="A193" s="617"/>
      <c r="B193" s="40"/>
      <c r="C193" s="54" t="s">
        <v>1600</v>
      </c>
      <c r="D193" s="954"/>
      <c r="E193" s="468"/>
      <c r="F193" s="458"/>
      <c r="G193" s="458"/>
      <c r="H193" s="458">
        <f>J192</f>
        <v>8059.7928220000013</v>
      </c>
      <c r="I193" s="468">
        <f>I6</f>
        <v>0</v>
      </c>
      <c r="J193" s="468">
        <f>ROUND(H193*I193,2)</f>
        <v>0</v>
      </c>
      <c r="K193" s="17"/>
    </row>
    <row r="194" spans="1:18" s="439" customFormat="1" ht="20.2" customHeight="1">
      <c r="A194" s="617" t="s">
        <v>1302</v>
      </c>
      <c r="B194" s="411"/>
      <c r="C194" s="413" t="s">
        <v>256</v>
      </c>
      <c r="D194" s="955"/>
      <c r="E194" s="469"/>
      <c r="F194" s="460"/>
      <c r="G194" s="460"/>
      <c r="H194" s="460"/>
      <c r="I194" s="469" t="s">
        <v>416</v>
      </c>
      <c r="J194" s="469">
        <f>SUM(J192:J193)</f>
        <v>8059.7928220000013</v>
      </c>
      <c r="K194" s="447"/>
    </row>
    <row r="195" spans="1:18">
      <c r="A195" s="617"/>
      <c r="B195" s="34"/>
      <c r="C195" s="55" t="s">
        <v>1303</v>
      </c>
      <c r="D195" s="954"/>
      <c r="E195" s="468"/>
      <c r="F195" s="462"/>
      <c r="G195" s="462"/>
      <c r="H195" s="462"/>
      <c r="I195" s="471"/>
      <c r="J195" s="471"/>
      <c r="K195" s="31"/>
    </row>
    <row r="196" spans="1:18">
      <c r="A196" s="617"/>
      <c r="B196" s="34"/>
      <c r="C196" s="54" t="s">
        <v>779</v>
      </c>
      <c r="D196" s="951"/>
      <c r="E196" s="471"/>
      <c r="F196" s="462"/>
      <c r="G196" s="462"/>
      <c r="H196" s="462"/>
      <c r="I196" s="471"/>
      <c r="J196" s="471"/>
      <c r="K196" s="31"/>
    </row>
    <row r="197" spans="1:18" ht="20.2" customHeight="1">
      <c r="A197" s="617"/>
      <c r="B197" s="34"/>
      <c r="C197" s="54" t="s">
        <v>780</v>
      </c>
      <c r="D197" s="951">
        <v>2</v>
      </c>
      <c r="E197" s="471">
        <v>2.1</v>
      </c>
      <c r="F197" s="462">
        <v>0.1</v>
      </c>
      <c r="G197" s="462">
        <v>7.4999999999999997E-2</v>
      </c>
      <c r="H197" s="462">
        <f>ROUND(D197*E197*F197*G197,3)</f>
        <v>3.2000000000000001E-2</v>
      </c>
      <c r="I197" s="471">
        <v>25497.19</v>
      </c>
      <c r="J197" s="471">
        <f>ROUND(H197*I197,2)</f>
        <v>815.91</v>
      </c>
      <c r="K197" s="31"/>
    </row>
    <row r="198" spans="1:18" ht="20.2" customHeight="1">
      <c r="A198" s="617"/>
      <c r="B198" s="34"/>
      <c r="C198" s="54" t="s">
        <v>781</v>
      </c>
      <c r="D198" s="951">
        <v>1</v>
      </c>
      <c r="E198" s="471">
        <v>1.65</v>
      </c>
      <c r="F198" s="462">
        <v>0.1</v>
      </c>
      <c r="G198" s="462">
        <v>7.4999999999999997E-2</v>
      </c>
      <c r="H198" s="462">
        <f>ROUND(D198*E198*F198*G198,3)</f>
        <v>1.2E-2</v>
      </c>
      <c r="I198" s="471">
        <v>25497.19</v>
      </c>
      <c r="J198" s="471">
        <f>ROUND(H198*I198,2)</f>
        <v>305.97000000000003</v>
      </c>
      <c r="K198" s="31"/>
    </row>
    <row r="199" spans="1:18" ht="20.2" customHeight="1">
      <c r="A199" s="617"/>
      <c r="B199" s="34"/>
      <c r="C199" s="54" t="s">
        <v>1482</v>
      </c>
      <c r="D199" s="951"/>
      <c r="E199" s="471"/>
      <c r="F199" s="462"/>
      <c r="G199" s="462"/>
      <c r="H199" s="462">
        <f>SUM(H197:H198)</f>
        <v>4.3999999999999997E-2</v>
      </c>
      <c r="I199" s="465">
        <f>G25</f>
        <v>15767</v>
      </c>
      <c r="J199" s="471">
        <f>ROUND(H199*I199,2)</f>
        <v>693.75</v>
      </c>
      <c r="K199" s="31"/>
    </row>
    <row r="200" spans="1:18" ht="20.2" customHeight="1">
      <c r="A200" s="617"/>
      <c r="B200" s="32"/>
      <c r="C200" s="54" t="s">
        <v>1598</v>
      </c>
      <c r="D200" s="951"/>
      <c r="E200" s="953" t="s">
        <v>1651</v>
      </c>
      <c r="F200" s="462"/>
      <c r="G200" s="462"/>
      <c r="H200" s="948">
        <v>6</v>
      </c>
      <c r="I200" s="471">
        <v>32</v>
      </c>
      <c r="J200" s="471">
        <f>ROUND(H200*I200,2)</f>
        <v>192</v>
      </c>
      <c r="K200" s="31"/>
    </row>
    <row r="201" spans="1:18" ht="20.2" customHeight="1">
      <c r="A201" s="617"/>
      <c r="B201" s="34"/>
      <c r="C201" s="54" t="s">
        <v>1484</v>
      </c>
      <c r="D201" s="951" t="s">
        <v>539</v>
      </c>
      <c r="E201" s="471">
        <v>1.5</v>
      </c>
      <c r="F201" s="462"/>
      <c r="G201" s="471">
        <v>2.1</v>
      </c>
      <c r="H201" s="462">
        <f>ROUND(G201*E201*2.25/3,2)</f>
        <v>2.36</v>
      </c>
      <c r="I201" s="698">
        <f>G15</f>
        <v>561.35799999999995</v>
      </c>
      <c r="J201" s="471">
        <f>H201*I201/10</f>
        <v>132.48048799999998</v>
      </c>
      <c r="K201" s="31"/>
    </row>
    <row r="202" spans="1:18" ht="20.2" customHeight="1">
      <c r="A202" s="617"/>
      <c r="B202" s="34"/>
      <c r="C202" s="54" t="s">
        <v>230</v>
      </c>
      <c r="D202" s="951"/>
      <c r="E202" s="471"/>
      <c r="F202" s="462"/>
      <c r="G202" s="462"/>
      <c r="H202" s="948">
        <v>1</v>
      </c>
      <c r="I202" s="471">
        <v>60</v>
      </c>
      <c r="J202" s="471">
        <f>H202*I202</f>
        <v>60</v>
      </c>
      <c r="K202" s="31"/>
    </row>
    <row r="203" spans="1:18" ht="20.2" customHeight="1">
      <c r="A203" s="617"/>
      <c r="B203" s="34"/>
      <c r="D203" s="951"/>
      <c r="E203" s="471"/>
      <c r="F203" s="462"/>
      <c r="G203" s="462"/>
      <c r="H203" s="462"/>
      <c r="I203" s="471"/>
      <c r="J203" s="471">
        <f>SUM(J197:J202)</f>
        <v>2200.1104880000003</v>
      </c>
      <c r="K203" s="31"/>
    </row>
    <row r="204" spans="1:18" s="18" customFormat="1" ht="20.2" customHeight="1">
      <c r="A204" s="617"/>
      <c r="B204" s="40"/>
      <c r="C204" s="54" t="s">
        <v>1600</v>
      </c>
      <c r="D204" s="954"/>
      <c r="E204" s="468"/>
      <c r="F204" s="458"/>
      <c r="G204" s="458"/>
      <c r="H204" s="458">
        <f>J203</f>
        <v>2200.1104880000003</v>
      </c>
      <c r="I204" s="468">
        <f>I6</f>
        <v>0</v>
      </c>
      <c r="J204" s="468">
        <f>ROUND(H204*I204,2)</f>
        <v>0</v>
      </c>
      <c r="K204" s="17"/>
    </row>
    <row r="205" spans="1:18" s="439" customFormat="1" ht="20.2" customHeight="1">
      <c r="A205" s="617" t="s">
        <v>1302</v>
      </c>
      <c r="B205" s="411"/>
      <c r="C205" s="283" t="s">
        <v>1304</v>
      </c>
      <c r="D205" s="955"/>
      <c r="E205" s="469"/>
      <c r="F205" s="460"/>
      <c r="G205" s="460"/>
      <c r="H205" s="460"/>
      <c r="I205" s="469" t="s">
        <v>1486</v>
      </c>
      <c r="J205" s="469">
        <f>SUM(J203:J204)</f>
        <v>2200.1104880000003</v>
      </c>
      <c r="K205" s="447"/>
    </row>
    <row r="206" spans="1:18" s="439" customFormat="1" ht="20.2" customHeight="1">
      <c r="A206" s="617"/>
      <c r="B206" s="411"/>
      <c r="C206" s="283" t="s">
        <v>1305</v>
      </c>
      <c r="D206" s="955"/>
      <c r="E206" s="469"/>
      <c r="F206" s="460"/>
      <c r="G206" s="460"/>
      <c r="H206" s="460"/>
      <c r="I206" s="469" t="s">
        <v>1486</v>
      </c>
      <c r="J206" s="469">
        <f>J194-J205</f>
        <v>5859.682334000001</v>
      </c>
      <c r="K206" s="447"/>
    </row>
    <row r="207" spans="1:18" ht="116.1">
      <c r="A207" s="617"/>
      <c r="B207" s="966">
        <v>7</v>
      </c>
      <c r="C207" s="55" t="s">
        <v>1259</v>
      </c>
      <c r="D207" s="951"/>
      <c r="E207" s="471"/>
      <c r="F207" s="462"/>
      <c r="G207" s="462"/>
      <c r="H207" s="956"/>
      <c r="I207" s="957"/>
      <c r="J207" s="957"/>
      <c r="K207" s="31"/>
    </row>
    <row r="208" spans="1:18">
      <c r="A208" s="617"/>
      <c r="B208" s="34"/>
      <c r="C208" s="55" t="s">
        <v>1096</v>
      </c>
      <c r="D208" s="951"/>
      <c r="E208" s="471"/>
      <c r="F208" s="462"/>
      <c r="G208" s="462"/>
      <c r="H208" s="462"/>
      <c r="I208" s="471"/>
      <c r="J208" s="471"/>
      <c r="K208" s="55" t="s">
        <v>1775</v>
      </c>
      <c r="L208" s="951"/>
      <c r="M208" s="471"/>
      <c r="N208" s="462"/>
      <c r="O208" s="462"/>
      <c r="P208" s="462"/>
      <c r="Q208" s="471"/>
      <c r="R208" s="471"/>
    </row>
    <row r="209" spans="1:18">
      <c r="A209" s="617"/>
      <c r="B209" s="34"/>
      <c r="C209" s="54" t="s">
        <v>848</v>
      </c>
      <c r="D209" s="951"/>
      <c r="E209" s="471"/>
      <c r="F209" s="462"/>
      <c r="G209" s="462"/>
      <c r="H209" s="462"/>
      <c r="I209" s="471"/>
      <c r="J209" s="471"/>
      <c r="K209" s="54" t="s">
        <v>848</v>
      </c>
      <c r="L209" s="951"/>
      <c r="M209" s="471"/>
      <c r="N209" s="462"/>
      <c r="O209" s="462"/>
      <c r="P209" s="462"/>
      <c r="Q209" s="471"/>
      <c r="R209" s="471"/>
    </row>
    <row r="210" spans="1:18" ht="20.2" customHeight="1">
      <c r="A210" s="617"/>
      <c r="B210" s="34"/>
      <c r="C210" s="54" t="s">
        <v>780</v>
      </c>
      <c r="D210" s="951">
        <v>3</v>
      </c>
      <c r="E210" s="471">
        <v>1.35</v>
      </c>
      <c r="F210" s="462">
        <v>0.1</v>
      </c>
      <c r="G210" s="462">
        <v>7.4999999999999997E-2</v>
      </c>
      <c r="H210" s="462">
        <f>ROUND(D210*E210*F210*G210,3)</f>
        <v>0.03</v>
      </c>
      <c r="I210" s="471">
        <v>25497.19</v>
      </c>
      <c r="J210" s="471">
        <f t="shared" ref="J210:J215" si="13">ROUND(H210*I210,2)</f>
        <v>764.92</v>
      </c>
      <c r="K210" s="54" t="s">
        <v>780</v>
      </c>
      <c r="L210" s="951">
        <v>3</v>
      </c>
      <c r="M210" s="471">
        <v>1.2</v>
      </c>
      <c r="N210" s="462">
        <v>0.1</v>
      </c>
      <c r="O210" s="462">
        <v>7.4999999999999997E-2</v>
      </c>
      <c r="P210" s="462">
        <f>ROUND(L210*M210*N210*O210,3)</f>
        <v>2.7E-2</v>
      </c>
      <c r="Q210" s="471">
        <v>25497.19</v>
      </c>
      <c r="R210" s="471">
        <f t="shared" ref="R210:R215" si="14">ROUND(P210*Q210,2)</f>
        <v>688.42</v>
      </c>
    </row>
    <row r="211" spans="1:18" ht="20.2" customHeight="1">
      <c r="A211" s="617"/>
      <c r="B211" s="34"/>
      <c r="C211" s="54" t="s">
        <v>781</v>
      </c>
      <c r="D211" s="951">
        <v>2</v>
      </c>
      <c r="E211" s="471">
        <v>1.05</v>
      </c>
      <c r="F211" s="462">
        <v>0.1</v>
      </c>
      <c r="G211" s="462">
        <v>7.4999999999999997E-2</v>
      </c>
      <c r="H211" s="462">
        <f>ROUND(D211*E211*F211*G211,3)</f>
        <v>1.6E-2</v>
      </c>
      <c r="I211" s="471">
        <v>25497.19</v>
      </c>
      <c r="J211" s="471">
        <f t="shared" si="13"/>
        <v>407.96</v>
      </c>
      <c r="K211" s="54" t="s">
        <v>781</v>
      </c>
      <c r="L211" s="951">
        <v>2</v>
      </c>
      <c r="M211" s="471">
        <v>1.05</v>
      </c>
      <c r="N211" s="462">
        <v>0.1</v>
      </c>
      <c r="O211" s="462">
        <v>7.4999999999999997E-2</v>
      </c>
      <c r="P211" s="462">
        <f>ROUND(L211*M211*N211*O211,3)</f>
        <v>1.6E-2</v>
      </c>
      <c r="Q211" s="471">
        <v>25497.19</v>
      </c>
      <c r="R211" s="471">
        <f t="shared" si="14"/>
        <v>407.96</v>
      </c>
    </row>
    <row r="212" spans="1:18" ht="20.2" customHeight="1">
      <c r="A212" s="617"/>
      <c r="B212" s="34"/>
      <c r="C212" s="54" t="s">
        <v>782</v>
      </c>
      <c r="D212" s="951" t="s">
        <v>234</v>
      </c>
      <c r="E212" s="472">
        <f>(1.35-2*0.075+2*0.015)</f>
        <v>1.2300000000000002</v>
      </c>
      <c r="F212" s="462">
        <v>7.4999999999999997E-2</v>
      </c>
      <c r="G212" s="462">
        <f>1.25*25.4/1000</f>
        <v>3.175E-2</v>
      </c>
      <c r="H212" s="462">
        <f>ROUND(4*E212*F212*G212,3)</f>
        <v>1.2E-2</v>
      </c>
      <c r="I212" s="471">
        <v>31076.9</v>
      </c>
      <c r="J212" s="471">
        <f t="shared" si="13"/>
        <v>372.92</v>
      </c>
      <c r="K212" s="54" t="s">
        <v>782</v>
      </c>
      <c r="L212" s="951" t="s">
        <v>234</v>
      </c>
      <c r="M212" s="472">
        <f>(1.2-2*0.075+2*0.015)</f>
        <v>1.08</v>
      </c>
      <c r="N212" s="462">
        <v>7.4999999999999997E-2</v>
      </c>
      <c r="O212" s="462">
        <f>1.25*25.4/1000</f>
        <v>3.175E-2</v>
      </c>
      <c r="P212" s="462">
        <f>ROUND(4*M212*N212*O212,3)</f>
        <v>0.01</v>
      </c>
      <c r="Q212" s="471">
        <v>31076.9</v>
      </c>
      <c r="R212" s="471">
        <f t="shared" si="14"/>
        <v>310.77</v>
      </c>
    </row>
    <row r="213" spans="1:18" ht="20.2" customHeight="1">
      <c r="A213" s="617"/>
      <c r="B213" s="34"/>
      <c r="C213" s="54" t="s">
        <v>783</v>
      </c>
      <c r="D213" s="951" t="s">
        <v>235</v>
      </c>
      <c r="E213" s="471">
        <f>(0.9-3*0.075+4*0.015)/2</f>
        <v>0.36750000000000005</v>
      </c>
      <c r="F213" s="462">
        <v>7.4999999999999997E-2</v>
      </c>
      <c r="G213" s="462">
        <f>1.25*25.4/1000</f>
        <v>3.175E-2</v>
      </c>
      <c r="H213" s="462">
        <f>ROUND(6*E213*F213*G213,3)</f>
        <v>5.0000000000000001E-3</v>
      </c>
      <c r="I213" s="471">
        <v>31076.9</v>
      </c>
      <c r="J213" s="471">
        <f t="shared" si="13"/>
        <v>155.38</v>
      </c>
      <c r="K213" s="54" t="s">
        <v>783</v>
      </c>
      <c r="L213" s="951" t="s">
        <v>235</v>
      </c>
      <c r="M213" s="471">
        <f>(0.9-3*0.075+4*0.015)/2</f>
        <v>0.36750000000000005</v>
      </c>
      <c r="N213" s="462">
        <v>7.4999999999999997E-2</v>
      </c>
      <c r="O213" s="462">
        <f>1.25*25.4/1000</f>
        <v>3.175E-2</v>
      </c>
      <c r="P213" s="462">
        <f>ROUND(6*M213*N213*O213,3)</f>
        <v>5.0000000000000001E-3</v>
      </c>
      <c r="Q213" s="471">
        <v>31076.9</v>
      </c>
      <c r="R213" s="471">
        <f t="shared" si="14"/>
        <v>155.38</v>
      </c>
    </row>
    <row r="214" spans="1:18" ht="20.2" customHeight="1">
      <c r="A214" s="617"/>
      <c r="B214" s="34"/>
      <c r="C214" s="54" t="s">
        <v>1481</v>
      </c>
      <c r="D214" s="951" t="s">
        <v>236</v>
      </c>
      <c r="E214" s="471">
        <f>(0.9-3*0.075+4*0.015)/2-2*0.075+2*0.025</f>
        <v>0.26750000000000007</v>
      </c>
      <c r="F214" s="462">
        <f>(1.35-2*0.075+2*0.015-3*0.075)/2+2*0.025</f>
        <v>0.55250000000000021</v>
      </c>
      <c r="G214" s="462">
        <v>2.5000000000000001E-2</v>
      </c>
      <c r="H214" s="462">
        <f>ROUND(4*E214*F214*G214,3)</f>
        <v>1.4999999999999999E-2</v>
      </c>
      <c r="I214" s="471">
        <v>31076.9</v>
      </c>
      <c r="J214" s="471">
        <f t="shared" si="13"/>
        <v>466.15</v>
      </c>
      <c r="K214" s="54" t="s">
        <v>1481</v>
      </c>
      <c r="L214" s="951" t="s">
        <v>236</v>
      </c>
      <c r="M214" s="471">
        <f>(0.9-3*0.075+4*0.015)/2-2*0.075+2*0.025</f>
        <v>0.26750000000000007</v>
      </c>
      <c r="N214" s="462">
        <f>(1.2-2*0.075+2*0.015-3*0.075)/2+2*0.025</f>
        <v>0.47750000000000004</v>
      </c>
      <c r="O214" s="462">
        <v>2.5000000000000001E-2</v>
      </c>
      <c r="P214" s="462">
        <f>ROUND(4*M214*N214*O214,3)</f>
        <v>1.2999999999999999E-2</v>
      </c>
      <c r="Q214" s="471">
        <v>31076.9</v>
      </c>
      <c r="R214" s="471">
        <f t="shared" si="14"/>
        <v>404</v>
      </c>
    </row>
    <row r="215" spans="1:18" ht="20.2" customHeight="1">
      <c r="A215" s="617"/>
      <c r="B215" s="34"/>
      <c r="C215" s="54" t="s">
        <v>1482</v>
      </c>
      <c r="D215" s="951"/>
      <c r="E215" s="471"/>
      <c r="F215" s="462"/>
      <c r="G215" s="462"/>
      <c r="H215" s="462">
        <f>SUM(H210:H214)</f>
        <v>7.8E-2</v>
      </c>
      <c r="I215" s="465">
        <f>G25</f>
        <v>15767</v>
      </c>
      <c r="J215" s="471">
        <f t="shared" si="13"/>
        <v>1229.83</v>
      </c>
      <c r="K215" s="54" t="s">
        <v>1482</v>
      </c>
      <c r="L215" s="951"/>
      <c r="M215" s="471"/>
      <c r="N215" s="462"/>
      <c r="O215" s="462"/>
      <c r="P215" s="462">
        <f>SUM(P210:P214)</f>
        <v>7.0999999999999994E-2</v>
      </c>
      <c r="Q215" s="465">
        <f>I215</f>
        <v>15767</v>
      </c>
      <c r="R215" s="471">
        <f t="shared" si="14"/>
        <v>1119.46</v>
      </c>
    </row>
    <row r="216" spans="1:18" ht="33.299999999999997">
      <c r="A216" s="617" t="s">
        <v>787</v>
      </c>
      <c r="B216" s="19"/>
      <c r="C216" s="54" t="s">
        <v>788</v>
      </c>
      <c r="D216" s="951"/>
      <c r="E216" s="471"/>
      <c r="F216" s="462"/>
      <c r="G216" s="952"/>
      <c r="H216" s="952"/>
      <c r="I216" s="471"/>
      <c r="J216" s="471"/>
      <c r="K216" s="54" t="s">
        <v>788</v>
      </c>
      <c r="L216" s="951"/>
      <c r="M216" s="471"/>
      <c r="N216" s="462"/>
      <c r="O216" s="952"/>
      <c r="P216" s="952"/>
      <c r="Q216" s="471"/>
      <c r="R216" s="471"/>
    </row>
    <row r="217" spans="1:18" ht="20.2" customHeight="1">
      <c r="A217" s="617"/>
      <c r="B217" s="693"/>
      <c r="C217" s="694" t="s">
        <v>915</v>
      </c>
      <c r="D217" s="471" t="s">
        <v>1035</v>
      </c>
      <c r="E217" s="462" t="s">
        <v>1624</v>
      </c>
      <c r="F217" s="462"/>
      <c r="G217" s="462"/>
      <c r="H217" s="948">
        <v>2</v>
      </c>
      <c r="I217" s="471">
        <v>35</v>
      </c>
      <c r="J217" s="471">
        <f t="shared" ref="J217:J222" si="15">ROUND(H217*I217,2)</f>
        <v>70</v>
      </c>
      <c r="K217" s="694" t="s">
        <v>915</v>
      </c>
      <c r="L217" s="471" t="s">
        <v>1035</v>
      </c>
      <c r="M217" s="462" t="s">
        <v>1624</v>
      </c>
      <c r="N217" s="462"/>
      <c r="O217" s="462"/>
      <c r="P217" s="948">
        <v>2</v>
      </c>
      <c r="Q217" s="471">
        <v>38</v>
      </c>
      <c r="R217" s="471">
        <f t="shared" ref="R217:R222" si="16">ROUND(P217*Q217,2)</f>
        <v>76</v>
      </c>
    </row>
    <row r="218" spans="1:18" ht="20.2" customHeight="1">
      <c r="A218" s="617"/>
      <c r="B218" s="693"/>
      <c r="C218" s="31" t="s">
        <v>916</v>
      </c>
      <c r="D218" s="471" t="s">
        <v>1035</v>
      </c>
      <c r="E218" s="462" t="s">
        <v>1624</v>
      </c>
      <c r="F218" s="462"/>
      <c r="G218" s="462"/>
      <c r="H218" s="948">
        <v>2</v>
      </c>
      <c r="I218" s="471">
        <v>35</v>
      </c>
      <c r="J218" s="471">
        <f t="shared" si="15"/>
        <v>70</v>
      </c>
      <c r="K218" s="31" t="s">
        <v>916</v>
      </c>
      <c r="L218" s="471" t="s">
        <v>1035</v>
      </c>
      <c r="M218" s="462" t="s">
        <v>1624</v>
      </c>
      <c r="N218" s="462"/>
      <c r="O218" s="462"/>
      <c r="P218" s="948">
        <v>2</v>
      </c>
      <c r="Q218" s="471">
        <v>38</v>
      </c>
      <c r="R218" s="471">
        <f t="shared" si="16"/>
        <v>76</v>
      </c>
    </row>
    <row r="219" spans="1:18" ht="20.2" customHeight="1">
      <c r="A219" s="617"/>
      <c r="B219" s="693"/>
      <c r="C219" s="946" t="s">
        <v>917</v>
      </c>
      <c r="D219" s="471" t="s">
        <v>1035</v>
      </c>
      <c r="E219" s="462" t="s">
        <v>1625</v>
      </c>
      <c r="F219" s="462"/>
      <c r="G219" s="462"/>
      <c r="H219" s="948">
        <v>4</v>
      </c>
      <c r="I219" s="471">
        <v>21</v>
      </c>
      <c r="J219" s="471">
        <f t="shared" si="15"/>
        <v>84</v>
      </c>
      <c r="K219" s="946" t="s">
        <v>917</v>
      </c>
      <c r="L219" s="471" t="s">
        <v>1035</v>
      </c>
      <c r="M219" s="462" t="s">
        <v>1625</v>
      </c>
      <c r="N219" s="462"/>
      <c r="O219" s="462"/>
      <c r="P219" s="948">
        <v>4</v>
      </c>
      <c r="Q219" s="471">
        <v>26</v>
      </c>
      <c r="R219" s="471">
        <f t="shared" si="16"/>
        <v>104</v>
      </c>
    </row>
    <row r="220" spans="1:18" ht="20.2" customHeight="1">
      <c r="A220" s="617"/>
      <c r="B220" s="693"/>
      <c r="C220" s="694" t="s">
        <v>918</v>
      </c>
      <c r="D220" s="471" t="s">
        <v>1035</v>
      </c>
      <c r="E220" s="462" t="s">
        <v>1626</v>
      </c>
      <c r="F220" s="462"/>
      <c r="G220" s="462"/>
      <c r="H220" s="948">
        <v>2</v>
      </c>
      <c r="I220" s="471">
        <v>213</v>
      </c>
      <c r="J220" s="471">
        <f t="shared" si="15"/>
        <v>426</v>
      </c>
      <c r="K220" s="694" t="s">
        <v>918</v>
      </c>
      <c r="L220" s="471" t="s">
        <v>1035</v>
      </c>
      <c r="M220" s="462" t="s">
        <v>1626</v>
      </c>
      <c r="N220" s="462"/>
      <c r="O220" s="462"/>
      <c r="P220" s="948">
        <v>2</v>
      </c>
      <c r="Q220" s="471">
        <v>107</v>
      </c>
      <c r="R220" s="471">
        <f t="shared" si="16"/>
        <v>214</v>
      </c>
    </row>
    <row r="221" spans="1:18" ht="20.2" customHeight="1">
      <c r="A221" s="617"/>
      <c r="B221" s="693"/>
      <c r="C221" s="694" t="s">
        <v>799</v>
      </c>
      <c r="D221" s="471" t="s">
        <v>882</v>
      </c>
      <c r="E221" s="462" t="s">
        <v>1652</v>
      </c>
      <c r="F221" s="462"/>
      <c r="G221" s="462"/>
      <c r="H221" s="948">
        <v>60</v>
      </c>
      <c r="I221" s="471">
        <v>3</v>
      </c>
      <c r="J221" s="471">
        <f t="shared" si="15"/>
        <v>180</v>
      </c>
      <c r="K221" s="694" t="s">
        <v>799</v>
      </c>
      <c r="L221" s="471" t="s">
        <v>882</v>
      </c>
      <c r="M221" s="462" t="s">
        <v>1652</v>
      </c>
      <c r="N221" s="462"/>
      <c r="O221" s="462"/>
      <c r="P221" s="948">
        <v>60</v>
      </c>
      <c r="Q221" s="471">
        <v>0.89</v>
      </c>
      <c r="R221" s="471">
        <f t="shared" si="16"/>
        <v>53.4</v>
      </c>
    </row>
    <row r="222" spans="1:18" ht="20.2" customHeight="1">
      <c r="A222" s="617"/>
      <c r="B222" s="693"/>
      <c r="C222" s="694" t="s">
        <v>1598</v>
      </c>
      <c r="D222" s="471"/>
      <c r="E222" s="953" t="s">
        <v>1651</v>
      </c>
      <c r="F222" s="462"/>
      <c r="G222" s="462"/>
      <c r="H222" s="948">
        <v>4</v>
      </c>
      <c r="I222" s="471">
        <v>32</v>
      </c>
      <c r="J222" s="471">
        <f t="shared" si="15"/>
        <v>128</v>
      </c>
      <c r="K222" s="694" t="s">
        <v>1598</v>
      </c>
      <c r="L222" s="471"/>
      <c r="M222" s="953" t="s">
        <v>1651</v>
      </c>
      <c r="N222" s="462"/>
      <c r="O222" s="462"/>
      <c r="P222" s="948">
        <v>4</v>
      </c>
      <c r="Q222" s="471">
        <v>35</v>
      </c>
      <c r="R222" s="471">
        <f t="shared" si="16"/>
        <v>140</v>
      </c>
    </row>
    <row r="223" spans="1:18" ht="20.2" customHeight="1">
      <c r="A223" s="617"/>
      <c r="B223" s="693"/>
      <c r="C223" s="694" t="s">
        <v>1484</v>
      </c>
      <c r="D223" s="471">
        <v>2.75</v>
      </c>
      <c r="E223" s="462">
        <v>0.9</v>
      </c>
      <c r="F223" s="462"/>
      <c r="G223" s="471">
        <v>1.35</v>
      </c>
      <c r="H223" s="462">
        <f>ROUND(G223*E223*D223,2)</f>
        <v>3.34</v>
      </c>
      <c r="I223" s="471">
        <f>G15</f>
        <v>561.35799999999995</v>
      </c>
      <c r="J223" s="471">
        <f>ROUND(H223*I223/10,2)</f>
        <v>187.49</v>
      </c>
      <c r="K223" s="694" t="s">
        <v>1484</v>
      </c>
      <c r="L223" s="471">
        <v>2.75</v>
      </c>
      <c r="M223" s="462">
        <v>0.9</v>
      </c>
      <c r="N223" s="462"/>
      <c r="O223" s="471">
        <v>1.35</v>
      </c>
      <c r="P223" s="462">
        <f>ROUND(O223*M223*L223,2)</f>
        <v>3.34</v>
      </c>
      <c r="Q223" s="471">
        <f>I223</f>
        <v>561.35799999999995</v>
      </c>
      <c r="R223" s="471">
        <f>ROUND(P223*Q223/10,2)</f>
        <v>187.49</v>
      </c>
    </row>
    <row r="224" spans="1:18" s="450" customFormat="1" ht="20.2" customHeight="1">
      <c r="A224" s="617"/>
      <c r="B224" s="693"/>
      <c r="C224" s="694" t="s">
        <v>1306</v>
      </c>
      <c r="D224" s="471" t="s">
        <v>246</v>
      </c>
      <c r="E224" s="462">
        <v>0.9</v>
      </c>
      <c r="F224" s="462">
        <f>E224*10</f>
        <v>9</v>
      </c>
      <c r="G224" s="471">
        <v>1.1299999999999999</v>
      </c>
      <c r="H224" s="462">
        <f>G224*F224</f>
        <v>10.169999999999998</v>
      </c>
      <c r="I224" s="471">
        <f>'Lead- Input sheet '!R10/1000</f>
        <v>69.62</v>
      </c>
      <c r="J224" s="471">
        <f>H224*I224</f>
        <v>708.03539999999987</v>
      </c>
      <c r="K224" s="694" t="s">
        <v>1306</v>
      </c>
      <c r="L224" s="471" t="s">
        <v>246</v>
      </c>
      <c r="M224" s="462">
        <v>0.9</v>
      </c>
      <c r="N224" s="462">
        <f>M224*10</f>
        <v>9</v>
      </c>
      <c r="O224" s="471">
        <v>1.1299999999999999</v>
      </c>
      <c r="P224" s="462">
        <f>O224*N224</f>
        <v>10.169999999999998</v>
      </c>
      <c r="Q224" s="471">
        <f>I224</f>
        <v>69.62</v>
      </c>
      <c r="R224" s="471">
        <f>P224*Q224</f>
        <v>708.03539999999987</v>
      </c>
    </row>
    <row r="225" spans="1:18" ht="20.2" customHeight="1">
      <c r="A225" s="617"/>
      <c r="B225" s="693"/>
      <c r="C225" s="694" t="s">
        <v>230</v>
      </c>
      <c r="D225" s="471"/>
      <c r="E225" s="462"/>
      <c r="F225" s="462"/>
      <c r="G225" s="462"/>
      <c r="H225" s="948">
        <v>1</v>
      </c>
      <c r="I225" s="471">
        <v>100</v>
      </c>
      <c r="J225" s="471">
        <f>H225*I225</f>
        <v>100</v>
      </c>
      <c r="K225" s="694" t="s">
        <v>230</v>
      </c>
      <c r="L225" s="471"/>
      <c r="M225" s="462"/>
      <c r="N225" s="462"/>
      <c r="O225" s="462"/>
      <c r="P225" s="948">
        <v>1</v>
      </c>
      <c r="Q225" s="471">
        <v>100</v>
      </c>
      <c r="R225" s="471">
        <f>P225*Q225</f>
        <v>100</v>
      </c>
    </row>
    <row r="226" spans="1:18" ht="20.2" customHeight="1">
      <c r="A226" s="617"/>
      <c r="B226" s="34"/>
      <c r="D226" s="951"/>
      <c r="E226" s="471"/>
      <c r="F226" s="462"/>
      <c r="G226" s="462"/>
      <c r="H226" s="462"/>
      <c r="I226" s="471"/>
      <c r="J226" s="471">
        <f>SUM(J210:J225)</f>
        <v>5350.6853999999994</v>
      </c>
      <c r="K226" s="54"/>
      <c r="L226" s="951"/>
      <c r="M226" s="471"/>
      <c r="N226" s="462"/>
      <c r="O226" s="462"/>
      <c r="P226" s="462"/>
      <c r="Q226" s="471"/>
      <c r="R226" s="471">
        <f>SUM(R210:R225)</f>
        <v>4744.9153999999999</v>
      </c>
    </row>
    <row r="227" spans="1:18" s="18" customFormat="1" ht="20.2" customHeight="1">
      <c r="A227" s="617"/>
      <c r="B227" s="40"/>
      <c r="C227" s="54" t="s">
        <v>1600</v>
      </c>
      <c r="D227" s="954"/>
      <c r="E227" s="468"/>
      <c r="F227" s="458"/>
      <c r="G227" s="458"/>
      <c r="H227" s="458">
        <f>J226</f>
        <v>5350.6853999999994</v>
      </c>
      <c r="I227" s="468">
        <f>I6</f>
        <v>0</v>
      </c>
      <c r="J227" s="468">
        <f>ROUND(H227*I227,2)</f>
        <v>0</v>
      </c>
      <c r="K227" s="54" t="s">
        <v>1600</v>
      </c>
      <c r="L227" s="954"/>
      <c r="M227" s="468"/>
      <c r="N227" s="458"/>
      <c r="O227" s="458"/>
      <c r="P227" s="458">
        <f>R226</f>
        <v>4744.9153999999999</v>
      </c>
      <c r="Q227" s="468">
        <f>Q6</f>
        <v>0</v>
      </c>
      <c r="R227" s="468">
        <f>ROUND(P227*Q227,2)</f>
        <v>0</v>
      </c>
    </row>
    <row r="228" spans="1:18" s="18" customFormat="1" ht="20.2" customHeight="1">
      <c r="A228" s="617"/>
      <c r="B228" s="411"/>
      <c r="C228" s="283" t="s">
        <v>256</v>
      </c>
      <c r="D228" s="955"/>
      <c r="E228" s="469"/>
      <c r="F228" s="460"/>
      <c r="G228" s="460"/>
      <c r="H228" s="460"/>
      <c r="I228" s="469" t="s">
        <v>416</v>
      </c>
      <c r="J228" s="469">
        <f>SUM(J226:J227)</f>
        <v>5350.6853999999994</v>
      </c>
      <c r="K228" s="283" t="s">
        <v>256</v>
      </c>
      <c r="L228" s="955"/>
      <c r="M228" s="469"/>
      <c r="N228" s="460"/>
      <c r="O228" s="460"/>
      <c r="P228" s="460"/>
      <c r="Q228" s="469" t="s">
        <v>416</v>
      </c>
      <c r="R228" s="469">
        <f>SUM(R226:R227)</f>
        <v>4744.9153999999999</v>
      </c>
    </row>
    <row r="229" spans="1:18">
      <c r="A229" s="617"/>
      <c r="B229" s="34"/>
      <c r="C229" s="55" t="s">
        <v>1307</v>
      </c>
      <c r="D229" s="951"/>
      <c r="E229" s="471"/>
      <c r="F229" s="462"/>
      <c r="G229" s="462"/>
      <c r="H229" s="462"/>
      <c r="I229" s="471"/>
      <c r="J229" s="471"/>
      <c r="K229" s="55" t="s">
        <v>1307</v>
      </c>
      <c r="L229" s="951"/>
      <c r="M229" s="471"/>
      <c r="N229" s="462"/>
      <c r="O229" s="462"/>
      <c r="P229" s="462"/>
      <c r="Q229" s="471"/>
      <c r="R229" s="471"/>
    </row>
    <row r="230" spans="1:18">
      <c r="A230" s="617"/>
      <c r="B230" s="34"/>
      <c r="C230" s="54" t="s">
        <v>848</v>
      </c>
      <c r="D230" s="951"/>
      <c r="E230" s="471"/>
      <c r="F230" s="462"/>
      <c r="G230" s="462"/>
      <c r="H230" s="462"/>
      <c r="I230" s="471"/>
      <c r="J230" s="471"/>
      <c r="K230" s="54" t="s">
        <v>848</v>
      </c>
      <c r="L230" s="951"/>
      <c r="M230" s="471"/>
      <c r="N230" s="462"/>
      <c r="O230" s="462"/>
      <c r="P230" s="462"/>
      <c r="Q230" s="471"/>
      <c r="R230" s="471"/>
    </row>
    <row r="231" spans="1:18" ht="20.2" customHeight="1">
      <c r="A231" s="617"/>
      <c r="B231" s="34"/>
      <c r="C231" s="54" t="s">
        <v>780</v>
      </c>
      <c r="D231" s="951">
        <v>3</v>
      </c>
      <c r="E231" s="471">
        <v>1.35</v>
      </c>
      <c r="F231" s="462">
        <v>0.1</v>
      </c>
      <c r="G231" s="462">
        <v>7.4999999999999997E-2</v>
      </c>
      <c r="H231" s="462">
        <f>ROUND(D231*E231*F231*G231,3)</f>
        <v>0.03</v>
      </c>
      <c r="I231" s="471">
        <v>25497.19</v>
      </c>
      <c r="J231" s="471">
        <f>ROUND(H231*I231,2)</f>
        <v>764.92</v>
      </c>
      <c r="K231" s="54" t="s">
        <v>780</v>
      </c>
      <c r="L231" s="951">
        <v>3</v>
      </c>
      <c r="M231" s="471">
        <v>1.2</v>
      </c>
      <c r="N231" s="462">
        <v>0.1</v>
      </c>
      <c r="O231" s="462">
        <v>7.4999999999999997E-2</v>
      </c>
      <c r="P231" s="462">
        <f>ROUND(L231*M231*N231*O231,3)</f>
        <v>2.7E-2</v>
      </c>
      <c r="Q231" s="471">
        <v>25497.19</v>
      </c>
      <c r="R231" s="471">
        <f>ROUND(P231*Q231,2)</f>
        <v>688.42</v>
      </c>
    </row>
    <row r="232" spans="1:18" ht="20.2" customHeight="1">
      <c r="A232" s="617"/>
      <c r="B232" s="34"/>
      <c r="C232" s="54" t="s">
        <v>781</v>
      </c>
      <c r="D232" s="951">
        <v>2</v>
      </c>
      <c r="E232" s="471">
        <v>1.05</v>
      </c>
      <c r="F232" s="462">
        <v>0.1</v>
      </c>
      <c r="G232" s="462">
        <v>7.4999999999999997E-2</v>
      </c>
      <c r="H232" s="462">
        <f>ROUND(D232*E232*F232*G232,3)</f>
        <v>1.6E-2</v>
      </c>
      <c r="I232" s="471">
        <v>25497.19</v>
      </c>
      <c r="J232" s="471">
        <f>ROUND(H232*I232,2)</f>
        <v>407.96</v>
      </c>
      <c r="K232" s="54" t="s">
        <v>781</v>
      </c>
      <c r="L232" s="951">
        <v>2</v>
      </c>
      <c r="M232" s="471">
        <v>1.05</v>
      </c>
      <c r="N232" s="462">
        <v>0.1</v>
      </c>
      <c r="O232" s="462">
        <v>7.4999999999999997E-2</v>
      </c>
      <c r="P232" s="462">
        <f>ROUND(L232*M232*N232*O232,3)</f>
        <v>1.6E-2</v>
      </c>
      <c r="Q232" s="471">
        <v>25497.19</v>
      </c>
      <c r="R232" s="471">
        <f>ROUND(P232*Q232,2)</f>
        <v>407.96</v>
      </c>
    </row>
    <row r="233" spans="1:18" ht="20.2" customHeight="1">
      <c r="A233" s="617"/>
      <c r="B233" s="34"/>
      <c r="C233" s="54" t="s">
        <v>1482</v>
      </c>
      <c r="D233" s="951"/>
      <c r="E233" s="471"/>
      <c r="F233" s="462"/>
      <c r="G233" s="462"/>
      <c r="H233" s="462">
        <f>SUM(H231:H232)</f>
        <v>4.5999999999999999E-2</v>
      </c>
      <c r="I233" s="465">
        <f>G25</f>
        <v>15767</v>
      </c>
      <c r="J233" s="471">
        <f>ROUND(H233*I233,2)</f>
        <v>725.28</v>
      </c>
      <c r="K233" s="54" t="s">
        <v>1482</v>
      </c>
      <c r="L233" s="951"/>
      <c r="M233" s="471"/>
      <c r="N233" s="462"/>
      <c r="O233" s="462"/>
      <c r="P233" s="462">
        <f>SUM(P231:P232)</f>
        <v>4.2999999999999997E-2</v>
      </c>
      <c r="Q233" s="465">
        <f>I233</f>
        <v>15767</v>
      </c>
      <c r="R233" s="471">
        <f>ROUND(P233*Q233,2)</f>
        <v>677.98</v>
      </c>
    </row>
    <row r="234" spans="1:18" ht="33.299999999999997">
      <c r="A234" s="617" t="s">
        <v>787</v>
      </c>
      <c r="B234" s="19"/>
      <c r="C234" s="54" t="s">
        <v>788</v>
      </c>
      <c r="D234" s="951"/>
      <c r="E234" s="471"/>
      <c r="F234" s="462"/>
      <c r="G234" s="952"/>
      <c r="H234" s="952"/>
      <c r="I234" s="471"/>
      <c r="J234" s="471"/>
      <c r="K234" s="54" t="s">
        <v>788</v>
      </c>
      <c r="L234" s="951"/>
      <c r="M234" s="471"/>
      <c r="N234" s="462"/>
      <c r="O234" s="952"/>
      <c r="P234" s="952"/>
      <c r="Q234" s="471"/>
      <c r="R234" s="471"/>
    </row>
    <row r="235" spans="1:18" ht="20.2" customHeight="1">
      <c r="A235" s="617"/>
      <c r="B235" s="32"/>
      <c r="C235" s="54" t="s">
        <v>1598</v>
      </c>
      <c r="D235" s="951"/>
      <c r="E235" s="953" t="s">
        <v>1651</v>
      </c>
      <c r="F235" s="462"/>
      <c r="G235" s="462"/>
      <c r="H235" s="948">
        <v>4</v>
      </c>
      <c r="I235" s="471">
        <v>32</v>
      </c>
      <c r="J235" s="471">
        <f>ROUND(H235*I235,2)</f>
        <v>128</v>
      </c>
      <c r="K235" s="54" t="s">
        <v>1598</v>
      </c>
      <c r="L235" s="951"/>
      <c r="M235" s="953" t="s">
        <v>1651</v>
      </c>
      <c r="N235" s="462"/>
      <c r="O235" s="462"/>
      <c r="P235" s="948">
        <v>4</v>
      </c>
      <c r="Q235" s="471">
        <v>35</v>
      </c>
      <c r="R235" s="471">
        <f>ROUND(P235*Q235,2)</f>
        <v>140</v>
      </c>
    </row>
    <row r="236" spans="1:18" ht="20.2" customHeight="1">
      <c r="A236" s="617"/>
      <c r="B236" s="34"/>
      <c r="C236" s="54" t="s">
        <v>1484</v>
      </c>
      <c r="D236" s="951" t="s">
        <v>544</v>
      </c>
      <c r="E236" s="471">
        <v>0.9</v>
      </c>
      <c r="F236" s="462"/>
      <c r="G236" s="471">
        <v>1.35</v>
      </c>
      <c r="H236" s="462">
        <f>ROUND(G236*E236*2.75/3,2)</f>
        <v>1.1100000000000001</v>
      </c>
      <c r="I236" s="698">
        <f>G15</f>
        <v>561.35799999999995</v>
      </c>
      <c r="J236" s="471">
        <f>ROUND(H236*I236/10,2)</f>
        <v>62.31</v>
      </c>
      <c r="K236" s="54" t="s">
        <v>1484</v>
      </c>
      <c r="L236" s="951" t="s">
        <v>544</v>
      </c>
      <c r="M236" s="471">
        <v>0.9</v>
      </c>
      <c r="N236" s="462"/>
      <c r="O236" s="471">
        <v>1.35</v>
      </c>
      <c r="P236" s="462">
        <f>ROUND(O236*M236*2.75/3,2)</f>
        <v>1.1100000000000001</v>
      </c>
      <c r="Q236" s="698">
        <f>I236</f>
        <v>561.35799999999995</v>
      </c>
      <c r="R236" s="471">
        <f>ROUND(P236*Q236/10,2)</f>
        <v>62.31</v>
      </c>
    </row>
    <row r="237" spans="1:18" s="450" customFormat="1" ht="20.2" customHeight="1">
      <c r="A237" s="617"/>
      <c r="B237" s="693"/>
      <c r="C237" s="694" t="s">
        <v>1306</v>
      </c>
      <c r="D237" s="471" t="s">
        <v>246</v>
      </c>
      <c r="E237" s="462">
        <v>0.9</v>
      </c>
      <c r="F237" s="471">
        <f>E237*10</f>
        <v>9</v>
      </c>
      <c r="G237" s="471">
        <v>1.1299999999999999</v>
      </c>
      <c r="H237" s="462">
        <f>G237*F237</f>
        <v>10.169999999999998</v>
      </c>
      <c r="I237" s="471">
        <f>'Lead- Input sheet '!R10/1000</f>
        <v>69.62</v>
      </c>
      <c r="J237" s="471">
        <f>H237*I237</f>
        <v>708.03539999999987</v>
      </c>
      <c r="K237" s="694" t="s">
        <v>1306</v>
      </c>
      <c r="L237" s="471" t="s">
        <v>246</v>
      </c>
      <c r="M237" s="462">
        <v>0.9</v>
      </c>
      <c r="N237" s="471">
        <f>M237*10</f>
        <v>9</v>
      </c>
      <c r="O237" s="471">
        <v>1.1299999999999999</v>
      </c>
      <c r="P237" s="462">
        <f>O237*N237</f>
        <v>10.169999999999998</v>
      </c>
      <c r="Q237" s="698">
        <f>I237</f>
        <v>69.62</v>
      </c>
      <c r="R237" s="471">
        <f>P237*Q237</f>
        <v>708.03539999999987</v>
      </c>
    </row>
    <row r="238" spans="1:18" ht="20.2" customHeight="1">
      <c r="A238" s="617"/>
      <c r="B238" s="34"/>
      <c r="C238" s="54" t="s">
        <v>230</v>
      </c>
      <c r="D238" s="951"/>
      <c r="E238" s="471"/>
      <c r="F238" s="462"/>
      <c r="G238" s="462"/>
      <c r="H238" s="948">
        <v>1</v>
      </c>
      <c r="I238" s="471">
        <v>50</v>
      </c>
      <c r="J238" s="471">
        <f>ROUND(H238*I238,2)</f>
        <v>50</v>
      </c>
      <c r="K238" s="54" t="s">
        <v>230</v>
      </c>
      <c r="L238" s="951"/>
      <c r="M238" s="471"/>
      <c r="N238" s="462"/>
      <c r="O238" s="462"/>
      <c r="P238" s="948">
        <v>1</v>
      </c>
      <c r="Q238" s="471">
        <v>50</v>
      </c>
      <c r="R238" s="471">
        <f>ROUND(P238*Q238,2)</f>
        <v>50</v>
      </c>
    </row>
    <row r="239" spans="1:18" ht="20.2" customHeight="1">
      <c r="A239" s="617"/>
      <c r="B239" s="34"/>
      <c r="D239" s="951"/>
      <c r="E239" s="471"/>
      <c r="F239" s="462"/>
      <c r="G239" s="462"/>
      <c r="H239" s="462"/>
      <c r="I239" s="471"/>
      <c r="J239" s="471">
        <f>SUM(J231:J238)</f>
        <v>2846.5053999999996</v>
      </c>
      <c r="K239" s="54"/>
      <c r="L239" s="951"/>
      <c r="M239" s="471"/>
      <c r="N239" s="462"/>
      <c r="O239" s="462"/>
      <c r="P239" s="462"/>
      <c r="Q239" s="471"/>
      <c r="R239" s="471">
        <f>SUM(R231:R238)</f>
        <v>2734.7053999999998</v>
      </c>
    </row>
    <row r="240" spans="1:18" s="18" customFormat="1" ht="20.2" customHeight="1">
      <c r="A240" s="617"/>
      <c r="B240" s="40"/>
      <c r="C240" s="54" t="s">
        <v>1600</v>
      </c>
      <c r="D240" s="954"/>
      <c r="E240" s="468"/>
      <c r="F240" s="458"/>
      <c r="G240" s="458"/>
      <c r="H240" s="458">
        <f>J239</f>
        <v>2846.5053999999996</v>
      </c>
      <c r="I240" s="468">
        <f>I6</f>
        <v>0</v>
      </c>
      <c r="J240" s="471">
        <f>ROUND(H240*I240,2)</f>
        <v>0</v>
      </c>
      <c r="K240" s="54" t="s">
        <v>1600</v>
      </c>
      <c r="L240" s="954"/>
      <c r="M240" s="468"/>
      <c r="N240" s="458"/>
      <c r="O240" s="458"/>
      <c r="P240" s="458">
        <f>R239</f>
        <v>2734.7053999999998</v>
      </c>
      <c r="Q240" s="468">
        <f>Q6</f>
        <v>0</v>
      </c>
      <c r="R240" s="471">
        <f>ROUND(P240*Q240,2)</f>
        <v>0</v>
      </c>
    </row>
    <row r="241" spans="1:18" s="439" customFormat="1" ht="20.2" customHeight="1">
      <c r="A241" s="617"/>
      <c r="B241" s="411"/>
      <c r="C241" s="448" t="s">
        <v>1308</v>
      </c>
      <c r="D241" s="955"/>
      <c r="E241" s="469"/>
      <c r="F241" s="460"/>
      <c r="G241" s="460"/>
      <c r="H241" s="460"/>
      <c r="I241" s="469" t="s">
        <v>416</v>
      </c>
      <c r="J241" s="469">
        <f>SUM(J239:J240)</f>
        <v>2846.5053999999996</v>
      </c>
      <c r="K241" s="448" t="s">
        <v>1308</v>
      </c>
      <c r="L241" s="955"/>
      <c r="M241" s="469"/>
      <c r="N241" s="460"/>
      <c r="O241" s="460"/>
      <c r="P241" s="460"/>
      <c r="Q241" s="469" t="s">
        <v>416</v>
      </c>
      <c r="R241" s="469">
        <f>SUM(R239:R240)</f>
        <v>2734.7053999999998</v>
      </c>
    </row>
    <row r="242" spans="1:18" s="439" customFormat="1" ht="20.2" customHeight="1">
      <c r="A242" s="617"/>
      <c r="B242" s="411"/>
      <c r="C242" s="448" t="s">
        <v>1309</v>
      </c>
      <c r="D242" s="955"/>
      <c r="E242" s="469"/>
      <c r="F242" s="460"/>
      <c r="G242" s="460"/>
      <c r="H242" s="460"/>
      <c r="I242" s="469" t="s">
        <v>416</v>
      </c>
      <c r="J242" s="469">
        <f>J228-J241</f>
        <v>2504.1799999999998</v>
      </c>
      <c r="K242" s="448" t="s">
        <v>1309</v>
      </c>
      <c r="L242" s="955"/>
      <c r="M242" s="469"/>
      <c r="N242" s="460"/>
      <c r="O242" s="460"/>
      <c r="P242" s="460"/>
      <c r="Q242" s="469" t="s">
        <v>416</v>
      </c>
      <c r="R242" s="469">
        <f>R228-R241</f>
        <v>2010.21</v>
      </c>
    </row>
    <row r="243" spans="1:18" ht="116.1">
      <c r="A243" s="617"/>
      <c r="B243" s="26">
        <v>8</v>
      </c>
      <c r="C243" s="55" t="s">
        <v>549</v>
      </c>
      <c r="D243" s="951"/>
      <c r="E243" s="471"/>
      <c r="F243" s="462"/>
      <c r="G243" s="462"/>
      <c r="H243" s="462"/>
      <c r="I243" s="471"/>
      <c r="J243" s="471"/>
      <c r="K243" s="31"/>
    </row>
    <row r="244" spans="1:18">
      <c r="A244" s="617"/>
      <c r="B244" s="34"/>
      <c r="C244" s="55" t="s">
        <v>1310</v>
      </c>
      <c r="D244" s="951"/>
      <c r="E244" s="471"/>
      <c r="F244" s="462"/>
      <c r="G244" s="462"/>
      <c r="H244" s="462"/>
      <c r="I244" s="471"/>
      <c r="J244" s="471"/>
      <c r="K244" s="55" t="s">
        <v>1859</v>
      </c>
      <c r="L244" s="951"/>
      <c r="M244" s="471"/>
      <c r="N244" s="462"/>
      <c r="O244" s="462"/>
      <c r="P244" s="462"/>
      <c r="Q244" s="471"/>
      <c r="R244" s="471"/>
    </row>
    <row r="245" spans="1:18">
      <c r="A245" s="617"/>
      <c r="B245" s="34"/>
      <c r="C245" s="54" t="s">
        <v>848</v>
      </c>
      <c r="D245" s="951"/>
      <c r="E245" s="471"/>
      <c r="F245" s="462"/>
      <c r="G245" s="462"/>
      <c r="H245" s="462"/>
      <c r="I245" s="471"/>
      <c r="J245" s="471"/>
      <c r="K245" s="54" t="s">
        <v>848</v>
      </c>
      <c r="L245" s="951"/>
      <c r="M245" s="471"/>
      <c r="N245" s="462"/>
      <c r="O245" s="462"/>
      <c r="P245" s="462"/>
      <c r="Q245" s="471"/>
      <c r="R245" s="471"/>
    </row>
    <row r="246" spans="1:18" ht="20.2" customHeight="1">
      <c r="A246" s="617"/>
      <c r="B246" s="34"/>
      <c r="C246" s="54" t="s">
        <v>780</v>
      </c>
      <c r="D246" s="951">
        <v>4</v>
      </c>
      <c r="E246" s="471">
        <v>1.35</v>
      </c>
      <c r="F246" s="462">
        <v>0.1</v>
      </c>
      <c r="G246" s="462">
        <v>7.4999999999999997E-2</v>
      </c>
      <c r="H246" s="462">
        <f>ROUND(D246*E246*F246*G246,3)</f>
        <v>4.1000000000000002E-2</v>
      </c>
      <c r="I246" s="471">
        <v>25497.19</v>
      </c>
      <c r="J246" s="471">
        <f t="shared" ref="J246:J251" si="17">ROUND(H246*I246,2)</f>
        <v>1045.3800000000001</v>
      </c>
      <c r="K246" s="54" t="s">
        <v>780</v>
      </c>
      <c r="L246" s="951">
        <v>4</v>
      </c>
      <c r="M246" s="471">
        <v>1.2</v>
      </c>
      <c r="N246" s="462">
        <v>0.1</v>
      </c>
      <c r="O246" s="462">
        <v>7.4999999999999997E-2</v>
      </c>
      <c r="P246" s="462">
        <f>ROUND(L246*M246*N246*O246,3)</f>
        <v>3.5999999999999997E-2</v>
      </c>
      <c r="Q246" s="471">
        <v>25497.19</v>
      </c>
      <c r="R246" s="471">
        <f t="shared" ref="R246:R251" si="18">ROUND(P246*Q246,2)</f>
        <v>917.9</v>
      </c>
    </row>
    <row r="247" spans="1:18" ht="20.2" customHeight="1">
      <c r="A247" s="617"/>
      <c r="B247" s="34"/>
      <c r="C247" s="54" t="s">
        <v>781</v>
      </c>
      <c r="D247" s="951">
        <v>2</v>
      </c>
      <c r="E247" s="471">
        <v>1.35</v>
      </c>
      <c r="F247" s="462">
        <v>0.1</v>
      </c>
      <c r="G247" s="462">
        <v>7.4999999999999997E-2</v>
      </c>
      <c r="H247" s="462">
        <f>ROUND(D247*E247*F247*G247,3)</f>
        <v>0.02</v>
      </c>
      <c r="I247" s="471">
        <v>25497.19</v>
      </c>
      <c r="J247" s="471">
        <f t="shared" si="17"/>
        <v>509.94</v>
      </c>
      <c r="K247" s="54" t="s">
        <v>781</v>
      </c>
      <c r="L247" s="951">
        <v>2</v>
      </c>
      <c r="M247" s="471">
        <v>1.2</v>
      </c>
      <c r="N247" s="462">
        <v>0.1</v>
      </c>
      <c r="O247" s="462">
        <v>7.4999999999999997E-2</v>
      </c>
      <c r="P247" s="462">
        <f>ROUND(L247*M247*N247*O247,3)</f>
        <v>1.7999999999999999E-2</v>
      </c>
      <c r="Q247" s="471">
        <v>25497.19</v>
      </c>
      <c r="R247" s="471">
        <f t="shared" si="18"/>
        <v>458.95</v>
      </c>
    </row>
    <row r="248" spans="1:18" ht="20.2" customHeight="1">
      <c r="A248" s="617"/>
      <c r="B248" s="34"/>
      <c r="C248" s="54" t="s">
        <v>782</v>
      </c>
      <c r="D248" s="951" t="s">
        <v>243</v>
      </c>
      <c r="E248" s="472">
        <f>(1.35-2*0.075+2*0.015)</f>
        <v>1.2300000000000002</v>
      </c>
      <c r="F248" s="462">
        <v>7.4999999999999997E-2</v>
      </c>
      <c r="G248" s="462">
        <f>1.25*25.4/1000</f>
        <v>3.175E-2</v>
      </c>
      <c r="H248" s="462">
        <f>ROUND(6*E248*F248*G248,3)</f>
        <v>1.7999999999999999E-2</v>
      </c>
      <c r="I248" s="471">
        <v>31076.9</v>
      </c>
      <c r="J248" s="471">
        <f t="shared" si="17"/>
        <v>559.38</v>
      </c>
      <c r="K248" s="54" t="s">
        <v>782</v>
      </c>
      <c r="L248" s="951" t="s">
        <v>243</v>
      </c>
      <c r="M248" s="472">
        <f>(1.2-2*0.075+2*0.015)</f>
        <v>1.08</v>
      </c>
      <c r="N248" s="462">
        <v>7.4999999999999997E-2</v>
      </c>
      <c r="O248" s="462">
        <f>1.25*25.4/1000</f>
        <v>3.175E-2</v>
      </c>
      <c r="P248" s="462">
        <f>ROUND(6*M248*N248*O248,3)</f>
        <v>1.4999999999999999E-2</v>
      </c>
      <c r="Q248" s="471">
        <v>31076.9</v>
      </c>
      <c r="R248" s="471">
        <f t="shared" si="18"/>
        <v>466.15</v>
      </c>
    </row>
    <row r="249" spans="1:18" ht="20.2" customHeight="1">
      <c r="A249" s="617"/>
      <c r="B249" s="34"/>
      <c r="C249" s="54" t="s">
        <v>783</v>
      </c>
      <c r="D249" s="951" t="s">
        <v>244</v>
      </c>
      <c r="E249" s="471">
        <f>(1.2-3*0.075+4*0.015)/2</f>
        <v>0.51749999999999996</v>
      </c>
      <c r="F249" s="462">
        <v>7.4999999999999997E-2</v>
      </c>
      <c r="G249" s="462">
        <f>1.25*25.4/1000</f>
        <v>3.175E-2</v>
      </c>
      <c r="H249" s="462">
        <f>ROUND(9*E249*F249*G249,3)</f>
        <v>1.0999999999999999E-2</v>
      </c>
      <c r="I249" s="471">
        <v>31076.9</v>
      </c>
      <c r="J249" s="471">
        <f t="shared" si="17"/>
        <v>341.85</v>
      </c>
      <c r="K249" s="54" t="s">
        <v>783</v>
      </c>
      <c r="L249" s="951" t="s">
        <v>244</v>
      </c>
      <c r="M249" s="471">
        <f>(1.2-3*0.075+4*0.015)/2</f>
        <v>0.51749999999999996</v>
      </c>
      <c r="N249" s="462">
        <v>7.4999999999999997E-2</v>
      </c>
      <c r="O249" s="462">
        <f>1.25*25.4/1000</f>
        <v>3.175E-2</v>
      </c>
      <c r="P249" s="462">
        <f>ROUND(9*M249*N249*O249,3)</f>
        <v>1.0999999999999999E-2</v>
      </c>
      <c r="Q249" s="471">
        <v>31076.9</v>
      </c>
      <c r="R249" s="471">
        <f t="shared" si="18"/>
        <v>341.85</v>
      </c>
    </row>
    <row r="250" spans="1:18" ht="20.2" customHeight="1">
      <c r="A250" s="617"/>
      <c r="B250" s="34"/>
      <c r="C250" s="54" t="s">
        <v>1481</v>
      </c>
      <c r="D250" s="951" t="s">
        <v>245</v>
      </c>
      <c r="E250" s="471">
        <f>(1.2-4*0.075+6*0.015)/3-2*0.075+2*0.025</f>
        <v>0.22999999999999998</v>
      </c>
      <c r="F250" s="462">
        <f>(1.35-2*0.075+2*0.015-3*0.075)/2+2*0.025</f>
        <v>0.55250000000000021</v>
      </c>
      <c r="G250" s="462">
        <v>2.5000000000000001E-2</v>
      </c>
      <c r="H250" s="462">
        <f>ROUND(6*E250*F250*G250,3)</f>
        <v>1.9E-2</v>
      </c>
      <c r="I250" s="471">
        <v>31076.9</v>
      </c>
      <c r="J250" s="471">
        <f t="shared" si="17"/>
        <v>590.46</v>
      </c>
      <c r="K250" s="54" t="s">
        <v>1481</v>
      </c>
      <c r="L250" s="951" t="s">
        <v>245</v>
      </c>
      <c r="M250" s="471">
        <f>(1.2-4*0.075+6*0.015)/3-2*0.075+2*0.025</f>
        <v>0.22999999999999998</v>
      </c>
      <c r="N250" s="462">
        <f>(1.2-2*0.075+2*0.015-3*0.075)/2+2*0.025</f>
        <v>0.47750000000000004</v>
      </c>
      <c r="O250" s="462">
        <v>2.5000000000000001E-2</v>
      </c>
      <c r="P250" s="462">
        <f>ROUND(6*M250*N250*O250,3)</f>
        <v>1.6E-2</v>
      </c>
      <c r="Q250" s="471">
        <v>31076.9</v>
      </c>
      <c r="R250" s="471">
        <f t="shared" si="18"/>
        <v>497.23</v>
      </c>
    </row>
    <row r="251" spans="1:18" ht="20.2" customHeight="1">
      <c r="A251" s="617"/>
      <c r="B251" s="34"/>
      <c r="C251" s="54" t="s">
        <v>1482</v>
      </c>
      <c r="D251" s="951"/>
      <c r="E251" s="471"/>
      <c r="F251" s="462"/>
      <c r="G251" s="462"/>
      <c r="H251" s="462">
        <f>SUM(H246:H250)</f>
        <v>0.109</v>
      </c>
      <c r="I251" s="465">
        <f>G25</f>
        <v>15767</v>
      </c>
      <c r="J251" s="471">
        <f t="shared" si="17"/>
        <v>1718.6</v>
      </c>
      <c r="K251" s="54" t="s">
        <v>1482</v>
      </c>
      <c r="L251" s="951"/>
      <c r="M251" s="471"/>
      <c r="N251" s="462"/>
      <c r="O251" s="462"/>
      <c r="P251" s="462">
        <f>SUM(P246:P250)</f>
        <v>9.5999999999999988E-2</v>
      </c>
      <c r="Q251" s="465">
        <f>I251</f>
        <v>15767</v>
      </c>
      <c r="R251" s="471">
        <f t="shared" si="18"/>
        <v>1513.63</v>
      </c>
    </row>
    <row r="252" spans="1:18" ht="33.299999999999997">
      <c r="A252" s="617" t="s">
        <v>787</v>
      </c>
      <c r="B252" s="19"/>
      <c r="C252" s="54" t="s">
        <v>788</v>
      </c>
      <c r="D252" s="951"/>
      <c r="E252" s="471"/>
      <c r="F252" s="462"/>
      <c r="G252" s="952"/>
      <c r="H252" s="952"/>
      <c r="I252" s="471"/>
      <c r="J252" s="471"/>
      <c r="K252" s="54" t="s">
        <v>788</v>
      </c>
      <c r="L252" s="951"/>
      <c r="M252" s="471"/>
      <c r="N252" s="462"/>
      <c r="O252" s="952"/>
      <c r="P252" s="952"/>
      <c r="Q252" s="471"/>
      <c r="R252" s="471"/>
    </row>
    <row r="253" spans="1:18" ht="20.2" customHeight="1">
      <c r="A253" s="617"/>
      <c r="B253" s="693"/>
      <c r="C253" s="694" t="s">
        <v>915</v>
      </c>
      <c r="D253" s="471" t="s">
        <v>1035</v>
      </c>
      <c r="E253" s="462" t="s">
        <v>1624</v>
      </c>
      <c r="F253" s="462"/>
      <c r="G253" s="462"/>
      <c r="H253" s="948">
        <v>3</v>
      </c>
      <c r="I253" s="471">
        <v>35</v>
      </c>
      <c r="J253" s="471">
        <f t="shared" ref="J253:J258" si="19">ROUND(H253*I253,2)</f>
        <v>105</v>
      </c>
      <c r="K253" s="694" t="s">
        <v>915</v>
      </c>
      <c r="L253" s="471" t="s">
        <v>1035</v>
      </c>
      <c r="M253" s="462" t="s">
        <v>1624</v>
      </c>
      <c r="N253" s="462"/>
      <c r="O253" s="462"/>
      <c r="P253" s="948">
        <v>3</v>
      </c>
      <c r="Q253" s="471">
        <v>35</v>
      </c>
      <c r="R253" s="471">
        <f t="shared" ref="R253:R258" si="20">ROUND(P253*Q253,2)</f>
        <v>105</v>
      </c>
    </row>
    <row r="254" spans="1:18" ht="20.2" customHeight="1">
      <c r="A254" s="617"/>
      <c r="B254" s="693"/>
      <c r="C254" s="31" t="s">
        <v>916</v>
      </c>
      <c r="D254" s="471" t="s">
        <v>1035</v>
      </c>
      <c r="E254" s="462" t="s">
        <v>1624</v>
      </c>
      <c r="F254" s="462"/>
      <c r="G254" s="462"/>
      <c r="H254" s="948">
        <v>3</v>
      </c>
      <c r="I254" s="471">
        <v>35</v>
      </c>
      <c r="J254" s="471">
        <f t="shared" si="19"/>
        <v>105</v>
      </c>
      <c r="K254" s="31" t="s">
        <v>916</v>
      </c>
      <c r="L254" s="471" t="s">
        <v>1035</v>
      </c>
      <c r="M254" s="462" t="s">
        <v>1624</v>
      </c>
      <c r="N254" s="462"/>
      <c r="O254" s="462"/>
      <c r="P254" s="948">
        <v>3</v>
      </c>
      <c r="Q254" s="471">
        <v>35</v>
      </c>
      <c r="R254" s="471">
        <f t="shared" si="20"/>
        <v>105</v>
      </c>
    </row>
    <row r="255" spans="1:18" ht="20.2" customHeight="1">
      <c r="A255" s="617"/>
      <c r="B255" s="693"/>
      <c r="C255" s="946" t="s">
        <v>917</v>
      </c>
      <c r="D255" s="471" t="s">
        <v>1035</v>
      </c>
      <c r="E255" s="462" t="s">
        <v>1625</v>
      </c>
      <c r="F255" s="462"/>
      <c r="G255" s="462"/>
      <c r="H255" s="948">
        <v>6</v>
      </c>
      <c r="I255" s="471">
        <v>21</v>
      </c>
      <c r="J255" s="471">
        <f t="shared" si="19"/>
        <v>126</v>
      </c>
      <c r="K255" s="946" t="s">
        <v>917</v>
      </c>
      <c r="L255" s="471" t="s">
        <v>1035</v>
      </c>
      <c r="M255" s="462" t="s">
        <v>1625</v>
      </c>
      <c r="N255" s="462"/>
      <c r="O255" s="462"/>
      <c r="P255" s="948">
        <v>6</v>
      </c>
      <c r="Q255" s="471">
        <v>21</v>
      </c>
      <c r="R255" s="471">
        <f t="shared" si="20"/>
        <v>126</v>
      </c>
    </row>
    <row r="256" spans="1:18" ht="20.2" customHeight="1">
      <c r="A256" s="617"/>
      <c r="B256" s="693"/>
      <c r="C256" s="694" t="s">
        <v>918</v>
      </c>
      <c r="D256" s="471" t="s">
        <v>1035</v>
      </c>
      <c r="E256" s="462" t="s">
        <v>1626</v>
      </c>
      <c r="F256" s="462"/>
      <c r="G256" s="462"/>
      <c r="H256" s="948">
        <v>3</v>
      </c>
      <c r="I256" s="471">
        <v>213</v>
      </c>
      <c r="J256" s="471">
        <f t="shared" si="19"/>
        <v>639</v>
      </c>
      <c r="K256" s="694" t="s">
        <v>918</v>
      </c>
      <c r="L256" s="471" t="s">
        <v>1035</v>
      </c>
      <c r="M256" s="462" t="s">
        <v>1626</v>
      </c>
      <c r="N256" s="462"/>
      <c r="O256" s="462"/>
      <c r="P256" s="948">
        <v>3</v>
      </c>
      <c r="Q256" s="471">
        <v>213</v>
      </c>
      <c r="R256" s="471">
        <f t="shared" si="20"/>
        <v>639</v>
      </c>
    </row>
    <row r="257" spans="1:18" ht="20.2" customHeight="1">
      <c r="A257" s="617"/>
      <c r="B257" s="693"/>
      <c r="C257" s="694" t="s">
        <v>799</v>
      </c>
      <c r="D257" s="471" t="s">
        <v>882</v>
      </c>
      <c r="E257" s="462" t="s">
        <v>1652</v>
      </c>
      <c r="F257" s="462"/>
      <c r="G257" s="462"/>
      <c r="H257" s="948">
        <v>90</v>
      </c>
      <c r="I257" s="471">
        <v>3</v>
      </c>
      <c r="J257" s="471">
        <f t="shared" si="19"/>
        <v>270</v>
      </c>
      <c r="K257" s="694" t="s">
        <v>799</v>
      </c>
      <c r="L257" s="471" t="s">
        <v>882</v>
      </c>
      <c r="M257" s="462" t="s">
        <v>1652</v>
      </c>
      <c r="N257" s="462"/>
      <c r="O257" s="462"/>
      <c r="P257" s="948">
        <v>90</v>
      </c>
      <c r="Q257" s="471">
        <v>3</v>
      </c>
      <c r="R257" s="471">
        <f t="shared" si="20"/>
        <v>270</v>
      </c>
    </row>
    <row r="258" spans="1:18" ht="20.2" customHeight="1">
      <c r="A258" s="617"/>
      <c r="B258" s="693"/>
      <c r="C258" s="694" t="s">
        <v>1598</v>
      </c>
      <c r="D258" s="471"/>
      <c r="E258" s="953" t="s">
        <v>1651</v>
      </c>
      <c r="F258" s="462"/>
      <c r="G258" s="462"/>
      <c r="H258" s="948">
        <v>4</v>
      </c>
      <c r="I258" s="471">
        <v>32</v>
      </c>
      <c r="J258" s="471">
        <f t="shared" si="19"/>
        <v>128</v>
      </c>
      <c r="K258" s="694" t="s">
        <v>1598</v>
      </c>
      <c r="L258" s="471"/>
      <c r="M258" s="953" t="s">
        <v>1651</v>
      </c>
      <c r="N258" s="462"/>
      <c r="O258" s="462"/>
      <c r="P258" s="948">
        <v>4</v>
      </c>
      <c r="Q258" s="471">
        <v>32</v>
      </c>
      <c r="R258" s="471">
        <f t="shared" si="20"/>
        <v>128</v>
      </c>
    </row>
    <row r="259" spans="1:18" ht="20.2" customHeight="1">
      <c r="A259" s="617"/>
      <c r="B259" s="34"/>
      <c r="C259" s="54" t="s">
        <v>1484</v>
      </c>
      <c r="D259" s="951">
        <v>2.75</v>
      </c>
      <c r="E259" s="471">
        <v>1.2</v>
      </c>
      <c r="F259" s="462"/>
      <c r="G259" s="471">
        <v>1.35</v>
      </c>
      <c r="H259" s="462">
        <f>ROUND(G259*E259*D259,2)</f>
        <v>4.46</v>
      </c>
      <c r="I259" s="698">
        <f>G15</f>
        <v>561.35799999999995</v>
      </c>
      <c r="J259" s="471">
        <f>ROUND(H259*I259/10,2)</f>
        <v>250.37</v>
      </c>
      <c r="K259" s="54" t="s">
        <v>1484</v>
      </c>
      <c r="L259" s="951">
        <v>2.75</v>
      </c>
      <c r="M259" s="471">
        <v>1.2</v>
      </c>
      <c r="N259" s="462"/>
      <c r="O259" s="471">
        <v>1.2</v>
      </c>
      <c r="P259" s="462">
        <f>ROUND(O259*M259*L259,2)</f>
        <v>3.96</v>
      </c>
      <c r="Q259" s="698">
        <f>I259</f>
        <v>561.35799999999995</v>
      </c>
      <c r="R259" s="471">
        <f>ROUND(P259*Q259/10,2)</f>
        <v>222.3</v>
      </c>
    </row>
    <row r="260" spans="1:18" ht="20.2" customHeight="1">
      <c r="A260" s="617"/>
      <c r="B260" s="34"/>
      <c r="C260" s="451" t="s">
        <v>1306</v>
      </c>
      <c r="D260" s="951" t="s">
        <v>246</v>
      </c>
      <c r="E260" s="471">
        <v>1.2</v>
      </c>
      <c r="F260" s="462">
        <f>E260*10</f>
        <v>12</v>
      </c>
      <c r="G260" s="471">
        <v>1.1299999999999999</v>
      </c>
      <c r="H260" s="462">
        <f>G260*F260</f>
        <v>13.559999999999999</v>
      </c>
      <c r="I260" s="465">
        <f>'Lead- Input sheet '!R10/1000</f>
        <v>69.62</v>
      </c>
      <c r="J260" s="471">
        <f>H260*I260</f>
        <v>944.04719999999998</v>
      </c>
      <c r="K260" s="451" t="s">
        <v>1306</v>
      </c>
      <c r="L260" s="951" t="s">
        <v>246</v>
      </c>
      <c r="M260" s="471">
        <v>1.2</v>
      </c>
      <c r="N260" s="462">
        <f>M260*10</f>
        <v>12</v>
      </c>
      <c r="O260" s="471">
        <v>1.1299999999999999</v>
      </c>
      <c r="P260" s="462">
        <f>O260*N260</f>
        <v>13.559999999999999</v>
      </c>
      <c r="Q260" s="698">
        <f>I260</f>
        <v>69.62</v>
      </c>
      <c r="R260" s="471">
        <f>P260*Q260</f>
        <v>944.04719999999998</v>
      </c>
    </row>
    <row r="261" spans="1:18" ht="20.2" customHeight="1">
      <c r="A261" s="617"/>
      <c r="B261" s="34"/>
      <c r="C261" s="54" t="s">
        <v>230</v>
      </c>
      <c r="D261" s="951"/>
      <c r="E261" s="471"/>
      <c r="F261" s="462"/>
      <c r="G261" s="462"/>
      <c r="H261" s="948">
        <v>1</v>
      </c>
      <c r="I261" s="471">
        <v>100</v>
      </c>
      <c r="J261" s="471">
        <f>H261*I261</f>
        <v>100</v>
      </c>
      <c r="K261" s="54" t="s">
        <v>230</v>
      </c>
      <c r="L261" s="951"/>
      <c r="M261" s="471"/>
      <c r="N261" s="462"/>
      <c r="O261" s="462"/>
      <c r="P261" s="948">
        <v>1</v>
      </c>
      <c r="Q261" s="471">
        <v>100</v>
      </c>
      <c r="R261" s="471">
        <f>P261*Q261</f>
        <v>100</v>
      </c>
    </row>
    <row r="262" spans="1:18" ht="20.2" customHeight="1">
      <c r="A262" s="617"/>
      <c r="B262" s="34"/>
      <c r="D262" s="951"/>
      <c r="E262" s="471"/>
      <c r="F262" s="462"/>
      <c r="G262" s="462"/>
      <c r="H262" s="462"/>
      <c r="I262" s="471"/>
      <c r="J262" s="471">
        <f>SUM(J246:J261)</f>
        <v>7433.0272000000004</v>
      </c>
      <c r="K262" s="54"/>
      <c r="L262" s="951"/>
      <c r="M262" s="471"/>
      <c r="N262" s="462"/>
      <c r="O262" s="462"/>
      <c r="P262" s="462"/>
      <c r="Q262" s="471"/>
      <c r="R262" s="471">
        <f>SUM(R246:R261)</f>
        <v>6835.0572000000002</v>
      </c>
    </row>
    <row r="263" spans="1:18" s="18" customFormat="1" ht="20.2" customHeight="1">
      <c r="A263" s="617"/>
      <c r="B263" s="40"/>
      <c r="C263" s="54" t="s">
        <v>1600</v>
      </c>
      <c r="D263" s="954"/>
      <c r="E263" s="468"/>
      <c r="F263" s="458"/>
      <c r="G263" s="458"/>
      <c r="H263" s="458">
        <f>J262</f>
        <v>7433.0272000000004</v>
      </c>
      <c r="I263" s="468">
        <f>I6</f>
        <v>0</v>
      </c>
      <c r="J263" s="468">
        <f>ROUND(H263*I263,2)</f>
        <v>0</v>
      </c>
      <c r="K263" s="54" t="s">
        <v>1600</v>
      </c>
      <c r="L263" s="954"/>
      <c r="M263" s="468"/>
      <c r="N263" s="458"/>
      <c r="O263" s="458"/>
      <c r="P263" s="458">
        <f>R262</f>
        <v>6835.0572000000002</v>
      </c>
      <c r="Q263" s="468">
        <f>Q6</f>
        <v>0</v>
      </c>
      <c r="R263" s="468">
        <f>ROUND(P263*Q263,2)</f>
        <v>0</v>
      </c>
    </row>
    <row r="264" spans="1:18" s="18" customFormat="1" ht="20.2" customHeight="1">
      <c r="A264" s="617"/>
      <c r="B264" s="411"/>
      <c r="C264" s="283" t="s">
        <v>256</v>
      </c>
      <c r="D264" s="955"/>
      <c r="E264" s="469"/>
      <c r="F264" s="460"/>
      <c r="G264" s="460"/>
      <c r="H264" s="460"/>
      <c r="I264" s="469" t="s">
        <v>416</v>
      </c>
      <c r="J264" s="469">
        <f>SUM(J262:J263)</f>
        <v>7433.0272000000004</v>
      </c>
      <c r="K264" s="283" t="s">
        <v>256</v>
      </c>
      <c r="L264" s="955"/>
      <c r="M264" s="469"/>
      <c r="N264" s="460"/>
      <c r="O264" s="460"/>
      <c r="P264" s="460"/>
      <c r="Q264" s="469" t="s">
        <v>416</v>
      </c>
      <c r="R264" s="469">
        <f>SUM(R262:R263)</f>
        <v>6835.0572000000002</v>
      </c>
    </row>
    <row r="265" spans="1:18">
      <c r="A265" s="617"/>
      <c r="B265" s="34"/>
      <c r="C265" s="55" t="s">
        <v>1311</v>
      </c>
      <c r="D265" s="951"/>
      <c r="E265" s="471"/>
      <c r="F265" s="462"/>
      <c r="G265" s="462"/>
      <c r="H265" s="462"/>
      <c r="I265" s="471"/>
      <c r="J265" s="471"/>
      <c r="K265" s="55" t="s">
        <v>1311</v>
      </c>
      <c r="L265" s="951"/>
      <c r="M265" s="471"/>
      <c r="N265" s="462"/>
      <c r="O265" s="462"/>
      <c r="P265" s="462"/>
      <c r="Q265" s="471"/>
      <c r="R265" s="471"/>
    </row>
    <row r="266" spans="1:18">
      <c r="A266" s="617"/>
      <c r="B266" s="34"/>
      <c r="C266" s="54" t="s">
        <v>848</v>
      </c>
      <c r="D266" s="951"/>
      <c r="E266" s="471"/>
      <c r="F266" s="462"/>
      <c r="G266" s="462"/>
      <c r="H266" s="462"/>
      <c r="I266" s="471"/>
      <c r="J266" s="471"/>
      <c r="K266" s="54" t="s">
        <v>848</v>
      </c>
      <c r="L266" s="951"/>
      <c r="M266" s="471"/>
      <c r="N266" s="462"/>
      <c r="O266" s="462"/>
      <c r="P266" s="462"/>
      <c r="Q266" s="471"/>
      <c r="R266" s="471"/>
    </row>
    <row r="267" spans="1:18" ht="20.2" customHeight="1">
      <c r="A267" s="617"/>
      <c r="B267" s="34"/>
      <c r="C267" s="54" t="s">
        <v>780</v>
      </c>
      <c r="D267" s="951">
        <v>4</v>
      </c>
      <c r="E267" s="471">
        <v>1.35</v>
      </c>
      <c r="F267" s="462">
        <v>0.1</v>
      </c>
      <c r="G267" s="462">
        <v>7.4999999999999997E-2</v>
      </c>
      <c r="H267" s="462">
        <f>ROUND(D267*E267*F267*G267,3)</f>
        <v>4.1000000000000002E-2</v>
      </c>
      <c r="I267" s="471">
        <v>25497.19</v>
      </c>
      <c r="J267" s="471">
        <f>ROUND(H267*I267,2)</f>
        <v>1045.3800000000001</v>
      </c>
      <c r="K267" s="54" t="s">
        <v>780</v>
      </c>
      <c r="L267" s="951">
        <v>4</v>
      </c>
      <c r="M267" s="471">
        <v>1.35</v>
      </c>
      <c r="N267" s="462">
        <v>0.1</v>
      </c>
      <c r="O267" s="462">
        <v>7.4999999999999997E-2</v>
      </c>
      <c r="P267" s="462">
        <f>ROUND(L267*M267*N267*O267,3)</f>
        <v>4.1000000000000002E-2</v>
      </c>
      <c r="Q267" s="471">
        <v>25497.19</v>
      </c>
      <c r="R267" s="471">
        <f>ROUND(P267*Q267,2)</f>
        <v>1045.3800000000001</v>
      </c>
    </row>
    <row r="268" spans="1:18" ht="20.2" customHeight="1">
      <c r="A268" s="617"/>
      <c r="B268" s="34"/>
      <c r="C268" s="54" t="s">
        <v>781</v>
      </c>
      <c r="D268" s="951">
        <v>2</v>
      </c>
      <c r="E268" s="471">
        <v>1.35</v>
      </c>
      <c r="F268" s="462">
        <v>0.1</v>
      </c>
      <c r="G268" s="462">
        <v>7.4999999999999997E-2</v>
      </c>
      <c r="H268" s="462">
        <f>ROUND(D268*E268*F268*G268,3)</f>
        <v>0.02</v>
      </c>
      <c r="I268" s="471">
        <v>25497.19</v>
      </c>
      <c r="J268" s="471">
        <f>ROUND(H268*I268,2)</f>
        <v>509.94</v>
      </c>
      <c r="K268" s="54" t="s">
        <v>781</v>
      </c>
      <c r="L268" s="951">
        <v>2</v>
      </c>
      <c r="M268" s="471">
        <v>1.35</v>
      </c>
      <c r="N268" s="462">
        <v>0.1</v>
      </c>
      <c r="O268" s="462">
        <v>7.4999999999999997E-2</v>
      </c>
      <c r="P268" s="462">
        <f>ROUND(L268*M268*N268*O268,3)</f>
        <v>0.02</v>
      </c>
      <c r="Q268" s="471">
        <v>25497.19</v>
      </c>
      <c r="R268" s="471">
        <f>ROUND(P268*Q268,2)</f>
        <v>509.94</v>
      </c>
    </row>
    <row r="269" spans="1:18" ht="20.2" customHeight="1">
      <c r="A269" s="617"/>
      <c r="B269" s="34"/>
      <c r="C269" s="54" t="s">
        <v>1482</v>
      </c>
      <c r="D269" s="951"/>
      <c r="E269" s="471"/>
      <c r="F269" s="462"/>
      <c r="G269" s="462"/>
      <c r="H269" s="462">
        <f>SUM(H267:H268)</f>
        <v>6.0999999999999999E-2</v>
      </c>
      <c r="I269" s="465">
        <f>G25</f>
        <v>15767</v>
      </c>
      <c r="J269" s="471">
        <f>ROUND(H269*I269,2)</f>
        <v>961.79</v>
      </c>
      <c r="K269" s="54" t="s">
        <v>1482</v>
      </c>
      <c r="L269" s="951"/>
      <c r="M269" s="471"/>
      <c r="N269" s="462"/>
      <c r="O269" s="462"/>
      <c r="P269" s="462">
        <f>SUM(P267:P268)</f>
        <v>6.0999999999999999E-2</v>
      </c>
      <c r="Q269" s="465">
        <f>O25</f>
        <v>0</v>
      </c>
      <c r="R269" s="471">
        <f>ROUND(P269*Q269,2)</f>
        <v>0</v>
      </c>
    </row>
    <row r="270" spans="1:18" ht="33.299999999999997">
      <c r="A270" s="617" t="s">
        <v>787</v>
      </c>
      <c r="B270" s="19"/>
      <c r="C270" s="54" t="s">
        <v>788</v>
      </c>
      <c r="D270" s="951"/>
      <c r="E270" s="471"/>
      <c r="F270" s="462"/>
      <c r="G270" s="952"/>
      <c r="H270" s="952"/>
      <c r="I270" s="471"/>
      <c r="J270" s="471"/>
      <c r="K270" s="54" t="s">
        <v>788</v>
      </c>
      <c r="L270" s="951"/>
      <c r="M270" s="471"/>
      <c r="N270" s="462"/>
      <c r="O270" s="952"/>
      <c r="P270" s="952"/>
      <c r="Q270" s="471"/>
      <c r="R270" s="471"/>
    </row>
    <row r="271" spans="1:18" ht="20.2" customHeight="1">
      <c r="A271" s="617"/>
      <c r="B271" s="32"/>
      <c r="C271" s="54" t="s">
        <v>1598</v>
      </c>
      <c r="D271" s="951"/>
      <c r="E271" s="953" t="s">
        <v>1651</v>
      </c>
      <c r="F271" s="462"/>
      <c r="G271" s="462"/>
      <c r="H271" s="948">
        <v>4</v>
      </c>
      <c r="I271" s="471">
        <v>32</v>
      </c>
      <c r="J271" s="471">
        <f>ROUND(H271*I271,2)</f>
        <v>128</v>
      </c>
      <c r="K271" s="54" t="s">
        <v>1598</v>
      </c>
      <c r="L271" s="951"/>
      <c r="M271" s="953" t="s">
        <v>1651</v>
      </c>
      <c r="N271" s="462"/>
      <c r="O271" s="462"/>
      <c r="P271" s="948">
        <v>4</v>
      </c>
      <c r="Q271" s="471">
        <v>32</v>
      </c>
      <c r="R271" s="471">
        <f>ROUND(P271*Q271,2)</f>
        <v>128</v>
      </c>
    </row>
    <row r="272" spans="1:18" ht="20.2" customHeight="1">
      <c r="A272" s="617"/>
      <c r="B272" s="34"/>
      <c r="C272" s="54" t="s">
        <v>1484</v>
      </c>
      <c r="D272" s="471" t="s">
        <v>544</v>
      </c>
      <c r="E272" s="471">
        <v>1.2</v>
      </c>
      <c r="F272" s="462"/>
      <c r="G272" s="471">
        <v>1.35</v>
      </c>
      <c r="H272" s="462">
        <f>ROUND(G272*E272*2.75/3,2)</f>
        <v>1.49</v>
      </c>
      <c r="I272" s="698">
        <f>G15</f>
        <v>561.35799999999995</v>
      </c>
      <c r="J272" s="471">
        <f>ROUND(H272*I272/10,2)</f>
        <v>83.64</v>
      </c>
      <c r="K272" s="54" t="s">
        <v>1484</v>
      </c>
      <c r="L272" s="471" t="s">
        <v>544</v>
      </c>
      <c r="M272" s="471">
        <v>1.2</v>
      </c>
      <c r="N272" s="462"/>
      <c r="O272" s="471">
        <v>1.35</v>
      </c>
      <c r="P272" s="462">
        <f>ROUND(O272*M272*2.75/3,2)</f>
        <v>1.49</v>
      </c>
      <c r="Q272" s="698">
        <f>O15</f>
        <v>0</v>
      </c>
      <c r="R272" s="471">
        <f>ROUND(P272*Q272/10,2)</f>
        <v>0</v>
      </c>
    </row>
    <row r="273" spans="1:18" ht="20.2" customHeight="1">
      <c r="A273" s="617"/>
      <c r="B273" s="34"/>
      <c r="C273" s="451" t="s">
        <v>1306</v>
      </c>
      <c r="D273" s="951" t="s">
        <v>246</v>
      </c>
      <c r="E273" s="471">
        <v>1.2</v>
      </c>
      <c r="F273" s="462">
        <f>E273*10</f>
        <v>12</v>
      </c>
      <c r="G273" s="471">
        <v>1.1299999999999999</v>
      </c>
      <c r="H273" s="462">
        <f>G273*F273</f>
        <v>13.559999999999999</v>
      </c>
      <c r="I273" s="465">
        <f>'Lead- Input sheet '!R10/1000</f>
        <v>69.62</v>
      </c>
      <c r="J273" s="471">
        <f>H273*I273</f>
        <v>944.04719999999998</v>
      </c>
      <c r="K273" s="451" t="s">
        <v>1306</v>
      </c>
      <c r="L273" s="951" t="s">
        <v>246</v>
      </c>
      <c r="M273" s="471">
        <v>1.2</v>
      </c>
      <c r="N273" s="462">
        <f>M273*10</f>
        <v>12</v>
      </c>
      <c r="O273" s="471">
        <v>1.1299999999999999</v>
      </c>
      <c r="P273" s="462">
        <f>O273*N273</f>
        <v>13.559999999999999</v>
      </c>
      <c r="Q273" s="465">
        <f>'Lead- Input sheet '!X10/1000</f>
        <v>0</v>
      </c>
      <c r="R273" s="471">
        <f>P273*Q273</f>
        <v>0</v>
      </c>
    </row>
    <row r="274" spans="1:18" ht="20.2" customHeight="1">
      <c r="A274" s="617"/>
      <c r="B274" s="34"/>
      <c r="C274" s="54" t="s">
        <v>230</v>
      </c>
      <c r="D274" s="951"/>
      <c r="E274" s="471"/>
      <c r="F274" s="462"/>
      <c r="G274" s="462"/>
      <c r="H274" s="948">
        <v>1</v>
      </c>
      <c r="I274" s="471">
        <v>50</v>
      </c>
      <c r="J274" s="471">
        <f>H274*I274</f>
        <v>50</v>
      </c>
      <c r="K274" s="54" t="s">
        <v>230</v>
      </c>
      <c r="L274" s="951"/>
      <c r="M274" s="471"/>
      <c r="N274" s="462"/>
      <c r="O274" s="462"/>
      <c r="P274" s="948">
        <v>1</v>
      </c>
      <c r="Q274" s="471">
        <v>50</v>
      </c>
      <c r="R274" s="471">
        <f>P274*Q274</f>
        <v>50</v>
      </c>
    </row>
    <row r="275" spans="1:18" ht="20.2" customHeight="1">
      <c r="A275" s="617"/>
      <c r="B275" s="34"/>
      <c r="D275" s="951"/>
      <c r="E275" s="471"/>
      <c r="F275" s="462"/>
      <c r="G275" s="462"/>
      <c r="H275" s="462"/>
      <c r="I275" s="471"/>
      <c r="J275" s="471">
        <f>SUM(J267:J274)</f>
        <v>3722.7972</v>
      </c>
      <c r="K275" s="54"/>
      <c r="L275" s="951"/>
      <c r="M275" s="471"/>
      <c r="N275" s="462"/>
      <c r="O275" s="462"/>
      <c r="P275" s="462"/>
      <c r="Q275" s="471"/>
      <c r="R275" s="471">
        <f>SUM(R267:R274)</f>
        <v>1733.3200000000002</v>
      </c>
    </row>
    <row r="276" spans="1:18" s="18" customFormat="1" ht="20.2" customHeight="1">
      <c r="A276" s="617"/>
      <c r="B276" s="40"/>
      <c r="C276" s="54" t="s">
        <v>1600</v>
      </c>
      <c r="D276" s="954"/>
      <c r="E276" s="468"/>
      <c r="F276" s="458"/>
      <c r="G276" s="458"/>
      <c r="H276" s="458">
        <f>J275</f>
        <v>3722.7972</v>
      </c>
      <c r="I276" s="468">
        <f>I6</f>
        <v>0</v>
      </c>
      <c r="J276" s="471">
        <f>ROUND(H276*I276,2)</f>
        <v>0</v>
      </c>
      <c r="K276" s="54" t="s">
        <v>1600</v>
      </c>
      <c r="L276" s="954"/>
      <c r="M276" s="468"/>
      <c r="N276" s="458"/>
      <c r="O276" s="458"/>
      <c r="P276" s="458">
        <f>R275</f>
        <v>1733.3200000000002</v>
      </c>
      <c r="Q276" s="468">
        <f>Q6</f>
        <v>0</v>
      </c>
      <c r="R276" s="471">
        <f>ROUND(P276*Q276,2)</f>
        <v>0</v>
      </c>
    </row>
    <row r="277" spans="1:18" s="439" customFormat="1" ht="20.2" customHeight="1">
      <c r="A277" s="617"/>
      <c r="B277" s="411"/>
      <c r="C277" s="418" t="s">
        <v>1312</v>
      </c>
      <c r="D277" s="955"/>
      <c r="E277" s="469"/>
      <c r="F277" s="460"/>
      <c r="G277" s="460"/>
      <c r="H277" s="460"/>
      <c r="I277" s="469" t="s">
        <v>416</v>
      </c>
      <c r="J277" s="469">
        <f>SUM(J275:J276)</f>
        <v>3722.7972</v>
      </c>
      <c r="K277" s="418" t="s">
        <v>1312</v>
      </c>
      <c r="L277" s="955"/>
      <c r="M277" s="469"/>
      <c r="N277" s="460"/>
      <c r="O277" s="460"/>
      <c r="P277" s="460"/>
      <c r="Q277" s="469" t="s">
        <v>416</v>
      </c>
      <c r="R277" s="469">
        <f>SUM(R275:R276)</f>
        <v>1733.3200000000002</v>
      </c>
    </row>
    <row r="278" spans="1:18" s="439" customFormat="1" ht="20.2" customHeight="1">
      <c r="A278" s="617"/>
      <c r="B278" s="411"/>
      <c r="C278" s="418" t="s">
        <v>1313</v>
      </c>
      <c r="D278" s="955"/>
      <c r="E278" s="469"/>
      <c r="F278" s="460"/>
      <c r="G278" s="460"/>
      <c r="H278" s="460"/>
      <c r="I278" s="469" t="s">
        <v>416</v>
      </c>
      <c r="J278" s="469">
        <f>J264-J277</f>
        <v>3710.2300000000005</v>
      </c>
      <c r="K278" s="418" t="s">
        <v>1313</v>
      </c>
      <c r="L278" s="955"/>
      <c r="M278" s="469"/>
      <c r="N278" s="460"/>
      <c r="O278" s="460"/>
      <c r="P278" s="460"/>
      <c r="Q278" s="469" t="s">
        <v>416</v>
      </c>
      <c r="R278" s="469">
        <f>R264-R277</f>
        <v>5101.7371999999996</v>
      </c>
    </row>
    <row r="279" spans="1:18" ht="116.1">
      <c r="A279" s="617"/>
      <c r="B279" s="26">
        <v>8</v>
      </c>
      <c r="C279" s="55" t="s">
        <v>1442</v>
      </c>
      <c r="D279" s="951"/>
      <c r="E279" s="471"/>
      <c r="F279" s="462"/>
      <c r="G279" s="462"/>
      <c r="H279" s="462"/>
      <c r="I279" s="471"/>
      <c r="J279" s="471"/>
      <c r="K279" s="31"/>
    </row>
    <row r="280" spans="1:18">
      <c r="A280" s="617"/>
      <c r="B280" s="34"/>
      <c r="C280" s="55" t="s">
        <v>1314</v>
      </c>
      <c r="D280" s="951"/>
      <c r="E280" s="471"/>
      <c r="F280" s="462"/>
      <c r="G280" s="462"/>
      <c r="H280" s="462"/>
      <c r="I280" s="471"/>
      <c r="J280" s="471"/>
      <c r="K280" s="31"/>
    </row>
    <row r="281" spans="1:18">
      <c r="A281" s="617"/>
      <c r="B281" s="34"/>
      <c r="C281" s="54" t="s">
        <v>848</v>
      </c>
      <c r="D281" s="951"/>
      <c r="E281" s="471"/>
      <c r="F281" s="462"/>
      <c r="G281" s="462"/>
      <c r="H281" s="462"/>
      <c r="I281" s="471"/>
      <c r="J281" s="471"/>
      <c r="K281" s="31"/>
    </row>
    <row r="282" spans="1:18" ht="20.2" customHeight="1">
      <c r="A282" s="617"/>
      <c r="B282" s="34"/>
      <c r="C282" s="54" t="s">
        <v>780</v>
      </c>
      <c r="D282" s="951">
        <v>4</v>
      </c>
      <c r="E282" s="471">
        <v>1.35</v>
      </c>
      <c r="F282" s="462">
        <v>0.1</v>
      </c>
      <c r="G282" s="462">
        <v>7.4999999999999997E-2</v>
      </c>
      <c r="H282" s="462">
        <f>ROUND(G282*F282*E282*D282,3)</f>
        <v>4.1000000000000002E-2</v>
      </c>
      <c r="I282" s="471">
        <v>25497.19</v>
      </c>
      <c r="J282" s="471">
        <f t="shared" ref="J282:J287" si="21">ROUND(H282*I282,2)</f>
        <v>1045.3800000000001</v>
      </c>
      <c r="K282" s="31"/>
    </row>
    <row r="283" spans="1:18" ht="20.2" customHeight="1">
      <c r="A283" s="617"/>
      <c r="B283" s="34"/>
      <c r="C283" s="54" t="s">
        <v>781</v>
      </c>
      <c r="D283" s="951">
        <v>2</v>
      </c>
      <c r="E283" s="471">
        <v>1.65</v>
      </c>
      <c r="F283" s="462">
        <v>0.1</v>
      </c>
      <c r="G283" s="462">
        <v>7.4999999999999997E-2</v>
      </c>
      <c r="H283" s="462">
        <f>ROUND(G283*F283*E283*D283,3)</f>
        <v>2.5000000000000001E-2</v>
      </c>
      <c r="I283" s="471">
        <v>25497.19</v>
      </c>
      <c r="J283" s="471">
        <f t="shared" si="21"/>
        <v>637.42999999999995</v>
      </c>
      <c r="K283" s="31"/>
    </row>
    <row r="284" spans="1:18" ht="20.2" customHeight="1">
      <c r="A284" s="617"/>
      <c r="B284" s="34"/>
      <c r="C284" s="54" t="s">
        <v>782</v>
      </c>
      <c r="D284" s="951" t="s">
        <v>243</v>
      </c>
      <c r="E284" s="472">
        <f>(1.35-2*0.075+2*0.015)</f>
        <v>1.2300000000000002</v>
      </c>
      <c r="F284" s="462">
        <v>7.4999999999999997E-2</v>
      </c>
      <c r="G284" s="462">
        <f>1.25*25.4/1000</f>
        <v>3.175E-2</v>
      </c>
      <c r="H284" s="462">
        <f>ROUND(G284*F284*E284*6,3)</f>
        <v>1.7999999999999999E-2</v>
      </c>
      <c r="I284" s="471">
        <v>31076.9</v>
      </c>
      <c r="J284" s="471">
        <f t="shared" si="21"/>
        <v>559.38</v>
      </c>
      <c r="K284" s="31"/>
    </row>
    <row r="285" spans="1:18" ht="20.2" customHeight="1">
      <c r="A285" s="617"/>
      <c r="B285" s="34"/>
      <c r="C285" s="54" t="s">
        <v>783</v>
      </c>
      <c r="D285" s="951" t="s">
        <v>244</v>
      </c>
      <c r="E285" s="471">
        <f>(1.5-3*0.075+6*0.015)/2</f>
        <v>0.6825</v>
      </c>
      <c r="F285" s="462">
        <v>7.4999999999999997E-2</v>
      </c>
      <c r="G285" s="462">
        <f>1.25*25.4/1000</f>
        <v>3.175E-2</v>
      </c>
      <c r="H285" s="462">
        <f>ROUND(9*E285*F285*G285,3)</f>
        <v>1.4999999999999999E-2</v>
      </c>
      <c r="I285" s="471">
        <v>31076.9</v>
      </c>
      <c r="J285" s="471">
        <f t="shared" si="21"/>
        <v>466.15</v>
      </c>
      <c r="K285" s="31"/>
    </row>
    <row r="286" spans="1:18" ht="20.2" customHeight="1">
      <c r="A286" s="617"/>
      <c r="B286" s="34"/>
      <c r="C286" s="54" t="s">
        <v>1481</v>
      </c>
      <c r="D286" s="951" t="s">
        <v>245</v>
      </c>
      <c r="E286" s="471">
        <f>(1.5-4*0.075+6*0.015)/3-2*0.075+2*0.025</f>
        <v>0.33</v>
      </c>
      <c r="F286" s="462">
        <f>(1.35-2*0.075+2*0.015-3*0.075)/2+2*0.025</f>
        <v>0.55250000000000021</v>
      </c>
      <c r="G286" s="462">
        <v>2.5000000000000001E-2</v>
      </c>
      <c r="H286" s="462">
        <f>ROUND(6*E286*F286*G286,3)</f>
        <v>2.7E-2</v>
      </c>
      <c r="I286" s="471">
        <v>31076.9</v>
      </c>
      <c r="J286" s="471">
        <f t="shared" si="21"/>
        <v>839.08</v>
      </c>
      <c r="K286" s="31"/>
    </row>
    <row r="287" spans="1:18" ht="20.2" customHeight="1">
      <c r="A287" s="617"/>
      <c r="B287" s="34"/>
      <c r="C287" s="54" t="s">
        <v>1482</v>
      </c>
      <c r="D287" s="951"/>
      <c r="E287" s="471"/>
      <c r="F287" s="462"/>
      <c r="G287" s="462"/>
      <c r="H287" s="462">
        <f>SUM(H282:H286)</f>
        <v>0.126</v>
      </c>
      <c r="I287" s="465">
        <f>G25</f>
        <v>15767</v>
      </c>
      <c r="J287" s="471">
        <f t="shared" si="21"/>
        <v>1986.64</v>
      </c>
      <c r="K287" s="31"/>
    </row>
    <row r="288" spans="1:18" ht="33.299999999999997">
      <c r="A288" s="617" t="s">
        <v>787</v>
      </c>
      <c r="B288" s="19"/>
      <c r="C288" s="54" t="s">
        <v>788</v>
      </c>
      <c r="D288" s="951"/>
      <c r="E288" s="471"/>
      <c r="F288" s="462"/>
      <c r="G288" s="952"/>
      <c r="H288" s="952"/>
      <c r="I288" s="471"/>
      <c r="J288" s="471"/>
      <c r="K288" s="31"/>
    </row>
    <row r="289" spans="1:11" ht="20.2" customHeight="1">
      <c r="A289" s="617"/>
      <c r="B289" s="693"/>
      <c r="C289" s="694" t="s">
        <v>915</v>
      </c>
      <c r="D289" s="471" t="s">
        <v>1035</v>
      </c>
      <c r="E289" s="462" t="s">
        <v>1624</v>
      </c>
      <c r="F289" s="462"/>
      <c r="G289" s="462"/>
      <c r="H289" s="948">
        <v>3</v>
      </c>
      <c r="I289" s="471">
        <v>35</v>
      </c>
      <c r="J289" s="471">
        <f t="shared" ref="J289:J294" si="22">ROUND(H289*I289,2)</f>
        <v>105</v>
      </c>
      <c r="K289" s="31"/>
    </row>
    <row r="290" spans="1:11" ht="20.2" customHeight="1">
      <c r="A290" s="617"/>
      <c r="B290" s="693"/>
      <c r="C290" s="31" t="s">
        <v>916</v>
      </c>
      <c r="D290" s="471" t="s">
        <v>1035</v>
      </c>
      <c r="E290" s="462" t="s">
        <v>1624</v>
      </c>
      <c r="F290" s="462"/>
      <c r="G290" s="462"/>
      <c r="H290" s="948">
        <v>3</v>
      </c>
      <c r="I290" s="471">
        <v>35</v>
      </c>
      <c r="J290" s="471">
        <f t="shared" si="22"/>
        <v>105</v>
      </c>
      <c r="K290" s="31"/>
    </row>
    <row r="291" spans="1:11" ht="20.2" customHeight="1">
      <c r="A291" s="617"/>
      <c r="B291" s="693"/>
      <c r="C291" s="946" t="s">
        <v>917</v>
      </c>
      <c r="D291" s="471" t="s">
        <v>1035</v>
      </c>
      <c r="E291" s="462" t="s">
        <v>1625</v>
      </c>
      <c r="F291" s="462"/>
      <c r="G291" s="462"/>
      <c r="H291" s="948">
        <v>6</v>
      </c>
      <c r="I291" s="471">
        <v>21</v>
      </c>
      <c r="J291" s="471">
        <f t="shared" si="22"/>
        <v>126</v>
      </c>
      <c r="K291" s="31"/>
    </row>
    <row r="292" spans="1:11" ht="20.2" customHeight="1">
      <c r="A292" s="617"/>
      <c r="B292" s="693"/>
      <c r="C292" s="694" t="s">
        <v>918</v>
      </c>
      <c r="D292" s="471" t="s">
        <v>1035</v>
      </c>
      <c r="E292" s="462" t="s">
        <v>1626</v>
      </c>
      <c r="F292" s="462"/>
      <c r="G292" s="462"/>
      <c r="H292" s="948">
        <v>3</v>
      </c>
      <c r="I292" s="471">
        <v>213</v>
      </c>
      <c r="J292" s="471">
        <f t="shared" si="22"/>
        <v>639</v>
      </c>
      <c r="K292" s="31"/>
    </row>
    <row r="293" spans="1:11" ht="20.2" customHeight="1">
      <c r="A293" s="617"/>
      <c r="B293" s="693"/>
      <c r="C293" s="694" t="s">
        <v>799</v>
      </c>
      <c r="D293" s="471" t="s">
        <v>882</v>
      </c>
      <c r="E293" s="462" t="s">
        <v>1652</v>
      </c>
      <c r="F293" s="462"/>
      <c r="G293" s="462"/>
      <c r="H293" s="948">
        <v>90</v>
      </c>
      <c r="I293" s="471">
        <v>3</v>
      </c>
      <c r="J293" s="471">
        <f t="shared" si="22"/>
        <v>270</v>
      </c>
      <c r="K293" s="31"/>
    </row>
    <row r="294" spans="1:11" ht="20.2" customHeight="1">
      <c r="A294" s="617"/>
      <c r="B294" s="32"/>
      <c r="C294" s="54" t="s">
        <v>1598</v>
      </c>
      <c r="D294" s="951"/>
      <c r="E294" s="953" t="s">
        <v>1651</v>
      </c>
      <c r="F294" s="462"/>
      <c r="G294" s="462"/>
      <c r="H294" s="948">
        <v>4</v>
      </c>
      <c r="I294" s="471">
        <v>32</v>
      </c>
      <c r="J294" s="471">
        <f t="shared" si="22"/>
        <v>128</v>
      </c>
      <c r="K294" s="31"/>
    </row>
    <row r="295" spans="1:11" ht="20.2" customHeight="1">
      <c r="A295" s="617"/>
      <c r="B295" s="34"/>
      <c r="C295" s="54" t="s">
        <v>1484</v>
      </c>
      <c r="D295" s="951">
        <v>2.75</v>
      </c>
      <c r="E295" s="471">
        <v>1.5</v>
      </c>
      <c r="F295" s="462"/>
      <c r="G295" s="471">
        <v>1.35</v>
      </c>
      <c r="H295" s="462">
        <f>ROUND(G295*E295*D295,2)</f>
        <v>5.57</v>
      </c>
      <c r="I295" s="698">
        <f>G15</f>
        <v>561.35799999999995</v>
      </c>
      <c r="J295" s="471">
        <f>ROUND(H295*I295/10,2)</f>
        <v>312.68</v>
      </c>
      <c r="K295" s="31"/>
    </row>
    <row r="296" spans="1:11" ht="20.2" customHeight="1">
      <c r="A296" s="617"/>
      <c r="B296" s="34"/>
      <c r="C296" s="451" t="s">
        <v>1306</v>
      </c>
      <c r="D296" s="951" t="s">
        <v>246</v>
      </c>
      <c r="E296" s="471">
        <v>1.5</v>
      </c>
      <c r="F296" s="462">
        <f>E296*10</f>
        <v>15</v>
      </c>
      <c r="G296" s="471">
        <v>1.1299999999999999</v>
      </c>
      <c r="H296" s="462">
        <f>G296*F296</f>
        <v>16.95</v>
      </c>
      <c r="I296" s="465">
        <f>'Lead- Input sheet '!R10/1000</f>
        <v>69.62</v>
      </c>
      <c r="J296" s="471">
        <f>H296*I296</f>
        <v>1180.059</v>
      </c>
      <c r="K296" s="31"/>
    </row>
    <row r="297" spans="1:11" ht="20.2" customHeight="1">
      <c r="A297" s="617"/>
      <c r="B297" s="34"/>
      <c r="C297" s="54" t="s">
        <v>230</v>
      </c>
      <c r="D297" s="951"/>
      <c r="E297" s="471"/>
      <c r="F297" s="462"/>
      <c r="G297" s="462"/>
      <c r="H297" s="948">
        <v>1</v>
      </c>
      <c r="I297" s="471">
        <v>125</v>
      </c>
      <c r="J297" s="471">
        <f>H297*I297</f>
        <v>125</v>
      </c>
      <c r="K297" s="31"/>
    </row>
    <row r="298" spans="1:11" ht="20.2" customHeight="1">
      <c r="A298" s="617"/>
      <c r="B298" s="34"/>
      <c r="D298" s="951"/>
      <c r="E298" s="471"/>
      <c r="F298" s="462"/>
      <c r="G298" s="462"/>
      <c r="H298" s="462"/>
      <c r="I298" s="471"/>
      <c r="J298" s="471">
        <f>SUM(J282:J297)</f>
        <v>8524.7990000000009</v>
      </c>
      <c r="K298" s="31"/>
    </row>
    <row r="299" spans="1:11" s="18" customFormat="1" ht="20.2" customHeight="1">
      <c r="A299" s="617"/>
      <c r="B299" s="40"/>
      <c r="C299" s="54" t="s">
        <v>1600</v>
      </c>
      <c r="D299" s="954"/>
      <c r="E299" s="468"/>
      <c r="F299" s="458"/>
      <c r="G299" s="458"/>
      <c r="H299" s="458">
        <f>J298</f>
        <v>8524.7990000000009</v>
      </c>
      <c r="I299" s="468">
        <f>I6</f>
        <v>0</v>
      </c>
      <c r="J299" s="468">
        <f>ROUND(H299*I299,2)</f>
        <v>0</v>
      </c>
      <c r="K299" s="17"/>
    </row>
    <row r="300" spans="1:11" s="18" customFormat="1" ht="20.2" customHeight="1">
      <c r="A300" s="617"/>
      <c r="B300" s="411"/>
      <c r="C300" s="283" t="s">
        <v>256</v>
      </c>
      <c r="D300" s="955"/>
      <c r="E300" s="469"/>
      <c r="F300" s="460"/>
      <c r="G300" s="460"/>
      <c r="H300" s="460"/>
      <c r="I300" s="469" t="s">
        <v>416</v>
      </c>
      <c r="J300" s="469">
        <f>SUM(J298:J299)</f>
        <v>8524.7990000000009</v>
      </c>
      <c r="K300" s="17"/>
    </row>
    <row r="301" spans="1:11">
      <c r="A301" s="617"/>
      <c r="B301" s="34"/>
      <c r="C301" s="55" t="s">
        <v>1315</v>
      </c>
      <c r="D301" s="951"/>
      <c r="E301" s="471"/>
      <c r="F301" s="462"/>
      <c r="G301" s="462"/>
      <c r="H301" s="462"/>
      <c r="I301" s="471"/>
      <c r="J301" s="471"/>
      <c r="K301" s="31"/>
    </row>
    <row r="302" spans="1:11">
      <c r="A302" s="617"/>
      <c r="B302" s="34"/>
      <c r="C302" s="54" t="s">
        <v>848</v>
      </c>
      <c r="D302" s="951"/>
      <c r="E302" s="471"/>
      <c r="F302" s="462"/>
      <c r="G302" s="462"/>
      <c r="H302" s="462"/>
      <c r="I302" s="471"/>
      <c r="J302" s="471"/>
      <c r="K302" s="31"/>
    </row>
    <row r="303" spans="1:11" ht="20.2" customHeight="1">
      <c r="A303" s="617"/>
      <c r="B303" s="34"/>
      <c r="C303" s="54" t="s">
        <v>780</v>
      </c>
      <c r="D303" s="951">
        <v>4</v>
      </c>
      <c r="E303" s="471">
        <v>1.35</v>
      </c>
      <c r="F303" s="462">
        <v>0.1</v>
      </c>
      <c r="G303" s="462">
        <v>7.4999999999999997E-2</v>
      </c>
      <c r="H303" s="462">
        <f>ROUND(D303*E303*F303*G303,3)</f>
        <v>4.1000000000000002E-2</v>
      </c>
      <c r="I303" s="471">
        <v>25497.19</v>
      </c>
      <c r="J303" s="471">
        <f>ROUND(H303*I303,2)</f>
        <v>1045.3800000000001</v>
      </c>
      <c r="K303" s="31"/>
    </row>
    <row r="304" spans="1:11" ht="20.2" customHeight="1">
      <c r="A304" s="617"/>
      <c r="B304" s="34"/>
      <c r="C304" s="54" t="s">
        <v>781</v>
      </c>
      <c r="D304" s="951">
        <v>2</v>
      </c>
      <c r="E304" s="471">
        <v>1.65</v>
      </c>
      <c r="F304" s="462">
        <v>0.1</v>
      </c>
      <c r="G304" s="462">
        <v>7.4999999999999997E-2</v>
      </c>
      <c r="H304" s="462">
        <f>ROUND(D304*E304*F304*G304,3)</f>
        <v>2.5000000000000001E-2</v>
      </c>
      <c r="I304" s="471">
        <v>25497.19</v>
      </c>
      <c r="J304" s="471">
        <f>ROUND(H304*I304,2)</f>
        <v>637.42999999999995</v>
      </c>
      <c r="K304" s="31"/>
    </row>
    <row r="305" spans="1:11" ht="20.2" customHeight="1">
      <c r="A305" s="617"/>
      <c r="B305" s="34"/>
      <c r="C305" s="54" t="s">
        <v>1482</v>
      </c>
      <c r="D305" s="951"/>
      <c r="E305" s="471"/>
      <c r="F305" s="462"/>
      <c r="G305" s="462"/>
      <c r="H305" s="462">
        <f>SUM(H303:H304)</f>
        <v>6.6000000000000003E-2</v>
      </c>
      <c r="I305" s="465">
        <f>G25</f>
        <v>15767</v>
      </c>
      <c r="J305" s="471">
        <f>ROUND(H305*I305,2)</f>
        <v>1040.6199999999999</v>
      </c>
      <c r="K305" s="31"/>
    </row>
    <row r="306" spans="1:11" ht="33.299999999999997">
      <c r="A306" s="617" t="s">
        <v>787</v>
      </c>
      <c r="B306" s="19"/>
      <c r="C306" s="54" t="s">
        <v>788</v>
      </c>
      <c r="D306" s="951"/>
      <c r="E306" s="471"/>
      <c r="F306" s="462"/>
      <c r="G306" s="952"/>
      <c r="H306" s="952"/>
      <c r="I306" s="471"/>
      <c r="J306" s="471"/>
      <c r="K306" s="31"/>
    </row>
    <row r="307" spans="1:11" ht="20.2" customHeight="1">
      <c r="A307" s="617"/>
      <c r="B307" s="32"/>
      <c r="C307" s="54" t="s">
        <v>1598</v>
      </c>
      <c r="D307" s="951"/>
      <c r="E307" s="953" t="s">
        <v>1651</v>
      </c>
      <c r="F307" s="462"/>
      <c r="G307" s="462"/>
      <c r="H307" s="948">
        <v>4</v>
      </c>
      <c r="I307" s="471">
        <v>32</v>
      </c>
      <c r="J307" s="462">
        <f>ROUND(H307*I307,2)</f>
        <v>128</v>
      </c>
      <c r="K307" s="31"/>
    </row>
    <row r="308" spans="1:11" ht="20.2" customHeight="1">
      <c r="A308" s="617"/>
      <c r="B308" s="34"/>
      <c r="C308" s="54" t="s">
        <v>1484</v>
      </c>
      <c r="D308" s="462" t="s">
        <v>544</v>
      </c>
      <c r="E308" s="462">
        <v>1.5</v>
      </c>
      <c r="F308" s="462"/>
      <c r="G308" s="471">
        <v>1.35</v>
      </c>
      <c r="H308" s="462">
        <f>ROUND(G308*E308*2.75/3,2)</f>
        <v>1.86</v>
      </c>
      <c r="I308" s="471">
        <f>G15</f>
        <v>561.35799999999995</v>
      </c>
      <c r="J308" s="471">
        <f>ROUND(H308*I308/10,2)</f>
        <v>104.41</v>
      </c>
      <c r="K308" s="31"/>
    </row>
    <row r="309" spans="1:11" ht="20.2" customHeight="1">
      <c r="A309" s="617"/>
      <c r="B309" s="34"/>
      <c r="C309" s="451" t="s">
        <v>1306</v>
      </c>
      <c r="D309" s="951" t="s">
        <v>246</v>
      </c>
      <c r="E309" s="471">
        <v>1.5</v>
      </c>
      <c r="F309" s="462">
        <f>E309*10</f>
        <v>15</v>
      </c>
      <c r="G309" s="471">
        <v>1.1299999999999999</v>
      </c>
      <c r="H309" s="462">
        <f>G309*F309</f>
        <v>16.95</v>
      </c>
      <c r="I309" s="465">
        <f>'Lead- Input sheet '!R10/1000</f>
        <v>69.62</v>
      </c>
      <c r="J309" s="471">
        <f>H309*I309</f>
        <v>1180.059</v>
      </c>
      <c r="K309" s="31"/>
    </row>
    <row r="310" spans="1:11" ht="20.2" customHeight="1">
      <c r="A310" s="617"/>
      <c r="B310" s="34"/>
      <c r="C310" s="54" t="s">
        <v>230</v>
      </c>
      <c r="D310" s="951"/>
      <c r="E310" s="471"/>
      <c r="F310" s="462"/>
      <c r="G310" s="462"/>
      <c r="H310" s="948">
        <v>1</v>
      </c>
      <c r="I310" s="471">
        <v>75</v>
      </c>
      <c r="J310" s="471">
        <f>H310*I310</f>
        <v>75</v>
      </c>
      <c r="K310" s="31"/>
    </row>
    <row r="311" spans="1:11" ht="20.2" customHeight="1">
      <c r="A311" s="617"/>
      <c r="B311" s="34"/>
      <c r="D311" s="951"/>
      <c r="E311" s="471"/>
      <c r="F311" s="462"/>
      <c r="G311" s="462"/>
      <c r="H311" s="462"/>
      <c r="I311" s="471"/>
      <c r="J311" s="471">
        <f>SUM(J303:J310)</f>
        <v>4210.8989999999994</v>
      </c>
      <c r="K311" s="31"/>
    </row>
    <row r="312" spans="1:11" s="18" customFormat="1" ht="20.2" customHeight="1">
      <c r="A312" s="617"/>
      <c r="B312" s="40"/>
      <c r="C312" s="54" t="s">
        <v>1600</v>
      </c>
      <c r="D312" s="954"/>
      <c r="E312" s="468"/>
      <c r="F312" s="458"/>
      <c r="G312" s="458"/>
      <c r="H312" s="458">
        <f>J311</f>
        <v>4210.8989999999994</v>
      </c>
      <c r="I312" s="468">
        <f>I6</f>
        <v>0</v>
      </c>
      <c r="J312" s="471">
        <f>ROUND(H312*I312,2)</f>
        <v>0</v>
      </c>
      <c r="K312" s="17"/>
    </row>
    <row r="313" spans="1:11" s="439" customFormat="1" ht="20.2" customHeight="1">
      <c r="A313" s="617"/>
      <c r="B313" s="411"/>
      <c r="C313" s="448" t="s">
        <v>1316</v>
      </c>
      <c r="D313" s="955"/>
      <c r="E313" s="469"/>
      <c r="F313" s="460"/>
      <c r="G313" s="460"/>
      <c r="H313" s="460"/>
      <c r="I313" s="469" t="s">
        <v>416</v>
      </c>
      <c r="J313" s="469">
        <f>SUM(J311:J312)</f>
        <v>4210.8989999999994</v>
      </c>
      <c r="K313" s="447"/>
    </row>
    <row r="314" spans="1:11" s="439" customFormat="1" ht="20.2" customHeight="1">
      <c r="A314" s="617"/>
      <c r="B314" s="411"/>
      <c r="C314" s="448" t="s">
        <v>1317</v>
      </c>
      <c r="D314" s="955"/>
      <c r="E314" s="469"/>
      <c r="F314" s="460"/>
      <c r="G314" s="460"/>
      <c r="H314" s="460"/>
      <c r="I314" s="469" t="s">
        <v>416</v>
      </c>
      <c r="J314" s="469">
        <f>J300-J313</f>
        <v>4313.9000000000015</v>
      </c>
      <c r="K314" s="447"/>
    </row>
    <row r="315" spans="1:11" ht="116.1">
      <c r="A315" s="617"/>
      <c r="B315" s="26">
        <v>5</v>
      </c>
      <c r="C315" s="54" t="s">
        <v>1587</v>
      </c>
      <c r="D315" s="951"/>
      <c r="E315" s="471"/>
      <c r="F315" s="462"/>
      <c r="G315" s="462"/>
      <c r="H315" s="462"/>
      <c r="I315" s="471"/>
      <c r="J315" s="471"/>
      <c r="K315" s="31"/>
    </row>
    <row r="316" spans="1:11">
      <c r="A316" s="617"/>
      <c r="B316" s="34"/>
      <c r="C316" s="55" t="s">
        <v>1588</v>
      </c>
      <c r="D316" s="951"/>
      <c r="E316" s="471"/>
      <c r="F316" s="462"/>
      <c r="G316" s="462"/>
      <c r="H316" s="462"/>
      <c r="I316" s="471"/>
      <c r="J316" s="471"/>
      <c r="K316" s="31"/>
    </row>
    <row r="317" spans="1:11">
      <c r="A317" s="617"/>
      <c r="B317" s="34"/>
      <c r="C317" s="54" t="s">
        <v>848</v>
      </c>
      <c r="D317" s="951"/>
      <c r="E317" s="471"/>
      <c r="F317" s="462"/>
      <c r="G317" s="462"/>
      <c r="H317" s="462"/>
      <c r="I317" s="471"/>
      <c r="J317" s="471"/>
      <c r="K317" s="31"/>
    </row>
    <row r="318" spans="1:11" ht="20.2" customHeight="1">
      <c r="A318" s="617"/>
      <c r="B318" s="34"/>
      <c r="C318" s="54" t="s">
        <v>780</v>
      </c>
      <c r="D318" s="951">
        <v>4</v>
      </c>
      <c r="E318" s="471">
        <v>1.35</v>
      </c>
      <c r="F318" s="462">
        <v>0.1</v>
      </c>
      <c r="G318" s="462">
        <v>7.4999999999999997E-2</v>
      </c>
      <c r="H318" s="462">
        <f>ROUND(D318*E318*F318*G318,3)</f>
        <v>4.1000000000000002E-2</v>
      </c>
      <c r="I318" s="471">
        <v>25497.19</v>
      </c>
      <c r="J318" s="471">
        <f>ROUND(H318*I318,2)</f>
        <v>1045.3800000000001</v>
      </c>
      <c r="K318" s="31"/>
    </row>
    <row r="319" spans="1:11" ht="20.2" customHeight="1">
      <c r="A319" s="617"/>
      <c r="B319" s="34"/>
      <c r="C319" s="54" t="s">
        <v>441</v>
      </c>
      <c r="D319" s="951">
        <v>2</v>
      </c>
      <c r="E319" s="471">
        <v>1.5</v>
      </c>
      <c r="F319" s="462">
        <v>0.1</v>
      </c>
      <c r="G319" s="462">
        <v>7.4999999999999997E-2</v>
      </c>
      <c r="H319" s="462">
        <f>ROUND(D319*E319*F319*G319,3)</f>
        <v>2.3E-2</v>
      </c>
      <c r="I319" s="471">
        <v>25497.19</v>
      </c>
      <c r="J319" s="471">
        <f>ROUND(H319*I319,2)</f>
        <v>586.44000000000005</v>
      </c>
      <c r="K319" s="31"/>
    </row>
    <row r="320" spans="1:11" ht="20.2" customHeight="1">
      <c r="A320" s="617"/>
      <c r="B320" s="34"/>
      <c r="C320" s="54" t="s">
        <v>782</v>
      </c>
      <c r="D320" s="951" t="s">
        <v>243</v>
      </c>
      <c r="E320" s="471">
        <f>(1.35-2*0.075+2*0.015)</f>
        <v>1.2300000000000002</v>
      </c>
      <c r="F320" s="462">
        <v>7.4999999999999997E-2</v>
      </c>
      <c r="G320" s="462">
        <v>3.2000000000000001E-2</v>
      </c>
      <c r="H320" s="462">
        <f>ROUND(6*E320*F320*G320,3)</f>
        <v>1.7999999999999999E-2</v>
      </c>
      <c r="I320" s="471">
        <v>31076.9</v>
      </c>
      <c r="J320" s="471">
        <f>ROUND(H320*I320,2)</f>
        <v>559.38</v>
      </c>
      <c r="K320" s="31"/>
    </row>
    <row r="321" spans="1:12" ht="20.2" customHeight="1">
      <c r="A321" s="617"/>
      <c r="B321" s="34"/>
      <c r="C321" s="54" t="s">
        <v>783</v>
      </c>
      <c r="D321" s="951" t="s">
        <v>244</v>
      </c>
      <c r="E321" s="471">
        <f>(1.35-4*0.075+6*0.015)/3</f>
        <v>0.38000000000000006</v>
      </c>
      <c r="F321" s="462">
        <v>7.4999999999999997E-2</v>
      </c>
      <c r="G321" s="462">
        <v>3.2000000000000001E-2</v>
      </c>
      <c r="H321" s="462">
        <f>ROUND(9*E321*F321*G321,3)</f>
        <v>8.0000000000000002E-3</v>
      </c>
      <c r="I321" s="471">
        <v>31076.9</v>
      </c>
      <c r="J321" s="471">
        <f>ROUND(H321*I321,2)</f>
        <v>248.62</v>
      </c>
      <c r="K321" s="31"/>
    </row>
    <row r="322" spans="1:12" ht="35.200000000000003" customHeight="1">
      <c r="A322" s="617" t="s">
        <v>418</v>
      </c>
      <c r="C322" s="54" t="s">
        <v>417</v>
      </c>
      <c r="D322" s="951" t="s">
        <v>245</v>
      </c>
      <c r="E322" s="471">
        <f>(1.35-4*0.075+6*0.015)/3+2*0.025</f>
        <v>0.43000000000000005</v>
      </c>
      <c r="F322" s="462">
        <f>(1.35-2*0.075+2*0.015-3*0.075)/2+2*0.025</f>
        <v>0.55250000000000021</v>
      </c>
      <c r="G322" s="462">
        <f>ROUND(6*E322*F322,3)</f>
        <v>1.425</v>
      </c>
      <c r="H322" s="462"/>
      <c r="I322" s="471">
        <v>806</v>
      </c>
      <c r="J322" s="471">
        <f>ROUND(G322*I322,2)</f>
        <v>1148.55</v>
      </c>
      <c r="K322" s="31"/>
    </row>
    <row r="323" spans="1:12" ht="20.2" customHeight="1">
      <c r="A323" s="617"/>
      <c r="B323" s="34"/>
      <c r="C323" s="54" t="s">
        <v>1482</v>
      </c>
      <c r="D323" s="951"/>
      <c r="E323" s="471"/>
      <c r="F323" s="462"/>
      <c r="G323" s="462"/>
      <c r="H323" s="462">
        <f>SUM(H318:H322)</f>
        <v>0.09</v>
      </c>
      <c r="I323" s="465">
        <f>G25</f>
        <v>15767</v>
      </c>
      <c r="J323" s="471">
        <f>ROUND(H323*I323,2)</f>
        <v>1419.03</v>
      </c>
      <c r="K323" s="31"/>
    </row>
    <row r="324" spans="1:12" ht="33.299999999999997">
      <c r="A324" s="617" t="s">
        <v>787</v>
      </c>
      <c r="B324" s="19"/>
      <c r="C324" s="54" t="s">
        <v>788</v>
      </c>
      <c r="D324" s="951"/>
      <c r="E324" s="471"/>
      <c r="F324" s="462"/>
      <c r="G324" s="952"/>
      <c r="H324" s="952"/>
      <c r="I324" s="471"/>
      <c r="J324" s="471"/>
      <c r="K324" s="31"/>
    </row>
    <row r="325" spans="1:12" ht="20.2" customHeight="1">
      <c r="A325" s="617"/>
      <c r="B325" s="693"/>
      <c r="C325" s="694" t="s">
        <v>915</v>
      </c>
      <c r="D325" s="471" t="s">
        <v>1035</v>
      </c>
      <c r="E325" s="462" t="s">
        <v>1624</v>
      </c>
      <c r="F325" s="462"/>
      <c r="G325" s="462"/>
      <c r="H325" s="948">
        <v>3</v>
      </c>
      <c r="I325" s="471">
        <v>35</v>
      </c>
      <c r="J325" s="471">
        <f t="shared" ref="J325:J330" si="23">ROUND(H325*I325,2)</f>
        <v>105</v>
      </c>
      <c r="K325" s="31"/>
    </row>
    <row r="326" spans="1:12" ht="20.2" customHeight="1">
      <c r="A326" s="617"/>
      <c r="B326" s="693"/>
      <c r="C326" s="31" t="s">
        <v>916</v>
      </c>
      <c r="D326" s="471" t="s">
        <v>1035</v>
      </c>
      <c r="E326" s="462" t="s">
        <v>1624</v>
      </c>
      <c r="F326" s="462"/>
      <c r="G326" s="462"/>
      <c r="H326" s="948">
        <v>3</v>
      </c>
      <c r="I326" s="471">
        <v>35</v>
      </c>
      <c r="J326" s="471">
        <f t="shared" si="23"/>
        <v>105</v>
      </c>
      <c r="K326" s="31"/>
    </row>
    <row r="327" spans="1:12" ht="20.2" customHeight="1">
      <c r="A327" s="617"/>
      <c r="B327" s="693"/>
      <c r="C327" s="946" t="s">
        <v>917</v>
      </c>
      <c r="D327" s="471" t="s">
        <v>1035</v>
      </c>
      <c r="E327" s="462" t="s">
        <v>1625</v>
      </c>
      <c r="F327" s="462"/>
      <c r="G327" s="462"/>
      <c r="H327" s="948">
        <v>6</v>
      </c>
      <c r="I327" s="471">
        <v>21</v>
      </c>
      <c r="J327" s="471">
        <f t="shared" si="23"/>
        <v>126</v>
      </c>
      <c r="K327" s="31"/>
    </row>
    <row r="328" spans="1:12" ht="20.2" customHeight="1">
      <c r="A328" s="617"/>
      <c r="B328" s="693"/>
      <c r="C328" s="694" t="s">
        <v>918</v>
      </c>
      <c r="D328" s="471" t="s">
        <v>1035</v>
      </c>
      <c r="E328" s="462" t="s">
        <v>1626</v>
      </c>
      <c r="F328" s="462"/>
      <c r="G328" s="462"/>
      <c r="H328" s="948">
        <v>3</v>
      </c>
      <c r="I328" s="471">
        <v>213</v>
      </c>
      <c r="J328" s="471">
        <f t="shared" si="23"/>
        <v>639</v>
      </c>
      <c r="K328" s="31"/>
    </row>
    <row r="329" spans="1:12" ht="20.2" customHeight="1">
      <c r="A329" s="617"/>
      <c r="B329" s="693"/>
      <c r="C329" s="694" t="s">
        <v>799</v>
      </c>
      <c r="D329" s="471" t="s">
        <v>882</v>
      </c>
      <c r="E329" s="462" t="s">
        <v>1652</v>
      </c>
      <c r="F329" s="462"/>
      <c r="G329" s="462"/>
      <c r="H329" s="948">
        <v>90</v>
      </c>
      <c r="I329" s="471">
        <v>3</v>
      </c>
      <c r="J329" s="471">
        <f t="shared" si="23"/>
        <v>270</v>
      </c>
      <c r="K329" s="31"/>
    </row>
    <row r="330" spans="1:12" ht="20.2" customHeight="1">
      <c r="A330" s="617"/>
      <c r="B330" s="32"/>
      <c r="C330" s="54" t="s">
        <v>1598</v>
      </c>
      <c r="D330" s="951"/>
      <c r="E330" s="953" t="s">
        <v>1651</v>
      </c>
      <c r="F330" s="462"/>
      <c r="G330" s="462"/>
      <c r="H330" s="948">
        <v>4</v>
      </c>
      <c r="I330" s="471">
        <v>32</v>
      </c>
      <c r="J330" s="471">
        <f t="shared" si="23"/>
        <v>128</v>
      </c>
      <c r="K330" s="31"/>
      <c r="L330" s="105"/>
    </row>
    <row r="331" spans="1:12" ht="20.2" customHeight="1">
      <c r="A331" s="617"/>
      <c r="B331" s="34"/>
      <c r="C331" s="54" t="s">
        <v>1484</v>
      </c>
      <c r="D331" s="951">
        <v>2.75</v>
      </c>
      <c r="E331" s="471">
        <v>1.3</v>
      </c>
      <c r="F331" s="462"/>
      <c r="G331" s="471">
        <v>1.35</v>
      </c>
      <c r="H331" s="462">
        <f>ROUND(G331*E331*D331,2)</f>
        <v>4.83</v>
      </c>
      <c r="I331" s="698">
        <f>G15</f>
        <v>561.35799999999995</v>
      </c>
      <c r="J331" s="471">
        <f>ROUND(H331*I331/10,2)</f>
        <v>271.14</v>
      </c>
      <c r="K331" s="31"/>
      <c r="L331" s="105"/>
    </row>
    <row r="332" spans="1:12" ht="20.2" customHeight="1">
      <c r="A332" s="617"/>
      <c r="B332" s="34"/>
      <c r="C332" s="451" t="s">
        <v>1306</v>
      </c>
      <c r="D332" s="951" t="s">
        <v>246</v>
      </c>
      <c r="E332" s="471">
        <v>1.35</v>
      </c>
      <c r="F332" s="462">
        <f>10*1.35</f>
        <v>13.5</v>
      </c>
      <c r="G332" s="471">
        <v>1.1299999999999999</v>
      </c>
      <c r="H332" s="462">
        <f>G332*F332</f>
        <v>15.254999999999999</v>
      </c>
      <c r="I332" s="465">
        <f>'Lead- Input sheet '!R10/1000</f>
        <v>69.62</v>
      </c>
      <c r="J332" s="471">
        <f>ROUND(H332*I332,2)</f>
        <v>1062.05</v>
      </c>
      <c r="K332" s="31"/>
      <c r="L332" s="105"/>
    </row>
    <row r="333" spans="1:12" ht="20.2" customHeight="1">
      <c r="A333" s="617"/>
      <c r="B333" s="34"/>
      <c r="C333" s="54" t="s">
        <v>230</v>
      </c>
      <c r="D333" s="951"/>
      <c r="E333" s="471"/>
      <c r="F333" s="462"/>
      <c r="G333" s="462"/>
      <c r="H333" s="948">
        <v>1</v>
      </c>
      <c r="I333" s="471">
        <v>100</v>
      </c>
      <c r="J333" s="471">
        <f>H333*I333</f>
        <v>100</v>
      </c>
      <c r="K333" s="31"/>
      <c r="L333" s="105"/>
    </row>
    <row r="334" spans="1:12" ht="20.2" customHeight="1">
      <c r="A334" s="617"/>
      <c r="B334" s="34"/>
      <c r="D334" s="951"/>
      <c r="E334" s="471"/>
      <c r="F334" s="462"/>
      <c r="G334" s="462"/>
      <c r="H334" s="462"/>
      <c r="I334" s="471"/>
      <c r="J334" s="471">
        <f>SUM(J318:J333)</f>
        <v>7813.59</v>
      </c>
      <c r="K334" s="31"/>
    </row>
    <row r="335" spans="1:12" s="18" customFormat="1" ht="20.2" customHeight="1">
      <c r="A335" s="617"/>
      <c r="B335" s="40"/>
      <c r="C335" s="54" t="s">
        <v>1600</v>
      </c>
      <c r="D335" s="954"/>
      <c r="E335" s="468"/>
      <c r="F335" s="458"/>
      <c r="G335" s="458"/>
      <c r="H335" s="458">
        <f>J334</f>
        <v>7813.59</v>
      </c>
      <c r="I335" s="468">
        <f>I6</f>
        <v>0</v>
      </c>
      <c r="J335" s="471">
        <f>ROUND(H335*I335,2)</f>
        <v>0</v>
      </c>
      <c r="K335" s="17"/>
    </row>
    <row r="336" spans="1:12" s="439" customFormat="1" ht="20.2" customHeight="1">
      <c r="A336" s="617" t="s">
        <v>542</v>
      </c>
      <c r="B336" s="411"/>
      <c r="C336" s="283" t="s">
        <v>256</v>
      </c>
      <c r="D336" s="955"/>
      <c r="E336" s="469"/>
      <c r="F336" s="460"/>
      <c r="G336" s="460"/>
      <c r="H336" s="460"/>
      <c r="I336" s="469" t="s">
        <v>416</v>
      </c>
      <c r="J336" s="469">
        <f>SUM(J334:J335)</f>
        <v>7813.59</v>
      </c>
      <c r="K336" s="447"/>
    </row>
    <row r="337" spans="1:18">
      <c r="A337" s="617"/>
      <c r="B337" s="34"/>
      <c r="C337" s="417" t="s">
        <v>543</v>
      </c>
      <c r="D337" s="951"/>
      <c r="E337" s="471"/>
      <c r="F337" s="462"/>
      <c r="G337" s="462"/>
      <c r="H337" s="462"/>
      <c r="I337" s="471"/>
      <c r="J337" s="471"/>
      <c r="K337" s="31"/>
    </row>
    <row r="338" spans="1:18">
      <c r="A338" s="617"/>
      <c r="B338" s="34"/>
      <c r="C338" s="54" t="s">
        <v>848</v>
      </c>
      <c r="D338" s="951"/>
      <c r="E338" s="471"/>
      <c r="F338" s="462"/>
      <c r="G338" s="462"/>
      <c r="H338" s="462"/>
      <c r="I338" s="471"/>
      <c r="J338" s="471"/>
      <c r="K338" s="31"/>
    </row>
    <row r="339" spans="1:18" ht="20.2" customHeight="1">
      <c r="A339" s="617"/>
      <c r="B339" s="34"/>
      <c r="C339" s="54" t="s">
        <v>780</v>
      </c>
      <c r="D339" s="951">
        <v>4</v>
      </c>
      <c r="E339" s="471">
        <v>1.35</v>
      </c>
      <c r="F339" s="462">
        <v>0.1</v>
      </c>
      <c r="G339" s="462">
        <v>7.4999999999999997E-2</v>
      </c>
      <c r="H339" s="462">
        <f>ROUND(D339*E339*F339*G339,3)</f>
        <v>4.1000000000000002E-2</v>
      </c>
      <c r="I339" s="471">
        <v>25497.19</v>
      </c>
      <c r="J339" s="471">
        <f>ROUND(H339*I339,2)</f>
        <v>1045.3800000000001</v>
      </c>
      <c r="K339" s="31"/>
    </row>
    <row r="340" spans="1:18" ht="20.2" customHeight="1">
      <c r="A340" s="617"/>
      <c r="B340" s="34"/>
      <c r="C340" s="54" t="s">
        <v>441</v>
      </c>
      <c r="D340" s="951">
        <v>2</v>
      </c>
      <c r="E340" s="471">
        <v>1.5</v>
      </c>
      <c r="F340" s="462">
        <v>0.1</v>
      </c>
      <c r="G340" s="462">
        <v>7.4999999999999997E-2</v>
      </c>
      <c r="H340" s="462">
        <f>ROUND(D340*E340*F340*G340,3)</f>
        <v>2.3E-2</v>
      </c>
      <c r="I340" s="471">
        <v>25497.19</v>
      </c>
      <c r="J340" s="471">
        <f>ROUND(H340*I340,2)</f>
        <v>586.44000000000005</v>
      </c>
      <c r="K340" s="31"/>
    </row>
    <row r="341" spans="1:18" ht="20.2" customHeight="1">
      <c r="A341" s="617"/>
      <c r="B341" s="34"/>
      <c r="C341" s="54" t="s">
        <v>1482</v>
      </c>
      <c r="D341" s="951"/>
      <c r="E341" s="471"/>
      <c r="F341" s="462"/>
      <c r="G341" s="462"/>
      <c r="H341" s="462">
        <f>SUM(H339:H340)</f>
        <v>6.4000000000000001E-2</v>
      </c>
      <c r="I341" s="698">
        <f>G25</f>
        <v>15767</v>
      </c>
      <c r="J341" s="471">
        <f>ROUND(H341*I341,2)</f>
        <v>1009.09</v>
      </c>
      <c r="K341" s="31"/>
    </row>
    <row r="342" spans="1:18" ht="20.2" customHeight="1">
      <c r="A342" s="617"/>
      <c r="B342" s="32"/>
      <c r="C342" s="54" t="s">
        <v>1598</v>
      </c>
      <c r="D342" s="951"/>
      <c r="E342" s="953" t="s">
        <v>1651</v>
      </c>
      <c r="F342" s="462"/>
      <c r="G342" s="462"/>
      <c r="H342" s="948">
        <v>4</v>
      </c>
      <c r="I342" s="471">
        <v>32</v>
      </c>
      <c r="J342" s="471">
        <f>ROUND(H342*I342,2)</f>
        <v>128</v>
      </c>
      <c r="K342" s="31"/>
      <c r="L342" s="105"/>
    </row>
    <row r="343" spans="1:18" ht="20.2" customHeight="1">
      <c r="A343" s="617"/>
      <c r="B343" s="34"/>
      <c r="C343" s="54" t="s">
        <v>1484</v>
      </c>
      <c r="D343" s="951" t="s">
        <v>544</v>
      </c>
      <c r="E343" s="471">
        <v>1.3</v>
      </c>
      <c r="F343" s="462"/>
      <c r="G343" s="471">
        <v>1.35</v>
      </c>
      <c r="H343" s="462">
        <f>ROUND(G343*E343*2.75/3,2)</f>
        <v>1.61</v>
      </c>
      <c r="I343" s="698">
        <f>G15</f>
        <v>561.35799999999995</v>
      </c>
      <c r="J343" s="471">
        <f>ROUND(H343*I343/10,2)</f>
        <v>90.38</v>
      </c>
      <c r="K343" s="31"/>
      <c r="L343" s="105"/>
    </row>
    <row r="344" spans="1:18" ht="20.2" customHeight="1">
      <c r="A344" s="617"/>
      <c r="B344" s="34"/>
      <c r="C344" s="451" t="s">
        <v>1306</v>
      </c>
      <c r="D344" s="951" t="s">
        <v>246</v>
      </c>
      <c r="E344" s="471">
        <v>1.35</v>
      </c>
      <c r="F344" s="462">
        <f>10*1.35</f>
        <v>13.5</v>
      </c>
      <c r="G344" s="471">
        <v>1.1299999999999999</v>
      </c>
      <c r="H344" s="462">
        <f>G344*F344</f>
        <v>15.254999999999999</v>
      </c>
      <c r="I344" s="465">
        <f>'Lead- Input sheet '!R10/1000</f>
        <v>69.62</v>
      </c>
      <c r="J344" s="471">
        <f>H344*I344</f>
        <v>1062.0531000000001</v>
      </c>
      <c r="K344" s="31"/>
      <c r="L344" s="105"/>
    </row>
    <row r="345" spans="1:18" ht="20.2" customHeight="1">
      <c r="A345" s="617"/>
      <c r="B345" s="34"/>
      <c r="C345" s="54" t="s">
        <v>230</v>
      </c>
      <c r="D345" s="951"/>
      <c r="E345" s="471"/>
      <c r="F345" s="462"/>
      <c r="G345" s="462"/>
      <c r="H345" s="948">
        <v>1</v>
      </c>
      <c r="I345" s="471">
        <v>50</v>
      </c>
      <c r="J345" s="471">
        <f>H345*I345</f>
        <v>50</v>
      </c>
      <c r="K345" s="31"/>
      <c r="L345" s="105"/>
    </row>
    <row r="346" spans="1:18" ht="20.2" customHeight="1">
      <c r="A346" s="617"/>
      <c r="B346" s="34"/>
      <c r="D346" s="951"/>
      <c r="E346" s="471"/>
      <c r="F346" s="462"/>
      <c r="G346" s="462"/>
      <c r="H346" s="462"/>
      <c r="I346" s="471"/>
      <c r="J346" s="471">
        <f>SUM(J339:J345)</f>
        <v>3971.3431000000005</v>
      </c>
      <c r="K346" s="31"/>
    </row>
    <row r="347" spans="1:18" s="18" customFormat="1" ht="20.2" customHeight="1">
      <c r="A347" s="617"/>
      <c r="B347" s="40"/>
      <c r="C347" s="54" t="s">
        <v>1600</v>
      </c>
      <c r="D347" s="954"/>
      <c r="E347" s="468"/>
      <c r="F347" s="458"/>
      <c r="G347" s="458"/>
      <c r="H347" s="458">
        <f>J346</f>
        <v>3971.3431000000005</v>
      </c>
      <c r="I347" s="468">
        <f>I6</f>
        <v>0</v>
      </c>
      <c r="J347" s="471">
        <f>ROUND(H347*I347,2)</f>
        <v>0</v>
      </c>
      <c r="K347" s="17"/>
    </row>
    <row r="348" spans="1:18" s="439" customFormat="1" ht="20.2" customHeight="1">
      <c r="A348" s="617" t="s">
        <v>542</v>
      </c>
      <c r="B348" s="411"/>
      <c r="C348" s="418" t="s">
        <v>545</v>
      </c>
      <c r="D348" s="955"/>
      <c r="E348" s="469"/>
      <c r="F348" s="460"/>
      <c r="G348" s="460"/>
      <c r="H348" s="460"/>
      <c r="I348" s="469" t="s">
        <v>1486</v>
      </c>
      <c r="J348" s="469">
        <f>SUM(J346:J347)</f>
        <v>3971.3431000000005</v>
      </c>
      <c r="K348" s="447"/>
    </row>
    <row r="349" spans="1:18" s="439" customFormat="1" ht="20.2" customHeight="1">
      <c r="A349" s="617">
        <v>0</v>
      </c>
      <c r="B349" s="411"/>
      <c r="C349" s="418" t="s">
        <v>546</v>
      </c>
      <c r="D349" s="955"/>
      <c r="E349" s="469"/>
      <c r="F349" s="460"/>
      <c r="G349" s="460"/>
      <c r="H349" s="460"/>
      <c r="I349" s="469" t="s">
        <v>1486</v>
      </c>
      <c r="J349" s="469">
        <f>J336-J348</f>
        <v>3842.2468999999996</v>
      </c>
      <c r="K349" s="447"/>
    </row>
    <row r="350" spans="1:18" ht="116.1">
      <c r="A350" s="617"/>
      <c r="B350" s="966">
        <v>6</v>
      </c>
      <c r="C350" s="54" t="s">
        <v>1654</v>
      </c>
      <c r="D350" s="951"/>
      <c r="E350" s="471"/>
      <c r="F350" s="462"/>
      <c r="G350" s="462"/>
      <c r="H350" s="462"/>
      <c r="I350" s="471"/>
      <c r="J350" s="471"/>
      <c r="K350" s="31"/>
    </row>
    <row r="351" spans="1:18">
      <c r="A351" s="617"/>
      <c r="B351" s="34"/>
      <c r="C351" s="55" t="s">
        <v>947</v>
      </c>
      <c r="D351" s="951"/>
      <c r="E351" s="471"/>
      <c r="F351" s="462"/>
      <c r="G351" s="462"/>
      <c r="H351" s="462"/>
      <c r="I351" s="471"/>
      <c r="J351" s="471"/>
      <c r="K351" s="55" t="s">
        <v>1776</v>
      </c>
      <c r="L351" s="951"/>
      <c r="M351" s="471"/>
      <c r="N351" s="462"/>
      <c r="O351" s="462"/>
      <c r="P351" s="462"/>
      <c r="Q351" s="471"/>
      <c r="R351" s="471"/>
    </row>
    <row r="352" spans="1:18">
      <c r="A352" s="617"/>
      <c r="B352" s="34"/>
      <c r="C352" s="54" t="s">
        <v>848</v>
      </c>
      <c r="D352" s="951"/>
      <c r="E352" s="471"/>
      <c r="F352" s="462"/>
      <c r="G352" s="462"/>
      <c r="H352" s="462"/>
      <c r="I352" s="471"/>
      <c r="J352" s="471"/>
      <c r="K352" s="54" t="s">
        <v>848</v>
      </c>
      <c r="L352" s="951"/>
      <c r="M352" s="471"/>
      <c r="N352" s="462"/>
      <c r="O352" s="462"/>
      <c r="P352" s="462"/>
      <c r="Q352" s="471"/>
      <c r="R352" s="471"/>
    </row>
    <row r="353" spans="1:18" ht="20.2" customHeight="1">
      <c r="A353" s="617"/>
      <c r="B353" s="34"/>
      <c r="C353" s="54" t="s">
        <v>780</v>
      </c>
      <c r="D353" s="951">
        <v>5</v>
      </c>
      <c r="E353" s="471">
        <v>1.3</v>
      </c>
      <c r="F353" s="462">
        <v>0.1</v>
      </c>
      <c r="G353" s="462">
        <v>7.4999999999999997E-2</v>
      </c>
      <c r="H353" s="462">
        <f>ROUND(D353*E353*F353*G353,3)</f>
        <v>4.9000000000000002E-2</v>
      </c>
      <c r="I353" s="471">
        <v>25497.19</v>
      </c>
      <c r="J353" s="471">
        <f>ROUND(H353*I353,2)</f>
        <v>1249.3599999999999</v>
      </c>
      <c r="K353" s="54" t="s">
        <v>780</v>
      </c>
      <c r="L353" s="951">
        <v>5</v>
      </c>
      <c r="M353" s="471">
        <v>1.2</v>
      </c>
      <c r="N353" s="462">
        <v>0.1</v>
      </c>
      <c r="O353" s="462">
        <v>7.4999999999999997E-2</v>
      </c>
      <c r="P353" s="462">
        <f>ROUND(L353*M353*N353*O353,3)</f>
        <v>4.4999999999999998E-2</v>
      </c>
      <c r="Q353" s="471">
        <v>25497.19</v>
      </c>
      <c r="R353" s="471">
        <f>ROUND(P353*Q353,2)</f>
        <v>1147.3699999999999</v>
      </c>
    </row>
    <row r="354" spans="1:18" ht="20.2" customHeight="1">
      <c r="A354" s="617"/>
      <c r="B354" s="34"/>
      <c r="C354" s="54" t="s">
        <v>441</v>
      </c>
      <c r="D354" s="951">
        <v>2</v>
      </c>
      <c r="E354" s="471">
        <v>2</v>
      </c>
      <c r="F354" s="462">
        <v>0.1</v>
      </c>
      <c r="G354" s="462">
        <v>7.4999999999999997E-2</v>
      </c>
      <c r="H354" s="462">
        <f>ROUND(D354*E354*F354*G354,3)</f>
        <v>0.03</v>
      </c>
      <c r="I354" s="471">
        <v>25497.19</v>
      </c>
      <c r="J354" s="471">
        <f>ROUND(H354*I354,2)</f>
        <v>764.92</v>
      </c>
      <c r="K354" s="54" t="s">
        <v>441</v>
      </c>
      <c r="L354" s="951">
        <v>2</v>
      </c>
      <c r="M354" s="471">
        <v>2</v>
      </c>
      <c r="N354" s="462">
        <v>0.1</v>
      </c>
      <c r="O354" s="462">
        <v>7.4999999999999997E-2</v>
      </c>
      <c r="P354" s="462">
        <f>ROUND(L354*M354*N354*O354,3)</f>
        <v>0.03</v>
      </c>
      <c r="Q354" s="471">
        <v>25497.19</v>
      </c>
      <c r="R354" s="471">
        <f>ROUND(P354*Q354,2)</f>
        <v>764.92</v>
      </c>
    </row>
    <row r="355" spans="1:18" ht="20.2" customHeight="1">
      <c r="A355" s="617"/>
      <c r="B355" s="34"/>
      <c r="C355" s="54" t="s">
        <v>782</v>
      </c>
      <c r="D355" s="951" t="s">
        <v>854</v>
      </c>
      <c r="E355" s="471">
        <f>(1.35-2*0.075+2*0.015)</f>
        <v>1.2300000000000002</v>
      </c>
      <c r="F355" s="462">
        <v>7.4999999999999997E-2</v>
      </c>
      <c r="G355" s="462">
        <v>3.2000000000000001E-2</v>
      </c>
      <c r="H355" s="462">
        <f>ROUND(8*E355*F355*G355,3)</f>
        <v>2.4E-2</v>
      </c>
      <c r="I355" s="471">
        <v>31076.9</v>
      </c>
      <c r="J355" s="471">
        <f>ROUND(H355*I355,2)</f>
        <v>745.85</v>
      </c>
      <c r="K355" s="54" t="s">
        <v>782</v>
      </c>
      <c r="L355" s="951" t="s">
        <v>854</v>
      </c>
      <c r="M355" s="471">
        <f>(1.2-2*0.075+2*0.015)</f>
        <v>1.08</v>
      </c>
      <c r="N355" s="462">
        <v>7.4999999999999997E-2</v>
      </c>
      <c r="O355" s="462">
        <v>3.2000000000000001E-2</v>
      </c>
      <c r="P355" s="462">
        <f>ROUND(8*M355*N355*O355,3)</f>
        <v>2.1000000000000001E-2</v>
      </c>
      <c r="Q355" s="471">
        <v>31076.9</v>
      </c>
      <c r="R355" s="471">
        <f>ROUND(P355*Q355,2)</f>
        <v>652.61</v>
      </c>
    </row>
    <row r="356" spans="1:18" ht="20.2" customHeight="1">
      <c r="A356" s="617"/>
      <c r="B356" s="34"/>
      <c r="C356" s="54" t="s">
        <v>783</v>
      </c>
      <c r="D356" s="951" t="s">
        <v>855</v>
      </c>
      <c r="E356" s="471">
        <f>(1.85-5*0.075+8*0.015)/4</f>
        <v>0.39875000000000005</v>
      </c>
      <c r="F356" s="462">
        <v>7.4999999999999997E-2</v>
      </c>
      <c r="G356" s="462">
        <v>3.2000000000000001E-2</v>
      </c>
      <c r="H356" s="462">
        <f>ROUND(12*E356*F356*G356,3)</f>
        <v>1.0999999999999999E-2</v>
      </c>
      <c r="I356" s="471">
        <v>31076.9</v>
      </c>
      <c r="J356" s="471">
        <f>ROUND(H356*I356,2)</f>
        <v>341.85</v>
      </c>
      <c r="K356" s="54" t="s">
        <v>783</v>
      </c>
      <c r="L356" s="951" t="s">
        <v>855</v>
      </c>
      <c r="M356" s="471">
        <f>(1.85-5*0.075+8*0.015)/4</f>
        <v>0.39875000000000005</v>
      </c>
      <c r="N356" s="462">
        <v>7.4999999999999997E-2</v>
      </c>
      <c r="O356" s="462">
        <v>3.2000000000000001E-2</v>
      </c>
      <c r="P356" s="462">
        <f>ROUND(12*M356*N356*O356,3)</f>
        <v>1.0999999999999999E-2</v>
      </c>
      <c r="Q356" s="471">
        <v>31076.9</v>
      </c>
      <c r="R356" s="471">
        <f>ROUND(P356*Q356,2)</f>
        <v>341.85</v>
      </c>
    </row>
    <row r="357" spans="1:18" ht="35.200000000000003" customHeight="1">
      <c r="A357" s="617" t="s">
        <v>418</v>
      </c>
      <c r="C357" s="54" t="s">
        <v>417</v>
      </c>
      <c r="D357" s="951" t="s">
        <v>854</v>
      </c>
      <c r="E357" s="471">
        <f>(1.85-5*0.075+8*0.015)/4+2*0.025</f>
        <v>0.44875000000000004</v>
      </c>
      <c r="F357" s="462">
        <f>(1.35-2*0.075+2*0.015-3*0.075)/2+2*0.025</f>
        <v>0.55250000000000021</v>
      </c>
      <c r="G357" s="462">
        <f>ROUND(8*E357*F357,3)</f>
        <v>1.9830000000000001</v>
      </c>
      <c r="H357" s="462"/>
      <c r="I357" s="471">
        <v>806</v>
      </c>
      <c r="J357" s="471">
        <f>ROUND(G357*I357,2)</f>
        <v>1598.3</v>
      </c>
      <c r="K357" s="54" t="s">
        <v>417</v>
      </c>
      <c r="L357" s="951" t="s">
        <v>854</v>
      </c>
      <c r="M357" s="471">
        <f>(1.85-5*0.075+8*0.015)/4+2*0.025</f>
        <v>0.44875000000000004</v>
      </c>
      <c r="N357" s="462">
        <f>(1.2-2*0.075+2*0.015-3*0.075)/2+2*0.025</f>
        <v>0.47750000000000004</v>
      </c>
      <c r="O357" s="462">
        <f>ROUND(8*M357*N357,3)</f>
        <v>1.714</v>
      </c>
      <c r="P357" s="462"/>
      <c r="Q357" s="471">
        <v>806</v>
      </c>
      <c r="R357" s="471">
        <f>ROUND(O357*Q357,2)</f>
        <v>1381.48</v>
      </c>
    </row>
    <row r="358" spans="1:18" ht="20.2" customHeight="1">
      <c r="A358" s="617"/>
      <c r="B358" s="34"/>
      <c r="C358" s="54" t="s">
        <v>1482</v>
      </c>
      <c r="D358" s="951"/>
      <c r="E358" s="471"/>
      <c r="F358" s="462"/>
      <c r="G358" s="462"/>
      <c r="H358" s="462">
        <f>SUM(H353:H357)</f>
        <v>0.114</v>
      </c>
      <c r="I358" s="465">
        <f>G25</f>
        <v>15767</v>
      </c>
      <c r="J358" s="471">
        <f>ROUND(H358*I358,2)</f>
        <v>1797.44</v>
      </c>
      <c r="K358" s="54" t="s">
        <v>1482</v>
      </c>
      <c r="L358" s="951"/>
      <c r="M358" s="471"/>
      <c r="N358" s="462"/>
      <c r="O358" s="462"/>
      <c r="P358" s="462">
        <f>SUM(P353:P357)</f>
        <v>0.107</v>
      </c>
      <c r="Q358" s="465">
        <f>I358</f>
        <v>15767</v>
      </c>
      <c r="R358" s="471">
        <f>ROUND(P358*Q358,2)</f>
        <v>1687.07</v>
      </c>
    </row>
    <row r="359" spans="1:18" ht="33.299999999999997">
      <c r="A359" s="617" t="s">
        <v>787</v>
      </c>
      <c r="B359" s="19"/>
      <c r="C359" s="54" t="s">
        <v>788</v>
      </c>
      <c r="D359" s="951"/>
      <c r="E359" s="471"/>
      <c r="F359" s="462"/>
      <c r="G359" s="952"/>
      <c r="H359" s="952"/>
      <c r="I359" s="471"/>
      <c r="J359" s="471"/>
      <c r="K359" s="54" t="s">
        <v>788</v>
      </c>
      <c r="L359" s="951"/>
      <c r="M359" s="471"/>
      <c r="N359" s="462"/>
      <c r="O359" s="952"/>
      <c r="P359" s="952"/>
      <c r="Q359" s="471"/>
      <c r="R359" s="471"/>
    </row>
    <row r="360" spans="1:18" ht="20.2" customHeight="1">
      <c r="A360" s="617"/>
      <c r="B360" s="693"/>
      <c r="C360" s="694" t="s">
        <v>915</v>
      </c>
      <c r="D360" s="471" t="s">
        <v>1035</v>
      </c>
      <c r="E360" s="462" t="s">
        <v>1624</v>
      </c>
      <c r="F360" s="462"/>
      <c r="G360" s="462"/>
      <c r="H360" s="948">
        <v>4</v>
      </c>
      <c r="I360" s="471">
        <v>35</v>
      </c>
      <c r="J360" s="471">
        <f t="shared" ref="J360:J365" si="24">ROUND(H360*I360,2)</f>
        <v>140</v>
      </c>
      <c r="K360" s="694" t="s">
        <v>915</v>
      </c>
      <c r="L360" s="471" t="s">
        <v>1035</v>
      </c>
      <c r="M360" s="462" t="s">
        <v>1624</v>
      </c>
      <c r="N360" s="462"/>
      <c r="O360" s="462"/>
      <c r="P360" s="948">
        <v>3</v>
      </c>
      <c r="Q360" s="471">
        <v>38</v>
      </c>
      <c r="R360" s="471">
        <f t="shared" ref="R360:R365" si="25">ROUND(P360*Q360,2)</f>
        <v>114</v>
      </c>
    </row>
    <row r="361" spans="1:18" ht="20.2" customHeight="1">
      <c r="A361" s="617"/>
      <c r="B361" s="693"/>
      <c r="C361" s="31" t="s">
        <v>916</v>
      </c>
      <c r="D361" s="471" t="s">
        <v>1035</v>
      </c>
      <c r="E361" s="462" t="s">
        <v>1624</v>
      </c>
      <c r="F361" s="462"/>
      <c r="G361" s="462"/>
      <c r="H361" s="948">
        <v>4</v>
      </c>
      <c r="I361" s="471">
        <v>35</v>
      </c>
      <c r="J361" s="471">
        <f t="shared" si="24"/>
        <v>140</v>
      </c>
      <c r="K361" s="31" t="s">
        <v>916</v>
      </c>
      <c r="L361" s="471" t="s">
        <v>1035</v>
      </c>
      <c r="M361" s="462" t="s">
        <v>1624</v>
      </c>
      <c r="N361" s="462"/>
      <c r="O361" s="462"/>
      <c r="P361" s="948">
        <v>3</v>
      </c>
      <c r="Q361" s="471">
        <v>38</v>
      </c>
      <c r="R361" s="471">
        <f t="shared" si="25"/>
        <v>114</v>
      </c>
    </row>
    <row r="362" spans="1:18" ht="20.2" customHeight="1">
      <c r="A362" s="617"/>
      <c r="B362" s="693"/>
      <c r="C362" s="946" t="s">
        <v>917</v>
      </c>
      <c r="D362" s="471" t="s">
        <v>1035</v>
      </c>
      <c r="E362" s="462" t="s">
        <v>1625</v>
      </c>
      <c r="F362" s="462"/>
      <c r="G362" s="462"/>
      <c r="H362" s="948">
        <v>8</v>
      </c>
      <c r="I362" s="471">
        <v>21</v>
      </c>
      <c r="J362" s="471">
        <f t="shared" si="24"/>
        <v>168</v>
      </c>
      <c r="K362" s="946" t="s">
        <v>917</v>
      </c>
      <c r="L362" s="471" t="s">
        <v>1035</v>
      </c>
      <c r="M362" s="462" t="s">
        <v>1625</v>
      </c>
      <c r="N362" s="462"/>
      <c r="O362" s="462"/>
      <c r="P362" s="948">
        <v>6</v>
      </c>
      <c r="Q362" s="471">
        <v>26</v>
      </c>
      <c r="R362" s="471">
        <f t="shared" si="25"/>
        <v>156</v>
      </c>
    </row>
    <row r="363" spans="1:18" ht="20.2" customHeight="1">
      <c r="A363" s="617"/>
      <c r="B363" s="693"/>
      <c r="C363" s="694" t="s">
        <v>918</v>
      </c>
      <c r="D363" s="471" t="s">
        <v>1035</v>
      </c>
      <c r="E363" s="462" t="s">
        <v>1626</v>
      </c>
      <c r="F363" s="462"/>
      <c r="G363" s="462"/>
      <c r="H363" s="948">
        <v>4</v>
      </c>
      <c r="I363" s="471">
        <v>213</v>
      </c>
      <c r="J363" s="471">
        <f t="shared" si="24"/>
        <v>852</v>
      </c>
      <c r="K363" s="694" t="s">
        <v>918</v>
      </c>
      <c r="L363" s="471" t="s">
        <v>1035</v>
      </c>
      <c r="M363" s="462" t="s">
        <v>1626</v>
      </c>
      <c r="N363" s="462"/>
      <c r="O363" s="462"/>
      <c r="P363" s="948">
        <v>3</v>
      </c>
      <c r="Q363" s="471">
        <v>107</v>
      </c>
      <c r="R363" s="471">
        <f t="shared" si="25"/>
        <v>321</v>
      </c>
    </row>
    <row r="364" spans="1:18" ht="20.2" customHeight="1">
      <c r="A364" s="617"/>
      <c r="B364" s="693"/>
      <c r="C364" s="694" t="s">
        <v>799</v>
      </c>
      <c r="D364" s="471" t="s">
        <v>882</v>
      </c>
      <c r="E364" s="462" t="s">
        <v>1652</v>
      </c>
      <c r="F364" s="462"/>
      <c r="G364" s="462"/>
      <c r="H364" s="948">
        <v>90</v>
      </c>
      <c r="I364" s="471">
        <v>3</v>
      </c>
      <c r="J364" s="471">
        <f t="shared" si="24"/>
        <v>270</v>
      </c>
      <c r="K364" s="694" t="s">
        <v>799</v>
      </c>
      <c r="L364" s="471" t="s">
        <v>882</v>
      </c>
      <c r="M364" s="462" t="s">
        <v>1652</v>
      </c>
      <c r="N364" s="462"/>
      <c r="O364" s="462"/>
      <c r="P364" s="948">
        <v>90</v>
      </c>
      <c r="Q364" s="471">
        <v>0.89</v>
      </c>
      <c r="R364" s="471">
        <f t="shared" si="25"/>
        <v>80.099999999999994</v>
      </c>
    </row>
    <row r="365" spans="1:18" ht="20.2" customHeight="1">
      <c r="A365" s="617"/>
      <c r="B365" s="32"/>
      <c r="C365" s="54" t="s">
        <v>1598</v>
      </c>
      <c r="D365" s="951"/>
      <c r="E365" s="953" t="s">
        <v>1651</v>
      </c>
      <c r="F365" s="462"/>
      <c r="G365" s="462"/>
      <c r="H365" s="948">
        <v>4</v>
      </c>
      <c r="I365" s="471">
        <v>32</v>
      </c>
      <c r="J365" s="471">
        <f t="shared" si="24"/>
        <v>128</v>
      </c>
      <c r="K365" s="54" t="s">
        <v>1598</v>
      </c>
      <c r="L365" s="951"/>
      <c r="M365" s="953" t="s">
        <v>1651</v>
      </c>
      <c r="N365" s="462"/>
      <c r="O365" s="462"/>
      <c r="P365" s="948">
        <v>4</v>
      </c>
      <c r="Q365" s="471">
        <v>35</v>
      </c>
      <c r="R365" s="471">
        <f t="shared" si="25"/>
        <v>140</v>
      </c>
    </row>
    <row r="366" spans="1:18" ht="20.2" customHeight="1">
      <c r="A366" s="617"/>
      <c r="B366" s="34"/>
      <c r="C366" s="54" t="s">
        <v>1484</v>
      </c>
      <c r="D366" s="951">
        <v>2.75</v>
      </c>
      <c r="E366" s="471">
        <v>1.8</v>
      </c>
      <c r="F366" s="462"/>
      <c r="G366" s="471">
        <v>1.35</v>
      </c>
      <c r="H366" s="462">
        <f>ROUND(G366*E366*D366,2)</f>
        <v>6.68</v>
      </c>
      <c r="I366" s="698">
        <f>G15</f>
        <v>561.35799999999995</v>
      </c>
      <c r="J366" s="471">
        <f>ROUND(H366*I366/10,2)</f>
        <v>374.99</v>
      </c>
      <c r="K366" s="54" t="s">
        <v>1484</v>
      </c>
      <c r="L366" s="951">
        <v>2.75</v>
      </c>
      <c r="M366" s="471">
        <v>1.8</v>
      </c>
      <c r="N366" s="462"/>
      <c r="O366" s="471">
        <v>1.2</v>
      </c>
      <c r="P366" s="462">
        <f>ROUND(O366*M366*L366,2)</f>
        <v>5.94</v>
      </c>
      <c r="Q366" s="698">
        <f>I366</f>
        <v>561.35799999999995</v>
      </c>
      <c r="R366" s="471">
        <f>ROUND(P366*Q366/10,2)</f>
        <v>333.45</v>
      </c>
    </row>
    <row r="367" spans="1:18" ht="20.2" customHeight="1">
      <c r="A367" s="617"/>
      <c r="B367" s="34"/>
      <c r="C367" s="451" t="s">
        <v>1306</v>
      </c>
      <c r="D367" s="951" t="s">
        <v>246</v>
      </c>
      <c r="E367" s="471">
        <v>1.8</v>
      </c>
      <c r="F367" s="462">
        <f>10*1.8</f>
        <v>18</v>
      </c>
      <c r="G367" s="471">
        <v>1.1299999999999999</v>
      </c>
      <c r="H367" s="462">
        <f>G367*F367</f>
        <v>20.339999999999996</v>
      </c>
      <c r="I367" s="465">
        <f>'Lead- Input sheet '!R10/1000</f>
        <v>69.62</v>
      </c>
      <c r="J367" s="471">
        <f>H367*I367</f>
        <v>1416.0707999999997</v>
      </c>
      <c r="K367" s="451" t="s">
        <v>1306</v>
      </c>
      <c r="L367" s="951" t="s">
        <v>246</v>
      </c>
      <c r="M367" s="471">
        <v>1.8</v>
      </c>
      <c r="N367" s="462">
        <f>10*1.8</f>
        <v>18</v>
      </c>
      <c r="O367" s="471">
        <v>1.1299999999999999</v>
      </c>
      <c r="P367" s="462">
        <f>O367*N367</f>
        <v>20.339999999999996</v>
      </c>
      <c r="Q367" s="698">
        <f>I367</f>
        <v>69.62</v>
      </c>
      <c r="R367" s="471">
        <f>P367*Q367</f>
        <v>1416.0707999999997</v>
      </c>
    </row>
    <row r="368" spans="1:18" ht="20.2" customHeight="1">
      <c r="A368" s="617"/>
      <c r="B368" s="34"/>
      <c r="C368" s="54" t="s">
        <v>230</v>
      </c>
      <c r="D368" s="951"/>
      <c r="E368" s="471"/>
      <c r="F368" s="462"/>
      <c r="G368" s="462"/>
      <c r="H368" s="948">
        <v>1</v>
      </c>
      <c r="I368" s="471">
        <v>150</v>
      </c>
      <c r="J368" s="471">
        <f>H368*I368</f>
        <v>150</v>
      </c>
      <c r="K368" s="54" t="s">
        <v>230</v>
      </c>
      <c r="L368" s="951"/>
      <c r="M368" s="471"/>
      <c r="N368" s="462"/>
      <c r="O368" s="462"/>
      <c r="P368" s="948">
        <v>1</v>
      </c>
      <c r="Q368" s="471">
        <v>150</v>
      </c>
      <c r="R368" s="471">
        <f>P368*Q368</f>
        <v>150</v>
      </c>
    </row>
    <row r="369" spans="1:18" ht="20.2" customHeight="1">
      <c r="A369" s="617"/>
      <c r="B369" s="34"/>
      <c r="D369" s="951"/>
      <c r="E369" s="471"/>
      <c r="F369" s="462"/>
      <c r="G369" s="462"/>
      <c r="H369" s="462"/>
      <c r="I369" s="471"/>
      <c r="J369" s="471">
        <f>SUM(J353:J368)</f>
        <v>10136.780799999999</v>
      </c>
      <c r="K369" s="54"/>
      <c r="L369" s="951"/>
      <c r="M369" s="471"/>
      <c r="N369" s="462"/>
      <c r="O369" s="462"/>
      <c r="P369" s="462"/>
      <c r="Q369" s="471"/>
      <c r="R369" s="471">
        <f>SUM(R353:R368)</f>
        <v>8799.9207999999999</v>
      </c>
    </row>
    <row r="370" spans="1:18" s="18" customFormat="1" ht="20.2" customHeight="1">
      <c r="A370" s="617"/>
      <c r="B370" s="40"/>
      <c r="C370" s="54" t="s">
        <v>1600</v>
      </c>
      <c r="D370" s="954"/>
      <c r="E370" s="468"/>
      <c r="F370" s="458"/>
      <c r="G370" s="458"/>
      <c r="H370" s="458">
        <f>J369</f>
        <v>10136.780799999999</v>
      </c>
      <c r="I370" s="468">
        <f>I6</f>
        <v>0</v>
      </c>
      <c r="J370" s="471">
        <f>ROUND(H370*I370,2)</f>
        <v>0</v>
      </c>
      <c r="K370" s="54" t="s">
        <v>1600</v>
      </c>
      <c r="L370" s="954"/>
      <c r="M370" s="468"/>
      <c r="N370" s="458"/>
      <c r="O370" s="458"/>
      <c r="P370" s="458">
        <f>R369</f>
        <v>8799.9207999999999</v>
      </c>
      <c r="Q370" s="468">
        <f>R6</f>
        <v>0</v>
      </c>
      <c r="R370" s="471">
        <f>ROUND(P370*Q370,2)</f>
        <v>0</v>
      </c>
    </row>
    <row r="371" spans="1:18" s="439" customFormat="1" ht="20.2" customHeight="1">
      <c r="A371" s="617" t="s">
        <v>547</v>
      </c>
      <c r="B371" s="411"/>
      <c r="C371" s="283" t="s">
        <v>256</v>
      </c>
      <c r="D371" s="955"/>
      <c r="E371" s="469"/>
      <c r="F371" s="460"/>
      <c r="G371" s="460"/>
      <c r="H371" s="460"/>
      <c r="I371" s="469" t="s">
        <v>416</v>
      </c>
      <c r="J371" s="469">
        <f>SUM(J369:J370)</f>
        <v>10136.780799999999</v>
      </c>
      <c r="K371" s="283" t="s">
        <v>256</v>
      </c>
      <c r="L371" s="955"/>
      <c r="M371" s="469"/>
      <c r="N371" s="460"/>
      <c r="O371" s="460"/>
      <c r="P371" s="460"/>
      <c r="Q371" s="469" t="s">
        <v>416</v>
      </c>
      <c r="R371" s="469">
        <f>SUM(R369:R370)</f>
        <v>8799.9207999999999</v>
      </c>
    </row>
    <row r="372" spans="1:18">
      <c r="A372" s="617"/>
      <c r="B372" s="34"/>
      <c r="C372" s="417" t="s">
        <v>14</v>
      </c>
      <c r="D372" s="951"/>
      <c r="E372" s="471"/>
      <c r="F372" s="462"/>
      <c r="G372" s="462"/>
      <c r="H372" s="462"/>
      <c r="I372" s="471"/>
      <c r="J372" s="471"/>
      <c r="K372" s="417" t="s">
        <v>14</v>
      </c>
      <c r="L372" s="951"/>
      <c r="M372" s="471"/>
      <c r="N372" s="462"/>
      <c r="O372" s="462"/>
      <c r="P372" s="462"/>
      <c r="Q372" s="471"/>
      <c r="R372" s="471"/>
    </row>
    <row r="373" spans="1:18">
      <c r="A373" s="617"/>
      <c r="B373" s="34"/>
      <c r="C373" s="54" t="s">
        <v>848</v>
      </c>
      <c r="D373" s="951"/>
      <c r="E373" s="471"/>
      <c r="F373" s="462"/>
      <c r="G373" s="462"/>
      <c r="H373" s="462"/>
      <c r="I373" s="471"/>
      <c r="J373" s="471"/>
      <c r="K373" s="54" t="s">
        <v>848</v>
      </c>
      <c r="L373" s="951"/>
      <c r="M373" s="471"/>
      <c r="N373" s="462"/>
      <c r="O373" s="462"/>
      <c r="P373" s="462"/>
      <c r="Q373" s="471"/>
      <c r="R373" s="471"/>
    </row>
    <row r="374" spans="1:18" ht="20.2" customHeight="1">
      <c r="A374" s="617"/>
      <c r="B374" s="34"/>
      <c r="C374" s="54" t="s">
        <v>780</v>
      </c>
      <c r="D374" s="951">
        <v>5</v>
      </c>
      <c r="E374" s="471">
        <v>1.3</v>
      </c>
      <c r="F374" s="462">
        <v>0.1</v>
      </c>
      <c r="G374" s="462">
        <v>7.4999999999999997E-2</v>
      </c>
      <c r="H374" s="462">
        <f>ROUND(D374*E374*F374*G374,3)</f>
        <v>4.9000000000000002E-2</v>
      </c>
      <c r="I374" s="471">
        <v>25497.19</v>
      </c>
      <c r="J374" s="471">
        <f>ROUND(H374*I374,2)</f>
        <v>1249.3599999999999</v>
      </c>
      <c r="K374" s="54" t="s">
        <v>780</v>
      </c>
      <c r="L374" s="951">
        <v>5</v>
      </c>
      <c r="M374" s="471">
        <v>1.2</v>
      </c>
      <c r="N374" s="462">
        <v>0.1</v>
      </c>
      <c r="O374" s="462">
        <v>7.4999999999999997E-2</v>
      </c>
      <c r="P374" s="462">
        <f>ROUND(L374*M374*N374*O374,3)</f>
        <v>4.4999999999999998E-2</v>
      </c>
      <c r="Q374" s="471">
        <v>25497.19</v>
      </c>
      <c r="R374" s="471">
        <f>ROUND(P374*Q374,2)</f>
        <v>1147.3699999999999</v>
      </c>
    </row>
    <row r="375" spans="1:18" ht="20.2" customHeight="1">
      <c r="A375" s="617"/>
      <c r="B375" s="34"/>
      <c r="C375" s="54" t="s">
        <v>441</v>
      </c>
      <c r="D375" s="951">
        <v>2</v>
      </c>
      <c r="E375" s="471">
        <v>2</v>
      </c>
      <c r="F375" s="462">
        <v>0.1</v>
      </c>
      <c r="G375" s="462">
        <v>7.4999999999999997E-2</v>
      </c>
      <c r="H375" s="462">
        <f>ROUND(D375*E375*F375*G375,3)</f>
        <v>0.03</v>
      </c>
      <c r="I375" s="471">
        <v>25497.19</v>
      </c>
      <c r="J375" s="471">
        <f>ROUND(H375*I375,2)</f>
        <v>764.92</v>
      </c>
      <c r="K375" s="54" t="s">
        <v>441</v>
      </c>
      <c r="L375" s="951">
        <v>2</v>
      </c>
      <c r="M375" s="471">
        <v>2</v>
      </c>
      <c r="N375" s="462">
        <v>0.1</v>
      </c>
      <c r="O375" s="462">
        <v>7.4999999999999997E-2</v>
      </c>
      <c r="P375" s="462">
        <f>ROUND(L375*M375*N375*O375,3)</f>
        <v>0.03</v>
      </c>
      <c r="Q375" s="471">
        <v>25497.19</v>
      </c>
      <c r="R375" s="471">
        <f>ROUND(P375*Q375,2)</f>
        <v>764.92</v>
      </c>
    </row>
    <row r="376" spans="1:18" ht="20.2" customHeight="1">
      <c r="A376" s="617"/>
      <c r="B376" s="34"/>
      <c r="C376" s="54" t="s">
        <v>1482</v>
      </c>
      <c r="D376" s="951"/>
      <c r="E376" s="471"/>
      <c r="F376" s="462"/>
      <c r="G376" s="462"/>
      <c r="H376" s="462">
        <f>SUM(H374:H375)</f>
        <v>7.9000000000000001E-2</v>
      </c>
      <c r="I376" s="465">
        <f>G25</f>
        <v>15767</v>
      </c>
      <c r="J376" s="471">
        <f>ROUND(H376*I376,2)</f>
        <v>1245.5899999999999</v>
      </c>
      <c r="K376" s="54" t="s">
        <v>1482</v>
      </c>
      <c r="L376" s="951"/>
      <c r="M376" s="471"/>
      <c r="N376" s="462"/>
      <c r="O376" s="462"/>
      <c r="P376" s="462">
        <f>SUM(P374:P375)</f>
        <v>7.4999999999999997E-2</v>
      </c>
      <c r="Q376" s="465">
        <f>I376</f>
        <v>15767</v>
      </c>
      <c r="R376" s="471">
        <f>ROUND(P376*Q376,2)</f>
        <v>1182.53</v>
      </c>
    </row>
    <row r="377" spans="1:18" ht="33.299999999999997">
      <c r="A377" s="617" t="s">
        <v>787</v>
      </c>
      <c r="B377" s="19"/>
      <c r="C377" s="54" t="s">
        <v>788</v>
      </c>
      <c r="D377" s="951"/>
      <c r="E377" s="471"/>
      <c r="F377" s="462"/>
      <c r="G377" s="952"/>
      <c r="H377" s="952"/>
      <c r="I377" s="471"/>
      <c r="J377" s="471"/>
      <c r="K377" s="54" t="s">
        <v>788</v>
      </c>
      <c r="L377" s="951"/>
      <c r="M377" s="471"/>
      <c r="N377" s="462"/>
      <c r="O377" s="952"/>
      <c r="P377" s="952"/>
      <c r="Q377" s="471"/>
      <c r="R377" s="471"/>
    </row>
    <row r="378" spans="1:18" ht="20.2" customHeight="1">
      <c r="A378" s="617"/>
      <c r="B378" s="32"/>
      <c r="C378" s="54" t="s">
        <v>1598</v>
      </c>
      <c r="D378" s="951"/>
      <c r="E378" s="953" t="s">
        <v>1651</v>
      </c>
      <c r="F378" s="462"/>
      <c r="G378" s="462"/>
      <c r="H378" s="948">
        <v>4</v>
      </c>
      <c r="I378" s="471">
        <v>32</v>
      </c>
      <c r="J378" s="471">
        <f>ROUND(H378*I378,2)</f>
        <v>128</v>
      </c>
      <c r="K378" s="54" t="s">
        <v>1598</v>
      </c>
      <c r="L378" s="951"/>
      <c r="M378" s="953" t="s">
        <v>1651</v>
      </c>
      <c r="N378" s="462"/>
      <c r="O378" s="462"/>
      <c r="P378" s="948">
        <v>4</v>
      </c>
      <c r="Q378" s="471">
        <v>35</v>
      </c>
      <c r="R378" s="471">
        <f>ROUND(P378*Q378,2)</f>
        <v>140</v>
      </c>
    </row>
    <row r="379" spans="1:18" ht="20.2" customHeight="1">
      <c r="A379" s="617"/>
      <c r="B379" s="34"/>
      <c r="C379" s="54" t="s">
        <v>1484</v>
      </c>
      <c r="D379" s="951">
        <v>2.75</v>
      </c>
      <c r="E379" s="471">
        <v>1.8</v>
      </c>
      <c r="F379" s="462"/>
      <c r="G379" s="471">
        <v>1.3</v>
      </c>
      <c r="H379" s="462">
        <f>ROUND(G379*E379*D379,2)</f>
        <v>6.44</v>
      </c>
      <c r="I379" s="698">
        <f>G15</f>
        <v>561.35799999999995</v>
      </c>
      <c r="J379" s="471">
        <f>ROUND(H379*I379/10,2)</f>
        <v>361.51</v>
      </c>
      <c r="K379" s="54" t="s">
        <v>1484</v>
      </c>
      <c r="L379" s="951">
        <v>2.75</v>
      </c>
      <c r="M379" s="471">
        <v>1.8</v>
      </c>
      <c r="N379" s="462"/>
      <c r="O379" s="471">
        <v>1.3</v>
      </c>
      <c r="P379" s="462">
        <f>ROUND(O379*M379*L379,2)</f>
        <v>6.44</v>
      </c>
      <c r="Q379" s="698">
        <f>I379</f>
        <v>561.35799999999995</v>
      </c>
      <c r="R379" s="471">
        <f>ROUND(P379*Q379/10,2)</f>
        <v>361.51</v>
      </c>
    </row>
    <row r="380" spans="1:18" ht="20.2" customHeight="1">
      <c r="A380" s="617"/>
      <c r="B380" s="34"/>
      <c r="C380" s="451" t="s">
        <v>1306</v>
      </c>
      <c r="D380" s="951" t="s">
        <v>246</v>
      </c>
      <c r="E380" s="471">
        <v>1.8</v>
      </c>
      <c r="F380" s="462">
        <f>10*1.8</f>
        <v>18</v>
      </c>
      <c r="G380" s="471">
        <v>1.1299999999999999</v>
      </c>
      <c r="H380" s="462">
        <f>G380*F380</f>
        <v>20.339999999999996</v>
      </c>
      <c r="I380" s="465">
        <f>'Lead- Input sheet '!R10/1000</f>
        <v>69.62</v>
      </c>
      <c r="J380" s="471">
        <f>H380*I380</f>
        <v>1416.0707999999997</v>
      </c>
      <c r="K380" s="451" t="s">
        <v>1306</v>
      </c>
      <c r="L380" s="951" t="s">
        <v>246</v>
      </c>
      <c r="M380" s="471">
        <v>1.8</v>
      </c>
      <c r="N380" s="462">
        <f>10*1.8</f>
        <v>18</v>
      </c>
      <c r="O380" s="471">
        <v>1.1299999999999999</v>
      </c>
      <c r="P380" s="462">
        <f>O380*N380</f>
        <v>20.339999999999996</v>
      </c>
      <c r="Q380" s="465">
        <f>I380</f>
        <v>69.62</v>
      </c>
      <c r="R380" s="471">
        <f>P380*Q380</f>
        <v>1416.0707999999997</v>
      </c>
    </row>
    <row r="381" spans="1:18" ht="20.2" customHeight="1">
      <c r="A381" s="617"/>
      <c r="B381" s="34"/>
      <c r="C381" s="54" t="s">
        <v>230</v>
      </c>
      <c r="D381" s="951"/>
      <c r="E381" s="471"/>
      <c r="F381" s="462"/>
      <c r="G381" s="462"/>
      <c r="H381" s="948">
        <v>1</v>
      </c>
      <c r="I381" s="471">
        <v>75</v>
      </c>
      <c r="J381" s="471">
        <f>H381*I381</f>
        <v>75</v>
      </c>
      <c r="K381" s="54" t="s">
        <v>230</v>
      </c>
      <c r="L381" s="951"/>
      <c r="M381" s="471"/>
      <c r="N381" s="462"/>
      <c r="O381" s="462"/>
      <c r="P381" s="948">
        <v>1</v>
      </c>
      <c r="Q381" s="471">
        <v>75</v>
      </c>
      <c r="R381" s="471">
        <f>P381*Q381</f>
        <v>75</v>
      </c>
    </row>
    <row r="382" spans="1:18" ht="20.2" customHeight="1">
      <c r="A382" s="617"/>
      <c r="B382" s="34"/>
      <c r="D382" s="951"/>
      <c r="E382" s="471"/>
      <c r="F382" s="462"/>
      <c r="G382" s="462"/>
      <c r="H382" s="462"/>
      <c r="I382" s="471"/>
      <c r="J382" s="471">
        <f>SUM(J374:J381)</f>
        <v>5240.4507999999996</v>
      </c>
      <c r="K382" s="54"/>
      <c r="L382" s="951"/>
      <c r="M382" s="471"/>
      <c r="N382" s="462"/>
      <c r="O382" s="462"/>
      <c r="P382" s="462"/>
      <c r="Q382" s="471"/>
      <c r="R382" s="471">
        <f>SUM(R374:R381)</f>
        <v>5087.4007999999994</v>
      </c>
    </row>
    <row r="383" spans="1:18" s="18" customFormat="1" ht="20.2" customHeight="1">
      <c r="A383" s="617"/>
      <c r="B383" s="40"/>
      <c r="C383" s="54" t="s">
        <v>1600</v>
      </c>
      <c r="D383" s="954"/>
      <c r="E383" s="468"/>
      <c r="F383" s="458"/>
      <c r="G383" s="458"/>
      <c r="H383" s="458">
        <f>'Lead- Input sheet '!Q32</f>
        <v>0</v>
      </c>
      <c r="I383" s="468">
        <f>J382</f>
        <v>5240.4507999999996</v>
      </c>
      <c r="J383" s="471">
        <f>ROUND(H383*I383,2)</f>
        <v>0</v>
      </c>
      <c r="K383" s="54" t="s">
        <v>1600</v>
      </c>
      <c r="L383" s="954"/>
      <c r="M383" s="468"/>
      <c r="N383" s="458"/>
      <c r="O383" s="458"/>
      <c r="P383" s="458">
        <f>'Lead- Input sheet '!X32</f>
        <v>0</v>
      </c>
      <c r="Q383" s="468">
        <f>R382</f>
        <v>5087.4007999999994</v>
      </c>
      <c r="R383" s="471">
        <f>ROUND(P383*Q383,2)</f>
        <v>0</v>
      </c>
    </row>
    <row r="384" spans="1:18" s="439" customFormat="1" ht="20.2" customHeight="1">
      <c r="A384" s="617"/>
      <c r="B384" s="411"/>
      <c r="C384" s="418" t="s">
        <v>15</v>
      </c>
      <c r="D384" s="955"/>
      <c r="E384" s="469"/>
      <c r="F384" s="460"/>
      <c r="G384" s="460"/>
      <c r="H384" s="460"/>
      <c r="I384" s="469" t="s">
        <v>1486</v>
      </c>
      <c r="J384" s="469">
        <f>SUM(J382:J383)</f>
        <v>5240.4507999999996</v>
      </c>
      <c r="K384" s="418" t="s">
        <v>15</v>
      </c>
      <c r="L384" s="955"/>
      <c r="M384" s="469"/>
      <c r="N384" s="460"/>
      <c r="O384" s="460"/>
      <c r="P384" s="460"/>
      <c r="Q384" s="469" t="s">
        <v>1486</v>
      </c>
      <c r="R384" s="469">
        <f>SUM(R382:R383)</f>
        <v>5087.4007999999994</v>
      </c>
    </row>
    <row r="385" spans="1:18" s="439" customFormat="1" ht="20.2" customHeight="1">
      <c r="A385" s="617"/>
      <c r="B385" s="411"/>
      <c r="C385" s="418" t="s">
        <v>16</v>
      </c>
      <c r="D385" s="955"/>
      <c r="E385" s="469"/>
      <c r="F385" s="460"/>
      <c r="G385" s="460"/>
      <c r="H385" s="460"/>
      <c r="I385" s="469" t="s">
        <v>1486</v>
      </c>
      <c r="J385" s="469">
        <f>J371-J384</f>
        <v>4896.329999999999</v>
      </c>
      <c r="K385" s="418" t="s">
        <v>16</v>
      </c>
      <c r="L385" s="955"/>
      <c r="M385" s="469"/>
      <c r="N385" s="460"/>
      <c r="O385" s="460"/>
      <c r="P385" s="460"/>
      <c r="Q385" s="469" t="s">
        <v>1486</v>
      </c>
      <c r="R385" s="469">
        <f>R371-R384</f>
        <v>3712.5200000000004</v>
      </c>
    </row>
    <row r="386" spans="1:18" ht="116.1">
      <c r="A386" s="617"/>
      <c r="B386" s="26">
        <v>8</v>
      </c>
      <c r="C386" s="55" t="s">
        <v>8</v>
      </c>
      <c r="D386" s="951"/>
      <c r="E386" s="471"/>
      <c r="F386" s="462"/>
      <c r="G386" s="462"/>
      <c r="H386" s="462"/>
      <c r="I386" s="471"/>
      <c r="J386" s="471"/>
    </row>
    <row r="387" spans="1:18">
      <c r="A387" s="617"/>
      <c r="B387" s="34"/>
      <c r="C387" s="55" t="s">
        <v>9</v>
      </c>
      <c r="D387" s="951"/>
      <c r="E387" s="471"/>
      <c r="F387" s="462"/>
      <c r="G387" s="462"/>
      <c r="H387" s="462"/>
      <c r="I387" s="471"/>
      <c r="J387" s="471"/>
    </row>
    <row r="388" spans="1:18" s="500" customFormat="1">
      <c r="A388" s="617"/>
      <c r="B388" s="34"/>
      <c r="C388" s="54" t="s">
        <v>848</v>
      </c>
      <c r="D388" s="951"/>
      <c r="E388" s="471"/>
      <c r="F388" s="462"/>
      <c r="G388" s="462"/>
      <c r="H388" s="462"/>
      <c r="I388" s="471"/>
      <c r="J388" s="471"/>
    </row>
    <row r="389" spans="1:18" s="500" customFormat="1">
      <c r="A389" s="617"/>
      <c r="B389" s="34"/>
      <c r="C389" s="54" t="s">
        <v>780</v>
      </c>
      <c r="D389" s="951">
        <v>4</v>
      </c>
      <c r="E389" s="471">
        <v>1.2</v>
      </c>
      <c r="F389" s="462">
        <v>0.1</v>
      </c>
      <c r="G389" s="462">
        <v>7.4999999999999997E-2</v>
      </c>
      <c r="H389" s="462">
        <f>ROUND(D389*E389*F389*G389,3)</f>
        <v>3.5999999999999997E-2</v>
      </c>
      <c r="I389" s="471">
        <v>25497.19</v>
      </c>
      <c r="J389" s="471">
        <f t="shared" ref="J389:J394" si="26">ROUND(H389*I389,2)</f>
        <v>917.9</v>
      </c>
    </row>
    <row r="390" spans="1:18">
      <c r="A390" s="617"/>
      <c r="B390" s="34"/>
      <c r="C390" s="54" t="s">
        <v>781</v>
      </c>
      <c r="D390" s="951">
        <v>2</v>
      </c>
      <c r="E390" s="471">
        <v>1.35</v>
      </c>
      <c r="F390" s="462">
        <v>0.1</v>
      </c>
      <c r="G390" s="462">
        <v>7.4999999999999997E-2</v>
      </c>
      <c r="H390" s="462">
        <f>ROUND(D390*E390*F390*G390,3)</f>
        <v>0.02</v>
      </c>
      <c r="I390" s="471">
        <v>25497.19</v>
      </c>
      <c r="J390" s="471">
        <f t="shared" si="26"/>
        <v>509.94</v>
      </c>
    </row>
    <row r="391" spans="1:18">
      <c r="A391" s="617"/>
      <c r="B391" s="34"/>
      <c r="C391" s="54" t="s">
        <v>782</v>
      </c>
      <c r="D391" s="951" t="s">
        <v>243</v>
      </c>
      <c r="E391" s="472">
        <f>(1.2-2*0.075+2*0.015)</f>
        <v>1.08</v>
      </c>
      <c r="F391" s="462">
        <v>7.4999999999999997E-2</v>
      </c>
      <c r="G391" s="462">
        <f>1.25*25.4/1000</f>
        <v>3.175E-2</v>
      </c>
      <c r="H391" s="462">
        <f>ROUND(6*E391*F391*G391,3)</f>
        <v>1.4999999999999999E-2</v>
      </c>
      <c r="I391" s="471">
        <v>31076.9</v>
      </c>
      <c r="J391" s="471">
        <f t="shared" si="26"/>
        <v>466.15</v>
      </c>
    </row>
    <row r="392" spans="1:18">
      <c r="A392" s="617"/>
      <c r="B392" s="34"/>
      <c r="C392" s="54" t="s">
        <v>783</v>
      </c>
      <c r="D392" s="951" t="s">
        <v>244</v>
      </c>
      <c r="E392" s="471">
        <f>(1.2-3*0.075+4*0.015)/2</f>
        <v>0.51749999999999996</v>
      </c>
      <c r="F392" s="462">
        <v>7.4999999999999997E-2</v>
      </c>
      <c r="G392" s="462">
        <f>1.25*25.4/1000</f>
        <v>3.175E-2</v>
      </c>
      <c r="H392" s="462">
        <f>ROUND(9*E392*F392*G392,3)</f>
        <v>1.0999999999999999E-2</v>
      </c>
      <c r="I392" s="471">
        <v>31076.9</v>
      </c>
      <c r="J392" s="471">
        <f t="shared" si="26"/>
        <v>341.85</v>
      </c>
    </row>
    <row r="393" spans="1:18">
      <c r="A393" s="617"/>
      <c r="B393" s="34"/>
      <c r="C393" s="54" t="s">
        <v>1481</v>
      </c>
      <c r="D393" s="951" t="s">
        <v>245</v>
      </c>
      <c r="E393" s="471">
        <f>(1.2-4*0.075+6*0.015)/3-2*0.075+2*0.025</f>
        <v>0.22999999999999998</v>
      </c>
      <c r="F393" s="462">
        <f>(1.2-2*0.075+2*0.015-3*0.075)/2+2*0.025</f>
        <v>0.47750000000000004</v>
      </c>
      <c r="G393" s="462">
        <v>2.5000000000000001E-2</v>
      </c>
      <c r="H393" s="462">
        <f>ROUND(6*E393*F393*G393,3)</f>
        <v>1.6E-2</v>
      </c>
      <c r="I393" s="471">
        <v>31076.9</v>
      </c>
      <c r="J393" s="471">
        <f t="shared" si="26"/>
        <v>497.23</v>
      </c>
    </row>
    <row r="394" spans="1:18">
      <c r="A394" s="617"/>
      <c r="B394" s="34"/>
      <c r="C394" s="54" t="s">
        <v>1482</v>
      </c>
      <c r="D394" s="951"/>
      <c r="E394" s="471"/>
      <c r="F394" s="462"/>
      <c r="G394" s="462"/>
      <c r="H394" s="462">
        <f>SUM(H389:H393)</f>
        <v>9.799999999999999E-2</v>
      </c>
      <c r="I394" s="465">
        <f>G25</f>
        <v>15767</v>
      </c>
      <c r="J394" s="471">
        <f t="shared" si="26"/>
        <v>1545.17</v>
      </c>
    </row>
    <row r="395" spans="1:18" ht="33.299999999999997">
      <c r="A395" s="617" t="s">
        <v>787</v>
      </c>
      <c r="B395" s="19"/>
      <c r="C395" s="54" t="s">
        <v>788</v>
      </c>
      <c r="D395" s="951"/>
      <c r="E395" s="471"/>
      <c r="F395" s="462"/>
      <c r="G395" s="952"/>
      <c r="H395" s="952"/>
      <c r="I395" s="471"/>
      <c r="J395" s="471"/>
    </row>
    <row r="396" spans="1:18">
      <c r="A396" s="617"/>
      <c r="B396" s="693"/>
      <c r="C396" s="694" t="s">
        <v>915</v>
      </c>
      <c r="D396" s="471" t="s">
        <v>1035</v>
      </c>
      <c r="E396" s="462" t="s">
        <v>1624</v>
      </c>
      <c r="F396" s="462"/>
      <c r="G396" s="462"/>
      <c r="H396" s="948">
        <v>3</v>
      </c>
      <c r="I396" s="471">
        <v>35</v>
      </c>
      <c r="J396" s="471">
        <f t="shared" ref="J396:J401" si="27">ROUND(H396*I396,2)</f>
        <v>105</v>
      </c>
    </row>
    <row r="397" spans="1:18">
      <c r="A397" s="617"/>
      <c r="B397" s="693"/>
      <c r="C397" s="31" t="s">
        <v>916</v>
      </c>
      <c r="D397" s="471" t="s">
        <v>1035</v>
      </c>
      <c r="E397" s="462" t="s">
        <v>1624</v>
      </c>
      <c r="F397" s="462"/>
      <c r="G397" s="462"/>
      <c r="H397" s="948">
        <v>3</v>
      </c>
      <c r="I397" s="471">
        <v>35</v>
      </c>
      <c r="J397" s="471">
        <f t="shared" si="27"/>
        <v>105</v>
      </c>
    </row>
    <row r="398" spans="1:18">
      <c r="A398" s="617"/>
      <c r="B398" s="693"/>
      <c r="C398" s="946" t="s">
        <v>917</v>
      </c>
      <c r="D398" s="471" t="s">
        <v>1035</v>
      </c>
      <c r="E398" s="462" t="s">
        <v>1625</v>
      </c>
      <c r="F398" s="462"/>
      <c r="G398" s="462"/>
      <c r="H398" s="948">
        <v>6</v>
      </c>
      <c r="I398" s="471">
        <v>21</v>
      </c>
      <c r="J398" s="471">
        <f t="shared" si="27"/>
        <v>126</v>
      </c>
    </row>
    <row r="399" spans="1:18">
      <c r="A399" s="617"/>
      <c r="B399" s="693"/>
      <c r="C399" s="694" t="s">
        <v>918</v>
      </c>
      <c r="D399" s="471" t="s">
        <v>1035</v>
      </c>
      <c r="E399" s="462" t="s">
        <v>1626</v>
      </c>
      <c r="F399" s="462"/>
      <c r="G399" s="462"/>
      <c r="H399" s="948">
        <v>3</v>
      </c>
      <c r="I399" s="471">
        <v>213</v>
      </c>
      <c r="J399" s="471">
        <f t="shared" si="27"/>
        <v>639</v>
      </c>
    </row>
    <row r="400" spans="1:18">
      <c r="A400" s="617"/>
      <c r="B400" s="693"/>
      <c r="C400" s="694" t="s">
        <v>799</v>
      </c>
      <c r="D400" s="471" t="s">
        <v>882</v>
      </c>
      <c r="E400" s="462" t="s">
        <v>1652</v>
      </c>
      <c r="F400" s="462"/>
      <c r="G400" s="462"/>
      <c r="H400" s="948">
        <v>90</v>
      </c>
      <c r="I400" s="471">
        <v>3</v>
      </c>
      <c r="J400" s="471">
        <f t="shared" si="27"/>
        <v>270</v>
      </c>
    </row>
    <row r="401" spans="1:11">
      <c r="A401" s="617"/>
      <c r="B401" s="693"/>
      <c r="C401" s="694" t="s">
        <v>1598</v>
      </c>
      <c r="D401" s="471"/>
      <c r="E401" s="953" t="s">
        <v>1651</v>
      </c>
      <c r="F401" s="462"/>
      <c r="G401" s="462"/>
      <c r="H401" s="948">
        <v>4</v>
      </c>
      <c r="I401" s="471">
        <v>32</v>
      </c>
      <c r="J401" s="471">
        <f t="shared" si="27"/>
        <v>128</v>
      </c>
    </row>
    <row r="402" spans="1:11">
      <c r="A402" s="617"/>
      <c r="B402" s="34"/>
      <c r="C402" s="54" t="s">
        <v>1484</v>
      </c>
      <c r="D402" s="951">
        <v>2.75</v>
      </c>
      <c r="E402" s="471">
        <v>1.2</v>
      </c>
      <c r="F402" s="462"/>
      <c r="G402" s="471">
        <v>1.2</v>
      </c>
      <c r="H402" s="462">
        <f>ROUND(G402*E402*D402,2)</f>
        <v>3.96</v>
      </c>
      <c r="I402" s="698">
        <f>G15</f>
        <v>561.35799999999995</v>
      </c>
      <c r="J402" s="471">
        <f>ROUND(H402*I402/10,2)</f>
        <v>222.3</v>
      </c>
    </row>
    <row r="403" spans="1:11">
      <c r="A403" s="617"/>
      <c r="B403" s="34"/>
      <c r="C403" s="451" t="s">
        <v>1306</v>
      </c>
      <c r="D403" s="951" t="s">
        <v>10</v>
      </c>
      <c r="E403" s="471">
        <v>1.2</v>
      </c>
      <c r="F403" s="471">
        <f>E403*9</f>
        <v>10.799999999999999</v>
      </c>
      <c r="G403" s="471">
        <v>1.1299999999999999</v>
      </c>
      <c r="H403" s="462">
        <f>G403*F403</f>
        <v>12.203999999999997</v>
      </c>
      <c r="I403" s="465">
        <f>'Lead- Input sheet '!R10/1000</f>
        <v>69.62</v>
      </c>
      <c r="J403" s="471">
        <f>H403*I403</f>
        <v>849.64247999999986</v>
      </c>
      <c r="K403" s="25">
        <f>(1.2-0.075*2-0.1)/0.1</f>
        <v>9.5</v>
      </c>
    </row>
    <row r="404" spans="1:11">
      <c r="A404" s="617"/>
      <c r="B404" s="34"/>
      <c r="C404" s="54" t="s">
        <v>230</v>
      </c>
      <c r="D404" s="951"/>
      <c r="E404" s="471"/>
      <c r="F404" s="462"/>
      <c r="G404" s="462"/>
      <c r="H404" s="948">
        <v>1</v>
      </c>
      <c r="I404" s="471">
        <v>100</v>
      </c>
      <c r="J404" s="471">
        <f>H404*I404</f>
        <v>100</v>
      </c>
    </row>
    <row r="405" spans="1:11">
      <c r="A405" s="617"/>
      <c r="B405" s="34"/>
      <c r="D405" s="951"/>
      <c r="E405" s="471"/>
      <c r="F405" s="462"/>
      <c r="G405" s="462"/>
      <c r="H405" s="462"/>
      <c r="I405" s="471"/>
      <c r="J405" s="471">
        <f>SUM(J389:J404)</f>
        <v>6823.1824799999995</v>
      </c>
    </row>
    <row r="406" spans="1:11" ht="25.8">
      <c r="A406" s="617"/>
      <c r="B406" s="40"/>
      <c r="C406" s="54" t="s">
        <v>1600</v>
      </c>
      <c r="D406" s="954"/>
      <c r="E406" s="468"/>
      <c r="F406" s="458"/>
      <c r="G406" s="458"/>
      <c r="H406" s="458">
        <f>'Lead- Input sheet '!Q32</f>
        <v>0</v>
      </c>
      <c r="I406" s="468">
        <f>J405</f>
        <v>6823.1824799999995</v>
      </c>
      <c r="J406" s="468">
        <f>ROUND(H406*I406,2)</f>
        <v>0</v>
      </c>
    </row>
    <row r="407" spans="1:11">
      <c r="A407" s="617"/>
      <c r="B407" s="411"/>
      <c r="C407" s="283" t="s">
        <v>256</v>
      </c>
      <c r="D407" s="955"/>
      <c r="E407" s="469"/>
      <c r="F407" s="460"/>
      <c r="G407" s="460"/>
      <c r="H407" s="460"/>
      <c r="I407" s="469" t="s">
        <v>416</v>
      </c>
      <c r="J407" s="469">
        <f>SUM(J405:J406)</f>
        <v>6823.1824799999995</v>
      </c>
    </row>
    <row r="408" spans="1:11">
      <c r="A408" s="617"/>
      <c r="B408" s="34"/>
      <c r="C408" s="55" t="s">
        <v>11</v>
      </c>
      <c r="D408" s="951"/>
      <c r="E408" s="471"/>
      <c r="F408" s="462"/>
      <c r="G408" s="462"/>
      <c r="H408" s="462"/>
      <c r="I408" s="471"/>
      <c r="J408" s="471"/>
    </row>
    <row r="409" spans="1:11">
      <c r="A409" s="617"/>
      <c r="B409" s="34"/>
      <c r="C409" s="54" t="s">
        <v>848</v>
      </c>
      <c r="D409" s="951"/>
      <c r="E409" s="471"/>
      <c r="F409" s="462"/>
      <c r="G409" s="462"/>
      <c r="H409" s="462"/>
      <c r="I409" s="471"/>
      <c r="J409" s="471"/>
    </row>
    <row r="410" spans="1:11">
      <c r="A410" s="617"/>
      <c r="B410" s="34"/>
      <c r="C410" s="54" t="s">
        <v>780</v>
      </c>
      <c r="D410" s="951">
        <v>4</v>
      </c>
      <c r="E410" s="471">
        <v>1.2</v>
      </c>
      <c r="F410" s="462">
        <v>0.1</v>
      </c>
      <c r="G410" s="462">
        <v>7.4999999999999997E-2</v>
      </c>
      <c r="H410" s="462">
        <f>ROUND(D410*E410*F410*G410,3)</f>
        <v>3.5999999999999997E-2</v>
      </c>
      <c r="I410" s="471">
        <v>25497.19</v>
      </c>
      <c r="J410" s="471">
        <f>ROUND(H410*I410,2)</f>
        <v>917.9</v>
      </c>
    </row>
    <row r="411" spans="1:11">
      <c r="A411" s="617"/>
      <c r="B411" s="34"/>
      <c r="C411" s="54" t="s">
        <v>781</v>
      </c>
      <c r="D411" s="951">
        <v>2</v>
      </c>
      <c r="E411" s="471">
        <v>1.35</v>
      </c>
      <c r="F411" s="462">
        <v>0.1</v>
      </c>
      <c r="G411" s="462">
        <v>7.4999999999999997E-2</v>
      </c>
      <c r="H411" s="462">
        <f>ROUND(D411*E411*F411*G411,3)</f>
        <v>0.02</v>
      </c>
      <c r="I411" s="471">
        <v>25497.19</v>
      </c>
      <c r="J411" s="471">
        <f>ROUND(H411*I411,2)</f>
        <v>509.94</v>
      </c>
    </row>
    <row r="412" spans="1:11">
      <c r="A412" s="617"/>
      <c r="B412" s="34"/>
      <c r="C412" s="54" t="s">
        <v>1482</v>
      </c>
      <c r="D412" s="951"/>
      <c r="E412" s="471"/>
      <c r="F412" s="462"/>
      <c r="G412" s="462"/>
      <c r="H412" s="462">
        <f>SUM(H410:H411)</f>
        <v>5.5999999999999994E-2</v>
      </c>
      <c r="I412" s="465">
        <f>G25</f>
        <v>15767</v>
      </c>
      <c r="J412" s="471">
        <f>ROUND(H412*I412,2)</f>
        <v>882.95</v>
      </c>
    </row>
    <row r="413" spans="1:11" ht="33.299999999999997">
      <c r="A413" s="617" t="s">
        <v>787</v>
      </c>
      <c r="B413" s="19"/>
      <c r="C413" s="54" t="s">
        <v>788</v>
      </c>
      <c r="D413" s="951"/>
      <c r="E413" s="471"/>
      <c r="F413" s="462"/>
      <c r="G413" s="952"/>
      <c r="H413" s="952"/>
      <c r="I413" s="471"/>
      <c r="J413" s="471"/>
    </row>
    <row r="414" spans="1:11">
      <c r="A414" s="617"/>
      <c r="B414" s="32"/>
      <c r="C414" s="54" t="s">
        <v>1598</v>
      </c>
      <c r="D414" s="951"/>
      <c r="E414" s="953" t="s">
        <v>1651</v>
      </c>
      <c r="F414" s="462"/>
      <c r="G414" s="462"/>
      <c r="H414" s="948">
        <v>4</v>
      </c>
      <c r="I414" s="471">
        <v>32</v>
      </c>
      <c r="J414" s="471">
        <f>ROUND(H414*I414,2)</f>
        <v>128</v>
      </c>
    </row>
    <row r="415" spans="1:11">
      <c r="A415" s="617"/>
      <c r="B415" s="34"/>
      <c r="C415" s="54" t="s">
        <v>1484</v>
      </c>
      <c r="D415" s="471" t="s">
        <v>544</v>
      </c>
      <c r="E415" s="471">
        <v>1.2</v>
      </c>
      <c r="F415" s="462"/>
      <c r="G415" s="471">
        <v>1.2</v>
      </c>
      <c r="H415" s="462">
        <f>ROUND(G415*E415*2.75/3,2)</f>
        <v>1.32</v>
      </c>
      <c r="I415" s="698">
        <f>G15</f>
        <v>561.35799999999995</v>
      </c>
      <c r="J415" s="471">
        <f>ROUND(H415*I415/10,2)</f>
        <v>74.099999999999994</v>
      </c>
    </row>
    <row r="416" spans="1:11">
      <c r="A416" s="617"/>
      <c r="B416" s="34"/>
      <c r="C416" s="451" t="s">
        <v>1306</v>
      </c>
      <c r="D416" s="951" t="s">
        <v>10</v>
      </c>
      <c r="E416" s="471">
        <v>1.2</v>
      </c>
      <c r="F416" s="471">
        <f>E416*9</f>
        <v>10.799999999999999</v>
      </c>
      <c r="G416" s="471">
        <v>1.1299999999999999</v>
      </c>
      <c r="H416" s="462">
        <f>G416*F416</f>
        <v>12.203999999999997</v>
      </c>
      <c r="I416" s="465">
        <f>'Lead- Input sheet '!R10/1000</f>
        <v>69.62</v>
      </c>
      <c r="J416" s="471">
        <f>H416*I416</f>
        <v>849.64247999999986</v>
      </c>
    </row>
    <row r="417" spans="1:10">
      <c r="A417" s="617"/>
      <c r="B417" s="34"/>
      <c r="C417" s="54" t="s">
        <v>230</v>
      </c>
      <c r="D417" s="951"/>
      <c r="E417" s="471"/>
      <c r="F417" s="462"/>
      <c r="G417" s="462"/>
      <c r="H417" s="948">
        <v>1</v>
      </c>
      <c r="I417" s="471">
        <v>50</v>
      </c>
      <c r="J417" s="471">
        <f>H417*I417</f>
        <v>50</v>
      </c>
    </row>
    <row r="418" spans="1:10">
      <c r="A418" s="617"/>
      <c r="B418" s="34"/>
      <c r="D418" s="951"/>
      <c r="E418" s="471"/>
      <c r="F418" s="462"/>
      <c r="G418" s="462"/>
      <c r="H418" s="462"/>
      <c r="I418" s="471"/>
      <c r="J418" s="471">
        <f>SUM(J410:J417)</f>
        <v>3412.5324799999999</v>
      </c>
    </row>
    <row r="419" spans="1:10" ht="25.8">
      <c r="A419" s="617"/>
      <c r="B419" s="40"/>
      <c r="C419" s="54" t="s">
        <v>1600</v>
      </c>
      <c r="D419" s="954"/>
      <c r="E419" s="468"/>
      <c r="F419" s="458"/>
      <c r="G419" s="458"/>
      <c r="H419" s="458">
        <f>'Lead- Input sheet '!Q32</f>
        <v>0</v>
      </c>
      <c r="I419" s="468">
        <f>J418</f>
        <v>3412.5324799999999</v>
      </c>
      <c r="J419" s="471">
        <f>H419*I419</f>
        <v>0</v>
      </c>
    </row>
    <row r="420" spans="1:10">
      <c r="A420" s="617"/>
      <c r="B420" s="411"/>
      <c r="C420" s="418" t="s">
        <v>12</v>
      </c>
      <c r="D420" s="955"/>
      <c r="E420" s="469"/>
      <c r="F420" s="460"/>
      <c r="G420" s="460"/>
      <c r="H420" s="460"/>
      <c r="I420" s="469" t="s">
        <v>416</v>
      </c>
      <c r="J420" s="469">
        <f>SUM(J418:J419)</f>
        <v>3412.5324799999999</v>
      </c>
    </row>
    <row r="421" spans="1:10">
      <c r="A421" s="617"/>
      <c r="B421" s="411"/>
      <c r="C421" s="418" t="s">
        <v>13</v>
      </c>
      <c r="D421" s="955"/>
      <c r="E421" s="469"/>
      <c r="F421" s="460"/>
      <c r="G421" s="460"/>
      <c r="H421" s="460"/>
      <c r="I421" s="469" t="s">
        <v>416</v>
      </c>
      <c r="J421" s="469">
        <f>J407-J420</f>
        <v>3410.6499999999996</v>
      </c>
    </row>
    <row r="422" spans="1:10">
      <c r="A422" s="617"/>
      <c r="E422" s="222"/>
      <c r="F422" s="947"/>
      <c r="G422" s="947"/>
      <c r="H422" s="950"/>
      <c r="I422" s="472"/>
      <c r="J422" s="441"/>
    </row>
    <row r="424" spans="1:10" ht="103.2">
      <c r="A424" s="617"/>
      <c r="B424" s="26">
        <v>8</v>
      </c>
      <c r="C424" s="55" t="s">
        <v>1777</v>
      </c>
      <c r="D424" s="951"/>
      <c r="E424" s="471"/>
      <c r="F424" s="462"/>
      <c r="G424" s="462"/>
      <c r="H424" s="462"/>
      <c r="I424" s="471"/>
      <c r="J424" s="471"/>
    </row>
    <row r="425" spans="1:10">
      <c r="A425" s="617"/>
      <c r="B425" s="34"/>
      <c r="C425" s="55" t="s">
        <v>1778</v>
      </c>
      <c r="D425" s="951"/>
      <c r="E425" s="471"/>
      <c r="F425" s="462"/>
      <c r="G425" s="462"/>
      <c r="H425" s="462"/>
      <c r="I425" s="471"/>
      <c r="J425" s="471"/>
    </row>
    <row r="426" spans="1:10">
      <c r="A426" s="617"/>
      <c r="B426" s="34"/>
      <c r="C426" s="54" t="s">
        <v>848</v>
      </c>
      <c r="D426" s="951"/>
      <c r="E426" s="471"/>
      <c r="F426" s="462"/>
      <c r="G426" s="462"/>
      <c r="H426" s="462"/>
      <c r="I426" s="471"/>
      <c r="J426" s="471"/>
    </row>
    <row r="427" spans="1:10">
      <c r="A427" s="617"/>
      <c r="B427" s="34"/>
      <c r="C427" s="54" t="s">
        <v>780</v>
      </c>
      <c r="D427" s="951">
        <v>3</v>
      </c>
      <c r="E427" s="471">
        <v>0.3</v>
      </c>
      <c r="F427" s="462">
        <v>6.5000000000000002E-2</v>
      </c>
      <c r="G427" s="462">
        <v>7.4999999999999997E-2</v>
      </c>
      <c r="H427" s="462">
        <f>ROUND(D427*E427*F427*G427,3)</f>
        <v>4.0000000000000001E-3</v>
      </c>
      <c r="I427" s="471">
        <v>25497.19</v>
      </c>
      <c r="J427" s="471">
        <f>ROUND(H427*I427,2)</f>
        <v>101.99</v>
      </c>
    </row>
    <row r="428" spans="1:10">
      <c r="A428" s="617"/>
      <c r="B428" s="34"/>
      <c r="C428" s="54" t="s">
        <v>781</v>
      </c>
      <c r="D428" s="951">
        <v>2</v>
      </c>
      <c r="E428" s="471">
        <v>0.6</v>
      </c>
      <c r="F428" s="462">
        <v>6.5000000000000002E-2</v>
      </c>
      <c r="G428" s="462">
        <v>7.4999999999999997E-2</v>
      </c>
      <c r="H428" s="462">
        <f>ROUND(D428*E428*F428*G428,3)</f>
        <v>6.0000000000000001E-3</v>
      </c>
      <c r="I428" s="471">
        <v>25497.19</v>
      </c>
      <c r="J428" s="471">
        <f>ROUND(H428*I428,2)</f>
        <v>152.97999999999999</v>
      </c>
    </row>
    <row r="429" spans="1:10">
      <c r="A429" s="617"/>
      <c r="B429" s="34"/>
      <c r="C429" s="54" t="s">
        <v>1482</v>
      </c>
      <c r="D429" s="951"/>
      <c r="E429" s="471"/>
      <c r="F429" s="462"/>
      <c r="G429" s="462"/>
      <c r="H429" s="462">
        <f>SUM(H427:H428)</f>
        <v>0.01</v>
      </c>
      <c r="I429" s="465">
        <f>I412</f>
        <v>15767</v>
      </c>
      <c r="J429" s="471">
        <f>ROUND(H429*I429,2)</f>
        <v>157.66999999999999</v>
      </c>
    </row>
    <row r="430" spans="1:10">
      <c r="A430" s="617"/>
      <c r="B430" s="34"/>
      <c r="C430" s="54" t="s">
        <v>1484</v>
      </c>
      <c r="D430" s="951">
        <v>2.25</v>
      </c>
      <c r="E430" s="471">
        <v>0.6</v>
      </c>
      <c r="F430" s="462"/>
      <c r="G430" s="471">
        <v>0.3</v>
      </c>
      <c r="H430" s="462">
        <f>ROUND(G430*E430*D430,2)</f>
        <v>0.41</v>
      </c>
      <c r="I430" s="698">
        <f>I415</f>
        <v>561.35799999999995</v>
      </c>
      <c r="J430" s="471">
        <f>ROUND(H430*I430/10,2)</f>
        <v>23.02</v>
      </c>
    </row>
    <row r="431" spans="1:10">
      <c r="A431" s="617"/>
      <c r="B431" s="34"/>
      <c r="C431" s="451" t="s">
        <v>1779</v>
      </c>
      <c r="D431" s="951" t="s">
        <v>1780</v>
      </c>
      <c r="E431" s="471">
        <v>0.6</v>
      </c>
      <c r="F431" s="471">
        <f>E431*2</f>
        <v>1.2</v>
      </c>
      <c r="G431" s="471">
        <v>0.62</v>
      </c>
      <c r="H431" s="462">
        <f>G431*F431</f>
        <v>0.74399999999999999</v>
      </c>
      <c r="I431" s="465">
        <f>I416</f>
        <v>69.62</v>
      </c>
      <c r="J431" s="471">
        <f>H431*I431</f>
        <v>51.797280000000001</v>
      </c>
    </row>
    <row r="432" spans="1:10">
      <c r="A432" s="617"/>
      <c r="B432" s="34"/>
      <c r="D432" s="951"/>
      <c r="E432" s="471"/>
      <c r="F432" s="462"/>
      <c r="G432" s="462"/>
      <c r="H432" s="462"/>
      <c r="I432" s="471"/>
      <c r="J432" s="471">
        <f>SUM(J427:J431)</f>
        <v>487.45727999999997</v>
      </c>
    </row>
    <row r="433" spans="1:10" ht="25.8">
      <c r="A433" s="617"/>
      <c r="B433" s="40"/>
      <c r="C433" s="54" t="s">
        <v>1600</v>
      </c>
      <c r="D433" s="954"/>
      <c r="E433" s="468"/>
      <c r="F433" s="458"/>
      <c r="G433" s="458"/>
      <c r="H433" s="458">
        <f>'Lead- Input sheet '!Q75</f>
        <v>0</v>
      </c>
      <c r="I433" s="468">
        <f>J432</f>
        <v>487.45727999999997</v>
      </c>
      <c r="J433" s="468">
        <f>ROUND(H433*I433,2)</f>
        <v>0</v>
      </c>
    </row>
    <row r="434" spans="1:10">
      <c r="A434" s="617"/>
      <c r="B434" s="411"/>
      <c r="C434" s="283" t="s">
        <v>256</v>
      </c>
      <c r="D434" s="955"/>
      <c r="E434" s="469"/>
      <c r="F434" s="460"/>
      <c r="G434" s="460"/>
      <c r="H434" s="460"/>
      <c r="I434" s="469" t="s">
        <v>416</v>
      </c>
      <c r="J434" s="469">
        <f>SUM(J432:J433)</f>
        <v>487.45727999999997</v>
      </c>
    </row>
  </sheetData>
  <mergeCells count="2">
    <mergeCell ref="A1:J1"/>
    <mergeCell ref="A2:J2"/>
  </mergeCells>
  <printOptions horizontalCentered="1"/>
  <pageMargins left="0.24" right="0.1" top="0.5" bottom="0.4" header="0.23622047244094499" footer="0.15748031496063"/>
  <pageSetup paperSize="9" scale="79" orientation="portrait" r:id="rId1"/>
  <headerFooter alignWithMargins="0">
    <oddFooter>&amp;C&amp;P&amp;R&amp;A</oddFooter>
  </headerFooter>
  <rowBreaks count="2" manualBreakCount="2">
    <brk id="98" max="9" man="1"/>
    <brk id="122" max="9" man="1"/>
  </rowBreak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rgb="FF00B050"/>
  </sheetPr>
  <dimension ref="A1:IV434"/>
  <sheetViews>
    <sheetView topLeftCell="A418" zoomScaleSheetLayoutView="100" workbookViewId="0">
      <selection activeCell="J434" sqref="A424:J434"/>
    </sheetView>
  </sheetViews>
  <sheetFormatPr defaultColWidth="13.88671875" defaultRowHeight="12.9"/>
  <cols>
    <col min="1" max="1" width="6.44140625" style="170" customWidth="1"/>
    <col min="2" max="2" width="5.109375" style="56" customWidth="1"/>
    <col min="3" max="3" width="36.44140625" style="54" customWidth="1"/>
    <col min="4" max="4" width="4.5546875" style="20" customWidth="1"/>
    <col min="5" max="5" width="6.88671875" style="129" customWidth="1"/>
    <col min="6" max="6" width="7.109375" style="682" customWidth="1"/>
    <col min="7" max="7" width="9" style="682" customWidth="1"/>
    <col min="8" max="8" width="7.109375" style="682" customWidth="1"/>
    <col min="9" max="9" width="7.109375" style="105" customWidth="1"/>
    <col min="10" max="10" width="10.5546875" style="105" customWidth="1"/>
    <col min="11" max="11" width="35.109375" style="25" customWidth="1"/>
    <col min="12" max="12" width="5.5546875" style="25" customWidth="1"/>
    <col min="13" max="13" width="6.5546875" style="25" customWidth="1"/>
    <col min="14" max="14" width="7.88671875" style="25" customWidth="1"/>
    <col min="15" max="15" width="10.33203125" style="25" customWidth="1"/>
    <col min="16" max="16" width="9.44140625" style="25" customWidth="1"/>
    <col min="17" max="17" width="8.109375" style="25" customWidth="1"/>
    <col min="18" max="256" width="13.88671875" style="25"/>
  </cols>
  <sheetData>
    <row r="1" spans="1:11" s="421" customFormat="1" ht="15" customHeight="1">
      <c r="A1" s="2664" t="s">
        <v>1987</v>
      </c>
      <c r="B1" s="2665"/>
      <c r="C1" s="2665"/>
      <c r="D1" s="2665"/>
      <c r="E1" s="2665"/>
      <c r="F1" s="2665"/>
      <c r="G1" s="2665"/>
      <c r="H1" s="2665"/>
      <c r="I1" s="2665"/>
      <c r="J1" s="2665"/>
    </row>
    <row r="2" spans="1:11" ht="50.2" customHeight="1">
      <c r="A2" s="2666" t="str">
        <f>'Lead- Input sheet '!A2</f>
        <v xml:space="preserve"> Construction of  Anganwadi Building at Jeedipally Thanda (V) of Kalwakurthy (M) of Nagarkurnool District </v>
      </c>
      <c r="B2" s="2667"/>
      <c r="C2" s="2667"/>
      <c r="D2" s="2667"/>
      <c r="E2" s="2667"/>
      <c r="F2" s="2667"/>
      <c r="G2" s="2667"/>
      <c r="H2" s="2667"/>
      <c r="I2" s="2667"/>
      <c r="J2" s="2667"/>
    </row>
    <row r="3" spans="1:11" s="426" customFormat="1" ht="64.5" customHeight="1">
      <c r="A3" s="704" t="s">
        <v>926</v>
      </c>
      <c r="B3" s="422" t="s">
        <v>148</v>
      </c>
      <c r="C3" s="423" t="s">
        <v>517</v>
      </c>
      <c r="D3" s="326" t="s">
        <v>1035</v>
      </c>
      <c r="E3" s="424" t="s">
        <v>1417</v>
      </c>
      <c r="F3" s="678" t="s">
        <v>784</v>
      </c>
      <c r="G3" s="679" t="s">
        <v>785</v>
      </c>
      <c r="H3" s="679" t="s">
        <v>786</v>
      </c>
      <c r="I3" s="419" t="s">
        <v>1479</v>
      </c>
      <c r="J3" s="424" t="s">
        <v>150</v>
      </c>
      <c r="K3" s="425"/>
    </row>
    <row r="4" spans="1:11" s="396" customFormat="1" ht="11.25" customHeight="1">
      <c r="A4" s="701">
        <v>1</v>
      </c>
      <c r="B4" s="702">
        <v>2</v>
      </c>
      <c r="C4" s="702">
        <f>B4+1</f>
        <v>3</v>
      </c>
      <c r="D4" s="702">
        <f t="shared" ref="D4:J4" si="0">C4+1</f>
        <v>4</v>
      </c>
      <c r="E4" s="702">
        <f t="shared" si="0"/>
        <v>5</v>
      </c>
      <c r="F4" s="702">
        <f t="shared" si="0"/>
        <v>6</v>
      </c>
      <c r="G4" s="702">
        <f t="shared" si="0"/>
        <v>7</v>
      </c>
      <c r="H4" s="702">
        <f t="shared" si="0"/>
        <v>8</v>
      </c>
      <c r="I4" s="916">
        <f t="shared" si="0"/>
        <v>9</v>
      </c>
      <c r="J4" s="702">
        <f t="shared" si="0"/>
        <v>10</v>
      </c>
      <c r="K4" s="703"/>
    </row>
    <row r="5" spans="1:11" ht="50.2" customHeight="1">
      <c r="A5" s="705" t="s">
        <v>927</v>
      </c>
      <c r="B5" s="420" t="s">
        <v>794</v>
      </c>
      <c r="C5" s="427" t="s">
        <v>795</v>
      </c>
      <c r="D5" s="428"/>
      <c r="E5" s="429"/>
      <c r="F5" s="680"/>
      <c r="G5" s="681" t="s">
        <v>1284</v>
      </c>
      <c r="H5" s="688"/>
      <c r="I5" s="430">
        <f>'Lead- Input sheet '!Q31</f>
        <v>0</v>
      </c>
      <c r="J5" s="431"/>
    </row>
    <row r="6" spans="1:11">
      <c r="A6" s="61"/>
      <c r="C6" s="54" t="s">
        <v>1394</v>
      </c>
      <c r="D6" s="191"/>
      <c r="G6" s="681" t="s">
        <v>1285</v>
      </c>
      <c r="H6" s="688"/>
      <c r="I6" s="944">
        <f>'Lead- Input sheet '!Q32</f>
        <v>0</v>
      </c>
    </row>
    <row r="7" spans="1:11">
      <c r="A7" s="61"/>
      <c r="C7" s="59" t="s">
        <v>1395</v>
      </c>
      <c r="D7" s="191"/>
      <c r="G7" s="463"/>
      <c r="H7" s="689"/>
    </row>
    <row r="8" spans="1:11">
      <c r="A8" s="61"/>
      <c r="C8" s="60" t="s">
        <v>1646</v>
      </c>
      <c r="D8" s="191" t="s">
        <v>1417</v>
      </c>
      <c r="E8" s="129">
        <v>0.7</v>
      </c>
      <c r="F8" s="712">
        <v>144</v>
      </c>
      <c r="G8" s="432">
        <f>E8*F8</f>
        <v>100.8</v>
      </c>
      <c r="H8" s="689"/>
    </row>
    <row r="9" spans="1:11">
      <c r="A9" s="61"/>
      <c r="C9" s="59" t="s">
        <v>653</v>
      </c>
      <c r="D9" s="191"/>
      <c r="F9" s="129"/>
      <c r="G9" s="432"/>
      <c r="H9" s="689"/>
    </row>
    <row r="10" spans="1:11">
      <c r="A10" s="61"/>
      <c r="C10" s="60" t="s">
        <v>989</v>
      </c>
      <c r="D10" s="189" t="s">
        <v>1047</v>
      </c>
      <c r="E10" s="433">
        <v>0.7</v>
      </c>
      <c r="F10" s="712">
        <f>'Lead- Input sheet '!R36</f>
        <v>650</v>
      </c>
      <c r="G10" s="432">
        <f>E10*F10</f>
        <v>454.99999999999994</v>
      </c>
      <c r="H10" s="689"/>
    </row>
    <row r="11" spans="1:11">
      <c r="A11" s="61"/>
      <c r="C11" s="60" t="s">
        <v>1286</v>
      </c>
      <c r="D11" s="189"/>
      <c r="E11" s="433">
        <f>G10</f>
        <v>454.99999999999994</v>
      </c>
      <c r="F11" s="712">
        <f>I5</f>
        <v>0</v>
      </c>
      <c r="G11" s="432">
        <f>E11*F11</f>
        <v>0</v>
      </c>
      <c r="H11" s="689"/>
    </row>
    <row r="12" spans="1:11" ht="25.8">
      <c r="A12" s="61"/>
      <c r="C12" s="60" t="s">
        <v>1166</v>
      </c>
      <c r="D12" s="189"/>
      <c r="E12" s="433">
        <v>0.01</v>
      </c>
      <c r="F12" s="712">
        <f>SUM(G8:G11)</f>
        <v>555.79999999999995</v>
      </c>
      <c r="G12" s="432">
        <f>E12*F12</f>
        <v>5.5579999999999998</v>
      </c>
      <c r="H12" s="689"/>
    </row>
    <row r="13" spans="1:11">
      <c r="A13" s="61"/>
      <c r="C13" s="59" t="s">
        <v>1398</v>
      </c>
      <c r="D13" s="191"/>
      <c r="E13" s="433"/>
      <c r="F13" s="129"/>
      <c r="G13" s="434">
        <f>SUM(G8:G12)</f>
        <v>561.35799999999995</v>
      </c>
      <c r="H13" s="689"/>
    </row>
    <row r="14" spans="1:11" s="18" customFormat="1" ht="25.8">
      <c r="A14" s="45"/>
      <c r="B14" s="53"/>
      <c r="C14" s="55" t="s">
        <v>1600</v>
      </c>
      <c r="D14" s="190"/>
      <c r="E14" s="435">
        <f>G13</f>
        <v>561.35799999999995</v>
      </c>
      <c r="F14" s="713"/>
      <c r="G14" s="434">
        <f>ROUND(E14*F14,2)</f>
        <v>0</v>
      </c>
      <c r="H14" s="690"/>
      <c r="I14" s="436"/>
      <c r="J14" s="436"/>
    </row>
    <row r="15" spans="1:11" s="439" customFormat="1">
      <c r="A15" s="281"/>
      <c r="B15" s="282"/>
      <c r="C15" s="283" t="s">
        <v>1231</v>
      </c>
      <c r="D15" s="437"/>
      <c r="E15" s="438"/>
      <c r="F15" s="684" t="s">
        <v>1486</v>
      </c>
      <c r="G15" s="684">
        <f>SUM(G13:G14)</f>
        <v>561.35799999999995</v>
      </c>
      <c r="H15" s="691"/>
      <c r="I15" s="440"/>
      <c r="J15" s="440"/>
    </row>
    <row r="16" spans="1:11" ht="51.6">
      <c r="A16" s="706" t="s">
        <v>925</v>
      </c>
      <c r="B16" s="19">
        <v>1</v>
      </c>
      <c r="C16" s="54" t="s">
        <v>462</v>
      </c>
      <c r="E16" s="466"/>
      <c r="F16" s="463"/>
      <c r="G16" s="685"/>
      <c r="H16" s="685"/>
      <c r="I16" s="432"/>
      <c r="J16" s="441"/>
    </row>
    <row r="17" spans="1:12">
      <c r="B17" s="19"/>
      <c r="C17" s="54" t="s">
        <v>498</v>
      </c>
      <c r="D17" s="26"/>
      <c r="E17" s="467"/>
      <c r="F17" s="292"/>
      <c r="G17" s="459"/>
      <c r="H17" s="459"/>
      <c r="I17" s="289"/>
      <c r="J17" s="290"/>
      <c r="K17" s="31"/>
    </row>
    <row r="18" spans="1:12">
      <c r="B18" s="19"/>
      <c r="C18" s="54" t="s">
        <v>499</v>
      </c>
      <c r="D18" s="26"/>
      <c r="E18" s="467"/>
      <c r="F18" s="292"/>
      <c r="G18" s="459"/>
      <c r="H18" s="459"/>
      <c r="I18" s="289"/>
      <c r="J18" s="290"/>
      <c r="K18" s="31"/>
    </row>
    <row r="19" spans="1:12" ht="25.8">
      <c r="B19" s="19"/>
      <c r="C19" s="54" t="s">
        <v>1653</v>
      </c>
      <c r="D19" s="26" t="s">
        <v>1473</v>
      </c>
      <c r="E19" s="467">
        <v>1</v>
      </c>
      <c r="F19" s="459"/>
      <c r="G19" s="683" t="s">
        <v>935</v>
      </c>
      <c r="H19" s="459"/>
      <c r="I19" s="291"/>
      <c r="J19" s="290"/>
      <c r="K19" s="31"/>
    </row>
    <row r="20" spans="1:12">
      <c r="B20" s="19"/>
      <c r="C20" s="54" t="s">
        <v>500</v>
      </c>
      <c r="D20" s="26"/>
      <c r="E20" s="467"/>
      <c r="F20" s="292"/>
      <c r="G20" s="459"/>
      <c r="H20" s="459"/>
      <c r="I20" s="289"/>
      <c r="J20" s="290"/>
      <c r="K20" s="31"/>
    </row>
    <row r="21" spans="1:12">
      <c r="B21" s="19"/>
      <c r="C21" s="54" t="s">
        <v>501</v>
      </c>
      <c r="D21" s="26" t="s">
        <v>1047</v>
      </c>
      <c r="E21" s="467">
        <v>17.7</v>
      </c>
      <c r="F21" s="714">
        <v>565</v>
      </c>
      <c r="G21" s="714">
        <f>E21*F21</f>
        <v>10000.5</v>
      </c>
      <c r="H21" s="292"/>
      <c r="I21" s="289"/>
      <c r="J21" s="290"/>
      <c r="K21" s="31"/>
    </row>
    <row r="22" spans="1:12">
      <c r="B22" s="19"/>
      <c r="C22" s="54" t="s">
        <v>502</v>
      </c>
      <c r="D22" s="26" t="s">
        <v>1047</v>
      </c>
      <c r="E22" s="467">
        <v>8.8000000000000007</v>
      </c>
      <c r="F22" s="714">
        <f>'Lead- Input sheet '!R28</f>
        <v>605</v>
      </c>
      <c r="G22" s="714">
        <f>E22*F22</f>
        <v>5324</v>
      </c>
      <c r="H22" s="292"/>
      <c r="I22" s="289"/>
      <c r="J22" s="290"/>
      <c r="K22" s="31"/>
    </row>
    <row r="23" spans="1:12">
      <c r="A23" s="61"/>
      <c r="C23" s="60" t="s">
        <v>1286</v>
      </c>
      <c r="D23" s="189"/>
      <c r="E23" s="945">
        <f>SUM(G21:G22)</f>
        <v>15324.5</v>
      </c>
      <c r="F23" s="712">
        <f>I5</f>
        <v>0</v>
      </c>
      <c r="G23" s="714">
        <f>E23*F23</f>
        <v>0</v>
      </c>
      <c r="H23" s="689"/>
    </row>
    <row r="24" spans="1:12">
      <c r="B24" s="19"/>
      <c r="C24" s="54" t="s">
        <v>503</v>
      </c>
      <c r="D24" s="26"/>
      <c r="E24" s="467" t="s">
        <v>975</v>
      </c>
      <c r="F24" s="686"/>
      <c r="G24" s="461"/>
      <c r="H24" s="459"/>
      <c r="I24" s="289"/>
      <c r="J24" s="290"/>
      <c r="K24" s="31"/>
    </row>
    <row r="25" spans="1:12">
      <c r="B25" s="19"/>
      <c r="C25" s="54" t="s">
        <v>74</v>
      </c>
      <c r="D25" s="26"/>
      <c r="E25" s="467"/>
      <c r="F25" s="686" t="s">
        <v>1486</v>
      </c>
      <c r="G25" s="446">
        <f>SUM(G21:G24)</f>
        <v>15324.5</v>
      </c>
      <c r="H25" s="459"/>
      <c r="I25" s="289"/>
      <c r="J25" s="290"/>
      <c r="K25" s="31"/>
    </row>
    <row r="26" spans="1:12" ht="258">
      <c r="A26" s="617" t="s">
        <v>925</v>
      </c>
      <c r="B26" s="966">
        <v>2</v>
      </c>
      <c r="C26" s="54" t="s">
        <v>1523</v>
      </c>
      <c r="D26" s="26"/>
      <c r="E26" s="289"/>
      <c r="F26" s="292"/>
      <c r="G26" s="292"/>
      <c r="H26" s="292"/>
      <c r="I26" s="289"/>
      <c r="J26" s="289"/>
      <c r="K26" s="31"/>
    </row>
    <row r="27" spans="1:12" s="444" customFormat="1">
      <c r="A27" s="172"/>
      <c r="B27" s="158"/>
      <c r="C27" s="55" t="s">
        <v>1846</v>
      </c>
      <c r="D27" s="19"/>
      <c r="E27" s="291"/>
      <c r="F27" s="459"/>
      <c r="G27" s="459"/>
      <c r="H27" s="459"/>
      <c r="I27" s="291"/>
      <c r="J27" s="291"/>
      <c r="K27" s="443"/>
    </row>
    <row r="28" spans="1:12">
      <c r="A28" s="617"/>
      <c r="B28" s="34"/>
      <c r="C28" s="54" t="s">
        <v>779</v>
      </c>
      <c r="D28" s="26"/>
      <c r="E28" s="289"/>
      <c r="F28" s="292"/>
      <c r="G28" s="292"/>
      <c r="H28" s="292"/>
      <c r="I28" s="289"/>
      <c r="J28" s="289"/>
      <c r="K28" s="31"/>
    </row>
    <row r="29" spans="1:12" ht="20.2" customHeight="1">
      <c r="A29" s="617"/>
      <c r="B29" s="34"/>
      <c r="C29" s="54" t="s">
        <v>1647</v>
      </c>
      <c r="D29" s="951">
        <v>2</v>
      </c>
      <c r="E29" s="471">
        <v>2</v>
      </c>
      <c r="F29" s="462">
        <v>0.1</v>
      </c>
      <c r="G29" s="462">
        <v>7.4999999999999997E-2</v>
      </c>
      <c r="H29" s="462">
        <f>ROUND(D29*E29*F29*G29,3)</f>
        <v>0.03</v>
      </c>
      <c r="I29" s="471">
        <v>25497.19</v>
      </c>
      <c r="J29" s="471">
        <f t="shared" ref="J29:J34" si="1">ROUND(H29*I29,2)</f>
        <v>764.92</v>
      </c>
      <c r="K29" s="31"/>
      <c r="L29" s="205"/>
    </row>
    <row r="30" spans="1:12" ht="20.2" customHeight="1">
      <c r="A30" s="617"/>
      <c r="B30" s="34"/>
      <c r="C30" s="54" t="s">
        <v>781</v>
      </c>
      <c r="D30" s="951">
        <v>1</v>
      </c>
      <c r="E30" s="471">
        <v>0.9</v>
      </c>
      <c r="F30" s="462">
        <v>0.1</v>
      </c>
      <c r="G30" s="462">
        <v>7.4999999999999997E-2</v>
      </c>
      <c r="H30" s="462">
        <f>ROUND(D30*E30*F30*G30,3)</f>
        <v>7.0000000000000001E-3</v>
      </c>
      <c r="I30" s="471">
        <v>25497.19</v>
      </c>
      <c r="J30" s="471">
        <f t="shared" si="1"/>
        <v>178.48</v>
      </c>
      <c r="K30" s="31"/>
      <c r="L30" s="205"/>
    </row>
    <row r="31" spans="1:12" ht="20.2" customHeight="1">
      <c r="A31" s="617"/>
      <c r="B31" s="34"/>
      <c r="C31" s="54" t="s">
        <v>1648</v>
      </c>
      <c r="D31" s="951">
        <v>2</v>
      </c>
      <c r="E31" s="471">
        <f>2-0.075*2+0.015</f>
        <v>1.865</v>
      </c>
      <c r="F31" s="462">
        <v>0.125</v>
      </c>
      <c r="G31" s="462">
        <f>0.03175</f>
        <v>3.175E-2</v>
      </c>
      <c r="H31" s="462">
        <f>ROUND(D31*E31*F31*G31,3)</f>
        <v>1.4999999999999999E-2</v>
      </c>
      <c r="I31" s="471">
        <v>31076.9</v>
      </c>
      <c r="J31" s="471">
        <f t="shared" si="1"/>
        <v>466.15</v>
      </c>
      <c r="K31" s="31"/>
      <c r="L31" s="205"/>
    </row>
    <row r="32" spans="1:12" ht="20.2" customHeight="1">
      <c r="A32" s="617"/>
      <c r="B32" s="34"/>
      <c r="C32" s="54" t="s">
        <v>783</v>
      </c>
      <c r="D32" s="951">
        <v>5</v>
      </c>
      <c r="E32" s="471">
        <f>(0.75-2*0.075+2*0.015)</f>
        <v>0.63</v>
      </c>
      <c r="F32" s="462">
        <v>0.125</v>
      </c>
      <c r="G32" s="462">
        <f>0.03175</f>
        <v>3.175E-2</v>
      </c>
      <c r="H32" s="462">
        <f>ROUND(D32*E32*F32*G32,3)</f>
        <v>1.2999999999999999E-2</v>
      </c>
      <c r="I32" s="471">
        <v>31076.9</v>
      </c>
      <c r="J32" s="471">
        <f t="shared" si="1"/>
        <v>404</v>
      </c>
      <c r="K32" s="31"/>
      <c r="L32" s="205"/>
    </row>
    <row r="33" spans="1:12" ht="20.2" customHeight="1">
      <c r="A33" s="617"/>
      <c r="B33" s="34"/>
      <c r="C33" s="54" t="s">
        <v>1481</v>
      </c>
      <c r="D33" s="951">
        <v>4</v>
      </c>
      <c r="E33" s="471">
        <f>0.75-2*0.075+2*0.015-2*0.125+2*0.025</f>
        <v>0.43</v>
      </c>
      <c r="F33" s="462">
        <f>(2-2*0.075+1*0.015-5*0.125)/4+2*0.025</f>
        <v>0.36</v>
      </c>
      <c r="G33" s="462">
        <f>0.025</f>
        <v>2.5000000000000001E-2</v>
      </c>
      <c r="H33" s="462">
        <f>ROUND(D33*E33*F33*G33,3)</f>
        <v>1.4999999999999999E-2</v>
      </c>
      <c r="I33" s="471">
        <v>31076.9</v>
      </c>
      <c r="J33" s="471">
        <f t="shared" si="1"/>
        <v>466.15</v>
      </c>
      <c r="K33" s="31"/>
      <c r="L33" s="205"/>
    </row>
    <row r="34" spans="1:12" ht="20.2" customHeight="1">
      <c r="A34" s="617"/>
      <c r="B34" s="34"/>
      <c r="C34" s="54" t="s">
        <v>1482</v>
      </c>
      <c r="D34" s="951"/>
      <c r="E34" s="471"/>
      <c r="F34" s="462"/>
      <c r="G34" s="462"/>
      <c r="H34" s="462">
        <f>SUM(H29:H33)</f>
        <v>0.08</v>
      </c>
      <c r="I34" s="465">
        <f>G25</f>
        <v>15324.5</v>
      </c>
      <c r="J34" s="471">
        <f t="shared" si="1"/>
        <v>1225.96</v>
      </c>
      <c r="K34" s="292"/>
      <c r="L34" s="292"/>
    </row>
    <row r="35" spans="1:12" ht="33.299999999999997">
      <c r="A35" s="617" t="s">
        <v>787</v>
      </c>
      <c r="B35" s="19"/>
      <c r="C35" s="54" t="s">
        <v>788</v>
      </c>
      <c r="D35" s="951"/>
      <c r="E35" s="471"/>
      <c r="F35" s="462"/>
      <c r="G35" s="952"/>
      <c r="H35" s="952"/>
      <c r="I35" s="471"/>
      <c r="J35" s="471"/>
      <c r="K35" s="31"/>
    </row>
    <row r="36" spans="1:12" ht="20.2" customHeight="1">
      <c r="A36" s="617"/>
      <c r="B36" s="19"/>
      <c r="C36" s="24" t="s">
        <v>911</v>
      </c>
      <c r="D36" s="951" t="s">
        <v>1035</v>
      </c>
      <c r="E36" s="471" t="s">
        <v>1617</v>
      </c>
      <c r="F36" s="462"/>
      <c r="G36" s="462"/>
      <c r="H36" s="948">
        <v>2</v>
      </c>
      <c r="I36" s="471">
        <v>68</v>
      </c>
      <c r="J36" s="471">
        <f t="shared" ref="J36:J43" si="2">ROUND(H36*I36,2)</f>
        <v>136</v>
      </c>
      <c r="K36" s="31"/>
    </row>
    <row r="37" spans="1:12" ht="20.2" customHeight="1">
      <c r="A37" s="617"/>
      <c r="B37" s="19"/>
      <c r="C37" s="24" t="s">
        <v>912</v>
      </c>
      <c r="D37" s="951" t="s">
        <v>1035</v>
      </c>
      <c r="E37" s="471" t="s">
        <v>1618</v>
      </c>
      <c r="F37" s="462"/>
      <c r="G37" s="462"/>
      <c r="H37" s="948">
        <v>1</v>
      </c>
      <c r="I37" s="471">
        <v>35</v>
      </c>
      <c r="J37" s="471">
        <f t="shared" si="2"/>
        <v>35</v>
      </c>
      <c r="K37" s="31"/>
    </row>
    <row r="38" spans="1:12" ht="20.2" customHeight="1">
      <c r="A38" s="617"/>
      <c r="B38" s="19"/>
      <c r="C38" s="949" t="s">
        <v>913</v>
      </c>
      <c r="D38" s="951" t="s">
        <v>1035</v>
      </c>
      <c r="E38" s="471" t="s">
        <v>1619</v>
      </c>
      <c r="F38" s="462"/>
      <c r="G38" s="462"/>
      <c r="H38" s="948">
        <v>6</v>
      </c>
      <c r="I38" s="471">
        <v>31</v>
      </c>
      <c r="J38" s="471">
        <f t="shared" si="2"/>
        <v>186</v>
      </c>
      <c r="K38" s="31"/>
    </row>
    <row r="39" spans="1:12" ht="20.2" customHeight="1">
      <c r="A39" s="617"/>
      <c r="B39" s="19"/>
      <c r="C39" s="24" t="s">
        <v>914</v>
      </c>
      <c r="D39" s="951" t="s">
        <v>1035</v>
      </c>
      <c r="E39" s="471" t="s">
        <v>1620</v>
      </c>
      <c r="F39" s="462"/>
      <c r="G39" s="462"/>
      <c r="H39" s="948">
        <v>1</v>
      </c>
      <c r="I39" s="471">
        <v>164</v>
      </c>
      <c r="J39" s="471">
        <f t="shared" si="2"/>
        <v>164</v>
      </c>
      <c r="K39" s="31"/>
    </row>
    <row r="40" spans="1:12" ht="20.2" customHeight="1">
      <c r="A40" s="617"/>
      <c r="B40" s="19"/>
      <c r="C40" s="24" t="s">
        <v>296</v>
      </c>
      <c r="D40" s="951" t="s">
        <v>1035</v>
      </c>
      <c r="E40" s="471" t="s">
        <v>1621</v>
      </c>
      <c r="F40" s="462"/>
      <c r="G40" s="462"/>
      <c r="H40" s="948">
        <v>2</v>
      </c>
      <c r="I40" s="471">
        <v>45</v>
      </c>
      <c r="J40" s="471">
        <f t="shared" si="2"/>
        <v>90</v>
      </c>
      <c r="K40" s="31"/>
    </row>
    <row r="41" spans="1:12" ht="20.2" customHeight="1">
      <c r="A41" s="617"/>
      <c r="B41" s="19"/>
      <c r="C41" s="24" t="s">
        <v>420</v>
      </c>
      <c r="D41" s="951"/>
      <c r="E41" s="471" t="s">
        <v>1649</v>
      </c>
      <c r="F41" s="462"/>
      <c r="G41" s="462"/>
      <c r="H41" s="948">
        <v>3</v>
      </c>
      <c r="I41" s="471">
        <v>31</v>
      </c>
      <c r="J41" s="471">
        <f t="shared" si="2"/>
        <v>93</v>
      </c>
      <c r="K41" s="31"/>
    </row>
    <row r="42" spans="1:12" ht="20.2" customHeight="1">
      <c r="A42" s="617"/>
      <c r="B42" s="19"/>
      <c r="C42" s="24" t="s">
        <v>799</v>
      </c>
      <c r="D42" s="951" t="s">
        <v>882</v>
      </c>
      <c r="E42" s="471" t="s">
        <v>1826</v>
      </c>
      <c r="F42" s="462"/>
      <c r="G42" s="462"/>
      <c r="H42" s="948">
        <v>80</v>
      </c>
      <c r="I42" s="471">
        <v>3</v>
      </c>
      <c r="J42" s="471">
        <f t="shared" si="2"/>
        <v>240</v>
      </c>
      <c r="K42" s="31"/>
    </row>
    <row r="43" spans="1:12" ht="20.2" customHeight="1">
      <c r="A43" s="617"/>
      <c r="B43" s="19"/>
      <c r="C43" s="24" t="s">
        <v>1623</v>
      </c>
      <c r="D43" s="951" t="s">
        <v>882</v>
      </c>
      <c r="E43" s="471" t="s">
        <v>1650</v>
      </c>
      <c r="F43" s="462"/>
      <c r="G43" s="462"/>
      <c r="H43" s="948">
        <v>10</v>
      </c>
      <c r="I43" s="471">
        <v>16</v>
      </c>
      <c r="J43" s="471">
        <f t="shared" si="2"/>
        <v>160</v>
      </c>
      <c r="K43" s="31"/>
    </row>
    <row r="44" spans="1:12" ht="20.2" customHeight="1">
      <c r="A44" s="617"/>
      <c r="B44" s="34"/>
      <c r="C44" s="24" t="s">
        <v>1484</v>
      </c>
      <c r="D44" s="951">
        <v>2.25</v>
      </c>
      <c r="E44" s="471">
        <v>0.75</v>
      </c>
      <c r="F44" s="462"/>
      <c r="G44" s="462">
        <v>2</v>
      </c>
      <c r="H44" s="462">
        <f>ROUND(G44*E44*D44,2)</f>
        <v>3.38</v>
      </c>
      <c r="I44" s="698">
        <f>G15</f>
        <v>561.35799999999995</v>
      </c>
      <c r="J44" s="471">
        <f>H44*I44/10</f>
        <v>189.73900399999997</v>
      </c>
      <c r="K44" s="31"/>
    </row>
    <row r="45" spans="1:12" ht="20.2" customHeight="1">
      <c r="A45" s="617"/>
      <c r="B45" s="32"/>
      <c r="C45" s="24" t="s">
        <v>1598</v>
      </c>
      <c r="D45" s="951"/>
      <c r="E45" s="953" t="s">
        <v>1651</v>
      </c>
      <c r="F45" s="462"/>
      <c r="G45" s="462"/>
      <c r="H45" s="948">
        <v>6</v>
      </c>
      <c r="I45" s="471">
        <v>32</v>
      </c>
      <c r="J45" s="471">
        <f>ROUND(H45*I45,2)</f>
        <v>192</v>
      </c>
      <c r="K45" s="31"/>
    </row>
    <row r="46" spans="1:12" ht="20.2" customHeight="1">
      <c r="A46" s="617"/>
      <c r="B46" s="34"/>
      <c r="C46" s="24" t="s">
        <v>230</v>
      </c>
      <c r="D46" s="951"/>
      <c r="E46" s="471"/>
      <c r="F46" s="462"/>
      <c r="G46" s="462"/>
      <c r="H46" s="948">
        <v>1</v>
      </c>
      <c r="I46" s="471">
        <v>75</v>
      </c>
      <c r="J46" s="471">
        <f>H46*I46</f>
        <v>75</v>
      </c>
      <c r="K46" s="31"/>
    </row>
    <row r="47" spans="1:12" ht="20.2" customHeight="1">
      <c r="A47" s="617"/>
      <c r="B47" s="34"/>
      <c r="C47" s="24"/>
      <c r="D47" s="951"/>
      <c r="E47" s="471"/>
      <c r="F47" s="462"/>
      <c r="G47" s="462"/>
      <c r="H47" s="462"/>
      <c r="I47" s="471"/>
      <c r="J47" s="468">
        <f>ROUND(SUM(J29:J46),1)</f>
        <v>5066.3999999999996</v>
      </c>
      <c r="K47" s="31"/>
    </row>
    <row r="48" spans="1:12" s="18" customFormat="1" ht="20.2" customHeight="1">
      <c r="A48" s="617"/>
      <c r="B48" s="40"/>
      <c r="C48" s="54" t="s">
        <v>1600</v>
      </c>
      <c r="D48" s="954"/>
      <c r="E48" s="468"/>
      <c r="F48" s="458"/>
      <c r="G48" s="458"/>
      <c r="H48" s="458">
        <f>J47</f>
        <v>5066.3999999999996</v>
      </c>
      <c r="I48" s="468">
        <f>I6</f>
        <v>0</v>
      </c>
      <c r="J48" s="471">
        <f>ROUND(H48*I48,2)</f>
        <v>0</v>
      </c>
      <c r="K48" s="17"/>
    </row>
    <row r="49" spans="1:11" s="439" customFormat="1" ht="20.2" customHeight="1">
      <c r="A49" s="617" t="s">
        <v>1288</v>
      </c>
      <c r="B49" s="411"/>
      <c r="C49" s="283" t="s">
        <v>256</v>
      </c>
      <c r="D49" s="955"/>
      <c r="E49" s="469"/>
      <c r="F49" s="460"/>
      <c r="G49" s="460"/>
      <c r="H49" s="460"/>
      <c r="I49" s="469" t="s">
        <v>416</v>
      </c>
      <c r="J49" s="469">
        <f>SUM(J47:J48)</f>
        <v>5066.3999999999996</v>
      </c>
      <c r="K49" s="447"/>
    </row>
    <row r="50" spans="1:11" s="444" customFormat="1">
      <c r="A50" s="617"/>
      <c r="B50" s="158"/>
      <c r="C50" s="55" t="s">
        <v>376</v>
      </c>
      <c r="D50" s="954"/>
      <c r="E50" s="468"/>
      <c r="F50" s="458"/>
      <c r="G50" s="458"/>
      <c r="H50" s="458"/>
      <c r="I50" s="468"/>
      <c r="J50" s="468"/>
      <c r="K50" s="443"/>
    </row>
    <row r="51" spans="1:11">
      <c r="A51" s="617"/>
      <c r="B51" s="34"/>
      <c r="C51" s="54" t="s">
        <v>779</v>
      </c>
      <c r="D51" s="951"/>
      <c r="E51" s="471"/>
      <c r="F51" s="462"/>
      <c r="G51" s="462"/>
      <c r="H51" s="462"/>
      <c r="I51" s="471"/>
      <c r="J51" s="471"/>
      <c r="K51" s="31"/>
    </row>
    <row r="52" spans="1:11" ht="20.2" customHeight="1">
      <c r="A52" s="617"/>
      <c r="B52" s="34"/>
      <c r="C52" s="54" t="s">
        <v>780</v>
      </c>
      <c r="D52" s="951">
        <v>2</v>
      </c>
      <c r="E52" s="471">
        <v>2</v>
      </c>
      <c r="F52" s="462">
        <v>0.1</v>
      </c>
      <c r="G52" s="462">
        <v>7.4999999999999997E-2</v>
      </c>
      <c r="H52" s="462">
        <f>ROUND(D52*E52*F52*G52,3)</f>
        <v>0.03</v>
      </c>
      <c r="I52" s="471">
        <v>25497.19</v>
      </c>
      <c r="J52" s="471">
        <f>ROUND(H52*I52,2)</f>
        <v>764.92</v>
      </c>
      <c r="K52" s="31"/>
    </row>
    <row r="53" spans="1:11" ht="20.2" customHeight="1">
      <c r="A53" s="617"/>
      <c r="B53" s="34"/>
      <c r="C53" s="54" t="s">
        <v>781</v>
      </c>
      <c r="D53" s="951">
        <v>1</v>
      </c>
      <c r="E53" s="471">
        <v>0.9</v>
      </c>
      <c r="F53" s="462">
        <v>0.1</v>
      </c>
      <c r="G53" s="462">
        <v>7.4999999999999997E-2</v>
      </c>
      <c r="H53" s="462">
        <f>ROUND(D53*E53*F53*G53,3)</f>
        <v>7.0000000000000001E-3</v>
      </c>
      <c r="I53" s="471">
        <v>25497.19</v>
      </c>
      <c r="J53" s="471">
        <f>ROUND(H53*I53,2)</f>
        <v>178.48</v>
      </c>
      <c r="K53" s="31"/>
    </row>
    <row r="54" spans="1:11" ht="20.2" customHeight="1">
      <c r="A54" s="617"/>
      <c r="B54" s="34"/>
      <c r="C54" s="54" t="s">
        <v>1482</v>
      </c>
      <c r="D54" s="951"/>
      <c r="E54" s="471"/>
      <c r="F54" s="462"/>
      <c r="G54" s="462"/>
      <c r="H54" s="462">
        <f>SUM(H52:H53)</f>
        <v>3.6999999999999998E-2</v>
      </c>
      <c r="I54" s="465">
        <f>G25</f>
        <v>15324.5</v>
      </c>
      <c r="J54" s="471">
        <f>ROUND(H54*I54,2)</f>
        <v>567.01</v>
      </c>
      <c r="K54" s="31"/>
    </row>
    <row r="55" spans="1:11" ht="20.2" customHeight="1">
      <c r="A55" s="617"/>
      <c r="B55" s="34"/>
      <c r="C55" s="54" t="s">
        <v>1484</v>
      </c>
      <c r="D55" s="951" t="s">
        <v>1289</v>
      </c>
      <c r="E55" s="471">
        <v>0.75</v>
      </c>
      <c r="F55" s="462"/>
      <c r="G55" s="462">
        <v>2</v>
      </c>
      <c r="H55" s="462">
        <f>ROUND(G55*E55*2.25/3,2)</f>
        <v>1.1299999999999999</v>
      </c>
      <c r="I55" s="698">
        <f>G15</f>
        <v>561.35799999999995</v>
      </c>
      <c r="J55" s="471">
        <f>H55*I55/10</f>
        <v>63.433453999999983</v>
      </c>
      <c r="K55" s="31"/>
    </row>
    <row r="56" spans="1:11" ht="20.2" customHeight="1">
      <c r="A56" s="617"/>
      <c r="B56" s="32"/>
      <c r="C56" s="54" t="s">
        <v>1598</v>
      </c>
      <c r="D56" s="951"/>
      <c r="E56" s="953" t="s">
        <v>1651</v>
      </c>
      <c r="F56" s="462"/>
      <c r="G56" s="462"/>
      <c r="H56" s="948">
        <v>6</v>
      </c>
      <c r="I56" s="471">
        <v>32</v>
      </c>
      <c r="J56" s="471">
        <f>ROUND(H56*I56,2)</f>
        <v>192</v>
      </c>
      <c r="K56" s="31"/>
    </row>
    <row r="57" spans="1:11" ht="20.2" customHeight="1">
      <c r="A57" s="617"/>
      <c r="B57" s="34"/>
      <c r="C57" s="54" t="s">
        <v>230</v>
      </c>
      <c r="D57" s="951"/>
      <c r="E57" s="471"/>
      <c r="F57" s="462"/>
      <c r="G57" s="462"/>
      <c r="H57" s="948">
        <v>1</v>
      </c>
      <c r="I57" s="471">
        <v>50</v>
      </c>
      <c r="J57" s="471">
        <f>H57*I57</f>
        <v>50</v>
      </c>
      <c r="K57" s="31"/>
    </row>
    <row r="58" spans="1:11" ht="20.2" customHeight="1">
      <c r="A58" s="617"/>
      <c r="B58" s="34"/>
      <c r="D58" s="951"/>
      <c r="E58" s="471"/>
      <c r="F58" s="462"/>
      <c r="G58" s="462"/>
      <c r="H58" s="462"/>
      <c r="I58" s="471"/>
      <c r="J58" s="468">
        <f>SUM(J52:J57)</f>
        <v>1815.8434539999998</v>
      </c>
      <c r="K58" s="31"/>
    </row>
    <row r="59" spans="1:11" s="18" customFormat="1" ht="20.2" customHeight="1">
      <c r="A59" s="617"/>
      <c r="B59" s="40"/>
      <c r="C59" s="54" t="s">
        <v>1600</v>
      </c>
      <c r="D59" s="954"/>
      <c r="E59" s="468"/>
      <c r="F59" s="458"/>
      <c r="G59" s="458"/>
      <c r="H59" s="458">
        <f>J58</f>
        <v>1815.8434539999998</v>
      </c>
      <c r="I59" s="468">
        <f>I6</f>
        <v>0</v>
      </c>
      <c r="J59" s="471">
        <f>ROUND(H59*I59,2)</f>
        <v>0</v>
      </c>
      <c r="K59" s="17"/>
    </row>
    <row r="60" spans="1:11" s="439" customFormat="1" ht="20.2" customHeight="1">
      <c r="A60" s="617" t="s">
        <v>1288</v>
      </c>
      <c r="B60" s="411"/>
      <c r="C60" s="283" t="s">
        <v>377</v>
      </c>
      <c r="D60" s="955"/>
      <c r="E60" s="469"/>
      <c r="F60" s="460"/>
      <c r="G60" s="460"/>
      <c r="H60" s="460"/>
      <c r="I60" s="469" t="s">
        <v>1486</v>
      </c>
      <c r="J60" s="469">
        <f>SUM(J58:J59)</f>
        <v>1815.8434539999998</v>
      </c>
      <c r="K60" s="447"/>
    </row>
    <row r="61" spans="1:11" s="439" customFormat="1" ht="20.2" customHeight="1">
      <c r="A61" s="617"/>
      <c r="B61" s="411"/>
      <c r="C61" s="283" t="s">
        <v>1847</v>
      </c>
      <c r="D61" s="955"/>
      <c r="E61" s="469"/>
      <c r="F61" s="460"/>
      <c r="G61" s="460"/>
      <c r="H61" s="460"/>
      <c r="I61" s="469" t="s">
        <v>1486</v>
      </c>
      <c r="J61" s="469">
        <f>J49-J60</f>
        <v>3250.5565459999998</v>
      </c>
      <c r="K61" s="447"/>
    </row>
    <row r="62" spans="1:11" ht="258">
      <c r="A62" s="617"/>
      <c r="B62" s="26">
        <v>3</v>
      </c>
      <c r="C62" s="54" t="s">
        <v>1524</v>
      </c>
      <c r="D62" s="951"/>
      <c r="E62" s="471"/>
      <c r="F62" s="462"/>
      <c r="G62" s="462"/>
      <c r="H62" s="462"/>
      <c r="I62" s="471"/>
      <c r="J62" s="471"/>
      <c r="K62" s="31"/>
    </row>
    <row r="63" spans="1:11" ht="25.8">
      <c r="A63" s="617"/>
      <c r="B63" s="34"/>
      <c r="C63" s="55" t="s">
        <v>1525</v>
      </c>
      <c r="D63" s="954"/>
      <c r="E63" s="468"/>
      <c r="F63" s="462"/>
      <c r="G63" s="462"/>
      <c r="H63" s="462"/>
      <c r="I63" s="471"/>
      <c r="J63" s="471"/>
      <c r="K63" s="31"/>
    </row>
    <row r="64" spans="1:11">
      <c r="A64" s="617"/>
      <c r="B64" s="34"/>
      <c r="C64" s="54" t="s">
        <v>779</v>
      </c>
      <c r="D64" s="951"/>
      <c r="E64" s="471"/>
      <c r="F64" s="462"/>
      <c r="G64" s="462"/>
      <c r="H64" s="462"/>
      <c r="I64" s="471"/>
      <c r="J64" s="471"/>
      <c r="K64" s="31"/>
    </row>
    <row r="65" spans="1:11" ht="20.2" customHeight="1">
      <c r="A65" s="617"/>
      <c r="B65" s="34"/>
      <c r="C65" s="54" t="s">
        <v>780</v>
      </c>
      <c r="D65" s="951">
        <v>2</v>
      </c>
      <c r="E65" s="471">
        <v>2</v>
      </c>
      <c r="F65" s="462">
        <v>0.1</v>
      </c>
      <c r="G65" s="462">
        <v>7.4999999999999997E-2</v>
      </c>
      <c r="H65" s="462">
        <f>ROUND(D65*E65*F65*G65,3)</f>
        <v>0.03</v>
      </c>
      <c r="I65" s="471">
        <v>25497.19</v>
      </c>
      <c r="J65" s="471">
        <f t="shared" ref="J65:J70" si="3">ROUND(H65*I65,2)</f>
        <v>764.92</v>
      </c>
      <c r="K65" s="31"/>
    </row>
    <row r="66" spans="1:11" ht="20.2" customHeight="1">
      <c r="A66" s="617"/>
      <c r="B66" s="34"/>
      <c r="C66" s="54" t="s">
        <v>781</v>
      </c>
      <c r="D66" s="951">
        <v>1</v>
      </c>
      <c r="E66" s="471">
        <v>1.05</v>
      </c>
      <c r="F66" s="462">
        <v>0.1</v>
      </c>
      <c r="G66" s="462">
        <v>7.4999999999999997E-2</v>
      </c>
      <c r="H66" s="462">
        <f>ROUND(D66*E66*F66*G66,3)</f>
        <v>8.0000000000000002E-3</v>
      </c>
      <c r="I66" s="471">
        <v>25497.19</v>
      </c>
      <c r="J66" s="471">
        <f t="shared" si="3"/>
        <v>203.98</v>
      </c>
      <c r="K66" s="31"/>
    </row>
    <row r="67" spans="1:11" ht="20.2" customHeight="1">
      <c r="A67" s="617"/>
      <c r="B67" s="34"/>
      <c r="C67" s="54" t="s">
        <v>782</v>
      </c>
      <c r="D67" s="951">
        <v>4</v>
      </c>
      <c r="E67" s="471">
        <f>(2-2*0.075)+1*0.015</f>
        <v>1.865</v>
      </c>
      <c r="F67" s="462">
        <v>0.1</v>
      </c>
      <c r="G67" s="462">
        <f>1.25*25.4/1000</f>
        <v>3.175E-2</v>
      </c>
      <c r="H67" s="462">
        <f>ROUND(D67*E67*F67*G67,3)</f>
        <v>2.4E-2</v>
      </c>
      <c r="I67" s="471">
        <v>31076.9</v>
      </c>
      <c r="J67" s="471">
        <f t="shared" si="3"/>
        <v>745.85</v>
      </c>
      <c r="K67" s="31"/>
    </row>
    <row r="68" spans="1:11" ht="20.2" customHeight="1">
      <c r="A68" s="617"/>
      <c r="B68" s="34"/>
      <c r="C68" s="54" t="s">
        <v>783</v>
      </c>
      <c r="D68" s="951" t="s">
        <v>791</v>
      </c>
      <c r="E68" s="471">
        <f>(0.9-2*0.075+2*0.015)/2</f>
        <v>0.39</v>
      </c>
      <c r="F68" s="462">
        <v>0.1</v>
      </c>
      <c r="G68" s="462">
        <f>1.25*25.4/1000</f>
        <v>3.175E-2</v>
      </c>
      <c r="H68" s="462">
        <f>ROUND(12*E68*F68*G68,3)</f>
        <v>1.4999999999999999E-2</v>
      </c>
      <c r="I68" s="471">
        <v>31076.9</v>
      </c>
      <c r="J68" s="471">
        <f t="shared" si="3"/>
        <v>466.15</v>
      </c>
      <c r="K68" s="31"/>
    </row>
    <row r="69" spans="1:11" ht="20.2" customHeight="1">
      <c r="A69" s="617"/>
      <c r="B69" s="34"/>
      <c r="C69" s="54" t="s">
        <v>1481</v>
      </c>
      <c r="D69" s="951" t="s">
        <v>792</v>
      </c>
      <c r="E69" s="471">
        <f>(0.9-2*0.075+2*0.015)/2-2*0.1+2*0.025</f>
        <v>0.24</v>
      </c>
      <c r="F69" s="462">
        <f>(2-2*0.075+1*0.015-6*0.1)/5+2*0.025</f>
        <v>0.30299999999999999</v>
      </c>
      <c r="G69" s="462">
        <v>2.5000000000000001E-2</v>
      </c>
      <c r="H69" s="462">
        <f>ROUND(10*E69*F69*G69,3)</f>
        <v>1.7999999999999999E-2</v>
      </c>
      <c r="I69" s="471">
        <v>31076.9</v>
      </c>
      <c r="J69" s="471">
        <f t="shared" si="3"/>
        <v>559.38</v>
      </c>
      <c r="K69" s="31"/>
    </row>
    <row r="70" spans="1:11" ht="20.2" customHeight="1">
      <c r="A70" s="617"/>
      <c r="B70" s="34"/>
      <c r="C70" s="54" t="s">
        <v>1482</v>
      </c>
      <c r="D70" s="951"/>
      <c r="E70" s="471"/>
      <c r="F70" s="462"/>
      <c r="G70" s="462"/>
      <c r="H70" s="462">
        <f>SUM(H65:H69)</f>
        <v>9.5000000000000001E-2</v>
      </c>
      <c r="I70" s="465">
        <f>G25</f>
        <v>15324.5</v>
      </c>
      <c r="J70" s="471">
        <f t="shared" si="3"/>
        <v>1455.83</v>
      </c>
      <c r="K70" s="31"/>
    </row>
    <row r="71" spans="1:11" ht="33.299999999999997">
      <c r="A71" s="617" t="s">
        <v>787</v>
      </c>
      <c r="B71" s="19"/>
      <c r="C71" s="54" t="s">
        <v>788</v>
      </c>
      <c r="D71" s="951"/>
      <c r="E71" s="471"/>
      <c r="F71" s="462"/>
      <c r="G71" s="952"/>
      <c r="H71" s="952"/>
      <c r="I71" s="471"/>
      <c r="J71" s="471"/>
      <c r="K71" s="31"/>
    </row>
    <row r="72" spans="1:11" s="697" customFormat="1" ht="20.2" customHeight="1">
      <c r="A72" s="617"/>
      <c r="B72" s="692"/>
      <c r="C72" s="693" t="s">
        <v>911</v>
      </c>
      <c r="D72" s="951" t="s">
        <v>1035</v>
      </c>
      <c r="E72" s="471" t="s">
        <v>1617</v>
      </c>
      <c r="F72" s="462"/>
      <c r="G72" s="462"/>
      <c r="H72" s="948">
        <v>2</v>
      </c>
      <c r="I72" s="471">
        <v>68</v>
      </c>
      <c r="J72" s="471">
        <f t="shared" ref="J72:J80" si="4">ROUND(H72*I72,2)</f>
        <v>136</v>
      </c>
      <c r="K72" s="694"/>
    </row>
    <row r="73" spans="1:11" s="697" customFormat="1" ht="20.2" customHeight="1">
      <c r="A73" s="617"/>
      <c r="B73" s="692"/>
      <c r="C73" s="693" t="s">
        <v>912</v>
      </c>
      <c r="D73" s="951" t="s">
        <v>1035</v>
      </c>
      <c r="E73" s="471" t="s">
        <v>1618</v>
      </c>
      <c r="F73" s="462"/>
      <c r="G73" s="462"/>
      <c r="H73" s="948">
        <v>1</v>
      </c>
      <c r="I73" s="471">
        <v>35</v>
      </c>
      <c r="J73" s="471">
        <f t="shared" si="4"/>
        <v>35</v>
      </c>
      <c r="K73" s="694"/>
    </row>
    <row r="74" spans="1:11" s="697" customFormat="1" ht="20.2" customHeight="1">
      <c r="A74" s="617"/>
      <c r="B74" s="692"/>
      <c r="C74" s="196" t="s">
        <v>913</v>
      </c>
      <c r="D74" s="951" t="s">
        <v>1035</v>
      </c>
      <c r="E74" s="471" t="s">
        <v>1619</v>
      </c>
      <c r="F74" s="462"/>
      <c r="G74" s="462"/>
      <c r="H74" s="948">
        <v>6</v>
      </c>
      <c r="I74" s="471">
        <v>31</v>
      </c>
      <c r="J74" s="471">
        <f t="shared" si="4"/>
        <v>186</v>
      </c>
      <c r="K74" s="694"/>
    </row>
    <row r="75" spans="1:11" s="697" customFormat="1" ht="20.2" customHeight="1">
      <c r="A75" s="617"/>
      <c r="B75" s="692"/>
      <c r="C75" s="693" t="s">
        <v>914</v>
      </c>
      <c r="D75" s="951" t="s">
        <v>1035</v>
      </c>
      <c r="E75" s="471" t="s">
        <v>1620</v>
      </c>
      <c r="F75" s="462"/>
      <c r="G75" s="462"/>
      <c r="H75" s="948">
        <v>1</v>
      </c>
      <c r="I75" s="471">
        <v>164</v>
      </c>
      <c r="J75" s="471">
        <f t="shared" si="4"/>
        <v>164</v>
      </c>
      <c r="K75" s="694"/>
    </row>
    <row r="76" spans="1:11" s="697" customFormat="1" ht="20.2" customHeight="1">
      <c r="A76" s="617"/>
      <c r="B76" s="692"/>
      <c r="C76" s="693" t="s">
        <v>296</v>
      </c>
      <c r="D76" s="951" t="s">
        <v>1035</v>
      </c>
      <c r="E76" s="471" t="s">
        <v>1621</v>
      </c>
      <c r="F76" s="462"/>
      <c r="G76" s="462"/>
      <c r="H76" s="948">
        <v>2</v>
      </c>
      <c r="I76" s="471">
        <v>45</v>
      </c>
      <c r="J76" s="471">
        <f t="shared" si="4"/>
        <v>90</v>
      </c>
      <c r="K76" s="694"/>
    </row>
    <row r="77" spans="1:11" ht="20.2" customHeight="1">
      <c r="A77" s="617"/>
      <c r="B77" s="19"/>
      <c r="C77" s="54" t="s">
        <v>420</v>
      </c>
      <c r="D77" s="951"/>
      <c r="E77" s="471" t="s">
        <v>1622</v>
      </c>
      <c r="F77" s="462"/>
      <c r="G77" s="462"/>
      <c r="H77" s="948">
        <v>3</v>
      </c>
      <c r="I77" s="471">
        <v>31</v>
      </c>
      <c r="J77" s="471">
        <f t="shared" si="4"/>
        <v>93</v>
      </c>
      <c r="K77" s="31"/>
    </row>
    <row r="78" spans="1:11" s="697" customFormat="1" ht="20.2" customHeight="1">
      <c r="A78" s="617"/>
      <c r="B78" s="692"/>
      <c r="C78" s="693" t="s">
        <v>799</v>
      </c>
      <c r="D78" s="951" t="s">
        <v>882</v>
      </c>
      <c r="E78" s="471" t="s">
        <v>1652</v>
      </c>
      <c r="F78" s="462"/>
      <c r="G78" s="462"/>
      <c r="H78" s="948">
        <v>80</v>
      </c>
      <c r="I78" s="471">
        <v>3</v>
      </c>
      <c r="J78" s="471">
        <f t="shared" si="4"/>
        <v>240</v>
      </c>
      <c r="K78" s="694"/>
    </row>
    <row r="79" spans="1:11" s="697" customFormat="1" ht="20.2" customHeight="1">
      <c r="A79" s="617"/>
      <c r="B79" s="692"/>
      <c r="C79" s="693" t="s">
        <v>231</v>
      </c>
      <c r="D79" s="951" t="s">
        <v>882</v>
      </c>
      <c r="E79" s="471" t="s">
        <v>1650</v>
      </c>
      <c r="F79" s="462"/>
      <c r="G79" s="462"/>
      <c r="H79" s="948">
        <v>10</v>
      </c>
      <c r="I79" s="471">
        <v>16</v>
      </c>
      <c r="J79" s="471">
        <f t="shared" si="4"/>
        <v>160</v>
      </c>
      <c r="K79" s="694"/>
    </row>
    <row r="80" spans="1:11" s="697" customFormat="1" ht="20.2" customHeight="1">
      <c r="A80" s="617"/>
      <c r="B80" s="694"/>
      <c r="C80" s="693" t="s">
        <v>1598</v>
      </c>
      <c r="D80" s="951"/>
      <c r="E80" s="953" t="s">
        <v>1651</v>
      </c>
      <c r="F80" s="462"/>
      <c r="G80" s="462"/>
      <c r="H80" s="948">
        <v>6</v>
      </c>
      <c r="I80" s="471">
        <v>32</v>
      </c>
      <c r="J80" s="471">
        <f t="shared" si="4"/>
        <v>192</v>
      </c>
      <c r="K80" s="694"/>
    </row>
    <row r="81" spans="1:11" s="697" customFormat="1" ht="20.2" customHeight="1">
      <c r="A81" s="617"/>
      <c r="B81" s="695"/>
      <c r="C81" s="693" t="s">
        <v>1484</v>
      </c>
      <c r="D81" s="951">
        <v>2.25</v>
      </c>
      <c r="E81" s="471">
        <v>0.9</v>
      </c>
      <c r="F81" s="462"/>
      <c r="G81" s="462">
        <v>2</v>
      </c>
      <c r="H81" s="462">
        <f>ROUND(G81*E81*D81,2)</f>
        <v>4.05</v>
      </c>
      <c r="I81" s="698">
        <f>G15</f>
        <v>561.35799999999995</v>
      </c>
      <c r="J81" s="471">
        <f>H81*I81/10</f>
        <v>227.34998999999999</v>
      </c>
      <c r="K81" s="694"/>
    </row>
    <row r="82" spans="1:11" s="697" customFormat="1" ht="20.2" customHeight="1">
      <c r="A82" s="617"/>
      <c r="B82" s="695"/>
      <c r="C82" s="693" t="s">
        <v>230</v>
      </c>
      <c r="D82" s="951"/>
      <c r="E82" s="471"/>
      <c r="F82" s="462"/>
      <c r="G82" s="462"/>
      <c r="H82" s="948">
        <v>1</v>
      </c>
      <c r="I82" s="471">
        <v>75</v>
      </c>
      <c r="J82" s="471">
        <f>H82*I82</f>
        <v>75</v>
      </c>
      <c r="K82" s="694"/>
    </row>
    <row r="83" spans="1:11" ht="20.2" customHeight="1">
      <c r="A83" s="617"/>
      <c r="B83" s="34"/>
      <c r="D83" s="951"/>
      <c r="E83" s="471"/>
      <c r="F83" s="462"/>
      <c r="G83" s="462"/>
      <c r="H83" s="462"/>
      <c r="I83" s="471"/>
      <c r="J83" s="471">
        <f>SUM(J65:J82)</f>
        <v>5794.4599900000003</v>
      </c>
      <c r="K83" s="31"/>
    </row>
    <row r="84" spans="1:11" s="18" customFormat="1" ht="20.2" customHeight="1">
      <c r="A84" s="617"/>
      <c r="B84" s="40"/>
      <c r="C84" s="54" t="s">
        <v>1600</v>
      </c>
      <c r="D84" s="954"/>
      <c r="E84" s="468"/>
      <c r="F84" s="458"/>
      <c r="G84" s="458"/>
      <c r="H84" s="458">
        <f>J83</f>
        <v>5794.4599900000003</v>
      </c>
      <c r="I84" s="468">
        <f>I6</f>
        <v>0</v>
      </c>
      <c r="J84" s="471">
        <f>ROUND(H84*I84,2)</f>
        <v>0</v>
      </c>
      <c r="K84" s="17"/>
    </row>
    <row r="85" spans="1:11" s="439" customFormat="1" ht="20.2" customHeight="1">
      <c r="A85" s="617" t="s">
        <v>542</v>
      </c>
      <c r="B85" s="411"/>
      <c r="C85" s="283" t="s">
        <v>256</v>
      </c>
      <c r="D85" s="955"/>
      <c r="E85" s="469"/>
      <c r="F85" s="460"/>
      <c r="G85" s="460"/>
      <c r="H85" s="460"/>
      <c r="I85" s="469" t="s">
        <v>416</v>
      </c>
      <c r="J85" s="469">
        <f>SUM(J83:J84)</f>
        <v>5794.4599900000003</v>
      </c>
      <c r="K85" s="447"/>
    </row>
    <row r="86" spans="1:11">
      <c r="A86" s="617"/>
      <c r="B86" s="34"/>
      <c r="C86" s="55" t="s">
        <v>1291</v>
      </c>
      <c r="D86" s="954"/>
      <c r="E86" s="468"/>
      <c r="F86" s="462"/>
      <c r="G86" s="462"/>
      <c r="H86" s="462"/>
      <c r="I86" s="471"/>
      <c r="J86" s="471"/>
      <c r="K86" s="31"/>
    </row>
    <row r="87" spans="1:11">
      <c r="A87" s="617"/>
      <c r="B87" s="34"/>
      <c r="C87" s="54" t="s">
        <v>779</v>
      </c>
      <c r="D87" s="951"/>
      <c r="E87" s="471"/>
      <c r="F87" s="462"/>
      <c r="G87" s="462"/>
      <c r="H87" s="462"/>
      <c r="I87" s="471"/>
      <c r="J87" s="471"/>
      <c r="K87" s="31"/>
    </row>
    <row r="88" spans="1:11" ht="20.2" customHeight="1">
      <c r="A88" s="617"/>
      <c r="B88" s="34"/>
      <c r="C88" s="54" t="s">
        <v>780</v>
      </c>
      <c r="D88" s="951">
        <v>2</v>
      </c>
      <c r="E88" s="471">
        <v>2</v>
      </c>
      <c r="F88" s="462">
        <v>0.1</v>
      </c>
      <c r="G88" s="462">
        <v>7.4999999999999997E-2</v>
      </c>
      <c r="H88" s="462">
        <f>ROUND(D88*E88*F88*G88,3)</f>
        <v>0.03</v>
      </c>
      <c r="I88" s="471">
        <v>25497.19</v>
      </c>
      <c r="J88" s="471">
        <f>ROUND(H88*I88,2)</f>
        <v>764.92</v>
      </c>
      <c r="K88" s="31"/>
    </row>
    <row r="89" spans="1:11" ht="20.2" customHeight="1">
      <c r="A89" s="617"/>
      <c r="B89" s="34"/>
      <c r="C89" s="54" t="s">
        <v>781</v>
      </c>
      <c r="D89" s="951">
        <v>1</v>
      </c>
      <c r="E89" s="471">
        <v>1.05</v>
      </c>
      <c r="F89" s="462">
        <v>0.1</v>
      </c>
      <c r="G89" s="462">
        <v>7.4999999999999997E-2</v>
      </c>
      <c r="H89" s="462">
        <f>ROUND(D89*E89*F89*G89,3)</f>
        <v>8.0000000000000002E-3</v>
      </c>
      <c r="I89" s="471">
        <v>25497.19</v>
      </c>
      <c r="J89" s="471">
        <f>ROUND(H89*I89,2)</f>
        <v>203.98</v>
      </c>
      <c r="K89" s="31"/>
    </row>
    <row r="90" spans="1:11" ht="20.2" customHeight="1">
      <c r="A90" s="617"/>
      <c r="B90" s="34"/>
      <c r="C90" s="54" t="s">
        <v>1482</v>
      </c>
      <c r="D90" s="951"/>
      <c r="E90" s="471"/>
      <c r="F90" s="462"/>
      <c r="G90" s="462"/>
      <c r="H90" s="462">
        <f>SUM(H88:H89)</f>
        <v>3.7999999999999999E-2</v>
      </c>
      <c r="I90" s="465">
        <f>G25</f>
        <v>15324.5</v>
      </c>
      <c r="J90" s="471">
        <f>ROUND(H90*I90,2)</f>
        <v>582.33000000000004</v>
      </c>
      <c r="K90" s="31"/>
    </row>
    <row r="91" spans="1:11" ht="33.299999999999997">
      <c r="A91" s="617" t="s">
        <v>787</v>
      </c>
      <c r="B91" s="19"/>
      <c r="C91" s="54" t="s">
        <v>788</v>
      </c>
      <c r="D91" s="951"/>
      <c r="E91" s="471"/>
      <c r="F91" s="462"/>
      <c r="G91" s="952"/>
      <c r="H91" s="952"/>
      <c r="I91" s="471"/>
      <c r="J91" s="471"/>
      <c r="K91" s="31"/>
    </row>
    <row r="92" spans="1:11" ht="20.2" customHeight="1">
      <c r="A92" s="617"/>
      <c r="B92" s="32"/>
      <c r="C92" s="54" t="s">
        <v>1598</v>
      </c>
      <c r="D92" s="951"/>
      <c r="E92" s="953" t="s">
        <v>1651</v>
      </c>
      <c r="F92" s="462"/>
      <c r="G92" s="462"/>
      <c r="H92" s="948">
        <v>6</v>
      </c>
      <c r="I92" s="471">
        <v>32</v>
      </c>
      <c r="J92" s="471">
        <f>ROUND(H92*I92,2)</f>
        <v>192</v>
      </c>
      <c r="K92" s="31"/>
    </row>
    <row r="93" spans="1:11" ht="20.2" customHeight="1">
      <c r="A93" s="617"/>
      <c r="B93" s="34"/>
      <c r="C93" s="54" t="s">
        <v>1484</v>
      </c>
      <c r="D93" s="951" t="s">
        <v>539</v>
      </c>
      <c r="E93" s="471">
        <v>0.9</v>
      </c>
      <c r="F93" s="462"/>
      <c r="G93" s="471">
        <v>2</v>
      </c>
      <c r="H93" s="462">
        <f>ROUND(G93*E93*2.25/3,2)</f>
        <v>1.35</v>
      </c>
      <c r="I93" s="698">
        <f>G15</f>
        <v>561.35799999999995</v>
      </c>
      <c r="J93" s="471">
        <f>H93*I93/10</f>
        <v>75.783330000000007</v>
      </c>
      <c r="K93" s="31"/>
    </row>
    <row r="94" spans="1:11" ht="20.2" customHeight="1">
      <c r="A94" s="617"/>
      <c r="B94" s="34"/>
      <c r="C94" s="54" t="s">
        <v>230</v>
      </c>
      <c r="D94" s="951"/>
      <c r="E94" s="471"/>
      <c r="F94" s="462"/>
      <c r="G94" s="462"/>
      <c r="H94" s="948">
        <v>1</v>
      </c>
      <c r="I94" s="471">
        <v>50</v>
      </c>
      <c r="J94" s="471">
        <f>H94*I94</f>
        <v>50</v>
      </c>
      <c r="K94" s="31"/>
    </row>
    <row r="95" spans="1:11" ht="20.2" customHeight="1">
      <c r="A95" s="617"/>
      <c r="B95" s="34"/>
      <c r="D95" s="951"/>
      <c r="E95" s="471"/>
      <c r="F95" s="462"/>
      <c r="G95" s="462"/>
      <c r="H95" s="462"/>
      <c r="I95" s="471"/>
      <c r="J95" s="471">
        <f>SUM(J88:J94)</f>
        <v>1869.01333</v>
      </c>
      <c r="K95" s="31"/>
    </row>
    <row r="96" spans="1:11" s="18" customFormat="1" ht="20.2" customHeight="1">
      <c r="A96" s="617"/>
      <c r="B96" s="40"/>
      <c r="C96" s="54" t="s">
        <v>1600</v>
      </c>
      <c r="D96" s="954"/>
      <c r="E96" s="468"/>
      <c r="F96" s="458"/>
      <c r="G96" s="458"/>
      <c r="H96" s="458">
        <f>J95</f>
        <v>1869.01333</v>
      </c>
      <c r="I96" s="468">
        <f>I6</f>
        <v>0</v>
      </c>
      <c r="J96" s="471">
        <f>ROUND(H96*I96,2)</f>
        <v>0</v>
      </c>
      <c r="K96" s="17"/>
    </row>
    <row r="97" spans="1:11" s="439" customFormat="1" ht="39.9" customHeight="1">
      <c r="A97" s="617" t="s">
        <v>542</v>
      </c>
      <c r="B97" s="411"/>
      <c r="C97" s="448" t="s">
        <v>382</v>
      </c>
      <c r="D97" s="955"/>
      <c r="E97" s="469"/>
      <c r="F97" s="460"/>
      <c r="G97" s="460"/>
      <c r="H97" s="460"/>
      <c r="I97" s="469" t="s">
        <v>416</v>
      </c>
      <c r="J97" s="469">
        <f>SUM(J95:J96)</f>
        <v>1869.01333</v>
      </c>
      <c r="K97" s="447"/>
    </row>
    <row r="98" spans="1:11" s="439" customFormat="1" ht="39.9" customHeight="1">
      <c r="A98" s="617"/>
      <c r="B98" s="411"/>
      <c r="C98" s="448" t="s">
        <v>1293</v>
      </c>
      <c r="D98" s="955"/>
      <c r="E98" s="469"/>
      <c r="F98" s="460"/>
      <c r="G98" s="460"/>
      <c r="H98" s="460"/>
      <c r="I98" s="469" t="s">
        <v>416</v>
      </c>
      <c r="J98" s="469">
        <f>J85-J97</f>
        <v>3925.4466600000005</v>
      </c>
      <c r="K98" s="447"/>
    </row>
    <row r="99" spans="1:11" ht="224.25" customHeight="1">
      <c r="A99" s="617"/>
      <c r="B99" s="966">
        <v>4</v>
      </c>
      <c r="C99" s="55" t="s">
        <v>1526</v>
      </c>
      <c r="D99" s="951"/>
      <c r="E99" s="471"/>
      <c r="F99" s="462"/>
      <c r="G99" s="462"/>
      <c r="H99" s="462"/>
      <c r="I99" s="471"/>
      <c r="J99" s="471"/>
      <c r="K99" s="31"/>
    </row>
    <row r="100" spans="1:11">
      <c r="A100" s="617"/>
      <c r="B100" s="34"/>
      <c r="C100" s="55" t="s">
        <v>385</v>
      </c>
      <c r="D100" s="954"/>
      <c r="E100" s="468"/>
      <c r="F100" s="462"/>
      <c r="G100" s="462"/>
      <c r="H100" s="462"/>
      <c r="I100" s="471"/>
      <c r="J100" s="471"/>
      <c r="K100" s="31"/>
    </row>
    <row r="101" spans="1:11">
      <c r="A101" s="617"/>
      <c r="B101" s="34"/>
      <c r="C101" s="54" t="s">
        <v>779</v>
      </c>
      <c r="D101" s="951"/>
      <c r="E101" s="471"/>
      <c r="F101" s="462"/>
      <c r="G101" s="462"/>
      <c r="H101" s="462"/>
      <c r="I101" s="471"/>
      <c r="J101" s="471"/>
      <c r="K101" s="31"/>
    </row>
    <row r="102" spans="1:11">
      <c r="A102" s="617"/>
      <c r="B102" s="34"/>
      <c r="C102" s="54" t="s">
        <v>780</v>
      </c>
      <c r="D102" s="951">
        <v>2</v>
      </c>
      <c r="E102" s="471">
        <v>2</v>
      </c>
      <c r="F102" s="462">
        <v>0.1</v>
      </c>
      <c r="G102" s="462">
        <v>7.4999999999999997E-2</v>
      </c>
      <c r="H102" s="462">
        <f>ROUND(D102*E102*F102*G102,3)</f>
        <v>0.03</v>
      </c>
      <c r="I102" s="471">
        <v>25497.19</v>
      </c>
      <c r="J102" s="471">
        <f t="shared" ref="J102:J107" si="5">ROUND(H102*I102,2)</f>
        <v>764.92</v>
      </c>
      <c r="K102" s="31"/>
    </row>
    <row r="103" spans="1:11">
      <c r="A103" s="617"/>
      <c r="B103" s="34"/>
      <c r="C103" s="54" t="s">
        <v>781</v>
      </c>
      <c r="D103" s="951">
        <v>1</v>
      </c>
      <c r="E103" s="471">
        <v>1.2</v>
      </c>
      <c r="F103" s="462">
        <v>0.1</v>
      </c>
      <c r="G103" s="462">
        <v>7.4999999999999997E-2</v>
      </c>
      <c r="H103" s="462">
        <f>ROUND(D103*E103*F103*G103,3)</f>
        <v>8.9999999999999993E-3</v>
      </c>
      <c r="I103" s="471">
        <v>25497.19</v>
      </c>
      <c r="J103" s="471">
        <f t="shared" si="5"/>
        <v>229.47</v>
      </c>
      <c r="K103" s="31"/>
    </row>
    <row r="104" spans="1:11">
      <c r="A104" s="617"/>
      <c r="B104" s="34"/>
      <c r="C104" s="54" t="s">
        <v>782</v>
      </c>
      <c r="D104" s="951">
        <v>4</v>
      </c>
      <c r="E104" s="471">
        <f>(2-1*0.075-0.075)+1*0.015</f>
        <v>1.865</v>
      </c>
      <c r="F104" s="462">
        <v>0.1</v>
      </c>
      <c r="G104" s="462">
        <f>1.25*25.4/1000</f>
        <v>3.175E-2</v>
      </c>
      <c r="H104" s="462">
        <f>ROUND(D104*E104*F104*G104,3)</f>
        <v>2.4E-2</v>
      </c>
      <c r="I104" s="471">
        <v>31076.9</v>
      </c>
      <c r="J104" s="471">
        <f t="shared" si="5"/>
        <v>745.85</v>
      </c>
      <c r="K104" s="31"/>
    </row>
    <row r="105" spans="1:11">
      <c r="A105" s="617"/>
      <c r="B105" s="34"/>
      <c r="C105" s="54" t="s">
        <v>783</v>
      </c>
      <c r="D105" s="951" t="s">
        <v>791</v>
      </c>
      <c r="E105" s="471">
        <f>(1.05-2*0.075+2*0.015)/2</f>
        <v>0.46500000000000002</v>
      </c>
      <c r="F105" s="462">
        <v>0.1</v>
      </c>
      <c r="G105" s="462">
        <f>1.25*25.4/1000</f>
        <v>3.175E-2</v>
      </c>
      <c r="H105" s="462">
        <f>ROUND(12*E105*F105*G105,3)</f>
        <v>1.7999999999999999E-2</v>
      </c>
      <c r="I105" s="471">
        <v>31076.9</v>
      </c>
      <c r="J105" s="471">
        <f t="shared" si="5"/>
        <v>559.38</v>
      </c>
      <c r="K105" s="31"/>
    </row>
    <row r="106" spans="1:11">
      <c r="A106" s="617"/>
      <c r="B106" s="34"/>
      <c r="C106" s="54" t="s">
        <v>1481</v>
      </c>
      <c r="D106" s="951" t="s">
        <v>792</v>
      </c>
      <c r="E106" s="471">
        <f>(1.05-2*0.075+2*0.015)/2-2*0.1+2*0.025</f>
        <v>0.315</v>
      </c>
      <c r="F106" s="462">
        <f>(2.1-2*0.075+1*0.015-6*0.1)/5+2*0.025</f>
        <v>0.32300000000000001</v>
      </c>
      <c r="G106" s="462">
        <v>2.5000000000000001E-2</v>
      </c>
      <c r="H106" s="462">
        <f>ROUND(10*E106*F106*G106,3)</f>
        <v>2.5000000000000001E-2</v>
      </c>
      <c r="I106" s="471">
        <v>31076.9</v>
      </c>
      <c r="J106" s="471">
        <f t="shared" si="5"/>
        <v>776.92</v>
      </c>
      <c r="K106" s="31"/>
    </row>
    <row r="107" spans="1:11">
      <c r="A107" s="617"/>
      <c r="B107" s="34"/>
      <c r="C107" s="54" t="s">
        <v>1482</v>
      </c>
      <c r="D107" s="951"/>
      <c r="E107" s="471"/>
      <c r="F107" s="462"/>
      <c r="G107" s="462"/>
      <c r="H107" s="462">
        <f>SUM(H102:H106)</f>
        <v>0.10600000000000001</v>
      </c>
      <c r="I107" s="465">
        <f>G25</f>
        <v>15324.5</v>
      </c>
      <c r="J107" s="471">
        <f t="shared" si="5"/>
        <v>1624.4</v>
      </c>
      <c r="K107" s="31"/>
    </row>
    <row r="108" spans="1:11" ht="33.299999999999997">
      <c r="A108" s="617" t="s">
        <v>787</v>
      </c>
      <c r="B108" s="19"/>
      <c r="C108" s="54" t="s">
        <v>788</v>
      </c>
      <c r="D108" s="951"/>
      <c r="E108" s="471"/>
      <c r="F108" s="462"/>
      <c r="G108" s="952"/>
      <c r="H108" s="952"/>
      <c r="I108" s="471"/>
      <c r="J108" s="471"/>
      <c r="K108" s="31"/>
    </row>
    <row r="109" spans="1:11" ht="25.8">
      <c r="A109" s="617"/>
      <c r="B109" s="19"/>
      <c r="C109" s="693" t="s">
        <v>911</v>
      </c>
      <c r="D109" s="951" t="s">
        <v>1035</v>
      </c>
      <c r="E109" s="471" t="s">
        <v>1617</v>
      </c>
      <c r="F109" s="462"/>
      <c r="G109" s="462"/>
      <c r="H109" s="948">
        <v>2</v>
      </c>
      <c r="I109" s="471">
        <v>68</v>
      </c>
      <c r="J109" s="471">
        <f t="shared" ref="J109:J117" si="6">ROUND(H109*I109,2)</f>
        <v>136</v>
      </c>
      <c r="K109" s="31"/>
    </row>
    <row r="110" spans="1:11" ht="25.8">
      <c r="A110" s="617"/>
      <c r="B110" s="19"/>
      <c r="C110" s="693" t="s">
        <v>912</v>
      </c>
      <c r="D110" s="951" t="s">
        <v>1035</v>
      </c>
      <c r="E110" s="471" t="s">
        <v>1618</v>
      </c>
      <c r="F110" s="462"/>
      <c r="G110" s="462"/>
      <c r="H110" s="948">
        <v>1</v>
      </c>
      <c r="I110" s="471">
        <v>35</v>
      </c>
      <c r="J110" s="471">
        <f t="shared" si="6"/>
        <v>35</v>
      </c>
      <c r="K110" s="31"/>
    </row>
    <row r="111" spans="1:11">
      <c r="A111" s="617"/>
      <c r="B111" s="19"/>
      <c r="C111" s="196" t="s">
        <v>913</v>
      </c>
      <c r="D111" s="951" t="s">
        <v>1035</v>
      </c>
      <c r="E111" s="471" t="s">
        <v>1619</v>
      </c>
      <c r="F111" s="462"/>
      <c r="G111" s="462"/>
      <c r="H111" s="948">
        <v>6</v>
      </c>
      <c r="I111" s="471">
        <v>31</v>
      </c>
      <c r="J111" s="471">
        <f t="shared" si="6"/>
        <v>186</v>
      </c>
      <c r="K111" s="31"/>
    </row>
    <row r="112" spans="1:11" ht="25.8">
      <c r="A112" s="617"/>
      <c r="B112" s="19"/>
      <c r="C112" s="693" t="s">
        <v>914</v>
      </c>
      <c r="D112" s="951" t="s">
        <v>1035</v>
      </c>
      <c r="E112" s="471" t="s">
        <v>1620</v>
      </c>
      <c r="F112" s="462"/>
      <c r="G112" s="462"/>
      <c r="H112" s="948">
        <v>1</v>
      </c>
      <c r="I112" s="471">
        <v>164</v>
      </c>
      <c r="J112" s="471">
        <f t="shared" si="6"/>
        <v>164</v>
      </c>
      <c r="K112" s="31"/>
    </row>
    <row r="113" spans="1:11">
      <c r="A113" s="617"/>
      <c r="B113" s="19"/>
      <c r="C113" s="693" t="s">
        <v>296</v>
      </c>
      <c r="D113" s="951" t="s">
        <v>1035</v>
      </c>
      <c r="E113" s="471" t="s">
        <v>1621</v>
      </c>
      <c r="F113" s="462"/>
      <c r="G113" s="462"/>
      <c r="H113" s="948">
        <v>2</v>
      </c>
      <c r="I113" s="471">
        <v>45</v>
      </c>
      <c r="J113" s="471">
        <f t="shared" si="6"/>
        <v>90</v>
      </c>
      <c r="K113" s="31"/>
    </row>
    <row r="114" spans="1:11">
      <c r="A114" s="617"/>
      <c r="B114" s="19"/>
      <c r="C114" s="54" t="s">
        <v>420</v>
      </c>
      <c r="D114" s="951"/>
      <c r="E114" s="471" t="s">
        <v>1622</v>
      </c>
      <c r="F114" s="462"/>
      <c r="G114" s="462"/>
      <c r="H114" s="948">
        <v>3</v>
      </c>
      <c r="I114" s="471">
        <v>31</v>
      </c>
      <c r="J114" s="471">
        <f t="shared" si="6"/>
        <v>93</v>
      </c>
      <c r="K114" s="31"/>
    </row>
    <row r="115" spans="1:11">
      <c r="A115" s="617"/>
      <c r="B115" s="19"/>
      <c r="C115" s="693" t="s">
        <v>799</v>
      </c>
      <c r="D115" s="951" t="s">
        <v>882</v>
      </c>
      <c r="E115" s="471" t="s">
        <v>1652</v>
      </c>
      <c r="F115" s="462"/>
      <c r="G115" s="462"/>
      <c r="H115" s="948">
        <v>80</v>
      </c>
      <c r="I115" s="471">
        <v>3</v>
      </c>
      <c r="J115" s="471">
        <f t="shared" si="6"/>
        <v>240</v>
      </c>
      <c r="K115" s="31"/>
    </row>
    <row r="116" spans="1:11">
      <c r="A116" s="617"/>
      <c r="B116" s="19"/>
      <c r="C116" s="693" t="s">
        <v>231</v>
      </c>
      <c r="D116" s="951" t="s">
        <v>882</v>
      </c>
      <c r="E116" s="471" t="s">
        <v>1650</v>
      </c>
      <c r="F116" s="462"/>
      <c r="G116" s="462"/>
      <c r="H116" s="948">
        <v>10</v>
      </c>
      <c r="I116" s="471">
        <v>16</v>
      </c>
      <c r="J116" s="471">
        <f t="shared" si="6"/>
        <v>160</v>
      </c>
      <c r="K116" s="31"/>
    </row>
    <row r="117" spans="1:11">
      <c r="A117" s="617"/>
      <c r="B117" s="32"/>
      <c r="C117" s="693" t="s">
        <v>1598</v>
      </c>
      <c r="D117" s="951"/>
      <c r="E117" s="953" t="s">
        <v>1651</v>
      </c>
      <c r="F117" s="462"/>
      <c r="G117" s="462"/>
      <c r="H117" s="948">
        <v>6</v>
      </c>
      <c r="I117" s="471">
        <v>32</v>
      </c>
      <c r="J117" s="471">
        <f t="shared" si="6"/>
        <v>192</v>
      </c>
      <c r="K117" s="31"/>
    </row>
    <row r="118" spans="1:11">
      <c r="A118" s="617"/>
      <c r="B118" s="34"/>
      <c r="C118" s="54" t="s">
        <v>1484</v>
      </c>
      <c r="D118" s="951">
        <v>2.25</v>
      </c>
      <c r="E118" s="471">
        <v>1.05</v>
      </c>
      <c r="F118" s="462"/>
      <c r="G118" s="471">
        <v>2</v>
      </c>
      <c r="H118" s="462">
        <f>ROUND(G118*E118*D118,2)</f>
        <v>4.7300000000000004</v>
      </c>
      <c r="I118" s="698">
        <f>G15</f>
        <v>561.35799999999995</v>
      </c>
      <c r="J118" s="471">
        <f>H118*I118/10</f>
        <v>265.522334</v>
      </c>
      <c r="K118" s="31"/>
    </row>
    <row r="119" spans="1:11">
      <c r="A119" s="617"/>
      <c r="B119" s="34"/>
      <c r="C119" s="54" t="s">
        <v>230</v>
      </c>
      <c r="D119" s="951"/>
      <c r="E119" s="471"/>
      <c r="F119" s="462"/>
      <c r="G119" s="462"/>
      <c r="H119" s="948">
        <v>1</v>
      </c>
      <c r="I119" s="471">
        <v>75</v>
      </c>
      <c r="J119" s="471">
        <f>H119*I119</f>
        <v>75</v>
      </c>
      <c r="K119" s="31"/>
    </row>
    <row r="120" spans="1:11">
      <c r="A120" s="617"/>
      <c r="B120" s="34"/>
      <c r="D120" s="951"/>
      <c r="E120" s="471"/>
      <c r="F120" s="462"/>
      <c r="G120" s="462"/>
      <c r="H120" s="462"/>
      <c r="I120" s="471"/>
      <c r="J120" s="471">
        <f>SUM(J102:J119)</f>
        <v>6337.4623340000007</v>
      </c>
      <c r="K120" s="31"/>
    </row>
    <row r="121" spans="1:11" s="18" customFormat="1" ht="25.8">
      <c r="A121" s="617"/>
      <c r="B121" s="40"/>
      <c r="C121" s="54" t="s">
        <v>1600</v>
      </c>
      <c r="D121" s="954"/>
      <c r="E121" s="468"/>
      <c r="F121" s="458"/>
      <c r="G121" s="458"/>
      <c r="H121" s="458">
        <f>J120</f>
        <v>6337.4623340000007</v>
      </c>
      <c r="I121" s="468">
        <f>I6</f>
        <v>0</v>
      </c>
      <c r="J121" s="468">
        <f>ROUND(H121*I121,2)</f>
        <v>0</v>
      </c>
      <c r="K121" s="17"/>
    </row>
    <row r="122" spans="1:11" s="18" customFormat="1">
      <c r="A122" s="617"/>
      <c r="B122" s="411"/>
      <c r="C122" s="283" t="s">
        <v>256</v>
      </c>
      <c r="D122" s="955"/>
      <c r="E122" s="469"/>
      <c r="F122" s="460"/>
      <c r="G122" s="460"/>
      <c r="H122" s="460"/>
      <c r="I122" s="469" t="s">
        <v>416</v>
      </c>
      <c r="J122" s="469">
        <f>SUM(J120:J121)</f>
        <v>6337.4623340000007</v>
      </c>
      <c r="K122" s="17"/>
    </row>
    <row r="123" spans="1:11">
      <c r="A123" s="617"/>
      <c r="B123" s="34"/>
      <c r="C123" s="55" t="s">
        <v>1932</v>
      </c>
      <c r="D123" s="954"/>
      <c r="E123" s="468"/>
      <c r="F123" s="462"/>
      <c r="G123" s="462"/>
      <c r="H123" s="462"/>
      <c r="I123" s="471"/>
      <c r="J123" s="471"/>
      <c r="K123" s="31"/>
    </row>
    <row r="124" spans="1:11">
      <c r="A124" s="617"/>
      <c r="B124" s="34"/>
      <c r="C124" s="54" t="s">
        <v>779</v>
      </c>
      <c r="D124" s="951"/>
      <c r="E124" s="471"/>
      <c r="F124" s="462"/>
      <c r="G124" s="462"/>
      <c r="H124" s="462"/>
      <c r="I124" s="471"/>
      <c r="J124" s="471"/>
      <c r="K124" s="31"/>
    </row>
    <row r="125" spans="1:11">
      <c r="A125" s="617"/>
      <c r="B125" s="34"/>
      <c r="C125" s="54" t="s">
        <v>780</v>
      </c>
      <c r="D125" s="951">
        <v>2</v>
      </c>
      <c r="E125" s="471">
        <v>2</v>
      </c>
      <c r="F125" s="462">
        <v>0.1</v>
      </c>
      <c r="G125" s="462">
        <v>7.4999999999999997E-2</v>
      </c>
      <c r="H125" s="462">
        <f>ROUND(D125*E125*F125*G125,3)</f>
        <v>0.03</v>
      </c>
      <c r="I125" s="471">
        <v>25497.19</v>
      </c>
      <c r="J125" s="471">
        <f>ROUND(H125*I125,2)</f>
        <v>764.92</v>
      </c>
      <c r="K125" s="31"/>
    </row>
    <row r="126" spans="1:11">
      <c r="A126" s="617"/>
      <c r="B126" s="34"/>
      <c r="C126" s="54" t="s">
        <v>781</v>
      </c>
      <c r="D126" s="951">
        <v>1</v>
      </c>
      <c r="E126" s="471">
        <v>1.2</v>
      </c>
      <c r="F126" s="462">
        <v>0.1</v>
      </c>
      <c r="G126" s="462">
        <v>7.4999999999999997E-2</v>
      </c>
      <c r="H126" s="462">
        <f>ROUND(D126*E126*F126*G126,3)</f>
        <v>8.9999999999999993E-3</v>
      </c>
      <c r="I126" s="471">
        <v>25497.19</v>
      </c>
      <c r="J126" s="471">
        <f>ROUND(H126*I126,2)</f>
        <v>229.47</v>
      </c>
      <c r="K126" s="31"/>
    </row>
    <row r="127" spans="1:11">
      <c r="A127" s="617"/>
      <c r="B127" s="34"/>
      <c r="C127" s="54" t="s">
        <v>1482</v>
      </c>
      <c r="D127" s="951"/>
      <c r="E127" s="471"/>
      <c r="F127" s="462"/>
      <c r="G127" s="462"/>
      <c r="H127" s="462">
        <f>SUM(H125:H126)</f>
        <v>3.9E-2</v>
      </c>
      <c r="I127" s="465">
        <f>G25</f>
        <v>15324.5</v>
      </c>
      <c r="J127" s="471">
        <f>ROUND(H127*I127,2)</f>
        <v>597.66</v>
      </c>
      <c r="K127" s="31"/>
    </row>
    <row r="128" spans="1:11">
      <c r="A128" s="617"/>
      <c r="B128" s="34"/>
      <c r="C128" s="54" t="s">
        <v>1484</v>
      </c>
      <c r="D128" s="951" t="s">
        <v>539</v>
      </c>
      <c r="E128" s="471">
        <v>1.05</v>
      </c>
      <c r="F128" s="462"/>
      <c r="G128" s="462">
        <v>2</v>
      </c>
      <c r="H128" s="462">
        <f>ROUND(G128*E128*2.25/3,2)</f>
        <v>1.58</v>
      </c>
      <c r="I128" s="698">
        <f>G15</f>
        <v>561.35799999999995</v>
      </c>
      <c r="J128" s="471">
        <f>ROUND(H128*I128/10,2)</f>
        <v>88.69</v>
      </c>
      <c r="K128" s="31"/>
    </row>
    <row r="129" spans="1:11">
      <c r="A129" s="617"/>
      <c r="B129" s="32"/>
      <c r="C129" s="54" t="s">
        <v>1598</v>
      </c>
      <c r="D129" s="951"/>
      <c r="E129" s="953" t="s">
        <v>1651</v>
      </c>
      <c r="F129" s="462"/>
      <c r="G129" s="462"/>
      <c r="H129" s="948">
        <v>6</v>
      </c>
      <c r="I129" s="471">
        <v>32</v>
      </c>
      <c r="J129" s="471">
        <f>ROUND(H129*I129,2)</f>
        <v>192</v>
      </c>
      <c r="K129" s="31"/>
    </row>
    <row r="130" spans="1:11">
      <c r="A130" s="617"/>
      <c r="B130" s="34"/>
      <c r="C130" s="54" t="s">
        <v>230</v>
      </c>
      <c r="D130" s="951"/>
      <c r="E130" s="471"/>
      <c r="F130" s="462"/>
      <c r="G130" s="462"/>
      <c r="H130" s="948">
        <v>1</v>
      </c>
      <c r="I130" s="471">
        <v>50</v>
      </c>
      <c r="J130" s="471">
        <f>ROUND(H130*I130,2)</f>
        <v>50</v>
      </c>
      <c r="K130" s="31"/>
    </row>
    <row r="131" spans="1:11">
      <c r="A131" s="617"/>
      <c r="B131" s="34"/>
      <c r="D131" s="951"/>
      <c r="E131" s="471"/>
      <c r="F131" s="462"/>
      <c r="G131" s="462"/>
      <c r="H131" s="462"/>
      <c r="I131" s="471"/>
      <c r="J131" s="471">
        <f>SUM(J125:J130)</f>
        <v>1922.74</v>
      </c>
      <c r="K131" s="31"/>
    </row>
    <row r="132" spans="1:11" s="18" customFormat="1" ht="25.8">
      <c r="A132" s="617"/>
      <c r="B132" s="40"/>
      <c r="C132" s="54" t="s">
        <v>1600</v>
      </c>
      <c r="D132" s="954"/>
      <c r="E132" s="468"/>
      <c r="F132" s="458"/>
      <c r="G132" s="458"/>
      <c r="H132" s="458">
        <f>J131</f>
        <v>1922.74</v>
      </c>
      <c r="I132" s="468">
        <f>I6</f>
        <v>0</v>
      </c>
      <c r="J132" s="471">
        <f>ROUND(H132*I132,2)</f>
        <v>0</v>
      </c>
      <c r="K132" s="17"/>
    </row>
    <row r="133" spans="1:11" s="439" customFormat="1">
      <c r="A133" s="617" t="s">
        <v>542</v>
      </c>
      <c r="B133" s="411"/>
      <c r="C133" s="283" t="s">
        <v>387</v>
      </c>
      <c r="D133" s="955"/>
      <c r="E133" s="469"/>
      <c r="F133" s="460"/>
      <c r="G133" s="460"/>
      <c r="H133" s="460"/>
      <c r="I133" s="469" t="s">
        <v>1486</v>
      </c>
      <c r="J133" s="469">
        <f>SUM(J131:J132)</f>
        <v>1922.74</v>
      </c>
      <c r="K133" s="447"/>
    </row>
    <row r="134" spans="1:11" s="439" customFormat="1">
      <c r="A134" s="617"/>
      <c r="B134" s="411"/>
      <c r="C134" s="283" t="s">
        <v>388</v>
      </c>
      <c r="D134" s="955"/>
      <c r="E134" s="469"/>
      <c r="F134" s="460"/>
      <c r="G134" s="460"/>
      <c r="H134" s="460"/>
      <c r="I134" s="469" t="s">
        <v>1486</v>
      </c>
      <c r="J134" s="469">
        <f>J122-J133</f>
        <v>4414.722334000001</v>
      </c>
      <c r="K134" s="447"/>
    </row>
    <row r="135" spans="1:11" ht="263.25" customHeight="1">
      <c r="A135" s="617"/>
      <c r="B135" s="966">
        <v>5</v>
      </c>
      <c r="C135" s="55" t="s">
        <v>1527</v>
      </c>
      <c r="D135" s="951"/>
      <c r="E135" s="471"/>
      <c r="F135" s="462"/>
      <c r="G135" s="462"/>
      <c r="H135" s="462"/>
      <c r="I135" s="471"/>
      <c r="J135" s="471"/>
      <c r="K135" s="31"/>
    </row>
    <row r="136" spans="1:11">
      <c r="A136" s="617"/>
      <c r="B136" s="34"/>
      <c r="C136" s="55" t="s">
        <v>389</v>
      </c>
      <c r="D136" s="954"/>
      <c r="E136" s="468"/>
      <c r="F136" s="462"/>
      <c r="G136" s="462"/>
      <c r="H136" s="462"/>
      <c r="I136" s="471"/>
      <c r="J136" s="471"/>
      <c r="K136" s="31"/>
    </row>
    <row r="137" spans="1:11">
      <c r="A137" s="617"/>
      <c r="B137" s="34"/>
      <c r="C137" s="54" t="s">
        <v>779</v>
      </c>
      <c r="D137" s="951"/>
      <c r="E137" s="471"/>
      <c r="F137" s="462"/>
      <c r="G137" s="462"/>
      <c r="H137" s="462"/>
      <c r="I137" s="471"/>
      <c r="J137" s="471"/>
      <c r="K137" s="31"/>
    </row>
    <row r="138" spans="1:11" ht="20.2" customHeight="1">
      <c r="A138" s="617"/>
      <c r="B138" s="34"/>
      <c r="C138" s="54" t="s">
        <v>780</v>
      </c>
      <c r="D138" s="951">
        <v>2</v>
      </c>
      <c r="E138" s="471">
        <v>2</v>
      </c>
      <c r="F138" s="462">
        <v>0.1</v>
      </c>
      <c r="G138" s="462">
        <v>7.4999999999999997E-2</v>
      </c>
      <c r="H138" s="462">
        <f>ROUND(D138*E138*F138*G138,3)</f>
        <v>0.03</v>
      </c>
      <c r="I138" s="471">
        <v>25497.19</v>
      </c>
      <c r="J138" s="471">
        <f t="shared" ref="J138:J143" si="7">ROUND(H138*I138,2)</f>
        <v>764.92</v>
      </c>
      <c r="K138" s="31"/>
    </row>
    <row r="139" spans="1:11" ht="20.2" customHeight="1">
      <c r="A139" s="617"/>
      <c r="B139" s="34"/>
      <c r="C139" s="54" t="s">
        <v>781</v>
      </c>
      <c r="D139" s="951">
        <v>1</v>
      </c>
      <c r="E139" s="471">
        <v>1.35</v>
      </c>
      <c r="F139" s="462">
        <v>0.1</v>
      </c>
      <c r="G139" s="462">
        <v>7.4999999999999997E-2</v>
      </c>
      <c r="H139" s="462">
        <f>ROUND(D139*E139*F139*G139,3)</f>
        <v>0.01</v>
      </c>
      <c r="I139" s="471">
        <v>25497.19</v>
      </c>
      <c r="J139" s="471">
        <f t="shared" si="7"/>
        <v>254.97</v>
      </c>
      <c r="K139" s="31"/>
    </row>
    <row r="140" spans="1:11" ht="20.2" customHeight="1">
      <c r="A140" s="617"/>
      <c r="B140" s="34"/>
      <c r="C140" s="54" t="s">
        <v>782</v>
      </c>
      <c r="D140" s="951">
        <v>4</v>
      </c>
      <c r="E140" s="471">
        <f>(2-1*0.075-0.075)+1*0.015</f>
        <v>1.865</v>
      </c>
      <c r="F140" s="462">
        <v>0.1</v>
      </c>
      <c r="G140" s="462">
        <f>1.25*25.4/1000</f>
        <v>3.175E-2</v>
      </c>
      <c r="H140" s="462">
        <f>ROUND(D140*E140*F140*G140,3)</f>
        <v>2.4E-2</v>
      </c>
      <c r="I140" s="471">
        <v>31076.9</v>
      </c>
      <c r="J140" s="471">
        <f t="shared" si="7"/>
        <v>745.85</v>
      </c>
      <c r="K140" s="31"/>
    </row>
    <row r="141" spans="1:11" ht="20.2" customHeight="1">
      <c r="A141" s="617"/>
      <c r="B141" s="34"/>
      <c r="C141" s="54" t="s">
        <v>783</v>
      </c>
      <c r="D141" s="951" t="s">
        <v>791</v>
      </c>
      <c r="E141" s="471">
        <f>(1.2-2*0.075+2*0.015)/2</f>
        <v>0.54</v>
      </c>
      <c r="F141" s="462">
        <v>0.1</v>
      </c>
      <c r="G141" s="462">
        <f>1.25*25.4/1000</f>
        <v>3.175E-2</v>
      </c>
      <c r="H141" s="462">
        <f>ROUND(12*E141*F141*G141,3)</f>
        <v>2.1000000000000001E-2</v>
      </c>
      <c r="I141" s="471">
        <v>31076.9</v>
      </c>
      <c r="J141" s="471">
        <f t="shared" si="7"/>
        <v>652.61</v>
      </c>
      <c r="K141" s="31"/>
    </row>
    <row r="142" spans="1:11" ht="20.2" customHeight="1">
      <c r="A142" s="617"/>
      <c r="B142" s="34"/>
      <c r="C142" s="54" t="s">
        <v>1481</v>
      </c>
      <c r="D142" s="951" t="s">
        <v>792</v>
      </c>
      <c r="E142" s="471">
        <f>(1.2-2*0.075+2*0.015)/2-2*0.1+2*0.025</f>
        <v>0.39</v>
      </c>
      <c r="F142" s="462">
        <f>(2-2*0.075+1*0.015-6*0.1)/5+2*0.025</f>
        <v>0.30299999999999999</v>
      </c>
      <c r="G142" s="462">
        <v>2.5000000000000001E-2</v>
      </c>
      <c r="H142" s="462">
        <f>ROUND(10*E142*F142*G142,3)</f>
        <v>0.03</v>
      </c>
      <c r="I142" s="471">
        <v>31076.9</v>
      </c>
      <c r="J142" s="471">
        <f t="shared" si="7"/>
        <v>932.31</v>
      </c>
      <c r="K142" s="31"/>
    </row>
    <row r="143" spans="1:11" ht="20.2" customHeight="1">
      <c r="A143" s="617"/>
      <c r="B143" s="34"/>
      <c r="C143" s="54" t="s">
        <v>1482</v>
      </c>
      <c r="D143" s="951"/>
      <c r="E143" s="471"/>
      <c r="F143" s="462"/>
      <c r="G143" s="462"/>
      <c r="H143" s="462">
        <f>SUM(H138:H142)</f>
        <v>0.115</v>
      </c>
      <c r="I143" s="465">
        <f>G25</f>
        <v>15324.5</v>
      </c>
      <c r="J143" s="471">
        <f t="shared" si="7"/>
        <v>1762.32</v>
      </c>
      <c r="K143" s="31"/>
    </row>
    <row r="144" spans="1:11" ht="33.299999999999997">
      <c r="A144" s="617" t="s">
        <v>787</v>
      </c>
      <c r="B144" s="19"/>
      <c r="C144" s="54" t="s">
        <v>788</v>
      </c>
      <c r="D144" s="951"/>
      <c r="E144" s="471"/>
      <c r="F144" s="462"/>
      <c r="G144" s="952"/>
      <c r="H144" s="952"/>
      <c r="I144" s="471"/>
      <c r="J144" s="471"/>
      <c r="K144" s="31"/>
    </row>
    <row r="145" spans="1:11" ht="20.2" customHeight="1">
      <c r="A145" s="617"/>
      <c r="B145" s="19"/>
      <c r="C145" s="693" t="s">
        <v>911</v>
      </c>
      <c r="D145" s="951" t="s">
        <v>1035</v>
      </c>
      <c r="E145" s="471" t="s">
        <v>1617</v>
      </c>
      <c r="F145" s="462"/>
      <c r="G145" s="462"/>
      <c r="H145" s="948">
        <v>2</v>
      </c>
      <c r="I145" s="471">
        <v>68</v>
      </c>
      <c r="J145" s="471">
        <f t="shared" ref="J145:J153" si="8">ROUND(H145*I145,2)</f>
        <v>136</v>
      </c>
      <c r="K145" s="31"/>
    </row>
    <row r="146" spans="1:11" ht="20.2" customHeight="1">
      <c r="A146" s="617"/>
      <c r="B146" s="19"/>
      <c r="C146" s="693" t="s">
        <v>912</v>
      </c>
      <c r="D146" s="951" t="s">
        <v>1035</v>
      </c>
      <c r="E146" s="471" t="s">
        <v>1618</v>
      </c>
      <c r="F146" s="462"/>
      <c r="G146" s="462"/>
      <c r="H146" s="948">
        <v>1</v>
      </c>
      <c r="I146" s="471">
        <v>35</v>
      </c>
      <c r="J146" s="471">
        <f t="shared" si="8"/>
        <v>35</v>
      </c>
      <c r="K146" s="31"/>
    </row>
    <row r="147" spans="1:11" ht="20.2" customHeight="1">
      <c r="A147" s="617"/>
      <c r="B147" s="19"/>
      <c r="C147" s="196" t="s">
        <v>913</v>
      </c>
      <c r="D147" s="951" t="s">
        <v>1035</v>
      </c>
      <c r="E147" s="471" t="s">
        <v>1619</v>
      </c>
      <c r="F147" s="462"/>
      <c r="G147" s="462"/>
      <c r="H147" s="948">
        <v>6</v>
      </c>
      <c r="I147" s="471">
        <v>31</v>
      </c>
      <c r="J147" s="471">
        <f t="shared" si="8"/>
        <v>186</v>
      </c>
      <c r="K147" s="31"/>
    </row>
    <row r="148" spans="1:11" ht="20.2" customHeight="1">
      <c r="A148" s="617"/>
      <c r="B148" s="19"/>
      <c r="C148" s="693" t="s">
        <v>914</v>
      </c>
      <c r="D148" s="951" t="s">
        <v>1035</v>
      </c>
      <c r="E148" s="471" t="s">
        <v>1620</v>
      </c>
      <c r="F148" s="462"/>
      <c r="G148" s="462"/>
      <c r="H148" s="948">
        <v>1</v>
      </c>
      <c r="I148" s="471">
        <v>164</v>
      </c>
      <c r="J148" s="471">
        <f t="shared" si="8"/>
        <v>164</v>
      </c>
      <c r="K148" s="31"/>
    </row>
    <row r="149" spans="1:11" ht="20.2" customHeight="1">
      <c r="A149" s="617"/>
      <c r="B149" s="19"/>
      <c r="C149" s="693" t="s">
        <v>296</v>
      </c>
      <c r="D149" s="951" t="s">
        <v>1035</v>
      </c>
      <c r="E149" s="471" t="s">
        <v>1621</v>
      </c>
      <c r="F149" s="462"/>
      <c r="G149" s="462"/>
      <c r="H149" s="948">
        <v>2</v>
      </c>
      <c r="I149" s="471">
        <v>45</v>
      </c>
      <c r="J149" s="471">
        <f t="shared" si="8"/>
        <v>90</v>
      </c>
      <c r="K149" s="31"/>
    </row>
    <row r="150" spans="1:11" ht="20.2" customHeight="1">
      <c r="A150" s="617"/>
      <c r="B150" s="19"/>
      <c r="C150" s="54" t="s">
        <v>420</v>
      </c>
      <c r="D150" s="951"/>
      <c r="E150" s="471" t="s">
        <v>1622</v>
      </c>
      <c r="F150" s="462"/>
      <c r="G150" s="462"/>
      <c r="H150" s="948">
        <v>3</v>
      </c>
      <c r="I150" s="471">
        <v>31</v>
      </c>
      <c r="J150" s="471">
        <f t="shared" si="8"/>
        <v>93</v>
      </c>
      <c r="K150" s="31"/>
    </row>
    <row r="151" spans="1:11" ht="20.2" customHeight="1">
      <c r="A151" s="617"/>
      <c r="B151" s="19"/>
      <c r="C151" s="693" t="s">
        <v>799</v>
      </c>
      <c r="D151" s="951" t="s">
        <v>882</v>
      </c>
      <c r="E151" s="471" t="s">
        <v>1652</v>
      </c>
      <c r="F151" s="462"/>
      <c r="G151" s="462"/>
      <c r="H151" s="948">
        <v>80</v>
      </c>
      <c r="I151" s="471">
        <v>3</v>
      </c>
      <c r="J151" s="471">
        <f t="shared" si="8"/>
        <v>240</v>
      </c>
      <c r="K151" s="31"/>
    </row>
    <row r="152" spans="1:11" ht="20.2" customHeight="1">
      <c r="A152" s="617"/>
      <c r="B152" s="19"/>
      <c r="C152" s="693" t="s">
        <v>231</v>
      </c>
      <c r="D152" s="951" t="s">
        <v>882</v>
      </c>
      <c r="E152" s="471" t="s">
        <v>1650</v>
      </c>
      <c r="F152" s="462"/>
      <c r="G152" s="462"/>
      <c r="H152" s="948">
        <v>10</v>
      </c>
      <c r="I152" s="471">
        <v>16</v>
      </c>
      <c r="J152" s="471">
        <f t="shared" si="8"/>
        <v>160</v>
      </c>
      <c r="K152" s="31"/>
    </row>
    <row r="153" spans="1:11" ht="20.2" customHeight="1">
      <c r="A153" s="617"/>
      <c r="B153" s="32"/>
      <c r="C153" s="693" t="s">
        <v>1598</v>
      </c>
      <c r="D153" s="951"/>
      <c r="E153" s="953" t="s">
        <v>1651</v>
      </c>
      <c r="F153" s="462"/>
      <c r="G153" s="462"/>
      <c r="H153" s="948">
        <v>6</v>
      </c>
      <c r="I153" s="471">
        <v>32</v>
      </c>
      <c r="J153" s="471">
        <f t="shared" si="8"/>
        <v>192</v>
      </c>
      <c r="K153" s="31"/>
    </row>
    <row r="154" spans="1:11" ht="20.2" customHeight="1">
      <c r="A154" s="617"/>
      <c r="B154" s="34"/>
      <c r="C154" s="54" t="s">
        <v>1484</v>
      </c>
      <c r="D154" s="951">
        <v>2.25</v>
      </c>
      <c r="E154" s="471">
        <v>1.2</v>
      </c>
      <c r="F154" s="462"/>
      <c r="G154" s="471">
        <v>2</v>
      </c>
      <c r="H154" s="462">
        <f>ROUND(G154*E154*D154,2)</f>
        <v>5.4</v>
      </c>
      <c r="I154" s="698">
        <f>G15</f>
        <v>561.35799999999995</v>
      </c>
      <c r="J154" s="471">
        <f>H154*I154/10</f>
        <v>303.13332000000003</v>
      </c>
      <c r="K154" s="31"/>
    </row>
    <row r="155" spans="1:11" ht="20.2" customHeight="1">
      <c r="A155" s="617"/>
      <c r="B155" s="34"/>
      <c r="C155" s="54" t="s">
        <v>230</v>
      </c>
      <c r="D155" s="951"/>
      <c r="E155" s="471"/>
      <c r="F155" s="462"/>
      <c r="G155" s="462"/>
      <c r="H155" s="948">
        <v>1</v>
      </c>
      <c r="I155" s="471">
        <v>75</v>
      </c>
      <c r="J155" s="471">
        <f>ROUND(H155*I155,2)</f>
        <v>75</v>
      </c>
      <c r="K155" s="31"/>
    </row>
    <row r="156" spans="1:11" ht="20.2" customHeight="1">
      <c r="A156" s="617"/>
      <c r="B156" s="34"/>
      <c r="D156" s="951"/>
      <c r="E156" s="471"/>
      <c r="F156" s="462"/>
      <c r="G156" s="462"/>
      <c r="H156" s="462"/>
      <c r="I156" s="471"/>
      <c r="J156" s="471">
        <f>SUM(J138:J155)</f>
        <v>6787.1133199999995</v>
      </c>
      <c r="K156" s="31"/>
    </row>
    <row r="157" spans="1:11" s="18" customFormat="1" ht="20.2" customHeight="1">
      <c r="A157" s="617"/>
      <c r="B157" s="40"/>
      <c r="C157" s="54" t="s">
        <v>1600</v>
      </c>
      <c r="D157" s="954"/>
      <c r="E157" s="468"/>
      <c r="F157" s="458"/>
      <c r="G157" s="458"/>
      <c r="H157" s="458">
        <f>J156</f>
        <v>6787.1133199999995</v>
      </c>
      <c r="I157" s="468">
        <f>I6</f>
        <v>0</v>
      </c>
      <c r="J157" s="468">
        <f>ROUND(H157*I157,2)</f>
        <v>0</v>
      </c>
      <c r="K157" s="17"/>
    </row>
    <row r="158" spans="1:11" s="18" customFormat="1" ht="20.2" customHeight="1">
      <c r="A158" s="617"/>
      <c r="B158" s="411"/>
      <c r="C158" s="283" t="s">
        <v>256</v>
      </c>
      <c r="D158" s="955"/>
      <c r="E158" s="469"/>
      <c r="F158" s="460"/>
      <c r="G158" s="460"/>
      <c r="H158" s="460"/>
      <c r="I158" s="469" t="s">
        <v>416</v>
      </c>
      <c r="J158" s="469">
        <f>SUM(J156:J157)</f>
        <v>6787.1133199999995</v>
      </c>
      <c r="K158" s="17"/>
    </row>
    <row r="159" spans="1:11">
      <c r="A159" s="617"/>
      <c r="B159" s="34"/>
      <c r="C159" s="55" t="s">
        <v>1298</v>
      </c>
      <c r="D159" s="954"/>
      <c r="E159" s="468"/>
      <c r="F159" s="462"/>
      <c r="G159" s="462"/>
      <c r="H159" s="462"/>
      <c r="I159" s="471"/>
      <c r="J159" s="471"/>
      <c r="K159" s="31"/>
    </row>
    <row r="160" spans="1:11">
      <c r="A160" s="617"/>
      <c r="B160" s="34"/>
      <c r="C160" s="54" t="s">
        <v>779</v>
      </c>
      <c r="D160" s="951"/>
      <c r="E160" s="471"/>
      <c r="F160" s="462"/>
      <c r="G160" s="462"/>
      <c r="H160" s="462"/>
      <c r="I160" s="471"/>
      <c r="J160" s="471"/>
      <c r="K160" s="31"/>
    </row>
    <row r="161" spans="1:11" ht="20.2" customHeight="1">
      <c r="A161" s="617"/>
      <c r="B161" s="34"/>
      <c r="C161" s="54" t="s">
        <v>780</v>
      </c>
      <c r="D161" s="951">
        <v>2</v>
      </c>
      <c r="E161" s="471">
        <v>2</v>
      </c>
      <c r="F161" s="462">
        <v>0.1</v>
      </c>
      <c r="G161" s="462">
        <v>7.4999999999999997E-2</v>
      </c>
      <c r="H161" s="462">
        <f>ROUND(D161*E161*F161*G161,3)</f>
        <v>0.03</v>
      </c>
      <c r="I161" s="471">
        <v>25497.19</v>
      </c>
      <c r="J161" s="462">
        <f>ROUND(H161*I161,2)</f>
        <v>764.92</v>
      </c>
      <c r="K161" s="31"/>
    </row>
    <row r="162" spans="1:11" ht="20.2" customHeight="1">
      <c r="A162" s="617"/>
      <c r="B162" s="34"/>
      <c r="C162" s="54" t="s">
        <v>781</v>
      </c>
      <c r="D162" s="951">
        <v>1</v>
      </c>
      <c r="E162" s="471">
        <v>1.35</v>
      </c>
      <c r="F162" s="462">
        <v>0.1</v>
      </c>
      <c r="G162" s="462">
        <v>7.4999999999999997E-2</v>
      </c>
      <c r="H162" s="462">
        <f>ROUND(D162*E162*F162*G162,3)</f>
        <v>0.01</v>
      </c>
      <c r="I162" s="471">
        <v>25497.19</v>
      </c>
      <c r="J162" s="462">
        <f>ROUND(H162*I162,2)</f>
        <v>254.97</v>
      </c>
      <c r="K162" s="31"/>
    </row>
    <row r="163" spans="1:11" ht="20.2" customHeight="1">
      <c r="A163" s="617"/>
      <c r="B163" s="34"/>
      <c r="C163" s="54" t="s">
        <v>1482</v>
      </c>
      <c r="D163" s="951"/>
      <c r="E163" s="471"/>
      <c r="F163" s="462"/>
      <c r="G163" s="462"/>
      <c r="H163" s="462">
        <f>SUM(H161:H162)</f>
        <v>0.04</v>
      </c>
      <c r="I163" s="465">
        <f>G25</f>
        <v>15324.5</v>
      </c>
      <c r="J163" s="462">
        <f>ROUND(H163*I163,2)</f>
        <v>612.98</v>
      </c>
      <c r="K163" s="31"/>
    </row>
    <row r="164" spans="1:11" ht="20.2" customHeight="1">
      <c r="A164" s="617"/>
      <c r="B164" s="34"/>
      <c r="C164" s="54" t="s">
        <v>1484</v>
      </c>
      <c r="D164" s="951" t="s">
        <v>539</v>
      </c>
      <c r="E164" s="471">
        <v>1.2</v>
      </c>
      <c r="F164" s="462"/>
      <c r="G164" s="462">
        <v>2</v>
      </c>
      <c r="H164" s="462">
        <f>ROUND(G164*E164*2.25/3,2)</f>
        <v>1.8</v>
      </c>
      <c r="I164" s="698">
        <f>G15</f>
        <v>561.35799999999995</v>
      </c>
      <c r="J164" s="471">
        <f>H164*I164/10</f>
        <v>101.04443999999999</v>
      </c>
      <c r="K164" s="31"/>
    </row>
    <row r="165" spans="1:11" ht="20.2" customHeight="1">
      <c r="A165" s="617"/>
      <c r="B165" s="32"/>
      <c r="C165" s="54" t="s">
        <v>1598</v>
      </c>
      <c r="D165" s="951"/>
      <c r="E165" s="953" t="s">
        <v>1651</v>
      </c>
      <c r="F165" s="462"/>
      <c r="G165" s="462"/>
      <c r="H165" s="948">
        <v>6</v>
      </c>
      <c r="I165" s="471">
        <v>32</v>
      </c>
      <c r="J165" s="471">
        <f>ROUND(H165*I165,2)</f>
        <v>192</v>
      </c>
      <c r="K165" s="31"/>
    </row>
    <row r="166" spans="1:11" ht="20.2" customHeight="1">
      <c r="A166" s="617"/>
      <c r="B166" s="34"/>
      <c r="C166" s="54" t="s">
        <v>230</v>
      </c>
      <c r="D166" s="951"/>
      <c r="E166" s="471"/>
      <c r="F166" s="462"/>
      <c r="G166" s="462"/>
      <c r="H166" s="948">
        <v>1</v>
      </c>
      <c r="I166" s="471">
        <v>50</v>
      </c>
      <c r="J166" s="471">
        <f>H166*I166</f>
        <v>50</v>
      </c>
      <c r="K166" s="31"/>
    </row>
    <row r="167" spans="1:11" ht="20.2" customHeight="1">
      <c r="A167" s="617"/>
      <c r="B167" s="34"/>
      <c r="D167" s="951"/>
      <c r="E167" s="471"/>
      <c r="F167" s="462"/>
      <c r="G167" s="462"/>
      <c r="H167" s="462"/>
      <c r="I167" s="471"/>
      <c r="J167" s="471">
        <f>SUM(J161:J166)</f>
        <v>1975.9144399999998</v>
      </c>
      <c r="K167" s="31"/>
    </row>
    <row r="168" spans="1:11" s="18" customFormat="1" ht="20.2" customHeight="1">
      <c r="A168" s="617"/>
      <c r="B168" s="40"/>
      <c r="C168" s="54" t="s">
        <v>1600</v>
      </c>
      <c r="D168" s="954"/>
      <c r="E168" s="468"/>
      <c r="F168" s="458"/>
      <c r="G168" s="458"/>
      <c r="H168" s="458">
        <f>J167</f>
        <v>1975.9144399999998</v>
      </c>
      <c r="I168" s="468">
        <f>+I6</f>
        <v>0</v>
      </c>
      <c r="J168" s="468">
        <f>ROUND(H168*I168,2)</f>
        <v>0</v>
      </c>
      <c r="K168" s="17"/>
    </row>
    <row r="169" spans="1:11" s="439" customFormat="1" ht="20.2" customHeight="1">
      <c r="A169" s="617" t="s">
        <v>542</v>
      </c>
      <c r="B169" s="411"/>
      <c r="C169" s="283" t="s">
        <v>392</v>
      </c>
      <c r="D169" s="955"/>
      <c r="E169" s="469"/>
      <c r="F169" s="460"/>
      <c r="G169" s="460"/>
      <c r="H169" s="460"/>
      <c r="I169" s="469" t="s">
        <v>1486</v>
      </c>
      <c r="J169" s="469">
        <f>SUM(J167:J168)</f>
        <v>1975.9144399999998</v>
      </c>
      <c r="K169" s="447"/>
    </row>
    <row r="170" spans="1:11" s="439" customFormat="1" ht="20.2" customHeight="1">
      <c r="A170" s="617"/>
      <c r="B170" s="411"/>
      <c r="C170" s="283" t="s">
        <v>393</v>
      </c>
      <c r="D170" s="955"/>
      <c r="E170" s="469"/>
      <c r="F170" s="460"/>
      <c r="G170" s="460"/>
      <c r="H170" s="460"/>
      <c r="I170" s="469" t="s">
        <v>1486</v>
      </c>
      <c r="J170" s="469">
        <f>J158-J169</f>
        <v>4811.1988799999999</v>
      </c>
      <c r="K170" s="447"/>
    </row>
    <row r="171" spans="1:11" ht="258">
      <c r="A171" s="617"/>
      <c r="B171" s="26">
        <v>6</v>
      </c>
      <c r="C171" s="54" t="s">
        <v>1522</v>
      </c>
      <c r="D171" s="951"/>
      <c r="E171" s="471"/>
      <c r="F171" s="462"/>
      <c r="G171" s="462"/>
      <c r="H171" s="462"/>
      <c r="I171" s="471"/>
      <c r="J171" s="471"/>
      <c r="K171" s="31"/>
    </row>
    <row r="172" spans="1:11">
      <c r="A172" s="617"/>
      <c r="B172" s="34"/>
      <c r="C172" s="55" t="s">
        <v>394</v>
      </c>
      <c r="D172" s="954"/>
      <c r="E172" s="468"/>
      <c r="F172" s="462"/>
      <c r="G172" s="462"/>
      <c r="H172" s="462"/>
      <c r="I172" s="471"/>
      <c r="J172" s="471"/>
      <c r="K172" s="31"/>
    </row>
    <row r="173" spans="1:11">
      <c r="A173" s="617"/>
      <c r="B173" s="34"/>
      <c r="C173" s="54" t="s">
        <v>779</v>
      </c>
      <c r="D173" s="951"/>
      <c r="E173" s="471"/>
      <c r="F173" s="462"/>
      <c r="G173" s="462"/>
      <c r="H173" s="462"/>
      <c r="I173" s="471"/>
      <c r="J173" s="471"/>
      <c r="K173" s="31"/>
    </row>
    <row r="174" spans="1:11" ht="20.2" customHeight="1">
      <c r="A174" s="617"/>
      <c r="B174" s="34"/>
      <c r="C174" s="54" t="s">
        <v>780</v>
      </c>
      <c r="D174" s="951">
        <v>2</v>
      </c>
      <c r="E174" s="471">
        <v>2</v>
      </c>
      <c r="F174" s="462">
        <v>0.1</v>
      </c>
      <c r="G174" s="462">
        <v>7.4999999999999997E-2</v>
      </c>
      <c r="H174" s="462">
        <f>ROUND(D174*E174*F174*G174,3)</f>
        <v>0.03</v>
      </c>
      <c r="I174" s="471">
        <v>25497.19</v>
      </c>
      <c r="J174" s="471">
        <f t="shared" ref="J174:J179" si="9">ROUND(H174*I174,2)</f>
        <v>764.92</v>
      </c>
      <c r="K174" s="31"/>
    </row>
    <row r="175" spans="1:11" ht="20.2" customHeight="1">
      <c r="A175" s="617"/>
      <c r="B175" s="34"/>
      <c r="C175" s="54" t="s">
        <v>781</v>
      </c>
      <c r="D175" s="951">
        <v>1</v>
      </c>
      <c r="E175" s="471">
        <v>1.65</v>
      </c>
      <c r="F175" s="462">
        <v>0.1</v>
      </c>
      <c r="G175" s="462">
        <v>7.4999999999999997E-2</v>
      </c>
      <c r="H175" s="462">
        <f>ROUND(D175*E175*F175*G175,3)</f>
        <v>1.2E-2</v>
      </c>
      <c r="I175" s="471">
        <v>25497.19</v>
      </c>
      <c r="J175" s="471">
        <f t="shared" si="9"/>
        <v>305.97000000000003</v>
      </c>
      <c r="K175" s="31"/>
    </row>
    <row r="176" spans="1:11" ht="20.2" customHeight="1">
      <c r="A176" s="617"/>
      <c r="B176" s="34"/>
      <c r="C176" s="54" t="s">
        <v>782</v>
      </c>
      <c r="D176" s="951">
        <v>4</v>
      </c>
      <c r="E176" s="471">
        <f>(2-1*0.075-0.075)+1*0.015</f>
        <v>1.865</v>
      </c>
      <c r="F176" s="462">
        <v>0.1</v>
      </c>
      <c r="G176" s="462">
        <f>1.25*25.4/1000</f>
        <v>3.175E-2</v>
      </c>
      <c r="H176" s="462">
        <f>ROUND(D176*E176*F176*G176,3)</f>
        <v>2.4E-2</v>
      </c>
      <c r="I176" s="471">
        <v>31076.9</v>
      </c>
      <c r="J176" s="471">
        <f t="shared" si="9"/>
        <v>745.85</v>
      </c>
      <c r="K176" s="31"/>
    </row>
    <row r="177" spans="1:11" ht="20.2" customHeight="1">
      <c r="A177" s="617"/>
      <c r="B177" s="34"/>
      <c r="C177" s="54" t="s">
        <v>783</v>
      </c>
      <c r="D177" s="951" t="s">
        <v>791</v>
      </c>
      <c r="E177" s="471">
        <f>(1.5-2*0.075+2*0.015)/2</f>
        <v>0.69000000000000006</v>
      </c>
      <c r="F177" s="462">
        <v>0.1</v>
      </c>
      <c r="G177" s="462">
        <f>1.25*25.4/1000</f>
        <v>3.175E-2</v>
      </c>
      <c r="H177" s="462">
        <f>ROUND(12*E177*F177*G177,3)</f>
        <v>2.5999999999999999E-2</v>
      </c>
      <c r="I177" s="471">
        <v>31076.9</v>
      </c>
      <c r="J177" s="471">
        <f t="shared" si="9"/>
        <v>808</v>
      </c>
      <c r="K177" s="31"/>
    </row>
    <row r="178" spans="1:11" ht="20.2" customHeight="1">
      <c r="A178" s="617"/>
      <c r="B178" s="34"/>
      <c r="C178" s="54" t="s">
        <v>1481</v>
      </c>
      <c r="D178" s="951" t="s">
        <v>792</v>
      </c>
      <c r="E178" s="471">
        <f>(1.5-2*0.075+2*0.015)/2-2*0.1+2*0.025</f>
        <v>0.54</v>
      </c>
      <c r="F178" s="462">
        <f>(2-2*0.075+1*0.015-6*0.1)/5+2*0.025</f>
        <v>0.30299999999999999</v>
      </c>
      <c r="G178" s="462">
        <v>2.5000000000000001E-2</v>
      </c>
      <c r="H178" s="462">
        <f>ROUND(10*E178*F178*G178,3)</f>
        <v>4.1000000000000002E-2</v>
      </c>
      <c r="I178" s="471">
        <v>31076.9</v>
      </c>
      <c r="J178" s="471">
        <f t="shared" si="9"/>
        <v>1274.1500000000001</v>
      </c>
      <c r="K178" s="31"/>
    </row>
    <row r="179" spans="1:11" ht="20.2" customHeight="1">
      <c r="A179" s="617"/>
      <c r="B179" s="34"/>
      <c r="C179" s="54" t="s">
        <v>1482</v>
      </c>
      <c r="D179" s="951"/>
      <c r="E179" s="471"/>
      <c r="F179" s="462"/>
      <c r="G179" s="462"/>
      <c r="H179" s="462">
        <f>SUM(H174:H178)</f>
        <v>0.13300000000000001</v>
      </c>
      <c r="I179" s="465">
        <f>G25</f>
        <v>15324.5</v>
      </c>
      <c r="J179" s="471">
        <f t="shared" si="9"/>
        <v>2038.16</v>
      </c>
      <c r="K179" s="31"/>
    </row>
    <row r="180" spans="1:11" ht="33.299999999999997">
      <c r="A180" s="617" t="s">
        <v>787</v>
      </c>
      <c r="B180" s="19"/>
      <c r="C180" s="54" t="s">
        <v>788</v>
      </c>
      <c r="D180" s="951"/>
      <c r="E180" s="471"/>
      <c r="F180" s="462"/>
      <c r="G180" s="952"/>
      <c r="H180" s="952"/>
      <c r="I180" s="471"/>
      <c r="J180" s="471"/>
      <c r="K180" s="31"/>
    </row>
    <row r="181" spans="1:11" ht="20.2" customHeight="1">
      <c r="A181" s="617"/>
      <c r="B181" s="19"/>
      <c r="C181" s="693" t="s">
        <v>911</v>
      </c>
      <c r="D181" s="951" t="s">
        <v>1035</v>
      </c>
      <c r="E181" s="471" t="s">
        <v>1617</v>
      </c>
      <c r="F181" s="462"/>
      <c r="G181" s="462"/>
      <c r="H181" s="948">
        <v>2</v>
      </c>
      <c r="I181" s="471">
        <v>68</v>
      </c>
      <c r="J181" s="471">
        <f t="shared" ref="J181:J189" si="10">ROUND(H181*I181,2)</f>
        <v>136</v>
      </c>
      <c r="K181" s="31"/>
    </row>
    <row r="182" spans="1:11" ht="20.2" customHeight="1">
      <c r="A182" s="617"/>
      <c r="B182" s="19"/>
      <c r="C182" s="693" t="s">
        <v>912</v>
      </c>
      <c r="D182" s="951" t="s">
        <v>1035</v>
      </c>
      <c r="E182" s="471" t="s">
        <v>1618</v>
      </c>
      <c r="F182" s="462"/>
      <c r="G182" s="462"/>
      <c r="H182" s="948">
        <v>1</v>
      </c>
      <c r="I182" s="471">
        <v>35</v>
      </c>
      <c r="J182" s="471">
        <f t="shared" si="10"/>
        <v>35</v>
      </c>
      <c r="K182" s="31"/>
    </row>
    <row r="183" spans="1:11" ht="20.2" customHeight="1">
      <c r="A183" s="617"/>
      <c r="B183" s="19"/>
      <c r="C183" s="196" t="s">
        <v>913</v>
      </c>
      <c r="D183" s="951" t="s">
        <v>1035</v>
      </c>
      <c r="E183" s="471" t="s">
        <v>1619</v>
      </c>
      <c r="F183" s="462"/>
      <c r="G183" s="462"/>
      <c r="H183" s="948">
        <v>6</v>
      </c>
      <c r="I183" s="471">
        <v>31</v>
      </c>
      <c r="J183" s="471">
        <f t="shared" si="10"/>
        <v>186</v>
      </c>
      <c r="K183" s="31"/>
    </row>
    <row r="184" spans="1:11" ht="20.2" customHeight="1">
      <c r="A184" s="617"/>
      <c r="B184" s="19"/>
      <c r="C184" s="693" t="s">
        <v>914</v>
      </c>
      <c r="D184" s="951" t="s">
        <v>1035</v>
      </c>
      <c r="E184" s="471" t="s">
        <v>1620</v>
      </c>
      <c r="F184" s="462"/>
      <c r="G184" s="462"/>
      <c r="H184" s="948">
        <v>1</v>
      </c>
      <c r="I184" s="471">
        <v>164</v>
      </c>
      <c r="J184" s="471">
        <f t="shared" si="10"/>
        <v>164</v>
      </c>
      <c r="K184" s="31"/>
    </row>
    <row r="185" spans="1:11" ht="20.2" customHeight="1">
      <c r="A185" s="617"/>
      <c r="B185" s="19"/>
      <c r="C185" s="693" t="s">
        <v>296</v>
      </c>
      <c r="D185" s="951" t="s">
        <v>1035</v>
      </c>
      <c r="E185" s="471" t="s">
        <v>1621</v>
      </c>
      <c r="F185" s="462"/>
      <c r="G185" s="462"/>
      <c r="H185" s="948">
        <v>2</v>
      </c>
      <c r="I185" s="471">
        <v>45</v>
      </c>
      <c r="J185" s="471">
        <f t="shared" si="10"/>
        <v>90</v>
      </c>
      <c r="K185" s="31"/>
    </row>
    <row r="186" spans="1:11" ht="20.2" customHeight="1">
      <c r="A186" s="617"/>
      <c r="B186" s="19"/>
      <c r="C186" s="54" t="s">
        <v>420</v>
      </c>
      <c r="D186" s="951"/>
      <c r="E186" s="471" t="s">
        <v>1622</v>
      </c>
      <c r="F186" s="462"/>
      <c r="G186" s="462"/>
      <c r="H186" s="948">
        <v>3</v>
      </c>
      <c r="I186" s="471">
        <v>31</v>
      </c>
      <c r="J186" s="471">
        <f t="shared" si="10"/>
        <v>93</v>
      </c>
      <c r="K186" s="31"/>
    </row>
    <row r="187" spans="1:11" ht="20.2" customHeight="1">
      <c r="A187" s="617"/>
      <c r="B187" s="19"/>
      <c r="C187" s="693" t="s">
        <v>799</v>
      </c>
      <c r="D187" s="951" t="s">
        <v>882</v>
      </c>
      <c r="E187" s="471" t="s">
        <v>1652</v>
      </c>
      <c r="F187" s="462"/>
      <c r="G187" s="462"/>
      <c r="H187" s="948">
        <v>80</v>
      </c>
      <c r="I187" s="471">
        <v>3</v>
      </c>
      <c r="J187" s="471">
        <f t="shared" si="10"/>
        <v>240</v>
      </c>
      <c r="K187" s="31"/>
    </row>
    <row r="188" spans="1:11" ht="20.2" customHeight="1">
      <c r="A188" s="617"/>
      <c r="B188" s="19"/>
      <c r="C188" s="693" t="s">
        <v>231</v>
      </c>
      <c r="D188" s="951" t="s">
        <v>882</v>
      </c>
      <c r="E188" s="471" t="s">
        <v>1650</v>
      </c>
      <c r="F188" s="462"/>
      <c r="G188" s="462"/>
      <c r="H188" s="948">
        <v>10</v>
      </c>
      <c r="I188" s="471">
        <v>16</v>
      </c>
      <c r="J188" s="471">
        <f t="shared" si="10"/>
        <v>160</v>
      </c>
      <c r="K188" s="31"/>
    </row>
    <row r="189" spans="1:11" ht="20.2" customHeight="1">
      <c r="A189" s="617"/>
      <c r="B189" s="32"/>
      <c r="C189" s="693" t="s">
        <v>1598</v>
      </c>
      <c r="D189" s="951"/>
      <c r="E189" s="953" t="s">
        <v>1651</v>
      </c>
      <c r="F189" s="462"/>
      <c r="G189" s="462"/>
      <c r="H189" s="948">
        <v>6</v>
      </c>
      <c r="I189" s="471">
        <v>32</v>
      </c>
      <c r="J189" s="471">
        <f t="shared" si="10"/>
        <v>192</v>
      </c>
      <c r="K189" s="31"/>
    </row>
    <row r="190" spans="1:11" ht="20.2" customHeight="1">
      <c r="A190" s="617"/>
      <c r="B190" s="34"/>
      <c r="C190" s="54" t="s">
        <v>1484</v>
      </c>
      <c r="D190" s="951">
        <v>2.25</v>
      </c>
      <c r="E190" s="471">
        <v>1.5</v>
      </c>
      <c r="F190" s="462"/>
      <c r="G190" s="471">
        <v>2</v>
      </c>
      <c r="H190" s="462">
        <f>ROUND(G190*E190*2.25,2)</f>
        <v>6.75</v>
      </c>
      <c r="I190" s="698">
        <f>G15</f>
        <v>561.35799999999995</v>
      </c>
      <c r="J190" s="471">
        <f>H190*I190/10</f>
        <v>378.91665</v>
      </c>
      <c r="K190" s="31"/>
    </row>
    <row r="191" spans="1:11" ht="20.2" customHeight="1">
      <c r="A191" s="617"/>
      <c r="B191" s="34"/>
      <c r="C191" s="54" t="s">
        <v>230</v>
      </c>
      <c r="D191" s="951"/>
      <c r="E191" s="471"/>
      <c r="F191" s="462"/>
      <c r="G191" s="462"/>
      <c r="H191" s="948">
        <v>1</v>
      </c>
      <c r="I191" s="471">
        <v>100</v>
      </c>
      <c r="J191" s="471">
        <f>H191*I191</f>
        <v>100</v>
      </c>
      <c r="K191" s="31"/>
    </row>
    <row r="192" spans="1:11" ht="20.2" customHeight="1">
      <c r="A192" s="617"/>
      <c r="B192" s="34"/>
      <c r="D192" s="951"/>
      <c r="E192" s="471"/>
      <c r="F192" s="462"/>
      <c r="G192" s="462"/>
      <c r="H192" s="462"/>
      <c r="I192" s="471"/>
      <c r="J192" s="471">
        <f>SUM(J174:J191)</f>
        <v>7711.9666500000003</v>
      </c>
      <c r="K192" s="31"/>
    </row>
    <row r="193" spans="1:18" s="18" customFormat="1" ht="20.2" customHeight="1">
      <c r="A193" s="617"/>
      <c r="B193" s="40"/>
      <c r="C193" s="54" t="s">
        <v>1600</v>
      </c>
      <c r="D193" s="954"/>
      <c r="E193" s="468"/>
      <c r="F193" s="458"/>
      <c r="G193" s="458"/>
      <c r="H193" s="458">
        <f>J192</f>
        <v>7711.9666500000003</v>
      </c>
      <c r="I193" s="468">
        <f>I6</f>
        <v>0</v>
      </c>
      <c r="J193" s="468">
        <f>ROUND(H193*I193,2)</f>
        <v>0</v>
      </c>
      <c r="K193" s="17"/>
    </row>
    <row r="194" spans="1:18" s="439" customFormat="1" ht="20.2" customHeight="1">
      <c r="A194" s="617" t="s">
        <v>1302</v>
      </c>
      <c r="B194" s="411"/>
      <c r="C194" s="413" t="s">
        <v>256</v>
      </c>
      <c r="D194" s="955"/>
      <c r="E194" s="469"/>
      <c r="F194" s="460"/>
      <c r="G194" s="460"/>
      <c r="H194" s="460"/>
      <c r="I194" s="469" t="s">
        <v>416</v>
      </c>
      <c r="J194" s="469">
        <f>SUM(J192:J193)</f>
        <v>7711.9666500000003</v>
      </c>
      <c r="K194" s="447"/>
    </row>
    <row r="195" spans="1:18">
      <c r="A195" s="617"/>
      <c r="B195" s="34"/>
      <c r="C195" s="55" t="s">
        <v>1303</v>
      </c>
      <c r="D195" s="954"/>
      <c r="E195" s="468"/>
      <c r="F195" s="462"/>
      <c r="G195" s="462"/>
      <c r="H195" s="462"/>
      <c r="I195" s="471"/>
      <c r="J195" s="471"/>
      <c r="K195" s="31"/>
    </row>
    <row r="196" spans="1:18">
      <c r="A196" s="617"/>
      <c r="B196" s="34"/>
      <c r="C196" s="54" t="s">
        <v>779</v>
      </c>
      <c r="D196" s="951"/>
      <c r="E196" s="471"/>
      <c r="F196" s="462"/>
      <c r="G196" s="462"/>
      <c r="H196" s="462"/>
      <c r="I196" s="471"/>
      <c r="J196" s="471"/>
      <c r="K196" s="31"/>
    </row>
    <row r="197" spans="1:18" ht="20.2" customHeight="1">
      <c r="A197" s="617"/>
      <c r="B197" s="34"/>
      <c r="C197" s="54" t="s">
        <v>780</v>
      </c>
      <c r="D197" s="951">
        <v>2</v>
      </c>
      <c r="E197" s="471">
        <v>2</v>
      </c>
      <c r="F197" s="462">
        <v>0.1</v>
      </c>
      <c r="G197" s="462">
        <v>7.4999999999999997E-2</v>
      </c>
      <c r="H197" s="462">
        <f>ROUND(D197*E197*F197*G197,3)</f>
        <v>0.03</v>
      </c>
      <c r="I197" s="471">
        <v>25497.19</v>
      </c>
      <c r="J197" s="471">
        <f>ROUND(H197*I197,2)</f>
        <v>764.92</v>
      </c>
      <c r="K197" s="31"/>
    </row>
    <row r="198" spans="1:18" ht="20.2" customHeight="1">
      <c r="A198" s="617"/>
      <c r="B198" s="34"/>
      <c r="C198" s="54" t="s">
        <v>781</v>
      </c>
      <c r="D198" s="951">
        <v>1</v>
      </c>
      <c r="E198" s="471">
        <v>1.65</v>
      </c>
      <c r="F198" s="462">
        <v>0.1</v>
      </c>
      <c r="G198" s="462">
        <v>7.4999999999999997E-2</v>
      </c>
      <c r="H198" s="462">
        <f>ROUND(D198*E198*F198*G198,3)</f>
        <v>1.2E-2</v>
      </c>
      <c r="I198" s="471">
        <v>25497.19</v>
      </c>
      <c r="J198" s="471">
        <f>ROUND(H198*I198,2)</f>
        <v>305.97000000000003</v>
      </c>
      <c r="K198" s="31"/>
    </row>
    <row r="199" spans="1:18" ht="20.2" customHeight="1">
      <c r="A199" s="617"/>
      <c r="B199" s="34"/>
      <c r="C199" s="54" t="s">
        <v>1482</v>
      </c>
      <c r="D199" s="951"/>
      <c r="E199" s="471"/>
      <c r="F199" s="462"/>
      <c r="G199" s="462"/>
      <c r="H199" s="462">
        <f>SUM(H197:H198)</f>
        <v>4.1999999999999996E-2</v>
      </c>
      <c r="I199" s="465">
        <f>G25</f>
        <v>15324.5</v>
      </c>
      <c r="J199" s="471">
        <f>ROUND(H199*I199,2)</f>
        <v>643.63</v>
      </c>
      <c r="K199" s="31"/>
    </row>
    <row r="200" spans="1:18" ht="20.2" customHeight="1">
      <c r="A200" s="617"/>
      <c r="B200" s="32"/>
      <c r="C200" s="54" t="s">
        <v>1598</v>
      </c>
      <c r="D200" s="951"/>
      <c r="E200" s="953" t="s">
        <v>1651</v>
      </c>
      <c r="F200" s="462"/>
      <c r="G200" s="462"/>
      <c r="H200" s="948">
        <v>6</v>
      </c>
      <c r="I200" s="471">
        <v>32</v>
      </c>
      <c r="J200" s="471">
        <f>ROUND(H200*I200,2)</f>
        <v>192</v>
      </c>
      <c r="K200" s="31"/>
    </row>
    <row r="201" spans="1:18" ht="20.2" customHeight="1">
      <c r="A201" s="617"/>
      <c r="B201" s="34"/>
      <c r="C201" s="54" t="s">
        <v>1484</v>
      </c>
      <c r="D201" s="951" t="s">
        <v>539</v>
      </c>
      <c r="E201" s="471">
        <v>1.5</v>
      </c>
      <c r="F201" s="462"/>
      <c r="G201" s="471">
        <v>2</v>
      </c>
      <c r="H201" s="462">
        <f>ROUND(G201*E201*2.25/3,2)</f>
        <v>2.25</v>
      </c>
      <c r="I201" s="698">
        <f>G15</f>
        <v>561.35799999999995</v>
      </c>
      <c r="J201" s="471">
        <f>H201*I201/10</f>
        <v>126.30555</v>
      </c>
      <c r="K201" s="31"/>
    </row>
    <row r="202" spans="1:18" ht="20.2" customHeight="1">
      <c r="A202" s="617"/>
      <c r="B202" s="34"/>
      <c r="C202" s="54" t="s">
        <v>230</v>
      </c>
      <c r="D202" s="951"/>
      <c r="E202" s="471"/>
      <c r="F202" s="462"/>
      <c r="G202" s="462"/>
      <c r="H202" s="948">
        <v>1</v>
      </c>
      <c r="I202" s="471">
        <v>60</v>
      </c>
      <c r="J202" s="471">
        <f>H202*I202</f>
        <v>60</v>
      </c>
      <c r="K202" s="31"/>
    </row>
    <row r="203" spans="1:18" ht="20.2" customHeight="1">
      <c r="A203" s="617"/>
      <c r="B203" s="34"/>
      <c r="D203" s="951"/>
      <c r="E203" s="471"/>
      <c r="F203" s="462"/>
      <c r="G203" s="462"/>
      <c r="H203" s="462"/>
      <c r="I203" s="471"/>
      <c r="J203" s="471">
        <f>SUM(J197:J202)</f>
        <v>2092.82555</v>
      </c>
      <c r="K203" s="31"/>
    </row>
    <row r="204" spans="1:18" s="18" customFormat="1" ht="20.2" customHeight="1">
      <c r="A204" s="617"/>
      <c r="B204" s="40"/>
      <c r="C204" s="54" t="s">
        <v>1600</v>
      </c>
      <c r="D204" s="954"/>
      <c r="E204" s="468"/>
      <c r="F204" s="458"/>
      <c r="G204" s="458"/>
      <c r="H204" s="458">
        <f>J203</f>
        <v>2092.82555</v>
      </c>
      <c r="I204" s="468">
        <f>I6</f>
        <v>0</v>
      </c>
      <c r="J204" s="468">
        <f>ROUND(H204*I204,2)</f>
        <v>0</v>
      </c>
      <c r="K204" s="17"/>
    </row>
    <row r="205" spans="1:18" s="439" customFormat="1" ht="20.2" customHeight="1">
      <c r="A205" s="617" t="s">
        <v>1302</v>
      </c>
      <c r="B205" s="411"/>
      <c r="C205" s="283" t="s">
        <v>1304</v>
      </c>
      <c r="D205" s="955"/>
      <c r="E205" s="469"/>
      <c r="F205" s="460"/>
      <c r="G205" s="460"/>
      <c r="H205" s="460"/>
      <c r="I205" s="469" t="s">
        <v>1486</v>
      </c>
      <c r="J205" s="469">
        <f>SUM(J203:J204)</f>
        <v>2092.82555</v>
      </c>
      <c r="K205" s="447"/>
    </row>
    <row r="206" spans="1:18" s="439" customFormat="1" ht="20.2" customHeight="1">
      <c r="A206" s="617"/>
      <c r="B206" s="411"/>
      <c r="C206" s="283" t="s">
        <v>1305</v>
      </c>
      <c r="D206" s="955"/>
      <c r="E206" s="469"/>
      <c r="F206" s="460"/>
      <c r="G206" s="460"/>
      <c r="H206" s="460"/>
      <c r="I206" s="469" t="s">
        <v>1486</v>
      </c>
      <c r="J206" s="469">
        <f>J194-J205</f>
        <v>5619.1411000000007</v>
      </c>
      <c r="K206" s="447"/>
    </row>
    <row r="207" spans="1:18" ht="116.1">
      <c r="A207" s="617"/>
      <c r="B207" s="966">
        <v>7</v>
      </c>
      <c r="C207" s="55" t="s">
        <v>1259</v>
      </c>
      <c r="D207" s="951"/>
      <c r="E207" s="471"/>
      <c r="F207" s="462"/>
      <c r="G207" s="462"/>
      <c r="H207" s="956"/>
      <c r="I207" s="957"/>
      <c r="J207" s="957"/>
      <c r="K207" s="31"/>
    </row>
    <row r="208" spans="1:18">
      <c r="A208" s="617"/>
      <c r="B208" s="34"/>
      <c r="C208" s="55" t="s">
        <v>1096</v>
      </c>
      <c r="D208" s="951"/>
      <c r="E208" s="471"/>
      <c r="F208" s="462"/>
      <c r="G208" s="462"/>
      <c r="H208" s="462"/>
      <c r="I208" s="471"/>
      <c r="J208" s="471"/>
      <c r="K208" s="55" t="s">
        <v>1775</v>
      </c>
      <c r="L208" s="951"/>
      <c r="M208" s="471"/>
      <c r="N208" s="462"/>
      <c r="O208" s="462"/>
      <c r="P208" s="462"/>
      <c r="Q208" s="471"/>
      <c r="R208" s="471"/>
    </row>
    <row r="209" spans="1:18">
      <c r="A209" s="617"/>
      <c r="B209" s="34"/>
      <c r="C209" s="54" t="s">
        <v>848</v>
      </c>
      <c r="D209" s="951"/>
      <c r="E209" s="471"/>
      <c r="F209" s="462"/>
      <c r="G209" s="462"/>
      <c r="H209" s="462"/>
      <c r="I209" s="471"/>
      <c r="J209" s="471"/>
      <c r="K209" s="54" t="s">
        <v>848</v>
      </c>
      <c r="L209" s="951"/>
      <c r="M209" s="471"/>
      <c r="N209" s="462"/>
      <c r="O209" s="462"/>
      <c r="P209" s="462"/>
      <c r="Q209" s="471"/>
      <c r="R209" s="471"/>
    </row>
    <row r="210" spans="1:18" ht="20.2" customHeight="1">
      <c r="A210" s="617"/>
      <c r="B210" s="34"/>
      <c r="C210" s="54" t="s">
        <v>780</v>
      </c>
      <c r="D210" s="951">
        <v>3</v>
      </c>
      <c r="E210" s="471">
        <v>1.35</v>
      </c>
      <c r="F210" s="462">
        <v>0.1</v>
      </c>
      <c r="G210" s="462">
        <v>7.4999999999999997E-2</v>
      </c>
      <c r="H210" s="462">
        <f>ROUND(D210*E210*F210*G210,3)</f>
        <v>0.03</v>
      </c>
      <c r="I210" s="471">
        <v>25497.19</v>
      </c>
      <c r="J210" s="471">
        <f t="shared" ref="J210:J215" si="11">ROUND(H210*I210,2)</f>
        <v>764.92</v>
      </c>
      <c r="K210" s="54" t="s">
        <v>780</v>
      </c>
      <c r="L210" s="951">
        <v>3</v>
      </c>
      <c r="M210" s="471">
        <v>1.2</v>
      </c>
      <c r="N210" s="462">
        <v>0.1</v>
      </c>
      <c r="O210" s="462">
        <v>7.4999999999999997E-2</v>
      </c>
      <c r="P210" s="462">
        <f>ROUND(L210*M210*N210*O210,3)</f>
        <v>2.7E-2</v>
      </c>
      <c r="Q210" s="471">
        <v>25497.19</v>
      </c>
      <c r="R210" s="471">
        <f t="shared" ref="R210:R215" si="12">ROUND(P210*Q210,2)</f>
        <v>688.42</v>
      </c>
    </row>
    <row r="211" spans="1:18" ht="20.2" customHeight="1">
      <c r="A211" s="617"/>
      <c r="B211" s="34"/>
      <c r="C211" s="54" t="s">
        <v>781</v>
      </c>
      <c r="D211" s="951">
        <v>2</v>
      </c>
      <c r="E211" s="471">
        <v>1.05</v>
      </c>
      <c r="F211" s="462">
        <v>0.1</v>
      </c>
      <c r="G211" s="462">
        <v>7.4999999999999997E-2</v>
      </c>
      <c r="H211" s="462">
        <f>ROUND(D211*E211*F211*G211,3)</f>
        <v>1.6E-2</v>
      </c>
      <c r="I211" s="471">
        <v>25497.19</v>
      </c>
      <c r="J211" s="471">
        <f t="shared" si="11"/>
        <v>407.96</v>
      </c>
      <c r="K211" s="54" t="s">
        <v>781</v>
      </c>
      <c r="L211" s="951">
        <v>2</v>
      </c>
      <c r="M211" s="471">
        <v>1.05</v>
      </c>
      <c r="N211" s="462">
        <v>0.1</v>
      </c>
      <c r="O211" s="462">
        <v>7.4999999999999997E-2</v>
      </c>
      <c r="P211" s="462">
        <f>ROUND(L211*M211*N211*O211,3)</f>
        <v>1.6E-2</v>
      </c>
      <c r="Q211" s="471">
        <v>25497.19</v>
      </c>
      <c r="R211" s="471">
        <f t="shared" si="12"/>
        <v>407.96</v>
      </c>
    </row>
    <row r="212" spans="1:18" ht="20.2" customHeight="1">
      <c r="A212" s="617"/>
      <c r="B212" s="34"/>
      <c r="C212" s="54" t="s">
        <v>782</v>
      </c>
      <c r="D212" s="951" t="s">
        <v>234</v>
      </c>
      <c r="E212" s="472">
        <f>(1.35-2*0.075+2*0.015)</f>
        <v>1.2300000000000002</v>
      </c>
      <c r="F212" s="462">
        <v>7.4999999999999997E-2</v>
      </c>
      <c r="G212" s="462">
        <f>1.25*25.4/1000</f>
        <v>3.175E-2</v>
      </c>
      <c r="H212" s="462">
        <f>ROUND(4*E212*F212*G212,3)</f>
        <v>1.2E-2</v>
      </c>
      <c r="I212" s="471">
        <v>31076.9</v>
      </c>
      <c r="J212" s="471">
        <f t="shared" si="11"/>
        <v>372.92</v>
      </c>
      <c r="K212" s="54" t="s">
        <v>782</v>
      </c>
      <c r="L212" s="951" t="s">
        <v>234</v>
      </c>
      <c r="M212" s="472">
        <f>(1.2-2*0.075+2*0.015)</f>
        <v>1.08</v>
      </c>
      <c r="N212" s="462">
        <v>7.4999999999999997E-2</v>
      </c>
      <c r="O212" s="462">
        <f>1.25*25.4/1000</f>
        <v>3.175E-2</v>
      </c>
      <c r="P212" s="462">
        <f>ROUND(4*M212*N212*O212,3)</f>
        <v>0.01</v>
      </c>
      <c r="Q212" s="471">
        <v>31076.9</v>
      </c>
      <c r="R212" s="471">
        <f t="shared" si="12"/>
        <v>310.77</v>
      </c>
    </row>
    <row r="213" spans="1:18" ht="20.2" customHeight="1">
      <c r="A213" s="617"/>
      <c r="B213" s="34"/>
      <c r="C213" s="54" t="s">
        <v>783</v>
      </c>
      <c r="D213" s="951" t="s">
        <v>235</v>
      </c>
      <c r="E213" s="471">
        <f>(0.9-3*0.075+4*0.015)/2</f>
        <v>0.36750000000000005</v>
      </c>
      <c r="F213" s="462">
        <v>7.4999999999999997E-2</v>
      </c>
      <c r="G213" s="462">
        <f>1.25*25.4/1000</f>
        <v>3.175E-2</v>
      </c>
      <c r="H213" s="462">
        <f>ROUND(6*E213*F213*G213,3)</f>
        <v>5.0000000000000001E-3</v>
      </c>
      <c r="I213" s="471">
        <v>31076.9</v>
      </c>
      <c r="J213" s="471">
        <f t="shared" si="11"/>
        <v>155.38</v>
      </c>
      <c r="K213" s="54" t="s">
        <v>783</v>
      </c>
      <c r="L213" s="951" t="s">
        <v>235</v>
      </c>
      <c r="M213" s="471">
        <f>(0.9-3*0.075+4*0.015)/2</f>
        <v>0.36750000000000005</v>
      </c>
      <c r="N213" s="462">
        <v>7.4999999999999997E-2</v>
      </c>
      <c r="O213" s="462">
        <f>1.25*25.4/1000</f>
        <v>3.175E-2</v>
      </c>
      <c r="P213" s="462">
        <f>ROUND(6*M213*N213*O213,3)</f>
        <v>5.0000000000000001E-3</v>
      </c>
      <c r="Q213" s="471">
        <v>31076.9</v>
      </c>
      <c r="R213" s="471">
        <f t="shared" si="12"/>
        <v>155.38</v>
      </c>
    </row>
    <row r="214" spans="1:18" ht="20.2" customHeight="1">
      <c r="A214" s="617"/>
      <c r="B214" s="34"/>
      <c r="C214" s="54" t="s">
        <v>1481</v>
      </c>
      <c r="D214" s="951" t="s">
        <v>236</v>
      </c>
      <c r="E214" s="471">
        <f>(0.9-3*0.075+4*0.015)/2-2*0.075+2*0.025</f>
        <v>0.26750000000000007</v>
      </c>
      <c r="F214" s="462">
        <f>(1.35-2*0.075+2*0.015-3*0.075)/2+2*0.025</f>
        <v>0.55250000000000021</v>
      </c>
      <c r="G214" s="462">
        <v>2.5000000000000001E-2</v>
      </c>
      <c r="H214" s="462">
        <f>ROUND(4*E214*F214*G214,3)</f>
        <v>1.4999999999999999E-2</v>
      </c>
      <c r="I214" s="471">
        <v>31076.9</v>
      </c>
      <c r="J214" s="471">
        <f t="shared" si="11"/>
        <v>466.15</v>
      </c>
      <c r="K214" s="54" t="s">
        <v>1481</v>
      </c>
      <c r="L214" s="951" t="s">
        <v>236</v>
      </c>
      <c r="M214" s="471">
        <f>(0.9-3*0.075+4*0.015)/2-2*0.075+2*0.025</f>
        <v>0.26750000000000007</v>
      </c>
      <c r="N214" s="462">
        <f>(1.2-2*0.075+2*0.015-3*0.075)/2+2*0.025</f>
        <v>0.47750000000000004</v>
      </c>
      <c r="O214" s="462">
        <v>2.5000000000000001E-2</v>
      </c>
      <c r="P214" s="462">
        <f>ROUND(4*M214*N214*O214,3)</f>
        <v>1.2999999999999999E-2</v>
      </c>
      <c r="Q214" s="471">
        <v>31076.9</v>
      </c>
      <c r="R214" s="471">
        <f t="shared" si="12"/>
        <v>404</v>
      </c>
    </row>
    <row r="215" spans="1:18" ht="20.2" customHeight="1">
      <c r="A215" s="617"/>
      <c r="B215" s="34"/>
      <c r="C215" s="54" t="s">
        <v>1482</v>
      </c>
      <c r="D215" s="951"/>
      <c r="E215" s="471"/>
      <c r="F215" s="462"/>
      <c r="G215" s="462"/>
      <c r="H215" s="462">
        <f>SUM(H210:H214)</f>
        <v>7.8E-2</v>
      </c>
      <c r="I215" s="465">
        <f>G25</f>
        <v>15324.5</v>
      </c>
      <c r="J215" s="471">
        <f t="shared" si="11"/>
        <v>1195.31</v>
      </c>
      <c r="K215" s="54" t="s">
        <v>1482</v>
      </c>
      <c r="L215" s="951"/>
      <c r="M215" s="471"/>
      <c r="N215" s="462"/>
      <c r="O215" s="462"/>
      <c r="P215" s="462">
        <f>SUM(P210:P214)</f>
        <v>7.0999999999999994E-2</v>
      </c>
      <c r="Q215" s="465">
        <f>I215</f>
        <v>15324.5</v>
      </c>
      <c r="R215" s="471">
        <f t="shared" si="12"/>
        <v>1088.04</v>
      </c>
    </row>
    <row r="216" spans="1:18" ht="33.299999999999997">
      <c r="A216" s="617" t="s">
        <v>787</v>
      </c>
      <c r="B216" s="19"/>
      <c r="C216" s="54" t="s">
        <v>788</v>
      </c>
      <c r="D216" s="951"/>
      <c r="E216" s="471"/>
      <c r="F216" s="462"/>
      <c r="G216" s="952"/>
      <c r="H216" s="952"/>
      <c r="I216" s="471"/>
      <c r="J216" s="471"/>
      <c r="K216" s="54" t="s">
        <v>788</v>
      </c>
      <c r="L216" s="951"/>
      <c r="M216" s="471"/>
      <c r="N216" s="462"/>
      <c r="O216" s="952"/>
      <c r="P216" s="952"/>
      <c r="Q216" s="471"/>
      <c r="R216" s="471"/>
    </row>
    <row r="217" spans="1:18" ht="20.2" customHeight="1">
      <c r="A217" s="617"/>
      <c r="B217" s="693"/>
      <c r="C217" s="694" t="s">
        <v>915</v>
      </c>
      <c r="D217" s="471" t="s">
        <v>1035</v>
      </c>
      <c r="E217" s="462" t="s">
        <v>1624</v>
      </c>
      <c r="F217" s="462"/>
      <c r="G217" s="462"/>
      <c r="H217" s="948">
        <v>2</v>
      </c>
      <c r="I217" s="471">
        <v>35</v>
      </c>
      <c r="J217" s="471">
        <f t="shared" ref="J217:J222" si="13">ROUND(H217*I217,2)</f>
        <v>70</v>
      </c>
      <c r="K217" s="694" t="s">
        <v>915</v>
      </c>
      <c r="L217" s="471" t="s">
        <v>1035</v>
      </c>
      <c r="M217" s="462" t="s">
        <v>1624</v>
      </c>
      <c r="N217" s="462"/>
      <c r="O217" s="462"/>
      <c r="P217" s="948">
        <v>2</v>
      </c>
      <c r="Q217" s="471">
        <v>35</v>
      </c>
      <c r="R217" s="471">
        <f t="shared" ref="R217:R222" si="14">ROUND(P217*Q217,2)</f>
        <v>70</v>
      </c>
    </row>
    <row r="218" spans="1:18" ht="20.2" customHeight="1">
      <c r="A218" s="617"/>
      <c r="B218" s="693"/>
      <c r="C218" s="31" t="s">
        <v>916</v>
      </c>
      <c r="D218" s="471" t="s">
        <v>1035</v>
      </c>
      <c r="E218" s="462" t="s">
        <v>1624</v>
      </c>
      <c r="F218" s="462"/>
      <c r="G218" s="462"/>
      <c r="H218" s="948">
        <v>2</v>
      </c>
      <c r="I218" s="471">
        <v>35</v>
      </c>
      <c r="J218" s="471">
        <f t="shared" si="13"/>
        <v>70</v>
      </c>
      <c r="K218" s="31" t="s">
        <v>916</v>
      </c>
      <c r="L218" s="471" t="s">
        <v>1035</v>
      </c>
      <c r="M218" s="462" t="s">
        <v>1624</v>
      </c>
      <c r="N218" s="462"/>
      <c r="O218" s="462"/>
      <c r="P218" s="948">
        <v>2</v>
      </c>
      <c r="Q218" s="471">
        <v>35</v>
      </c>
      <c r="R218" s="471">
        <f t="shared" si="14"/>
        <v>70</v>
      </c>
    </row>
    <row r="219" spans="1:18" ht="20.2" customHeight="1">
      <c r="A219" s="617"/>
      <c r="B219" s="693"/>
      <c r="C219" s="946" t="s">
        <v>917</v>
      </c>
      <c r="D219" s="471" t="s">
        <v>1035</v>
      </c>
      <c r="E219" s="462" t="s">
        <v>1625</v>
      </c>
      <c r="F219" s="462"/>
      <c r="G219" s="462"/>
      <c r="H219" s="948">
        <v>4</v>
      </c>
      <c r="I219" s="471">
        <v>21</v>
      </c>
      <c r="J219" s="471">
        <f t="shared" si="13"/>
        <v>84</v>
      </c>
      <c r="K219" s="946" t="s">
        <v>917</v>
      </c>
      <c r="L219" s="471" t="s">
        <v>1035</v>
      </c>
      <c r="M219" s="462" t="s">
        <v>1625</v>
      </c>
      <c r="N219" s="462"/>
      <c r="O219" s="462"/>
      <c r="P219" s="948">
        <v>4</v>
      </c>
      <c r="Q219" s="471">
        <v>21</v>
      </c>
      <c r="R219" s="471">
        <f t="shared" si="14"/>
        <v>84</v>
      </c>
    </row>
    <row r="220" spans="1:18" ht="20.2" customHeight="1">
      <c r="A220" s="617"/>
      <c r="B220" s="693"/>
      <c r="C220" s="694" t="s">
        <v>918</v>
      </c>
      <c r="D220" s="471" t="s">
        <v>1035</v>
      </c>
      <c r="E220" s="462" t="s">
        <v>1626</v>
      </c>
      <c r="F220" s="462"/>
      <c r="G220" s="462"/>
      <c r="H220" s="948">
        <v>2</v>
      </c>
      <c r="I220" s="471">
        <v>213</v>
      </c>
      <c r="J220" s="471">
        <f t="shared" si="13"/>
        <v>426</v>
      </c>
      <c r="K220" s="694" t="s">
        <v>918</v>
      </c>
      <c r="L220" s="471" t="s">
        <v>1035</v>
      </c>
      <c r="M220" s="462" t="s">
        <v>1626</v>
      </c>
      <c r="N220" s="462"/>
      <c r="O220" s="462"/>
      <c r="P220" s="948">
        <v>2</v>
      </c>
      <c r="Q220" s="471">
        <v>213</v>
      </c>
      <c r="R220" s="471">
        <f t="shared" si="14"/>
        <v>426</v>
      </c>
    </row>
    <row r="221" spans="1:18" ht="20.2" customHeight="1">
      <c r="A221" s="617"/>
      <c r="B221" s="693"/>
      <c r="C221" s="694" t="s">
        <v>799</v>
      </c>
      <c r="D221" s="471" t="s">
        <v>882</v>
      </c>
      <c r="E221" s="462" t="s">
        <v>1652</v>
      </c>
      <c r="F221" s="462"/>
      <c r="G221" s="462"/>
      <c r="H221" s="948">
        <v>60</v>
      </c>
      <c r="I221" s="471">
        <v>3</v>
      </c>
      <c r="J221" s="471">
        <f t="shared" si="13"/>
        <v>180</v>
      </c>
      <c r="K221" s="694" t="s">
        <v>799</v>
      </c>
      <c r="L221" s="471" t="s">
        <v>882</v>
      </c>
      <c r="M221" s="462" t="s">
        <v>1652</v>
      </c>
      <c r="N221" s="462"/>
      <c r="O221" s="462"/>
      <c r="P221" s="948">
        <v>60</v>
      </c>
      <c r="Q221" s="471">
        <v>3</v>
      </c>
      <c r="R221" s="471">
        <f t="shared" si="14"/>
        <v>180</v>
      </c>
    </row>
    <row r="222" spans="1:18" ht="20.2" customHeight="1">
      <c r="A222" s="617"/>
      <c r="B222" s="693"/>
      <c r="C222" s="694" t="s">
        <v>1598</v>
      </c>
      <c r="D222" s="471"/>
      <c r="E222" s="953" t="s">
        <v>1651</v>
      </c>
      <c r="F222" s="462"/>
      <c r="G222" s="462"/>
      <c r="H222" s="948">
        <v>4</v>
      </c>
      <c r="I222" s="471">
        <v>32</v>
      </c>
      <c r="J222" s="471">
        <f t="shared" si="13"/>
        <v>128</v>
      </c>
      <c r="K222" s="694" t="s">
        <v>1598</v>
      </c>
      <c r="L222" s="471"/>
      <c r="M222" s="953" t="s">
        <v>1651</v>
      </c>
      <c r="N222" s="462"/>
      <c r="O222" s="462"/>
      <c r="P222" s="948">
        <v>4</v>
      </c>
      <c r="Q222" s="471">
        <v>32</v>
      </c>
      <c r="R222" s="471">
        <f t="shared" si="14"/>
        <v>128</v>
      </c>
    </row>
    <row r="223" spans="1:18" ht="20.2" customHeight="1">
      <c r="A223" s="617"/>
      <c r="B223" s="693"/>
      <c r="C223" s="694" t="s">
        <v>1484</v>
      </c>
      <c r="D223" s="471">
        <v>2.75</v>
      </c>
      <c r="E223" s="462">
        <v>0.9</v>
      </c>
      <c r="F223" s="462"/>
      <c r="G223" s="471">
        <v>1.35</v>
      </c>
      <c r="H223" s="462">
        <f>ROUND(G223*E223*D223,2)</f>
        <v>3.34</v>
      </c>
      <c r="I223" s="471">
        <f>G15</f>
        <v>561.35799999999995</v>
      </c>
      <c r="J223" s="471">
        <f>ROUND(H223*I223/10,2)</f>
        <v>187.49</v>
      </c>
      <c r="K223" s="694" t="s">
        <v>1484</v>
      </c>
      <c r="L223" s="471">
        <v>2.75</v>
      </c>
      <c r="M223" s="462">
        <v>0.9</v>
      </c>
      <c r="N223" s="462"/>
      <c r="O223" s="471">
        <v>1.35</v>
      </c>
      <c r="P223" s="462">
        <f>ROUND(O223*M223*L223,2)</f>
        <v>3.34</v>
      </c>
      <c r="Q223" s="471">
        <f>I223</f>
        <v>561.35799999999995</v>
      </c>
      <c r="R223" s="471">
        <f>ROUND(P223*Q223/10,2)</f>
        <v>187.49</v>
      </c>
    </row>
    <row r="224" spans="1:18" s="450" customFormat="1" ht="20.2" customHeight="1">
      <c r="A224" s="617"/>
      <c r="B224" s="693"/>
      <c r="C224" s="694" t="s">
        <v>1306</v>
      </c>
      <c r="D224" s="471" t="s">
        <v>246</v>
      </c>
      <c r="E224" s="462">
        <v>0.9</v>
      </c>
      <c r="F224" s="462">
        <f>E224*10</f>
        <v>9</v>
      </c>
      <c r="G224" s="471">
        <v>1.1299999999999999</v>
      </c>
      <c r="H224" s="462">
        <f>G224*F224</f>
        <v>10.169999999999998</v>
      </c>
      <c r="I224" s="471">
        <f>'Lead- Input sheet '!R10/1000</f>
        <v>69.62</v>
      </c>
      <c r="J224" s="471">
        <f>H224*I224</f>
        <v>708.03539999999987</v>
      </c>
      <c r="K224" s="694" t="s">
        <v>1306</v>
      </c>
      <c r="L224" s="471" t="s">
        <v>246</v>
      </c>
      <c r="M224" s="462">
        <v>0.9</v>
      </c>
      <c r="N224" s="462">
        <f>M224*10</f>
        <v>9</v>
      </c>
      <c r="O224" s="471">
        <v>1.1299999999999999</v>
      </c>
      <c r="P224" s="462">
        <f>O224*N224</f>
        <v>10.169999999999998</v>
      </c>
      <c r="Q224" s="471">
        <f>I224</f>
        <v>69.62</v>
      </c>
      <c r="R224" s="471">
        <f>P224*Q224</f>
        <v>708.03539999999987</v>
      </c>
    </row>
    <row r="225" spans="1:18" ht="20.2" customHeight="1">
      <c r="A225" s="617"/>
      <c r="B225" s="693"/>
      <c r="C225" s="694" t="s">
        <v>230</v>
      </c>
      <c r="D225" s="471"/>
      <c r="E225" s="462"/>
      <c r="F225" s="462"/>
      <c r="G225" s="462"/>
      <c r="H225" s="948">
        <v>1</v>
      </c>
      <c r="I225" s="471">
        <v>100</v>
      </c>
      <c r="J225" s="471">
        <f>H225*I225</f>
        <v>100</v>
      </c>
      <c r="K225" s="694" t="s">
        <v>230</v>
      </c>
      <c r="L225" s="471"/>
      <c r="M225" s="462"/>
      <c r="N225" s="462"/>
      <c r="O225" s="462"/>
      <c r="P225" s="948">
        <v>1</v>
      </c>
      <c r="Q225" s="471">
        <v>100</v>
      </c>
      <c r="R225" s="471">
        <f>P225*Q225</f>
        <v>100</v>
      </c>
    </row>
    <row r="226" spans="1:18" ht="20.2" customHeight="1">
      <c r="A226" s="617"/>
      <c r="B226" s="34"/>
      <c r="D226" s="951"/>
      <c r="E226" s="471"/>
      <c r="F226" s="462"/>
      <c r="G226" s="462"/>
      <c r="H226" s="462"/>
      <c r="I226" s="471"/>
      <c r="J226" s="471">
        <f>SUM(J210:J225)</f>
        <v>5316.165399999999</v>
      </c>
      <c r="K226" s="54"/>
      <c r="L226" s="951"/>
      <c r="M226" s="471"/>
      <c r="N226" s="462"/>
      <c r="O226" s="462"/>
      <c r="P226" s="462"/>
      <c r="Q226" s="471"/>
      <c r="R226" s="471">
        <f>SUM(R210:R225)</f>
        <v>5008.0953999999992</v>
      </c>
    </row>
    <row r="227" spans="1:18" s="18" customFormat="1" ht="20.2" customHeight="1">
      <c r="A227" s="617"/>
      <c r="B227" s="40"/>
      <c r="C227" s="54" t="s">
        <v>1600</v>
      </c>
      <c r="D227" s="954"/>
      <c r="E227" s="468"/>
      <c r="F227" s="458"/>
      <c r="G227" s="458"/>
      <c r="H227" s="458">
        <f>J226</f>
        <v>5316.165399999999</v>
      </c>
      <c r="I227" s="468">
        <f>I6</f>
        <v>0</v>
      </c>
      <c r="J227" s="468">
        <f>ROUND(H227*I227,2)</f>
        <v>0</v>
      </c>
      <c r="K227" s="54" t="s">
        <v>1600</v>
      </c>
      <c r="L227" s="954"/>
      <c r="M227" s="468"/>
      <c r="N227" s="458"/>
      <c r="O227" s="458"/>
      <c r="P227" s="458">
        <f>R226</f>
        <v>5008.0953999999992</v>
      </c>
      <c r="Q227" s="468">
        <f>Q6</f>
        <v>0</v>
      </c>
      <c r="R227" s="468">
        <f>ROUND(P227*Q227,2)</f>
        <v>0</v>
      </c>
    </row>
    <row r="228" spans="1:18" s="18" customFormat="1" ht="20.2" customHeight="1">
      <c r="A228" s="617"/>
      <c r="B228" s="411"/>
      <c r="C228" s="283" t="s">
        <v>256</v>
      </c>
      <c r="D228" s="955"/>
      <c r="E228" s="469"/>
      <c r="F228" s="460"/>
      <c r="G228" s="460"/>
      <c r="H228" s="460"/>
      <c r="I228" s="469" t="s">
        <v>416</v>
      </c>
      <c r="J228" s="469">
        <f>SUM(J226:J227)</f>
        <v>5316.165399999999</v>
      </c>
      <c r="K228" s="283" t="s">
        <v>256</v>
      </c>
      <c r="L228" s="955"/>
      <c r="M228" s="469"/>
      <c r="N228" s="460"/>
      <c r="O228" s="460"/>
      <c r="P228" s="460"/>
      <c r="Q228" s="469" t="s">
        <v>416</v>
      </c>
      <c r="R228" s="469">
        <f>SUM(R226:R227)</f>
        <v>5008.0953999999992</v>
      </c>
    </row>
    <row r="229" spans="1:18" ht="25.8">
      <c r="A229" s="617"/>
      <c r="B229" s="34"/>
      <c r="C229" s="55" t="s">
        <v>1307</v>
      </c>
      <c r="D229" s="951"/>
      <c r="E229" s="471"/>
      <c r="F229" s="462"/>
      <c r="G229" s="462"/>
      <c r="H229" s="462"/>
      <c r="I229" s="471"/>
      <c r="J229" s="471"/>
      <c r="K229" s="55" t="s">
        <v>1307</v>
      </c>
      <c r="L229" s="951"/>
      <c r="M229" s="471"/>
      <c r="N229" s="462"/>
      <c r="O229" s="462"/>
      <c r="P229" s="462"/>
      <c r="Q229" s="471"/>
      <c r="R229" s="471"/>
    </row>
    <row r="230" spans="1:18">
      <c r="A230" s="617"/>
      <c r="B230" s="34"/>
      <c r="C230" s="54" t="s">
        <v>848</v>
      </c>
      <c r="D230" s="951"/>
      <c r="E230" s="471"/>
      <c r="F230" s="462"/>
      <c r="G230" s="462"/>
      <c r="H230" s="462"/>
      <c r="I230" s="471"/>
      <c r="J230" s="471"/>
      <c r="K230" s="54" t="s">
        <v>848</v>
      </c>
      <c r="L230" s="951"/>
      <c r="M230" s="471"/>
      <c r="N230" s="462"/>
      <c r="O230" s="462"/>
      <c r="P230" s="462"/>
      <c r="Q230" s="471"/>
      <c r="R230" s="471"/>
    </row>
    <row r="231" spans="1:18" ht="20.2" customHeight="1">
      <c r="A231" s="617"/>
      <c r="B231" s="34"/>
      <c r="C231" s="54" t="s">
        <v>780</v>
      </c>
      <c r="D231" s="951">
        <v>3</v>
      </c>
      <c r="E231" s="471">
        <v>1.35</v>
      </c>
      <c r="F231" s="462">
        <v>0.1</v>
      </c>
      <c r="G231" s="462">
        <v>7.4999999999999997E-2</v>
      </c>
      <c r="H231" s="462">
        <f>ROUND(D231*E231*F231*G231,3)</f>
        <v>0.03</v>
      </c>
      <c r="I231" s="471">
        <v>25497.19</v>
      </c>
      <c r="J231" s="471">
        <f>ROUND(H231*I231,2)</f>
        <v>764.92</v>
      </c>
      <c r="K231" s="54" t="s">
        <v>780</v>
      </c>
      <c r="L231" s="951">
        <v>3</v>
      </c>
      <c r="M231" s="471">
        <v>1.2</v>
      </c>
      <c r="N231" s="462">
        <v>0.1</v>
      </c>
      <c r="O231" s="462">
        <v>7.4999999999999997E-2</v>
      </c>
      <c r="P231" s="462">
        <f>ROUND(L231*M231*N231*O231,3)</f>
        <v>2.7E-2</v>
      </c>
      <c r="Q231" s="471">
        <v>25497.19</v>
      </c>
      <c r="R231" s="471">
        <f>ROUND(P231*Q231,2)</f>
        <v>688.42</v>
      </c>
    </row>
    <row r="232" spans="1:18" ht="20.2" customHeight="1">
      <c r="A232" s="617"/>
      <c r="B232" s="34"/>
      <c r="C232" s="54" t="s">
        <v>781</v>
      </c>
      <c r="D232" s="951">
        <v>2</v>
      </c>
      <c r="E232" s="471">
        <v>1.05</v>
      </c>
      <c r="F232" s="462">
        <v>0.1</v>
      </c>
      <c r="G232" s="462">
        <v>7.4999999999999997E-2</v>
      </c>
      <c r="H232" s="462">
        <f>ROUND(D232*E232*F232*G232,3)</f>
        <v>1.6E-2</v>
      </c>
      <c r="I232" s="471">
        <v>25497.19</v>
      </c>
      <c r="J232" s="471">
        <f>ROUND(H232*I232,2)</f>
        <v>407.96</v>
      </c>
      <c r="K232" s="54" t="s">
        <v>781</v>
      </c>
      <c r="L232" s="951">
        <v>2</v>
      </c>
      <c r="M232" s="471">
        <v>1.05</v>
      </c>
      <c r="N232" s="462">
        <v>0.1</v>
      </c>
      <c r="O232" s="462">
        <v>7.4999999999999997E-2</v>
      </c>
      <c r="P232" s="462">
        <f>ROUND(L232*M232*N232*O232,3)</f>
        <v>1.6E-2</v>
      </c>
      <c r="Q232" s="471">
        <v>25497.19</v>
      </c>
      <c r="R232" s="471">
        <f>ROUND(P232*Q232,2)</f>
        <v>407.96</v>
      </c>
    </row>
    <row r="233" spans="1:18" ht="20.2" customHeight="1">
      <c r="A233" s="617"/>
      <c r="B233" s="34"/>
      <c r="C233" s="54" t="s">
        <v>1482</v>
      </c>
      <c r="D233" s="951"/>
      <c r="E233" s="471"/>
      <c r="F233" s="462"/>
      <c r="G233" s="462"/>
      <c r="H233" s="462">
        <f>SUM(H231:H232)</f>
        <v>4.5999999999999999E-2</v>
      </c>
      <c r="I233" s="465">
        <f>G25</f>
        <v>15324.5</v>
      </c>
      <c r="J233" s="471">
        <f>ROUND(H233*I233,2)</f>
        <v>704.93</v>
      </c>
      <c r="K233" s="54" t="s">
        <v>1482</v>
      </c>
      <c r="L233" s="951"/>
      <c r="M233" s="471"/>
      <c r="N233" s="462"/>
      <c r="O233" s="462"/>
      <c r="P233" s="462">
        <f>SUM(P231:P232)</f>
        <v>4.2999999999999997E-2</v>
      </c>
      <c r="Q233" s="465">
        <f>I233</f>
        <v>15324.5</v>
      </c>
      <c r="R233" s="471">
        <f>ROUND(P233*Q233,2)</f>
        <v>658.95</v>
      </c>
    </row>
    <row r="234" spans="1:18" ht="33.299999999999997">
      <c r="A234" s="617" t="s">
        <v>787</v>
      </c>
      <c r="B234" s="19"/>
      <c r="C234" s="54" t="s">
        <v>788</v>
      </c>
      <c r="D234" s="951"/>
      <c r="E234" s="471"/>
      <c r="F234" s="462"/>
      <c r="G234" s="952"/>
      <c r="H234" s="952"/>
      <c r="I234" s="471"/>
      <c r="J234" s="471"/>
      <c r="K234" s="54" t="s">
        <v>788</v>
      </c>
      <c r="L234" s="951"/>
      <c r="M234" s="471"/>
      <c r="N234" s="462"/>
      <c r="O234" s="952"/>
      <c r="P234" s="952"/>
      <c r="Q234" s="471"/>
      <c r="R234" s="471"/>
    </row>
    <row r="235" spans="1:18" ht="20.2" customHeight="1">
      <c r="A235" s="617"/>
      <c r="B235" s="32"/>
      <c r="C235" s="54" t="s">
        <v>1598</v>
      </c>
      <c r="D235" s="951"/>
      <c r="E235" s="953" t="s">
        <v>1651</v>
      </c>
      <c r="F235" s="462"/>
      <c r="G235" s="462"/>
      <c r="H235" s="948">
        <v>4</v>
      </c>
      <c r="I235" s="471">
        <v>32</v>
      </c>
      <c r="J235" s="471">
        <f>ROUND(H235*I235,2)</f>
        <v>128</v>
      </c>
      <c r="K235" s="54" t="s">
        <v>1598</v>
      </c>
      <c r="L235" s="951"/>
      <c r="M235" s="953" t="s">
        <v>1651</v>
      </c>
      <c r="N235" s="462"/>
      <c r="O235" s="462"/>
      <c r="P235" s="948">
        <v>4</v>
      </c>
      <c r="Q235" s="471">
        <v>32</v>
      </c>
      <c r="R235" s="471">
        <f>ROUND(P235*Q235,2)</f>
        <v>128</v>
      </c>
    </row>
    <row r="236" spans="1:18" ht="20.2" customHeight="1">
      <c r="A236" s="617"/>
      <c r="B236" s="34"/>
      <c r="C236" s="54" t="s">
        <v>1484</v>
      </c>
      <c r="D236" s="951" t="s">
        <v>544</v>
      </c>
      <c r="E236" s="471">
        <v>0.9</v>
      </c>
      <c r="F236" s="462"/>
      <c r="G236" s="471">
        <v>1.35</v>
      </c>
      <c r="H236" s="462">
        <f>ROUND(G236*E236*2.75/3,2)</f>
        <v>1.1100000000000001</v>
      </c>
      <c r="I236" s="698">
        <f>G15</f>
        <v>561.35799999999995</v>
      </c>
      <c r="J236" s="471">
        <f>ROUND(H236*I236/10,2)</f>
        <v>62.31</v>
      </c>
      <c r="K236" s="54" t="s">
        <v>1484</v>
      </c>
      <c r="L236" s="951" t="s">
        <v>544</v>
      </c>
      <c r="M236" s="471">
        <v>0.9</v>
      </c>
      <c r="N236" s="462"/>
      <c r="O236" s="471">
        <v>1.35</v>
      </c>
      <c r="P236" s="462">
        <f>ROUND(O236*M236*2.75/3,2)</f>
        <v>1.1100000000000001</v>
      </c>
      <c r="Q236" s="698">
        <f>I236</f>
        <v>561.35799999999995</v>
      </c>
      <c r="R236" s="471">
        <f>ROUND(P236*Q236/10,2)</f>
        <v>62.31</v>
      </c>
    </row>
    <row r="237" spans="1:18" s="450" customFormat="1" ht="20.2" customHeight="1">
      <c r="A237" s="617"/>
      <c r="B237" s="693"/>
      <c r="C237" s="694" t="s">
        <v>1306</v>
      </c>
      <c r="D237" s="471" t="s">
        <v>246</v>
      </c>
      <c r="E237" s="462">
        <v>0.9</v>
      </c>
      <c r="F237" s="471">
        <f>E237*10</f>
        <v>9</v>
      </c>
      <c r="G237" s="471">
        <v>1.1299999999999999</v>
      </c>
      <c r="H237" s="462">
        <f>G237*F237</f>
        <v>10.169999999999998</v>
      </c>
      <c r="I237" s="471">
        <f>'Lead- Input sheet '!R10/1000</f>
        <v>69.62</v>
      </c>
      <c r="J237" s="471">
        <f>H237*I237</f>
        <v>708.03539999999987</v>
      </c>
      <c r="K237" s="694" t="s">
        <v>1306</v>
      </c>
      <c r="L237" s="471" t="s">
        <v>246</v>
      </c>
      <c r="M237" s="462">
        <v>0.9</v>
      </c>
      <c r="N237" s="471">
        <f>M237*10</f>
        <v>9</v>
      </c>
      <c r="O237" s="471">
        <v>1.1299999999999999</v>
      </c>
      <c r="P237" s="462">
        <f>O237*N237</f>
        <v>10.169999999999998</v>
      </c>
      <c r="Q237" s="698">
        <f>I237</f>
        <v>69.62</v>
      </c>
      <c r="R237" s="471">
        <f>P237*Q237</f>
        <v>708.03539999999987</v>
      </c>
    </row>
    <row r="238" spans="1:18" ht="20.2" customHeight="1">
      <c r="A238" s="617"/>
      <c r="B238" s="34"/>
      <c r="C238" s="54" t="s">
        <v>230</v>
      </c>
      <c r="D238" s="951"/>
      <c r="E238" s="471"/>
      <c r="F238" s="462"/>
      <c r="G238" s="462"/>
      <c r="H238" s="948">
        <v>1</v>
      </c>
      <c r="I238" s="471">
        <v>50</v>
      </c>
      <c r="J238" s="471">
        <f>ROUND(H238*I238,2)</f>
        <v>50</v>
      </c>
      <c r="K238" s="54" t="s">
        <v>230</v>
      </c>
      <c r="L238" s="951"/>
      <c r="M238" s="471"/>
      <c r="N238" s="462"/>
      <c r="O238" s="462"/>
      <c r="P238" s="948">
        <v>1</v>
      </c>
      <c r="Q238" s="471">
        <v>50</v>
      </c>
      <c r="R238" s="471">
        <f>ROUND(P238*Q238,2)</f>
        <v>50</v>
      </c>
    </row>
    <row r="239" spans="1:18" ht="20.2" customHeight="1">
      <c r="A239" s="617"/>
      <c r="B239" s="34"/>
      <c r="D239" s="951"/>
      <c r="E239" s="471"/>
      <c r="F239" s="462"/>
      <c r="G239" s="462"/>
      <c r="H239" s="462"/>
      <c r="I239" s="471"/>
      <c r="J239" s="471">
        <f>SUM(J231:J238)</f>
        <v>2826.1553999999996</v>
      </c>
      <c r="K239" s="54"/>
      <c r="L239" s="951"/>
      <c r="M239" s="471"/>
      <c r="N239" s="462"/>
      <c r="O239" s="462"/>
      <c r="P239" s="462"/>
      <c r="Q239" s="471"/>
      <c r="R239" s="471">
        <f>SUM(R231:R238)</f>
        <v>2703.6753999999996</v>
      </c>
    </row>
    <row r="240" spans="1:18" s="18" customFormat="1" ht="20.2" customHeight="1">
      <c r="A240" s="617"/>
      <c r="B240" s="40"/>
      <c r="C240" s="54" t="s">
        <v>1600</v>
      </c>
      <c r="D240" s="954"/>
      <c r="E240" s="468"/>
      <c r="F240" s="458"/>
      <c r="G240" s="458"/>
      <c r="H240" s="458">
        <f>J239</f>
        <v>2826.1553999999996</v>
      </c>
      <c r="I240" s="468">
        <f>I6</f>
        <v>0</v>
      </c>
      <c r="J240" s="471">
        <f>ROUND(H240*I240,2)</f>
        <v>0</v>
      </c>
      <c r="K240" s="54" t="s">
        <v>1600</v>
      </c>
      <c r="L240" s="954"/>
      <c r="M240" s="468"/>
      <c r="N240" s="458"/>
      <c r="O240" s="458"/>
      <c r="P240" s="458">
        <f>R239</f>
        <v>2703.6753999999996</v>
      </c>
      <c r="Q240" s="468">
        <f>Q6</f>
        <v>0</v>
      </c>
      <c r="R240" s="471">
        <f>ROUND(P240*Q240,2)</f>
        <v>0</v>
      </c>
    </row>
    <row r="241" spans="1:19" s="439" customFormat="1" ht="20.2" customHeight="1">
      <c r="A241" s="617"/>
      <c r="B241" s="411"/>
      <c r="C241" s="448" t="s">
        <v>1308</v>
      </c>
      <c r="D241" s="955"/>
      <c r="E241" s="469"/>
      <c r="F241" s="460"/>
      <c r="G241" s="460"/>
      <c r="H241" s="460"/>
      <c r="I241" s="469" t="s">
        <v>416</v>
      </c>
      <c r="J241" s="469">
        <f>SUM(J239:J240)</f>
        <v>2826.1553999999996</v>
      </c>
      <c r="K241" s="448" t="s">
        <v>1308</v>
      </c>
      <c r="L241" s="955"/>
      <c r="M241" s="469"/>
      <c r="N241" s="460"/>
      <c r="O241" s="460"/>
      <c r="P241" s="460"/>
      <c r="Q241" s="469" t="s">
        <v>416</v>
      </c>
      <c r="R241" s="469">
        <f>SUM(R239:R240)</f>
        <v>2703.6753999999996</v>
      </c>
    </row>
    <row r="242" spans="1:19" s="439" customFormat="1" ht="20.2" customHeight="1">
      <c r="A242" s="617"/>
      <c r="B242" s="411"/>
      <c r="C242" s="448" t="s">
        <v>1309</v>
      </c>
      <c r="D242" s="955"/>
      <c r="E242" s="469"/>
      <c r="F242" s="460"/>
      <c r="G242" s="460"/>
      <c r="H242" s="460"/>
      <c r="I242" s="469" t="s">
        <v>416</v>
      </c>
      <c r="J242" s="469">
        <f>J228-J241</f>
        <v>2490.0099999999993</v>
      </c>
      <c r="K242" s="448" t="s">
        <v>1309</v>
      </c>
      <c r="L242" s="955"/>
      <c r="M242" s="469"/>
      <c r="N242" s="460"/>
      <c r="O242" s="460"/>
      <c r="P242" s="460"/>
      <c r="Q242" s="469" t="s">
        <v>416</v>
      </c>
      <c r="R242" s="469">
        <f>R228-R241</f>
        <v>2304.4199999999996</v>
      </c>
    </row>
    <row r="243" spans="1:19" ht="116.1">
      <c r="A243" s="617"/>
      <c r="B243" s="26">
        <v>8</v>
      </c>
      <c r="C243" s="55" t="s">
        <v>549</v>
      </c>
      <c r="D243" s="951"/>
      <c r="E243" s="471"/>
      <c r="F243" s="462"/>
      <c r="G243" s="462"/>
      <c r="H243" s="462"/>
      <c r="I243" s="471"/>
      <c r="J243" s="471"/>
      <c r="K243" s="31"/>
    </row>
    <row r="244" spans="1:19">
      <c r="A244" s="617"/>
      <c r="B244" s="34"/>
      <c r="C244" s="55" t="s">
        <v>1310</v>
      </c>
      <c r="D244" s="951"/>
      <c r="E244" s="471"/>
      <c r="F244" s="462"/>
      <c r="G244" s="462"/>
      <c r="H244" s="462"/>
      <c r="I244" s="471"/>
      <c r="J244" s="471"/>
      <c r="K244" s="55" t="s">
        <v>1859</v>
      </c>
      <c r="L244" s="951"/>
      <c r="M244" s="471"/>
      <c r="N244" s="462"/>
      <c r="O244" s="462"/>
      <c r="P244" s="462"/>
      <c r="Q244" s="471"/>
      <c r="R244" s="471"/>
      <c r="S244" s="31"/>
    </row>
    <row r="245" spans="1:19">
      <c r="A245" s="617"/>
      <c r="B245" s="34"/>
      <c r="C245" s="54" t="s">
        <v>848</v>
      </c>
      <c r="D245" s="951"/>
      <c r="E245" s="471"/>
      <c r="F245" s="462"/>
      <c r="G245" s="462"/>
      <c r="H245" s="462"/>
      <c r="I245" s="471"/>
      <c r="J245" s="471"/>
      <c r="K245" s="54" t="s">
        <v>848</v>
      </c>
      <c r="L245" s="951"/>
      <c r="M245" s="471"/>
      <c r="N245" s="462"/>
      <c r="O245" s="462"/>
      <c r="P245" s="462"/>
      <c r="Q245" s="471"/>
      <c r="R245" s="471"/>
      <c r="S245" s="31"/>
    </row>
    <row r="246" spans="1:19">
      <c r="A246" s="617"/>
      <c r="B246" s="34"/>
      <c r="C246" s="54" t="s">
        <v>780</v>
      </c>
      <c r="D246" s="951">
        <v>4</v>
      </c>
      <c r="E246" s="471">
        <v>1.35</v>
      </c>
      <c r="F246" s="462">
        <v>0.1</v>
      </c>
      <c r="G246" s="462">
        <v>7.4999999999999997E-2</v>
      </c>
      <c r="H246" s="462">
        <f>ROUND(D246*E246*F246*G246,3)</f>
        <v>4.1000000000000002E-2</v>
      </c>
      <c r="I246" s="471">
        <v>25497.19</v>
      </c>
      <c r="J246" s="471">
        <f t="shared" ref="J246:J251" si="15">ROUND(H246*I246,2)</f>
        <v>1045.3800000000001</v>
      </c>
      <c r="K246" s="54" t="s">
        <v>780</v>
      </c>
      <c r="L246" s="951">
        <v>4</v>
      </c>
      <c r="M246" s="471">
        <v>1.2</v>
      </c>
      <c r="N246" s="462">
        <v>0.1</v>
      </c>
      <c r="O246" s="462">
        <v>7.4999999999999997E-2</v>
      </c>
      <c r="P246" s="462">
        <f>ROUND(L246*M246*N246*O246,3)</f>
        <v>3.5999999999999997E-2</v>
      </c>
      <c r="Q246" s="471">
        <v>25497.19</v>
      </c>
      <c r="R246" s="471">
        <f t="shared" ref="R246:R251" si="16">ROUND(P246*Q246,2)</f>
        <v>917.9</v>
      </c>
      <c r="S246" s="31"/>
    </row>
    <row r="247" spans="1:19">
      <c r="A247" s="617"/>
      <c r="B247" s="34"/>
      <c r="C247" s="54" t="s">
        <v>781</v>
      </c>
      <c r="D247" s="951">
        <v>2</v>
      </c>
      <c r="E247" s="471">
        <v>1.35</v>
      </c>
      <c r="F247" s="462">
        <v>0.1</v>
      </c>
      <c r="G247" s="462">
        <v>7.4999999999999997E-2</v>
      </c>
      <c r="H247" s="462">
        <f>ROUND(D247*E247*F247*G247,3)</f>
        <v>0.02</v>
      </c>
      <c r="I247" s="471">
        <v>25497.19</v>
      </c>
      <c r="J247" s="471">
        <f t="shared" si="15"/>
        <v>509.94</v>
      </c>
      <c r="K247" s="54" t="s">
        <v>781</v>
      </c>
      <c r="L247" s="951">
        <v>2</v>
      </c>
      <c r="M247" s="471">
        <v>1.35</v>
      </c>
      <c r="N247" s="462">
        <v>0.1</v>
      </c>
      <c r="O247" s="462">
        <v>7.4999999999999997E-2</v>
      </c>
      <c r="P247" s="462">
        <f>ROUND(L247*M247*N247*O247,3)</f>
        <v>0.02</v>
      </c>
      <c r="Q247" s="471">
        <v>25497.19</v>
      </c>
      <c r="R247" s="471">
        <f t="shared" si="16"/>
        <v>509.94</v>
      </c>
      <c r="S247" s="31"/>
    </row>
    <row r="248" spans="1:19">
      <c r="A248" s="617"/>
      <c r="B248" s="34"/>
      <c r="C248" s="54" t="s">
        <v>782</v>
      </c>
      <c r="D248" s="951" t="s">
        <v>243</v>
      </c>
      <c r="E248" s="472">
        <f>(1.35-2*0.075+2*0.015)</f>
        <v>1.2300000000000002</v>
      </c>
      <c r="F248" s="462">
        <v>7.4999999999999997E-2</v>
      </c>
      <c r="G248" s="462">
        <f>1.25*25.4/1000</f>
        <v>3.175E-2</v>
      </c>
      <c r="H248" s="462">
        <f>ROUND(6*E248*F248*G248,3)</f>
        <v>1.7999999999999999E-2</v>
      </c>
      <c r="I248" s="471">
        <v>31076.9</v>
      </c>
      <c r="J248" s="471">
        <f t="shared" si="15"/>
        <v>559.38</v>
      </c>
      <c r="K248" s="54" t="s">
        <v>782</v>
      </c>
      <c r="L248" s="951" t="s">
        <v>243</v>
      </c>
      <c r="M248" s="472">
        <f>(1.2-2*0.075+2*0.015)</f>
        <v>1.08</v>
      </c>
      <c r="N248" s="462">
        <v>7.4999999999999997E-2</v>
      </c>
      <c r="O248" s="462">
        <f>1.25*25.4/1000</f>
        <v>3.175E-2</v>
      </c>
      <c r="P248" s="462">
        <f>ROUND(6*M248*N248*O248,3)</f>
        <v>1.4999999999999999E-2</v>
      </c>
      <c r="Q248" s="471">
        <v>31076.9</v>
      </c>
      <c r="R248" s="471">
        <f t="shared" si="16"/>
        <v>466.15</v>
      </c>
      <c r="S248" s="31"/>
    </row>
    <row r="249" spans="1:19">
      <c r="A249" s="617"/>
      <c r="B249" s="34"/>
      <c r="C249" s="54" t="s">
        <v>783</v>
      </c>
      <c r="D249" s="951" t="s">
        <v>244</v>
      </c>
      <c r="E249" s="471">
        <f>(1.2-3*0.075+4*0.015)/2</f>
        <v>0.51749999999999996</v>
      </c>
      <c r="F249" s="462">
        <v>7.4999999999999997E-2</v>
      </c>
      <c r="G249" s="462">
        <f>1.25*25.4/1000</f>
        <v>3.175E-2</v>
      </c>
      <c r="H249" s="462">
        <f>ROUND(9*E249*F249*G249,3)</f>
        <v>1.0999999999999999E-2</v>
      </c>
      <c r="I249" s="471">
        <v>31076.9</v>
      </c>
      <c r="J249" s="471">
        <f t="shared" si="15"/>
        <v>341.85</v>
      </c>
      <c r="K249" s="54" t="s">
        <v>783</v>
      </c>
      <c r="L249" s="951" t="s">
        <v>244</v>
      </c>
      <c r="M249" s="471">
        <f>(1.2-3*0.075+4*0.015)/2</f>
        <v>0.51749999999999996</v>
      </c>
      <c r="N249" s="462">
        <v>7.4999999999999997E-2</v>
      </c>
      <c r="O249" s="462">
        <f>1.25*25.4/1000</f>
        <v>3.175E-2</v>
      </c>
      <c r="P249" s="462">
        <f>ROUND(9*M249*N249*O249,3)</f>
        <v>1.0999999999999999E-2</v>
      </c>
      <c r="Q249" s="471">
        <v>31076.9</v>
      </c>
      <c r="R249" s="471">
        <f t="shared" si="16"/>
        <v>341.85</v>
      </c>
      <c r="S249" s="31"/>
    </row>
    <row r="250" spans="1:19">
      <c r="A250" s="617"/>
      <c r="B250" s="34"/>
      <c r="C250" s="54" t="s">
        <v>1481</v>
      </c>
      <c r="D250" s="951" t="s">
        <v>245</v>
      </c>
      <c r="E250" s="471">
        <f>(1.2-4*0.075+6*0.015)/3-2*0.075+2*0.025</f>
        <v>0.22999999999999998</v>
      </c>
      <c r="F250" s="462">
        <f>(1.35-2*0.075+2*0.015-3*0.075)/2+2*0.025</f>
        <v>0.55250000000000021</v>
      </c>
      <c r="G250" s="462">
        <v>2.5000000000000001E-2</v>
      </c>
      <c r="H250" s="462">
        <f>ROUND(6*E250*F250*G250,3)</f>
        <v>1.9E-2</v>
      </c>
      <c r="I250" s="471">
        <v>31076.9</v>
      </c>
      <c r="J250" s="471">
        <f t="shared" si="15"/>
        <v>590.46</v>
      </c>
      <c r="K250" s="54" t="s">
        <v>1481</v>
      </c>
      <c r="L250" s="951" t="s">
        <v>245</v>
      </c>
      <c r="M250" s="471">
        <f>(1.2-4*0.075+6*0.015)/3-2*0.075+2*0.025</f>
        <v>0.22999999999999998</v>
      </c>
      <c r="N250" s="462">
        <f>(1.2-2*0.075+2*0.015-3*0.075)/2+2*0.025</f>
        <v>0.47750000000000004</v>
      </c>
      <c r="O250" s="462">
        <v>2.5000000000000001E-2</v>
      </c>
      <c r="P250" s="462">
        <f>ROUND(6*M250*N250*O250,3)</f>
        <v>1.6E-2</v>
      </c>
      <c r="Q250" s="471">
        <v>31076.9</v>
      </c>
      <c r="R250" s="471">
        <f t="shared" si="16"/>
        <v>497.23</v>
      </c>
      <c r="S250" s="31"/>
    </row>
    <row r="251" spans="1:19">
      <c r="A251" s="617"/>
      <c r="B251" s="34"/>
      <c r="C251" s="54" t="s">
        <v>1482</v>
      </c>
      <c r="D251" s="951"/>
      <c r="E251" s="471"/>
      <c r="F251" s="462"/>
      <c r="G251" s="462"/>
      <c r="H251" s="462">
        <f>SUM(H246:H250)</f>
        <v>0.109</v>
      </c>
      <c r="I251" s="465">
        <f>G25</f>
        <v>15324.5</v>
      </c>
      <c r="J251" s="471">
        <f t="shared" si="15"/>
        <v>1670.37</v>
      </c>
      <c r="K251" s="54" t="s">
        <v>1482</v>
      </c>
      <c r="L251" s="951"/>
      <c r="M251" s="471"/>
      <c r="N251" s="462"/>
      <c r="O251" s="462"/>
      <c r="P251" s="462">
        <f>SUM(P246:P250)</f>
        <v>9.799999999999999E-2</v>
      </c>
      <c r="Q251" s="465">
        <f>I251</f>
        <v>15324.5</v>
      </c>
      <c r="R251" s="471">
        <f t="shared" si="16"/>
        <v>1501.8</v>
      </c>
      <c r="S251" s="31"/>
    </row>
    <row r="252" spans="1:19" ht="33.299999999999997">
      <c r="A252" s="617" t="s">
        <v>787</v>
      </c>
      <c r="B252" s="19"/>
      <c r="C252" s="54" t="s">
        <v>788</v>
      </c>
      <c r="D252" s="951"/>
      <c r="E252" s="471"/>
      <c r="F252" s="462"/>
      <c r="G252" s="952"/>
      <c r="H252" s="952"/>
      <c r="I252" s="471"/>
      <c r="J252" s="471"/>
      <c r="K252" s="54" t="s">
        <v>788</v>
      </c>
      <c r="L252" s="951"/>
      <c r="M252" s="471"/>
      <c r="N252" s="462"/>
      <c r="O252" s="952"/>
      <c r="P252" s="952"/>
      <c r="Q252" s="471"/>
      <c r="R252" s="471"/>
      <c r="S252" s="31"/>
    </row>
    <row r="253" spans="1:19">
      <c r="A253" s="617"/>
      <c r="B253" s="693"/>
      <c r="C253" s="694" t="s">
        <v>915</v>
      </c>
      <c r="D253" s="471" t="s">
        <v>1035</v>
      </c>
      <c r="E253" s="462" t="s">
        <v>1624</v>
      </c>
      <c r="F253" s="462"/>
      <c r="G253" s="462"/>
      <c r="H253" s="948">
        <v>3</v>
      </c>
      <c r="I253" s="471">
        <v>35</v>
      </c>
      <c r="J253" s="471">
        <f t="shared" ref="J253:J258" si="17">ROUND(H253*I253,2)</f>
        <v>105</v>
      </c>
      <c r="K253" s="694" t="s">
        <v>915</v>
      </c>
      <c r="L253" s="471" t="s">
        <v>1035</v>
      </c>
      <c r="M253" s="462" t="s">
        <v>1624</v>
      </c>
      <c r="N253" s="462"/>
      <c r="O253" s="462"/>
      <c r="P253" s="948">
        <v>3</v>
      </c>
      <c r="Q253" s="471">
        <v>35</v>
      </c>
      <c r="R253" s="471">
        <f t="shared" ref="R253:R258" si="18">ROUND(P253*Q253,2)</f>
        <v>105</v>
      </c>
      <c r="S253" s="31"/>
    </row>
    <row r="254" spans="1:19">
      <c r="A254" s="617"/>
      <c r="B254" s="693"/>
      <c r="C254" s="31" t="s">
        <v>916</v>
      </c>
      <c r="D254" s="471" t="s">
        <v>1035</v>
      </c>
      <c r="E254" s="462" t="s">
        <v>1624</v>
      </c>
      <c r="F254" s="462"/>
      <c r="G254" s="462"/>
      <c r="H254" s="948">
        <v>3</v>
      </c>
      <c r="I254" s="471">
        <v>35</v>
      </c>
      <c r="J254" s="471">
        <f t="shared" si="17"/>
        <v>105</v>
      </c>
      <c r="K254" s="31" t="s">
        <v>916</v>
      </c>
      <c r="L254" s="471" t="s">
        <v>1035</v>
      </c>
      <c r="M254" s="462" t="s">
        <v>1624</v>
      </c>
      <c r="N254" s="462"/>
      <c r="O254" s="462"/>
      <c r="P254" s="948">
        <v>3</v>
      </c>
      <c r="Q254" s="471">
        <v>35</v>
      </c>
      <c r="R254" s="471">
        <f t="shared" si="18"/>
        <v>105</v>
      </c>
      <c r="S254" s="31"/>
    </row>
    <row r="255" spans="1:19">
      <c r="A255" s="617"/>
      <c r="B255" s="693"/>
      <c r="C255" s="946" t="s">
        <v>917</v>
      </c>
      <c r="D255" s="471" t="s">
        <v>1035</v>
      </c>
      <c r="E255" s="462" t="s">
        <v>1625</v>
      </c>
      <c r="F255" s="462"/>
      <c r="G255" s="462"/>
      <c r="H255" s="948">
        <v>6</v>
      </c>
      <c r="I255" s="471">
        <v>21</v>
      </c>
      <c r="J255" s="471">
        <f t="shared" si="17"/>
        <v>126</v>
      </c>
      <c r="K255" s="946" t="s">
        <v>917</v>
      </c>
      <c r="L255" s="471" t="s">
        <v>1035</v>
      </c>
      <c r="M255" s="462" t="s">
        <v>1625</v>
      </c>
      <c r="N255" s="462"/>
      <c r="O255" s="462"/>
      <c r="P255" s="948">
        <v>6</v>
      </c>
      <c r="Q255" s="471">
        <v>21</v>
      </c>
      <c r="R255" s="471">
        <f t="shared" si="18"/>
        <v>126</v>
      </c>
      <c r="S255" s="31"/>
    </row>
    <row r="256" spans="1:19">
      <c r="A256" s="617"/>
      <c r="B256" s="693"/>
      <c r="C256" s="694" t="s">
        <v>918</v>
      </c>
      <c r="D256" s="471" t="s">
        <v>1035</v>
      </c>
      <c r="E256" s="462" t="s">
        <v>1626</v>
      </c>
      <c r="F256" s="462"/>
      <c r="G256" s="462"/>
      <c r="H256" s="948">
        <v>3</v>
      </c>
      <c r="I256" s="471">
        <v>213</v>
      </c>
      <c r="J256" s="471">
        <f t="shared" si="17"/>
        <v>639</v>
      </c>
      <c r="K256" s="694" t="s">
        <v>918</v>
      </c>
      <c r="L256" s="471" t="s">
        <v>1035</v>
      </c>
      <c r="M256" s="462" t="s">
        <v>1626</v>
      </c>
      <c r="N256" s="462"/>
      <c r="O256" s="462"/>
      <c r="P256" s="948">
        <v>3</v>
      </c>
      <c r="Q256" s="471">
        <v>213</v>
      </c>
      <c r="R256" s="471">
        <f t="shared" si="18"/>
        <v>639</v>
      </c>
      <c r="S256" s="31"/>
    </row>
    <row r="257" spans="1:19">
      <c r="A257" s="617"/>
      <c r="B257" s="693"/>
      <c r="C257" s="694" t="s">
        <v>799</v>
      </c>
      <c r="D257" s="471" t="s">
        <v>882</v>
      </c>
      <c r="E257" s="462" t="s">
        <v>1652</v>
      </c>
      <c r="F257" s="462"/>
      <c r="G257" s="462"/>
      <c r="H257" s="948">
        <v>90</v>
      </c>
      <c r="I257" s="471">
        <v>3</v>
      </c>
      <c r="J257" s="471">
        <f t="shared" si="17"/>
        <v>270</v>
      </c>
      <c r="K257" s="694" t="s">
        <v>799</v>
      </c>
      <c r="L257" s="471" t="s">
        <v>882</v>
      </c>
      <c r="M257" s="462" t="s">
        <v>1652</v>
      </c>
      <c r="N257" s="462"/>
      <c r="O257" s="462"/>
      <c r="P257" s="948">
        <v>90</v>
      </c>
      <c r="Q257" s="471">
        <v>3</v>
      </c>
      <c r="R257" s="471">
        <f t="shared" si="18"/>
        <v>270</v>
      </c>
      <c r="S257" s="31"/>
    </row>
    <row r="258" spans="1:19">
      <c r="A258" s="617"/>
      <c r="B258" s="693"/>
      <c r="C258" s="694" t="s">
        <v>1598</v>
      </c>
      <c r="D258" s="471"/>
      <c r="E258" s="953" t="s">
        <v>1651</v>
      </c>
      <c r="F258" s="462"/>
      <c r="G258" s="462"/>
      <c r="H258" s="948">
        <v>4</v>
      </c>
      <c r="I258" s="471">
        <v>32</v>
      </c>
      <c r="J258" s="471">
        <f t="shared" si="17"/>
        <v>128</v>
      </c>
      <c r="K258" s="694" t="s">
        <v>1598</v>
      </c>
      <c r="L258" s="471"/>
      <c r="M258" s="953" t="s">
        <v>1651</v>
      </c>
      <c r="N258" s="462"/>
      <c r="O258" s="462"/>
      <c r="P258" s="948">
        <v>4</v>
      </c>
      <c r="Q258" s="471">
        <v>32</v>
      </c>
      <c r="R258" s="471">
        <f t="shared" si="18"/>
        <v>128</v>
      </c>
      <c r="S258" s="31"/>
    </row>
    <row r="259" spans="1:19">
      <c r="A259" s="617"/>
      <c r="B259" s="34"/>
      <c r="C259" s="54" t="s">
        <v>1484</v>
      </c>
      <c r="D259" s="951">
        <v>2.75</v>
      </c>
      <c r="E259" s="471">
        <v>1.2</v>
      </c>
      <c r="F259" s="462"/>
      <c r="G259" s="471">
        <v>1.35</v>
      </c>
      <c r="H259" s="462">
        <f>ROUND(G259*E259*D259,2)</f>
        <v>4.46</v>
      </c>
      <c r="I259" s="698">
        <f>G15</f>
        <v>561.35799999999995</v>
      </c>
      <c r="J259" s="471">
        <f>ROUND(H259*I259/10,2)</f>
        <v>250.37</v>
      </c>
      <c r="K259" s="54" t="s">
        <v>1484</v>
      </c>
      <c r="L259" s="951">
        <v>2.75</v>
      </c>
      <c r="M259" s="471">
        <v>1.2</v>
      </c>
      <c r="N259" s="462"/>
      <c r="O259" s="471">
        <v>1.2</v>
      </c>
      <c r="P259" s="462">
        <f>ROUND(O259*M259*L259,2)</f>
        <v>3.96</v>
      </c>
      <c r="Q259" s="698">
        <f>I259</f>
        <v>561.35799999999995</v>
      </c>
      <c r="R259" s="471">
        <f>ROUND(P259*Q259/10,2)</f>
        <v>222.3</v>
      </c>
      <c r="S259" s="31"/>
    </row>
    <row r="260" spans="1:19">
      <c r="A260" s="617"/>
      <c r="B260" s="34"/>
      <c r="C260" s="451" t="s">
        <v>1306</v>
      </c>
      <c r="D260" s="951" t="s">
        <v>246</v>
      </c>
      <c r="E260" s="471">
        <v>1.2</v>
      </c>
      <c r="F260" s="462">
        <f>E260*10</f>
        <v>12</v>
      </c>
      <c r="G260" s="471">
        <v>1.1299999999999999</v>
      </c>
      <c r="H260" s="462">
        <f>G260*F260</f>
        <v>13.559999999999999</v>
      </c>
      <c r="I260" s="465">
        <f>'Lead- Input sheet '!R10/1000</f>
        <v>69.62</v>
      </c>
      <c r="J260" s="471">
        <f>H260*I260</f>
        <v>944.04719999999998</v>
      </c>
      <c r="K260" s="451" t="s">
        <v>1306</v>
      </c>
      <c r="L260" s="951" t="s">
        <v>246</v>
      </c>
      <c r="M260" s="471">
        <v>1.2</v>
      </c>
      <c r="N260" s="462">
        <f>M260*10</f>
        <v>12</v>
      </c>
      <c r="O260" s="471">
        <v>1.1299999999999999</v>
      </c>
      <c r="P260" s="462">
        <f>O260*N260</f>
        <v>13.559999999999999</v>
      </c>
      <c r="Q260" s="698">
        <f>I260</f>
        <v>69.62</v>
      </c>
      <c r="R260" s="471">
        <f>P260*Q260</f>
        <v>944.04719999999998</v>
      </c>
      <c r="S260" s="31"/>
    </row>
    <row r="261" spans="1:19">
      <c r="A261" s="617"/>
      <c r="B261" s="34"/>
      <c r="C261" s="54" t="s">
        <v>230</v>
      </c>
      <c r="D261" s="951"/>
      <c r="E261" s="471"/>
      <c r="F261" s="462"/>
      <c r="G261" s="462"/>
      <c r="H261" s="948">
        <v>1</v>
      </c>
      <c r="I261" s="471">
        <v>100</v>
      </c>
      <c r="J261" s="471">
        <f>H261*I261</f>
        <v>100</v>
      </c>
      <c r="K261" s="54" t="s">
        <v>230</v>
      </c>
      <c r="L261" s="951"/>
      <c r="M261" s="471"/>
      <c r="N261" s="462"/>
      <c r="O261" s="462"/>
      <c r="P261" s="948">
        <v>1</v>
      </c>
      <c r="Q261" s="471">
        <v>100</v>
      </c>
      <c r="R261" s="471">
        <f>P261*Q261</f>
        <v>100</v>
      </c>
      <c r="S261" s="31"/>
    </row>
    <row r="262" spans="1:19">
      <c r="A262" s="617"/>
      <c r="B262" s="34"/>
      <c r="D262" s="951"/>
      <c r="E262" s="471"/>
      <c r="F262" s="462"/>
      <c r="G262" s="462"/>
      <c r="H262" s="462"/>
      <c r="I262" s="471"/>
      <c r="J262" s="471">
        <f>SUM(J246:J261)</f>
        <v>7384.7972</v>
      </c>
      <c r="K262" s="54"/>
      <c r="L262" s="951"/>
      <c r="M262" s="471"/>
      <c r="N262" s="462"/>
      <c r="O262" s="462"/>
      <c r="P262" s="462"/>
      <c r="Q262" s="471"/>
      <c r="R262" s="471">
        <f>SUM(R246:R261)</f>
        <v>6874.2172</v>
      </c>
      <c r="S262" s="31"/>
    </row>
    <row r="263" spans="1:19" s="18" customFormat="1" ht="25.8">
      <c r="A263" s="617"/>
      <c r="B263" s="40"/>
      <c r="C263" s="54" t="s">
        <v>1600</v>
      </c>
      <c r="D263" s="954"/>
      <c r="E263" s="468"/>
      <c r="F263" s="458"/>
      <c r="G263" s="458"/>
      <c r="H263" s="458">
        <f>J262</f>
        <v>7384.7972</v>
      </c>
      <c r="I263" s="468">
        <f>I6</f>
        <v>0</v>
      </c>
      <c r="J263" s="468">
        <f>ROUND(H263*I263,2)</f>
        <v>0</v>
      </c>
      <c r="K263" s="54" t="s">
        <v>1600</v>
      </c>
      <c r="L263" s="954"/>
      <c r="M263" s="468"/>
      <c r="N263" s="458"/>
      <c r="O263" s="458"/>
      <c r="P263" s="458">
        <f>R262</f>
        <v>6874.2172</v>
      </c>
      <c r="Q263" s="468">
        <f>Q6</f>
        <v>0</v>
      </c>
      <c r="R263" s="468">
        <f>ROUND(P263*Q263,2)</f>
        <v>0</v>
      </c>
      <c r="S263" s="17"/>
    </row>
    <row r="264" spans="1:19" s="18" customFormat="1">
      <c r="A264" s="617"/>
      <c r="B264" s="411"/>
      <c r="C264" s="283" t="s">
        <v>256</v>
      </c>
      <c r="D264" s="955"/>
      <c r="E264" s="469"/>
      <c r="F264" s="460"/>
      <c r="G264" s="460"/>
      <c r="H264" s="460"/>
      <c r="I264" s="469" t="s">
        <v>416</v>
      </c>
      <c r="J264" s="469">
        <f>SUM(J262:J263)</f>
        <v>7384.7972</v>
      </c>
      <c r="K264" s="283" t="s">
        <v>256</v>
      </c>
      <c r="L264" s="955"/>
      <c r="M264" s="469"/>
      <c r="N264" s="460"/>
      <c r="O264" s="460"/>
      <c r="P264" s="460"/>
      <c r="Q264" s="469" t="s">
        <v>416</v>
      </c>
      <c r="R264" s="469">
        <f>SUM(R262:R263)</f>
        <v>6874.2172</v>
      </c>
      <c r="S264" s="17"/>
    </row>
    <row r="265" spans="1:19" ht="25.8">
      <c r="A265" s="617"/>
      <c r="B265" s="34"/>
      <c r="C265" s="55" t="s">
        <v>1311</v>
      </c>
      <c r="D265" s="951"/>
      <c r="E265" s="471"/>
      <c r="F265" s="462"/>
      <c r="G265" s="462"/>
      <c r="H265" s="462"/>
      <c r="I265" s="471"/>
      <c r="J265" s="471"/>
      <c r="K265" s="55" t="s">
        <v>1860</v>
      </c>
      <c r="L265" s="951"/>
      <c r="M265" s="471"/>
      <c r="N265" s="462"/>
      <c r="O265" s="462"/>
      <c r="P265" s="462"/>
      <c r="Q265" s="471"/>
      <c r="R265" s="471"/>
      <c r="S265" s="31"/>
    </row>
    <row r="266" spans="1:19">
      <c r="A266" s="617"/>
      <c r="B266" s="34"/>
      <c r="C266" s="54" t="s">
        <v>848</v>
      </c>
      <c r="D266" s="951"/>
      <c r="E266" s="471"/>
      <c r="F266" s="462"/>
      <c r="G266" s="462"/>
      <c r="H266" s="462"/>
      <c r="I266" s="471"/>
      <c r="J266" s="471"/>
      <c r="K266" s="54" t="s">
        <v>848</v>
      </c>
      <c r="L266" s="951"/>
      <c r="M266" s="471"/>
      <c r="N266" s="462"/>
      <c r="O266" s="462"/>
      <c r="P266" s="462"/>
      <c r="Q266" s="471"/>
      <c r="R266" s="471"/>
      <c r="S266" s="31"/>
    </row>
    <row r="267" spans="1:19">
      <c r="A267" s="617"/>
      <c r="B267" s="34"/>
      <c r="C267" s="54" t="s">
        <v>780</v>
      </c>
      <c r="D267" s="951">
        <v>4</v>
      </c>
      <c r="E267" s="471">
        <v>1.35</v>
      </c>
      <c r="F267" s="462">
        <v>0.1</v>
      </c>
      <c r="G267" s="462">
        <v>7.4999999999999997E-2</v>
      </c>
      <c r="H267" s="462">
        <f>ROUND(D267*E267*F267*G267,3)</f>
        <v>4.1000000000000002E-2</v>
      </c>
      <c r="I267" s="471">
        <v>25497.19</v>
      </c>
      <c r="J267" s="471">
        <f>ROUND(H267*I267,2)</f>
        <v>1045.3800000000001</v>
      </c>
      <c r="K267" s="54" t="s">
        <v>780</v>
      </c>
      <c r="L267" s="951">
        <v>4</v>
      </c>
      <c r="M267" s="471">
        <v>1.2</v>
      </c>
      <c r="N267" s="462">
        <v>0.1</v>
      </c>
      <c r="O267" s="462">
        <v>7.4999999999999997E-2</v>
      </c>
      <c r="P267" s="462">
        <f>ROUND(L267*M267*N267*O267,3)</f>
        <v>3.5999999999999997E-2</v>
      </c>
      <c r="Q267" s="471">
        <v>25497.19</v>
      </c>
      <c r="R267" s="471">
        <f>ROUND(P267*Q267,2)</f>
        <v>917.9</v>
      </c>
      <c r="S267" s="31"/>
    </row>
    <row r="268" spans="1:19">
      <c r="A268" s="617"/>
      <c r="B268" s="34"/>
      <c r="C268" s="54" t="s">
        <v>781</v>
      </c>
      <c r="D268" s="951">
        <v>2</v>
      </c>
      <c r="E268" s="471">
        <v>1.35</v>
      </c>
      <c r="F268" s="462">
        <v>0.1</v>
      </c>
      <c r="G268" s="462">
        <v>7.4999999999999997E-2</v>
      </c>
      <c r="H268" s="462">
        <f>ROUND(D268*E268*F268*G268,3)</f>
        <v>0.02</v>
      </c>
      <c r="I268" s="471">
        <v>25497.19</v>
      </c>
      <c r="J268" s="471">
        <f>ROUND(H268*I268,2)</f>
        <v>509.94</v>
      </c>
      <c r="K268" s="54" t="s">
        <v>781</v>
      </c>
      <c r="L268" s="951">
        <v>2</v>
      </c>
      <c r="M268" s="471">
        <v>1.35</v>
      </c>
      <c r="N268" s="462">
        <v>0.1</v>
      </c>
      <c r="O268" s="462">
        <v>7.4999999999999997E-2</v>
      </c>
      <c r="P268" s="462">
        <f>ROUND(L268*M268*N268*O268,3)</f>
        <v>0.02</v>
      </c>
      <c r="Q268" s="471">
        <v>25497.19</v>
      </c>
      <c r="R268" s="471">
        <f>ROUND(P268*Q268,2)</f>
        <v>509.94</v>
      </c>
      <c r="S268" s="31"/>
    </row>
    <row r="269" spans="1:19">
      <c r="A269" s="617"/>
      <c r="B269" s="34"/>
      <c r="C269" s="54" t="s">
        <v>1482</v>
      </c>
      <c r="D269" s="951"/>
      <c r="E269" s="471"/>
      <c r="F269" s="462"/>
      <c r="G269" s="462"/>
      <c r="H269" s="462">
        <f>SUM(H267:H268)</f>
        <v>6.0999999999999999E-2</v>
      </c>
      <c r="I269" s="465">
        <f>G25</f>
        <v>15324.5</v>
      </c>
      <c r="J269" s="471">
        <f>ROUND(H269*I269,2)</f>
        <v>934.79</v>
      </c>
      <c r="K269" s="54" t="s">
        <v>1482</v>
      </c>
      <c r="L269" s="951"/>
      <c r="M269" s="471"/>
      <c r="N269" s="462"/>
      <c r="O269" s="462"/>
      <c r="P269" s="462">
        <f>SUM(P267:P268)</f>
        <v>5.5999999999999994E-2</v>
      </c>
      <c r="Q269" s="465">
        <f>I269</f>
        <v>15324.5</v>
      </c>
      <c r="R269" s="471">
        <f>ROUND(P269*Q269,2)</f>
        <v>858.17</v>
      </c>
      <c r="S269" s="31"/>
    </row>
    <row r="270" spans="1:19" ht="33.299999999999997">
      <c r="A270" s="617" t="s">
        <v>787</v>
      </c>
      <c r="B270" s="19"/>
      <c r="C270" s="54" t="s">
        <v>788</v>
      </c>
      <c r="D270" s="951"/>
      <c r="E270" s="471"/>
      <c r="F270" s="462"/>
      <c r="G270" s="952"/>
      <c r="H270" s="952"/>
      <c r="I270" s="471"/>
      <c r="J270" s="471"/>
      <c r="K270" s="54" t="s">
        <v>788</v>
      </c>
      <c r="L270" s="951"/>
      <c r="M270" s="471"/>
      <c r="N270" s="462"/>
      <c r="O270" s="952"/>
      <c r="P270" s="952"/>
      <c r="Q270" s="471"/>
      <c r="R270" s="471"/>
      <c r="S270" s="31"/>
    </row>
    <row r="271" spans="1:19">
      <c r="A271" s="617"/>
      <c r="B271" s="32"/>
      <c r="C271" s="54" t="s">
        <v>1598</v>
      </c>
      <c r="D271" s="951"/>
      <c r="E271" s="953" t="s">
        <v>1651</v>
      </c>
      <c r="F271" s="462"/>
      <c r="G271" s="462"/>
      <c r="H271" s="948">
        <v>4</v>
      </c>
      <c r="I271" s="471">
        <v>32</v>
      </c>
      <c r="J271" s="471">
        <f>ROUND(H271*I271,2)</f>
        <v>128</v>
      </c>
      <c r="K271" s="54" t="s">
        <v>1598</v>
      </c>
      <c r="L271" s="951"/>
      <c r="M271" s="953" t="s">
        <v>1651</v>
      </c>
      <c r="N271" s="462"/>
      <c r="O271" s="462"/>
      <c r="P271" s="948">
        <v>4</v>
      </c>
      <c r="Q271" s="471">
        <v>32</v>
      </c>
      <c r="R271" s="471">
        <f>ROUND(P271*Q271,2)</f>
        <v>128</v>
      </c>
      <c r="S271" s="31"/>
    </row>
    <row r="272" spans="1:19">
      <c r="A272" s="617"/>
      <c r="B272" s="34"/>
      <c r="C272" s="54" t="s">
        <v>1484</v>
      </c>
      <c r="D272" s="471" t="s">
        <v>544</v>
      </c>
      <c r="E272" s="471">
        <v>1.2</v>
      </c>
      <c r="F272" s="462"/>
      <c r="G272" s="471">
        <v>1.35</v>
      </c>
      <c r="H272" s="462">
        <f>ROUND(G272*E272*2.75/3,2)</f>
        <v>1.49</v>
      </c>
      <c r="I272" s="698">
        <f>G15</f>
        <v>561.35799999999995</v>
      </c>
      <c r="J272" s="471">
        <f>ROUND(H272*I272/10,2)</f>
        <v>83.64</v>
      </c>
      <c r="K272" s="54" t="s">
        <v>1484</v>
      </c>
      <c r="L272" s="471" t="s">
        <v>544</v>
      </c>
      <c r="M272" s="471">
        <v>1.2</v>
      </c>
      <c r="N272" s="462"/>
      <c r="O272" s="471">
        <v>1.2</v>
      </c>
      <c r="P272" s="462">
        <f>ROUND(O272*M272*2.75/3,2)</f>
        <v>1.32</v>
      </c>
      <c r="Q272" s="698">
        <f>I272</f>
        <v>561.35799999999995</v>
      </c>
      <c r="R272" s="471">
        <f>ROUND(P272*Q272/10,2)</f>
        <v>74.099999999999994</v>
      </c>
      <c r="S272" s="31"/>
    </row>
    <row r="273" spans="1:19">
      <c r="A273" s="617"/>
      <c r="B273" s="34"/>
      <c r="C273" s="451" t="s">
        <v>1306</v>
      </c>
      <c r="D273" s="951" t="s">
        <v>246</v>
      </c>
      <c r="E273" s="471">
        <v>1.2</v>
      </c>
      <c r="F273" s="462">
        <f>E273*10</f>
        <v>12</v>
      </c>
      <c r="G273" s="471">
        <v>1.1299999999999999</v>
      </c>
      <c r="H273" s="462">
        <f>G273*F273</f>
        <v>13.559999999999999</v>
      </c>
      <c r="I273" s="465">
        <f>'Lead- Input sheet '!R10/1000</f>
        <v>69.62</v>
      </c>
      <c r="J273" s="471">
        <f>H273*I273</f>
        <v>944.04719999999998</v>
      </c>
      <c r="K273" s="451" t="s">
        <v>1306</v>
      </c>
      <c r="L273" s="951" t="s">
        <v>246</v>
      </c>
      <c r="M273" s="471">
        <v>1.2</v>
      </c>
      <c r="N273" s="462">
        <f>M273*10</f>
        <v>12</v>
      </c>
      <c r="O273" s="471">
        <v>1.1299999999999999</v>
      </c>
      <c r="P273" s="462">
        <f>O273*N273</f>
        <v>13.559999999999999</v>
      </c>
      <c r="Q273" s="698">
        <f>I273</f>
        <v>69.62</v>
      </c>
      <c r="R273" s="471">
        <f>P273*Q273</f>
        <v>944.04719999999998</v>
      </c>
      <c r="S273" s="31"/>
    </row>
    <row r="274" spans="1:19">
      <c r="A274" s="617"/>
      <c r="B274" s="34"/>
      <c r="C274" s="54" t="s">
        <v>230</v>
      </c>
      <c r="D274" s="951"/>
      <c r="E274" s="471"/>
      <c r="F274" s="462"/>
      <c r="G274" s="462"/>
      <c r="H274" s="948">
        <v>1</v>
      </c>
      <c r="I274" s="471">
        <v>50</v>
      </c>
      <c r="J274" s="471">
        <f>H274*I274</f>
        <v>50</v>
      </c>
      <c r="K274" s="54" t="s">
        <v>230</v>
      </c>
      <c r="L274" s="951"/>
      <c r="M274" s="471"/>
      <c r="N274" s="462"/>
      <c r="O274" s="462"/>
      <c r="P274" s="948">
        <v>1</v>
      </c>
      <c r="Q274" s="471">
        <v>50</v>
      </c>
      <c r="R274" s="471">
        <f>P274*Q274</f>
        <v>50</v>
      </c>
      <c r="S274" s="31"/>
    </row>
    <row r="275" spans="1:19">
      <c r="A275" s="617"/>
      <c r="B275" s="34"/>
      <c r="D275" s="951"/>
      <c r="E275" s="471"/>
      <c r="F275" s="462"/>
      <c r="G275" s="462"/>
      <c r="H275" s="462"/>
      <c r="I275" s="471"/>
      <c r="J275" s="471">
        <f>SUM(J267:J274)</f>
        <v>3695.7972</v>
      </c>
      <c r="K275" s="54"/>
      <c r="L275" s="951"/>
      <c r="M275" s="471"/>
      <c r="N275" s="462"/>
      <c r="O275" s="462"/>
      <c r="P275" s="462"/>
      <c r="Q275" s="471"/>
      <c r="R275" s="471">
        <f>SUM(R267:R274)</f>
        <v>3482.1571999999996</v>
      </c>
      <c r="S275" s="31"/>
    </row>
    <row r="276" spans="1:19" s="18" customFormat="1" ht="25.8">
      <c r="A276" s="617"/>
      <c r="B276" s="40"/>
      <c r="C276" s="54" t="s">
        <v>1600</v>
      </c>
      <c r="D276" s="954"/>
      <c r="E276" s="468"/>
      <c r="F276" s="458"/>
      <c r="G276" s="458"/>
      <c r="H276" s="458">
        <f>J275</f>
        <v>3695.7972</v>
      </c>
      <c r="I276" s="468">
        <f>I6</f>
        <v>0</v>
      </c>
      <c r="J276" s="468">
        <f>ROUND(H296*I296,2)</f>
        <v>1180.06</v>
      </c>
      <c r="K276" s="54" t="s">
        <v>1600</v>
      </c>
      <c r="L276" s="954"/>
      <c r="M276" s="468"/>
      <c r="N276" s="458"/>
      <c r="O276" s="458"/>
      <c r="P276" s="458">
        <f>R275</f>
        <v>3482.1571999999996</v>
      </c>
      <c r="Q276" s="468">
        <f>Q6</f>
        <v>0</v>
      </c>
      <c r="R276" s="468">
        <f>ROUND(P296*Q296,2)</f>
        <v>0</v>
      </c>
      <c r="S276" s="17"/>
    </row>
    <row r="277" spans="1:19" s="439" customFormat="1" ht="22.2">
      <c r="A277" s="617"/>
      <c r="B277" s="411"/>
      <c r="C277" s="418" t="s">
        <v>1312</v>
      </c>
      <c r="D277" s="955"/>
      <c r="E277" s="469"/>
      <c r="F277" s="460"/>
      <c r="G277" s="460"/>
      <c r="H277" s="460"/>
      <c r="I277" s="469" t="s">
        <v>416</v>
      </c>
      <c r="J277" s="469">
        <f>SUM(J275:J276)</f>
        <v>4875.8572000000004</v>
      </c>
      <c r="K277" s="418" t="s">
        <v>1312</v>
      </c>
      <c r="L277" s="955"/>
      <c r="M277" s="469"/>
      <c r="N277" s="460"/>
      <c r="O277" s="460"/>
      <c r="P277" s="460"/>
      <c r="Q277" s="469" t="s">
        <v>416</v>
      </c>
      <c r="R277" s="469">
        <f>SUM(R275:R276)</f>
        <v>3482.1571999999996</v>
      </c>
      <c r="S277" s="447"/>
    </row>
    <row r="278" spans="1:19" s="439" customFormat="1" ht="22.2">
      <c r="A278" s="617"/>
      <c r="B278" s="411"/>
      <c r="C278" s="418" t="s">
        <v>1313</v>
      </c>
      <c r="D278" s="955"/>
      <c r="E278" s="469"/>
      <c r="F278" s="460"/>
      <c r="G278" s="460"/>
      <c r="H278" s="460"/>
      <c r="I278" s="469" t="s">
        <v>416</v>
      </c>
      <c r="J278" s="469">
        <f>J264-J277</f>
        <v>2508.9399999999996</v>
      </c>
      <c r="K278" s="418" t="s">
        <v>1313</v>
      </c>
      <c r="L278" s="955"/>
      <c r="M278" s="469"/>
      <c r="N278" s="460"/>
      <c r="O278" s="460"/>
      <c r="P278" s="460"/>
      <c r="Q278" s="469" t="s">
        <v>416</v>
      </c>
      <c r="R278" s="469">
        <f>R264-R277</f>
        <v>3392.0600000000004</v>
      </c>
      <c r="S278" s="447"/>
    </row>
    <row r="279" spans="1:19" ht="129">
      <c r="A279" s="617"/>
      <c r="B279" s="26">
        <v>8</v>
      </c>
      <c r="C279" s="55" t="s">
        <v>1442</v>
      </c>
      <c r="D279" s="951"/>
      <c r="E279" s="471"/>
      <c r="F279" s="462"/>
      <c r="G279" s="462"/>
      <c r="H279" s="462"/>
      <c r="I279" s="471"/>
      <c r="J279" s="471"/>
      <c r="K279" s="55" t="s">
        <v>1442</v>
      </c>
      <c r="L279" s="951"/>
      <c r="M279" s="471"/>
      <c r="N279" s="462"/>
      <c r="O279" s="462"/>
      <c r="P279" s="462"/>
      <c r="Q279" s="471"/>
      <c r="R279" s="471"/>
    </row>
    <row r="280" spans="1:19">
      <c r="A280" s="617"/>
      <c r="B280" s="34"/>
      <c r="C280" s="55" t="s">
        <v>1314</v>
      </c>
      <c r="D280" s="951"/>
      <c r="E280" s="471"/>
      <c r="F280" s="462"/>
      <c r="G280" s="462"/>
      <c r="H280" s="462"/>
      <c r="I280" s="471"/>
      <c r="J280" s="471"/>
      <c r="K280" s="55" t="s">
        <v>1937</v>
      </c>
      <c r="L280" s="951"/>
      <c r="M280" s="471"/>
      <c r="N280" s="462"/>
      <c r="O280" s="462"/>
      <c r="P280" s="462"/>
      <c r="Q280" s="471"/>
      <c r="R280" s="471"/>
    </row>
    <row r="281" spans="1:19">
      <c r="A281" s="617"/>
      <c r="B281" s="34"/>
      <c r="C281" s="54" t="s">
        <v>848</v>
      </c>
      <c r="D281" s="951"/>
      <c r="E281" s="471"/>
      <c r="F281" s="462"/>
      <c r="G281" s="462"/>
      <c r="H281" s="462"/>
      <c r="I281" s="471"/>
      <c r="J281" s="471"/>
      <c r="K281" s="54" t="s">
        <v>848</v>
      </c>
      <c r="L281" s="951"/>
      <c r="M281" s="471"/>
      <c r="N281" s="462"/>
      <c r="O281" s="462"/>
      <c r="P281" s="462"/>
      <c r="Q281" s="471"/>
      <c r="R281" s="471"/>
    </row>
    <row r="282" spans="1:19" ht="20.2" customHeight="1">
      <c r="A282" s="617"/>
      <c r="B282" s="34"/>
      <c r="C282" s="54" t="s">
        <v>780</v>
      </c>
      <c r="D282" s="951">
        <v>4</v>
      </c>
      <c r="E282" s="471">
        <v>1.35</v>
      </c>
      <c r="F282" s="462">
        <v>0.1</v>
      </c>
      <c r="G282" s="462">
        <v>7.4999999999999997E-2</v>
      </c>
      <c r="H282" s="462">
        <f>ROUND(G282*F282*E282*D282,3)</f>
        <v>4.1000000000000002E-2</v>
      </c>
      <c r="I282" s="471">
        <v>25497.19</v>
      </c>
      <c r="J282" s="471">
        <f t="shared" ref="J282:J287" si="19">ROUND(H282*I282,2)</f>
        <v>1045.3800000000001</v>
      </c>
      <c r="K282" s="54" t="s">
        <v>780</v>
      </c>
      <c r="L282" s="951">
        <v>4</v>
      </c>
      <c r="M282" s="471">
        <v>1.2</v>
      </c>
      <c r="N282" s="462">
        <v>0.1</v>
      </c>
      <c r="O282" s="462">
        <v>7.4999999999999997E-2</v>
      </c>
      <c r="P282" s="462">
        <f>ROUND(O282*N282*M282*L282,3)</f>
        <v>3.5999999999999997E-2</v>
      </c>
      <c r="Q282" s="471">
        <v>25497.19</v>
      </c>
      <c r="R282" s="471">
        <f t="shared" ref="R282:R287" si="20">ROUND(P282*Q282,2)</f>
        <v>917.9</v>
      </c>
    </row>
    <row r="283" spans="1:19" ht="20.2" customHeight="1">
      <c r="A283" s="617"/>
      <c r="B283" s="34"/>
      <c r="C283" s="54" t="s">
        <v>781</v>
      </c>
      <c r="D283" s="951">
        <v>2</v>
      </c>
      <c r="E283" s="471">
        <v>1.65</v>
      </c>
      <c r="F283" s="462">
        <v>0.1</v>
      </c>
      <c r="G283" s="462">
        <v>7.4999999999999997E-2</v>
      </c>
      <c r="H283" s="462">
        <f>ROUND(G283*F283*E283*D283,3)</f>
        <v>2.5000000000000001E-2</v>
      </c>
      <c r="I283" s="471">
        <v>25497.19</v>
      </c>
      <c r="J283" s="471">
        <f t="shared" si="19"/>
        <v>637.42999999999995</v>
      </c>
      <c r="K283" s="54" t="s">
        <v>781</v>
      </c>
      <c r="L283" s="951">
        <v>2</v>
      </c>
      <c r="M283" s="471">
        <v>1.65</v>
      </c>
      <c r="N283" s="462">
        <v>0.1</v>
      </c>
      <c r="O283" s="462">
        <v>7.4999999999999997E-2</v>
      </c>
      <c r="P283" s="462">
        <f>ROUND(O283*N283*M283*L283,3)</f>
        <v>2.5000000000000001E-2</v>
      </c>
      <c r="Q283" s="471">
        <v>25497.19</v>
      </c>
      <c r="R283" s="471">
        <f t="shared" si="20"/>
        <v>637.42999999999995</v>
      </c>
    </row>
    <row r="284" spans="1:19" ht="20.2" customHeight="1">
      <c r="A284" s="617"/>
      <c r="B284" s="34"/>
      <c r="C284" s="54" t="s">
        <v>782</v>
      </c>
      <c r="D284" s="951" t="s">
        <v>243</v>
      </c>
      <c r="E284" s="472">
        <f>(1.35-2*0.075+2*0.015)</f>
        <v>1.2300000000000002</v>
      </c>
      <c r="F284" s="462">
        <v>7.4999999999999997E-2</v>
      </c>
      <c r="G284" s="462">
        <f>1.25*25.4/1000</f>
        <v>3.175E-2</v>
      </c>
      <c r="H284" s="462">
        <f>ROUND(G284*F284*E284*6,3)</f>
        <v>1.7999999999999999E-2</v>
      </c>
      <c r="I284" s="471">
        <v>31076.9</v>
      </c>
      <c r="J284" s="471">
        <f t="shared" si="19"/>
        <v>559.38</v>
      </c>
      <c r="K284" s="54" t="s">
        <v>782</v>
      </c>
      <c r="L284" s="951" t="s">
        <v>243</v>
      </c>
      <c r="M284" s="472">
        <f>(1.2-2*0.075+2*0.015)</f>
        <v>1.08</v>
      </c>
      <c r="N284" s="462">
        <v>7.4999999999999997E-2</v>
      </c>
      <c r="O284" s="462">
        <f>1.25*25.4/1000</f>
        <v>3.175E-2</v>
      </c>
      <c r="P284" s="462">
        <f>ROUND(O284*N284*M284*6,3)</f>
        <v>1.4999999999999999E-2</v>
      </c>
      <c r="Q284" s="471">
        <v>31076.9</v>
      </c>
      <c r="R284" s="471">
        <f t="shared" si="20"/>
        <v>466.15</v>
      </c>
    </row>
    <row r="285" spans="1:19" ht="20.2" customHeight="1">
      <c r="A285" s="617"/>
      <c r="B285" s="34"/>
      <c r="C285" s="54" t="s">
        <v>783</v>
      </c>
      <c r="D285" s="951" t="s">
        <v>244</v>
      </c>
      <c r="E285" s="471">
        <f>(1.5-3*0.075+6*0.015)/2</f>
        <v>0.6825</v>
      </c>
      <c r="F285" s="462">
        <v>7.4999999999999997E-2</v>
      </c>
      <c r="G285" s="462">
        <f>1.25*25.4/1000</f>
        <v>3.175E-2</v>
      </c>
      <c r="H285" s="462">
        <f>ROUND(9*E285*F285*G285,3)</f>
        <v>1.4999999999999999E-2</v>
      </c>
      <c r="I285" s="471">
        <v>31076.9</v>
      </c>
      <c r="J285" s="471">
        <f t="shared" si="19"/>
        <v>466.15</v>
      </c>
      <c r="K285" s="54" t="s">
        <v>783</v>
      </c>
      <c r="L285" s="951" t="s">
        <v>244</v>
      </c>
      <c r="M285" s="471">
        <f>(1.5-3*0.075+6*0.015)/2</f>
        <v>0.6825</v>
      </c>
      <c r="N285" s="462">
        <v>7.4999999999999997E-2</v>
      </c>
      <c r="O285" s="462">
        <f>1.25*25.4/1000</f>
        <v>3.175E-2</v>
      </c>
      <c r="P285" s="462">
        <f>ROUND(9*M285*N285*O285,3)</f>
        <v>1.4999999999999999E-2</v>
      </c>
      <c r="Q285" s="471">
        <v>31076.9</v>
      </c>
      <c r="R285" s="471">
        <f t="shared" si="20"/>
        <v>466.15</v>
      </c>
    </row>
    <row r="286" spans="1:19" ht="20.2" customHeight="1">
      <c r="A286" s="617"/>
      <c r="B286" s="34"/>
      <c r="C286" s="54" t="s">
        <v>1481</v>
      </c>
      <c r="D286" s="951" t="s">
        <v>245</v>
      </c>
      <c r="E286" s="471">
        <f>(1.5-4*0.075+6*0.015)/3-2*0.075+2*0.025</f>
        <v>0.33</v>
      </c>
      <c r="F286" s="462">
        <f>(1.35-2*0.075+2*0.015-3*0.075)/2+2*0.025</f>
        <v>0.55250000000000021</v>
      </c>
      <c r="G286" s="462">
        <v>2.5000000000000001E-2</v>
      </c>
      <c r="H286" s="462">
        <f>ROUND(6*E286*F286*G286,3)</f>
        <v>2.7E-2</v>
      </c>
      <c r="I286" s="471">
        <v>31076.9</v>
      </c>
      <c r="J286" s="471">
        <f t="shared" si="19"/>
        <v>839.08</v>
      </c>
      <c r="K286" s="54" t="s">
        <v>1481</v>
      </c>
      <c r="L286" s="951" t="s">
        <v>245</v>
      </c>
      <c r="M286" s="471">
        <f>(1.5-4*0.075+6*0.015)/3-2*0.075+2*0.025</f>
        <v>0.33</v>
      </c>
      <c r="N286" s="462">
        <f>(1.2-2*0.075+2*0.015-3*0.075)/2+2*0.025</f>
        <v>0.47750000000000004</v>
      </c>
      <c r="O286" s="462">
        <v>2.5000000000000001E-2</v>
      </c>
      <c r="P286" s="462">
        <f>ROUND(6*M286*N286*O286,3)</f>
        <v>2.4E-2</v>
      </c>
      <c r="Q286" s="471">
        <v>31076.9</v>
      </c>
      <c r="R286" s="471">
        <f t="shared" si="20"/>
        <v>745.85</v>
      </c>
    </row>
    <row r="287" spans="1:19" ht="20.2" customHeight="1">
      <c r="A287" s="617"/>
      <c r="B287" s="34"/>
      <c r="C287" s="54" t="s">
        <v>1482</v>
      </c>
      <c r="D287" s="951"/>
      <c r="E287" s="471"/>
      <c r="F287" s="462"/>
      <c r="G287" s="462"/>
      <c r="H287" s="462">
        <f>SUM(H282:H286)</f>
        <v>0.126</v>
      </c>
      <c r="I287" s="465">
        <f>G25</f>
        <v>15324.5</v>
      </c>
      <c r="J287" s="471">
        <f t="shared" si="19"/>
        <v>1930.89</v>
      </c>
      <c r="K287" s="54" t="s">
        <v>1482</v>
      </c>
      <c r="L287" s="951"/>
      <c r="M287" s="471"/>
      <c r="N287" s="462"/>
      <c r="O287" s="462"/>
      <c r="P287" s="462">
        <f>SUM(P282:P286)</f>
        <v>0.11499999999999999</v>
      </c>
      <c r="Q287" s="465">
        <f>O25</f>
        <v>0</v>
      </c>
      <c r="R287" s="471">
        <f t="shared" si="20"/>
        <v>0</v>
      </c>
    </row>
    <row r="288" spans="1:19" ht="33.299999999999997">
      <c r="A288" s="617" t="s">
        <v>787</v>
      </c>
      <c r="B288" s="19"/>
      <c r="C288" s="54" t="s">
        <v>788</v>
      </c>
      <c r="D288" s="951"/>
      <c r="E288" s="471"/>
      <c r="F288" s="462"/>
      <c r="G288" s="952"/>
      <c r="H288" s="952"/>
      <c r="I288" s="471"/>
      <c r="J288" s="471"/>
      <c r="K288" s="54" t="s">
        <v>788</v>
      </c>
      <c r="L288" s="951"/>
      <c r="M288" s="471"/>
      <c r="N288" s="462"/>
      <c r="O288" s="952"/>
      <c r="P288" s="952"/>
      <c r="Q288" s="471"/>
      <c r="R288" s="471"/>
    </row>
    <row r="289" spans="1:18" ht="20.2" customHeight="1">
      <c r="A289" s="617"/>
      <c r="B289" s="693"/>
      <c r="C289" s="694" t="s">
        <v>915</v>
      </c>
      <c r="D289" s="471" t="s">
        <v>1035</v>
      </c>
      <c r="E289" s="462" t="s">
        <v>1624</v>
      </c>
      <c r="F289" s="462"/>
      <c r="G289" s="462"/>
      <c r="H289" s="948">
        <v>3</v>
      </c>
      <c r="I289" s="471">
        <v>35</v>
      </c>
      <c r="J289" s="471">
        <f t="shared" ref="J289:J294" si="21">ROUND(H289*I289,2)</f>
        <v>105</v>
      </c>
      <c r="K289" s="694" t="s">
        <v>915</v>
      </c>
      <c r="L289" s="471" t="s">
        <v>1035</v>
      </c>
      <c r="M289" s="462" t="s">
        <v>1624</v>
      </c>
      <c r="N289" s="462"/>
      <c r="O289" s="462"/>
      <c r="P289" s="948">
        <v>3</v>
      </c>
      <c r="Q289" s="471">
        <v>35</v>
      </c>
      <c r="R289" s="471">
        <f t="shared" ref="R289:R294" si="22">ROUND(P289*Q289,2)</f>
        <v>105</v>
      </c>
    </row>
    <row r="290" spans="1:18" ht="20.2" customHeight="1">
      <c r="A290" s="617"/>
      <c r="B290" s="693"/>
      <c r="C290" s="31" t="s">
        <v>916</v>
      </c>
      <c r="D290" s="471" t="s">
        <v>1035</v>
      </c>
      <c r="E290" s="462" t="s">
        <v>1624</v>
      </c>
      <c r="F290" s="462"/>
      <c r="G290" s="462"/>
      <c r="H290" s="948">
        <v>3</v>
      </c>
      <c r="I290" s="471">
        <v>35</v>
      </c>
      <c r="J290" s="471">
        <f t="shared" si="21"/>
        <v>105</v>
      </c>
      <c r="K290" s="31" t="s">
        <v>916</v>
      </c>
      <c r="L290" s="471" t="s">
        <v>1035</v>
      </c>
      <c r="M290" s="462" t="s">
        <v>1624</v>
      </c>
      <c r="N290" s="462"/>
      <c r="O290" s="462"/>
      <c r="P290" s="948">
        <v>3</v>
      </c>
      <c r="Q290" s="471">
        <v>35</v>
      </c>
      <c r="R290" s="471">
        <f t="shared" si="22"/>
        <v>105</v>
      </c>
    </row>
    <row r="291" spans="1:18" ht="20.2" customHeight="1">
      <c r="A291" s="617"/>
      <c r="B291" s="693"/>
      <c r="C291" s="946" t="s">
        <v>917</v>
      </c>
      <c r="D291" s="471" t="s">
        <v>1035</v>
      </c>
      <c r="E291" s="462" t="s">
        <v>1625</v>
      </c>
      <c r="F291" s="462"/>
      <c r="G291" s="462"/>
      <c r="H291" s="948">
        <v>6</v>
      </c>
      <c r="I291" s="471">
        <v>21</v>
      </c>
      <c r="J291" s="471">
        <f t="shared" si="21"/>
        <v>126</v>
      </c>
      <c r="K291" s="946" t="s">
        <v>917</v>
      </c>
      <c r="L291" s="471" t="s">
        <v>1035</v>
      </c>
      <c r="M291" s="462" t="s">
        <v>1625</v>
      </c>
      <c r="N291" s="462"/>
      <c r="O291" s="462"/>
      <c r="P291" s="948">
        <v>6</v>
      </c>
      <c r="Q291" s="471">
        <v>21</v>
      </c>
      <c r="R291" s="471">
        <f t="shared" si="22"/>
        <v>126</v>
      </c>
    </row>
    <row r="292" spans="1:18" ht="20.2" customHeight="1">
      <c r="A292" s="617"/>
      <c r="B292" s="693"/>
      <c r="C292" s="694" t="s">
        <v>918</v>
      </c>
      <c r="D292" s="471" t="s">
        <v>1035</v>
      </c>
      <c r="E292" s="462" t="s">
        <v>1626</v>
      </c>
      <c r="F292" s="462"/>
      <c r="G292" s="462"/>
      <c r="H292" s="948">
        <v>3</v>
      </c>
      <c r="I292" s="471">
        <v>213</v>
      </c>
      <c r="J292" s="471">
        <f t="shared" si="21"/>
        <v>639</v>
      </c>
      <c r="K292" s="694" t="s">
        <v>918</v>
      </c>
      <c r="L292" s="471" t="s">
        <v>1035</v>
      </c>
      <c r="M292" s="462" t="s">
        <v>1626</v>
      </c>
      <c r="N292" s="462"/>
      <c r="O292" s="462"/>
      <c r="P292" s="948">
        <v>3</v>
      </c>
      <c r="Q292" s="471">
        <v>213</v>
      </c>
      <c r="R292" s="471">
        <f t="shared" si="22"/>
        <v>639</v>
      </c>
    </row>
    <row r="293" spans="1:18" ht="20.2" customHeight="1">
      <c r="A293" s="617"/>
      <c r="B293" s="693"/>
      <c r="C293" s="694" t="s">
        <v>799</v>
      </c>
      <c r="D293" s="471" t="s">
        <v>882</v>
      </c>
      <c r="E293" s="462" t="s">
        <v>1652</v>
      </c>
      <c r="F293" s="462"/>
      <c r="G293" s="462"/>
      <c r="H293" s="948">
        <v>90</v>
      </c>
      <c r="I293" s="471">
        <v>3</v>
      </c>
      <c r="J293" s="471">
        <f t="shared" si="21"/>
        <v>270</v>
      </c>
      <c r="K293" s="694" t="s">
        <v>799</v>
      </c>
      <c r="L293" s="471" t="s">
        <v>882</v>
      </c>
      <c r="M293" s="462" t="s">
        <v>1652</v>
      </c>
      <c r="N293" s="462"/>
      <c r="O293" s="462"/>
      <c r="P293" s="948">
        <v>90</v>
      </c>
      <c r="Q293" s="471">
        <v>3</v>
      </c>
      <c r="R293" s="471">
        <f t="shared" si="22"/>
        <v>270</v>
      </c>
    </row>
    <row r="294" spans="1:18" ht="20.2" customHeight="1">
      <c r="A294" s="617"/>
      <c r="B294" s="32"/>
      <c r="C294" s="54" t="s">
        <v>1598</v>
      </c>
      <c r="D294" s="951"/>
      <c r="E294" s="953" t="s">
        <v>1651</v>
      </c>
      <c r="F294" s="462"/>
      <c r="G294" s="462"/>
      <c r="H294" s="948">
        <v>4</v>
      </c>
      <c r="I294" s="471">
        <v>32</v>
      </c>
      <c r="J294" s="471">
        <f t="shared" si="21"/>
        <v>128</v>
      </c>
      <c r="K294" s="54" t="s">
        <v>1598</v>
      </c>
      <c r="L294" s="951"/>
      <c r="M294" s="953" t="s">
        <v>1651</v>
      </c>
      <c r="N294" s="462"/>
      <c r="O294" s="462"/>
      <c r="P294" s="948">
        <v>4</v>
      </c>
      <c r="Q294" s="471">
        <v>32</v>
      </c>
      <c r="R294" s="471">
        <f t="shared" si="22"/>
        <v>128</v>
      </c>
    </row>
    <row r="295" spans="1:18" ht="20.2" customHeight="1">
      <c r="A295" s="617"/>
      <c r="B295" s="34"/>
      <c r="C295" s="54" t="s">
        <v>1484</v>
      </c>
      <c r="D295" s="951">
        <v>2.75</v>
      </c>
      <c r="E295" s="471">
        <v>1.5</v>
      </c>
      <c r="F295" s="462"/>
      <c r="G295" s="471">
        <v>1.35</v>
      </c>
      <c r="H295" s="462">
        <f>ROUND(G295*E295*D295,2)</f>
        <v>5.57</v>
      </c>
      <c r="I295" s="698">
        <f>G15</f>
        <v>561.35799999999995</v>
      </c>
      <c r="J295" s="471">
        <f>ROUND(H295*I295/10,2)</f>
        <v>312.68</v>
      </c>
      <c r="K295" s="54" t="s">
        <v>1484</v>
      </c>
      <c r="L295" s="951">
        <v>2.75</v>
      </c>
      <c r="M295" s="471">
        <v>1.5</v>
      </c>
      <c r="N295" s="462"/>
      <c r="O295" s="471">
        <v>1.35</v>
      </c>
      <c r="P295" s="462">
        <f>ROUND(O295*M295*L295,2)</f>
        <v>5.57</v>
      </c>
      <c r="Q295" s="698">
        <f>O15</f>
        <v>0</v>
      </c>
      <c r="R295" s="471">
        <f>ROUND(P295*Q295/10,2)</f>
        <v>0</v>
      </c>
    </row>
    <row r="296" spans="1:18" ht="20.2" customHeight="1">
      <c r="A296" s="617"/>
      <c r="B296" s="34"/>
      <c r="C296" s="451" t="s">
        <v>1306</v>
      </c>
      <c r="D296" s="951" t="s">
        <v>246</v>
      </c>
      <c r="E296" s="471">
        <v>1.5</v>
      </c>
      <c r="F296" s="462">
        <f>E296*10</f>
        <v>15</v>
      </c>
      <c r="G296" s="471">
        <v>1.1299999999999999</v>
      </c>
      <c r="H296" s="462">
        <f>G296*F296</f>
        <v>16.95</v>
      </c>
      <c r="I296" s="465">
        <f>'Lead- Input sheet '!R10/1000</f>
        <v>69.62</v>
      </c>
      <c r="J296" s="471">
        <f>H296*I296</f>
        <v>1180.059</v>
      </c>
      <c r="K296" s="451" t="s">
        <v>1306</v>
      </c>
      <c r="L296" s="951" t="s">
        <v>246</v>
      </c>
      <c r="M296" s="471">
        <v>1.5</v>
      </c>
      <c r="N296" s="462">
        <f>M296*10</f>
        <v>15</v>
      </c>
      <c r="O296" s="471">
        <v>1.1299999999999999</v>
      </c>
      <c r="P296" s="462">
        <f>O296*N296</f>
        <v>16.95</v>
      </c>
      <c r="Q296" s="465">
        <f>'Lead- Input sheet '!X10/1000</f>
        <v>0</v>
      </c>
      <c r="R296" s="471">
        <f>P296*Q296</f>
        <v>0</v>
      </c>
    </row>
    <row r="297" spans="1:18" ht="20.2" customHeight="1">
      <c r="A297" s="617"/>
      <c r="B297" s="34"/>
      <c r="C297" s="54" t="s">
        <v>230</v>
      </c>
      <c r="D297" s="951"/>
      <c r="E297" s="471"/>
      <c r="F297" s="462"/>
      <c r="G297" s="462"/>
      <c r="H297" s="948">
        <v>1</v>
      </c>
      <c r="I297" s="471">
        <v>125</v>
      </c>
      <c r="J297" s="471">
        <f>H297*I297</f>
        <v>125</v>
      </c>
      <c r="K297" s="54" t="s">
        <v>230</v>
      </c>
      <c r="L297" s="951"/>
      <c r="M297" s="471"/>
      <c r="N297" s="462"/>
      <c r="O297" s="462"/>
      <c r="P297" s="948">
        <v>1</v>
      </c>
      <c r="Q297" s="471">
        <v>125</v>
      </c>
      <c r="R297" s="471">
        <f>P297*Q297</f>
        <v>125</v>
      </c>
    </row>
    <row r="298" spans="1:18" ht="20.2" customHeight="1">
      <c r="A298" s="617"/>
      <c r="B298" s="34"/>
      <c r="D298" s="951"/>
      <c r="E298" s="471"/>
      <c r="F298" s="462"/>
      <c r="G298" s="462"/>
      <c r="H298" s="462"/>
      <c r="I298" s="471"/>
      <c r="J298" s="471">
        <f>SUM(J282:J297)</f>
        <v>8469.0490000000009</v>
      </c>
      <c r="K298" s="54"/>
      <c r="L298" s="951"/>
      <c r="M298" s="471"/>
      <c r="N298" s="462"/>
      <c r="O298" s="462"/>
      <c r="P298" s="462"/>
      <c r="Q298" s="471"/>
      <c r="R298" s="471">
        <f>SUM(R282:R297)</f>
        <v>4731.4799999999996</v>
      </c>
    </row>
    <row r="299" spans="1:18" s="18" customFormat="1" ht="20.2" customHeight="1">
      <c r="A299" s="617"/>
      <c r="B299" s="40"/>
      <c r="C299" s="54" t="s">
        <v>1600</v>
      </c>
      <c r="D299" s="954"/>
      <c r="E299" s="468"/>
      <c r="F299" s="458"/>
      <c r="G299" s="458"/>
      <c r="H299" s="458">
        <f>J298</f>
        <v>8469.0490000000009</v>
      </c>
      <c r="I299" s="468">
        <f>I6</f>
        <v>0</v>
      </c>
      <c r="J299" s="468">
        <f>ROUND(H299*I299,2)</f>
        <v>0</v>
      </c>
      <c r="K299" s="54" t="s">
        <v>1600</v>
      </c>
      <c r="L299" s="954"/>
      <c r="M299" s="468"/>
      <c r="N299" s="458"/>
      <c r="O299" s="458"/>
      <c r="P299" s="458">
        <f>R298</f>
        <v>4731.4799999999996</v>
      </c>
      <c r="Q299" s="468">
        <f>Q6</f>
        <v>0</v>
      </c>
      <c r="R299" s="468">
        <f>ROUND(P299*Q299,2)</f>
        <v>0</v>
      </c>
    </row>
    <row r="300" spans="1:18" s="18" customFormat="1" ht="20.2" customHeight="1">
      <c r="A300" s="617"/>
      <c r="B300" s="411"/>
      <c r="C300" s="283" t="s">
        <v>256</v>
      </c>
      <c r="D300" s="955"/>
      <c r="E300" s="469"/>
      <c r="F300" s="460"/>
      <c r="G300" s="460"/>
      <c r="H300" s="460"/>
      <c r="I300" s="469" t="s">
        <v>416</v>
      </c>
      <c r="J300" s="469">
        <f>SUM(J298:J299)</f>
        <v>8469.0490000000009</v>
      </c>
      <c r="K300" s="283" t="s">
        <v>256</v>
      </c>
      <c r="L300" s="955"/>
      <c r="M300" s="469"/>
      <c r="N300" s="460"/>
      <c r="O300" s="460"/>
      <c r="P300" s="460"/>
      <c r="Q300" s="469" t="s">
        <v>416</v>
      </c>
      <c r="R300" s="469">
        <f>SUM(R298:R299)</f>
        <v>4731.4799999999996</v>
      </c>
    </row>
    <row r="301" spans="1:18" ht="25.8">
      <c r="A301" s="617"/>
      <c r="B301" s="34"/>
      <c r="C301" s="55" t="s">
        <v>1315</v>
      </c>
      <c r="D301" s="951"/>
      <c r="E301" s="471"/>
      <c r="F301" s="462"/>
      <c r="G301" s="462"/>
      <c r="H301" s="462"/>
      <c r="I301" s="471"/>
      <c r="J301" s="471"/>
      <c r="K301" s="55" t="s">
        <v>1315</v>
      </c>
      <c r="L301" s="951"/>
      <c r="M301" s="471"/>
      <c r="N301" s="462"/>
      <c r="O301" s="462"/>
      <c r="P301" s="462"/>
      <c r="Q301" s="471"/>
      <c r="R301" s="471"/>
    </row>
    <row r="302" spans="1:18">
      <c r="A302" s="617"/>
      <c r="B302" s="34"/>
      <c r="C302" s="54" t="s">
        <v>848</v>
      </c>
      <c r="D302" s="951"/>
      <c r="E302" s="471"/>
      <c r="F302" s="462"/>
      <c r="G302" s="462"/>
      <c r="H302" s="462"/>
      <c r="I302" s="471"/>
      <c r="J302" s="471"/>
      <c r="K302" s="54" t="s">
        <v>848</v>
      </c>
      <c r="L302" s="951"/>
      <c r="M302" s="471"/>
      <c r="N302" s="462"/>
      <c r="O302" s="462"/>
      <c r="P302" s="462"/>
      <c r="Q302" s="471"/>
      <c r="R302" s="471"/>
    </row>
    <row r="303" spans="1:18" ht="20.2" customHeight="1">
      <c r="A303" s="617"/>
      <c r="B303" s="34"/>
      <c r="C303" s="54" t="s">
        <v>780</v>
      </c>
      <c r="D303" s="951">
        <v>4</v>
      </c>
      <c r="E303" s="471">
        <v>1.35</v>
      </c>
      <c r="F303" s="462">
        <v>0.1</v>
      </c>
      <c r="G303" s="462">
        <v>7.4999999999999997E-2</v>
      </c>
      <c r="H303" s="462">
        <f>ROUND(D303*E303*F303*G303,3)</f>
        <v>4.1000000000000002E-2</v>
      </c>
      <c r="I303" s="471">
        <v>25497.19</v>
      </c>
      <c r="J303" s="471">
        <f>ROUND(H303*I303,2)</f>
        <v>1045.3800000000001</v>
      </c>
      <c r="K303" s="54" t="s">
        <v>780</v>
      </c>
      <c r="L303" s="951">
        <v>4</v>
      </c>
      <c r="M303" s="471">
        <v>1.35</v>
      </c>
      <c r="N303" s="462">
        <v>0.1</v>
      </c>
      <c r="O303" s="462">
        <v>7.4999999999999997E-2</v>
      </c>
      <c r="P303" s="462">
        <f>ROUND(L303*M303*N303*O303,3)</f>
        <v>4.1000000000000002E-2</v>
      </c>
      <c r="Q303" s="471">
        <v>25497.19</v>
      </c>
      <c r="R303" s="471">
        <f>ROUND(P303*Q303,2)</f>
        <v>1045.3800000000001</v>
      </c>
    </row>
    <row r="304" spans="1:18" ht="20.2" customHeight="1">
      <c r="A304" s="617"/>
      <c r="B304" s="34"/>
      <c r="C304" s="54" t="s">
        <v>781</v>
      </c>
      <c r="D304" s="951">
        <v>2</v>
      </c>
      <c r="E304" s="471">
        <v>1.65</v>
      </c>
      <c r="F304" s="462">
        <v>0.1</v>
      </c>
      <c r="G304" s="462">
        <v>7.4999999999999997E-2</v>
      </c>
      <c r="H304" s="462">
        <f>ROUND(D304*E304*F304*G304,3)</f>
        <v>2.5000000000000001E-2</v>
      </c>
      <c r="I304" s="471">
        <v>25497.19</v>
      </c>
      <c r="J304" s="471">
        <f>ROUND(H304*I304,2)</f>
        <v>637.42999999999995</v>
      </c>
      <c r="K304" s="54" t="s">
        <v>781</v>
      </c>
      <c r="L304" s="951">
        <v>2</v>
      </c>
      <c r="M304" s="471">
        <v>1.65</v>
      </c>
      <c r="N304" s="462">
        <v>0.1</v>
      </c>
      <c r="O304" s="462">
        <v>7.4999999999999997E-2</v>
      </c>
      <c r="P304" s="462">
        <f>ROUND(L304*M304*N304*O304,3)</f>
        <v>2.5000000000000001E-2</v>
      </c>
      <c r="Q304" s="471">
        <v>25497.19</v>
      </c>
      <c r="R304" s="471">
        <f>ROUND(P304*Q304,2)</f>
        <v>637.42999999999995</v>
      </c>
    </row>
    <row r="305" spans="1:18" ht="20.2" customHeight="1">
      <c r="A305" s="617"/>
      <c r="B305" s="34"/>
      <c r="C305" s="54" t="s">
        <v>1482</v>
      </c>
      <c r="D305" s="951"/>
      <c r="E305" s="471"/>
      <c r="F305" s="462"/>
      <c r="G305" s="462"/>
      <c r="H305" s="462">
        <f>SUM(H303:H304)</f>
        <v>6.6000000000000003E-2</v>
      </c>
      <c r="I305" s="465">
        <f>G25</f>
        <v>15324.5</v>
      </c>
      <c r="J305" s="471">
        <f>ROUND(H305*I305,2)</f>
        <v>1011.42</v>
      </c>
      <c r="K305" s="54" t="s">
        <v>1482</v>
      </c>
      <c r="L305" s="951"/>
      <c r="M305" s="471"/>
      <c r="N305" s="462"/>
      <c r="O305" s="462"/>
      <c r="P305" s="462">
        <f>SUM(P303:P304)</f>
        <v>6.6000000000000003E-2</v>
      </c>
      <c r="Q305" s="465">
        <f>O25</f>
        <v>0</v>
      </c>
      <c r="R305" s="471">
        <f>ROUND(P305*Q305,2)</f>
        <v>0</v>
      </c>
    </row>
    <row r="306" spans="1:18" ht="33.299999999999997">
      <c r="A306" s="617" t="s">
        <v>787</v>
      </c>
      <c r="B306" s="19"/>
      <c r="C306" s="54" t="s">
        <v>788</v>
      </c>
      <c r="D306" s="951"/>
      <c r="E306" s="471"/>
      <c r="F306" s="462"/>
      <c r="G306" s="952"/>
      <c r="H306" s="952"/>
      <c r="I306" s="471"/>
      <c r="J306" s="471"/>
      <c r="K306" s="54" t="s">
        <v>788</v>
      </c>
      <c r="L306" s="951"/>
      <c r="M306" s="471"/>
      <c r="N306" s="462"/>
      <c r="O306" s="952"/>
      <c r="P306" s="952"/>
      <c r="Q306" s="471"/>
      <c r="R306" s="471"/>
    </row>
    <row r="307" spans="1:18" ht="20.2" customHeight="1">
      <c r="A307" s="617"/>
      <c r="B307" s="32"/>
      <c r="C307" s="54" t="s">
        <v>1598</v>
      </c>
      <c r="D307" s="951"/>
      <c r="E307" s="953" t="s">
        <v>1651</v>
      </c>
      <c r="F307" s="462"/>
      <c r="G307" s="462"/>
      <c r="H307" s="948">
        <v>4</v>
      </c>
      <c r="I307" s="471">
        <v>32</v>
      </c>
      <c r="J307" s="462">
        <f>ROUND(H307*I307,2)</f>
        <v>128</v>
      </c>
      <c r="K307" s="54" t="s">
        <v>1598</v>
      </c>
      <c r="L307" s="951"/>
      <c r="M307" s="953" t="s">
        <v>1651</v>
      </c>
      <c r="N307" s="462"/>
      <c r="O307" s="462"/>
      <c r="P307" s="948">
        <v>4</v>
      </c>
      <c r="Q307" s="471">
        <v>32</v>
      </c>
      <c r="R307" s="462">
        <f>ROUND(P307*Q307,2)</f>
        <v>128</v>
      </c>
    </row>
    <row r="308" spans="1:18" ht="20.2" customHeight="1">
      <c r="A308" s="617"/>
      <c r="B308" s="34"/>
      <c r="C308" s="54" t="s">
        <v>1484</v>
      </c>
      <c r="D308" s="462" t="s">
        <v>544</v>
      </c>
      <c r="E308" s="462">
        <v>1.5</v>
      </c>
      <c r="F308" s="462"/>
      <c r="G308" s="471">
        <v>1.35</v>
      </c>
      <c r="H308" s="462">
        <f>ROUND(G308*E308*2.75/3,2)</f>
        <v>1.86</v>
      </c>
      <c r="I308" s="471">
        <f>G15</f>
        <v>561.35799999999995</v>
      </c>
      <c r="J308" s="471">
        <f>ROUND(H308*I308/10,2)</f>
        <v>104.41</v>
      </c>
      <c r="K308" s="54" t="s">
        <v>1484</v>
      </c>
      <c r="L308" s="462" t="s">
        <v>544</v>
      </c>
      <c r="M308" s="462">
        <v>1.5</v>
      </c>
      <c r="N308" s="462"/>
      <c r="O308" s="471">
        <v>1.35</v>
      </c>
      <c r="P308" s="462">
        <f>ROUND(O308*M308*2.75/3,2)</f>
        <v>1.86</v>
      </c>
      <c r="Q308" s="471">
        <f>O15</f>
        <v>0</v>
      </c>
      <c r="R308" s="471">
        <f>ROUND(P308*Q308/10,2)</f>
        <v>0</v>
      </c>
    </row>
    <row r="309" spans="1:18" ht="20.2" customHeight="1">
      <c r="A309" s="617"/>
      <c r="B309" s="34"/>
      <c r="C309" s="451" t="s">
        <v>1306</v>
      </c>
      <c r="D309" s="951" t="s">
        <v>246</v>
      </c>
      <c r="E309" s="471">
        <v>1.5</v>
      </c>
      <c r="F309" s="462">
        <f>E309*10</f>
        <v>15</v>
      </c>
      <c r="G309" s="471">
        <v>1.1299999999999999</v>
      </c>
      <c r="H309" s="462">
        <f>G309*F309</f>
        <v>16.95</v>
      </c>
      <c r="I309" s="465">
        <f>'Lead- Input sheet '!R10/1000</f>
        <v>69.62</v>
      </c>
      <c r="J309" s="471">
        <f>H309*I309</f>
        <v>1180.059</v>
      </c>
      <c r="K309" s="451" t="s">
        <v>1306</v>
      </c>
      <c r="L309" s="951" t="s">
        <v>246</v>
      </c>
      <c r="M309" s="471">
        <v>1.5</v>
      </c>
      <c r="N309" s="462">
        <f>M309*10</f>
        <v>15</v>
      </c>
      <c r="O309" s="471">
        <v>1.1299999999999999</v>
      </c>
      <c r="P309" s="462">
        <f>O309*N309</f>
        <v>16.95</v>
      </c>
      <c r="Q309" s="465">
        <f>'Lead- Input sheet '!X10/1000</f>
        <v>0</v>
      </c>
      <c r="R309" s="471">
        <f>P309*Q309</f>
        <v>0</v>
      </c>
    </row>
    <row r="310" spans="1:18" ht="20.2" customHeight="1">
      <c r="A310" s="617"/>
      <c r="B310" s="34"/>
      <c r="C310" s="54" t="s">
        <v>230</v>
      </c>
      <c r="D310" s="951"/>
      <c r="E310" s="471"/>
      <c r="F310" s="462"/>
      <c r="G310" s="462"/>
      <c r="H310" s="948">
        <v>1</v>
      </c>
      <c r="I310" s="471">
        <v>75</v>
      </c>
      <c r="J310" s="471">
        <f>H310*I310</f>
        <v>75</v>
      </c>
      <c r="K310" s="54" t="s">
        <v>230</v>
      </c>
      <c r="L310" s="951"/>
      <c r="M310" s="471"/>
      <c r="N310" s="462"/>
      <c r="O310" s="462"/>
      <c r="P310" s="948">
        <v>1</v>
      </c>
      <c r="Q310" s="471">
        <v>75</v>
      </c>
      <c r="R310" s="471">
        <f>P310*Q310</f>
        <v>75</v>
      </c>
    </row>
    <row r="311" spans="1:18" ht="20.2" customHeight="1">
      <c r="A311" s="617"/>
      <c r="B311" s="34"/>
      <c r="D311" s="951"/>
      <c r="E311" s="471"/>
      <c r="F311" s="462"/>
      <c r="G311" s="462"/>
      <c r="H311" s="462"/>
      <c r="I311" s="471"/>
      <c r="J311" s="471">
        <f>SUM(J303:J310)</f>
        <v>4181.6989999999996</v>
      </c>
      <c r="K311" s="54"/>
      <c r="L311" s="951"/>
      <c r="M311" s="471"/>
      <c r="N311" s="462"/>
      <c r="O311" s="462"/>
      <c r="P311" s="462"/>
      <c r="Q311" s="471"/>
      <c r="R311" s="471">
        <f>SUM(R303:R310)</f>
        <v>1885.81</v>
      </c>
    </row>
    <row r="312" spans="1:18" s="18" customFormat="1" ht="20.2" customHeight="1">
      <c r="A312" s="617"/>
      <c r="B312" s="40"/>
      <c r="C312" s="54" t="s">
        <v>1600</v>
      </c>
      <c r="D312" s="954"/>
      <c r="E312" s="468"/>
      <c r="F312" s="458"/>
      <c r="G312" s="458"/>
      <c r="H312" s="458">
        <f>J311</f>
        <v>4181.6989999999996</v>
      </c>
      <c r="I312" s="468">
        <f>I6</f>
        <v>0</v>
      </c>
      <c r="J312" s="471">
        <f>ROUND(H312*I312,2)</f>
        <v>0</v>
      </c>
      <c r="K312" s="54" t="s">
        <v>1600</v>
      </c>
      <c r="L312" s="954"/>
      <c r="M312" s="468"/>
      <c r="N312" s="458"/>
      <c r="O312" s="458"/>
      <c r="P312" s="458">
        <f>R311</f>
        <v>1885.81</v>
      </c>
      <c r="Q312" s="468">
        <f>Q6</f>
        <v>0</v>
      </c>
      <c r="R312" s="471">
        <f>ROUND(P312*Q312,2)</f>
        <v>0</v>
      </c>
    </row>
    <row r="313" spans="1:18" s="439" customFormat="1" ht="20.2" customHeight="1">
      <c r="A313" s="617"/>
      <c r="B313" s="411"/>
      <c r="C313" s="448" t="s">
        <v>1316</v>
      </c>
      <c r="D313" s="955"/>
      <c r="E313" s="469"/>
      <c r="F313" s="460"/>
      <c r="G313" s="460"/>
      <c r="H313" s="460"/>
      <c r="I313" s="469" t="s">
        <v>416</v>
      </c>
      <c r="J313" s="469">
        <f>SUM(J311:J312)</f>
        <v>4181.6989999999996</v>
      </c>
      <c r="K313" s="448" t="s">
        <v>1316</v>
      </c>
      <c r="L313" s="955"/>
      <c r="M313" s="469"/>
      <c r="N313" s="460"/>
      <c r="O313" s="460"/>
      <c r="P313" s="460"/>
      <c r="Q313" s="469" t="s">
        <v>416</v>
      </c>
      <c r="R313" s="469">
        <f>SUM(R311:R312)</f>
        <v>1885.81</v>
      </c>
    </row>
    <row r="314" spans="1:18" s="439" customFormat="1" ht="20.2" customHeight="1">
      <c r="A314" s="617"/>
      <c r="B314" s="411"/>
      <c r="C314" s="448" t="s">
        <v>1317</v>
      </c>
      <c r="D314" s="955"/>
      <c r="E314" s="469"/>
      <c r="F314" s="460"/>
      <c r="G314" s="460"/>
      <c r="H314" s="460"/>
      <c r="I314" s="469" t="s">
        <v>416</v>
      </c>
      <c r="J314" s="469">
        <f>J300-J313</f>
        <v>4287.3500000000013</v>
      </c>
      <c r="K314" s="448" t="s">
        <v>1317</v>
      </c>
      <c r="L314" s="955"/>
      <c r="M314" s="469"/>
      <c r="N314" s="460"/>
      <c r="O314" s="460"/>
      <c r="P314" s="460"/>
      <c r="Q314" s="469" t="s">
        <v>416</v>
      </c>
      <c r="R314" s="469">
        <f>R300-R313</f>
        <v>2845.6699999999996</v>
      </c>
    </row>
    <row r="315" spans="1:18" ht="116.1">
      <c r="A315" s="617"/>
      <c r="B315" s="26">
        <v>5</v>
      </c>
      <c r="C315" s="54" t="s">
        <v>1587</v>
      </c>
      <c r="D315" s="951"/>
      <c r="E315" s="471"/>
      <c r="F315" s="462"/>
      <c r="G315" s="462"/>
      <c r="H315" s="462"/>
      <c r="I315" s="471"/>
      <c r="J315" s="471"/>
      <c r="K315" s="31"/>
    </row>
    <row r="316" spans="1:18">
      <c r="A316" s="617"/>
      <c r="B316" s="34"/>
      <c r="C316" s="55" t="s">
        <v>1588</v>
      </c>
      <c r="D316" s="951"/>
      <c r="E316" s="471"/>
      <c r="F316" s="462"/>
      <c r="G316" s="462"/>
      <c r="H316" s="462"/>
      <c r="I316" s="471"/>
      <c r="J316" s="471"/>
      <c r="K316" s="31"/>
    </row>
    <row r="317" spans="1:18">
      <c r="A317" s="617"/>
      <c r="B317" s="34"/>
      <c r="C317" s="54" t="s">
        <v>848</v>
      </c>
      <c r="D317" s="951"/>
      <c r="E317" s="471"/>
      <c r="F317" s="462"/>
      <c r="G317" s="462"/>
      <c r="H317" s="462"/>
      <c r="I317" s="471"/>
      <c r="J317" s="471"/>
      <c r="K317" s="31"/>
    </row>
    <row r="318" spans="1:18" ht="20.2" customHeight="1">
      <c r="A318" s="617"/>
      <c r="B318" s="34"/>
      <c r="C318" s="54" t="s">
        <v>780</v>
      </c>
      <c r="D318" s="951">
        <v>4</v>
      </c>
      <c r="E318" s="471">
        <v>1.35</v>
      </c>
      <c r="F318" s="462">
        <v>0.1</v>
      </c>
      <c r="G318" s="462">
        <v>7.4999999999999997E-2</v>
      </c>
      <c r="H318" s="462">
        <f>ROUND(D318*E318*F318*G318,3)</f>
        <v>4.1000000000000002E-2</v>
      </c>
      <c r="I318" s="471">
        <v>25497.19</v>
      </c>
      <c r="J318" s="471">
        <f>ROUND(H318*I318,2)</f>
        <v>1045.3800000000001</v>
      </c>
      <c r="K318" s="31"/>
    </row>
    <row r="319" spans="1:18" ht="20.2" customHeight="1">
      <c r="A319" s="617"/>
      <c r="B319" s="34"/>
      <c r="C319" s="54" t="s">
        <v>441</v>
      </c>
      <c r="D319" s="951">
        <v>2</v>
      </c>
      <c r="E319" s="471">
        <v>1.5</v>
      </c>
      <c r="F319" s="462">
        <v>0.1</v>
      </c>
      <c r="G319" s="462">
        <v>7.4999999999999997E-2</v>
      </c>
      <c r="H319" s="462">
        <f>ROUND(D319*E319*F319*G319,3)</f>
        <v>2.3E-2</v>
      </c>
      <c r="I319" s="471">
        <v>25497.19</v>
      </c>
      <c r="J319" s="471">
        <f>ROUND(H319*I319,2)</f>
        <v>586.44000000000005</v>
      </c>
      <c r="K319" s="31"/>
    </row>
    <row r="320" spans="1:18" ht="20.2" customHeight="1">
      <c r="A320" s="617"/>
      <c r="B320" s="34"/>
      <c r="C320" s="54" t="s">
        <v>782</v>
      </c>
      <c r="D320" s="951" t="s">
        <v>243</v>
      </c>
      <c r="E320" s="471">
        <f>(1.35-2*0.075+2*0.015)</f>
        <v>1.2300000000000002</v>
      </c>
      <c r="F320" s="462">
        <v>7.4999999999999997E-2</v>
      </c>
      <c r="G320" s="462">
        <v>3.2000000000000001E-2</v>
      </c>
      <c r="H320" s="462">
        <f>ROUND(6*E320*F320*G320,3)</f>
        <v>1.7999999999999999E-2</v>
      </c>
      <c r="I320" s="471">
        <v>31076.9</v>
      </c>
      <c r="J320" s="471">
        <f>ROUND(H320*I320,2)</f>
        <v>559.38</v>
      </c>
      <c r="K320" s="31"/>
    </row>
    <row r="321" spans="1:12" ht="20.2" customHeight="1">
      <c r="A321" s="617"/>
      <c r="B321" s="34"/>
      <c r="C321" s="54" t="s">
        <v>783</v>
      </c>
      <c r="D321" s="951" t="s">
        <v>244</v>
      </c>
      <c r="E321" s="471">
        <f>(1.35-4*0.075+6*0.015)/3</f>
        <v>0.38000000000000006</v>
      </c>
      <c r="F321" s="462">
        <v>7.4999999999999997E-2</v>
      </c>
      <c r="G321" s="462">
        <v>3.2000000000000001E-2</v>
      </c>
      <c r="H321" s="462">
        <f>ROUND(9*E321*F321*G321,3)</f>
        <v>8.0000000000000002E-3</v>
      </c>
      <c r="I321" s="471">
        <v>31076.9</v>
      </c>
      <c r="J321" s="471">
        <f>ROUND(H321*I321,2)</f>
        <v>248.62</v>
      </c>
      <c r="K321" s="31"/>
    </row>
    <row r="322" spans="1:12" ht="35.200000000000003" customHeight="1">
      <c r="A322" s="617" t="s">
        <v>418</v>
      </c>
      <c r="C322" s="54" t="s">
        <v>417</v>
      </c>
      <c r="D322" s="951" t="s">
        <v>245</v>
      </c>
      <c r="E322" s="471">
        <f>(1.35-4*0.075+6*0.015)/3+2*0.025</f>
        <v>0.43000000000000005</v>
      </c>
      <c r="F322" s="462">
        <f>(1.35-2*0.075+2*0.015-3*0.075)/2+2*0.025</f>
        <v>0.55250000000000021</v>
      </c>
      <c r="G322" s="462">
        <f>ROUND(6*E322*F322,3)</f>
        <v>1.425</v>
      </c>
      <c r="H322" s="462"/>
      <c r="I322" s="471">
        <v>806</v>
      </c>
      <c r="J322" s="471">
        <f>ROUND(G322*I322,2)</f>
        <v>1148.55</v>
      </c>
      <c r="K322" s="31"/>
    </row>
    <row r="323" spans="1:12" ht="20.2" customHeight="1">
      <c r="A323" s="617"/>
      <c r="B323" s="34"/>
      <c r="C323" s="54" t="s">
        <v>1482</v>
      </c>
      <c r="D323" s="951"/>
      <c r="E323" s="471"/>
      <c r="F323" s="462"/>
      <c r="G323" s="462"/>
      <c r="H323" s="462">
        <f>SUM(H318:H322)</f>
        <v>0.09</v>
      </c>
      <c r="I323" s="465">
        <f>G25</f>
        <v>15324.5</v>
      </c>
      <c r="J323" s="471">
        <f>ROUND(H323*I323,2)</f>
        <v>1379.21</v>
      </c>
      <c r="K323" s="31"/>
    </row>
    <row r="324" spans="1:12" ht="33.299999999999997">
      <c r="A324" s="617" t="s">
        <v>787</v>
      </c>
      <c r="B324" s="19"/>
      <c r="C324" s="54" t="s">
        <v>788</v>
      </c>
      <c r="D324" s="951"/>
      <c r="E324" s="471"/>
      <c r="F324" s="462"/>
      <c r="G324" s="952"/>
      <c r="H324" s="952"/>
      <c r="I324" s="471"/>
      <c r="J324" s="471"/>
      <c r="K324" s="31"/>
    </row>
    <row r="325" spans="1:12" ht="20.2" customHeight="1">
      <c r="A325" s="617"/>
      <c r="B325" s="693"/>
      <c r="C325" s="694" t="s">
        <v>915</v>
      </c>
      <c r="D325" s="471" t="s">
        <v>1035</v>
      </c>
      <c r="E325" s="462" t="s">
        <v>1624</v>
      </c>
      <c r="F325" s="462"/>
      <c r="G325" s="462"/>
      <c r="H325" s="948">
        <v>3</v>
      </c>
      <c r="I325" s="471">
        <v>35</v>
      </c>
      <c r="J325" s="471">
        <f t="shared" ref="J325:J330" si="23">ROUND(H325*I325,2)</f>
        <v>105</v>
      </c>
      <c r="K325" s="31"/>
    </row>
    <row r="326" spans="1:12" ht="20.2" customHeight="1">
      <c r="A326" s="617"/>
      <c r="B326" s="693"/>
      <c r="C326" s="31" t="s">
        <v>916</v>
      </c>
      <c r="D326" s="471" t="s">
        <v>1035</v>
      </c>
      <c r="E326" s="462" t="s">
        <v>1624</v>
      </c>
      <c r="F326" s="462"/>
      <c r="G326" s="462"/>
      <c r="H326" s="948">
        <v>3</v>
      </c>
      <c r="I326" s="471">
        <v>35</v>
      </c>
      <c r="J326" s="471">
        <f t="shared" si="23"/>
        <v>105</v>
      </c>
      <c r="K326" s="31"/>
    </row>
    <row r="327" spans="1:12" ht="20.2" customHeight="1">
      <c r="A327" s="617"/>
      <c r="B327" s="693"/>
      <c r="C327" s="946" t="s">
        <v>917</v>
      </c>
      <c r="D327" s="471" t="s">
        <v>1035</v>
      </c>
      <c r="E327" s="462" t="s">
        <v>1625</v>
      </c>
      <c r="F327" s="462"/>
      <c r="G327" s="462"/>
      <c r="H327" s="948">
        <v>6</v>
      </c>
      <c r="I327" s="471">
        <v>21</v>
      </c>
      <c r="J327" s="471">
        <f t="shared" si="23"/>
        <v>126</v>
      </c>
      <c r="K327" s="31"/>
    </row>
    <row r="328" spans="1:12" ht="20.2" customHeight="1">
      <c r="A328" s="617"/>
      <c r="B328" s="693"/>
      <c r="C328" s="694" t="s">
        <v>918</v>
      </c>
      <c r="D328" s="471" t="s">
        <v>1035</v>
      </c>
      <c r="E328" s="462" t="s">
        <v>1626</v>
      </c>
      <c r="F328" s="462"/>
      <c r="G328" s="462"/>
      <c r="H328" s="948">
        <v>3</v>
      </c>
      <c r="I328" s="471">
        <v>213</v>
      </c>
      <c r="J328" s="471">
        <f t="shared" si="23"/>
        <v>639</v>
      </c>
      <c r="K328" s="31"/>
    </row>
    <row r="329" spans="1:12" ht="20.2" customHeight="1">
      <c r="A329" s="617"/>
      <c r="B329" s="693"/>
      <c r="C329" s="694" t="s">
        <v>799</v>
      </c>
      <c r="D329" s="471" t="s">
        <v>882</v>
      </c>
      <c r="E329" s="462" t="s">
        <v>1652</v>
      </c>
      <c r="F329" s="462"/>
      <c r="G329" s="462"/>
      <c r="H329" s="948">
        <v>90</v>
      </c>
      <c r="I329" s="471">
        <v>3</v>
      </c>
      <c r="J329" s="471">
        <f t="shared" si="23"/>
        <v>270</v>
      </c>
      <c r="K329" s="31"/>
    </row>
    <row r="330" spans="1:12" ht="20.2" customHeight="1">
      <c r="A330" s="617"/>
      <c r="B330" s="32"/>
      <c r="C330" s="54" t="s">
        <v>1598</v>
      </c>
      <c r="D330" s="951"/>
      <c r="E330" s="953" t="s">
        <v>1651</v>
      </c>
      <c r="F330" s="462"/>
      <c r="G330" s="462"/>
      <c r="H330" s="948">
        <v>4</v>
      </c>
      <c r="I330" s="471">
        <v>32</v>
      </c>
      <c r="J330" s="471">
        <f t="shared" si="23"/>
        <v>128</v>
      </c>
      <c r="K330" s="31"/>
      <c r="L330" s="105"/>
    </row>
    <row r="331" spans="1:12" ht="20.2" customHeight="1">
      <c r="A331" s="617"/>
      <c r="B331" s="34"/>
      <c r="C331" s="54" t="s">
        <v>1484</v>
      </c>
      <c r="D331" s="951">
        <v>2.75</v>
      </c>
      <c r="E331" s="471">
        <v>1.3</v>
      </c>
      <c r="F331" s="462"/>
      <c r="G331" s="471">
        <v>1.35</v>
      </c>
      <c r="H331" s="462">
        <f>ROUND(G331*E331*D331,2)</f>
        <v>4.83</v>
      </c>
      <c r="I331" s="698">
        <f>G15</f>
        <v>561.35799999999995</v>
      </c>
      <c r="J331" s="471">
        <f>ROUND(H331*I331/10,2)</f>
        <v>271.14</v>
      </c>
      <c r="K331" s="31"/>
      <c r="L331" s="105"/>
    </row>
    <row r="332" spans="1:12" ht="20.2" customHeight="1">
      <c r="A332" s="617"/>
      <c r="B332" s="34"/>
      <c r="C332" s="451" t="s">
        <v>1306</v>
      </c>
      <c r="D332" s="951" t="s">
        <v>246</v>
      </c>
      <c r="E332" s="471">
        <v>1.35</v>
      </c>
      <c r="F332" s="462">
        <f>10*1.35</f>
        <v>13.5</v>
      </c>
      <c r="G332" s="471">
        <v>1.1299999999999999</v>
      </c>
      <c r="H332" s="462">
        <f>G332*F332</f>
        <v>15.254999999999999</v>
      </c>
      <c r="I332" s="465">
        <f>'Lead- Input sheet '!R10/1000</f>
        <v>69.62</v>
      </c>
      <c r="J332" s="471">
        <f>ROUND(H332*I332,2)</f>
        <v>1062.05</v>
      </c>
      <c r="K332" s="31"/>
      <c r="L332" s="105"/>
    </row>
    <row r="333" spans="1:12" ht="20.2" customHeight="1">
      <c r="A333" s="617"/>
      <c r="B333" s="34"/>
      <c r="C333" s="54" t="s">
        <v>230</v>
      </c>
      <c r="D333" s="951"/>
      <c r="E333" s="471"/>
      <c r="F333" s="462"/>
      <c r="G333" s="462"/>
      <c r="H333" s="948">
        <v>1</v>
      </c>
      <c r="I333" s="471">
        <v>100</v>
      </c>
      <c r="J333" s="471">
        <f>H333*I333</f>
        <v>100</v>
      </c>
      <c r="K333" s="31"/>
      <c r="L333" s="105"/>
    </row>
    <row r="334" spans="1:12" ht="20.2" customHeight="1">
      <c r="A334" s="617"/>
      <c r="B334" s="34"/>
      <c r="D334" s="951"/>
      <c r="E334" s="471"/>
      <c r="F334" s="462"/>
      <c r="G334" s="462"/>
      <c r="H334" s="462"/>
      <c r="I334" s="471"/>
      <c r="J334" s="471">
        <f>SUM(J318:J333)</f>
        <v>7773.77</v>
      </c>
      <c r="K334" s="31"/>
    </row>
    <row r="335" spans="1:12" s="18" customFormat="1" ht="20.2" customHeight="1">
      <c r="A335" s="617"/>
      <c r="B335" s="40"/>
      <c r="C335" s="54" t="s">
        <v>1600</v>
      </c>
      <c r="D335" s="954"/>
      <c r="E335" s="468"/>
      <c r="F335" s="458"/>
      <c r="G335" s="458"/>
      <c r="H335" s="458">
        <f>J334</f>
        <v>7773.77</v>
      </c>
      <c r="I335" s="468">
        <f>I6</f>
        <v>0</v>
      </c>
      <c r="J335" s="471">
        <f>ROUND(H335*I335,2)</f>
        <v>0</v>
      </c>
      <c r="K335" s="17"/>
    </row>
    <row r="336" spans="1:12" s="439" customFormat="1" ht="20.2" customHeight="1">
      <c r="A336" s="617" t="s">
        <v>542</v>
      </c>
      <c r="B336" s="411"/>
      <c r="C336" s="283" t="s">
        <v>256</v>
      </c>
      <c r="D336" s="955"/>
      <c r="E336" s="469"/>
      <c r="F336" s="460"/>
      <c r="G336" s="460"/>
      <c r="H336" s="460"/>
      <c r="I336" s="469" t="s">
        <v>416</v>
      </c>
      <c r="J336" s="469">
        <f>SUM(J334:J335)</f>
        <v>7773.77</v>
      </c>
      <c r="K336" s="447"/>
    </row>
    <row r="337" spans="1:18">
      <c r="A337" s="617"/>
      <c r="B337" s="34"/>
      <c r="C337" s="417" t="s">
        <v>543</v>
      </c>
      <c r="D337" s="951"/>
      <c r="E337" s="471"/>
      <c r="F337" s="462"/>
      <c r="G337" s="462"/>
      <c r="H337" s="462"/>
      <c r="I337" s="471"/>
      <c r="J337" s="471"/>
      <c r="K337" s="31"/>
    </row>
    <row r="338" spans="1:18">
      <c r="A338" s="617"/>
      <c r="B338" s="34"/>
      <c r="C338" s="54" t="s">
        <v>848</v>
      </c>
      <c r="D338" s="951"/>
      <c r="E338" s="471"/>
      <c r="F338" s="462"/>
      <c r="G338" s="462"/>
      <c r="H338" s="462"/>
      <c r="I338" s="471"/>
      <c r="J338" s="471"/>
      <c r="K338" s="31"/>
    </row>
    <row r="339" spans="1:18" ht="20.2" customHeight="1">
      <c r="A339" s="617"/>
      <c r="B339" s="34"/>
      <c r="C339" s="54" t="s">
        <v>780</v>
      </c>
      <c r="D339" s="951">
        <v>4</v>
      </c>
      <c r="E339" s="471">
        <v>1.35</v>
      </c>
      <c r="F339" s="462">
        <v>0.1</v>
      </c>
      <c r="G339" s="462">
        <v>7.4999999999999997E-2</v>
      </c>
      <c r="H339" s="462">
        <f>ROUND(D339*E339*F339*G339,3)</f>
        <v>4.1000000000000002E-2</v>
      </c>
      <c r="I339" s="471">
        <v>25497.19</v>
      </c>
      <c r="J339" s="471">
        <f>ROUND(H339*I339,2)</f>
        <v>1045.3800000000001</v>
      </c>
      <c r="K339" s="31"/>
    </row>
    <row r="340" spans="1:18" ht="20.2" customHeight="1">
      <c r="A340" s="617"/>
      <c r="B340" s="34"/>
      <c r="C340" s="54" t="s">
        <v>441</v>
      </c>
      <c r="D340" s="951">
        <v>2</v>
      </c>
      <c r="E340" s="471">
        <v>1.5</v>
      </c>
      <c r="F340" s="462">
        <v>0.1</v>
      </c>
      <c r="G340" s="462">
        <v>7.4999999999999997E-2</v>
      </c>
      <c r="H340" s="462">
        <f>ROUND(D340*E340*F340*G340,3)</f>
        <v>2.3E-2</v>
      </c>
      <c r="I340" s="471">
        <v>25497.19</v>
      </c>
      <c r="J340" s="471">
        <f>ROUND(H340*I340,2)</f>
        <v>586.44000000000005</v>
      </c>
      <c r="K340" s="31"/>
    </row>
    <row r="341" spans="1:18" ht="20.2" customHeight="1">
      <c r="A341" s="617"/>
      <c r="B341" s="34"/>
      <c r="C341" s="54" t="s">
        <v>1482</v>
      </c>
      <c r="D341" s="951"/>
      <c r="E341" s="471"/>
      <c r="F341" s="462"/>
      <c r="G341" s="462"/>
      <c r="H341" s="462">
        <f>SUM(H339:H340)</f>
        <v>6.4000000000000001E-2</v>
      </c>
      <c r="I341" s="698">
        <f>G25</f>
        <v>15324.5</v>
      </c>
      <c r="J341" s="471">
        <f>ROUND(H341*I341,2)</f>
        <v>980.77</v>
      </c>
      <c r="K341" s="31"/>
    </row>
    <row r="342" spans="1:18" ht="20.2" customHeight="1">
      <c r="A342" s="617"/>
      <c r="B342" s="32"/>
      <c r="C342" s="54" t="s">
        <v>1598</v>
      </c>
      <c r="D342" s="951"/>
      <c r="E342" s="953" t="s">
        <v>1651</v>
      </c>
      <c r="F342" s="462"/>
      <c r="G342" s="462"/>
      <c r="H342" s="948">
        <v>4</v>
      </c>
      <c r="I342" s="471">
        <v>32</v>
      </c>
      <c r="J342" s="471">
        <f>ROUND(H342*I342,2)</f>
        <v>128</v>
      </c>
      <c r="K342" s="31"/>
      <c r="L342" s="105"/>
    </row>
    <row r="343" spans="1:18" ht="20.2" customHeight="1">
      <c r="A343" s="617"/>
      <c r="B343" s="34"/>
      <c r="C343" s="54" t="s">
        <v>1484</v>
      </c>
      <c r="D343" s="951" t="s">
        <v>544</v>
      </c>
      <c r="E343" s="471">
        <v>1.3</v>
      </c>
      <c r="F343" s="462"/>
      <c r="G343" s="471">
        <v>1.35</v>
      </c>
      <c r="H343" s="462">
        <f>ROUND(G343*E343*2.75/3,2)</f>
        <v>1.61</v>
      </c>
      <c r="I343" s="698">
        <f>G15</f>
        <v>561.35799999999995</v>
      </c>
      <c r="J343" s="471">
        <f>ROUND(H343*I343/10,2)</f>
        <v>90.38</v>
      </c>
      <c r="K343" s="31"/>
      <c r="L343" s="105"/>
    </row>
    <row r="344" spans="1:18" ht="20.2" customHeight="1">
      <c r="A344" s="617"/>
      <c r="B344" s="34"/>
      <c r="C344" s="451" t="s">
        <v>1306</v>
      </c>
      <c r="D344" s="951" t="s">
        <v>246</v>
      </c>
      <c r="E344" s="471">
        <v>1.35</v>
      </c>
      <c r="F344" s="462">
        <f>10*1.35</f>
        <v>13.5</v>
      </c>
      <c r="G344" s="471">
        <v>1.1299999999999999</v>
      </c>
      <c r="H344" s="462">
        <f>G344*F344</f>
        <v>15.254999999999999</v>
      </c>
      <c r="I344" s="465">
        <f>'Lead- Input sheet '!R10/1000</f>
        <v>69.62</v>
      </c>
      <c r="J344" s="471">
        <f>H344*I344</f>
        <v>1062.0531000000001</v>
      </c>
      <c r="K344" s="31"/>
      <c r="L344" s="105"/>
    </row>
    <row r="345" spans="1:18" ht="20.2" customHeight="1">
      <c r="A345" s="617"/>
      <c r="B345" s="34"/>
      <c r="C345" s="54" t="s">
        <v>230</v>
      </c>
      <c r="D345" s="951"/>
      <c r="E345" s="471"/>
      <c r="F345" s="462"/>
      <c r="G345" s="462"/>
      <c r="H345" s="948">
        <v>1</v>
      </c>
      <c r="I345" s="471">
        <v>50</v>
      </c>
      <c r="J345" s="471">
        <f>H345*I345</f>
        <v>50</v>
      </c>
      <c r="K345" s="31"/>
      <c r="L345" s="105"/>
    </row>
    <row r="346" spans="1:18" ht="20.2" customHeight="1">
      <c r="A346" s="617"/>
      <c r="B346" s="34"/>
      <c r="D346" s="951"/>
      <c r="E346" s="471"/>
      <c r="F346" s="462"/>
      <c r="G346" s="462"/>
      <c r="H346" s="462"/>
      <c r="I346" s="471"/>
      <c r="J346" s="471">
        <f>SUM(J339:J345)</f>
        <v>3943.0231000000003</v>
      </c>
      <c r="K346" s="31"/>
    </row>
    <row r="347" spans="1:18" s="18" customFormat="1" ht="20.2" customHeight="1">
      <c r="A347" s="617"/>
      <c r="B347" s="40"/>
      <c r="C347" s="54" t="s">
        <v>1600</v>
      </c>
      <c r="D347" s="954"/>
      <c r="E347" s="468"/>
      <c r="F347" s="458"/>
      <c r="G347" s="458"/>
      <c r="H347" s="458">
        <f>J346</f>
        <v>3943.0231000000003</v>
      </c>
      <c r="I347" s="468">
        <f>I6</f>
        <v>0</v>
      </c>
      <c r="J347" s="471">
        <f>ROUND(H347*I347,2)</f>
        <v>0</v>
      </c>
      <c r="K347" s="17"/>
    </row>
    <row r="348" spans="1:18" s="439" customFormat="1" ht="20.2" customHeight="1">
      <c r="A348" s="617" t="s">
        <v>542</v>
      </c>
      <c r="B348" s="411"/>
      <c r="C348" s="418" t="s">
        <v>545</v>
      </c>
      <c r="D348" s="955"/>
      <c r="E348" s="469"/>
      <c r="F348" s="460"/>
      <c r="G348" s="460"/>
      <c r="H348" s="460"/>
      <c r="I348" s="469" t="s">
        <v>1486</v>
      </c>
      <c r="J348" s="469">
        <f>SUM(J346:J347)</f>
        <v>3943.0231000000003</v>
      </c>
      <c r="K348" s="447"/>
    </row>
    <row r="349" spans="1:18" s="439" customFormat="1" ht="20.2" customHeight="1">
      <c r="A349" s="617">
        <v>0</v>
      </c>
      <c r="B349" s="411"/>
      <c r="C349" s="418" t="s">
        <v>546</v>
      </c>
      <c r="D349" s="955"/>
      <c r="E349" s="469"/>
      <c r="F349" s="460"/>
      <c r="G349" s="460"/>
      <c r="H349" s="460"/>
      <c r="I349" s="469" t="s">
        <v>1486</v>
      </c>
      <c r="J349" s="469">
        <f>J336-J348</f>
        <v>3830.7469000000001</v>
      </c>
      <c r="K349" s="447"/>
    </row>
    <row r="350" spans="1:18" ht="116.1">
      <c r="A350" s="617"/>
      <c r="B350" s="966">
        <v>6</v>
      </c>
      <c r="C350" s="54" t="s">
        <v>1654</v>
      </c>
      <c r="D350" s="951"/>
      <c r="E350" s="471"/>
      <c r="F350" s="462"/>
      <c r="G350" s="462"/>
      <c r="H350" s="462"/>
      <c r="I350" s="471"/>
      <c r="J350" s="471"/>
      <c r="K350" s="31"/>
    </row>
    <row r="351" spans="1:18">
      <c r="A351" s="617"/>
      <c r="B351" s="34"/>
      <c r="C351" s="55" t="s">
        <v>947</v>
      </c>
      <c r="D351" s="951"/>
      <c r="E351" s="471"/>
      <c r="F351" s="462"/>
      <c r="G351" s="462"/>
      <c r="H351" s="462"/>
      <c r="I351" s="471"/>
      <c r="J351" s="471"/>
      <c r="K351" s="55" t="s">
        <v>1776</v>
      </c>
      <c r="L351" s="951"/>
      <c r="M351" s="471"/>
      <c r="N351" s="462"/>
      <c r="O351" s="462"/>
      <c r="P351" s="462"/>
      <c r="Q351" s="471"/>
      <c r="R351" s="471"/>
    </row>
    <row r="352" spans="1:18">
      <c r="A352" s="617"/>
      <c r="B352" s="34"/>
      <c r="C352" s="54" t="s">
        <v>848</v>
      </c>
      <c r="D352" s="951"/>
      <c r="E352" s="471"/>
      <c r="F352" s="462"/>
      <c r="G352" s="462"/>
      <c r="H352" s="462"/>
      <c r="I352" s="471"/>
      <c r="J352" s="471"/>
      <c r="K352" s="54" t="s">
        <v>848</v>
      </c>
      <c r="L352" s="951"/>
      <c r="M352" s="471"/>
      <c r="N352" s="462"/>
      <c r="O352" s="462"/>
      <c r="P352" s="462"/>
      <c r="Q352" s="471"/>
      <c r="R352" s="471"/>
    </row>
    <row r="353" spans="1:18" ht="20.2" customHeight="1">
      <c r="A353" s="617"/>
      <c r="B353" s="34"/>
      <c r="C353" s="54" t="s">
        <v>780</v>
      </c>
      <c r="D353" s="951">
        <v>5</v>
      </c>
      <c r="E353" s="471">
        <v>1.3</v>
      </c>
      <c r="F353" s="462">
        <v>0.1</v>
      </c>
      <c r="G353" s="462">
        <v>7.4999999999999997E-2</v>
      </c>
      <c r="H353" s="462">
        <f>ROUND(D353*E353*F353*G353,3)</f>
        <v>4.9000000000000002E-2</v>
      </c>
      <c r="I353" s="471">
        <v>25497.19</v>
      </c>
      <c r="J353" s="471">
        <f>ROUND(H353*I353,2)</f>
        <v>1249.3599999999999</v>
      </c>
      <c r="K353" s="54" t="s">
        <v>780</v>
      </c>
      <c r="L353" s="951">
        <v>5</v>
      </c>
      <c r="M353" s="471">
        <v>1.2</v>
      </c>
      <c r="N353" s="462">
        <v>0.1</v>
      </c>
      <c r="O353" s="462">
        <v>7.4999999999999997E-2</v>
      </c>
      <c r="P353" s="462">
        <f>ROUND(L353*M353*N353*O353,3)</f>
        <v>4.4999999999999998E-2</v>
      </c>
      <c r="Q353" s="471">
        <v>25497.19</v>
      </c>
      <c r="R353" s="471">
        <f>ROUND(P353*Q353,2)</f>
        <v>1147.3699999999999</v>
      </c>
    </row>
    <row r="354" spans="1:18" ht="20.2" customHeight="1">
      <c r="A354" s="617"/>
      <c r="B354" s="34"/>
      <c r="C354" s="54" t="s">
        <v>441</v>
      </c>
      <c r="D354" s="951">
        <v>2</v>
      </c>
      <c r="E354" s="471">
        <v>2</v>
      </c>
      <c r="F354" s="462">
        <v>0.1</v>
      </c>
      <c r="G354" s="462">
        <v>7.4999999999999997E-2</v>
      </c>
      <c r="H354" s="462">
        <f>ROUND(D354*E354*F354*G354,3)</f>
        <v>0.03</v>
      </c>
      <c r="I354" s="471">
        <v>25497.19</v>
      </c>
      <c r="J354" s="471">
        <f>ROUND(H354*I354,2)</f>
        <v>764.92</v>
      </c>
      <c r="K354" s="54" t="s">
        <v>441</v>
      </c>
      <c r="L354" s="951">
        <v>2</v>
      </c>
      <c r="M354" s="471">
        <v>2</v>
      </c>
      <c r="N354" s="462">
        <v>0.1</v>
      </c>
      <c r="O354" s="462">
        <v>7.4999999999999997E-2</v>
      </c>
      <c r="P354" s="462">
        <f>ROUND(L354*M354*N354*O354,3)</f>
        <v>0.03</v>
      </c>
      <c r="Q354" s="471">
        <v>25497.19</v>
      </c>
      <c r="R354" s="471">
        <f>ROUND(P354*Q354,2)</f>
        <v>764.92</v>
      </c>
    </row>
    <row r="355" spans="1:18" ht="20.2" customHeight="1">
      <c r="A355" s="617"/>
      <c r="B355" s="34"/>
      <c r="C355" s="54" t="s">
        <v>782</v>
      </c>
      <c r="D355" s="951" t="s">
        <v>854</v>
      </c>
      <c r="E355" s="471">
        <f>(1.35-2*0.075+2*0.015)</f>
        <v>1.2300000000000002</v>
      </c>
      <c r="F355" s="462">
        <v>7.4999999999999997E-2</v>
      </c>
      <c r="G355" s="462">
        <v>3.2000000000000001E-2</v>
      </c>
      <c r="H355" s="462">
        <f>ROUND(8*E355*F355*G355,3)</f>
        <v>2.4E-2</v>
      </c>
      <c r="I355" s="471">
        <v>31076.9</v>
      </c>
      <c r="J355" s="471">
        <f>ROUND(H355*I355,2)</f>
        <v>745.85</v>
      </c>
      <c r="K355" s="54" t="s">
        <v>782</v>
      </c>
      <c r="L355" s="951" t="s">
        <v>854</v>
      </c>
      <c r="M355" s="471">
        <f>(1.2-2*0.075+2*0.015)</f>
        <v>1.08</v>
      </c>
      <c r="N355" s="462">
        <v>7.4999999999999997E-2</v>
      </c>
      <c r="O355" s="462">
        <v>3.2000000000000001E-2</v>
      </c>
      <c r="P355" s="462">
        <f>ROUND(8*M355*N355*O355,3)</f>
        <v>2.1000000000000001E-2</v>
      </c>
      <c r="Q355" s="471">
        <v>31076.9</v>
      </c>
      <c r="R355" s="471">
        <f>ROUND(P355*Q355,2)</f>
        <v>652.61</v>
      </c>
    </row>
    <row r="356" spans="1:18" ht="20.2" customHeight="1">
      <c r="A356" s="617"/>
      <c r="B356" s="34"/>
      <c r="C356" s="54" t="s">
        <v>783</v>
      </c>
      <c r="D356" s="951" t="s">
        <v>855</v>
      </c>
      <c r="E356" s="471">
        <f>(1.85-5*0.075+8*0.015)/4</f>
        <v>0.39875000000000005</v>
      </c>
      <c r="F356" s="462">
        <v>7.4999999999999997E-2</v>
      </c>
      <c r="G356" s="462">
        <v>3.2000000000000001E-2</v>
      </c>
      <c r="H356" s="462">
        <f>ROUND(12*E356*F356*G356,3)</f>
        <v>1.0999999999999999E-2</v>
      </c>
      <c r="I356" s="471">
        <v>31076.9</v>
      </c>
      <c r="J356" s="471">
        <f>ROUND(H356*I356,2)</f>
        <v>341.85</v>
      </c>
      <c r="K356" s="54" t="s">
        <v>783</v>
      </c>
      <c r="L356" s="951" t="s">
        <v>855</v>
      </c>
      <c r="M356" s="471">
        <f>(1.85-5*0.075+8*0.015)/4</f>
        <v>0.39875000000000005</v>
      </c>
      <c r="N356" s="462">
        <v>7.4999999999999997E-2</v>
      </c>
      <c r="O356" s="462">
        <v>3.2000000000000001E-2</v>
      </c>
      <c r="P356" s="462">
        <f>ROUND(12*M356*N356*O356,3)</f>
        <v>1.0999999999999999E-2</v>
      </c>
      <c r="Q356" s="471">
        <v>31076.9</v>
      </c>
      <c r="R356" s="471">
        <f>ROUND(P356*Q356,2)</f>
        <v>341.85</v>
      </c>
    </row>
    <row r="357" spans="1:18" ht="35.200000000000003" customHeight="1">
      <c r="A357" s="617" t="s">
        <v>418</v>
      </c>
      <c r="C357" s="54" t="s">
        <v>417</v>
      </c>
      <c r="D357" s="951" t="s">
        <v>854</v>
      </c>
      <c r="E357" s="471">
        <f>(1.85-5*0.075+8*0.015)/4+2*0.025</f>
        <v>0.44875000000000004</v>
      </c>
      <c r="F357" s="462">
        <f>(1.35-2*0.075+2*0.015-3*0.075)/2+2*0.025</f>
        <v>0.55250000000000021</v>
      </c>
      <c r="G357" s="462">
        <f>ROUND(8*E357*F357,3)</f>
        <v>1.9830000000000001</v>
      </c>
      <c r="H357" s="462"/>
      <c r="I357" s="471">
        <v>806</v>
      </c>
      <c r="J357" s="471">
        <f>ROUND(G357*I357,2)</f>
        <v>1598.3</v>
      </c>
      <c r="K357" s="54" t="s">
        <v>417</v>
      </c>
      <c r="L357" s="951" t="s">
        <v>854</v>
      </c>
      <c r="M357" s="471">
        <f>(1.85-5*0.075+8*0.015)/4+2*0.025</f>
        <v>0.44875000000000004</v>
      </c>
      <c r="N357" s="462">
        <f>(1.2-2*0.075+2*0.015-3*0.075)/2+2*0.025</f>
        <v>0.47750000000000004</v>
      </c>
      <c r="O357" s="462">
        <f>ROUND(8*M357*N357,3)</f>
        <v>1.714</v>
      </c>
      <c r="P357" s="462"/>
      <c r="Q357" s="471">
        <v>806</v>
      </c>
      <c r="R357" s="471">
        <f>ROUND(O357*Q357,2)</f>
        <v>1381.48</v>
      </c>
    </row>
    <row r="358" spans="1:18" ht="20.2" customHeight="1">
      <c r="A358" s="617"/>
      <c r="B358" s="34"/>
      <c r="C358" s="54" t="s">
        <v>1482</v>
      </c>
      <c r="D358" s="951"/>
      <c r="E358" s="471"/>
      <c r="F358" s="462"/>
      <c r="G358" s="462"/>
      <c r="H358" s="462">
        <f>SUM(H353:H357)</f>
        <v>0.114</v>
      </c>
      <c r="I358" s="465">
        <f>G25</f>
        <v>15324.5</v>
      </c>
      <c r="J358" s="471">
        <f>ROUND(H358*I358,2)</f>
        <v>1746.99</v>
      </c>
      <c r="K358" s="54" t="s">
        <v>1482</v>
      </c>
      <c r="L358" s="951"/>
      <c r="M358" s="471"/>
      <c r="N358" s="462"/>
      <c r="O358" s="462"/>
      <c r="P358" s="462">
        <f>SUM(P353:P357)</f>
        <v>0.107</v>
      </c>
      <c r="Q358" s="465">
        <f>I358</f>
        <v>15324.5</v>
      </c>
      <c r="R358" s="471">
        <f>ROUND(P358*Q358,2)</f>
        <v>1639.72</v>
      </c>
    </row>
    <row r="359" spans="1:18" ht="33.299999999999997">
      <c r="A359" s="617" t="s">
        <v>787</v>
      </c>
      <c r="B359" s="19"/>
      <c r="C359" s="54" t="s">
        <v>788</v>
      </c>
      <c r="D359" s="951"/>
      <c r="E359" s="471"/>
      <c r="F359" s="462"/>
      <c r="G359" s="952"/>
      <c r="H359" s="952"/>
      <c r="I359" s="471"/>
      <c r="J359" s="471"/>
      <c r="K359" s="54" t="s">
        <v>788</v>
      </c>
      <c r="L359" s="951"/>
      <c r="M359" s="471"/>
      <c r="N359" s="462"/>
      <c r="O359" s="952"/>
      <c r="P359" s="952"/>
      <c r="Q359" s="471"/>
      <c r="R359" s="471"/>
    </row>
    <row r="360" spans="1:18" ht="20.2" customHeight="1">
      <c r="A360" s="617"/>
      <c r="B360" s="693"/>
      <c r="C360" s="694" t="s">
        <v>915</v>
      </c>
      <c r="D360" s="471" t="s">
        <v>1035</v>
      </c>
      <c r="E360" s="462" t="s">
        <v>1624</v>
      </c>
      <c r="F360" s="462"/>
      <c r="G360" s="462"/>
      <c r="H360" s="948">
        <v>4</v>
      </c>
      <c r="I360" s="471">
        <v>35</v>
      </c>
      <c r="J360" s="471">
        <f t="shared" ref="J360:J365" si="24">ROUND(H360*I360,2)</f>
        <v>140</v>
      </c>
      <c r="K360" s="694" t="s">
        <v>915</v>
      </c>
      <c r="L360" s="471" t="s">
        <v>1035</v>
      </c>
      <c r="M360" s="462" t="s">
        <v>1624</v>
      </c>
      <c r="N360" s="462"/>
      <c r="O360" s="462"/>
      <c r="P360" s="948">
        <v>3</v>
      </c>
      <c r="Q360" s="471">
        <v>38</v>
      </c>
      <c r="R360" s="471">
        <f t="shared" ref="R360:R365" si="25">ROUND(P360*Q360,2)</f>
        <v>114</v>
      </c>
    </row>
    <row r="361" spans="1:18" ht="20.2" customHeight="1">
      <c r="A361" s="617"/>
      <c r="B361" s="693"/>
      <c r="C361" s="31" t="s">
        <v>916</v>
      </c>
      <c r="D361" s="471" t="s">
        <v>1035</v>
      </c>
      <c r="E361" s="462" t="s">
        <v>1624</v>
      </c>
      <c r="F361" s="462"/>
      <c r="G361" s="462"/>
      <c r="H361" s="948">
        <v>4</v>
      </c>
      <c r="I361" s="471">
        <v>35</v>
      </c>
      <c r="J361" s="471">
        <f t="shared" si="24"/>
        <v>140</v>
      </c>
      <c r="K361" s="31" t="s">
        <v>916</v>
      </c>
      <c r="L361" s="471" t="s">
        <v>1035</v>
      </c>
      <c r="M361" s="462" t="s">
        <v>1624</v>
      </c>
      <c r="N361" s="462"/>
      <c r="O361" s="462"/>
      <c r="P361" s="948">
        <v>3</v>
      </c>
      <c r="Q361" s="471">
        <v>38</v>
      </c>
      <c r="R361" s="471">
        <f t="shared" si="25"/>
        <v>114</v>
      </c>
    </row>
    <row r="362" spans="1:18" ht="20.2" customHeight="1">
      <c r="A362" s="617"/>
      <c r="B362" s="693"/>
      <c r="C362" s="946" t="s">
        <v>917</v>
      </c>
      <c r="D362" s="471" t="s">
        <v>1035</v>
      </c>
      <c r="E362" s="462" t="s">
        <v>1625</v>
      </c>
      <c r="F362" s="462"/>
      <c r="G362" s="462"/>
      <c r="H362" s="948">
        <v>8</v>
      </c>
      <c r="I362" s="471">
        <v>21</v>
      </c>
      <c r="J362" s="471">
        <f t="shared" si="24"/>
        <v>168</v>
      </c>
      <c r="K362" s="946" t="s">
        <v>917</v>
      </c>
      <c r="L362" s="471" t="s">
        <v>1035</v>
      </c>
      <c r="M362" s="462" t="s">
        <v>1625</v>
      </c>
      <c r="N362" s="462"/>
      <c r="O362" s="462"/>
      <c r="P362" s="948">
        <v>6</v>
      </c>
      <c r="Q362" s="471">
        <v>26</v>
      </c>
      <c r="R362" s="471">
        <f t="shared" si="25"/>
        <v>156</v>
      </c>
    </row>
    <row r="363" spans="1:18" ht="20.2" customHeight="1">
      <c r="A363" s="617"/>
      <c r="B363" s="693"/>
      <c r="C363" s="694" t="s">
        <v>918</v>
      </c>
      <c r="D363" s="471" t="s">
        <v>1035</v>
      </c>
      <c r="E363" s="462" t="s">
        <v>1626</v>
      </c>
      <c r="F363" s="462"/>
      <c r="G363" s="462"/>
      <c r="H363" s="948">
        <v>3</v>
      </c>
      <c r="I363" s="471">
        <v>213</v>
      </c>
      <c r="J363" s="471">
        <f t="shared" si="24"/>
        <v>639</v>
      </c>
      <c r="K363" s="694" t="s">
        <v>918</v>
      </c>
      <c r="L363" s="471" t="s">
        <v>1035</v>
      </c>
      <c r="M363" s="462" t="s">
        <v>1626</v>
      </c>
      <c r="N363" s="462"/>
      <c r="O363" s="462"/>
      <c r="P363" s="948">
        <v>3</v>
      </c>
      <c r="Q363" s="471">
        <v>107</v>
      </c>
      <c r="R363" s="471">
        <f t="shared" si="25"/>
        <v>321</v>
      </c>
    </row>
    <row r="364" spans="1:18" ht="20.2" customHeight="1">
      <c r="A364" s="617"/>
      <c r="B364" s="693"/>
      <c r="C364" s="694" t="s">
        <v>799</v>
      </c>
      <c r="D364" s="471" t="s">
        <v>882</v>
      </c>
      <c r="E364" s="462" t="s">
        <v>1652</v>
      </c>
      <c r="F364" s="462"/>
      <c r="G364" s="462"/>
      <c r="H364" s="948">
        <v>90</v>
      </c>
      <c r="I364" s="471">
        <v>3</v>
      </c>
      <c r="J364" s="471">
        <f t="shared" si="24"/>
        <v>270</v>
      </c>
      <c r="K364" s="694" t="s">
        <v>799</v>
      </c>
      <c r="L364" s="471" t="s">
        <v>882</v>
      </c>
      <c r="M364" s="462" t="s">
        <v>1652</v>
      </c>
      <c r="N364" s="462"/>
      <c r="O364" s="462"/>
      <c r="P364" s="948">
        <v>90</v>
      </c>
      <c r="Q364" s="471">
        <v>0.89</v>
      </c>
      <c r="R364" s="471">
        <f t="shared" si="25"/>
        <v>80.099999999999994</v>
      </c>
    </row>
    <row r="365" spans="1:18" ht="20.2" customHeight="1">
      <c r="A365" s="617"/>
      <c r="B365" s="32"/>
      <c r="C365" s="54" t="s">
        <v>1598</v>
      </c>
      <c r="D365" s="951"/>
      <c r="E365" s="953" t="s">
        <v>1651</v>
      </c>
      <c r="F365" s="462"/>
      <c r="G365" s="462"/>
      <c r="H365" s="948">
        <v>4</v>
      </c>
      <c r="I365" s="471">
        <v>32</v>
      </c>
      <c r="J365" s="471">
        <f t="shared" si="24"/>
        <v>128</v>
      </c>
      <c r="K365" s="54" t="s">
        <v>1598</v>
      </c>
      <c r="L365" s="951"/>
      <c r="M365" s="953" t="s">
        <v>1651</v>
      </c>
      <c r="N365" s="462"/>
      <c r="O365" s="462"/>
      <c r="P365" s="948">
        <v>4</v>
      </c>
      <c r="Q365" s="471">
        <v>35</v>
      </c>
      <c r="R365" s="471">
        <f t="shared" si="25"/>
        <v>140</v>
      </c>
    </row>
    <row r="366" spans="1:18" ht="20.2" customHeight="1">
      <c r="A366" s="617"/>
      <c r="B366" s="34"/>
      <c r="C366" s="54" t="s">
        <v>1484</v>
      </c>
      <c r="D366" s="951">
        <v>2.75</v>
      </c>
      <c r="E366" s="471">
        <v>1.8</v>
      </c>
      <c r="F366" s="462"/>
      <c r="G366" s="471">
        <v>1.35</v>
      </c>
      <c r="H366" s="462">
        <f>ROUND(G366*E366*D366,2)</f>
        <v>6.68</v>
      </c>
      <c r="I366" s="698">
        <f>G15</f>
        <v>561.35799999999995</v>
      </c>
      <c r="J366" s="471">
        <f>ROUND(H366*I366/10,2)</f>
        <v>374.99</v>
      </c>
      <c r="K366" s="54" t="s">
        <v>1484</v>
      </c>
      <c r="L366" s="951">
        <v>2.75</v>
      </c>
      <c r="M366" s="471">
        <v>1.8</v>
      </c>
      <c r="N366" s="462"/>
      <c r="O366" s="471">
        <v>1.2</v>
      </c>
      <c r="P366" s="462">
        <f>ROUND(O366*M366*L366,2)</f>
        <v>5.94</v>
      </c>
      <c r="Q366" s="698">
        <f>I366</f>
        <v>561.35799999999995</v>
      </c>
      <c r="R366" s="471">
        <f>ROUND(P366*Q366/10,2)</f>
        <v>333.45</v>
      </c>
    </row>
    <row r="367" spans="1:18" ht="20.2" customHeight="1">
      <c r="A367" s="617"/>
      <c r="B367" s="34"/>
      <c r="C367" s="451" t="s">
        <v>1306</v>
      </c>
      <c r="D367" s="951" t="s">
        <v>246</v>
      </c>
      <c r="E367" s="471">
        <v>1.8</v>
      </c>
      <c r="F367" s="462">
        <f>10*1.8</f>
        <v>18</v>
      </c>
      <c r="G367" s="471">
        <v>1.1299999999999999</v>
      </c>
      <c r="H367" s="462">
        <f>G367*F367</f>
        <v>20.339999999999996</v>
      </c>
      <c r="I367" s="465">
        <f>'Lead- Input sheet '!R10/1000</f>
        <v>69.62</v>
      </c>
      <c r="J367" s="471">
        <f>H367*I367</f>
        <v>1416.0707999999997</v>
      </c>
      <c r="K367" s="451" t="s">
        <v>1306</v>
      </c>
      <c r="L367" s="951" t="s">
        <v>246</v>
      </c>
      <c r="M367" s="471">
        <v>1.8</v>
      </c>
      <c r="N367" s="462">
        <f>10*1.8</f>
        <v>18</v>
      </c>
      <c r="O367" s="471">
        <v>1.1299999999999999</v>
      </c>
      <c r="P367" s="462">
        <f>O367*N367</f>
        <v>20.339999999999996</v>
      </c>
      <c r="Q367" s="698">
        <f>I367</f>
        <v>69.62</v>
      </c>
      <c r="R367" s="471">
        <f>P367*Q367</f>
        <v>1416.0707999999997</v>
      </c>
    </row>
    <row r="368" spans="1:18" ht="20.2" customHeight="1">
      <c r="A368" s="617"/>
      <c r="B368" s="34"/>
      <c r="C368" s="54" t="s">
        <v>230</v>
      </c>
      <c r="D368" s="951"/>
      <c r="E368" s="471"/>
      <c r="F368" s="462"/>
      <c r="G368" s="462"/>
      <c r="H368" s="948">
        <v>1</v>
      </c>
      <c r="I368" s="471">
        <v>150</v>
      </c>
      <c r="J368" s="471">
        <f>H368*I368</f>
        <v>150</v>
      </c>
      <c r="K368" s="54" t="s">
        <v>230</v>
      </c>
      <c r="L368" s="951"/>
      <c r="M368" s="471"/>
      <c r="N368" s="462"/>
      <c r="O368" s="462"/>
      <c r="P368" s="948">
        <v>1</v>
      </c>
      <c r="Q368" s="471">
        <v>150</v>
      </c>
      <c r="R368" s="471">
        <f>P368*Q368</f>
        <v>150</v>
      </c>
    </row>
    <row r="369" spans="1:18" ht="20.2" customHeight="1">
      <c r="A369" s="617"/>
      <c r="B369" s="34"/>
      <c r="D369" s="951"/>
      <c r="E369" s="471"/>
      <c r="F369" s="462"/>
      <c r="G369" s="462"/>
      <c r="H369" s="462"/>
      <c r="I369" s="471"/>
      <c r="J369" s="471">
        <f>SUM(J353:J368)</f>
        <v>9873.3307999999997</v>
      </c>
      <c r="K369" s="54"/>
      <c r="L369" s="951"/>
      <c r="M369" s="471"/>
      <c r="N369" s="462"/>
      <c r="O369" s="462"/>
      <c r="P369" s="462"/>
      <c r="Q369" s="471"/>
      <c r="R369" s="471">
        <f>SUM(R353:R368)</f>
        <v>8752.5707999999995</v>
      </c>
    </row>
    <row r="370" spans="1:18" s="18" customFormat="1" ht="20.2" customHeight="1">
      <c r="A370" s="617"/>
      <c r="B370" s="40"/>
      <c r="C370" s="54" t="s">
        <v>1600</v>
      </c>
      <c r="D370" s="954"/>
      <c r="E370" s="468"/>
      <c r="F370" s="458"/>
      <c r="G370" s="458"/>
      <c r="H370" s="458">
        <f>J369</f>
        <v>9873.3307999999997</v>
      </c>
      <c r="I370" s="468">
        <f>I6</f>
        <v>0</v>
      </c>
      <c r="J370" s="471">
        <f>ROUND(H370*I370,2)</f>
        <v>0</v>
      </c>
      <c r="K370" s="54" t="s">
        <v>1600</v>
      </c>
      <c r="L370" s="954"/>
      <c r="M370" s="468"/>
      <c r="N370" s="458"/>
      <c r="O370" s="458"/>
      <c r="P370" s="458">
        <f>R369</f>
        <v>8752.5707999999995</v>
      </c>
      <c r="Q370" s="468">
        <f>R6</f>
        <v>0</v>
      </c>
      <c r="R370" s="471">
        <f>ROUND(P370*Q370,2)</f>
        <v>0</v>
      </c>
    </row>
    <row r="371" spans="1:18" s="439" customFormat="1" ht="20.2" customHeight="1">
      <c r="A371" s="617" t="s">
        <v>547</v>
      </c>
      <c r="B371" s="411"/>
      <c r="C371" s="283" t="s">
        <v>256</v>
      </c>
      <c r="D371" s="955"/>
      <c r="E371" s="469"/>
      <c r="F371" s="460"/>
      <c r="G371" s="460"/>
      <c r="H371" s="460"/>
      <c r="I371" s="469" t="s">
        <v>416</v>
      </c>
      <c r="J371" s="469">
        <f>SUM(J369:J370)</f>
        <v>9873.3307999999997</v>
      </c>
      <c r="K371" s="283" t="s">
        <v>256</v>
      </c>
      <c r="L371" s="955"/>
      <c r="M371" s="469"/>
      <c r="N371" s="460"/>
      <c r="O371" s="460"/>
      <c r="P371" s="460"/>
      <c r="Q371" s="469" t="s">
        <v>416</v>
      </c>
      <c r="R371" s="469">
        <f>SUM(R369:R370)</f>
        <v>8752.5707999999995</v>
      </c>
    </row>
    <row r="372" spans="1:18">
      <c r="A372" s="617"/>
      <c r="B372" s="34"/>
      <c r="C372" s="417" t="s">
        <v>14</v>
      </c>
      <c r="D372" s="951"/>
      <c r="E372" s="471"/>
      <c r="F372" s="462"/>
      <c r="G372" s="462"/>
      <c r="H372" s="462"/>
      <c r="I372" s="471"/>
      <c r="J372" s="471"/>
      <c r="K372" s="417" t="s">
        <v>14</v>
      </c>
      <c r="L372" s="951"/>
      <c r="M372" s="471"/>
      <c r="N372" s="462"/>
      <c r="O372" s="462"/>
      <c r="P372" s="462"/>
      <c r="Q372" s="471"/>
      <c r="R372" s="471"/>
    </row>
    <row r="373" spans="1:18">
      <c r="A373" s="617"/>
      <c r="B373" s="34"/>
      <c r="C373" s="54" t="s">
        <v>848</v>
      </c>
      <c r="D373" s="951"/>
      <c r="E373" s="471"/>
      <c r="F373" s="462"/>
      <c r="G373" s="462"/>
      <c r="H373" s="462"/>
      <c r="I373" s="471"/>
      <c r="J373" s="471"/>
      <c r="K373" s="54" t="s">
        <v>848</v>
      </c>
      <c r="L373" s="951"/>
      <c r="M373" s="471"/>
      <c r="N373" s="462"/>
      <c r="O373" s="462"/>
      <c r="P373" s="462"/>
      <c r="Q373" s="471"/>
      <c r="R373" s="471"/>
    </row>
    <row r="374" spans="1:18" ht="20.2" customHeight="1">
      <c r="A374" s="617"/>
      <c r="B374" s="34"/>
      <c r="C374" s="54" t="s">
        <v>780</v>
      </c>
      <c r="D374" s="951">
        <v>5</v>
      </c>
      <c r="E374" s="471">
        <v>1.3</v>
      </c>
      <c r="F374" s="462">
        <v>0.1</v>
      </c>
      <c r="G374" s="462">
        <v>7.4999999999999997E-2</v>
      </c>
      <c r="H374" s="462">
        <f>ROUND(D374*E374*F374*G374,3)</f>
        <v>4.9000000000000002E-2</v>
      </c>
      <c r="I374" s="471">
        <v>25497.19</v>
      </c>
      <c r="J374" s="471">
        <f>ROUND(H374*I374,2)</f>
        <v>1249.3599999999999</v>
      </c>
      <c r="K374" s="54" t="s">
        <v>780</v>
      </c>
      <c r="L374" s="951">
        <v>5</v>
      </c>
      <c r="M374" s="471">
        <v>1.2</v>
      </c>
      <c r="N374" s="462">
        <v>0.1</v>
      </c>
      <c r="O374" s="462">
        <v>7.4999999999999997E-2</v>
      </c>
      <c r="P374" s="462">
        <f>ROUND(L374*M374*N374*O374,3)</f>
        <v>4.4999999999999998E-2</v>
      </c>
      <c r="Q374" s="471">
        <v>25497.19</v>
      </c>
      <c r="R374" s="471">
        <f>ROUND(P374*Q374,2)</f>
        <v>1147.3699999999999</v>
      </c>
    </row>
    <row r="375" spans="1:18" ht="20.2" customHeight="1">
      <c r="A375" s="617"/>
      <c r="B375" s="34"/>
      <c r="C375" s="54" t="s">
        <v>441</v>
      </c>
      <c r="D375" s="951">
        <v>2</v>
      </c>
      <c r="E375" s="471">
        <v>2</v>
      </c>
      <c r="F375" s="462">
        <v>0.1</v>
      </c>
      <c r="G375" s="462">
        <v>7.4999999999999997E-2</v>
      </c>
      <c r="H375" s="462">
        <f>ROUND(D375*E375*F375*G375,3)</f>
        <v>0.03</v>
      </c>
      <c r="I375" s="471">
        <v>25497.19</v>
      </c>
      <c r="J375" s="471">
        <f>ROUND(H375*I375,2)</f>
        <v>764.92</v>
      </c>
      <c r="K375" s="54" t="s">
        <v>441</v>
      </c>
      <c r="L375" s="951">
        <v>2</v>
      </c>
      <c r="M375" s="471">
        <v>2</v>
      </c>
      <c r="N375" s="462">
        <v>0.1</v>
      </c>
      <c r="O375" s="462">
        <v>7.4999999999999997E-2</v>
      </c>
      <c r="P375" s="462">
        <f>ROUND(L375*M375*N375*O375,3)</f>
        <v>0.03</v>
      </c>
      <c r="Q375" s="471">
        <v>25497.19</v>
      </c>
      <c r="R375" s="471">
        <f>ROUND(P375*Q375,2)</f>
        <v>764.92</v>
      </c>
    </row>
    <row r="376" spans="1:18" ht="20.2" customHeight="1">
      <c r="A376" s="617"/>
      <c r="B376" s="34"/>
      <c r="C376" s="54" t="s">
        <v>1482</v>
      </c>
      <c r="D376" s="951"/>
      <c r="E376" s="471"/>
      <c r="F376" s="462"/>
      <c r="G376" s="462"/>
      <c r="H376" s="462">
        <f>SUM(H374:H375)</f>
        <v>7.9000000000000001E-2</v>
      </c>
      <c r="I376" s="465">
        <f>G25</f>
        <v>15324.5</v>
      </c>
      <c r="J376" s="471">
        <f>ROUND(H376*I376,2)</f>
        <v>1210.6400000000001</v>
      </c>
      <c r="K376" s="54" t="s">
        <v>1482</v>
      </c>
      <c r="L376" s="951"/>
      <c r="M376" s="471"/>
      <c r="N376" s="462"/>
      <c r="O376" s="462"/>
      <c r="P376" s="462">
        <f>SUM(P374:P375)</f>
        <v>7.4999999999999997E-2</v>
      </c>
      <c r="Q376" s="465">
        <f>I376</f>
        <v>15324.5</v>
      </c>
      <c r="R376" s="471">
        <f>ROUND(P376*Q376,2)</f>
        <v>1149.3399999999999</v>
      </c>
    </row>
    <row r="377" spans="1:18" ht="33.299999999999997">
      <c r="A377" s="617" t="s">
        <v>787</v>
      </c>
      <c r="B377" s="19"/>
      <c r="C377" s="54" t="s">
        <v>788</v>
      </c>
      <c r="D377" s="951"/>
      <c r="E377" s="471"/>
      <c r="F377" s="462"/>
      <c r="G377" s="952"/>
      <c r="H377" s="952"/>
      <c r="I377" s="471"/>
      <c r="J377" s="471"/>
      <c r="K377" s="54" t="s">
        <v>788</v>
      </c>
      <c r="L377" s="951"/>
      <c r="M377" s="471"/>
      <c r="N377" s="462"/>
      <c r="O377" s="952"/>
      <c r="P377" s="952"/>
      <c r="Q377" s="471"/>
      <c r="R377" s="471"/>
    </row>
    <row r="378" spans="1:18" ht="20.2" customHeight="1">
      <c r="A378" s="617"/>
      <c r="B378" s="32"/>
      <c r="C378" s="54" t="s">
        <v>1598</v>
      </c>
      <c r="D378" s="951"/>
      <c r="E378" s="953" t="s">
        <v>1651</v>
      </c>
      <c r="F378" s="462"/>
      <c r="G378" s="462"/>
      <c r="H378" s="948">
        <v>4</v>
      </c>
      <c r="I378" s="471">
        <v>32</v>
      </c>
      <c r="J378" s="471">
        <f>ROUND(H378*I378,2)</f>
        <v>128</v>
      </c>
      <c r="K378" s="54" t="s">
        <v>1598</v>
      </c>
      <c r="L378" s="951"/>
      <c r="M378" s="953" t="s">
        <v>1651</v>
      </c>
      <c r="N378" s="462"/>
      <c r="O378" s="462"/>
      <c r="P378" s="948">
        <v>4</v>
      </c>
      <c r="Q378" s="471">
        <v>35</v>
      </c>
      <c r="R378" s="471">
        <f>ROUND(P378*Q378,2)</f>
        <v>140</v>
      </c>
    </row>
    <row r="379" spans="1:18" ht="20.2" customHeight="1">
      <c r="A379" s="617"/>
      <c r="B379" s="34"/>
      <c r="C379" s="54" t="s">
        <v>1484</v>
      </c>
      <c r="D379" s="951">
        <v>2.75</v>
      </c>
      <c r="E379" s="471">
        <v>1.8</v>
      </c>
      <c r="F379" s="462"/>
      <c r="G379" s="471">
        <v>1.3</v>
      </c>
      <c r="H379" s="462">
        <f>ROUND(G379*E379*D379,2)</f>
        <v>6.44</v>
      </c>
      <c r="I379" s="698">
        <f>G15</f>
        <v>561.35799999999995</v>
      </c>
      <c r="J379" s="471">
        <f>ROUND(H379*I379/10,2)</f>
        <v>361.51</v>
      </c>
      <c r="K379" s="54" t="s">
        <v>1484</v>
      </c>
      <c r="L379" s="951">
        <v>2.75</v>
      </c>
      <c r="M379" s="471">
        <v>1.8</v>
      </c>
      <c r="N379" s="462"/>
      <c r="O379" s="471">
        <v>1.3</v>
      </c>
      <c r="P379" s="462">
        <f>ROUND(O379*M379*L379,2)</f>
        <v>6.44</v>
      </c>
      <c r="Q379" s="698">
        <f>I379</f>
        <v>561.35799999999995</v>
      </c>
      <c r="R379" s="471">
        <f>ROUND(P379*Q379/10,2)</f>
        <v>361.51</v>
      </c>
    </row>
    <row r="380" spans="1:18" ht="20.2" customHeight="1">
      <c r="A380" s="617"/>
      <c r="B380" s="34"/>
      <c r="C380" s="451" t="s">
        <v>1306</v>
      </c>
      <c r="D380" s="951" t="s">
        <v>246</v>
      </c>
      <c r="E380" s="471">
        <v>1.8</v>
      </c>
      <c r="F380" s="462">
        <f>10*1.8</f>
        <v>18</v>
      </c>
      <c r="G380" s="471">
        <v>1.1299999999999999</v>
      </c>
      <c r="H380" s="462">
        <f>G380*F380</f>
        <v>20.339999999999996</v>
      </c>
      <c r="I380" s="465">
        <f>'Lead- Input sheet '!R10/1000</f>
        <v>69.62</v>
      </c>
      <c r="J380" s="471">
        <f>H380*I380</f>
        <v>1416.0707999999997</v>
      </c>
      <c r="K380" s="451" t="s">
        <v>1306</v>
      </c>
      <c r="L380" s="951" t="s">
        <v>246</v>
      </c>
      <c r="M380" s="471">
        <v>1.8</v>
      </c>
      <c r="N380" s="462">
        <f>10*1.8</f>
        <v>18</v>
      </c>
      <c r="O380" s="471">
        <v>1.1299999999999999</v>
      </c>
      <c r="P380" s="462">
        <f>O380*N380</f>
        <v>20.339999999999996</v>
      </c>
      <c r="Q380" s="465">
        <f>I380</f>
        <v>69.62</v>
      </c>
      <c r="R380" s="471">
        <f>P380*Q380</f>
        <v>1416.0707999999997</v>
      </c>
    </row>
    <row r="381" spans="1:18" ht="20.2" customHeight="1">
      <c r="A381" s="617"/>
      <c r="B381" s="34"/>
      <c r="C381" s="54" t="s">
        <v>230</v>
      </c>
      <c r="D381" s="951"/>
      <c r="E381" s="471"/>
      <c r="F381" s="462"/>
      <c r="G381" s="462"/>
      <c r="H381" s="948">
        <v>1</v>
      </c>
      <c r="I381" s="471">
        <v>75</v>
      </c>
      <c r="J381" s="471">
        <f>H381*I381</f>
        <v>75</v>
      </c>
      <c r="K381" s="54" t="s">
        <v>230</v>
      </c>
      <c r="L381" s="951"/>
      <c r="M381" s="471"/>
      <c r="N381" s="462"/>
      <c r="O381" s="462"/>
      <c r="P381" s="948">
        <v>1</v>
      </c>
      <c r="Q381" s="471">
        <v>75</v>
      </c>
      <c r="R381" s="471">
        <f>P381*Q381</f>
        <v>75</v>
      </c>
    </row>
    <row r="382" spans="1:18" ht="20.2" customHeight="1">
      <c r="A382" s="617"/>
      <c r="B382" s="34"/>
      <c r="D382" s="951"/>
      <c r="E382" s="471"/>
      <c r="F382" s="462"/>
      <c r="G382" s="462"/>
      <c r="H382" s="462"/>
      <c r="I382" s="471"/>
      <c r="J382" s="471">
        <f>SUM(J374:J381)</f>
        <v>5205.5007999999998</v>
      </c>
      <c r="K382" s="54"/>
      <c r="L382" s="951"/>
      <c r="M382" s="471"/>
      <c r="N382" s="462"/>
      <c r="O382" s="462"/>
      <c r="P382" s="462"/>
      <c r="Q382" s="471"/>
      <c r="R382" s="471">
        <f>SUM(R374:R381)</f>
        <v>5054.2107999999998</v>
      </c>
    </row>
    <row r="383" spans="1:18" s="18" customFormat="1" ht="20.2" customHeight="1">
      <c r="A383" s="617"/>
      <c r="B383" s="40"/>
      <c r="C383" s="54" t="s">
        <v>1600</v>
      </c>
      <c r="D383" s="954"/>
      <c r="E383" s="468"/>
      <c r="F383" s="458"/>
      <c r="G383" s="458"/>
      <c r="H383" s="458">
        <f>'Lead- Input sheet '!Q32</f>
        <v>0</v>
      </c>
      <c r="I383" s="468">
        <f>J382</f>
        <v>5205.5007999999998</v>
      </c>
      <c r="J383" s="471">
        <f>ROUND(H383*I383,2)</f>
        <v>0</v>
      </c>
      <c r="K383" s="54" t="s">
        <v>1600</v>
      </c>
      <c r="L383" s="954"/>
      <c r="M383" s="468"/>
      <c r="N383" s="458"/>
      <c r="O383" s="458"/>
      <c r="P383" s="458">
        <f>'Lead- Input sheet '!X32</f>
        <v>0</v>
      </c>
      <c r="Q383" s="468">
        <f>R382</f>
        <v>5054.2107999999998</v>
      </c>
      <c r="R383" s="471">
        <f>ROUND(P383*Q383,2)</f>
        <v>0</v>
      </c>
    </row>
    <row r="384" spans="1:18" s="439" customFormat="1" ht="20.2" customHeight="1">
      <c r="A384" s="617"/>
      <c r="B384" s="411"/>
      <c r="C384" s="418" t="s">
        <v>15</v>
      </c>
      <c r="D384" s="955"/>
      <c r="E384" s="469"/>
      <c r="F384" s="460"/>
      <c r="G384" s="460"/>
      <c r="H384" s="460"/>
      <c r="I384" s="469" t="s">
        <v>1486</v>
      </c>
      <c r="J384" s="469">
        <f>SUM(J382:J383)</f>
        <v>5205.5007999999998</v>
      </c>
      <c r="K384" s="418" t="s">
        <v>15</v>
      </c>
      <c r="L384" s="955"/>
      <c r="M384" s="469"/>
      <c r="N384" s="460"/>
      <c r="O384" s="460"/>
      <c r="P384" s="460"/>
      <c r="Q384" s="469" t="s">
        <v>1486</v>
      </c>
      <c r="R384" s="469">
        <f>SUM(R382:R383)</f>
        <v>5054.2107999999998</v>
      </c>
    </row>
    <row r="385" spans="1:18" s="439" customFormat="1" ht="20.2" customHeight="1">
      <c r="A385" s="617"/>
      <c r="B385" s="411"/>
      <c r="C385" s="418" t="s">
        <v>16</v>
      </c>
      <c r="D385" s="955"/>
      <c r="E385" s="469"/>
      <c r="F385" s="460"/>
      <c r="G385" s="460"/>
      <c r="H385" s="460"/>
      <c r="I385" s="469" t="s">
        <v>1486</v>
      </c>
      <c r="J385" s="469">
        <f>J371-J384</f>
        <v>4667.83</v>
      </c>
      <c r="K385" s="418" t="s">
        <v>16</v>
      </c>
      <c r="L385" s="955"/>
      <c r="M385" s="469"/>
      <c r="N385" s="460"/>
      <c r="O385" s="460"/>
      <c r="P385" s="460"/>
      <c r="Q385" s="469" t="s">
        <v>1486</v>
      </c>
      <c r="R385" s="469">
        <f>R371-R384</f>
        <v>3698.3599999999997</v>
      </c>
    </row>
    <row r="386" spans="1:18" ht="116.1">
      <c r="A386" s="617"/>
      <c r="B386" s="26">
        <v>8</v>
      </c>
      <c r="C386" s="55" t="s">
        <v>8</v>
      </c>
      <c r="D386" s="951"/>
      <c r="E386" s="471"/>
      <c r="F386" s="462"/>
      <c r="G386" s="462"/>
      <c r="H386" s="462"/>
      <c r="I386" s="471"/>
      <c r="J386" s="471"/>
    </row>
    <row r="387" spans="1:18">
      <c r="A387" s="617"/>
      <c r="B387" s="34"/>
      <c r="C387" s="55" t="s">
        <v>9</v>
      </c>
      <c r="D387" s="951"/>
      <c r="E387" s="471"/>
      <c r="F387" s="462"/>
      <c r="G387" s="462"/>
      <c r="H387" s="462"/>
      <c r="I387" s="471"/>
      <c r="J387" s="471"/>
    </row>
    <row r="388" spans="1:18" s="500" customFormat="1">
      <c r="A388" s="617"/>
      <c r="B388" s="34"/>
      <c r="C388" s="54" t="s">
        <v>848</v>
      </c>
      <c r="D388" s="951"/>
      <c r="E388" s="471"/>
      <c r="F388" s="462"/>
      <c r="G388" s="462"/>
      <c r="H388" s="462"/>
      <c r="I388" s="471"/>
      <c r="J388" s="471"/>
    </row>
    <row r="389" spans="1:18" s="500" customFormat="1">
      <c r="A389" s="617"/>
      <c r="B389" s="34"/>
      <c r="C389" s="54" t="s">
        <v>780</v>
      </c>
      <c r="D389" s="951">
        <v>4</v>
      </c>
      <c r="E389" s="471">
        <v>1.2</v>
      </c>
      <c r="F389" s="462">
        <v>0.1</v>
      </c>
      <c r="G389" s="462">
        <v>7.4999999999999997E-2</v>
      </c>
      <c r="H389" s="462">
        <f>ROUND(D389*E389*F389*G389,3)</f>
        <v>3.5999999999999997E-2</v>
      </c>
      <c r="I389" s="471">
        <v>25497.19</v>
      </c>
      <c r="J389" s="471">
        <f t="shared" ref="J389:J394" si="26">ROUND(H389*I389,2)</f>
        <v>917.9</v>
      </c>
    </row>
    <row r="390" spans="1:18">
      <c r="A390" s="617"/>
      <c r="B390" s="34"/>
      <c r="C390" s="54" t="s">
        <v>781</v>
      </c>
      <c r="D390" s="951">
        <v>2</v>
      </c>
      <c r="E390" s="471">
        <v>1.35</v>
      </c>
      <c r="F390" s="462">
        <v>0.1</v>
      </c>
      <c r="G390" s="462">
        <v>7.4999999999999997E-2</v>
      </c>
      <c r="H390" s="462">
        <f>ROUND(D390*E390*F390*G390,3)</f>
        <v>0.02</v>
      </c>
      <c r="I390" s="471">
        <v>25497.19</v>
      </c>
      <c r="J390" s="471">
        <f t="shared" si="26"/>
        <v>509.94</v>
      </c>
    </row>
    <row r="391" spans="1:18">
      <c r="A391" s="617"/>
      <c r="B391" s="34"/>
      <c r="C391" s="54" t="s">
        <v>782</v>
      </c>
      <c r="D391" s="951" t="s">
        <v>243</v>
      </c>
      <c r="E391" s="472">
        <f>(1.2-2*0.075+2*0.015)</f>
        <v>1.08</v>
      </c>
      <c r="F391" s="462">
        <v>7.4999999999999997E-2</v>
      </c>
      <c r="G391" s="462">
        <f>1.25*25.4/1000</f>
        <v>3.175E-2</v>
      </c>
      <c r="H391" s="462">
        <f>ROUND(6*E391*F391*G391,3)</f>
        <v>1.4999999999999999E-2</v>
      </c>
      <c r="I391" s="471">
        <v>31076.9</v>
      </c>
      <c r="J391" s="471">
        <f t="shared" si="26"/>
        <v>466.15</v>
      </c>
    </row>
    <row r="392" spans="1:18">
      <c r="A392" s="617"/>
      <c r="B392" s="34"/>
      <c r="C392" s="54" t="s">
        <v>783</v>
      </c>
      <c r="D392" s="951" t="s">
        <v>244</v>
      </c>
      <c r="E392" s="471">
        <f>(1.2-3*0.075+4*0.015)/2</f>
        <v>0.51749999999999996</v>
      </c>
      <c r="F392" s="462">
        <v>7.4999999999999997E-2</v>
      </c>
      <c r="G392" s="462">
        <f>1.25*25.4/1000</f>
        <v>3.175E-2</v>
      </c>
      <c r="H392" s="462">
        <f>ROUND(9*E392*F392*G392,3)</f>
        <v>1.0999999999999999E-2</v>
      </c>
      <c r="I392" s="471">
        <v>31076.9</v>
      </c>
      <c r="J392" s="471">
        <f t="shared" si="26"/>
        <v>341.85</v>
      </c>
    </row>
    <row r="393" spans="1:18">
      <c r="A393" s="617"/>
      <c r="B393" s="34"/>
      <c r="C393" s="54" t="s">
        <v>1481</v>
      </c>
      <c r="D393" s="951" t="s">
        <v>245</v>
      </c>
      <c r="E393" s="471">
        <f>(1.2-4*0.075+6*0.015)/3-2*0.075+2*0.025</f>
        <v>0.22999999999999998</v>
      </c>
      <c r="F393" s="462">
        <f>(1.2-2*0.075+2*0.015-3*0.075)/2+2*0.025</f>
        <v>0.47750000000000004</v>
      </c>
      <c r="G393" s="462">
        <v>2.5000000000000001E-2</v>
      </c>
      <c r="H393" s="462">
        <f>ROUND(6*E393*F393*G393,3)</f>
        <v>1.6E-2</v>
      </c>
      <c r="I393" s="471">
        <v>31076.9</v>
      </c>
      <c r="J393" s="471">
        <f t="shared" si="26"/>
        <v>497.23</v>
      </c>
    </row>
    <row r="394" spans="1:18">
      <c r="A394" s="617"/>
      <c r="B394" s="34"/>
      <c r="C394" s="54" t="s">
        <v>1482</v>
      </c>
      <c r="D394" s="951"/>
      <c r="E394" s="471"/>
      <c r="F394" s="462"/>
      <c r="G394" s="462"/>
      <c r="H394" s="462">
        <f>SUM(H389:H393)</f>
        <v>9.799999999999999E-2</v>
      </c>
      <c r="I394" s="465">
        <f>G25</f>
        <v>15324.5</v>
      </c>
      <c r="J394" s="471">
        <f t="shared" si="26"/>
        <v>1501.8</v>
      </c>
    </row>
    <row r="395" spans="1:18" ht="33.299999999999997">
      <c r="A395" s="617" t="s">
        <v>787</v>
      </c>
      <c r="B395" s="19"/>
      <c r="C395" s="54" t="s">
        <v>788</v>
      </c>
      <c r="D395" s="951"/>
      <c r="E395" s="471"/>
      <c r="F395" s="462"/>
      <c r="G395" s="952"/>
      <c r="H395" s="952"/>
      <c r="I395" s="471"/>
      <c r="J395" s="471"/>
    </row>
    <row r="396" spans="1:18">
      <c r="A396" s="617"/>
      <c r="B396" s="693"/>
      <c r="C396" s="694" t="s">
        <v>915</v>
      </c>
      <c r="D396" s="471" t="s">
        <v>1035</v>
      </c>
      <c r="E396" s="462" t="s">
        <v>1624</v>
      </c>
      <c r="F396" s="462"/>
      <c r="G396" s="462"/>
      <c r="H396" s="948">
        <v>3</v>
      </c>
      <c r="I396" s="471">
        <v>35</v>
      </c>
      <c r="J396" s="471">
        <f t="shared" ref="J396:J401" si="27">ROUND(H396*I396,2)</f>
        <v>105</v>
      </c>
    </row>
    <row r="397" spans="1:18">
      <c r="A397" s="617"/>
      <c r="B397" s="693"/>
      <c r="C397" s="31" t="s">
        <v>916</v>
      </c>
      <c r="D397" s="471" t="s">
        <v>1035</v>
      </c>
      <c r="E397" s="462" t="s">
        <v>1624</v>
      </c>
      <c r="F397" s="462"/>
      <c r="G397" s="462"/>
      <c r="H397" s="948">
        <v>3</v>
      </c>
      <c r="I397" s="471">
        <v>35</v>
      </c>
      <c r="J397" s="471">
        <f t="shared" si="27"/>
        <v>105</v>
      </c>
    </row>
    <row r="398" spans="1:18">
      <c r="A398" s="617"/>
      <c r="B398" s="693"/>
      <c r="C398" s="946" t="s">
        <v>917</v>
      </c>
      <c r="D398" s="471" t="s">
        <v>1035</v>
      </c>
      <c r="E398" s="462" t="s">
        <v>1625</v>
      </c>
      <c r="F398" s="462"/>
      <c r="G398" s="462"/>
      <c r="H398" s="948">
        <v>6</v>
      </c>
      <c r="I398" s="471">
        <v>21</v>
      </c>
      <c r="J398" s="471">
        <f t="shared" si="27"/>
        <v>126</v>
      </c>
    </row>
    <row r="399" spans="1:18">
      <c r="A399" s="617"/>
      <c r="B399" s="693"/>
      <c r="C399" s="694" t="s">
        <v>918</v>
      </c>
      <c r="D399" s="471" t="s">
        <v>1035</v>
      </c>
      <c r="E399" s="462" t="s">
        <v>1626</v>
      </c>
      <c r="F399" s="462"/>
      <c r="G399" s="462"/>
      <c r="H399" s="948">
        <v>3</v>
      </c>
      <c r="I399" s="471">
        <v>213</v>
      </c>
      <c r="J399" s="471">
        <f t="shared" si="27"/>
        <v>639</v>
      </c>
    </row>
    <row r="400" spans="1:18">
      <c r="A400" s="617"/>
      <c r="B400" s="693"/>
      <c r="C400" s="694" t="s">
        <v>799</v>
      </c>
      <c r="D400" s="471" t="s">
        <v>882</v>
      </c>
      <c r="E400" s="462" t="s">
        <v>1652</v>
      </c>
      <c r="F400" s="462"/>
      <c r="G400" s="462"/>
      <c r="H400" s="948">
        <v>90</v>
      </c>
      <c r="I400" s="471">
        <v>3</v>
      </c>
      <c r="J400" s="471">
        <f t="shared" si="27"/>
        <v>270</v>
      </c>
    </row>
    <row r="401" spans="1:11">
      <c r="A401" s="617"/>
      <c r="B401" s="693"/>
      <c r="C401" s="694" t="s">
        <v>1598</v>
      </c>
      <c r="D401" s="471"/>
      <c r="E401" s="953" t="s">
        <v>1651</v>
      </c>
      <c r="F401" s="462"/>
      <c r="G401" s="462"/>
      <c r="H401" s="948">
        <v>4</v>
      </c>
      <c r="I401" s="471">
        <v>32</v>
      </c>
      <c r="J401" s="471">
        <f t="shared" si="27"/>
        <v>128</v>
      </c>
    </row>
    <row r="402" spans="1:11">
      <c r="A402" s="617"/>
      <c r="B402" s="34"/>
      <c r="C402" s="54" t="s">
        <v>1484</v>
      </c>
      <c r="D402" s="951">
        <v>2.75</v>
      </c>
      <c r="E402" s="471">
        <v>1.2</v>
      </c>
      <c r="F402" s="462"/>
      <c r="G402" s="471">
        <v>1.2</v>
      </c>
      <c r="H402" s="462">
        <f>ROUND(G402*E402*D402,2)</f>
        <v>3.96</v>
      </c>
      <c r="I402" s="698">
        <f>G15</f>
        <v>561.35799999999995</v>
      </c>
      <c r="J402" s="471">
        <f>ROUND(H402*I402/10,2)</f>
        <v>222.3</v>
      </c>
    </row>
    <row r="403" spans="1:11">
      <c r="A403" s="617"/>
      <c r="B403" s="34"/>
      <c r="C403" s="451" t="s">
        <v>1306</v>
      </c>
      <c r="D403" s="951" t="s">
        <v>10</v>
      </c>
      <c r="E403" s="471">
        <v>1.2</v>
      </c>
      <c r="F403" s="471">
        <f>E403*9</f>
        <v>10.799999999999999</v>
      </c>
      <c r="G403" s="471">
        <v>1.1299999999999999</v>
      </c>
      <c r="H403" s="462">
        <f>G403*F403</f>
        <v>12.203999999999997</v>
      </c>
      <c r="I403" s="465">
        <f>'Lead- Input sheet '!R10/1000</f>
        <v>69.62</v>
      </c>
      <c r="J403" s="471">
        <f>H403*I403</f>
        <v>849.64247999999986</v>
      </c>
      <c r="K403" s="25">
        <f>(1.2-0.075*2-0.1)/0.1</f>
        <v>9.5</v>
      </c>
    </row>
    <row r="404" spans="1:11">
      <c r="A404" s="617"/>
      <c r="B404" s="34"/>
      <c r="C404" s="54" t="s">
        <v>230</v>
      </c>
      <c r="D404" s="951"/>
      <c r="E404" s="471"/>
      <c r="F404" s="462"/>
      <c r="G404" s="462"/>
      <c r="H404" s="948">
        <v>1</v>
      </c>
      <c r="I404" s="471">
        <v>100</v>
      </c>
      <c r="J404" s="471">
        <f>H404*I404</f>
        <v>100</v>
      </c>
    </row>
    <row r="405" spans="1:11">
      <c r="A405" s="617"/>
      <c r="B405" s="34"/>
      <c r="D405" s="951"/>
      <c r="E405" s="471"/>
      <c r="F405" s="462"/>
      <c r="G405" s="462"/>
      <c r="H405" s="462"/>
      <c r="I405" s="471"/>
      <c r="J405" s="471">
        <f>SUM(J389:J404)</f>
        <v>6779.8124799999996</v>
      </c>
    </row>
    <row r="406" spans="1:11" ht="25.8">
      <c r="A406" s="617"/>
      <c r="B406" s="40"/>
      <c r="C406" s="54" t="s">
        <v>1600</v>
      </c>
      <c r="D406" s="954"/>
      <c r="E406" s="468"/>
      <c r="F406" s="458"/>
      <c r="G406" s="458"/>
      <c r="H406" s="458">
        <f>'Lead- Input sheet '!Q32</f>
        <v>0</v>
      </c>
      <c r="I406" s="468">
        <f>J405</f>
        <v>6779.8124799999996</v>
      </c>
      <c r="J406" s="468">
        <f>ROUND(H406*I406,2)</f>
        <v>0</v>
      </c>
    </row>
    <row r="407" spans="1:11">
      <c r="A407" s="617"/>
      <c r="B407" s="411"/>
      <c r="C407" s="283" t="s">
        <v>256</v>
      </c>
      <c r="D407" s="955"/>
      <c r="E407" s="469"/>
      <c r="F407" s="460"/>
      <c r="G407" s="460"/>
      <c r="H407" s="460"/>
      <c r="I407" s="469" t="s">
        <v>416</v>
      </c>
      <c r="J407" s="469">
        <f>SUM(J405:J406)</f>
        <v>6779.8124799999996</v>
      </c>
    </row>
    <row r="408" spans="1:11">
      <c r="A408" s="617"/>
      <c r="B408" s="34"/>
      <c r="C408" s="55" t="s">
        <v>11</v>
      </c>
      <c r="D408" s="951"/>
      <c r="E408" s="471"/>
      <c r="F408" s="462"/>
      <c r="G408" s="462"/>
      <c r="H408" s="462"/>
      <c r="I408" s="471"/>
      <c r="J408" s="471"/>
    </row>
    <row r="409" spans="1:11">
      <c r="A409" s="617"/>
      <c r="B409" s="34"/>
      <c r="C409" s="54" t="s">
        <v>848</v>
      </c>
      <c r="D409" s="951"/>
      <c r="E409" s="471"/>
      <c r="F409" s="462"/>
      <c r="G409" s="462"/>
      <c r="H409" s="462"/>
      <c r="I409" s="471"/>
      <c r="J409" s="471"/>
    </row>
    <row r="410" spans="1:11">
      <c r="A410" s="617"/>
      <c r="B410" s="34"/>
      <c r="C410" s="54" t="s">
        <v>780</v>
      </c>
      <c r="D410" s="951">
        <v>4</v>
      </c>
      <c r="E410" s="471">
        <v>1.2</v>
      </c>
      <c r="F410" s="462">
        <v>0.1</v>
      </c>
      <c r="G410" s="462">
        <v>7.4999999999999997E-2</v>
      </c>
      <c r="H410" s="462">
        <f>ROUND(D410*E410*F410*G410,3)</f>
        <v>3.5999999999999997E-2</v>
      </c>
      <c r="I410" s="471">
        <v>25497.19</v>
      </c>
      <c r="J410" s="471">
        <f>ROUND(H410*I410,2)</f>
        <v>917.9</v>
      </c>
    </row>
    <row r="411" spans="1:11">
      <c r="A411" s="617"/>
      <c r="B411" s="34"/>
      <c r="C411" s="54" t="s">
        <v>781</v>
      </c>
      <c r="D411" s="951">
        <v>2</v>
      </c>
      <c r="E411" s="471">
        <v>1.35</v>
      </c>
      <c r="F411" s="462">
        <v>0.1</v>
      </c>
      <c r="G411" s="462">
        <v>7.4999999999999997E-2</v>
      </c>
      <c r="H411" s="462">
        <f>ROUND(D411*E411*F411*G411,3)</f>
        <v>0.02</v>
      </c>
      <c r="I411" s="471">
        <v>25497.19</v>
      </c>
      <c r="J411" s="471">
        <f>ROUND(H411*I411,2)</f>
        <v>509.94</v>
      </c>
    </row>
    <row r="412" spans="1:11">
      <c r="A412" s="617"/>
      <c r="B412" s="34"/>
      <c r="C412" s="54" t="s">
        <v>1482</v>
      </c>
      <c r="D412" s="951"/>
      <c r="E412" s="471"/>
      <c r="F412" s="462"/>
      <c r="G412" s="462"/>
      <c r="H412" s="462">
        <f>SUM(H410:H411)</f>
        <v>5.5999999999999994E-2</v>
      </c>
      <c r="I412" s="465">
        <f>G25</f>
        <v>15324.5</v>
      </c>
      <c r="J412" s="471">
        <f>ROUND(H412*I412,2)</f>
        <v>858.17</v>
      </c>
    </row>
    <row r="413" spans="1:11" ht="33.299999999999997">
      <c r="A413" s="617" t="s">
        <v>787</v>
      </c>
      <c r="B413" s="19"/>
      <c r="C413" s="54" t="s">
        <v>788</v>
      </c>
      <c r="D413" s="951"/>
      <c r="E413" s="471"/>
      <c r="F413" s="462"/>
      <c r="G413" s="952"/>
      <c r="H413" s="952"/>
      <c r="I413" s="471"/>
      <c r="J413" s="471"/>
    </row>
    <row r="414" spans="1:11">
      <c r="A414" s="617"/>
      <c r="B414" s="32"/>
      <c r="C414" s="54" t="s">
        <v>1598</v>
      </c>
      <c r="D414" s="951"/>
      <c r="E414" s="953" t="s">
        <v>1651</v>
      </c>
      <c r="F414" s="462"/>
      <c r="G414" s="462"/>
      <c r="H414" s="948">
        <v>4</v>
      </c>
      <c r="I414" s="471">
        <v>32</v>
      </c>
      <c r="J414" s="471">
        <f>ROUND(H414*I414,2)</f>
        <v>128</v>
      </c>
    </row>
    <row r="415" spans="1:11">
      <c r="A415" s="617"/>
      <c r="B415" s="34"/>
      <c r="C415" s="54" t="s">
        <v>1484</v>
      </c>
      <c r="D415" s="471" t="s">
        <v>544</v>
      </c>
      <c r="E415" s="471">
        <v>1.2</v>
      </c>
      <c r="F415" s="462"/>
      <c r="G415" s="471">
        <v>1.2</v>
      </c>
      <c r="H415" s="462">
        <f>ROUND(G415*E415*2.75/3,2)</f>
        <v>1.32</v>
      </c>
      <c r="I415" s="698">
        <f>G15</f>
        <v>561.35799999999995</v>
      </c>
      <c r="J415" s="471">
        <f>ROUND(H415*I415/10,2)</f>
        <v>74.099999999999994</v>
      </c>
    </row>
    <row r="416" spans="1:11">
      <c r="A416" s="617"/>
      <c r="B416" s="34"/>
      <c r="C416" s="451" t="s">
        <v>1306</v>
      </c>
      <c r="D416" s="951" t="s">
        <v>10</v>
      </c>
      <c r="E416" s="471">
        <v>1.2</v>
      </c>
      <c r="F416" s="471">
        <f>E416*9</f>
        <v>10.799999999999999</v>
      </c>
      <c r="G416" s="471">
        <v>1.1299999999999999</v>
      </c>
      <c r="H416" s="462">
        <f>G416*F416</f>
        <v>12.203999999999997</v>
      </c>
      <c r="I416" s="465">
        <f>'Lead- Input sheet '!R10/1000</f>
        <v>69.62</v>
      </c>
      <c r="J416" s="471">
        <f>H416*I416</f>
        <v>849.64247999999986</v>
      </c>
    </row>
    <row r="417" spans="1:10">
      <c r="A417" s="617"/>
      <c r="B417" s="34"/>
      <c r="C417" s="54" t="s">
        <v>230</v>
      </c>
      <c r="D417" s="951"/>
      <c r="E417" s="471"/>
      <c r="F417" s="462"/>
      <c r="G417" s="462"/>
      <c r="H417" s="948">
        <v>1</v>
      </c>
      <c r="I417" s="471">
        <v>50</v>
      </c>
      <c r="J417" s="471">
        <f>H417*I417</f>
        <v>50</v>
      </c>
    </row>
    <row r="418" spans="1:10">
      <c r="A418" s="617"/>
      <c r="B418" s="34"/>
      <c r="D418" s="951"/>
      <c r="E418" s="471"/>
      <c r="F418" s="462"/>
      <c r="G418" s="462"/>
      <c r="H418" s="462"/>
      <c r="I418" s="471"/>
      <c r="J418" s="471">
        <f>SUM(J410:J417)</f>
        <v>3387.7524799999997</v>
      </c>
    </row>
    <row r="419" spans="1:10" ht="25.8">
      <c r="A419" s="617"/>
      <c r="B419" s="40"/>
      <c r="C419" s="54" t="s">
        <v>1600</v>
      </c>
      <c r="D419" s="954"/>
      <c r="E419" s="468"/>
      <c r="F419" s="458"/>
      <c r="G419" s="458"/>
      <c r="H419" s="458">
        <f>'Lead- Input sheet '!Q32</f>
        <v>0</v>
      </c>
      <c r="I419" s="468">
        <f>J418</f>
        <v>3387.7524799999997</v>
      </c>
      <c r="J419" s="471">
        <f>H419*I419</f>
        <v>0</v>
      </c>
    </row>
    <row r="420" spans="1:10">
      <c r="A420" s="617"/>
      <c r="B420" s="411"/>
      <c r="C420" s="418" t="s">
        <v>12</v>
      </c>
      <c r="D420" s="955"/>
      <c r="E420" s="469"/>
      <c r="F420" s="460"/>
      <c r="G420" s="460"/>
      <c r="H420" s="460"/>
      <c r="I420" s="469" t="s">
        <v>416</v>
      </c>
      <c r="J420" s="469">
        <f>SUM(J418:J419)</f>
        <v>3387.7524799999997</v>
      </c>
    </row>
    <row r="421" spans="1:10">
      <c r="A421" s="617"/>
      <c r="B421" s="411"/>
      <c r="C421" s="418" t="s">
        <v>13</v>
      </c>
      <c r="D421" s="955"/>
      <c r="E421" s="469"/>
      <c r="F421" s="460"/>
      <c r="G421" s="460"/>
      <c r="H421" s="460"/>
      <c r="I421" s="469" t="s">
        <v>416</v>
      </c>
      <c r="J421" s="469">
        <f>J407-J420</f>
        <v>3392.06</v>
      </c>
    </row>
    <row r="422" spans="1:10">
      <c r="A422" s="617"/>
      <c r="E422" s="222"/>
      <c r="F422" s="947"/>
      <c r="G422" s="947"/>
      <c r="H422" s="950"/>
      <c r="I422" s="472"/>
      <c r="J422" s="441"/>
    </row>
    <row r="424" spans="1:10" ht="116.1">
      <c r="A424" s="617"/>
      <c r="B424" s="26">
        <v>8</v>
      </c>
      <c r="C424" s="55" t="s">
        <v>1777</v>
      </c>
      <c r="D424" s="951"/>
      <c r="E424" s="471"/>
      <c r="F424" s="462"/>
      <c r="G424" s="462"/>
      <c r="H424" s="462"/>
      <c r="I424" s="471"/>
      <c r="J424" s="471"/>
    </row>
    <row r="425" spans="1:10">
      <c r="A425" s="617"/>
      <c r="B425" s="34"/>
      <c r="C425" s="55" t="s">
        <v>1778</v>
      </c>
      <c r="D425" s="951"/>
      <c r="E425" s="471"/>
      <c r="F425" s="462"/>
      <c r="G425" s="462"/>
      <c r="H425" s="462"/>
      <c r="I425" s="471"/>
      <c r="J425" s="471"/>
    </row>
    <row r="426" spans="1:10">
      <c r="A426" s="617"/>
      <c r="B426" s="34"/>
      <c r="C426" s="54" t="s">
        <v>848</v>
      </c>
      <c r="D426" s="951"/>
      <c r="E426" s="471"/>
      <c r="F426" s="462"/>
      <c r="G426" s="462"/>
      <c r="H426" s="462"/>
      <c r="I426" s="471"/>
      <c r="J426" s="471"/>
    </row>
    <row r="427" spans="1:10">
      <c r="A427" s="617"/>
      <c r="B427" s="34"/>
      <c r="C427" s="54" t="s">
        <v>780</v>
      </c>
      <c r="D427" s="951">
        <v>3</v>
      </c>
      <c r="E427" s="471">
        <v>0.3</v>
      </c>
      <c r="F427" s="462">
        <v>6.5000000000000002E-2</v>
      </c>
      <c r="G427" s="462">
        <v>7.4999999999999997E-2</v>
      </c>
      <c r="H427" s="462">
        <f>ROUND(D427*E427*F427*G427,3)</f>
        <v>4.0000000000000001E-3</v>
      </c>
      <c r="I427" s="471">
        <v>25497.19</v>
      </c>
      <c r="J427" s="471">
        <f>ROUND(H427*I427,2)</f>
        <v>101.99</v>
      </c>
    </row>
    <row r="428" spans="1:10">
      <c r="A428" s="617"/>
      <c r="B428" s="34"/>
      <c r="C428" s="54" t="s">
        <v>781</v>
      </c>
      <c r="D428" s="951">
        <v>2</v>
      </c>
      <c r="E428" s="471">
        <v>0.6</v>
      </c>
      <c r="F428" s="462">
        <v>6.5000000000000002E-2</v>
      </c>
      <c r="G428" s="462">
        <v>7.4999999999999997E-2</v>
      </c>
      <c r="H428" s="462">
        <f>ROUND(D428*E428*F428*G428,3)</f>
        <v>6.0000000000000001E-3</v>
      </c>
      <c r="I428" s="471">
        <v>25497.19</v>
      </c>
      <c r="J428" s="471">
        <f>ROUND(H428*I428,2)</f>
        <v>152.97999999999999</v>
      </c>
    </row>
    <row r="429" spans="1:10">
      <c r="A429" s="617"/>
      <c r="B429" s="34"/>
      <c r="C429" s="54" t="s">
        <v>1482</v>
      </c>
      <c r="D429" s="951"/>
      <c r="E429" s="471"/>
      <c r="F429" s="462"/>
      <c r="G429" s="462"/>
      <c r="H429" s="462">
        <f>SUM(H427:H428)</f>
        <v>0.01</v>
      </c>
      <c r="I429" s="465">
        <f>I412</f>
        <v>15324.5</v>
      </c>
      <c r="J429" s="471">
        <f>ROUND(H429*I429,2)</f>
        <v>153.25</v>
      </c>
    </row>
    <row r="430" spans="1:10">
      <c r="A430" s="617"/>
      <c r="B430" s="34"/>
      <c r="C430" s="54" t="s">
        <v>1484</v>
      </c>
      <c r="D430" s="951">
        <v>2.25</v>
      </c>
      <c r="E430" s="471">
        <v>0.6</v>
      </c>
      <c r="F430" s="462"/>
      <c r="G430" s="471">
        <v>0.3</v>
      </c>
      <c r="H430" s="462">
        <f>ROUND(G430*E430*D430,2)</f>
        <v>0.41</v>
      </c>
      <c r="I430" s="698">
        <f>I415</f>
        <v>561.35799999999995</v>
      </c>
      <c r="J430" s="471">
        <f>ROUND(H430*I430/10,2)</f>
        <v>23.02</v>
      </c>
    </row>
    <row r="431" spans="1:10">
      <c r="A431" s="617"/>
      <c r="B431" s="34"/>
      <c r="C431" s="451" t="s">
        <v>1779</v>
      </c>
      <c r="D431" s="951" t="s">
        <v>1780</v>
      </c>
      <c r="E431" s="471">
        <v>0.6</v>
      </c>
      <c r="F431" s="471">
        <f>E431*2</f>
        <v>1.2</v>
      </c>
      <c r="G431" s="471">
        <v>0.62</v>
      </c>
      <c r="H431" s="462">
        <f>G431*F431</f>
        <v>0.74399999999999999</v>
      </c>
      <c r="I431" s="465">
        <f>I416</f>
        <v>69.62</v>
      </c>
      <c r="J431" s="471">
        <f>H431*I431</f>
        <v>51.797280000000001</v>
      </c>
    </row>
    <row r="432" spans="1:10">
      <c r="A432" s="617"/>
      <c r="B432" s="34"/>
      <c r="D432" s="951"/>
      <c r="E432" s="471"/>
      <c r="F432" s="462"/>
      <c r="G432" s="462"/>
      <c r="H432" s="462"/>
      <c r="I432" s="471"/>
      <c r="J432" s="471">
        <f>SUM(J427:J431)</f>
        <v>483.03727999999995</v>
      </c>
    </row>
    <row r="433" spans="1:10" ht="25.8">
      <c r="A433" s="617"/>
      <c r="B433" s="40"/>
      <c r="C433" s="54" t="s">
        <v>1600</v>
      </c>
      <c r="D433" s="954"/>
      <c r="E433" s="468"/>
      <c r="F433" s="458"/>
      <c r="G433" s="458"/>
      <c r="H433" s="458">
        <f>'Lead- Input sheet '!Q75</f>
        <v>0</v>
      </c>
      <c r="I433" s="468">
        <f>J432</f>
        <v>483.03727999999995</v>
      </c>
      <c r="J433" s="468">
        <f>ROUND(H433*I433,2)</f>
        <v>0</v>
      </c>
    </row>
    <row r="434" spans="1:10">
      <c r="A434" s="617"/>
      <c r="B434" s="411"/>
      <c r="C434" s="283" t="s">
        <v>256</v>
      </c>
      <c r="D434" s="955"/>
      <c r="E434" s="469"/>
      <c r="F434" s="460"/>
      <c r="G434" s="460"/>
      <c r="H434" s="460"/>
      <c r="I434" s="469" t="s">
        <v>416</v>
      </c>
      <c r="J434" s="469">
        <f>SUM(J432:J433)</f>
        <v>483.03727999999995</v>
      </c>
    </row>
  </sheetData>
  <mergeCells count="2">
    <mergeCell ref="A1:J1"/>
    <mergeCell ref="A2:J2"/>
  </mergeCells>
  <printOptions horizontalCentered="1"/>
  <pageMargins left="0.24" right="0.1" top="0.19" bottom="0.16" header="0.23622047244094499" footer="0.15748031496063"/>
  <pageSetup paperSize="9" scale="90" orientation="portrait" r:id="rId1"/>
  <headerFooter alignWithMargins="0">
    <oddFooter>&amp;C&amp;P&amp;R&amp;A</oddFooter>
  </headerFooter>
  <rowBreaks count="2" manualBreakCount="2">
    <brk id="98" max="9" man="1"/>
    <brk id="134" max="9"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IV914"/>
  <sheetViews>
    <sheetView zoomScale="75" zoomScaleNormal="95" zoomScaleSheetLayoutView="75" workbookViewId="0">
      <pane ySplit="5" topLeftCell="A159" activePane="bottomLeft" state="frozen"/>
      <selection pane="bottomLeft" activeCell="L39" sqref="L39"/>
    </sheetView>
  </sheetViews>
  <sheetFormatPr defaultColWidth="13.88671875" defaultRowHeight="12.9"/>
  <cols>
    <col min="1" max="1" width="14" style="11" customWidth="1"/>
    <col min="2" max="2" width="5.109375" style="14" customWidth="1"/>
    <col min="3" max="3" width="32.5546875" style="12" customWidth="1"/>
    <col min="4" max="4" width="4.5546875" style="9" customWidth="1"/>
    <col min="5" max="5" width="6.88671875" style="10" customWidth="1"/>
    <col min="6" max="6" width="5.88671875" style="10" customWidth="1"/>
    <col min="7" max="7" width="7.5546875" style="10" customWidth="1"/>
    <col min="8" max="8" width="7.109375" style="10" customWidth="1"/>
    <col min="9" max="9" width="8.88671875" style="3" customWidth="1"/>
    <col min="10" max="10" width="10.5546875" style="3" customWidth="1"/>
    <col min="11" max="256" width="13.88671875" style="3"/>
  </cols>
  <sheetData>
    <row r="1" spans="1:11">
      <c r="A1" s="2707" t="s">
        <v>1210</v>
      </c>
      <c r="B1" s="2821"/>
      <c r="C1" s="2821"/>
      <c r="D1" s="2821"/>
      <c r="E1" s="2821"/>
      <c r="F1" s="2821"/>
      <c r="G1" s="2821"/>
      <c r="H1" s="2821"/>
      <c r="I1" s="2821"/>
      <c r="J1" s="2821"/>
    </row>
    <row r="2" spans="1:11" ht="50.2" customHeight="1">
      <c r="A2" s="2819" t="str">
        <f>'Lead- Input sheet '!A2</f>
        <v xml:space="preserve"> Construction of  Anganwadi Building at Jeedipally Thanda (V) of Kalwakurthy (M) of Nagarkurnool District </v>
      </c>
      <c r="B2" s="2820"/>
      <c r="C2" s="2820"/>
      <c r="D2" s="2820"/>
      <c r="E2" s="2820"/>
      <c r="F2" s="2820"/>
      <c r="G2" s="2820"/>
      <c r="H2" s="2820"/>
      <c r="I2" s="2820"/>
      <c r="J2" s="2820"/>
    </row>
    <row r="3" spans="1:11" ht="18" customHeight="1">
      <c r="A3" s="2817" t="s">
        <v>1214</v>
      </c>
      <c r="B3" s="2818"/>
      <c r="C3" s="2818"/>
      <c r="D3" s="2818"/>
      <c r="E3" s="2818"/>
      <c r="F3" s="2818"/>
      <c r="G3" s="2818"/>
      <c r="H3" s="2818"/>
      <c r="I3" s="2818"/>
      <c r="J3" s="2818"/>
    </row>
    <row r="4" spans="1:11" s="4" customFormat="1" ht="64.5" customHeight="1">
      <c r="A4" s="164" t="s">
        <v>1107</v>
      </c>
      <c r="B4" s="165" t="s">
        <v>148</v>
      </c>
      <c r="C4" s="49" t="s">
        <v>517</v>
      </c>
      <c r="D4" s="166" t="s">
        <v>1035</v>
      </c>
      <c r="E4" s="50" t="s">
        <v>1417</v>
      </c>
      <c r="F4" s="50" t="s">
        <v>784</v>
      </c>
      <c r="G4" s="166" t="s">
        <v>785</v>
      </c>
      <c r="H4" s="166" t="s">
        <v>786</v>
      </c>
      <c r="I4" s="166" t="s">
        <v>1479</v>
      </c>
      <c r="J4" s="51" t="s">
        <v>150</v>
      </c>
    </row>
    <row r="5" spans="1:11" s="7" customFormat="1" ht="11.25" customHeight="1">
      <c r="A5" s="167">
        <v>1</v>
      </c>
      <c r="B5" s="17">
        <v>2</v>
      </c>
      <c r="C5" s="18">
        <f>B5+1</f>
        <v>3</v>
      </c>
      <c r="D5" s="18">
        <f t="shared" ref="D5:J5" si="0">C5+1</f>
        <v>4</v>
      </c>
      <c r="E5" s="18">
        <f t="shared" si="0"/>
        <v>5</v>
      </c>
      <c r="F5" s="18">
        <f t="shared" si="0"/>
        <v>6</v>
      </c>
      <c r="G5" s="18">
        <f t="shared" si="0"/>
        <v>7</v>
      </c>
      <c r="H5" s="18">
        <f t="shared" si="0"/>
        <v>8</v>
      </c>
      <c r="I5" s="18">
        <f t="shared" si="0"/>
        <v>9</v>
      </c>
      <c r="J5" s="52">
        <f t="shared" si="0"/>
        <v>10</v>
      </c>
    </row>
    <row r="6" spans="1:11" ht="51.6">
      <c r="A6" s="168" t="s">
        <v>504</v>
      </c>
      <c r="B6" s="19">
        <v>1</v>
      </c>
      <c r="C6" s="54" t="s">
        <v>462</v>
      </c>
      <c r="D6" s="20"/>
      <c r="E6" s="21"/>
      <c r="F6" s="22"/>
      <c r="G6" s="23"/>
      <c r="H6" s="23"/>
      <c r="I6" s="24"/>
      <c r="J6" s="169"/>
    </row>
    <row r="7" spans="1:11">
      <c r="A7" s="170"/>
      <c r="B7" s="19"/>
      <c r="C7" s="54" t="s">
        <v>498</v>
      </c>
      <c r="D7" s="26"/>
      <c r="E7" s="27"/>
      <c r="F7" s="28"/>
      <c r="G7" s="29"/>
      <c r="H7" s="29"/>
      <c r="I7" s="30"/>
      <c r="J7" s="171"/>
      <c r="K7" s="16"/>
    </row>
    <row r="8" spans="1:11">
      <c r="A8" s="170"/>
      <c r="B8" s="19"/>
      <c r="C8" s="54" t="s">
        <v>499</v>
      </c>
      <c r="D8" s="26"/>
      <c r="E8" s="27"/>
      <c r="F8" s="28"/>
      <c r="G8" s="29"/>
      <c r="H8" s="29"/>
      <c r="I8" s="30"/>
      <c r="J8" s="171"/>
      <c r="K8" s="16"/>
    </row>
    <row r="9" spans="1:11" ht="25.8">
      <c r="A9" s="170"/>
      <c r="B9" s="19"/>
      <c r="C9" s="54" t="s">
        <v>73</v>
      </c>
      <c r="D9" s="26" t="s">
        <v>1473</v>
      </c>
      <c r="E9" s="27">
        <v>1</v>
      </c>
      <c r="F9" s="28"/>
      <c r="G9" s="210" t="s">
        <v>1002</v>
      </c>
      <c r="H9" s="210" t="s">
        <v>1003</v>
      </c>
      <c r="I9" s="210" t="s">
        <v>1004</v>
      </c>
      <c r="J9" s="171"/>
      <c r="K9" s="16"/>
    </row>
    <row r="10" spans="1:11">
      <c r="A10" s="170"/>
      <c r="B10" s="19"/>
      <c r="C10" s="54" t="s">
        <v>500</v>
      </c>
      <c r="D10" s="26"/>
      <c r="E10" s="27"/>
      <c r="F10" s="28"/>
      <c r="G10" s="29"/>
      <c r="H10" s="29"/>
      <c r="I10" s="30"/>
      <c r="J10" s="171"/>
      <c r="K10" s="16"/>
    </row>
    <row r="11" spans="1:11">
      <c r="A11" s="170"/>
      <c r="B11" s="19"/>
      <c r="C11" s="54" t="s">
        <v>501</v>
      </c>
      <c r="D11" s="26" t="s">
        <v>1047</v>
      </c>
      <c r="E11" s="27">
        <v>17.7</v>
      </c>
      <c r="F11" s="211">
        <f>'Lead- Input sheet '!R31</f>
        <v>680</v>
      </c>
      <c r="G11" s="212">
        <f>E11*F11</f>
        <v>12036</v>
      </c>
      <c r="H11" s="32">
        <v>5479.92</v>
      </c>
      <c r="I11" s="30"/>
      <c r="J11" s="171"/>
      <c r="K11" s="16"/>
    </row>
    <row r="12" spans="1:11">
      <c r="A12" s="170"/>
      <c r="B12" s="19"/>
      <c r="C12" s="54" t="s">
        <v>502</v>
      </c>
      <c r="D12" s="26" t="s">
        <v>1047</v>
      </c>
      <c r="E12" s="27">
        <v>8.8000000000000007</v>
      </c>
      <c r="F12" s="211">
        <f>'Lead- Input sheet '!R29</f>
        <v>605</v>
      </c>
      <c r="G12" s="212">
        <f>E12*F12</f>
        <v>5324</v>
      </c>
      <c r="H12" s="32">
        <v>2069.7600000000002</v>
      </c>
      <c r="I12" s="30"/>
      <c r="J12" s="171"/>
      <c r="K12" s="16"/>
    </row>
    <row r="13" spans="1:11">
      <c r="A13" s="170"/>
      <c r="B13" s="19"/>
      <c r="C13" s="54" t="s">
        <v>503</v>
      </c>
      <c r="D13" s="26"/>
      <c r="E13" s="27" t="s">
        <v>975</v>
      </c>
      <c r="F13" s="28"/>
      <c r="G13" s="29"/>
      <c r="H13" s="29"/>
      <c r="I13" s="30"/>
      <c r="J13" s="171"/>
      <c r="K13" s="16"/>
    </row>
    <row r="14" spans="1:11">
      <c r="A14" s="170"/>
      <c r="B14" s="19"/>
      <c r="C14" s="54" t="s">
        <v>74</v>
      </c>
      <c r="D14" s="26"/>
      <c r="E14" s="27"/>
      <c r="F14" s="28"/>
      <c r="G14" s="206">
        <f>SUM(G11:G13)</f>
        <v>17360</v>
      </c>
      <c r="H14" s="33">
        <v>7549.68</v>
      </c>
      <c r="I14" s="30"/>
      <c r="J14" s="171"/>
      <c r="K14" s="16"/>
    </row>
    <row r="15" spans="1:11" ht="283.8">
      <c r="A15" s="172" t="s">
        <v>504</v>
      </c>
      <c r="B15" s="26">
        <v>2</v>
      </c>
      <c r="C15" s="55" t="s">
        <v>740</v>
      </c>
      <c r="D15" s="26"/>
      <c r="E15" s="26"/>
      <c r="F15" s="26"/>
      <c r="G15" s="26"/>
      <c r="H15" s="26"/>
      <c r="I15" s="32"/>
      <c r="J15" s="173"/>
      <c r="K15" s="16"/>
    </row>
    <row r="16" spans="1:11" s="57" customFormat="1">
      <c r="A16" s="172"/>
      <c r="B16" s="158"/>
      <c r="C16" s="55" t="s">
        <v>930</v>
      </c>
      <c r="D16" s="19"/>
      <c r="E16" s="19"/>
      <c r="F16" s="19"/>
      <c r="G16" s="19"/>
      <c r="H16" s="19"/>
      <c r="I16" s="155"/>
      <c r="J16" s="174"/>
      <c r="K16" s="159"/>
    </row>
    <row r="17" spans="1:11">
      <c r="A17" s="175"/>
      <c r="B17" s="34"/>
      <c r="C17" s="54" t="s">
        <v>779</v>
      </c>
      <c r="D17" s="26"/>
      <c r="E17" s="26"/>
      <c r="F17" s="26"/>
      <c r="G17" s="26"/>
      <c r="H17" s="26"/>
      <c r="I17" s="30"/>
      <c r="J17" s="176"/>
      <c r="K17" s="16"/>
    </row>
    <row r="18" spans="1:11">
      <c r="A18" s="175"/>
      <c r="B18" s="34"/>
      <c r="C18" s="54" t="s">
        <v>780</v>
      </c>
      <c r="D18" s="26">
        <v>2</v>
      </c>
      <c r="E18" s="26">
        <v>2.1</v>
      </c>
      <c r="F18" s="26">
        <v>0.1</v>
      </c>
      <c r="G18" s="26">
        <v>7.4999999999999997E-2</v>
      </c>
      <c r="H18" s="26">
        <f>ROUND(D18*E18*F18*G18,3)</f>
        <v>3.2000000000000001E-2</v>
      </c>
      <c r="I18" s="30">
        <v>25497.19</v>
      </c>
      <c r="J18" s="177">
        <f t="shared" ref="J18:J23" si="1">ROUND(H18*I18,2)</f>
        <v>815.91</v>
      </c>
      <c r="K18" s="16"/>
    </row>
    <row r="19" spans="1:11">
      <c r="A19" s="175"/>
      <c r="B19" s="34"/>
      <c r="C19" s="54" t="s">
        <v>781</v>
      </c>
      <c r="D19" s="26">
        <v>1</v>
      </c>
      <c r="E19" s="26">
        <v>0.9</v>
      </c>
      <c r="F19" s="26">
        <v>0.1</v>
      </c>
      <c r="G19" s="26">
        <v>7.4999999999999997E-2</v>
      </c>
      <c r="H19" s="26">
        <f>ROUND(D19*E19*F19*G19,3)</f>
        <v>7.0000000000000001E-3</v>
      </c>
      <c r="I19" s="30">
        <v>25497.19</v>
      </c>
      <c r="J19" s="177">
        <f t="shared" si="1"/>
        <v>178.48</v>
      </c>
      <c r="K19" s="16"/>
    </row>
    <row r="20" spans="1:11">
      <c r="A20" s="175"/>
      <c r="B20" s="34"/>
      <c r="C20" s="54" t="s">
        <v>782</v>
      </c>
      <c r="D20" s="26">
        <v>2</v>
      </c>
      <c r="E20" s="26">
        <v>2.04</v>
      </c>
      <c r="F20" s="26">
        <v>0.125</v>
      </c>
      <c r="G20" s="26">
        <v>3.7999999999999999E-2</v>
      </c>
      <c r="H20" s="26">
        <f>ROUND(D20*E20*F20*G20,3)</f>
        <v>1.9E-2</v>
      </c>
      <c r="I20" s="30">
        <v>31076.9</v>
      </c>
      <c r="J20" s="177">
        <f t="shared" si="1"/>
        <v>590.46</v>
      </c>
      <c r="K20" s="16"/>
    </row>
    <row r="21" spans="1:11">
      <c r="A21" s="175"/>
      <c r="B21" s="34"/>
      <c r="C21" s="54" t="s">
        <v>783</v>
      </c>
      <c r="D21" s="26">
        <v>5</v>
      </c>
      <c r="E21" s="26">
        <v>0.625</v>
      </c>
      <c r="F21" s="26">
        <v>0.125</v>
      </c>
      <c r="G21" s="26">
        <v>3.7999999999999999E-2</v>
      </c>
      <c r="H21" s="26">
        <f>ROUND(D21*E21*F21*G21,3)</f>
        <v>1.4999999999999999E-2</v>
      </c>
      <c r="I21" s="30">
        <v>31076.9</v>
      </c>
      <c r="J21" s="177">
        <f t="shared" si="1"/>
        <v>466.15</v>
      </c>
      <c r="K21" s="16"/>
    </row>
    <row r="22" spans="1:11">
      <c r="A22" s="175"/>
      <c r="B22" s="34"/>
      <c r="C22" s="54" t="s">
        <v>1481</v>
      </c>
      <c r="D22" s="26">
        <v>4</v>
      </c>
      <c r="E22" s="26">
        <v>0.47499999999999998</v>
      </c>
      <c r="F22" s="26">
        <v>0.35</v>
      </c>
      <c r="G22" s="26">
        <v>2.5000000000000001E-2</v>
      </c>
      <c r="H22" s="26">
        <f>ROUND(D22*E22*F22*G22,3)</f>
        <v>1.7000000000000001E-2</v>
      </c>
      <c r="I22" s="30">
        <v>31076.9</v>
      </c>
      <c r="J22" s="177">
        <f t="shared" si="1"/>
        <v>528.30999999999995</v>
      </c>
      <c r="K22" s="16"/>
    </row>
    <row r="23" spans="1:11">
      <c r="A23" s="175"/>
      <c r="B23" s="34"/>
      <c r="C23" s="54" t="s">
        <v>1482</v>
      </c>
      <c r="D23" s="26"/>
      <c r="E23" s="26"/>
      <c r="F23" s="26"/>
      <c r="G23" s="26"/>
      <c r="H23" s="26">
        <f>SUM(H18:H22)</f>
        <v>0.09</v>
      </c>
      <c r="I23" s="213">
        <f>G14</f>
        <v>17360</v>
      </c>
      <c r="J23" s="177">
        <f t="shared" si="1"/>
        <v>1562.4</v>
      </c>
      <c r="K23" s="16"/>
    </row>
    <row r="24" spans="1:11" ht="25.8">
      <c r="A24" s="168" t="s">
        <v>787</v>
      </c>
      <c r="B24" s="19"/>
      <c r="C24" s="54" t="s">
        <v>788</v>
      </c>
      <c r="D24" s="26"/>
      <c r="E24" s="36"/>
      <c r="F24" s="28"/>
      <c r="G24" s="37"/>
      <c r="H24" s="37"/>
      <c r="I24" s="30"/>
      <c r="J24" s="171"/>
      <c r="K24" s="16"/>
    </row>
    <row r="25" spans="1:11">
      <c r="A25" s="170"/>
      <c r="B25" s="19"/>
      <c r="C25" s="54" t="s">
        <v>239</v>
      </c>
      <c r="D25" s="26" t="s">
        <v>1035</v>
      </c>
      <c r="E25" s="31" t="s">
        <v>1019</v>
      </c>
      <c r="F25" s="28" t="s">
        <v>1020</v>
      </c>
      <c r="G25" s="31"/>
      <c r="H25" s="38">
        <v>2</v>
      </c>
      <c r="I25" s="39">
        <v>51</v>
      </c>
      <c r="J25" s="177">
        <f t="shared" ref="J25:J31" si="2">ROUND(H25*I25,2)</f>
        <v>102</v>
      </c>
      <c r="K25" s="16"/>
    </row>
    <row r="26" spans="1:11">
      <c r="A26" s="170"/>
      <c r="B26" s="19"/>
      <c r="C26" s="54" t="s">
        <v>789</v>
      </c>
      <c r="D26" s="26" t="s">
        <v>1035</v>
      </c>
      <c r="E26" s="31" t="s">
        <v>1021</v>
      </c>
      <c r="F26" s="28"/>
      <c r="G26" s="31"/>
      <c r="H26" s="38">
        <v>1</v>
      </c>
      <c r="I26" s="39">
        <v>27</v>
      </c>
      <c r="J26" s="177">
        <f t="shared" si="2"/>
        <v>27</v>
      </c>
      <c r="K26" s="16"/>
    </row>
    <row r="27" spans="1:11">
      <c r="A27" s="170"/>
      <c r="B27" s="19"/>
      <c r="C27" s="54" t="s">
        <v>790</v>
      </c>
      <c r="D27" s="26" t="s">
        <v>1035</v>
      </c>
      <c r="E27" s="31" t="s">
        <v>1022</v>
      </c>
      <c r="F27" s="28"/>
      <c r="G27" s="31"/>
      <c r="H27" s="38">
        <v>6</v>
      </c>
      <c r="I27" s="39">
        <v>23</v>
      </c>
      <c r="J27" s="177">
        <f t="shared" si="2"/>
        <v>138</v>
      </c>
      <c r="K27" s="16"/>
    </row>
    <row r="28" spans="1:11" ht="25.8">
      <c r="A28" s="170"/>
      <c r="B28" s="19"/>
      <c r="C28" s="54" t="s">
        <v>797</v>
      </c>
      <c r="D28" s="26" t="s">
        <v>1035</v>
      </c>
      <c r="E28" s="31" t="s">
        <v>1023</v>
      </c>
      <c r="F28" s="28"/>
      <c r="G28" s="31"/>
      <c r="H28" s="38">
        <v>1</v>
      </c>
      <c r="I28" s="39">
        <v>124</v>
      </c>
      <c r="J28" s="177">
        <f t="shared" si="2"/>
        <v>124</v>
      </c>
      <c r="K28" s="16"/>
    </row>
    <row r="29" spans="1:11">
      <c r="A29" s="170"/>
      <c r="B29" s="19"/>
      <c r="C29" s="54" t="s">
        <v>798</v>
      </c>
      <c r="D29" s="26" t="s">
        <v>1035</v>
      </c>
      <c r="E29" s="31" t="s">
        <v>140</v>
      </c>
      <c r="F29" s="28"/>
      <c r="G29" s="31"/>
      <c r="H29" s="38">
        <v>2</v>
      </c>
      <c r="I29" s="39">
        <v>34</v>
      </c>
      <c r="J29" s="171">
        <f t="shared" si="2"/>
        <v>68</v>
      </c>
      <c r="K29" s="16"/>
    </row>
    <row r="30" spans="1:11">
      <c r="A30" s="170"/>
      <c r="B30" s="19"/>
      <c r="C30" s="54" t="s">
        <v>799</v>
      </c>
      <c r="D30" s="26" t="s">
        <v>882</v>
      </c>
      <c r="E30" s="31" t="s">
        <v>141</v>
      </c>
      <c r="F30" s="28"/>
      <c r="G30" s="31"/>
      <c r="H30" s="38">
        <v>80</v>
      </c>
      <c r="I30" s="39">
        <v>1.5</v>
      </c>
      <c r="J30" s="171">
        <f t="shared" si="2"/>
        <v>120</v>
      </c>
      <c r="K30" s="16"/>
    </row>
    <row r="31" spans="1:11">
      <c r="A31" s="170"/>
      <c r="B31" s="19"/>
      <c r="C31" s="54" t="s">
        <v>231</v>
      </c>
      <c r="D31" s="26" t="s">
        <v>882</v>
      </c>
      <c r="E31" s="31" t="s">
        <v>142</v>
      </c>
      <c r="F31" s="28"/>
      <c r="G31" s="31"/>
      <c r="H31" s="38">
        <v>10</v>
      </c>
      <c r="I31" s="39">
        <v>12</v>
      </c>
      <c r="J31" s="171">
        <f t="shared" si="2"/>
        <v>120</v>
      </c>
      <c r="K31" s="16"/>
    </row>
    <row r="32" spans="1:11">
      <c r="A32" s="175"/>
      <c r="B32" s="34"/>
      <c r="C32" s="54" t="s">
        <v>1484</v>
      </c>
      <c r="D32" s="26">
        <v>2.25</v>
      </c>
      <c r="E32" s="26">
        <v>0.75</v>
      </c>
      <c r="F32" s="26"/>
      <c r="G32" s="26">
        <v>2.1</v>
      </c>
      <c r="H32" s="26">
        <f>ROUND(G32*E32*D32,2)</f>
        <v>3.54</v>
      </c>
      <c r="I32" s="205">
        <f>Datas!G934</f>
        <v>577.61900000000003</v>
      </c>
      <c r="J32" s="177">
        <f>H32*I32/10</f>
        <v>204.47712600000003</v>
      </c>
      <c r="K32" s="16"/>
    </row>
    <row r="33" spans="1:11">
      <c r="A33" s="175"/>
      <c r="B33" s="32"/>
      <c r="C33" s="54" t="s">
        <v>1483</v>
      </c>
      <c r="D33" s="32"/>
      <c r="E33" s="32"/>
      <c r="F33" s="32"/>
      <c r="G33" s="32"/>
      <c r="H33" s="32">
        <v>6</v>
      </c>
      <c r="I33" s="32">
        <v>12</v>
      </c>
      <c r="J33" s="177">
        <f>ROUND(H33*I33,2)</f>
        <v>72</v>
      </c>
      <c r="K33" s="16"/>
    </row>
    <row r="34" spans="1:11">
      <c r="A34" s="175"/>
      <c r="B34" s="34"/>
      <c r="C34" s="54" t="s">
        <v>230</v>
      </c>
      <c r="D34" s="26"/>
      <c r="E34" s="26"/>
      <c r="F34" s="26"/>
      <c r="G34" s="26"/>
      <c r="H34" s="26">
        <v>1</v>
      </c>
      <c r="I34" s="30">
        <v>100</v>
      </c>
      <c r="J34" s="177">
        <f>H34*I34</f>
        <v>100</v>
      </c>
      <c r="K34" s="16"/>
    </row>
    <row r="35" spans="1:11">
      <c r="A35" s="175"/>
      <c r="B35" s="34"/>
      <c r="C35" s="54"/>
      <c r="D35" s="26"/>
      <c r="E35" s="26"/>
      <c r="F35" s="26"/>
      <c r="G35" s="26"/>
      <c r="H35" s="26"/>
      <c r="I35" s="30"/>
      <c r="J35" s="178">
        <f>ROUND(SUM(J18:J34),1)</f>
        <v>5217.2</v>
      </c>
      <c r="K35" s="16"/>
    </row>
    <row r="36" spans="1:11" s="6" customFormat="1" ht="25.8">
      <c r="A36" s="179"/>
      <c r="B36" s="40"/>
      <c r="C36" s="54" t="s">
        <v>1228</v>
      </c>
      <c r="D36" s="41"/>
      <c r="E36" s="17"/>
      <c r="F36" s="17"/>
      <c r="G36" s="17"/>
      <c r="H36" s="42">
        <f>J35</f>
        <v>5217.2</v>
      </c>
      <c r="I36" s="43">
        <f>'Lead- Input sheet '!Q32</f>
        <v>0</v>
      </c>
      <c r="J36" s="173">
        <f>ROUND(H36*I36,2)</f>
        <v>0</v>
      </c>
      <c r="K36" s="5"/>
    </row>
    <row r="37" spans="1:11" s="6" customFormat="1">
      <c r="A37" s="179"/>
      <c r="B37" s="40"/>
      <c r="C37" s="55" t="s">
        <v>256</v>
      </c>
      <c r="D37" s="41"/>
      <c r="E37" s="17"/>
      <c r="F37" s="17"/>
      <c r="G37" s="17"/>
      <c r="H37" s="41"/>
      <c r="I37" s="43"/>
      <c r="J37" s="207">
        <f>SUM(J35:J36)</f>
        <v>5217.2</v>
      </c>
      <c r="K37" s="5"/>
    </row>
    <row r="38" spans="1:11">
      <c r="A38" s="175"/>
      <c r="B38" s="26"/>
      <c r="C38" s="54"/>
      <c r="D38" s="26"/>
      <c r="E38" s="26"/>
      <c r="F38" s="34"/>
      <c r="G38" s="26"/>
      <c r="H38" s="26"/>
      <c r="I38" s="44"/>
      <c r="J38" s="171"/>
      <c r="K38" s="16"/>
    </row>
    <row r="39" spans="1:11" ht="283.8">
      <c r="A39" s="175"/>
      <c r="B39" s="26">
        <v>3</v>
      </c>
      <c r="C39" s="55" t="s">
        <v>928</v>
      </c>
      <c r="D39" s="26"/>
      <c r="E39" s="26"/>
      <c r="F39" s="26"/>
      <c r="G39" s="26"/>
      <c r="H39" s="26"/>
      <c r="I39" s="32"/>
      <c r="J39" s="173"/>
      <c r="K39" s="16"/>
    </row>
    <row r="40" spans="1:11">
      <c r="A40" s="175"/>
      <c r="B40" s="34"/>
      <c r="C40" s="55" t="s">
        <v>232</v>
      </c>
      <c r="D40" s="19"/>
      <c r="E40" s="19"/>
      <c r="F40" s="26"/>
      <c r="G40" s="26"/>
      <c r="H40" s="26"/>
      <c r="I40" s="30"/>
      <c r="J40" s="176"/>
      <c r="K40" s="16"/>
    </row>
    <row r="41" spans="1:11">
      <c r="A41" s="175"/>
      <c r="B41" s="34"/>
      <c r="C41" s="54" t="s">
        <v>779</v>
      </c>
      <c r="D41" s="26"/>
      <c r="E41" s="26"/>
      <c r="F41" s="26"/>
      <c r="G41" s="26"/>
      <c r="H41" s="26"/>
      <c r="I41" s="30"/>
      <c r="J41" s="176"/>
      <c r="K41" s="16"/>
    </row>
    <row r="42" spans="1:11">
      <c r="A42" s="175"/>
      <c r="B42" s="34"/>
      <c r="C42" s="54" t="s">
        <v>780</v>
      </c>
      <c r="D42" s="26">
        <v>2</v>
      </c>
      <c r="E42" s="26">
        <v>2.1</v>
      </c>
      <c r="F42" s="26">
        <v>0.1</v>
      </c>
      <c r="G42" s="26">
        <v>7.4999999999999997E-2</v>
      </c>
      <c r="H42" s="26">
        <f>ROUND(D42*E42*F42*G42,3)</f>
        <v>3.2000000000000001E-2</v>
      </c>
      <c r="I42" s="30">
        <v>25497.19</v>
      </c>
      <c r="J42" s="177">
        <f t="shared" ref="J42:J47" si="3">ROUND(H42*I42,2)</f>
        <v>815.91</v>
      </c>
      <c r="K42" s="16"/>
    </row>
    <row r="43" spans="1:11">
      <c r="A43" s="175"/>
      <c r="B43" s="34"/>
      <c r="C43" s="54" t="s">
        <v>781</v>
      </c>
      <c r="D43" s="26">
        <v>1</v>
      </c>
      <c r="E43" s="26">
        <v>1.05</v>
      </c>
      <c r="F43" s="26">
        <v>0.1</v>
      </c>
      <c r="G43" s="26">
        <v>7.4999999999999997E-2</v>
      </c>
      <c r="H43" s="26">
        <f>ROUND(D43*E43*F43*G43,3)</f>
        <v>8.0000000000000002E-3</v>
      </c>
      <c r="I43" s="30">
        <v>25497.19</v>
      </c>
      <c r="J43" s="177">
        <f t="shared" si="3"/>
        <v>203.98</v>
      </c>
      <c r="K43" s="16"/>
    </row>
    <row r="44" spans="1:11">
      <c r="A44" s="175"/>
      <c r="B44" s="34"/>
      <c r="C44" s="54" t="s">
        <v>782</v>
      </c>
      <c r="D44" s="26">
        <v>4</v>
      </c>
      <c r="E44" s="26">
        <f>(2.1-1*0.075)+1*0.032</f>
        <v>2.0569999999999999</v>
      </c>
      <c r="F44" s="26">
        <v>0.1</v>
      </c>
      <c r="G44" s="26">
        <f>1.25*25.4/1000</f>
        <v>3.175E-2</v>
      </c>
      <c r="H44" s="26">
        <f>ROUND(D44*E44*F44*G44,3)</f>
        <v>2.5999999999999999E-2</v>
      </c>
      <c r="I44" s="30">
        <v>31076.9</v>
      </c>
      <c r="J44" s="177">
        <f t="shared" si="3"/>
        <v>808</v>
      </c>
      <c r="K44" s="16"/>
    </row>
    <row r="45" spans="1:11">
      <c r="A45" s="175"/>
      <c r="B45" s="34"/>
      <c r="C45" s="54" t="s">
        <v>783</v>
      </c>
      <c r="D45" s="26" t="s">
        <v>791</v>
      </c>
      <c r="E45" s="26">
        <v>0.45</v>
      </c>
      <c r="F45" s="26">
        <v>0.1</v>
      </c>
      <c r="G45" s="26">
        <f>1.25*25.4/1000</f>
        <v>3.175E-2</v>
      </c>
      <c r="H45" s="26">
        <f>ROUND(12*E45*F45*G45,3)</f>
        <v>1.7000000000000001E-2</v>
      </c>
      <c r="I45" s="30">
        <v>31076.9</v>
      </c>
      <c r="J45" s="177">
        <f t="shared" si="3"/>
        <v>528.30999999999995</v>
      </c>
      <c r="K45" s="16"/>
    </row>
    <row r="46" spans="1:11">
      <c r="A46" s="175"/>
      <c r="B46" s="34"/>
      <c r="C46" s="54" t="s">
        <v>1481</v>
      </c>
      <c r="D46" s="26" t="s">
        <v>792</v>
      </c>
      <c r="E46" s="26">
        <v>0.27300000000000002</v>
      </c>
      <c r="F46" s="26">
        <v>0.34100000000000003</v>
      </c>
      <c r="G46" s="26">
        <v>2.5000000000000001E-2</v>
      </c>
      <c r="H46" s="26">
        <f>ROUND(10*E46*F46*G46,3)</f>
        <v>2.3E-2</v>
      </c>
      <c r="I46" s="30">
        <v>31076.9</v>
      </c>
      <c r="J46" s="177">
        <f t="shared" si="3"/>
        <v>714.77</v>
      </c>
      <c r="K46" s="16"/>
    </row>
    <row r="47" spans="1:11">
      <c r="A47" s="175"/>
      <c r="B47" s="34"/>
      <c r="C47" s="54" t="s">
        <v>1482</v>
      </c>
      <c r="D47" s="26"/>
      <c r="E47" s="26"/>
      <c r="F47" s="26"/>
      <c r="G47" s="26"/>
      <c r="H47" s="26">
        <f>SUM(H42:H46)</f>
        <v>0.10600000000000001</v>
      </c>
      <c r="I47" s="213">
        <f>G14</f>
        <v>17360</v>
      </c>
      <c r="J47" s="177">
        <f t="shared" si="3"/>
        <v>1840.16</v>
      </c>
      <c r="K47" s="16"/>
    </row>
    <row r="48" spans="1:11" ht="25.8">
      <c r="A48" s="168" t="s">
        <v>787</v>
      </c>
      <c r="B48" s="19"/>
      <c r="C48" s="54" t="s">
        <v>788</v>
      </c>
      <c r="D48" s="26"/>
      <c r="E48" s="36"/>
      <c r="F48" s="28"/>
      <c r="G48" s="37"/>
      <c r="H48" s="37"/>
      <c r="I48" s="30"/>
      <c r="J48" s="171"/>
      <c r="K48" s="16"/>
    </row>
    <row r="49" spans="1:11">
      <c r="A49" s="170"/>
      <c r="B49" s="19"/>
      <c r="C49" s="54" t="s">
        <v>239</v>
      </c>
      <c r="D49" s="26" t="s">
        <v>1035</v>
      </c>
      <c r="E49" s="31" t="s">
        <v>1019</v>
      </c>
      <c r="F49" s="28"/>
      <c r="G49" s="31"/>
      <c r="H49" s="38">
        <v>2</v>
      </c>
      <c r="I49" s="39">
        <v>51</v>
      </c>
      <c r="J49" s="177">
        <f t="shared" ref="J49:J56" si="4">ROUND(H49*I49,2)</f>
        <v>102</v>
      </c>
      <c r="K49" s="16"/>
    </row>
    <row r="50" spans="1:11">
      <c r="A50" s="170"/>
      <c r="B50" s="19"/>
      <c r="C50" s="54" t="s">
        <v>789</v>
      </c>
      <c r="D50" s="26" t="s">
        <v>1035</v>
      </c>
      <c r="E50" s="31" t="s">
        <v>1021</v>
      </c>
      <c r="F50" s="28"/>
      <c r="G50" s="31"/>
      <c r="H50" s="38">
        <v>1</v>
      </c>
      <c r="I50" s="39">
        <v>27</v>
      </c>
      <c r="J50" s="177">
        <f t="shared" si="4"/>
        <v>27</v>
      </c>
      <c r="K50" s="16"/>
    </row>
    <row r="51" spans="1:11">
      <c r="A51" s="170"/>
      <c r="B51" s="19"/>
      <c r="C51" s="54" t="s">
        <v>790</v>
      </c>
      <c r="D51" s="26" t="s">
        <v>1035</v>
      </c>
      <c r="E51" s="31" t="s">
        <v>1022</v>
      </c>
      <c r="F51" s="28"/>
      <c r="G51" s="31"/>
      <c r="H51" s="38">
        <v>6</v>
      </c>
      <c r="I51" s="39">
        <v>23</v>
      </c>
      <c r="J51" s="177">
        <f t="shared" si="4"/>
        <v>138</v>
      </c>
      <c r="K51" s="16"/>
    </row>
    <row r="52" spans="1:11" ht="25.8">
      <c r="A52" s="170"/>
      <c r="B52" s="19"/>
      <c r="C52" s="54" t="s">
        <v>797</v>
      </c>
      <c r="D52" s="26" t="s">
        <v>1035</v>
      </c>
      <c r="E52" s="31" t="s">
        <v>1023</v>
      </c>
      <c r="F52" s="28"/>
      <c r="G52" s="31"/>
      <c r="H52" s="38">
        <v>1</v>
      </c>
      <c r="I52" s="39">
        <v>124</v>
      </c>
      <c r="J52" s="177">
        <f t="shared" si="4"/>
        <v>124</v>
      </c>
      <c r="K52" s="16"/>
    </row>
    <row r="53" spans="1:11">
      <c r="A53" s="170"/>
      <c r="B53" s="19"/>
      <c r="C53" s="54" t="s">
        <v>798</v>
      </c>
      <c r="D53" s="26" t="s">
        <v>1035</v>
      </c>
      <c r="E53" s="31" t="s">
        <v>140</v>
      </c>
      <c r="F53" s="28"/>
      <c r="G53" s="31"/>
      <c r="H53" s="38">
        <v>2</v>
      </c>
      <c r="I53" s="39">
        <v>34</v>
      </c>
      <c r="J53" s="103">
        <f t="shared" si="4"/>
        <v>68</v>
      </c>
      <c r="K53" s="16"/>
    </row>
    <row r="54" spans="1:11">
      <c r="A54" s="170"/>
      <c r="B54" s="19"/>
      <c r="C54" s="54" t="s">
        <v>799</v>
      </c>
      <c r="D54" s="26" t="s">
        <v>882</v>
      </c>
      <c r="E54" s="31" t="s">
        <v>141</v>
      </c>
      <c r="F54" s="28"/>
      <c r="G54" s="31"/>
      <c r="H54" s="38">
        <v>80</v>
      </c>
      <c r="I54" s="39">
        <v>1.5</v>
      </c>
      <c r="J54" s="103">
        <f t="shared" si="4"/>
        <v>120</v>
      </c>
      <c r="K54" s="16"/>
    </row>
    <row r="55" spans="1:11">
      <c r="A55" s="170"/>
      <c r="B55" s="19"/>
      <c r="C55" s="54" t="s">
        <v>231</v>
      </c>
      <c r="D55" s="26" t="s">
        <v>882</v>
      </c>
      <c r="E55" s="31" t="s">
        <v>142</v>
      </c>
      <c r="F55" s="28"/>
      <c r="G55" s="31"/>
      <c r="H55" s="38">
        <v>10</v>
      </c>
      <c r="I55" s="39">
        <v>12</v>
      </c>
      <c r="J55" s="103">
        <f t="shared" si="4"/>
        <v>120</v>
      </c>
      <c r="K55" s="16"/>
    </row>
    <row r="56" spans="1:11">
      <c r="A56" s="175"/>
      <c r="B56" s="32"/>
      <c r="C56" s="54" t="s">
        <v>1483</v>
      </c>
      <c r="D56" s="32"/>
      <c r="E56" s="32"/>
      <c r="F56" s="32"/>
      <c r="G56" s="32"/>
      <c r="H56" s="32">
        <v>6</v>
      </c>
      <c r="I56" s="32">
        <v>12</v>
      </c>
      <c r="J56" s="177">
        <f t="shared" si="4"/>
        <v>72</v>
      </c>
      <c r="K56" s="16"/>
    </row>
    <row r="57" spans="1:11">
      <c r="A57" s="175"/>
      <c r="B57" s="34"/>
      <c r="C57" s="54" t="s">
        <v>1484</v>
      </c>
      <c r="D57" s="26">
        <v>2.25</v>
      </c>
      <c r="E57" s="26">
        <v>1.05</v>
      </c>
      <c r="F57" s="26"/>
      <c r="G57" s="26">
        <v>2.1</v>
      </c>
      <c r="H57" s="26">
        <f>ROUND(G57*E57*D57,2)</f>
        <v>4.96</v>
      </c>
      <c r="I57" s="205">
        <f>Datas!G934</f>
        <v>577.61900000000003</v>
      </c>
      <c r="J57" s="177">
        <f>H57*I57/10</f>
        <v>286.49902400000002</v>
      </c>
      <c r="K57" s="16"/>
    </row>
    <row r="58" spans="1:11">
      <c r="A58" s="175"/>
      <c r="B58" s="34"/>
      <c r="C58" s="54" t="s">
        <v>230</v>
      </c>
      <c r="D58" s="26"/>
      <c r="E58" s="26"/>
      <c r="F58" s="26"/>
      <c r="G58" s="26"/>
      <c r="H58" s="26">
        <v>1</v>
      </c>
      <c r="I58" s="30">
        <v>100</v>
      </c>
      <c r="J58" s="177">
        <f>H58*I58</f>
        <v>100</v>
      </c>
      <c r="K58" s="16"/>
    </row>
    <row r="59" spans="1:11">
      <c r="A59" s="175"/>
      <c r="B59" s="34"/>
      <c r="C59" s="54"/>
      <c r="D59" s="26"/>
      <c r="E59" s="26"/>
      <c r="F59" s="26"/>
      <c r="G59" s="26"/>
      <c r="H59" s="26"/>
      <c r="I59" s="30"/>
      <c r="J59" s="177">
        <f>SUM(J42:J58)</f>
        <v>6068.6290239999998</v>
      </c>
      <c r="K59" s="16"/>
    </row>
    <row r="60" spans="1:11" s="6" customFormat="1" ht="25.8">
      <c r="A60" s="179"/>
      <c r="B60" s="40"/>
      <c r="C60" s="54" t="s">
        <v>1228</v>
      </c>
      <c r="D60" s="41"/>
      <c r="E60" s="17"/>
      <c r="F60" s="17"/>
      <c r="G60" s="17"/>
      <c r="H60" s="42">
        <f>J59</f>
        <v>6068.6290239999998</v>
      </c>
      <c r="I60" s="43">
        <f>'Lead- Input sheet '!Q32</f>
        <v>0</v>
      </c>
      <c r="J60" s="173">
        <f>ROUND(H60*I60,2)</f>
        <v>0</v>
      </c>
      <c r="K60" s="5"/>
    </row>
    <row r="61" spans="1:11" s="6" customFormat="1">
      <c r="A61" s="179"/>
      <c r="B61" s="40"/>
      <c r="C61" s="55" t="s">
        <v>256</v>
      </c>
      <c r="D61" s="41"/>
      <c r="E61" s="17"/>
      <c r="F61" s="17"/>
      <c r="G61" s="17"/>
      <c r="H61" s="41"/>
      <c r="I61" s="43"/>
      <c r="J61" s="207">
        <f>SUM(J59:J60)</f>
        <v>6068.6290239999998</v>
      </c>
      <c r="K61" s="5"/>
    </row>
    <row r="62" spans="1:11" ht="283.8">
      <c r="A62" s="175"/>
      <c r="B62" s="26">
        <v>4</v>
      </c>
      <c r="C62" s="55" t="s">
        <v>1258</v>
      </c>
      <c r="D62" s="26"/>
      <c r="E62" s="26"/>
      <c r="F62" s="26"/>
      <c r="G62" s="26"/>
      <c r="H62" s="26"/>
      <c r="I62" s="32"/>
      <c r="J62" s="173"/>
      <c r="K62" s="16"/>
    </row>
    <row r="63" spans="1:11">
      <c r="A63" s="175"/>
      <c r="B63" s="34"/>
      <c r="C63" s="55" t="s">
        <v>793</v>
      </c>
      <c r="D63" s="19"/>
      <c r="E63" s="19"/>
      <c r="F63" s="26"/>
      <c r="G63" s="26"/>
      <c r="H63" s="26"/>
      <c r="I63" s="30"/>
      <c r="J63" s="176"/>
      <c r="K63" s="16"/>
    </row>
    <row r="64" spans="1:11">
      <c r="A64" s="175"/>
      <c r="B64" s="34"/>
      <c r="C64" s="54" t="s">
        <v>779</v>
      </c>
      <c r="D64" s="26"/>
      <c r="E64" s="26"/>
      <c r="F64" s="26"/>
      <c r="G64" s="26"/>
      <c r="H64" s="26"/>
      <c r="I64" s="30"/>
      <c r="J64" s="176"/>
      <c r="K64" s="16"/>
    </row>
    <row r="65" spans="1:11">
      <c r="A65" s="175"/>
      <c r="B65" s="34"/>
      <c r="C65" s="54" t="s">
        <v>780</v>
      </c>
      <c r="D65" s="26">
        <v>2</v>
      </c>
      <c r="E65" s="26">
        <v>2.1</v>
      </c>
      <c r="F65" s="26">
        <v>0.1</v>
      </c>
      <c r="G65" s="26">
        <v>7.4999999999999997E-2</v>
      </c>
      <c r="H65" s="26">
        <f>ROUND(D65*E65*F65*G65,3)</f>
        <v>3.2000000000000001E-2</v>
      </c>
      <c r="I65" s="30">
        <v>25497.19</v>
      </c>
      <c r="J65" s="177">
        <f t="shared" ref="J65:J70" si="5">ROUND(H65*I65,2)</f>
        <v>815.91</v>
      </c>
      <c r="K65" s="16"/>
    </row>
    <row r="66" spans="1:11">
      <c r="A66" s="175"/>
      <c r="B66" s="34"/>
      <c r="C66" s="54" t="s">
        <v>781</v>
      </c>
      <c r="D66" s="26">
        <v>1</v>
      </c>
      <c r="E66" s="26">
        <v>1.2</v>
      </c>
      <c r="F66" s="26">
        <v>0.1</v>
      </c>
      <c r="G66" s="26">
        <v>7.4999999999999997E-2</v>
      </c>
      <c r="H66" s="26">
        <f>ROUND(D66*E66*F66*G66,3)</f>
        <v>8.9999999999999993E-3</v>
      </c>
      <c r="I66" s="30">
        <v>25497.19</v>
      </c>
      <c r="J66" s="177">
        <f t="shared" si="5"/>
        <v>229.47</v>
      </c>
      <c r="K66" s="16"/>
    </row>
    <row r="67" spans="1:11">
      <c r="A67" s="175"/>
      <c r="B67" s="34"/>
      <c r="C67" s="54" t="s">
        <v>782</v>
      </c>
      <c r="D67" s="26">
        <v>4</v>
      </c>
      <c r="E67" s="26">
        <f>(2.1-1*0.075)+1*0.032</f>
        <v>2.0569999999999999</v>
      </c>
      <c r="F67" s="26">
        <v>0.1</v>
      </c>
      <c r="G67" s="26">
        <f>1.25*25.4/1000</f>
        <v>3.175E-2</v>
      </c>
      <c r="H67" s="26">
        <f>ROUND(D67*E67*F67*G67,3)</f>
        <v>2.5999999999999999E-2</v>
      </c>
      <c r="I67" s="30">
        <v>31076.9</v>
      </c>
      <c r="J67" s="177">
        <f t="shared" si="5"/>
        <v>808</v>
      </c>
      <c r="K67" s="16"/>
    </row>
    <row r="68" spans="1:11">
      <c r="A68" s="175"/>
      <c r="B68" s="34"/>
      <c r="C68" s="54" t="s">
        <v>783</v>
      </c>
      <c r="D68" s="26" t="s">
        <v>791</v>
      </c>
      <c r="E68" s="26">
        <v>0.45</v>
      </c>
      <c r="F68" s="26">
        <v>0.1</v>
      </c>
      <c r="G68" s="26">
        <f>1.25*25.4/1000</f>
        <v>3.175E-2</v>
      </c>
      <c r="H68" s="26">
        <f>ROUND(12*E68*F68*G68,3)</f>
        <v>1.7000000000000001E-2</v>
      </c>
      <c r="I68" s="30">
        <v>31076.9</v>
      </c>
      <c r="J68" s="177">
        <f t="shared" si="5"/>
        <v>528.30999999999995</v>
      </c>
      <c r="K68" s="16"/>
    </row>
    <row r="69" spans="1:11">
      <c r="A69" s="175"/>
      <c r="B69" s="34"/>
      <c r="C69" s="54" t="s">
        <v>1481</v>
      </c>
      <c r="D69" s="26" t="s">
        <v>792</v>
      </c>
      <c r="E69" s="26">
        <v>0.34799999999999998</v>
      </c>
      <c r="F69" s="26">
        <v>0.34100000000000003</v>
      </c>
      <c r="G69" s="26">
        <v>2.5000000000000001E-2</v>
      </c>
      <c r="H69" s="26">
        <f>ROUND(10*E69*F69*G69,3)</f>
        <v>0.03</v>
      </c>
      <c r="I69" s="30">
        <v>31076.9</v>
      </c>
      <c r="J69" s="177">
        <f t="shared" si="5"/>
        <v>932.31</v>
      </c>
      <c r="K69" s="16"/>
    </row>
    <row r="70" spans="1:11">
      <c r="A70" s="175"/>
      <c r="B70" s="34"/>
      <c r="C70" s="54" t="s">
        <v>1482</v>
      </c>
      <c r="D70" s="26"/>
      <c r="E70" s="26"/>
      <c r="F70" s="26"/>
      <c r="G70" s="26"/>
      <c r="H70" s="26">
        <f>SUM(H65:H69)</f>
        <v>0.114</v>
      </c>
      <c r="I70" s="35">
        <f>G14</f>
        <v>17360</v>
      </c>
      <c r="J70" s="177">
        <f t="shared" si="5"/>
        <v>1979.04</v>
      </c>
      <c r="K70" s="16"/>
    </row>
    <row r="71" spans="1:11" ht="25.8">
      <c r="A71" s="168" t="s">
        <v>787</v>
      </c>
      <c r="B71" s="19"/>
      <c r="C71" s="54" t="s">
        <v>788</v>
      </c>
      <c r="D71" s="26"/>
      <c r="E71" s="36"/>
      <c r="F71" s="28"/>
      <c r="G71" s="37"/>
      <c r="H71" s="37"/>
      <c r="I71" s="30"/>
      <c r="J71" s="171"/>
      <c r="K71" s="16"/>
    </row>
    <row r="72" spans="1:11">
      <c r="A72" s="170"/>
      <c r="B72" s="19"/>
      <c r="C72" s="54" t="s">
        <v>238</v>
      </c>
      <c r="D72" s="26" t="s">
        <v>1035</v>
      </c>
      <c r="E72" s="31" t="s">
        <v>1019</v>
      </c>
      <c r="F72" s="28"/>
      <c r="G72" s="31"/>
      <c r="H72" s="38">
        <v>2</v>
      </c>
      <c r="I72" s="39">
        <v>51</v>
      </c>
      <c r="J72" s="177">
        <f t="shared" ref="J72:J79" si="6">ROUND(H72*I72,2)</f>
        <v>102</v>
      </c>
      <c r="K72" s="16"/>
    </row>
    <row r="73" spans="1:11">
      <c r="A73" s="170"/>
      <c r="B73" s="19"/>
      <c r="C73" s="54" t="s">
        <v>789</v>
      </c>
      <c r="D73" s="26" t="s">
        <v>1035</v>
      </c>
      <c r="E73" s="31" t="s">
        <v>1021</v>
      </c>
      <c r="F73" s="28"/>
      <c r="G73" s="31"/>
      <c r="H73" s="38">
        <v>1</v>
      </c>
      <c r="I73" s="39">
        <v>27</v>
      </c>
      <c r="J73" s="177">
        <f t="shared" si="6"/>
        <v>27</v>
      </c>
      <c r="K73" s="16"/>
    </row>
    <row r="74" spans="1:11">
      <c r="A74" s="170"/>
      <c r="B74" s="19"/>
      <c r="C74" s="54" t="s">
        <v>790</v>
      </c>
      <c r="D74" s="26" t="s">
        <v>1035</v>
      </c>
      <c r="E74" s="31" t="s">
        <v>1022</v>
      </c>
      <c r="F74" s="28"/>
      <c r="G74" s="31"/>
      <c r="H74" s="38">
        <v>6</v>
      </c>
      <c r="I74" s="39">
        <v>23</v>
      </c>
      <c r="J74" s="177">
        <f t="shared" si="6"/>
        <v>138</v>
      </c>
      <c r="K74" s="16"/>
    </row>
    <row r="75" spans="1:11" ht="25.8">
      <c r="A75" s="170"/>
      <c r="B75" s="19"/>
      <c r="C75" s="54" t="s">
        <v>797</v>
      </c>
      <c r="D75" s="26" t="s">
        <v>1035</v>
      </c>
      <c r="E75" s="31" t="s">
        <v>1023</v>
      </c>
      <c r="F75" s="28"/>
      <c r="G75" s="31"/>
      <c r="H75" s="38">
        <v>1</v>
      </c>
      <c r="I75" s="39">
        <v>124</v>
      </c>
      <c r="J75" s="177">
        <f t="shared" si="6"/>
        <v>124</v>
      </c>
      <c r="K75" s="16"/>
    </row>
    <row r="76" spans="1:11">
      <c r="A76" s="170"/>
      <c r="B76" s="19"/>
      <c r="C76" s="54" t="s">
        <v>798</v>
      </c>
      <c r="D76" s="26" t="s">
        <v>1035</v>
      </c>
      <c r="E76" s="31" t="s">
        <v>140</v>
      </c>
      <c r="F76" s="28"/>
      <c r="G76" s="31"/>
      <c r="H76" s="38">
        <v>2</v>
      </c>
      <c r="I76" s="39">
        <v>34</v>
      </c>
      <c r="J76" s="103">
        <f t="shared" si="6"/>
        <v>68</v>
      </c>
      <c r="K76" s="16"/>
    </row>
    <row r="77" spans="1:11">
      <c r="A77" s="170"/>
      <c r="B77" s="19"/>
      <c r="C77" s="54" t="s">
        <v>799</v>
      </c>
      <c r="D77" s="26" t="s">
        <v>882</v>
      </c>
      <c r="E77" s="31" t="s">
        <v>141</v>
      </c>
      <c r="F77" s="28"/>
      <c r="G77" s="31"/>
      <c r="H77" s="38">
        <v>80</v>
      </c>
      <c r="I77" s="39">
        <v>1.25</v>
      </c>
      <c r="J77" s="103">
        <f t="shared" si="6"/>
        <v>100</v>
      </c>
      <c r="K77" s="16"/>
    </row>
    <row r="78" spans="1:11">
      <c r="A78" s="170"/>
      <c r="B78" s="19"/>
      <c r="C78" s="54" t="s">
        <v>231</v>
      </c>
      <c r="D78" s="26" t="s">
        <v>882</v>
      </c>
      <c r="E78" s="31" t="s">
        <v>142</v>
      </c>
      <c r="F78" s="28"/>
      <c r="G78" s="31"/>
      <c r="H78" s="38">
        <v>10</v>
      </c>
      <c r="I78" s="39">
        <v>10</v>
      </c>
      <c r="J78" s="103">
        <f t="shared" si="6"/>
        <v>100</v>
      </c>
      <c r="K78" s="16"/>
    </row>
    <row r="79" spans="1:11">
      <c r="A79" s="175"/>
      <c r="B79" s="32"/>
      <c r="C79" s="54" t="s">
        <v>1483</v>
      </c>
      <c r="D79" s="32"/>
      <c r="E79" s="32"/>
      <c r="F79" s="32"/>
      <c r="G79" s="32"/>
      <c r="H79" s="32">
        <v>6</v>
      </c>
      <c r="I79" s="32">
        <v>12</v>
      </c>
      <c r="J79" s="177">
        <f t="shared" si="6"/>
        <v>72</v>
      </c>
      <c r="K79" s="16"/>
    </row>
    <row r="80" spans="1:11">
      <c r="A80" s="175"/>
      <c r="B80" s="34"/>
      <c r="C80" s="54" t="s">
        <v>1484</v>
      </c>
      <c r="D80" s="26">
        <v>2.25</v>
      </c>
      <c r="E80" s="26">
        <v>1.05</v>
      </c>
      <c r="F80" s="26"/>
      <c r="G80" s="26">
        <v>2.1</v>
      </c>
      <c r="H80" s="26">
        <f>ROUND(G80*E80*D80,2)</f>
        <v>4.96</v>
      </c>
      <c r="I80" s="205">
        <f>I57</f>
        <v>577.61900000000003</v>
      </c>
      <c r="J80" s="177">
        <f>ROUND(H80*I80/10,20)</f>
        <v>286.49902400000002</v>
      </c>
      <c r="K80" s="16"/>
    </row>
    <row r="81" spans="1:11">
      <c r="A81" s="175"/>
      <c r="B81" s="34"/>
      <c r="C81" s="54" t="s">
        <v>230</v>
      </c>
      <c r="D81" s="26"/>
      <c r="E81" s="26"/>
      <c r="F81" s="26"/>
      <c r="G81" s="26"/>
      <c r="H81" s="26">
        <v>1</v>
      </c>
      <c r="I81" s="30">
        <v>100</v>
      </c>
      <c r="J81" s="177">
        <f>H81*I81</f>
        <v>100</v>
      </c>
      <c r="K81" s="16"/>
    </row>
    <row r="82" spans="1:11">
      <c r="A82" s="175"/>
      <c r="B82" s="34"/>
      <c r="C82" s="54"/>
      <c r="D82" s="26"/>
      <c r="E82" s="26"/>
      <c r="F82" s="26"/>
      <c r="G82" s="26"/>
      <c r="H82" s="26"/>
      <c r="I82" s="30"/>
      <c r="J82" s="177">
        <f>SUM(J65:J81)</f>
        <v>6410.5390239999988</v>
      </c>
      <c r="K82" s="16"/>
    </row>
    <row r="83" spans="1:11" s="6" customFormat="1" ht="25.8">
      <c r="A83" s="179"/>
      <c r="B83" s="40"/>
      <c r="C83" s="54" t="s">
        <v>1228</v>
      </c>
      <c r="D83" s="41"/>
      <c r="E83" s="17"/>
      <c r="F83" s="17"/>
      <c r="G83" s="17"/>
      <c r="H83" s="42">
        <f>J82</f>
        <v>6410.5390239999988</v>
      </c>
      <c r="I83" s="43">
        <f>'Lead- Input sheet '!Q32</f>
        <v>0</v>
      </c>
      <c r="J83" s="173">
        <f>ROUND(H83*I83,2)</f>
        <v>0</v>
      </c>
      <c r="K83" s="5"/>
    </row>
    <row r="84" spans="1:11" s="6" customFormat="1">
      <c r="A84" s="179"/>
      <c r="B84" s="40"/>
      <c r="C84" s="54" t="s">
        <v>1231</v>
      </c>
      <c r="D84" s="41"/>
      <c r="E84" s="17"/>
      <c r="F84" s="17"/>
      <c r="G84" s="17"/>
      <c r="H84" s="41"/>
      <c r="I84" s="43"/>
      <c r="J84" s="180">
        <f>SUM(J82:J83)</f>
        <v>6410.5390239999988</v>
      </c>
      <c r="K84" s="5"/>
    </row>
    <row r="85" spans="1:11" ht="321" customHeight="1">
      <c r="A85" s="175"/>
      <c r="B85" s="26">
        <v>5</v>
      </c>
      <c r="C85" s="55" t="s">
        <v>724</v>
      </c>
      <c r="D85" s="26"/>
      <c r="E85" s="26"/>
      <c r="F85" s="26"/>
      <c r="G85" s="26"/>
      <c r="H85" s="26"/>
      <c r="I85" s="32"/>
      <c r="J85" s="173"/>
      <c r="K85" s="16"/>
    </row>
    <row r="86" spans="1:11">
      <c r="A86" s="175"/>
      <c r="B86" s="34"/>
      <c r="C86" s="55" t="s">
        <v>233</v>
      </c>
      <c r="D86" s="19"/>
      <c r="E86" s="19"/>
      <c r="F86" s="26"/>
      <c r="G86" s="26"/>
      <c r="H86" s="26"/>
      <c r="I86" s="30"/>
      <c r="J86" s="176"/>
      <c r="K86" s="16"/>
    </row>
    <row r="87" spans="1:11">
      <c r="A87" s="175"/>
      <c r="B87" s="34"/>
      <c r="C87" s="54" t="s">
        <v>779</v>
      </c>
      <c r="D87" s="26"/>
      <c r="E87" s="26"/>
      <c r="F87" s="26"/>
      <c r="G87" s="26"/>
      <c r="H87" s="26"/>
      <c r="I87" s="30"/>
      <c r="J87" s="176"/>
      <c r="K87" s="16"/>
    </row>
    <row r="88" spans="1:11">
      <c r="A88" s="175"/>
      <c r="B88" s="34"/>
      <c r="C88" s="54" t="s">
        <v>780</v>
      </c>
      <c r="D88" s="26">
        <v>2</v>
      </c>
      <c r="E88" s="26">
        <v>2.1</v>
      </c>
      <c r="F88" s="26">
        <v>0.1</v>
      </c>
      <c r="G88" s="26">
        <v>7.4999999999999997E-2</v>
      </c>
      <c r="H88" s="26">
        <f>ROUND(D88*E88*F88*G88,3)</f>
        <v>3.2000000000000001E-2</v>
      </c>
      <c r="I88" s="30">
        <v>25497.19</v>
      </c>
      <c r="J88" s="177">
        <f t="shared" ref="J88:J93" si="7">ROUND(H88*I88,2)</f>
        <v>815.91</v>
      </c>
      <c r="K88" s="16"/>
    </row>
    <row r="89" spans="1:11">
      <c r="A89" s="175"/>
      <c r="B89" s="34"/>
      <c r="C89" s="54" t="s">
        <v>781</v>
      </c>
      <c r="D89" s="26">
        <v>1</v>
      </c>
      <c r="E89" s="26">
        <v>1.2</v>
      </c>
      <c r="F89" s="26">
        <v>0.1</v>
      </c>
      <c r="G89" s="26">
        <v>7.4999999999999997E-2</v>
      </c>
      <c r="H89" s="26">
        <f>ROUND(D89*E89*F89*G89,3)</f>
        <v>8.9999999999999993E-3</v>
      </c>
      <c r="I89" s="30">
        <v>25497.19</v>
      </c>
      <c r="J89" s="177">
        <f t="shared" si="7"/>
        <v>229.47</v>
      </c>
      <c r="K89" s="16"/>
    </row>
    <row r="90" spans="1:11">
      <c r="A90" s="175"/>
      <c r="B90" s="34"/>
      <c r="C90" s="54" t="s">
        <v>782</v>
      </c>
      <c r="D90" s="26">
        <v>4</v>
      </c>
      <c r="E90" s="26">
        <f>(2.1-1*0.075)+1*0.032</f>
        <v>2.0569999999999999</v>
      </c>
      <c r="F90" s="26">
        <v>0.1</v>
      </c>
      <c r="G90" s="26">
        <f>1.25*25.4/1000</f>
        <v>3.175E-2</v>
      </c>
      <c r="H90" s="26">
        <f>ROUND(D90*E90*F90*G90,3)</f>
        <v>2.5999999999999999E-2</v>
      </c>
      <c r="I90" s="30">
        <v>31076.9</v>
      </c>
      <c r="J90" s="177">
        <f t="shared" si="7"/>
        <v>808</v>
      </c>
      <c r="K90" s="16"/>
    </row>
    <row r="91" spans="1:11">
      <c r="A91" s="175"/>
      <c r="B91" s="34"/>
      <c r="C91" s="54" t="s">
        <v>783</v>
      </c>
      <c r="D91" s="26" t="s">
        <v>791</v>
      </c>
      <c r="E91" s="26">
        <v>0.45</v>
      </c>
      <c r="F91" s="26">
        <v>0.1</v>
      </c>
      <c r="G91" s="26">
        <f>1.25*25.4/1000</f>
        <v>3.175E-2</v>
      </c>
      <c r="H91" s="26">
        <f>ROUND(12*E91*F91*G91,3)</f>
        <v>1.7000000000000001E-2</v>
      </c>
      <c r="I91" s="30">
        <v>31076.9</v>
      </c>
      <c r="J91" s="177">
        <f t="shared" si="7"/>
        <v>528.30999999999995</v>
      </c>
      <c r="K91" s="16"/>
    </row>
    <row r="92" spans="1:11">
      <c r="A92" s="175"/>
      <c r="B92" s="34"/>
      <c r="C92" s="54" t="s">
        <v>1481</v>
      </c>
      <c r="D92" s="26" t="s">
        <v>792</v>
      </c>
      <c r="E92" s="26">
        <v>0.42299999999999999</v>
      </c>
      <c r="F92" s="26">
        <v>0.34100000000000003</v>
      </c>
      <c r="G92" s="26">
        <v>2.5000000000000001E-2</v>
      </c>
      <c r="H92" s="26">
        <f>ROUND(10*E92*F92*G92,3)</f>
        <v>3.5999999999999997E-2</v>
      </c>
      <c r="I92" s="30">
        <v>31076.9</v>
      </c>
      <c r="J92" s="177">
        <f t="shared" si="7"/>
        <v>1118.77</v>
      </c>
      <c r="K92" s="16"/>
    </row>
    <row r="93" spans="1:11">
      <c r="A93" s="175"/>
      <c r="B93" s="34"/>
      <c r="C93" s="54" t="s">
        <v>1482</v>
      </c>
      <c r="D93" s="26"/>
      <c r="E93" s="26"/>
      <c r="F93" s="26"/>
      <c r="G93" s="26"/>
      <c r="H93" s="26">
        <f>SUM(H88:H92)</f>
        <v>0.12</v>
      </c>
      <c r="I93" s="213">
        <f>I70</f>
        <v>17360</v>
      </c>
      <c r="J93" s="177">
        <f t="shared" si="7"/>
        <v>2083.1999999999998</v>
      </c>
      <c r="K93" s="16"/>
    </row>
    <row r="94" spans="1:11" ht="25.8">
      <c r="A94" s="168" t="s">
        <v>787</v>
      </c>
      <c r="B94" s="19"/>
      <c r="C94" s="54" t="s">
        <v>788</v>
      </c>
      <c r="D94" s="26"/>
      <c r="E94" s="36"/>
      <c r="F94" s="28"/>
      <c r="G94" s="37"/>
      <c r="H94" s="37"/>
      <c r="I94" s="30"/>
      <c r="J94" s="171"/>
      <c r="K94" s="16"/>
    </row>
    <row r="95" spans="1:11">
      <c r="A95" s="170"/>
      <c r="B95" s="19"/>
      <c r="C95" s="54" t="s">
        <v>239</v>
      </c>
      <c r="D95" s="26" t="s">
        <v>1035</v>
      </c>
      <c r="E95" s="31" t="s">
        <v>1019</v>
      </c>
      <c r="F95" s="28"/>
      <c r="G95" s="31"/>
      <c r="H95" s="38">
        <v>2</v>
      </c>
      <c r="I95" s="39">
        <v>51</v>
      </c>
      <c r="J95" s="177">
        <f t="shared" ref="J95:J102" si="8">ROUND(H95*I95,2)</f>
        <v>102</v>
      </c>
      <c r="K95" s="16"/>
    </row>
    <row r="96" spans="1:11">
      <c r="A96" s="170"/>
      <c r="B96" s="19"/>
      <c r="C96" s="54" t="s">
        <v>789</v>
      </c>
      <c r="D96" s="26" t="s">
        <v>1035</v>
      </c>
      <c r="E96" s="31" t="s">
        <v>1021</v>
      </c>
      <c r="F96" s="28"/>
      <c r="G96" s="31"/>
      <c r="H96" s="38">
        <v>1</v>
      </c>
      <c r="I96" s="39">
        <v>27</v>
      </c>
      <c r="J96" s="177">
        <f t="shared" si="8"/>
        <v>27</v>
      </c>
      <c r="K96" s="16"/>
    </row>
    <row r="97" spans="1:11">
      <c r="A97" s="170"/>
      <c r="B97" s="19"/>
      <c r="C97" s="54" t="s">
        <v>790</v>
      </c>
      <c r="D97" s="26" t="s">
        <v>1035</v>
      </c>
      <c r="E97" s="31" t="s">
        <v>1022</v>
      </c>
      <c r="F97" s="28"/>
      <c r="G97" s="31"/>
      <c r="H97" s="38">
        <v>6</v>
      </c>
      <c r="I97" s="39">
        <v>23</v>
      </c>
      <c r="J97" s="177">
        <f t="shared" si="8"/>
        <v>138</v>
      </c>
      <c r="K97" s="16"/>
    </row>
    <row r="98" spans="1:11" ht="25.8">
      <c r="A98" s="170"/>
      <c r="B98" s="19"/>
      <c r="C98" s="54" t="s">
        <v>797</v>
      </c>
      <c r="D98" s="26" t="s">
        <v>1035</v>
      </c>
      <c r="E98" s="31" t="s">
        <v>1023</v>
      </c>
      <c r="F98" s="28"/>
      <c r="G98" s="31"/>
      <c r="H98" s="38">
        <v>1</v>
      </c>
      <c r="I98" s="39">
        <v>124</v>
      </c>
      <c r="J98" s="177">
        <f t="shared" si="8"/>
        <v>124</v>
      </c>
      <c r="K98" s="16"/>
    </row>
    <row r="99" spans="1:11">
      <c r="A99" s="170"/>
      <c r="B99" s="19"/>
      <c r="C99" s="54" t="s">
        <v>798</v>
      </c>
      <c r="D99" s="26" t="s">
        <v>1035</v>
      </c>
      <c r="E99" s="31" t="s">
        <v>140</v>
      </c>
      <c r="F99" s="28"/>
      <c r="G99" s="31"/>
      <c r="H99" s="38">
        <v>2</v>
      </c>
      <c r="I99" s="39">
        <v>34</v>
      </c>
      <c r="J99" s="171">
        <f t="shared" si="8"/>
        <v>68</v>
      </c>
      <c r="K99" s="16"/>
    </row>
    <row r="100" spans="1:11">
      <c r="A100" s="170"/>
      <c r="B100" s="19"/>
      <c r="C100" s="54" t="s">
        <v>799</v>
      </c>
      <c r="D100" s="26" t="s">
        <v>882</v>
      </c>
      <c r="E100" s="31" t="s">
        <v>141</v>
      </c>
      <c r="F100" s="28"/>
      <c r="G100" s="31"/>
      <c r="H100" s="38">
        <v>80</v>
      </c>
      <c r="I100" s="39">
        <v>1.5</v>
      </c>
      <c r="J100" s="171">
        <f t="shared" si="8"/>
        <v>120</v>
      </c>
      <c r="K100" s="16"/>
    </row>
    <row r="101" spans="1:11">
      <c r="A101" s="170"/>
      <c r="B101" s="19"/>
      <c r="C101" s="54" t="s">
        <v>231</v>
      </c>
      <c r="D101" s="26" t="s">
        <v>882</v>
      </c>
      <c r="E101" s="31" t="s">
        <v>142</v>
      </c>
      <c r="F101" s="28"/>
      <c r="G101" s="31"/>
      <c r="H101" s="38">
        <v>10</v>
      </c>
      <c r="I101" s="39">
        <v>12</v>
      </c>
      <c r="J101" s="171">
        <f t="shared" si="8"/>
        <v>120</v>
      </c>
      <c r="K101" s="16"/>
    </row>
    <row r="102" spans="1:11">
      <c r="A102" s="175"/>
      <c r="B102" s="32"/>
      <c r="C102" s="54" t="s">
        <v>1483</v>
      </c>
      <c r="D102" s="32"/>
      <c r="E102" s="32"/>
      <c r="F102" s="32"/>
      <c r="G102" s="32"/>
      <c r="H102" s="32">
        <v>6</v>
      </c>
      <c r="I102" s="32">
        <v>12</v>
      </c>
      <c r="J102" s="177">
        <f t="shared" si="8"/>
        <v>72</v>
      </c>
      <c r="K102" s="16"/>
    </row>
    <row r="103" spans="1:11">
      <c r="A103" s="175"/>
      <c r="B103" s="34"/>
      <c r="C103" s="54" t="s">
        <v>1484</v>
      </c>
      <c r="D103" s="26">
        <v>2.25</v>
      </c>
      <c r="E103" s="26">
        <v>1.2</v>
      </c>
      <c r="F103" s="26"/>
      <c r="G103" s="26">
        <v>2.1</v>
      </c>
      <c r="H103" s="26">
        <f>ROUND(G103*E103*D103,2)</f>
        <v>5.67</v>
      </c>
      <c r="I103" s="205">
        <f>Datas!G934</f>
        <v>577.61900000000003</v>
      </c>
      <c r="J103" s="177">
        <f>H103*I103/10</f>
        <v>327.509973</v>
      </c>
      <c r="K103" s="16"/>
    </row>
    <row r="104" spans="1:11">
      <c r="A104" s="175"/>
      <c r="B104" s="34"/>
      <c r="C104" s="54" t="s">
        <v>230</v>
      </c>
      <c r="D104" s="26"/>
      <c r="E104" s="26"/>
      <c r="F104" s="26"/>
      <c r="G104" s="26"/>
      <c r="H104" s="26">
        <v>1</v>
      </c>
      <c r="I104" s="30">
        <v>100</v>
      </c>
      <c r="J104" s="177">
        <f>H104*I104</f>
        <v>100</v>
      </c>
      <c r="K104" s="16"/>
    </row>
    <row r="105" spans="1:11">
      <c r="A105" s="175"/>
      <c r="B105" s="34"/>
      <c r="C105" s="54"/>
      <c r="D105" s="26"/>
      <c r="E105" s="26"/>
      <c r="F105" s="26"/>
      <c r="G105" s="26"/>
      <c r="H105" s="26"/>
      <c r="I105" s="30"/>
      <c r="J105" s="177">
        <f>SUM(J88:J104)</f>
        <v>6782.169973</v>
      </c>
      <c r="K105" s="16"/>
    </row>
    <row r="106" spans="1:11" s="6" customFormat="1" ht="25.8">
      <c r="A106" s="179"/>
      <c r="B106" s="40"/>
      <c r="C106" s="54" t="s">
        <v>1228</v>
      </c>
      <c r="D106" s="41"/>
      <c r="E106" s="17"/>
      <c r="F106" s="17"/>
      <c r="G106" s="17"/>
      <c r="H106" s="42">
        <f>J105</f>
        <v>6782.169973</v>
      </c>
      <c r="I106" s="43">
        <f>'Lead- Input sheet '!Q32</f>
        <v>0</v>
      </c>
      <c r="J106" s="173">
        <f>ROUND(H106*I106,2)</f>
        <v>0</v>
      </c>
      <c r="K106" s="5"/>
    </row>
    <row r="107" spans="1:11" s="6" customFormat="1">
      <c r="A107" s="179"/>
      <c r="B107" s="40"/>
      <c r="C107" s="54" t="s">
        <v>1231</v>
      </c>
      <c r="D107" s="41"/>
      <c r="E107" s="17"/>
      <c r="F107" s="17"/>
      <c r="G107" s="17"/>
      <c r="H107" s="41"/>
      <c r="I107" s="43"/>
      <c r="J107" s="207">
        <f>SUM(J105:J106)</f>
        <v>6782.169973</v>
      </c>
      <c r="K107" s="5"/>
    </row>
    <row r="108" spans="1:11">
      <c r="A108" s="175"/>
      <c r="B108" s="34"/>
      <c r="C108" s="54"/>
      <c r="D108" s="26"/>
      <c r="E108" s="26"/>
      <c r="F108" s="26"/>
      <c r="G108" s="26"/>
      <c r="H108" s="26"/>
      <c r="I108" s="30"/>
      <c r="J108" s="177"/>
      <c r="K108" s="16"/>
    </row>
    <row r="109" spans="1:11">
      <c r="A109" s="175"/>
      <c r="B109" s="34"/>
      <c r="C109" s="54"/>
      <c r="D109" s="26"/>
      <c r="E109" s="26"/>
      <c r="F109" s="26"/>
      <c r="G109" s="26"/>
      <c r="H109" s="26"/>
      <c r="I109" s="30"/>
      <c r="J109" s="177"/>
      <c r="K109" s="16"/>
    </row>
    <row r="110" spans="1:11" ht="162.75" customHeight="1">
      <c r="A110" s="175"/>
      <c r="B110" s="26">
        <v>6</v>
      </c>
      <c r="C110" s="55" t="s">
        <v>1259</v>
      </c>
      <c r="D110" s="26"/>
      <c r="E110" s="26"/>
      <c r="F110" s="26"/>
      <c r="G110" s="26"/>
      <c r="H110" s="26"/>
      <c r="I110" s="32"/>
      <c r="J110" s="173"/>
      <c r="K110" s="16"/>
    </row>
    <row r="111" spans="1:11">
      <c r="A111" s="175"/>
      <c r="B111" s="34"/>
      <c r="C111" s="55" t="s">
        <v>1096</v>
      </c>
      <c r="D111" s="26"/>
      <c r="E111" s="26"/>
      <c r="F111" s="26"/>
      <c r="G111" s="26"/>
      <c r="H111" s="26"/>
      <c r="I111" s="30"/>
      <c r="J111" s="176"/>
      <c r="K111" s="16"/>
    </row>
    <row r="112" spans="1:11">
      <c r="A112" s="175"/>
      <c r="B112" s="34"/>
      <c r="C112" s="54" t="s">
        <v>779</v>
      </c>
      <c r="D112" s="26"/>
      <c r="E112" s="26"/>
      <c r="F112" s="26"/>
      <c r="G112" s="26"/>
      <c r="H112" s="26"/>
      <c r="I112" s="30"/>
      <c r="J112" s="176"/>
      <c r="K112" s="16"/>
    </row>
    <row r="113" spans="1:11">
      <c r="A113" s="175"/>
      <c r="B113" s="34"/>
      <c r="C113" s="54" t="s">
        <v>780</v>
      </c>
      <c r="D113" s="26">
        <v>3</v>
      </c>
      <c r="E113" s="26">
        <v>1.35</v>
      </c>
      <c r="F113" s="26">
        <v>0.1</v>
      </c>
      <c r="G113" s="26">
        <v>7.4999999999999997E-2</v>
      </c>
      <c r="H113" s="26">
        <f>ROUND(D113*E113*F113*G113,3)</f>
        <v>0.03</v>
      </c>
      <c r="I113" s="30">
        <v>25497.19</v>
      </c>
      <c r="J113" s="177">
        <f t="shared" ref="J113:J118" si="9">ROUND(H113*I113,2)</f>
        <v>764.92</v>
      </c>
      <c r="K113" s="16"/>
    </row>
    <row r="114" spans="1:11">
      <c r="A114" s="175"/>
      <c r="B114" s="34"/>
      <c r="C114" s="54" t="s">
        <v>781</v>
      </c>
      <c r="D114" s="26">
        <v>2</v>
      </c>
      <c r="E114" s="26">
        <v>1.05</v>
      </c>
      <c r="F114" s="26">
        <v>0.1</v>
      </c>
      <c r="G114" s="26">
        <v>7.4999999999999997E-2</v>
      </c>
      <c r="H114" s="26">
        <f>ROUND(D114*E114*F114*G114,3)</f>
        <v>1.6E-2</v>
      </c>
      <c r="I114" s="30">
        <v>25497.19</v>
      </c>
      <c r="J114" s="177">
        <f t="shared" si="9"/>
        <v>407.96</v>
      </c>
      <c r="K114" s="16"/>
    </row>
    <row r="115" spans="1:11">
      <c r="A115" s="175"/>
      <c r="B115" s="34"/>
      <c r="C115" s="54" t="s">
        <v>782</v>
      </c>
      <c r="D115" s="26" t="s">
        <v>234</v>
      </c>
      <c r="E115" s="26">
        <f>4.33*0.3048</f>
        <v>1.3197840000000001</v>
      </c>
      <c r="F115" s="26">
        <v>7.4999999999999997E-2</v>
      </c>
      <c r="G115" s="26">
        <v>3.2000000000000001E-2</v>
      </c>
      <c r="H115" s="26">
        <f>ROUND(4*E115*F115*G115,3)</f>
        <v>1.2999999999999999E-2</v>
      </c>
      <c r="I115" s="30">
        <v>31076.9</v>
      </c>
      <c r="J115" s="177">
        <f t="shared" si="9"/>
        <v>404</v>
      </c>
      <c r="K115" s="16"/>
    </row>
    <row r="116" spans="1:11">
      <c r="A116" s="175"/>
      <c r="B116" s="34"/>
      <c r="C116" s="54" t="s">
        <v>783</v>
      </c>
      <c r="D116" s="26" t="s">
        <v>235</v>
      </c>
      <c r="E116" s="198">
        <f>1.083*0.3048</f>
        <v>0.33009840000000001</v>
      </c>
      <c r="F116" s="26">
        <v>7.4999999999999997E-2</v>
      </c>
      <c r="G116" s="198">
        <f>1.25*25.4/1000</f>
        <v>3.175E-2</v>
      </c>
      <c r="H116" s="26">
        <f>ROUND(6*E116*F116*G116,3)</f>
        <v>5.0000000000000001E-3</v>
      </c>
      <c r="I116" s="30">
        <v>31076.9</v>
      </c>
      <c r="J116" s="177">
        <f t="shared" si="9"/>
        <v>155.38</v>
      </c>
      <c r="K116" s="16"/>
    </row>
    <row r="117" spans="1:11">
      <c r="A117" s="175"/>
      <c r="B117" s="34"/>
      <c r="C117" s="54" t="s">
        <v>1481</v>
      </c>
      <c r="D117" s="26" t="s">
        <v>236</v>
      </c>
      <c r="E117" s="26">
        <v>0.45700000000000002</v>
      </c>
      <c r="F117" s="26">
        <v>0.68</v>
      </c>
      <c r="G117" s="26">
        <v>2.5000000000000001E-2</v>
      </c>
      <c r="H117" s="26">
        <f>ROUND(4*E117*F117*G117,3)</f>
        <v>3.1E-2</v>
      </c>
      <c r="I117" s="30">
        <v>31076.9</v>
      </c>
      <c r="J117" s="177">
        <f t="shared" si="9"/>
        <v>963.38</v>
      </c>
      <c r="K117" s="16"/>
    </row>
    <row r="118" spans="1:11">
      <c r="A118" s="175"/>
      <c r="B118" s="34"/>
      <c r="C118" s="54" t="s">
        <v>1482</v>
      </c>
      <c r="D118" s="26"/>
      <c r="E118" s="26"/>
      <c r="F118" s="26"/>
      <c r="G118" s="26"/>
      <c r="H118" s="26">
        <f>SUM(H113:H117)</f>
        <v>9.5000000000000001E-2</v>
      </c>
      <c r="I118" s="213">
        <f>G14</f>
        <v>17360</v>
      </c>
      <c r="J118" s="177">
        <f t="shared" si="9"/>
        <v>1649.2</v>
      </c>
      <c r="K118" s="16"/>
    </row>
    <row r="119" spans="1:11" ht="25.8">
      <c r="A119" s="168" t="s">
        <v>787</v>
      </c>
      <c r="B119" s="19"/>
      <c r="C119" s="54" t="s">
        <v>788</v>
      </c>
      <c r="D119" s="26"/>
      <c r="E119" s="36"/>
      <c r="F119" s="28"/>
      <c r="G119" s="37"/>
      <c r="H119" s="37"/>
      <c r="I119" s="30"/>
      <c r="J119" s="171"/>
      <c r="K119" s="16"/>
    </row>
    <row r="120" spans="1:11">
      <c r="A120" s="170"/>
      <c r="B120" s="19"/>
      <c r="C120" s="54" t="s">
        <v>237</v>
      </c>
      <c r="D120" s="26" t="s">
        <v>1035</v>
      </c>
      <c r="E120" s="31" t="s">
        <v>143</v>
      </c>
      <c r="F120" s="28"/>
      <c r="G120" s="31"/>
      <c r="H120" s="38">
        <v>2</v>
      </c>
      <c r="I120" s="39">
        <v>27</v>
      </c>
      <c r="J120" s="177">
        <f t="shared" ref="J120:J125" si="10">ROUND(H120*I120,2)</f>
        <v>54</v>
      </c>
      <c r="K120" s="16"/>
    </row>
    <row r="121" spans="1:11">
      <c r="A121" s="170"/>
      <c r="B121" s="19"/>
      <c r="C121" s="54" t="s">
        <v>789</v>
      </c>
      <c r="D121" s="26" t="s">
        <v>1035</v>
      </c>
      <c r="E121" s="31" t="s">
        <v>143</v>
      </c>
      <c r="F121" s="28"/>
      <c r="G121" s="31"/>
      <c r="H121" s="38">
        <v>2</v>
      </c>
      <c r="I121" s="39">
        <v>27</v>
      </c>
      <c r="J121" s="177">
        <f t="shared" si="10"/>
        <v>54</v>
      </c>
      <c r="K121" s="16"/>
    </row>
    <row r="122" spans="1:11" ht="25.8">
      <c r="A122" s="170"/>
      <c r="B122" s="19"/>
      <c r="C122" s="54" t="s">
        <v>240</v>
      </c>
      <c r="D122" s="26" t="s">
        <v>1035</v>
      </c>
      <c r="E122" s="31" t="s">
        <v>1024</v>
      </c>
      <c r="F122" s="28"/>
      <c r="G122" s="31"/>
      <c r="H122" s="38">
        <v>4</v>
      </c>
      <c r="I122" s="39">
        <v>16</v>
      </c>
      <c r="J122" s="177">
        <f t="shared" si="10"/>
        <v>64</v>
      </c>
      <c r="K122" s="16"/>
    </row>
    <row r="123" spans="1:11">
      <c r="A123" s="170"/>
      <c r="B123" s="19"/>
      <c r="C123" s="54" t="s">
        <v>798</v>
      </c>
      <c r="D123" s="26" t="s">
        <v>1035</v>
      </c>
      <c r="E123" s="31" t="s">
        <v>140</v>
      </c>
      <c r="F123" s="28"/>
      <c r="G123" s="31"/>
      <c r="H123" s="38">
        <v>2</v>
      </c>
      <c r="I123" s="39">
        <v>34</v>
      </c>
      <c r="J123" s="103">
        <f t="shared" si="10"/>
        <v>68</v>
      </c>
      <c r="K123" s="16"/>
    </row>
    <row r="124" spans="1:11">
      <c r="A124" s="170"/>
      <c r="B124" s="19"/>
      <c r="C124" s="54" t="s">
        <v>799</v>
      </c>
      <c r="D124" s="26" t="s">
        <v>882</v>
      </c>
      <c r="E124" s="31" t="s">
        <v>141</v>
      </c>
      <c r="F124" s="28"/>
      <c r="G124" s="31"/>
      <c r="H124" s="38">
        <v>60</v>
      </c>
      <c r="I124" s="39">
        <v>1.5</v>
      </c>
      <c r="J124" s="103">
        <f t="shared" si="10"/>
        <v>90</v>
      </c>
      <c r="K124" s="16"/>
    </row>
    <row r="125" spans="1:11">
      <c r="A125" s="175"/>
      <c r="B125" s="32"/>
      <c r="C125" s="54" t="s">
        <v>1483</v>
      </c>
      <c r="D125" s="32"/>
      <c r="E125" s="32"/>
      <c r="F125" s="32"/>
      <c r="G125" s="32"/>
      <c r="H125" s="38">
        <v>4</v>
      </c>
      <c r="I125" s="39">
        <v>12</v>
      </c>
      <c r="J125" s="177">
        <f t="shared" si="10"/>
        <v>48</v>
      </c>
      <c r="K125" s="16"/>
    </row>
    <row r="126" spans="1:11">
      <c r="A126" s="175"/>
      <c r="B126" s="34"/>
      <c r="C126" s="54" t="s">
        <v>1484</v>
      </c>
      <c r="D126" s="26">
        <v>2.75</v>
      </c>
      <c r="E126" s="26">
        <v>0.9</v>
      </c>
      <c r="F126" s="26"/>
      <c r="G126" s="26">
        <v>1.35</v>
      </c>
      <c r="H126" s="26">
        <f>ROUND(G126*E126*D126,2)</f>
        <v>3.34</v>
      </c>
      <c r="I126" s="205">
        <f>Datas!G934</f>
        <v>577.61900000000003</v>
      </c>
      <c r="J126" s="177">
        <f>ROUND(H126*I126/10,2)</f>
        <v>192.92</v>
      </c>
      <c r="K126" s="16"/>
    </row>
    <row r="127" spans="1:11">
      <c r="A127" s="175"/>
      <c r="B127" s="34"/>
      <c r="C127" s="54" t="s">
        <v>241</v>
      </c>
      <c r="D127" s="26" t="s">
        <v>246</v>
      </c>
      <c r="E127" s="26">
        <v>0.9</v>
      </c>
      <c r="F127" s="26">
        <f>E127*10</f>
        <v>9</v>
      </c>
      <c r="G127" s="26">
        <v>1.1299999999999999</v>
      </c>
      <c r="H127" s="26">
        <f>G127*F127</f>
        <v>10.169999999999998</v>
      </c>
      <c r="I127" s="219">
        <v>34.5</v>
      </c>
      <c r="J127" s="177">
        <f>H127*I127</f>
        <v>350.86499999999995</v>
      </c>
      <c r="K127" s="16"/>
    </row>
    <row r="128" spans="1:11">
      <c r="A128" s="175"/>
      <c r="B128" s="34"/>
      <c r="C128" s="54" t="s">
        <v>230</v>
      </c>
      <c r="D128" s="26"/>
      <c r="E128" s="26"/>
      <c r="F128" s="26"/>
      <c r="G128" s="26"/>
      <c r="H128" s="26">
        <v>1</v>
      </c>
      <c r="I128" s="30">
        <v>100</v>
      </c>
      <c r="J128" s="177">
        <f>H128*I128</f>
        <v>100</v>
      </c>
      <c r="K128" s="16"/>
    </row>
    <row r="129" spans="1:11">
      <c r="A129" s="175"/>
      <c r="B129" s="34"/>
      <c r="C129" s="54"/>
      <c r="D129" s="26"/>
      <c r="E129" s="26"/>
      <c r="F129" s="26"/>
      <c r="G129" s="26"/>
      <c r="H129" s="26"/>
      <c r="I129" s="30"/>
      <c r="J129" s="177">
        <f>SUM(J113:J128)</f>
        <v>5366.625</v>
      </c>
      <c r="K129" s="16"/>
    </row>
    <row r="130" spans="1:11" s="6" customFormat="1" ht="25.8">
      <c r="A130" s="179"/>
      <c r="B130" s="40"/>
      <c r="C130" s="54" t="s">
        <v>1228</v>
      </c>
      <c r="D130" s="41"/>
      <c r="E130" s="17"/>
      <c r="F130" s="17"/>
      <c r="G130" s="17"/>
      <c r="H130" s="42">
        <f>J129</f>
        <v>5366.625</v>
      </c>
      <c r="I130" s="43">
        <f>'Lead- Input sheet '!Q32</f>
        <v>0</v>
      </c>
      <c r="J130" s="215">
        <f>ROUND(H130*I130,2)</f>
        <v>0</v>
      </c>
      <c r="K130" s="5"/>
    </row>
    <row r="131" spans="1:11" s="6" customFormat="1">
      <c r="A131" s="179"/>
      <c r="B131" s="40"/>
      <c r="C131" s="55" t="s">
        <v>256</v>
      </c>
      <c r="D131" s="41"/>
      <c r="E131" s="17"/>
      <c r="F131" s="17"/>
      <c r="G131" s="17"/>
      <c r="H131" s="41"/>
      <c r="I131" s="43"/>
      <c r="J131" s="209">
        <f>SUM(J129:J130)</f>
        <v>5366.625</v>
      </c>
      <c r="K131" s="5"/>
    </row>
    <row r="132" spans="1:11" ht="141.9">
      <c r="A132" s="179"/>
      <c r="B132" s="26">
        <v>7</v>
      </c>
      <c r="C132" s="55" t="s">
        <v>549</v>
      </c>
      <c r="D132" s="26"/>
      <c r="E132" s="26"/>
      <c r="F132" s="26"/>
      <c r="G132" s="26"/>
      <c r="H132" s="26"/>
      <c r="I132" s="32"/>
      <c r="J132" s="173"/>
      <c r="K132" s="16"/>
    </row>
    <row r="133" spans="1:11">
      <c r="A133" s="175"/>
      <c r="B133" s="34"/>
      <c r="C133" s="55" t="s">
        <v>242</v>
      </c>
      <c r="D133" s="26"/>
      <c r="E133" s="26"/>
      <c r="F133" s="26"/>
      <c r="G133" s="26"/>
      <c r="H133" s="26"/>
      <c r="I133" s="30"/>
      <c r="J133" s="176"/>
      <c r="K133" s="16"/>
    </row>
    <row r="134" spans="1:11">
      <c r="A134" s="175"/>
      <c r="B134" s="34"/>
      <c r="C134" s="54" t="s">
        <v>779</v>
      </c>
      <c r="D134" s="26"/>
      <c r="E134" s="26"/>
      <c r="F134" s="26"/>
      <c r="G134" s="26"/>
      <c r="H134" s="26"/>
      <c r="I134" s="30"/>
      <c r="J134" s="176"/>
      <c r="K134" s="16"/>
    </row>
    <row r="135" spans="1:11">
      <c r="A135" s="175"/>
      <c r="B135" s="34"/>
      <c r="C135" s="54" t="s">
        <v>780</v>
      </c>
      <c r="D135" s="26">
        <v>4</v>
      </c>
      <c r="E135" s="26">
        <v>1.35</v>
      </c>
      <c r="F135" s="26">
        <v>0.1</v>
      </c>
      <c r="G135" s="26">
        <v>7.4999999999999997E-2</v>
      </c>
      <c r="H135" s="26">
        <f>ROUND(D135*E135*F135*G135,3)</f>
        <v>4.1000000000000002E-2</v>
      </c>
      <c r="I135" s="30">
        <v>25497.19</v>
      </c>
      <c r="J135" s="177">
        <f t="shared" ref="J135:J140" si="11">ROUND(H135*I135,2)</f>
        <v>1045.3800000000001</v>
      </c>
      <c r="K135" s="16"/>
    </row>
    <row r="136" spans="1:11">
      <c r="A136" s="175"/>
      <c r="B136" s="34"/>
      <c r="C136" s="54" t="s">
        <v>781</v>
      </c>
      <c r="D136" s="26">
        <v>2</v>
      </c>
      <c r="E136" s="26">
        <v>1.35</v>
      </c>
      <c r="F136" s="26">
        <v>0.1</v>
      </c>
      <c r="G136" s="26">
        <v>7.4999999999999997E-2</v>
      </c>
      <c r="H136" s="26">
        <f>ROUND(D136*E136*F136*G136,3)</f>
        <v>0.02</v>
      </c>
      <c r="I136" s="30">
        <v>25497.19</v>
      </c>
      <c r="J136" s="177">
        <f t="shared" si="11"/>
        <v>509.94</v>
      </c>
      <c r="K136" s="16"/>
    </row>
    <row r="137" spans="1:11">
      <c r="A137" s="175"/>
      <c r="B137" s="34"/>
      <c r="C137" s="54" t="s">
        <v>782</v>
      </c>
      <c r="D137" s="26" t="s">
        <v>243</v>
      </c>
      <c r="E137" s="26">
        <f>4.33*0.3048</f>
        <v>1.3197840000000001</v>
      </c>
      <c r="F137" s="26">
        <v>7.4999999999999997E-2</v>
      </c>
      <c r="G137" s="26">
        <v>3.2000000000000001E-2</v>
      </c>
      <c r="H137" s="26">
        <f>ROUND(6*E137*F137*G137,3)</f>
        <v>1.9E-2</v>
      </c>
      <c r="I137" s="30">
        <v>31076.9</v>
      </c>
      <c r="J137" s="177">
        <f t="shared" si="11"/>
        <v>590.46</v>
      </c>
      <c r="K137" s="16"/>
    </row>
    <row r="138" spans="1:11">
      <c r="A138" s="175"/>
      <c r="B138" s="34"/>
      <c r="C138" s="54" t="s">
        <v>783</v>
      </c>
      <c r="D138" s="26" t="s">
        <v>244</v>
      </c>
      <c r="E138" s="26">
        <v>0.36</v>
      </c>
      <c r="F138" s="26">
        <v>7.4999999999999997E-2</v>
      </c>
      <c r="G138" s="26">
        <f>1.25*25.4/1000</f>
        <v>3.175E-2</v>
      </c>
      <c r="H138" s="26">
        <f>ROUND(9*E138*F138*G138,3)</f>
        <v>8.0000000000000002E-3</v>
      </c>
      <c r="I138" s="30">
        <v>31076.9</v>
      </c>
      <c r="J138" s="177">
        <f t="shared" si="11"/>
        <v>248.62</v>
      </c>
      <c r="K138" s="16"/>
    </row>
    <row r="139" spans="1:11">
      <c r="A139" s="175"/>
      <c r="B139" s="34"/>
      <c r="C139" s="54" t="s">
        <v>1481</v>
      </c>
      <c r="D139" s="26" t="s">
        <v>245</v>
      </c>
      <c r="E139" s="26">
        <v>0.36</v>
      </c>
      <c r="F139" s="26">
        <v>0.68</v>
      </c>
      <c r="G139" s="26">
        <v>2.5000000000000001E-2</v>
      </c>
      <c r="H139" s="26">
        <f>ROUND(6*E139*F139*G139,3)</f>
        <v>3.6999999999999998E-2</v>
      </c>
      <c r="I139" s="30">
        <v>31076.9</v>
      </c>
      <c r="J139" s="177">
        <f t="shared" si="11"/>
        <v>1149.8499999999999</v>
      </c>
      <c r="K139" s="16"/>
    </row>
    <row r="140" spans="1:11">
      <c r="A140" s="175"/>
      <c r="B140" s="34"/>
      <c r="C140" s="54" t="s">
        <v>1482</v>
      </c>
      <c r="D140" s="26"/>
      <c r="E140" s="28"/>
      <c r="F140" s="28"/>
      <c r="G140" s="26"/>
      <c r="H140" s="26">
        <f>SUM(H135:H139)</f>
        <v>0.125</v>
      </c>
      <c r="I140" s="35">
        <f>G14</f>
        <v>17360</v>
      </c>
      <c r="J140" s="177">
        <f t="shared" si="11"/>
        <v>2170</v>
      </c>
      <c r="K140" s="16"/>
    </row>
    <row r="141" spans="1:11" ht="25.8">
      <c r="A141" s="168" t="s">
        <v>787</v>
      </c>
      <c r="B141" s="19"/>
      <c r="C141" s="54" t="s">
        <v>788</v>
      </c>
      <c r="D141" s="26"/>
      <c r="E141" s="31"/>
      <c r="F141" s="31"/>
      <c r="G141" s="37"/>
      <c r="H141" s="37"/>
      <c r="I141" s="30"/>
      <c r="J141" s="171"/>
      <c r="K141" s="16"/>
    </row>
    <row r="142" spans="1:11">
      <c r="A142" s="170"/>
      <c r="B142" s="19"/>
      <c r="C142" s="54" t="s">
        <v>237</v>
      </c>
      <c r="D142" s="26" t="s">
        <v>1035</v>
      </c>
      <c r="E142" s="31" t="s">
        <v>143</v>
      </c>
      <c r="F142" s="28"/>
      <c r="G142" s="31"/>
      <c r="H142" s="38">
        <v>3</v>
      </c>
      <c r="I142" s="39">
        <v>27</v>
      </c>
      <c r="J142" s="177">
        <f t="shared" ref="J142:J147" si="12">ROUND(H142*I142,2)</f>
        <v>81</v>
      </c>
      <c r="K142" s="16"/>
    </row>
    <row r="143" spans="1:11">
      <c r="A143" s="170"/>
      <c r="B143" s="19"/>
      <c r="C143" s="54" t="s">
        <v>789</v>
      </c>
      <c r="D143" s="26" t="s">
        <v>1035</v>
      </c>
      <c r="E143" s="31" t="s">
        <v>143</v>
      </c>
      <c r="F143" s="28"/>
      <c r="G143" s="31"/>
      <c r="H143" s="38">
        <v>3</v>
      </c>
      <c r="I143" s="39">
        <v>27</v>
      </c>
      <c r="J143" s="177">
        <f t="shared" si="12"/>
        <v>81</v>
      </c>
      <c r="K143" s="16"/>
    </row>
    <row r="144" spans="1:11" ht="25.8">
      <c r="A144" s="170"/>
      <c r="B144" s="19"/>
      <c r="C144" s="54" t="s">
        <v>240</v>
      </c>
      <c r="D144" s="26" t="s">
        <v>1035</v>
      </c>
      <c r="E144" s="31" t="s">
        <v>1024</v>
      </c>
      <c r="F144" s="28"/>
      <c r="G144" s="31"/>
      <c r="H144" s="38">
        <v>6</v>
      </c>
      <c r="I144" s="39">
        <v>16</v>
      </c>
      <c r="J144" s="177">
        <f t="shared" si="12"/>
        <v>96</v>
      </c>
      <c r="K144" s="16"/>
    </row>
    <row r="145" spans="1:11">
      <c r="A145" s="170"/>
      <c r="B145" s="19"/>
      <c r="C145" s="54" t="s">
        <v>798</v>
      </c>
      <c r="D145" s="26" t="s">
        <v>1035</v>
      </c>
      <c r="E145" s="31" t="s">
        <v>140</v>
      </c>
      <c r="F145" s="28"/>
      <c r="G145" s="31"/>
      <c r="H145" s="38">
        <v>3</v>
      </c>
      <c r="I145" s="39">
        <v>34</v>
      </c>
      <c r="J145" s="171">
        <f t="shared" si="12"/>
        <v>102</v>
      </c>
      <c r="K145" s="16"/>
    </row>
    <row r="146" spans="1:11">
      <c r="A146" s="170"/>
      <c r="B146" s="19"/>
      <c r="C146" s="54" t="s">
        <v>799</v>
      </c>
      <c r="D146" s="26" t="s">
        <v>882</v>
      </c>
      <c r="E146" s="31" t="s">
        <v>141</v>
      </c>
      <c r="F146" s="28"/>
      <c r="G146" s="31"/>
      <c r="H146" s="38">
        <v>90</v>
      </c>
      <c r="I146" s="39">
        <v>1.25</v>
      </c>
      <c r="J146" s="171">
        <f t="shared" si="12"/>
        <v>112.5</v>
      </c>
      <c r="K146" s="16"/>
    </row>
    <row r="147" spans="1:11">
      <c r="A147" s="175"/>
      <c r="B147" s="32"/>
      <c r="C147" s="54" t="s">
        <v>1483</v>
      </c>
      <c r="D147" s="32"/>
      <c r="E147" s="32"/>
      <c r="F147" s="32"/>
      <c r="G147" s="32"/>
      <c r="H147" s="38">
        <v>4</v>
      </c>
      <c r="I147" s="39">
        <v>12</v>
      </c>
      <c r="J147" s="177">
        <f t="shared" si="12"/>
        <v>48</v>
      </c>
      <c r="K147" s="16"/>
    </row>
    <row r="148" spans="1:11">
      <c r="A148" s="175"/>
      <c r="B148" s="34"/>
      <c r="C148" s="54" t="s">
        <v>1484</v>
      </c>
      <c r="D148" s="26">
        <v>2.75</v>
      </c>
      <c r="E148" s="26">
        <v>1.2</v>
      </c>
      <c r="F148" s="26"/>
      <c r="G148" s="26">
        <v>1.35</v>
      </c>
      <c r="H148" s="26">
        <f>G148*E148*D148</f>
        <v>4.4550000000000001</v>
      </c>
      <c r="I148" s="205">
        <f>Datas!G934</f>
        <v>577.61900000000003</v>
      </c>
      <c r="J148" s="177">
        <f>ROUND(H148*I148/10,2)</f>
        <v>257.33</v>
      </c>
      <c r="K148" s="16"/>
    </row>
    <row r="149" spans="1:11">
      <c r="A149" s="175"/>
      <c r="B149" s="34"/>
      <c r="C149" s="54" t="s">
        <v>241</v>
      </c>
      <c r="D149" s="26" t="s">
        <v>246</v>
      </c>
      <c r="E149" s="26">
        <v>1.2</v>
      </c>
      <c r="F149" s="26">
        <f>10*1.2</f>
        <v>12</v>
      </c>
      <c r="G149" s="26">
        <v>1.1299999999999999</v>
      </c>
      <c r="H149" s="26">
        <f>G149*F149</f>
        <v>13.559999999999999</v>
      </c>
      <c r="I149" s="30">
        <v>34.5</v>
      </c>
      <c r="J149" s="177">
        <f>H149*I149</f>
        <v>467.81999999999994</v>
      </c>
      <c r="K149" s="16"/>
    </row>
    <row r="150" spans="1:11">
      <c r="A150" s="175"/>
      <c r="B150" s="34"/>
      <c r="C150" s="54" t="s">
        <v>230</v>
      </c>
      <c r="D150" s="26"/>
      <c r="E150" s="26"/>
      <c r="F150" s="26"/>
      <c r="G150" s="26"/>
      <c r="H150" s="26">
        <v>1</v>
      </c>
      <c r="I150" s="30">
        <v>100</v>
      </c>
      <c r="J150" s="177">
        <f>H150*I150</f>
        <v>100</v>
      </c>
      <c r="K150" s="16"/>
    </row>
    <row r="151" spans="1:11">
      <c r="A151" s="175"/>
      <c r="B151" s="34"/>
      <c r="C151" s="54"/>
      <c r="D151" s="26"/>
      <c r="E151" s="26"/>
      <c r="F151" s="26"/>
      <c r="G151" s="26"/>
      <c r="H151" s="26"/>
      <c r="I151" s="30"/>
      <c r="J151" s="177">
        <f>SUM(J135:J150)</f>
        <v>7059.9</v>
      </c>
      <c r="K151" s="16"/>
    </row>
    <row r="152" spans="1:11" s="6" customFormat="1" ht="25.8">
      <c r="A152" s="179"/>
      <c r="B152" s="40"/>
      <c r="C152" s="54" t="s">
        <v>1228</v>
      </c>
      <c r="D152" s="41"/>
      <c r="E152" s="17"/>
      <c r="F152" s="17"/>
      <c r="G152" s="17"/>
      <c r="H152" s="42">
        <f>J151</f>
        <v>7059.9</v>
      </c>
      <c r="I152" s="43">
        <f>'Lead- Input sheet '!Q32</f>
        <v>0</v>
      </c>
      <c r="J152" s="181">
        <f>ROUND(H152*I152,2)</f>
        <v>0</v>
      </c>
      <c r="K152" s="5"/>
    </row>
    <row r="153" spans="1:11" s="6" customFormat="1">
      <c r="A153" s="179"/>
      <c r="B153" s="40"/>
      <c r="C153" s="55" t="s">
        <v>256</v>
      </c>
      <c r="D153" s="41"/>
      <c r="E153" s="17"/>
      <c r="F153" s="17"/>
      <c r="G153" s="17"/>
      <c r="H153" s="41"/>
      <c r="I153" s="43"/>
      <c r="J153" s="182">
        <f>SUM(J151:J152)</f>
        <v>7059.9</v>
      </c>
      <c r="K153" s="5"/>
    </row>
    <row r="154" spans="1:11" ht="165.75" customHeight="1">
      <c r="A154" s="175"/>
      <c r="B154" s="26">
        <v>8</v>
      </c>
      <c r="C154" s="55" t="s">
        <v>853</v>
      </c>
      <c r="D154" s="26"/>
      <c r="E154" s="26"/>
      <c r="F154" s="26"/>
      <c r="G154" s="26"/>
      <c r="H154" s="26"/>
      <c r="I154" s="32"/>
      <c r="J154" s="173"/>
      <c r="K154" s="16"/>
    </row>
    <row r="155" spans="1:11">
      <c r="A155" s="175"/>
      <c r="B155" s="34"/>
      <c r="C155" s="55" t="s">
        <v>977</v>
      </c>
      <c r="D155" s="26"/>
      <c r="E155" s="26"/>
      <c r="F155" s="26"/>
      <c r="G155" s="26"/>
      <c r="H155" s="26"/>
      <c r="I155" s="30"/>
      <c r="J155" s="176"/>
      <c r="K155" s="16"/>
    </row>
    <row r="156" spans="1:11">
      <c r="A156" s="175"/>
      <c r="B156" s="34"/>
      <c r="C156" s="54" t="s">
        <v>779</v>
      </c>
      <c r="D156" s="26"/>
      <c r="E156" s="26"/>
      <c r="F156" s="26"/>
      <c r="G156" s="26"/>
      <c r="H156" s="26"/>
      <c r="I156" s="30"/>
      <c r="J156" s="176"/>
      <c r="K156" s="16"/>
    </row>
    <row r="157" spans="1:11">
      <c r="A157" s="175"/>
      <c r="B157" s="34"/>
      <c r="C157" s="54" t="s">
        <v>780</v>
      </c>
      <c r="D157" s="26">
        <v>5</v>
      </c>
      <c r="E157" s="26">
        <v>1.35</v>
      </c>
      <c r="F157" s="26">
        <v>0.1</v>
      </c>
      <c r="G157" s="26">
        <v>7.4999999999999997E-2</v>
      </c>
      <c r="H157" s="26">
        <f>ROUND(D157*E157*F157*G157,3)</f>
        <v>5.0999999999999997E-2</v>
      </c>
      <c r="I157" s="30">
        <v>25497.19</v>
      </c>
      <c r="J157" s="177">
        <f t="shared" ref="J157:J162" si="13">ROUND(H157*I157,2)</f>
        <v>1300.3599999999999</v>
      </c>
      <c r="K157" s="16"/>
    </row>
    <row r="158" spans="1:11">
      <c r="A158" s="175"/>
      <c r="B158" s="34"/>
      <c r="C158" s="54" t="s">
        <v>781</v>
      </c>
      <c r="D158" s="26">
        <v>2</v>
      </c>
      <c r="E158" s="34">
        <v>2</v>
      </c>
      <c r="F158" s="26">
        <v>0.1</v>
      </c>
      <c r="G158" s="26">
        <v>7.4999999999999997E-2</v>
      </c>
      <c r="H158" s="26">
        <f>ROUND(D158*E158*F158*G158,3)</f>
        <v>0.03</v>
      </c>
      <c r="I158" s="30">
        <v>25497.19</v>
      </c>
      <c r="J158" s="177">
        <f t="shared" si="13"/>
        <v>764.92</v>
      </c>
      <c r="K158" s="16"/>
    </row>
    <row r="159" spans="1:11">
      <c r="A159" s="175"/>
      <c r="B159" s="34"/>
      <c r="C159" s="54" t="s">
        <v>782</v>
      </c>
      <c r="D159" s="26" t="s">
        <v>854</v>
      </c>
      <c r="E159" s="26">
        <v>1.23</v>
      </c>
      <c r="F159" s="26">
        <v>7.4999999999999997E-2</v>
      </c>
      <c r="G159" s="26">
        <v>3.2000000000000001E-2</v>
      </c>
      <c r="H159" s="26">
        <f>ROUND(8*E159*F159*G159,3)</f>
        <v>2.4E-2</v>
      </c>
      <c r="I159" s="30">
        <v>31076.9</v>
      </c>
      <c r="J159" s="177">
        <f t="shared" si="13"/>
        <v>745.85</v>
      </c>
      <c r="K159" s="16"/>
    </row>
    <row r="160" spans="1:11">
      <c r="A160" s="175"/>
      <c r="B160" s="34"/>
      <c r="C160" s="54" t="s">
        <v>783</v>
      </c>
      <c r="D160" s="26" t="s">
        <v>855</v>
      </c>
      <c r="E160" s="26">
        <v>0.38</v>
      </c>
      <c r="F160" s="26">
        <v>7.4999999999999997E-2</v>
      </c>
      <c r="G160" s="26">
        <v>3.2000000000000001E-2</v>
      </c>
      <c r="H160" s="26">
        <f>ROUND(9*E160*F160*G160,3)</f>
        <v>8.0000000000000002E-3</v>
      </c>
      <c r="I160" s="30">
        <v>31076.9</v>
      </c>
      <c r="J160" s="177">
        <f t="shared" si="13"/>
        <v>248.62</v>
      </c>
      <c r="K160" s="16"/>
    </row>
    <row r="161" spans="1:12">
      <c r="A161" s="175"/>
      <c r="B161" s="34"/>
      <c r="C161" s="54" t="s">
        <v>1481</v>
      </c>
      <c r="D161" s="26" t="s">
        <v>854</v>
      </c>
      <c r="E161" s="26">
        <v>0.43</v>
      </c>
      <c r="F161" s="26">
        <v>0.52500000000000002</v>
      </c>
      <c r="G161" s="26">
        <v>2.5000000000000001E-2</v>
      </c>
      <c r="H161" s="26">
        <f>ROUND(8*E161*F161*G161,3)</f>
        <v>4.4999999999999998E-2</v>
      </c>
      <c r="I161" s="30">
        <v>31076.9</v>
      </c>
      <c r="J161" s="177">
        <f t="shared" si="13"/>
        <v>1398.46</v>
      </c>
      <c r="K161" s="16"/>
      <c r="L161" s="16"/>
    </row>
    <row r="162" spans="1:12">
      <c r="A162" s="175"/>
      <c r="B162" s="34"/>
      <c r="C162" s="54" t="s">
        <v>1482</v>
      </c>
      <c r="D162" s="26"/>
      <c r="E162" s="26"/>
      <c r="F162" s="26"/>
      <c r="G162" s="26"/>
      <c r="H162" s="26">
        <f>SUM(H157:H161)</f>
        <v>0.15799999999999997</v>
      </c>
      <c r="I162" s="213">
        <f>G14</f>
        <v>17360</v>
      </c>
      <c r="J162" s="177">
        <f t="shared" si="13"/>
        <v>2742.88</v>
      </c>
      <c r="K162" s="16"/>
    </row>
    <row r="163" spans="1:12" ht="25.8">
      <c r="A163" s="168" t="s">
        <v>787</v>
      </c>
      <c r="B163" s="19"/>
      <c r="C163" s="54" t="s">
        <v>788</v>
      </c>
      <c r="D163" s="26"/>
      <c r="E163" s="26"/>
      <c r="F163" s="26"/>
      <c r="G163" s="37"/>
      <c r="H163" s="37"/>
      <c r="I163" s="30"/>
      <c r="J163" s="171"/>
      <c r="K163" s="16"/>
    </row>
    <row r="164" spans="1:12">
      <c r="A164" s="170"/>
      <c r="B164" s="19"/>
      <c r="C164" s="54" t="s">
        <v>237</v>
      </c>
      <c r="D164" s="26" t="s">
        <v>1035</v>
      </c>
      <c r="E164" s="31" t="s">
        <v>143</v>
      </c>
      <c r="F164" s="28"/>
      <c r="G164" s="31"/>
      <c r="H164" s="38">
        <v>4</v>
      </c>
      <c r="I164" s="39">
        <v>27</v>
      </c>
      <c r="J164" s="177">
        <f t="shared" ref="J164:J169" si="14">ROUND(H164*I164,2)</f>
        <v>108</v>
      </c>
      <c r="K164" s="16"/>
    </row>
    <row r="165" spans="1:12">
      <c r="A165" s="170"/>
      <c r="B165" s="19"/>
      <c r="C165" s="54" t="s">
        <v>789</v>
      </c>
      <c r="D165" s="26" t="s">
        <v>1035</v>
      </c>
      <c r="E165" s="31" t="s">
        <v>143</v>
      </c>
      <c r="F165" s="28"/>
      <c r="G165" s="31"/>
      <c r="H165" s="38">
        <v>4</v>
      </c>
      <c r="I165" s="39">
        <v>27</v>
      </c>
      <c r="J165" s="177">
        <f t="shared" si="14"/>
        <v>108</v>
      </c>
      <c r="K165" s="16"/>
    </row>
    <row r="166" spans="1:12" ht="25.8">
      <c r="A166" s="170"/>
      <c r="B166" s="19"/>
      <c r="C166" s="54" t="s">
        <v>240</v>
      </c>
      <c r="D166" s="26" t="s">
        <v>1035</v>
      </c>
      <c r="E166" s="31" t="s">
        <v>1024</v>
      </c>
      <c r="F166" s="28"/>
      <c r="G166" s="31"/>
      <c r="H166" s="38">
        <v>8</v>
      </c>
      <c r="I166" s="39">
        <v>16</v>
      </c>
      <c r="J166" s="177">
        <f t="shared" si="14"/>
        <v>128</v>
      </c>
      <c r="K166" s="16"/>
    </row>
    <row r="167" spans="1:12">
      <c r="A167" s="170"/>
      <c r="B167" s="19"/>
      <c r="C167" s="54" t="s">
        <v>798</v>
      </c>
      <c r="D167" s="26" t="s">
        <v>1035</v>
      </c>
      <c r="E167" s="31" t="s">
        <v>140</v>
      </c>
      <c r="F167" s="28"/>
      <c r="G167" s="31"/>
      <c r="H167" s="38">
        <v>4</v>
      </c>
      <c r="I167" s="39">
        <v>34</v>
      </c>
      <c r="J167" s="171">
        <f t="shared" si="14"/>
        <v>136</v>
      </c>
      <c r="K167" s="16"/>
    </row>
    <row r="168" spans="1:12">
      <c r="A168" s="170"/>
      <c r="B168" s="19"/>
      <c r="C168" s="54" t="s">
        <v>799</v>
      </c>
      <c r="D168" s="26" t="s">
        <v>882</v>
      </c>
      <c r="E168" s="31" t="s">
        <v>141</v>
      </c>
      <c r="F168" s="28"/>
      <c r="G168" s="31"/>
      <c r="H168" s="38">
        <v>120</v>
      </c>
      <c r="I168" s="39">
        <v>1.5</v>
      </c>
      <c r="J168" s="171">
        <f t="shared" si="14"/>
        <v>180</v>
      </c>
      <c r="K168" s="16"/>
    </row>
    <row r="169" spans="1:12">
      <c r="A169" s="175"/>
      <c r="B169" s="32"/>
      <c r="C169" s="54" t="s">
        <v>1483</v>
      </c>
      <c r="D169" s="32"/>
      <c r="E169" s="32"/>
      <c r="F169" s="32"/>
      <c r="G169" s="32"/>
      <c r="H169" s="38">
        <v>4</v>
      </c>
      <c r="I169" s="39">
        <v>12</v>
      </c>
      <c r="J169" s="177">
        <f t="shared" si="14"/>
        <v>48</v>
      </c>
      <c r="K169" s="16"/>
    </row>
    <row r="170" spans="1:12">
      <c r="A170" s="175"/>
      <c r="B170" s="34"/>
      <c r="C170" s="54" t="s">
        <v>1484</v>
      </c>
      <c r="D170" s="26">
        <v>2.75</v>
      </c>
      <c r="E170" s="26">
        <v>1.8</v>
      </c>
      <c r="F170" s="26"/>
      <c r="G170" s="26">
        <v>1.35</v>
      </c>
      <c r="H170" s="26">
        <f>ROUND(G170*E170*D170,2)</f>
        <v>6.68</v>
      </c>
      <c r="I170" s="205">
        <f>Datas!G934</f>
        <v>577.61900000000003</v>
      </c>
      <c r="J170" s="177">
        <f>ROUND(H170*I170/10,2)</f>
        <v>385.85</v>
      </c>
      <c r="K170" s="16"/>
    </row>
    <row r="171" spans="1:12">
      <c r="A171" s="175"/>
      <c r="B171" s="34"/>
      <c r="C171" s="54" t="s">
        <v>241</v>
      </c>
      <c r="D171" s="26" t="s">
        <v>246</v>
      </c>
      <c r="E171" s="26">
        <v>1.8</v>
      </c>
      <c r="F171" s="26">
        <f>10*1.8</f>
        <v>18</v>
      </c>
      <c r="G171" s="26">
        <v>1.1299999999999999</v>
      </c>
      <c r="H171" s="26">
        <f>G171*F171</f>
        <v>20.339999999999996</v>
      </c>
      <c r="I171" s="30">
        <v>34.5</v>
      </c>
      <c r="J171" s="177">
        <f>H171*I171</f>
        <v>701.7299999999999</v>
      </c>
      <c r="K171" s="16"/>
    </row>
    <row r="172" spans="1:12">
      <c r="A172" s="175"/>
      <c r="B172" s="34"/>
      <c r="C172" s="54" t="s">
        <v>230</v>
      </c>
      <c r="D172" s="26"/>
      <c r="E172" s="26"/>
      <c r="F172" s="26"/>
      <c r="G172" s="26"/>
      <c r="H172" s="26">
        <v>1</v>
      </c>
      <c r="I172" s="30">
        <v>100</v>
      </c>
      <c r="J172" s="177">
        <f>H172*I172</f>
        <v>100</v>
      </c>
      <c r="K172" s="16"/>
    </row>
    <row r="173" spans="1:12">
      <c r="A173" s="175"/>
      <c r="B173" s="34"/>
      <c r="C173" s="54"/>
      <c r="D173" s="26"/>
      <c r="E173" s="26"/>
      <c r="F173" s="26"/>
      <c r="G173" s="26"/>
      <c r="H173" s="26"/>
      <c r="I173" s="30"/>
      <c r="J173" s="177">
        <f>SUM(J157:J172)</f>
        <v>9096.6699999999983</v>
      </c>
      <c r="K173" s="16"/>
    </row>
    <row r="174" spans="1:12" s="6" customFormat="1" ht="25.8">
      <c r="A174" s="179"/>
      <c r="B174" s="40"/>
      <c r="C174" s="54" t="s">
        <v>1228</v>
      </c>
      <c r="D174" s="41"/>
      <c r="E174" s="17"/>
      <c r="F174" s="17"/>
      <c r="G174" s="17"/>
      <c r="H174" s="42">
        <f>J173</f>
        <v>9096.6699999999983</v>
      </c>
      <c r="I174" s="43">
        <f>'Lead- Input sheet '!Q32</f>
        <v>0</v>
      </c>
      <c r="J174" s="181">
        <f>ROUND(H174*I174,2)</f>
        <v>0</v>
      </c>
      <c r="K174" s="5"/>
    </row>
    <row r="175" spans="1:12" s="6" customFormat="1">
      <c r="A175" s="183"/>
      <c r="B175" s="184"/>
      <c r="C175" s="195" t="s">
        <v>256</v>
      </c>
      <c r="D175" s="185"/>
      <c r="E175" s="186"/>
      <c r="F175" s="186"/>
      <c r="G175" s="186"/>
      <c r="H175" s="185"/>
      <c r="I175" s="187"/>
      <c r="J175" s="208">
        <f>SUM(J173:J174)</f>
        <v>9096.6699999999983</v>
      </c>
      <c r="K175" s="5"/>
    </row>
    <row r="176" spans="1:12" ht="283.8">
      <c r="A176" s="172" t="s">
        <v>504</v>
      </c>
      <c r="B176" s="26">
        <v>2</v>
      </c>
      <c r="C176" s="55" t="s">
        <v>358</v>
      </c>
      <c r="D176" s="26"/>
      <c r="E176" s="26"/>
      <c r="F176" s="26"/>
      <c r="G176" s="26"/>
      <c r="H176" s="26"/>
      <c r="I176" s="32"/>
      <c r="J176" s="173"/>
      <c r="K176" s="16"/>
    </row>
    <row r="177" spans="1:11" s="57" customFormat="1">
      <c r="A177" s="172"/>
      <c r="B177" s="158"/>
      <c r="C177" s="55" t="s">
        <v>930</v>
      </c>
      <c r="D177" s="19"/>
      <c r="E177" s="19"/>
      <c r="F177" s="19"/>
      <c r="G177" s="19"/>
      <c r="H177" s="19"/>
      <c r="I177" s="155"/>
      <c r="J177" s="174"/>
      <c r="K177" s="159"/>
    </row>
    <row r="178" spans="1:11">
      <c r="A178" s="175"/>
      <c r="B178" s="34"/>
      <c r="C178" s="54" t="s">
        <v>779</v>
      </c>
      <c r="D178" s="26"/>
      <c r="E178" s="26"/>
      <c r="F178" s="26"/>
      <c r="G178" s="26"/>
      <c r="H178" s="26"/>
      <c r="I178" s="30"/>
      <c r="J178" s="176"/>
      <c r="K178" s="16"/>
    </row>
    <row r="179" spans="1:11">
      <c r="A179" s="175"/>
      <c r="B179" s="34"/>
      <c r="C179" s="54" t="s">
        <v>780</v>
      </c>
      <c r="D179" s="26">
        <v>2</v>
      </c>
      <c r="E179" s="34">
        <v>2</v>
      </c>
      <c r="F179" s="26">
        <v>0.1</v>
      </c>
      <c r="G179" s="26">
        <v>7.4999999999999997E-2</v>
      </c>
      <c r="H179" s="26">
        <f>ROUND(D179*E179*F179*G179,3)</f>
        <v>0.03</v>
      </c>
      <c r="I179" s="30">
        <v>25497.19</v>
      </c>
      <c r="J179" s="177">
        <f t="shared" ref="J179:J184" si="15">ROUND(H179*I179,2)</f>
        <v>764.92</v>
      </c>
      <c r="K179" s="16"/>
    </row>
    <row r="180" spans="1:11">
      <c r="A180" s="175"/>
      <c r="B180" s="34"/>
      <c r="C180" s="54" t="s">
        <v>781</v>
      </c>
      <c r="D180" s="26">
        <v>1</v>
      </c>
      <c r="E180" s="34">
        <v>0.9</v>
      </c>
      <c r="F180" s="26">
        <v>0.1</v>
      </c>
      <c r="G180" s="26">
        <v>7.4999999999999997E-2</v>
      </c>
      <c r="H180" s="26">
        <f>ROUND(D180*E180*F180*G180,3)</f>
        <v>7.0000000000000001E-3</v>
      </c>
      <c r="I180" s="30">
        <v>25497.19</v>
      </c>
      <c r="J180" s="177">
        <f t="shared" si="15"/>
        <v>178.48</v>
      </c>
      <c r="K180" s="16"/>
    </row>
    <row r="181" spans="1:11">
      <c r="A181" s="175"/>
      <c r="B181" s="34"/>
      <c r="C181" s="54" t="s">
        <v>782</v>
      </c>
      <c r="D181" s="26">
        <v>2</v>
      </c>
      <c r="E181" s="34">
        <v>2.04</v>
      </c>
      <c r="F181" s="26">
        <v>0.125</v>
      </c>
      <c r="G181" s="26">
        <v>3.7999999999999999E-2</v>
      </c>
      <c r="H181" s="26">
        <f>ROUND(D181*E181*F181*G181,3)</f>
        <v>1.9E-2</v>
      </c>
      <c r="I181" s="30">
        <v>31076.9</v>
      </c>
      <c r="J181" s="177">
        <f t="shared" si="15"/>
        <v>590.46</v>
      </c>
      <c r="K181" s="16"/>
    </row>
    <row r="182" spans="1:11">
      <c r="A182" s="175"/>
      <c r="B182" s="34"/>
      <c r="C182" s="54" t="s">
        <v>783</v>
      </c>
      <c r="D182" s="26">
        <v>5</v>
      </c>
      <c r="E182" s="34">
        <v>0.625</v>
      </c>
      <c r="F182" s="26">
        <v>0.125</v>
      </c>
      <c r="G182" s="26">
        <v>3.7999999999999999E-2</v>
      </c>
      <c r="H182" s="26">
        <f>ROUND(D182*E182*F182*G182,3)</f>
        <v>1.4999999999999999E-2</v>
      </c>
      <c r="I182" s="30">
        <v>31076.9</v>
      </c>
      <c r="J182" s="177">
        <f t="shared" si="15"/>
        <v>466.15</v>
      </c>
      <c r="K182" s="16"/>
    </row>
    <row r="183" spans="1:11">
      <c r="A183" s="175"/>
      <c r="B183" s="34"/>
      <c r="C183" s="54" t="s">
        <v>1481</v>
      </c>
      <c r="D183" s="26">
        <v>4</v>
      </c>
      <c r="E183" s="26">
        <v>0.47499999999999998</v>
      </c>
      <c r="F183" s="26">
        <v>0.35</v>
      </c>
      <c r="G183" s="26">
        <v>2.5000000000000001E-2</v>
      </c>
      <c r="H183" s="26">
        <f>ROUND(D183*E183*F183*G183,3)</f>
        <v>1.7000000000000001E-2</v>
      </c>
      <c r="I183" s="30">
        <v>31076.9</v>
      </c>
      <c r="J183" s="177">
        <f t="shared" si="15"/>
        <v>528.30999999999995</v>
      </c>
      <c r="K183" s="16"/>
    </row>
    <row r="184" spans="1:11">
      <c r="A184" s="175"/>
      <c r="B184" s="34"/>
      <c r="C184" s="54" t="s">
        <v>1482</v>
      </c>
      <c r="D184" s="26"/>
      <c r="E184" s="26"/>
      <c r="F184" s="26"/>
      <c r="G184" s="26"/>
      <c r="H184" s="26">
        <f>SUM(H179:H183)</f>
        <v>8.7999999999999995E-2</v>
      </c>
      <c r="I184" s="213">
        <f>G14</f>
        <v>17360</v>
      </c>
      <c r="J184" s="177">
        <f t="shared" si="15"/>
        <v>1527.68</v>
      </c>
      <c r="K184" s="16"/>
    </row>
    <row r="185" spans="1:11" ht="25.8">
      <c r="A185" s="168" t="s">
        <v>787</v>
      </c>
      <c r="B185" s="19"/>
      <c r="C185" s="54" t="s">
        <v>788</v>
      </c>
      <c r="D185" s="26"/>
      <c r="E185" s="36"/>
      <c r="F185" s="28"/>
      <c r="G185" s="37"/>
      <c r="H185" s="37"/>
      <c r="I185" s="30"/>
      <c r="J185" s="171"/>
      <c r="K185" s="16"/>
    </row>
    <row r="186" spans="1:11">
      <c r="A186" s="170"/>
      <c r="B186" s="19"/>
      <c r="C186" s="54" t="s">
        <v>239</v>
      </c>
      <c r="D186" s="26" t="s">
        <v>1035</v>
      </c>
      <c r="E186" s="31" t="s">
        <v>1019</v>
      </c>
      <c r="F186" s="28"/>
      <c r="G186" s="31"/>
      <c r="H186" s="38">
        <v>2</v>
      </c>
      <c r="I186" s="39">
        <v>51</v>
      </c>
      <c r="J186" s="177">
        <f t="shared" ref="J186:J192" si="16">ROUND(H186*I186,2)</f>
        <v>102</v>
      </c>
      <c r="K186" s="16"/>
    </row>
    <row r="187" spans="1:11">
      <c r="A187" s="170"/>
      <c r="B187" s="19"/>
      <c r="C187" s="54" t="s">
        <v>789</v>
      </c>
      <c r="D187" s="26" t="s">
        <v>1035</v>
      </c>
      <c r="E187" s="31" t="s">
        <v>1021</v>
      </c>
      <c r="F187" s="28"/>
      <c r="G187" s="31"/>
      <c r="H187" s="38">
        <v>1</v>
      </c>
      <c r="I187" s="39">
        <v>27</v>
      </c>
      <c r="J187" s="177">
        <f t="shared" si="16"/>
        <v>27</v>
      </c>
      <c r="K187" s="16"/>
    </row>
    <row r="188" spans="1:11">
      <c r="A188" s="170"/>
      <c r="B188" s="19"/>
      <c r="C188" s="54" t="s">
        <v>790</v>
      </c>
      <c r="D188" s="26" t="s">
        <v>1035</v>
      </c>
      <c r="E188" s="31" t="s">
        <v>1022</v>
      </c>
      <c r="F188" s="28"/>
      <c r="G188" s="31"/>
      <c r="H188" s="38">
        <v>6</v>
      </c>
      <c r="I188" s="39">
        <v>23</v>
      </c>
      <c r="J188" s="177">
        <f t="shared" si="16"/>
        <v>138</v>
      </c>
      <c r="K188" s="16"/>
    </row>
    <row r="189" spans="1:11" ht="25.8">
      <c r="A189" s="170"/>
      <c r="B189" s="19"/>
      <c r="C189" s="54" t="s">
        <v>797</v>
      </c>
      <c r="D189" s="26" t="s">
        <v>1035</v>
      </c>
      <c r="E189" s="31" t="s">
        <v>1023</v>
      </c>
      <c r="F189" s="28"/>
      <c r="G189" s="31"/>
      <c r="H189" s="38">
        <v>1</v>
      </c>
      <c r="I189" s="39">
        <v>124</v>
      </c>
      <c r="J189" s="177">
        <f t="shared" si="16"/>
        <v>124</v>
      </c>
      <c r="K189" s="16"/>
    </row>
    <row r="190" spans="1:11">
      <c r="A190" s="170"/>
      <c r="B190" s="19"/>
      <c r="C190" s="54" t="s">
        <v>798</v>
      </c>
      <c r="D190" s="26" t="s">
        <v>1035</v>
      </c>
      <c r="E190" s="31" t="s">
        <v>140</v>
      </c>
      <c r="F190" s="28"/>
      <c r="G190" s="31"/>
      <c r="H190" s="38">
        <v>2</v>
      </c>
      <c r="I190" s="39">
        <v>34</v>
      </c>
      <c r="J190" s="171">
        <f t="shared" si="16"/>
        <v>68</v>
      </c>
      <c r="K190" s="16"/>
    </row>
    <row r="191" spans="1:11">
      <c r="A191" s="170"/>
      <c r="B191" s="19"/>
      <c r="C191" s="54" t="s">
        <v>799</v>
      </c>
      <c r="D191" s="26" t="s">
        <v>882</v>
      </c>
      <c r="E191" s="31" t="s">
        <v>141</v>
      </c>
      <c r="F191" s="28"/>
      <c r="G191" s="31"/>
      <c r="H191" s="38">
        <v>80</v>
      </c>
      <c r="I191" s="39">
        <v>1.5</v>
      </c>
      <c r="J191" s="171">
        <f t="shared" si="16"/>
        <v>120</v>
      </c>
      <c r="K191" s="16"/>
    </row>
    <row r="192" spans="1:11">
      <c r="A192" s="170"/>
      <c r="B192" s="19"/>
      <c r="C192" s="54" t="s">
        <v>231</v>
      </c>
      <c r="D192" s="26" t="s">
        <v>882</v>
      </c>
      <c r="E192" s="31" t="s">
        <v>142</v>
      </c>
      <c r="F192" s="28"/>
      <c r="G192" s="31"/>
      <c r="H192" s="38">
        <v>10</v>
      </c>
      <c r="I192" s="39">
        <v>12</v>
      </c>
      <c r="J192" s="171">
        <f t="shared" si="16"/>
        <v>120</v>
      </c>
      <c r="K192" s="16"/>
    </row>
    <row r="193" spans="1:11">
      <c r="A193" s="175"/>
      <c r="B193" s="34"/>
      <c r="C193" s="54" t="s">
        <v>1484</v>
      </c>
      <c r="D193" s="26">
        <v>2.25</v>
      </c>
      <c r="E193" s="26">
        <v>0.75</v>
      </c>
      <c r="F193" s="26"/>
      <c r="G193" s="26">
        <v>2.1</v>
      </c>
      <c r="H193" s="26">
        <f>ROUND(G193*E193*D193,2)</f>
        <v>3.54</v>
      </c>
      <c r="I193" s="205">
        <f>I32</f>
        <v>577.61900000000003</v>
      </c>
      <c r="J193" s="177">
        <f>H193*I193/10</f>
        <v>204.47712600000003</v>
      </c>
      <c r="K193" s="16"/>
    </row>
    <row r="194" spans="1:11">
      <c r="A194" s="175"/>
      <c r="B194" s="32"/>
      <c r="C194" s="54" t="s">
        <v>1483</v>
      </c>
      <c r="D194" s="32"/>
      <c r="E194" s="32"/>
      <c r="F194" s="32"/>
      <c r="G194" s="32"/>
      <c r="H194" s="32">
        <v>6</v>
      </c>
      <c r="I194" s="32">
        <v>12</v>
      </c>
      <c r="J194" s="177">
        <f>ROUND(H194*I194,2)</f>
        <v>72</v>
      </c>
      <c r="K194" s="16"/>
    </row>
    <row r="195" spans="1:11">
      <c r="A195" s="175"/>
      <c r="B195" s="34"/>
      <c r="C195" s="54" t="s">
        <v>230</v>
      </c>
      <c r="D195" s="26"/>
      <c r="E195" s="26"/>
      <c r="F195" s="26"/>
      <c r="G195" s="26"/>
      <c r="H195" s="26">
        <v>1</v>
      </c>
      <c r="I195" s="30">
        <v>100</v>
      </c>
      <c r="J195" s="177">
        <f>H195*I195</f>
        <v>100</v>
      </c>
      <c r="K195" s="16"/>
    </row>
    <row r="196" spans="1:11">
      <c r="A196" s="175"/>
      <c r="B196" s="34"/>
      <c r="C196" s="54"/>
      <c r="D196" s="26"/>
      <c r="E196" s="26"/>
      <c r="F196" s="26"/>
      <c r="G196" s="26"/>
      <c r="H196" s="26"/>
      <c r="I196" s="30"/>
      <c r="J196" s="178">
        <f>ROUND(SUM(J179:J195),1)</f>
        <v>5131.5</v>
      </c>
      <c r="K196" s="16"/>
    </row>
    <row r="197" spans="1:11" s="6" customFormat="1" ht="25.8">
      <c r="A197" s="179"/>
      <c r="B197" s="40"/>
      <c r="C197" s="54" t="s">
        <v>1228</v>
      </c>
      <c r="D197" s="41"/>
      <c r="E197" s="17"/>
      <c r="F197" s="17"/>
      <c r="G197" s="17"/>
      <c r="H197" s="216">
        <f>J196</f>
        <v>5131.5</v>
      </c>
      <c r="I197" s="217">
        <f>'Lead- Input sheet '!Q32</f>
        <v>0</v>
      </c>
      <c r="J197" s="218">
        <f>ROUND(H197*I197,2)</f>
        <v>0</v>
      </c>
      <c r="K197" s="5"/>
    </row>
    <row r="198" spans="1:11" s="6" customFormat="1">
      <c r="A198" s="179"/>
      <c r="B198" s="40"/>
      <c r="C198" s="55" t="s">
        <v>256</v>
      </c>
      <c r="D198" s="41"/>
      <c r="E198" s="17"/>
      <c r="F198" s="17"/>
      <c r="G198" s="17"/>
      <c r="H198" s="41"/>
      <c r="I198" s="43"/>
      <c r="J198" s="207">
        <f>SUM(J196:J197)</f>
        <v>5131.5</v>
      </c>
      <c r="K198" s="5"/>
    </row>
    <row r="199" spans="1:11" s="6" customFormat="1">
      <c r="A199" s="160"/>
      <c r="B199" s="160"/>
      <c r="C199" s="192"/>
      <c r="D199" s="161"/>
      <c r="E199" s="5"/>
      <c r="F199" s="5"/>
      <c r="G199" s="5"/>
      <c r="H199" s="161"/>
      <c r="I199" s="162"/>
      <c r="J199" s="163"/>
      <c r="K199" s="5"/>
    </row>
    <row r="200" spans="1:11" s="6" customFormat="1">
      <c r="A200" s="160"/>
      <c r="B200" s="160"/>
      <c r="C200" s="192"/>
      <c r="D200" s="161"/>
      <c r="E200" s="5"/>
      <c r="F200" s="5"/>
      <c r="G200" s="5"/>
      <c r="H200" s="161"/>
      <c r="I200" s="162"/>
      <c r="J200" s="163"/>
      <c r="K200" s="5"/>
    </row>
    <row r="201" spans="1:11">
      <c r="A201" s="13"/>
      <c r="B201" s="8"/>
      <c r="D201" s="13"/>
      <c r="E201" s="15"/>
      <c r="F201" s="15"/>
      <c r="G201" s="15"/>
      <c r="H201" s="15"/>
      <c r="I201" s="16"/>
      <c r="J201" s="16"/>
      <c r="K201" s="16"/>
    </row>
    <row r="202" spans="1:11">
      <c r="A202" s="137"/>
      <c r="B202" s="157" t="str">
        <f>'Lead- Input sheet '!B44</f>
        <v xml:space="preserve">  Assistant Exc.Engineer  </v>
      </c>
      <c r="C202" s="3"/>
      <c r="D202" s="3"/>
      <c r="E202" s="3"/>
      <c r="F202" s="3"/>
      <c r="G202" s="157" t="str">
        <f>'Lead- Input sheet '!H44</f>
        <v>Deputy Executive Engineer</v>
      </c>
      <c r="H202" s="3"/>
    </row>
    <row r="203" spans="1:11">
      <c r="A203" s="137"/>
      <c r="B203" s="157" t="str">
        <f>'Lead- Input sheet '!B45</f>
        <v>PR MPP Kalwakurthy</v>
      </c>
      <c r="C203" s="3"/>
      <c r="D203" s="3"/>
      <c r="E203" s="3"/>
      <c r="F203" s="3"/>
      <c r="G203" s="157" t="e">
        <f>'Lead- Input sheet '!#REF!</f>
        <v>#REF!</v>
      </c>
      <c r="H203" s="3"/>
    </row>
    <row r="204" spans="1:11">
      <c r="A204" s="13"/>
      <c r="B204" s="8"/>
      <c r="D204" s="13"/>
      <c r="E204" s="15"/>
      <c r="F204" s="15"/>
      <c r="G204" s="15"/>
      <c r="H204" s="15"/>
      <c r="I204" s="16"/>
      <c r="J204" s="16"/>
      <c r="K204" s="16"/>
    </row>
    <row r="205" spans="1:11">
      <c r="A205" s="13"/>
      <c r="B205" s="8"/>
      <c r="D205" s="13"/>
      <c r="E205" s="15"/>
      <c r="F205" s="15"/>
      <c r="G205" s="15"/>
      <c r="H205" s="15"/>
      <c r="I205" s="16"/>
      <c r="J205" s="16"/>
      <c r="K205" s="16"/>
    </row>
    <row r="206" spans="1:11">
      <c r="A206" s="13"/>
      <c r="B206" s="8"/>
      <c r="D206" s="13"/>
      <c r="E206" s="15"/>
      <c r="F206" s="15"/>
      <c r="G206" s="15"/>
      <c r="H206" s="15"/>
      <c r="I206" s="16"/>
      <c r="J206" s="16"/>
      <c r="K206" s="16"/>
    </row>
    <row r="207" spans="1:11">
      <c r="A207" s="13"/>
      <c r="B207" s="8"/>
      <c r="D207" s="13"/>
      <c r="E207" s="15"/>
      <c r="F207" s="15"/>
      <c r="G207" s="15"/>
      <c r="H207" s="15"/>
      <c r="I207" s="16"/>
      <c r="J207" s="16"/>
      <c r="K207" s="16"/>
    </row>
    <row r="208" spans="1:11">
      <c r="A208" s="13"/>
      <c r="B208" s="8"/>
      <c r="D208" s="13"/>
      <c r="E208" s="15"/>
      <c r="F208" s="15"/>
      <c r="G208" s="15"/>
      <c r="H208" s="15"/>
      <c r="I208" s="16"/>
      <c r="J208" s="16"/>
      <c r="K208" s="16"/>
    </row>
    <row r="209" spans="1:11">
      <c r="A209" s="13"/>
      <c r="B209" s="8"/>
      <c r="D209" s="13"/>
      <c r="E209" s="15"/>
      <c r="F209" s="15"/>
      <c r="G209" s="15"/>
      <c r="H209" s="15"/>
      <c r="I209" s="16"/>
      <c r="J209" s="16"/>
      <c r="K209" s="16"/>
    </row>
    <row r="210" spans="1:11">
      <c r="A210" s="13"/>
      <c r="B210" s="8"/>
      <c r="D210" s="13"/>
      <c r="E210" s="15"/>
      <c r="F210" s="15"/>
      <c r="G210" s="15"/>
      <c r="H210" s="15"/>
      <c r="I210" s="16"/>
      <c r="J210" s="16"/>
      <c r="K210" s="16"/>
    </row>
    <row r="211" spans="1:11">
      <c r="A211" s="13"/>
      <c r="B211" s="8"/>
      <c r="D211" s="13"/>
      <c r="E211" s="15"/>
      <c r="F211" s="15"/>
      <c r="G211" s="15"/>
      <c r="H211" s="15"/>
      <c r="I211" s="16"/>
      <c r="J211" s="16"/>
      <c r="K211" s="16"/>
    </row>
    <row r="212" spans="1:11">
      <c r="A212" s="13"/>
      <c r="B212" s="8"/>
      <c r="D212" s="13"/>
      <c r="E212" s="15"/>
      <c r="F212" s="15"/>
      <c r="G212" s="15"/>
      <c r="H212" s="15"/>
      <c r="I212" s="16"/>
      <c r="J212" s="16"/>
      <c r="K212" s="16"/>
    </row>
    <row r="213" spans="1:11">
      <c r="A213" s="13"/>
      <c r="B213" s="8"/>
      <c r="D213" s="13"/>
      <c r="E213" s="15"/>
      <c r="F213" s="15"/>
      <c r="G213" s="15"/>
      <c r="H213" s="15"/>
      <c r="I213" s="16"/>
      <c r="J213" s="16"/>
      <c r="K213" s="16"/>
    </row>
    <row r="214" spans="1:11">
      <c r="A214" s="13"/>
      <c r="B214" s="8"/>
      <c r="D214" s="13"/>
      <c r="E214" s="15"/>
      <c r="F214" s="15"/>
      <c r="G214" s="15"/>
      <c r="H214" s="15"/>
      <c r="I214" s="16"/>
      <c r="J214" s="16"/>
      <c r="K214" s="16"/>
    </row>
    <row r="215" spans="1:11">
      <c r="A215" s="13"/>
      <c r="B215" s="8"/>
      <c r="D215" s="13"/>
      <c r="E215" s="15"/>
      <c r="F215" s="15"/>
      <c r="G215" s="15"/>
      <c r="H215" s="15"/>
      <c r="I215" s="16"/>
      <c r="J215" s="16"/>
      <c r="K215" s="16"/>
    </row>
    <row r="216" spans="1:11">
      <c r="A216" s="13"/>
      <c r="B216" s="8"/>
      <c r="D216" s="13"/>
      <c r="E216" s="15"/>
      <c r="F216" s="15"/>
      <c r="G216" s="15"/>
      <c r="H216" s="15"/>
      <c r="I216" s="16"/>
      <c r="J216" s="16"/>
      <c r="K216" s="16"/>
    </row>
    <row r="217" spans="1:11">
      <c r="A217" s="13"/>
      <c r="B217" s="8"/>
      <c r="D217" s="13"/>
      <c r="E217" s="15"/>
      <c r="F217" s="15"/>
      <c r="G217" s="15"/>
      <c r="H217" s="15"/>
      <c r="I217" s="16"/>
      <c r="J217" s="16"/>
      <c r="K217" s="16"/>
    </row>
    <row r="218" spans="1:11">
      <c r="A218" s="13"/>
      <c r="B218" s="8"/>
      <c r="D218" s="13"/>
      <c r="E218" s="15"/>
      <c r="F218" s="15"/>
      <c r="G218" s="15"/>
      <c r="H218" s="15"/>
      <c r="I218" s="16"/>
      <c r="J218" s="16"/>
      <c r="K218" s="16"/>
    </row>
    <row r="219" spans="1:11">
      <c r="A219" s="13"/>
      <c r="B219" s="8"/>
      <c r="D219" s="13"/>
      <c r="E219" s="15"/>
      <c r="F219" s="15"/>
      <c r="G219" s="15"/>
      <c r="H219" s="15"/>
      <c r="I219" s="16"/>
      <c r="J219" s="16"/>
      <c r="K219" s="16"/>
    </row>
    <row r="220" spans="1:11">
      <c r="A220" s="13"/>
      <c r="B220" s="8"/>
      <c r="D220" s="13"/>
      <c r="E220" s="15"/>
      <c r="F220" s="15"/>
      <c r="G220" s="15"/>
      <c r="H220" s="15"/>
      <c r="I220" s="16"/>
      <c r="J220" s="16"/>
      <c r="K220" s="16"/>
    </row>
    <row r="221" spans="1:11">
      <c r="A221" s="13"/>
      <c r="B221" s="8"/>
      <c r="D221" s="13"/>
      <c r="E221" s="15"/>
      <c r="F221" s="15"/>
      <c r="G221" s="15"/>
      <c r="H221" s="15"/>
      <c r="I221" s="16"/>
      <c r="J221" s="16"/>
      <c r="K221" s="16"/>
    </row>
    <row r="222" spans="1:11">
      <c r="A222" s="13"/>
      <c r="B222" s="8"/>
      <c r="D222" s="13"/>
      <c r="E222" s="15"/>
      <c r="F222" s="15"/>
      <c r="G222" s="15"/>
      <c r="H222" s="15"/>
      <c r="I222" s="16"/>
      <c r="J222" s="16"/>
      <c r="K222" s="16"/>
    </row>
    <row r="223" spans="1:11">
      <c r="A223" s="13"/>
      <c r="B223" s="8"/>
      <c r="D223" s="13"/>
      <c r="E223" s="15"/>
      <c r="F223" s="15"/>
      <c r="G223" s="15"/>
      <c r="H223" s="15"/>
      <c r="I223" s="16"/>
      <c r="J223" s="16"/>
      <c r="K223" s="16"/>
    </row>
    <row r="224" spans="1:11">
      <c r="A224" s="13"/>
      <c r="B224" s="8"/>
      <c r="D224" s="13"/>
      <c r="E224" s="15"/>
      <c r="F224" s="15"/>
      <c r="G224" s="15"/>
      <c r="H224" s="15"/>
      <c r="I224" s="16"/>
      <c r="J224" s="16"/>
      <c r="K224" s="16"/>
    </row>
    <row r="225" spans="1:11">
      <c r="A225" s="13"/>
      <c r="B225" s="8"/>
      <c r="D225" s="13"/>
      <c r="E225" s="15"/>
      <c r="F225" s="15"/>
      <c r="G225" s="15"/>
      <c r="H225" s="15"/>
      <c r="I225" s="16"/>
      <c r="J225" s="16"/>
      <c r="K225" s="16"/>
    </row>
    <row r="226" spans="1:11">
      <c r="A226" s="13"/>
      <c r="B226" s="8"/>
      <c r="D226" s="13"/>
      <c r="E226" s="15"/>
      <c r="F226" s="15"/>
      <c r="G226" s="15"/>
      <c r="H226" s="15"/>
      <c r="I226" s="16"/>
      <c r="J226" s="16"/>
      <c r="K226" s="16"/>
    </row>
    <row r="227" spans="1:11">
      <c r="A227" s="13"/>
      <c r="B227" s="8"/>
      <c r="D227" s="13"/>
      <c r="E227" s="15"/>
      <c r="F227" s="15"/>
      <c r="G227" s="15"/>
      <c r="H227" s="15"/>
      <c r="I227" s="16"/>
      <c r="J227" s="16"/>
      <c r="K227" s="16"/>
    </row>
    <row r="228" spans="1:11">
      <c r="A228" s="13"/>
      <c r="B228" s="8"/>
      <c r="D228" s="13"/>
      <c r="E228" s="15"/>
      <c r="F228" s="15"/>
      <c r="G228" s="15"/>
      <c r="H228" s="15"/>
      <c r="I228" s="16"/>
      <c r="J228" s="16"/>
      <c r="K228" s="16"/>
    </row>
    <row r="229" spans="1:11">
      <c r="A229" s="13"/>
      <c r="B229" s="8"/>
      <c r="D229" s="13"/>
      <c r="E229" s="15"/>
      <c r="F229" s="15"/>
      <c r="G229" s="15"/>
      <c r="H229" s="15"/>
      <c r="I229" s="16"/>
      <c r="J229" s="16"/>
      <c r="K229" s="16"/>
    </row>
    <row r="230" spans="1:11">
      <c r="A230" s="13"/>
      <c r="B230" s="8"/>
      <c r="D230" s="13"/>
      <c r="E230" s="15"/>
      <c r="F230" s="15"/>
      <c r="G230" s="15"/>
      <c r="H230" s="15"/>
      <c r="I230" s="16"/>
      <c r="J230" s="16"/>
      <c r="K230" s="16"/>
    </row>
    <row r="231" spans="1:11">
      <c r="A231" s="13"/>
      <c r="B231" s="8"/>
      <c r="D231" s="13"/>
      <c r="E231" s="15"/>
      <c r="F231" s="15"/>
      <c r="G231" s="15"/>
      <c r="H231" s="15"/>
      <c r="I231" s="16"/>
      <c r="J231" s="16"/>
      <c r="K231" s="16"/>
    </row>
    <row r="232" spans="1:11">
      <c r="A232" s="13"/>
      <c r="B232" s="8"/>
      <c r="D232" s="13"/>
      <c r="E232" s="15"/>
      <c r="F232" s="15"/>
      <c r="G232" s="15"/>
      <c r="H232" s="15"/>
      <c r="I232" s="16"/>
      <c r="J232" s="16"/>
      <c r="K232" s="16"/>
    </row>
    <row r="233" spans="1:11">
      <c r="A233" s="13"/>
      <c r="B233" s="8"/>
      <c r="D233" s="13"/>
      <c r="E233" s="15"/>
      <c r="F233" s="15"/>
      <c r="G233" s="15"/>
      <c r="H233" s="15"/>
      <c r="I233" s="16"/>
      <c r="J233" s="16"/>
      <c r="K233" s="16"/>
    </row>
    <row r="234" spans="1:11">
      <c r="A234" s="13"/>
      <c r="B234" s="8"/>
      <c r="D234" s="13"/>
      <c r="E234" s="15"/>
      <c r="F234" s="15"/>
      <c r="G234" s="15"/>
      <c r="H234" s="15"/>
      <c r="I234" s="16"/>
      <c r="J234" s="16"/>
      <c r="K234" s="16"/>
    </row>
    <row r="235" spans="1:11">
      <c r="A235" s="13"/>
      <c r="B235" s="8"/>
      <c r="D235" s="13"/>
      <c r="E235" s="15"/>
      <c r="F235" s="15"/>
      <c r="G235" s="15"/>
      <c r="H235" s="15"/>
      <c r="I235" s="16"/>
      <c r="J235" s="16"/>
      <c r="K235" s="16"/>
    </row>
    <row r="236" spans="1:11">
      <c r="A236" s="13"/>
      <c r="B236" s="8"/>
      <c r="D236" s="13"/>
      <c r="E236" s="15"/>
      <c r="F236" s="15"/>
      <c r="G236" s="15"/>
      <c r="H236" s="15"/>
      <c r="I236" s="16"/>
      <c r="J236" s="16"/>
      <c r="K236" s="16"/>
    </row>
    <row r="237" spans="1:11">
      <c r="A237" s="13"/>
      <c r="B237" s="8"/>
      <c r="D237" s="13"/>
      <c r="E237" s="15"/>
      <c r="F237" s="15"/>
      <c r="G237" s="15"/>
      <c r="H237" s="15"/>
      <c r="I237" s="16"/>
      <c r="J237" s="16"/>
      <c r="K237" s="16"/>
    </row>
    <row r="238" spans="1:11">
      <c r="A238" s="13"/>
      <c r="B238" s="8"/>
      <c r="D238" s="13"/>
      <c r="E238" s="15"/>
      <c r="F238" s="15"/>
      <c r="G238" s="15"/>
      <c r="H238" s="15"/>
      <c r="I238" s="16"/>
      <c r="J238" s="16"/>
      <c r="K238" s="16"/>
    </row>
    <row r="239" spans="1:11">
      <c r="A239" s="13"/>
      <c r="B239" s="8"/>
      <c r="D239" s="13"/>
      <c r="E239" s="15"/>
      <c r="F239" s="15"/>
      <c r="G239" s="15"/>
      <c r="H239" s="15"/>
      <c r="I239" s="16"/>
      <c r="J239" s="16"/>
      <c r="K239" s="16"/>
    </row>
    <row r="240" spans="1:11">
      <c r="A240" s="13"/>
      <c r="B240" s="8"/>
      <c r="D240" s="13"/>
      <c r="E240" s="15"/>
      <c r="F240" s="15"/>
      <c r="G240" s="15"/>
      <c r="H240" s="15"/>
      <c r="I240" s="16"/>
      <c r="J240" s="16"/>
      <c r="K240" s="16"/>
    </row>
    <row r="241" spans="1:11">
      <c r="A241" s="13"/>
      <c r="B241" s="8"/>
      <c r="D241" s="13"/>
      <c r="E241" s="15"/>
      <c r="F241" s="15"/>
      <c r="G241" s="15"/>
      <c r="H241" s="15"/>
      <c r="I241" s="16"/>
      <c r="J241" s="16"/>
      <c r="K241" s="16"/>
    </row>
    <row r="242" spans="1:11">
      <c r="A242" s="13"/>
      <c r="B242" s="8"/>
      <c r="D242" s="13"/>
      <c r="E242" s="15"/>
      <c r="F242" s="15"/>
      <c r="G242" s="15"/>
      <c r="H242" s="15"/>
      <c r="I242" s="16"/>
      <c r="J242" s="16"/>
      <c r="K242" s="16"/>
    </row>
    <row r="243" spans="1:11">
      <c r="A243" s="13"/>
      <c r="B243" s="8"/>
      <c r="D243" s="13"/>
      <c r="E243" s="15"/>
      <c r="F243" s="15"/>
      <c r="G243" s="15"/>
      <c r="H243" s="15"/>
      <c r="I243" s="16"/>
      <c r="J243" s="16"/>
      <c r="K243" s="16"/>
    </row>
    <row r="244" spans="1:11">
      <c r="A244" s="13"/>
      <c r="B244" s="8"/>
      <c r="D244" s="13"/>
      <c r="E244" s="15"/>
      <c r="F244" s="15"/>
      <c r="G244" s="15"/>
      <c r="H244" s="15"/>
      <c r="I244" s="16"/>
      <c r="J244" s="16"/>
      <c r="K244" s="16"/>
    </row>
    <row r="245" spans="1:11">
      <c r="A245" s="13"/>
      <c r="B245" s="8"/>
      <c r="D245" s="13"/>
      <c r="E245" s="15"/>
      <c r="F245" s="15"/>
      <c r="G245" s="15"/>
      <c r="H245" s="15"/>
      <c r="I245" s="16"/>
      <c r="J245" s="16"/>
      <c r="K245" s="16"/>
    </row>
    <row r="246" spans="1:11">
      <c r="A246" s="13"/>
      <c r="B246" s="8"/>
      <c r="D246" s="13"/>
      <c r="E246" s="15"/>
      <c r="F246" s="15"/>
      <c r="G246" s="15"/>
      <c r="H246" s="15"/>
      <c r="I246" s="16"/>
      <c r="J246" s="16"/>
      <c r="K246" s="16"/>
    </row>
    <row r="247" spans="1:11">
      <c r="A247" s="13"/>
      <c r="B247" s="8"/>
      <c r="D247" s="13"/>
      <c r="E247" s="15"/>
      <c r="F247" s="15"/>
      <c r="G247" s="15"/>
      <c r="H247" s="15"/>
      <c r="I247" s="16"/>
      <c r="J247" s="16"/>
      <c r="K247" s="16"/>
    </row>
    <row r="248" spans="1:11">
      <c r="A248" s="13"/>
      <c r="B248" s="8"/>
      <c r="D248" s="13"/>
      <c r="E248" s="15"/>
      <c r="F248" s="15"/>
      <c r="G248" s="15"/>
      <c r="H248" s="15"/>
      <c r="I248" s="16"/>
      <c r="J248" s="16"/>
      <c r="K248" s="16"/>
    </row>
    <row r="249" spans="1:11">
      <c r="A249" s="13"/>
      <c r="B249" s="8"/>
      <c r="D249" s="13"/>
      <c r="E249" s="15"/>
      <c r="F249" s="15"/>
      <c r="G249" s="15"/>
      <c r="H249" s="15"/>
      <c r="I249" s="16"/>
      <c r="J249" s="16"/>
      <c r="K249" s="16"/>
    </row>
    <row r="250" spans="1:11">
      <c r="A250" s="13"/>
      <c r="B250" s="8"/>
      <c r="D250" s="13"/>
      <c r="E250" s="15"/>
      <c r="F250" s="15"/>
      <c r="G250" s="15"/>
      <c r="H250" s="15"/>
      <c r="I250" s="16"/>
      <c r="J250" s="16"/>
      <c r="K250" s="16"/>
    </row>
    <row r="251" spans="1:11">
      <c r="A251" s="13"/>
      <c r="B251" s="8"/>
      <c r="D251" s="13"/>
      <c r="E251" s="15"/>
      <c r="F251" s="15"/>
      <c r="G251" s="15"/>
      <c r="H251" s="15"/>
      <c r="I251" s="16"/>
      <c r="J251" s="16"/>
      <c r="K251" s="16"/>
    </row>
    <row r="252" spans="1:11">
      <c r="A252" s="13"/>
      <c r="B252" s="8"/>
      <c r="D252" s="13"/>
      <c r="E252" s="15"/>
      <c r="F252" s="15"/>
      <c r="G252" s="15"/>
      <c r="H252" s="15"/>
      <c r="I252" s="16"/>
      <c r="J252" s="16"/>
      <c r="K252" s="16"/>
    </row>
    <row r="253" spans="1:11">
      <c r="A253" s="13"/>
      <c r="B253" s="8"/>
      <c r="D253" s="13"/>
      <c r="E253" s="15"/>
      <c r="F253" s="15"/>
      <c r="G253" s="15"/>
      <c r="H253" s="15"/>
      <c r="I253" s="16"/>
      <c r="J253" s="16"/>
      <c r="K253" s="16"/>
    </row>
    <row r="254" spans="1:11">
      <c r="A254" s="13"/>
      <c r="B254" s="8"/>
      <c r="D254" s="13"/>
      <c r="E254" s="15"/>
      <c r="F254" s="15"/>
      <c r="G254" s="15"/>
      <c r="H254" s="15"/>
      <c r="I254" s="16"/>
      <c r="J254" s="16"/>
      <c r="K254" s="16"/>
    </row>
    <row r="255" spans="1:11">
      <c r="A255" s="13"/>
      <c r="B255" s="8"/>
      <c r="D255" s="13"/>
      <c r="E255" s="15"/>
      <c r="F255" s="15"/>
      <c r="G255" s="15"/>
      <c r="H255" s="15"/>
      <c r="I255" s="16"/>
      <c r="J255" s="16"/>
      <c r="K255" s="16"/>
    </row>
    <row r="256" spans="1:11">
      <c r="A256" s="13"/>
      <c r="B256" s="8"/>
      <c r="D256" s="13"/>
      <c r="E256" s="15"/>
      <c r="F256" s="15"/>
      <c r="G256" s="15"/>
      <c r="H256" s="15"/>
      <c r="I256" s="16"/>
      <c r="J256" s="16"/>
      <c r="K256" s="16"/>
    </row>
    <row r="257" spans="1:11">
      <c r="A257" s="13"/>
      <c r="B257" s="8"/>
      <c r="D257" s="13"/>
      <c r="E257" s="15"/>
      <c r="F257" s="15"/>
      <c r="G257" s="15"/>
      <c r="H257" s="15"/>
      <c r="I257" s="16"/>
      <c r="J257" s="16"/>
      <c r="K257" s="16"/>
    </row>
    <row r="258" spans="1:11">
      <c r="A258" s="13"/>
      <c r="B258" s="8"/>
      <c r="D258" s="13"/>
      <c r="E258" s="15"/>
      <c r="F258" s="15"/>
      <c r="G258" s="15"/>
      <c r="H258" s="15"/>
      <c r="I258" s="16"/>
      <c r="J258" s="16"/>
      <c r="K258" s="16"/>
    </row>
    <row r="259" spans="1:11">
      <c r="A259" s="13"/>
      <c r="B259" s="8"/>
      <c r="D259" s="13"/>
      <c r="E259" s="15"/>
      <c r="F259" s="15"/>
      <c r="G259" s="15"/>
      <c r="H259" s="15"/>
      <c r="I259" s="16"/>
      <c r="J259" s="16"/>
      <c r="K259" s="16"/>
    </row>
    <row r="260" spans="1:11">
      <c r="A260" s="13"/>
      <c r="B260" s="8"/>
      <c r="D260" s="13"/>
      <c r="E260" s="15"/>
      <c r="F260" s="15"/>
      <c r="G260" s="15"/>
      <c r="H260" s="15"/>
      <c r="I260" s="16"/>
      <c r="J260" s="16"/>
      <c r="K260" s="16"/>
    </row>
    <row r="261" spans="1:11">
      <c r="A261" s="13"/>
      <c r="B261" s="8"/>
      <c r="D261" s="13"/>
      <c r="E261" s="15"/>
      <c r="F261" s="15"/>
      <c r="G261" s="15"/>
      <c r="H261" s="15"/>
      <c r="I261" s="16"/>
      <c r="J261" s="16"/>
      <c r="K261" s="16"/>
    </row>
    <row r="262" spans="1:11">
      <c r="A262" s="13"/>
      <c r="B262" s="8"/>
      <c r="D262" s="13"/>
      <c r="E262" s="15"/>
      <c r="F262" s="15"/>
      <c r="G262" s="15"/>
      <c r="H262" s="15"/>
      <c r="I262" s="16"/>
      <c r="J262" s="16"/>
      <c r="K262" s="16"/>
    </row>
    <row r="263" spans="1:11">
      <c r="A263" s="13"/>
      <c r="B263" s="8"/>
      <c r="D263" s="13"/>
      <c r="E263" s="15"/>
      <c r="F263" s="15"/>
      <c r="G263" s="15"/>
      <c r="H263" s="15"/>
      <c r="I263" s="16"/>
      <c r="J263" s="16"/>
      <c r="K263" s="16"/>
    </row>
    <row r="264" spans="1:11">
      <c r="A264" s="13"/>
      <c r="B264" s="8"/>
      <c r="D264" s="13"/>
      <c r="E264" s="15"/>
      <c r="F264" s="15"/>
      <c r="G264" s="15"/>
      <c r="H264" s="15"/>
      <c r="I264" s="16"/>
      <c r="J264" s="16"/>
      <c r="K264" s="16"/>
    </row>
    <row r="265" spans="1:11">
      <c r="A265" s="13"/>
      <c r="B265" s="8"/>
      <c r="D265" s="13"/>
      <c r="E265" s="15"/>
      <c r="F265" s="15"/>
      <c r="G265" s="15"/>
      <c r="H265" s="15"/>
      <c r="I265" s="16"/>
      <c r="J265" s="16"/>
      <c r="K265" s="16"/>
    </row>
    <row r="266" spans="1:11">
      <c r="A266" s="13"/>
      <c r="B266" s="8"/>
      <c r="D266" s="13"/>
      <c r="E266" s="15"/>
      <c r="F266" s="15"/>
      <c r="G266" s="15"/>
      <c r="H266" s="15"/>
      <c r="I266" s="16"/>
      <c r="J266" s="16"/>
      <c r="K266" s="16"/>
    </row>
    <row r="267" spans="1:11">
      <c r="A267" s="13"/>
      <c r="B267" s="8"/>
      <c r="D267" s="13"/>
      <c r="E267" s="15"/>
      <c r="F267" s="15"/>
      <c r="G267" s="15"/>
      <c r="H267" s="15"/>
      <c r="I267" s="16"/>
      <c r="J267" s="16"/>
      <c r="K267" s="16"/>
    </row>
    <row r="268" spans="1:11">
      <c r="A268" s="13"/>
      <c r="B268" s="8"/>
      <c r="D268" s="13"/>
      <c r="E268" s="15"/>
      <c r="F268" s="15"/>
      <c r="G268" s="15"/>
      <c r="H268" s="15"/>
      <c r="I268" s="16"/>
      <c r="J268" s="16"/>
      <c r="K268" s="16"/>
    </row>
    <row r="269" spans="1:11">
      <c r="A269" s="13"/>
      <c r="B269" s="8"/>
      <c r="D269" s="13"/>
      <c r="E269" s="15"/>
      <c r="F269" s="15"/>
      <c r="G269" s="15"/>
      <c r="H269" s="15"/>
      <c r="I269" s="16"/>
      <c r="J269" s="16"/>
      <c r="K269" s="16"/>
    </row>
    <row r="270" spans="1:11">
      <c r="A270" s="13"/>
      <c r="B270" s="8"/>
      <c r="D270" s="13"/>
      <c r="E270" s="15"/>
      <c r="F270" s="15"/>
      <c r="G270" s="15"/>
      <c r="H270" s="15"/>
      <c r="I270" s="16"/>
      <c r="J270" s="16"/>
      <c r="K270" s="16"/>
    </row>
    <row r="271" spans="1:11">
      <c r="A271" s="13"/>
      <c r="B271" s="8"/>
      <c r="D271" s="13"/>
      <c r="E271" s="15"/>
      <c r="F271" s="15"/>
      <c r="G271" s="15"/>
      <c r="H271" s="15"/>
      <c r="I271" s="16"/>
      <c r="J271" s="16"/>
      <c r="K271" s="16"/>
    </row>
    <row r="272" spans="1:11">
      <c r="A272" s="13"/>
      <c r="B272" s="8"/>
      <c r="D272" s="13"/>
      <c r="E272" s="15"/>
      <c r="F272" s="15"/>
      <c r="G272" s="15"/>
      <c r="H272" s="15"/>
      <c r="I272" s="16"/>
      <c r="J272" s="16"/>
      <c r="K272" s="16"/>
    </row>
    <row r="273" spans="1:11">
      <c r="A273" s="13"/>
      <c r="B273" s="8"/>
      <c r="D273" s="13"/>
      <c r="E273" s="15"/>
      <c r="F273" s="15"/>
      <c r="G273" s="15"/>
      <c r="H273" s="15"/>
      <c r="I273" s="16"/>
      <c r="J273" s="16"/>
      <c r="K273" s="16"/>
    </row>
    <row r="274" spans="1:11">
      <c r="A274" s="13"/>
      <c r="B274" s="8"/>
      <c r="D274" s="13"/>
      <c r="E274" s="15"/>
      <c r="F274" s="15"/>
      <c r="G274" s="15"/>
      <c r="H274" s="15"/>
      <c r="I274" s="16"/>
      <c r="J274" s="16"/>
      <c r="K274" s="16"/>
    </row>
    <row r="275" spans="1:11">
      <c r="A275" s="13"/>
      <c r="B275" s="8"/>
      <c r="D275" s="13"/>
      <c r="E275" s="15"/>
      <c r="F275" s="15"/>
      <c r="G275" s="15"/>
      <c r="H275" s="15"/>
      <c r="I275" s="16"/>
      <c r="J275" s="16"/>
      <c r="K275" s="16"/>
    </row>
    <row r="276" spans="1:11">
      <c r="A276" s="13"/>
      <c r="B276" s="8"/>
      <c r="D276" s="13"/>
      <c r="E276" s="15"/>
      <c r="F276" s="15"/>
      <c r="G276" s="15"/>
      <c r="H276" s="15"/>
      <c r="I276" s="16"/>
      <c r="J276" s="16"/>
      <c r="K276" s="16"/>
    </row>
    <row r="277" spans="1:11">
      <c r="A277" s="13"/>
      <c r="B277" s="8"/>
      <c r="D277" s="13"/>
      <c r="E277" s="15"/>
      <c r="F277" s="15"/>
      <c r="G277" s="15"/>
      <c r="H277" s="15"/>
      <c r="I277" s="16"/>
      <c r="J277" s="16"/>
      <c r="K277" s="16"/>
    </row>
    <row r="278" spans="1:11">
      <c r="A278" s="13"/>
      <c r="B278" s="8"/>
      <c r="D278" s="13"/>
      <c r="E278" s="15"/>
      <c r="F278" s="15"/>
      <c r="G278" s="15"/>
      <c r="H278" s="15"/>
      <c r="I278" s="16"/>
      <c r="J278" s="16"/>
      <c r="K278" s="16"/>
    </row>
    <row r="279" spans="1:11">
      <c r="A279" s="13"/>
      <c r="B279" s="8"/>
      <c r="D279" s="13"/>
      <c r="E279" s="15"/>
      <c r="F279" s="15"/>
      <c r="G279" s="15"/>
      <c r="H279" s="15"/>
      <c r="I279" s="16"/>
      <c r="J279" s="16"/>
      <c r="K279" s="16"/>
    </row>
    <row r="280" spans="1:11">
      <c r="A280" s="13"/>
      <c r="B280" s="8"/>
      <c r="D280" s="13"/>
      <c r="E280" s="15"/>
      <c r="F280" s="15"/>
      <c r="G280" s="15"/>
      <c r="H280" s="15"/>
      <c r="I280" s="16"/>
      <c r="J280" s="16"/>
      <c r="K280" s="16"/>
    </row>
    <row r="281" spans="1:11">
      <c r="A281" s="13"/>
      <c r="B281" s="8"/>
      <c r="D281" s="13"/>
      <c r="E281" s="15"/>
      <c r="F281" s="15"/>
      <c r="G281" s="15"/>
      <c r="H281" s="15"/>
      <c r="I281" s="16"/>
      <c r="J281" s="16"/>
      <c r="K281" s="16"/>
    </row>
    <row r="282" spans="1:11">
      <c r="A282" s="13"/>
      <c r="B282" s="8"/>
      <c r="D282" s="13"/>
      <c r="E282" s="15"/>
      <c r="F282" s="15"/>
      <c r="G282" s="15"/>
      <c r="H282" s="15"/>
      <c r="I282" s="16"/>
      <c r="J282" s="16"/>
      <c r="K282" s="16"/>
    </row>
    <row r="283" spans="1:11">
      <c r="A283" s="13"/>
      <c r="B283" s="8"/>
      <c r="D283" s="13"/>
      <c r="E283" s="15"/>
      <c r="F283" s="15"/>
      <c r="G283" s="15"/>
      <c r="H283" s="15"/>
      <c r="I283" s="16"/>
      <c r="J283" s="16"/>
      <c r="K283" s="16"/>
    </row>
    <row r="284" spans="1:11">
      <c r="A284" s="13"/>
      <c r="B284" s="8"/>
      <c r="C284" s="9"/>
      <c r="D284" s="13"/>
      <c r="E284" s="15"/>
      <c r="F284" s="15"/>
      <c r="G284" s="15"/>
      <c r="H284" s="15"/>
      <c r="I284" s="16"/>
      <c r="J284" s="16"/>
      <c r="K284" s="16"/>
    </row>
    <row r="285" spans="1:11">
      <c r="A285" s="13"/>
      <c r="B285" s="8"/>
      <c r="C285" s="9"/>
      <c r="D285" s="13"/>
      <c r="E285" s="15"/>
      <c r="F285" s="15"/>
      <c r="G285" s="15"/>
      <c r="H285" s="15"/>
      <c r="I285" s="16"/>
      <c r="J285" s="16"/>
      <c r="K285" s="16"/>
    </row>
    <row r="286" spans="1:11">
      <c r="A286" s="13"/>
      <c r="B286" s="8"/>
      <c r="C286" s="9"/>
      <c r="D286" s="13"/>
      <c r="E286" s="15"/>
      <c r="F286" s="15"/>
      <c r="G286" s="15"/>
      <c r="H286" s="15"/>
      <c r="I286" s="16"/>
      <c r="J286" s="16"/>
      <c r="K286" s="16"/>
    </row>
    <row r="287" spans="1:11">
      <c r="A287" s="13"/>
      <c r="B287" s="8"/>
      <c r="C287" s="9"/>
      <c r="D287" s="13"/>
      <c r="E287" s="15"/>
      <c r="F287" s="15"/>
      <c r="G287" s="15"/>
      <c r="H287" s="15"/>
      <c r="I287" s="16"/>
      <c r="J287" s="16"/>
      <c r="K287" s="16"/>
    </row>
    <row r="288" spans="1:11">
      <c r="A288" s="13"/>
      <c r="B288" s="8"/>
      <c r="C288" s="9"/>
      <c r="D288" s="13"/>
      <c r="E288" s="15"/>
      <c r="F288" s="15"/>
      <c r="G288" s="15"/>
      <c r="H288" s="15"/>
      <c r="I288" s="16"/>
      <c r="J288" s="16"/>
      <c r="K288" s="16"/>
    </row>
    <row r="289" spans="1:11">
      <c r="A289" s="13"/>
      <c r="B289" s="8"/>
      <c r="C289" s="9"/>
      <c r="D289" s="13"/>
      <c r="E289" s="15"/>
      <c r="F289" s="15"/>
      <c r="G289" s="15"/>
      <c r="H289" s="15"/>
      <c r="I289" s="16"/>
      <c r="J289" s="16"/>
      <c r="K289" s="16"/>
    </row>
    <row r="290" spans="1:11">
      <c r="A290" s="13"/>
      <c r="B290" s="8"/>
      <c r="C290" s="9"/>
      <c r="D290" s="13"/>
      <c r="E290" s="15"/>
      <c r="F290" s="15"/>
      <c r="G290" s="15"/>
      <c r="H290" s="15"/>
      <c r="I290" s="16"/>
      <c r="J290" s="16"/>
      <c r="K290" s="16"/>
    </row>
    <row r="291" spans="1:11">
      <c r="A291" s="13"/>
      <c r="B291" s="8"/>
      <c r="C291" s="9"/>
      <c r="D291" s="13"/>
      <c r="E291" s="15"/>
      <c r="F291" s="15"/>
      <c r="G291" s="15"/>
      <c r="H291" s="15"/>
      <c r="I291" s="16"/>
      <c r="J291" s="16"/>
      <c r="K291" s="16"/>
    </row>
    <row r="292" spans="1:11">
      <c r="A292" s="13"/>
      <c r="B292" s="8"/>
      <c r="C292" s="9"/>
      <c r="D292" s="13"/>
      <c r="E292" s="15"/>
      <c r="F292" s="15"/>
      <c r="G292" s="15"/>
      <c r="H292" s="15"/>
      <c r="I292" s="16"/>
      <c r="J292" s="16"/>
      <c r="K292" s="16"/>
    </row>
    <row r="293" spans="1:11">
      <c r="A293" s="13"/>
      <c r="B293" s="8"/>
      <c r="C293" s="9"/>
      <c r="D293" s="13"/>
      <c r="E293" s="15"/>
      <c r="F293" s="15"/>
      <c r="G293" s="15"/>
      <c r="H293" s="15"/>
      <c r="I293" s="16"/>
      <c r="J293" s="16"/>
      <c r="K293" s="16"/>
    </row>
    <row r="294" spans="1:11">
      <c r="A294" s="13"/>
      <c r="B294" s="8"/>
      <c r="C294" s="9"/>
      <c r="D294" s="13"/>
      <c r="E294" s="15"/>
      <c r="F294" s="15"/>
      <c r="G294" s="15"/>
      <c r="H294" s="15"/>
      <c r="I294" s="16"/>
      <c r="J294" s="16"/>
      <c r="K294" s="16"/>
    </row>
    <row r="295" spans="1:11">
      <c r="A295" s="13"/>
      <c r="B295" s="8"/>
      <c r="C295" s="9"/>
      <c r="D295" s="13"/>
      <c r="E295" s="15"/>
      <c r="F295" s="15"/>
      <c r="G295" s="15"/>
      <c r="H295" s="15"/>
      <c r="I295" s="16"/>
      <c r="J295" s="16"/>
      <c r="K295" s="16"/>
    </row>
    <row r="296" spans="1:11">
      <c r="A296" s="13"/>
      <c r="B296" s="8"/>
      <c r="C296" s="9"/>
    </row>
    <row r="297" spans="1:11">
      <c r="A297" s="13"/>
      <c r="B297" s="8"/>
      <c r="C297" s="9"/>
    </row>
    <row r="298" spans="1:11">
      <c r="A298" s="13"/>
      <c r="B298" s="8"/>
      <c r="C298" s="9"/>
    </row>
    <row r="299" spans="1:11">
      <c r="A299" s="13"/>
      <c r="B299" s="8"/>
      <c r="C299" s="9"/>
    </row>
    <row r="300" spans="1:11">
      <c r="A300" s="13"/>
      <c r="B300" s="8"/>
      <c r="C300" s="9"/>
    </row>
    <row r="301" spans="1:11">
      <c r="A301" s="13"/>
      <c r="B301" s="8"/>
      <c r="C301" s="9"/>
    </row>
    <row r="302" spans="1:11">
      <c r="A302" s="13"/>
      <c r="B302" s="8"/>
      <c r="C302" s="9"/>
    </row>
    <row r="303" spans="1:11">
      <c r="A303" s="13"/>
      <c r="B303" s="8"/>
      <c r="C303" s="9"/>
    </row>
    <row r="304" spans="1:11">
      <c r="A304" s="13"/>
      <c r="B304" s="8"/>
      <c r="C304" s="9"/>
    </row>
    <row r="305" spans="1:3">
      <c r="A305" s="13"/>
      <c r="B305" s="8"/>
      <c r="C305" s="9"/>
    </row>
    <row r="306" spans="1:3">
      <c r="A306" s="13"/>
      <c r="B306" s="8"/>
      <c r="C306" s="9"/>
    </row>
    <row r="307" spans="1:3">
      <c r="A307" s="13"/>
      <c r="B307" s="8"/>
      <c r="C307" s="9"/>
    </row>
    <row r="308" spans="1:3">
      <c r="A308" s="13"/>
      <c r="B308" s="8"/>
      <c r="C308" s="9"/>
    </row>
    <row r="309" spans="1:3">
      <c r="A309" s="13"/>
      <c r="B309" s="8"/>
      <c r="C309" s="9"/>
    </row>
    <row r="310" spans="1:3">
      <c r="A310" s="13"/>
      <c r="B310" s="8"/>
      <c r="C310" s="9"/>
    </row>
    <row r="311" spans="1:3">
      <c r="A311" s="13"/>
      <c r="B311" s="8"/>
      <c r="C311" s="9"/>
    </row>
    <row r="312" spans="1:3">
      <c r="A312" s="13"/>
      <c r="B312" s="8"/>
      <c r="C312" s="9"/>
    </row>
    <row r="313" spans="1:3">
      <c r="A313" s="13"/>
      <c r="B313" s="8"/>
      <c r="C313" s="9"/>
    </row>
    <row r="314" spans="1:3">
      <c r="A314" s="13"/>
      <c r="B314" s="8"/>
      <c r="C314" s="9"/>
    </row>
    <row r="315" spans="1:3">
      <c r="A315" s="13"/>
      <c r="B315" s="8"/>
      <c r="C315" s="9"/>
    </row>
    <row r="316" spans="1:3">
      <c r="A316" s="13"/>
      <c r="B316" s="8"/>
      <c r="C316" s="9"/>
    </row>
    <row r="317" spans="1:3">
      <c r="A317" s="13"/>
      <c r="B317" s="8"/>
      <c r="C317" s="9"/>
    </row>
    <row r="318" spans="1:3">
      <c r="A318" s="13"/>
      <c r="B318" s="8"/>
      <c r="C318" s="9"/>
    </row>
    <row r="319" spans="1:3">
      <c r="A319" s="13"/>
      <c r="B319" s="8"/>
      <c r="C319" s="9"/>
    </row>
    <row r="320" spans="1:3">
      <c r="A320" s="13"/>
      <c r="B320" s="8"/>
      <c r="C320" s="9"/>
    </row>
    <row r="321" spans="1:3">
      <c r="A321" s="13"/>
      <c r="B321" s="8"/>
      <c r="C321" s="9"/>
    </row>
    <row r="322" spans="1:3">
      <c r="A322" s="13"/>
      <c r="B322" s="8"/>
      <c r="C322" s="9"/>
    </row>
    <row r="323" spans="1:3">
      <c r="A323" s="13"/>
      <c r="B323" s="8"/>
      <c r="C323" s="9"/>
    </row>
    <row r="324" spans="1:3">
      <c r="A324" s="13"/>
      <c r="B324" s="8"/>
      <c r="C324" s="9"/>
    </row>
    <row r="325" spans="1:3">
      <c r="A325" s="13"/>
      <c r="B325" s="8"/>
      <c r="C325" s="9"/>
    </row>
    <row r="326" spans="1:3">
      <c r="A326" s="13"/>
      <c r="B326" s="8"/>
      <c r="C326" s="9"/>
    </row>
    <row r="327" spans="1:3">
      <c r="A327" s="13"/>
      <c r="B327" s="8"/>
      <c r="C327" s="9"/>
    </row>
    <row r="328" spans="1:3">
      <c r="A328" s="13"/>
      <c r="B328" s="8"/>
      <c r="C328" s="9"/>
    </row>
    <row r="329" spans="1:3">
      <c r="A329" s="13"/>
      <c r="B329" s="8"/>
      <c r="C329" s="9"/>
    </row>
    <row r="330" spans="1:3">
      <c r="A330" s="13"/>
      <c r="B330" s="8"/>
      <c r="C330" s="9"/>
    </row>
    <row r="331" spans="1:3">
      <c r="A331" s="13"/>
      <c r="B331" s="8"/>
      <c r="C331" s="9"/>
    </row>
    <row r="332" spans="1:3">
      <c r="A332" s="13"/>
      <c r="B332" s="8"/>
      <c r="C332" s="9"/>
    </row>
    <row r="333" spans="1:3">
      <c r="A333" s="13"/>
      <c r="B333" s="8"/>
      <c r="C333" s="9"/>
    </row>
    <row r="334" spans="1:3">
      <c r="A334" s="13"/>
      <c r="B334" s="8"/>
      <c r="C334" s="9"/>
    </row>
    <row r="335" spans="1:3">
      <c r="A335" s="13"/>
      <c r="B335" s="8"/>
      <c r="C335" s="9"/>
    </row>
    <row r="336" spans="1:3">
      <c r="A336" s="13"/>
      <c r="B336" s="8"/>
      <c r="C336" s="9"/>
    </row>
    <row r="337" spans="1:3">
      <c r="A337" s="13"/>
      <c r="B337" s="8"/>
      <c r="C337" s="9"/>
    </row>
    <row r="338" spans="1:3">
      <c r="A338" s="13"/>
      <c r="B338" s="8"/>
      <c r="C338" s="9"/>
    </row>
    <row r="339" spans="1:3">
      <c r="A339" s="13"/>
      <c r="B339" s="8"/>
      <c r="C339" s="9"/>
    </row>
    <row r="340" spans="1:3">
      <c r="A340" s="13"/>
      <c r="B340" s="8"/>
      <c r="C340" s="9"/>
    </row>
    <row r="341" spans="1:3">
      <c r="A341" s="13"/>
      <c r="B341" s="8"/>
      <c r="C341" s="9"/>
    </row>
    <row r="342" spans="1:3">
      <c r="A342" s="13"/>
      <c r="B342" s="8"/>
      <c r="C342" s="9"/>
    </row>
    <row r="343" spans="1:3">
      <c r="A343" s="13"/>
      <c r="B343" s="8"/>
      <c r="C343" s="9"/>
    </row>
    <row r="344" spans="1:3">
      <c r="A344" s="13"/>
      <c r="B344" s="8"/>
      <c r="C344" s="9"/>
    </row>
    <row r="345" spans="1:3">
      <c r="A345" s="13"/>
      <c r="B345" s="8"/>
      <c r="C345" s="9"/>
    </row>
    <row r="346" spans="1:3">
      <c r="A346" s="13"/>
      <c r="B346" s="8"/>
      <c r="C346" s="9"/>
    </row>
    <row r="347" spans="1:3">
      <c r="A347" s="13"/>
      <c r="B347" s="8"/>
      <c r="C347" s="9"/>
    </row>
    <row r="348" spans="1:3">
      <c r="A348" s="13"/>
      <c r="B348" s="8"/>
      <c r="C348" s="9"/>
    </row>
    <row r="349" spans="1:3">
      <c r="A349" s="13"/>
      <c r="B349" s="8"/>
      <c r="C349" s="9"/>
    </row>
    <row r="350" spans="1:3">
      <c r="A350" s="13"/>
      <c r="B350" s="8"/>
      <c r="C350" s="9"/>
    </row>
    <row r="351" spans="1:3">
      <c r="A351" s="13"/>
      <c r="B351" s="8"/>
      <c r="C351" s="9"/>
    </row>
    <row r="352" spans="1:3">
      <c r="A352" s="13"/>
      <c r="B352" s="8"/>
      <c r="C352" s="9"/>
    </row>
    <row r="353" spans="1:3">
      <c r="A353" s="13"/>
      <c r="B353" s="8"/>
      <c r="C353" s="9"/>
    </row>
    <row r="354" spans="1:3">
      <c r="A354" s="13"/>
      <c r="B354" s="8"/>
      <c r="C354" s="9"/>
    </row>
    <row r="355" spans="1:3">
      <c r="A355" s="13"/>
      <c r="B355" s="8"/>
      <c r="C355" s="9"/>
    </row>
    <row r="356" spans="1:3">
      <c r="A356" s="13"/>
      <c r="B356" s="8"/>
      <c r="C356" s="9"/>
    </row>
    <row r="357" spans="1:3">
      <c r="A357" s="13"/>
      <c r="B357" s="8"/>
      <c r="C357" s="9"/>
    </row>
    <row r="358" spans="1:3">
      <c r="A358" s="13"/>
      <c r="B358" s="8"/>
      <c r="C358" s="9"/>
    </row>
    <row r="359" spans="1:3">
      <c r="A359" s="13"/>
      <c r="B359" s="8"/>
      <c r="C359" s="9"/>
    </row>
    <row r="360" spans="1:3">
      <c r="A360" s="13"/>
      <c r="B360" s="8"/>
      <c r="C360" s="9"/>
    </row>
    <row r="361" spans="1:3">
      <c r="A361" s="13"/>
      <c r="B361" s="8"/>
      <c r="C361" s="9"/>
    </row>
    <row r="362" spans="1:3">
      <c r="A362" s="13"/>
      <c r="B362" s="8"/>
      <c r="C362" s="9"/>
    </row>
    <row r="363" spans="1:3">
      <c r="A363" s="13"/>
      <c r="B363" s="8"/>
      <c r="C363" s="9"/>
    </row>
    <row r="364" spans="1:3">
      <c r="A364" s="13"/>
      <c r="B364" s="8"/>
      <c r="C364" s="9"/>
    </row>
    <row r="365" spans="1:3">
      <c r="A365" s="13"/>
      <c r="B365" s="8"/>
      <c r="C365" s="9"/>
    </row>
    <row r="366" spans="1:3">
      <c r="A366" s="13"/>
      <c r="B366" s="8"/>
      <c r="C366" s="9"/>
    </row>
    <row r="367" spans="1:3">
      <c r="A367" s="13"/>
      <c r="B367" s="8"/>
      <c r="C367" s="9"/>
    </row>
    <row r="368" spans="1:3">
      <c r="A368" s="13"/>
      <c r="B368" s="8"/>
      <c r="C368" s="9"/>
    </row>
    <row r="369" spans="1:3">
      <c r="A369" s="13"/>
      <c r="B369" s="8"/>
      <c r="C369" s="9"/>
    </row>
    <row r="370" spans="1:3">
      <c r="A370" s="13"/>
      <c r="B370" s="8"/>
      <c r="C370" s="9"/>
    </row>
    <row r="371" spans="1:3">
      <c r="A371" s="13"/>
      <c r="B371" s="8"/>
      <c r="C371" s="9"/>
    </row>
    <row r="372" spans="1:3">
      <c r="A372" s="13"/>
      <c r="B372" s="8"/>
      <c r="C372" s="9"/>
    </row>
    <row r="373" spans="1:3">
      <c r="A373" s="13"/>
      <c r="B373" s="8"/>
      <c r="C373" s="9"/>
    </row>
    <row r="374" spans="1:3">
      <c r="A374" s="13"/>
      <c r="B374" s="8"/>
      <c r="C374" s="9"/>
    </row>
    <row r="375" spans="1:3">
      <c r="A375" s="13"/>
      <c r="B375" s="8"/>
      <c r="C375" s="9"/>
    </row>
    <row r="376" spans="1:3">
      <c r="A376" s="13"/>
      <c r="B376" s="8"/>
      <c r="C376" s="9"/>
    </row>
    <row r="377" spans="1:3">
      <c r="A377" s="13"/>
      <c r="B377" s="8"/>
      <c r="C377" s="9"/>
    </row>
    <row r="378" spans="1:3">
      <c r="A378" s="13"/>
      <c r="B378" s="8"/>
      <c r="C378" s="9"/>
    </row>
    <row r="379" spans="1:3">
      <c r="A379" s="13"/>
      <c r="B379" s="8"/>
      <c r="C379" s="9"/>
    </row>
    <row r="380" spans="1:3">
      <c r="A380" s="13"/>
      <c r="B380" s="8"/>
      <c r="C380" s="9"/>
    </row>
    <row r="381" spans="1:3">
      <c r="A381" s="13"/>
      <c r="B381" s="8"/>
      <c r="C381" s="9"/>
    </row>
    <row r="382" spans="1:3">
      <c r="A382" s="13"/>
      <c r="B382" s="8"/>
      <c r="C382" s="9"/>
    </row>
    <row r="383" spans="1:3">
      <c r="A383" s="13"/>
      <c r="B383" s="8"/>
      <c r="C383" s="9"/>
    </row>
    <row r="384" spans="1:3">
      <c r="A384" s="13"/>
      <c r="B384" s="8"/>
      <c r="C384" s="9"/>
    </row>
    <row r="385" spans="1:3">
      <c r="A385" s="13"/>
      <c r="B385" s="8"/>
      <c r="C385" s="9"/>
    </row>
    <row r="386" spans="1:3">
      <c r="A386" s="13"/>
      <c r="B386" s="8"/>
      <c r="C386" s="9"/>
    </row>
    <row r="387" spans="1:3">
      <c r="A387" s="13"/>
      <c r="B387" s="8"/>
      <c r="C387" s="9"/>
    </row>
    <row r="388" spans="1:3">
      <c r="A388" s="13"/>
      <c r="B388" s="8"/>
      <c r="C388" s="9"/>
    </row>
    <row r="389" spans="1:3">
      <c r="A389" s="13"/>
      <c r="B389" s="8"/>
      <c r="C389" s="9"/>
    </row>
    <row r="390" spans="1:3">
      <c r="A390" s="13"/>
      <c r="B390" s="8"/>
      <c r="C390" s="9"/>
    </row>
    <row r="391" spans="1:3">
      <c r="A391" s="13"/>
      <c r="B391" s="8"/>
      <c r="C391" s="9"/>
    </row>
    <row r="392" spans="1:3">
      <c r="A392" s="13"/>
      <c r="B392" s="8"/>
      <c r="C392" s="9"/>
    </row>
    <row r="393" spans="1:3">
      <c r="A393" s="13"/>
      <c r="B393" s="8"/>
      <c r="C393" s="9"/>
    </row>
    <row r="394" spans="1:3">
      <c r="A394" s="13"/>
      <c r="B394" s="8"/>
      <c r="C394" s="9"/>
    </row>
    <row r="395" spans="1:3">
      <c r="A395" s="13"/>
      <c r="B395" s="8"/>
      <c r="C395" s="9"/>
    </row>
    <row r="396" spans="1:3">
      <c r="A396" s="13"/>
      <c r="B396" s="8"/>
      <c r="C396" s="9"/>
    </row>
    <row r="397" spans="1:3">
      <c r="A397" s="13"/>
      <c r="B397" s="8"/>
      <c r="C397" s="9"/>
    </row>
    <row r="398" spans="1:3">
      <c r="A398" s="13"/>
      <c r="B398" s="8"/>
      <c r="C398" s="9"/>
    </row>
    <row r="399" spans="1:3">
      <c r="A399" s="13"/>
      <c r="B399" s="8"/>
      <c r="C399" s="9"/>
    </row>
    <row r="400" spans="1:3">
      <c r="A400" s="13"/>
      <c r="B400" s="8"/>
      <c r="C400" s="9"/>
    </row>
    <row r="401" spans="1:3">
      <c r="A401" s="13"/>
      <c r="B401" s="8"/>
      <c r="C401" s="9"/>
    </row>
    <row r="402" spans="1:3">
      <c r="A402" s="13"/>
      <c r="B402" s="8"/>
      <c r="C402" s="9"/>
    </row>
    <row r="403" spans="1:3">
      <c r="A403" s="13"/>
      <c r="B403" s="8"/>
      <c r="C403" s="9"/>
    </row>
    <row r="404" spans="1:3">
      <c r="A404" s="13"/>
      <c r="B404" s="8"/>
      <c r="C404" s="9"/>
    </row>
    <row r="405" spans="1:3">
      <c r="A405" s="13"/>
      <c r="B405" s="8"/>
      <c r="C405" s="9"/>
    </row>
    <row r="406" spans="1:3">
      <c r="A406" s="13"/>
      <c r="B406" s="8"/>
      <c r="C406" s="9"/>
    </row>
    <row r="407" spans="1:3">
      <c r="A407" s="13"/>
      <c r="B407" s="8"/>
      <c r="C407" s="9"/>
    </row>
    <row r="408" spans="1:3">
      <c r="A408" s="13"/>
      <c r="B408" s="8"/>
      <c r="C408" s="9"/>
    </row>
    <row r="409" spans="1:3">
      <c r="A409" s="13"/>
      <c r="B409" s="8"/>
      <c r="C409" s="9"/>
    </row>
    <row r="410" spans="1:3">
      <c r="A410" s="13"/>
      <c r="B410" s="8"/>
      <c r="C410" s="9"/>
    </row>
    <row r="411" spans="1:3">
      <c r="A411" s="13"/>
      <c r="B411" s="8"/>
      <c r="C411" s="9"/>
    </row>
    <row r="412" spans="1:3">
      <c r="A412" s="13"/>
      <c r="B412" s="8"/>
      <c r="C412" s="9"/>
    </row>
    <row r="413" spans="1:3">
      <c r="A413" s="13"/>
      <c r="B413" s="8"/>
      <c r="C413" s="9"/>
    </row>
    <row r="414" spans="1:3">
      <c r="A414" s="13"/>
      <c r="B414" s="8"/>
      <c r="C414" s="9"/>
    </row>
    <row r="415" spans="1:3">
      <c r="A415" s="13"/>
      <c r="B415" s="8"/>
      <c r="C415" s="9"/>
    </row>
    <row r="416" spans="1:3">
      <c r="A416" s="13"/>
      <c r="B416" s="8"/>
      <c r="C416" s="9"/>
    </row>
    <row r="417" spans="1:3">
      <c r="A417" s="13"/>
      <c r="B417" s="8"/>
      <c r="C417" s="9"/>
    </row>
    <row r="418" spans="1:3">
      <c r="A418" s="13"/>
      <c r="B418" s="8"/>
      <c r="C418" s="9"/>
    </row>
    <row r="419" spans="1:3">
      <c r="A419" s="13"/>
      <c r="B419" s="8"/>
      <c r="C419" s="9"/>
    </row>
    <row r="420" spans="1:3">
      <c r="A420" s="13"/>
      <c r="B420" s="8"/>
      <c r="C420" s="9"/>
    </row>
    <row r="421" spans="1:3">
      <c r="A421" s="13"/>
      <c r="B421" s="8"/>
      <c r="C421" s="9"/>
    </row>
    <row r="422" spans="1:3">
      <c r="A422" s="13"/>
      <c r="B422" s="8"/>
      <c r="C422" s="9"/>
    </row>
    <row r="423" spans="1:3">
      <c r="A423" s="13"/>
      <c r="B423" s="8"/>
      <c r="C423" s="9"/>
    </row>
    <row r="424" spans="1:3">
      <c r="A424" s="13"/>
      <c r="B424" s="8"/>
      <c r="C424" s="9"/>
    </row>
    <row r="425" spans="1:3">
      <c r="A425" s="13"/>
      <c r="B425" s="8"/>
      <c r="C425" s="9"/>
    </row>
    <row r="426" spans="1:3">
      <c r="A426" s="13"/>
      <c r="B426" s="8"/>
      <c r="C426" s="9"/>
    </row>
    <row r="427" spans="1:3">
      <c r="A427" s="13"/>
      <c r="B427" s="8"/>
      <c r="C427" s="9"/>
    </row>
    <row r="428" spans="1:3">
      <c r="A428" s="13"/>
      <c r="B428" s="8"/>
      <c r="C428" s="9"/>
    </row>
    <row r="429" spans="1:3">
      <c r="A429" s="13"/>
      <c r="B429" s="8"/>
      <c r="C429" s="9"/>
    </row>
    <row r="430" spans="1:3">
      <c r="A430" s="13"/>
      <c r="B430" s="8"/>
      <c r="C430" s="9"/>
    </row>
    <row r="431" spans="1:3">
      <c r="A431" s="13"/>
      <c r="B431" s="8"/>
      <c r="C431" s="9"/>
    </row>
    <row r="432" spans="1:3">
      <c r="A432" s="13"/>
      <c r="B432" s="8"/>
      <c r="C432" s="9"/>
    </row>
    <row r="433" spans="1:3">
      <c r="A433" s="13"/>
      <c r="B433" s="8"/>
      <c r="C433" s="9"/>
    </row>
    <row r="434" spans="1:3">
      <c r="A434" s="13"/>
      <c r="B434" s="8"/>
      <c r="C434" s="9"/>
    </row>
    <row r="435" spans="1:3">
      <c r="A435" s="13"/>
      <c r="B435" s="8"/>
      <c r="C435" s="9"/>
    </row>
    <row r="436" spans="1:3">
      <c r="A436" s="13"/>
      <c r="B436" s="8"/>
      <c r="C436" s="9"/>
    </row>
    <row r="437" spans="1:3">
      <c r="A437" s="13"/>
      <c r="B437" s="8"/>
      <c r="C437" s="9"/>
    </row>
    <row r="438" spans="1:3">
      <c r="A438" s="13"/>
      <c r="B438" s="8"/>
      <c r="C438" s="9"/>
    </row>
    <row r="439" spans="1:3">
      <c r="A439" s="13"/>
      <c r="B439" s="8"/>
      <c r="C439" s="9"/>
    </row>
    <row r="440" spans="1:3">
      <c r="A440" s="13"/>
      <c r="B440" s="8"/>
      <c r="C440" s="9"/>
    </row>
    <row r="441" spans="1:3">
      <c r="A441" s="13"/>
      <c r="B441" s="8"/>
      <c r="C441" s="9"/>
    </row>
    <row r="442" spans="1:3">
      <c r="A442" s="13"/>
      <c r="B442" s="8"/>
      <c r="C442" s="9"/>
    </row>
    <row r="443" spans="1:3">
      <c r="A443" s="13"/>
      <c r="B443" s="8"/>
      <c r="C443" s="9"/>
    </row>
    <row r="444" spans="1:3">
      <c r="A444" s="13"/>
      <c r="B444" s="8"/>
      <c r="C444" s="9"/>
    </row>
    <row r="445" spans="1:3">
      <c r="A445" s="13"/>
      <c r="B445" s="8"/>
      <c r="C445" s="9"/>
    </row>
    <row r="446" spans="1:3">
      <c r="A446" s="13"/>
      <c r="B446" s="8"/>
      <c r="C446" s="9"/>
    </row>
    <row r="447" spans="1:3">
      <c r="A447" s="13"/>
      <c r="B447" s="8"/>
      <c r="C447" s="9"/>
    </row>
    <row r="448" spans="1:3">
      <c r="B448" s="8"/>
    </row>
    <row r="449" spans="2:2">
      <c r="B449" s="8"/>
    </row>
    <row r="450" spans="2:2">
      <c r="B450" s="8"/>
    </row>
    <row r="451" spans="2:2">
      <c r="B451" s="8"/>
    </row>
    <row r="452" spans="2:2">
      <c r="B452" s="8"/>
    </row>
    <row r="453" spans="2:2">
      <c r="B453" s="8"/>
    </row>
    <row r="454" spans="2:2">
      <c r="B454" s="8"/>
    </row>
    <row r="455" spans="2:2">
      <c r="B455" s="8"/>
    </row>
    <row r="456" spans="2:2">
      <c r="B456" s="8"/>
    </row>
    <row r="457" spans="2:2">
      <c r="B457" s="8"/>
    </row>
    <row r="458" spans="2:2">
      <c r="B458" s="8"/>
    </row>
    <row r="459" spans="2:2">
      <c r="B459" s="8"/>
    </row>
    <row r="460" spans="2:2">
      <c r="B460" s="8"/>
    </row>
    <row r="461" spans="2:2">
      <c r="B461" s="8"/>
    </row>
    <row r="462" spans="2:2">
      <c r="B462" s="8"/>
    </row>
    <row r="463" spans="2:2">
      <c r="B463" s="8"/>
    </row>
    <row r="464" spans="2:2">
      <c r="B464" s="8"/>
    </row>
    <row r="465" spans="2:2">
      <c r="B465" s="8"/>
    </row>
    <row r="466" spans="2:2">
      <c r="B466" s="8"/>
    </row>
    <row r="467" spans="2:2">
      <c r="B467" s="8"/>
    </row>
    <row r="468" spans="2:2">
      <c r="B468" s="8"/>
    </row>
    <row r="469" spans="2:2">
      <c r="B469" s="8"/>
    </row>
    <row r="470" spans="2:2">
      <c r="B470" s="8"/>
    </row>
    <row r="471" spans="2:2">
      <c r="B471" s="8"/>
    </row>
    <row r="472" spans="2:2">
      <c r="B472" s="8"/>
    </row>
    <row r="473" spans="2:2">
      <c r="B473" s="8"/>
    </row>
    <row r="474" spans="2:2">
      <c r="B474" s="8"/>
    </row>
    <row r="475" spans="2:2">
      <c r="B475" s="8"/>
    </row>
    <row r="476" spans="2:2">
      <c r="B476" s="8"/>
    </row>
    <row r="477" spans="2:2">
      <c r="B477" s="8"/>
    </row>
    <row r="478" spans="2:2">
      <c r="B478" s="8"/>
    </row>
    <row r="479" spans="2:2">
      <c r="B479" s="8"/>
    </row>
    <row r="480" spans="2:2">
      <c r="B480" s="8"/>
    </row>
    <row r="481" spans="2:2">
      <c r="B481" s="8"/>
    </row>
    <row r="482" spans="2:2">
      <c r="B482" s="8"/>
    </row>
    <row r="483" spans="2:2">
      <c r="B483" s="8"/>
    </row>
    <row r="484" spans="2:2">
      <c r="B484" s="8"/>
    </row>
    <row r="485" spans="2:2">
      <c r="B485" s="8"/>
    </row>
    <row r="486" spans="2:2">
      <c r="B486" s="8"/>
    </row>
    <row r="487" spans="2:2">
      <c r="B487" s="8"/>
    </row>
    <row r="488" spans="2:2">
      <c r="B488" s="8"/>
    </row>
    <row r="489" spans="2:2">
      <c r="B489" s="8"/>
    </row>
    <row r="490" spans="2:2">
      <c r="B490" s="8"/>
    </row>
    <row r="491" spans="2:2">
      <c r="B491" s="8"/>
    </row>
    <row r="492" spans="2:2">
      <c r="B492" s="8"/>
    </row>
    <row r="493" spans="2:2">
      <c r="B493" s="8"/>
    </row>
    <row r="494" spans="2:2">
      <c r="B494" s="8"/>
    </row>
    <row r="495" spans="2:2">
      <c r="B495" s="8"/>
    </row>
    <row r="496" spans="2:2">
      <c r="B496" s="8"/>
    </row>
    <row r="497" spans="2:2">
      <c r="B497" s="8"/>
    </row>
    <row r="498" spans="2:2">
      <c r="B498" s="8"/>
    </row>
    <row r="499" spans="2:2">
      <c r="B499" s="8"/>
    </row>
    <row r="500" spans="2:2">
      <c r="B500" s="8"/>
    </row>
    <row r="501" spans="2:2">
      <c r="B501" s="8"/>
    </row>
    <row r="502" spans="2:2">
      <c r="B502" s="8"/>
    </row>
    <row r="503" spans="2:2">
      <c r="B503" s="8"/>
    </row>
    <row r="504" spans="2:2">
      <c r="B504" s="8"/>
    </row>
    <row r="505" spans="2:2">
      <c r="B505" s="8"/>
    </row>
    <row r="506" spans="2:2">
      <c r="B506" s="8"/>
    </row>
    <row r="507" spans="2:2">
      <c r="B507" s="8"/>
    </row>
    <row r="508" spans="2:2">
      <c r="B508" s="8"/>
    </row>
    <row r="509" spans="2:2">
      <c r="B509" s="8"/>
    </row>
    <row r="510" spans="2:2">
      <c r="B510" s="8"/>
    </row>
    <row r="511" spans="2:2">
      <c r="B511" s="8"/>
    </row>
    <row r="512" spans="2:2">
      <c r="B512" s="8"/>
    </row>
    <row r="513" spans="2:2">
      <c r="B513" s="8"/>
    </row>
    <row r="514" spans="2:2">
      <c r="B514" s="8"/>
    </row>
    <row r="515" spans="2:2">
      <c r="B515" s="8"/>
    </row>
    <row r="516" spans="2:2">
      <c r="B516" s="8"/>
    </row>
    <row r="517" spans="2:2">
      <c r="B517" s="8"/>
    </row>
    <row r="518" spans="2:2">
      <c r="B518" s="8"/>
    </row>
    <row r="519" spans="2:2">
      <c r="B519" s="8"/>
    </row>
    <row r="520" spans="2:2">
      <c r="B520" s="8"/>
    </row>
    <row r="521" spans="2:2">
      <c r="B521" s="8"/>
    </row>
    <row r="522" spans="2:2">
      <c r="B522" s="8"/>
    </row>
    <row r="523" spans="2:2">
      <c r="B523" s="8"/>
    </row>
    <row r="524" spans="2:2">
      <c r="B524" s="8"/>
    </row>
    <row r="525" spans="2:2">
      <c r="B525" s="8"/>
    </row>
    <row r="526" spans="2:2">
      <c r="B526" s="8"/>
    </row>
    <row r="527" spans="2:2">
      <c r="B527" s="8"/>
    </row>
    <row r="528" spans="2:2">
      <c r="B528" s="8"/>
    </row>
    <row r="529" spans="2:2">
      <c r="B529" s="8"/>
    </row>
    <row r="530" spans="2:2">
      <c r="B530" s="8"/>
    </row>
    <row r="531" spans="2:2">
      <c r="B531" s="8"/>
    </row>
    <row r="532" spans="2:2">
      <c r="B532" s="8"/>
    </row>
    <row r="533" spans="2:2">
      <c r="B533" s="8"/>
    </row>
    <row r="534" spans="2:2">
      <c r="B534" s="8"/>
    </row>
    <row r="535" spans="2:2">
      <c r="B535" s="8"/>
    </row>
    <row r="536" spans="2:2">
      <c r="B536" s="8"/>
    </row>
    <row r="537" spans="2:2">
      <c r="B537" s="8"/>
    </row>
    <row r="538" spans="2:2">
      <c r="B538" s="8"/>
    </row>
    <row r="539" spans="2:2">
      <c r="B539" s="8"/>
    </row>
    <row r="540" spans="2:2">
      <c r="B540" s="8"/>
    </row>
    <row r="541" spans="2:2">
      <c r="B541" s="8"/>
    </row>
    <row r="542" spans="2:2">
      <c r="B542" s="8"/>
    </row>
    <row r="543" spans="2:2">
      <c r="B543" s="8"/>
    </row>
    <row r="544" spans="2:2">
      <c r="B544" s="8"/>
    </row>
    <row r="545" spans="2:2">
      <c r="B545" s="8"/>
    </row>
    <row r="546" spans="2:2">
      <c r="B546" s="8"/>
    </row>
    <row r="547" spans="2:2">
      <c r="B547" s="8"/>
    </row>
    <row r="548" spans="2:2">
      <c r="B548" s="8"/>
    </row>
    <row r="549" spans="2:2">
      <c r="B549" s="8"/>
    </row>
    <row r="550" spans="2:2">
      <c r="B550" s="8"/>
    </row>
    <row r="551" spans="2:2">
      <c r="B551" s="8"/>
    </row>
    <row r="552" spans="2:2">
      <c r="B552" s="8"/>
    </row>
    <row r="553" spans="2:2">
      <c r="B553" s="8"/>
    </row>
    <row r="554" spans="2:2">
      <c r="B554" s="8"/>
    </row>
    <row r="555" spans="2:2">
      <c r="B555" s="8"/>
    </row>
    <row r="556" spans="2:2">
      <c r="B556" s="8"/>
    </row>
    <row r="557" spans="2:2">
      <c r="B557" s="8"/>
    </row>
    <row r="558" spans="2:2">
      <c r="B558" s="8"/>
    </row>
    <row r="559" spans="2:2">
      <c r="B559" s="8"/>
    </row>
    <row r="560" spans="2:2">
      <c r="B560" s="8"/>
    </row>
    <row r="561" spans="2:2">
      <c r="B561" s="8"/>
    </row>
    <row r="562" spans="2:2">
      <c r="B562" s="8"/>
    </row>
    <row r="563" spans="2:2">
      <c r="B563" s="8"/>
    </row>
    <row r="564" spans="2:2">
      <c r="B564" s="8"/>
    </row>
    <row r="565" spans="2:2">
      <c r="B565" s="8"/>
    </row>
    <row r="566" spans="2:2">
      <c r="B566" s="8"/>
    </row>
    <row r="567" spans="2:2">
      <c r="B567" s="8"/>
    </row>
    <row r="568" spans="2:2">
      <c r="B568" s="8"/>
    </row>
    <row r="569" spans="2:2">
      <c r="B569" s="8"/>
    </row>
    <row r="570" spans="2:2">
      <c r="B570" s="8"/>
    </row>
    <row r="571" spans="2:2">
      <c r="B571" s="8"/>
    </row>
    <row r="572" spans="2:2">
      <c r="B572" s="8"/>
    </row>
    <row r="573" spans="2:2">
      <c r="B573" s="8"/>
    </row>
    <row r="574" spans="2:2">
      <c r="B574" s="8"/>
    </row>
    <row r="575" spans="2:2">
      <c r="B575" s="8"/>
    </row>
    <row r="576" spans="2:2">
      <c r="B576" s="8"/>
    </row>
    <row r="577" spans="2:2">
      <c r="B577" s="8"/>
    </row>
    <row r="578" spans="2:2">
      <c r="B578" s="8"/>
    </row>
    <row r="579" spans="2:2">
      <c r="B579" s="8"/>
    </row>
    <row r="580" spans="2:2">
      <c r="B580" s="8"/>
    </row>
    <row r="581" spans="2:2">
      <c r="B581" s="8"/>
    </row>
    <row r="582" spans="2:2">
      <c r="B582" s="8"/>
    </row>
    <row r="583" spans="2:2">
      <c r="B583" s="8"/>
    </row>
    <row r="584" spans="2:2">
      <c r="B584" s="8"/>
    </row>
    <row r="585" spans="2:2">
      <c r="B585" s="8"/>
    </row>
    <row r="586" spans="2:2">
      <c r="B586" s="8"/>
    </row>
    <row r="587" spans="2:2">
      <c r="B587" s="8"/>
    </row>
    <row r="588" spans="2:2">
      <c r="B588" s="8"/>
    </row>
    <row r="589" spans="2:2">
      <c r="B589" s="8"/>
    </row>
    <row r="590" spans="2:2">
      <c r="B590" s="8"/>
    </row>
    <row r="591" spans="2:2">
      <c r="B591" s="8"/>
    </row>
    <row r="592" spans="2:2">
      <c r="B592" s="8"/>
    </row>
    <row r="593" spans="2:2">
      <c r="B593" s="8"/>
    </row>
    <row r="594" spans="2:2">
      <c r="B594" s="8"/>
    </row>
    <row r="595" spans="2:2">
      <c r="B595" s="8"/>
    </row>
    <row r="596" spans="2:2">
      <c r="B596" s="8"/>
    </row>
    <row r="597" spans="2:2">
      <c r="B597" s="8"/>
    </row>
    <row r="598" spans="2:2">
      <c r="B598" s="8"/>
    </row>
    <row r="599" spans="2:2">
      <c r="B599" s="8"/>
    </row>
    <row r="600" spans="2:2">
      <c r="B600" s="8"/>
    </row>
    <row r="601" spans="2:2">
      <c r="B601" s="8"/>
    </row>
    <row r="602" spans="2:2">
      <c r="B602" s="8"/>
    </row>
    <row r="603" spans="2:2">
      <c r="B603" s="8"/>
    </row>
    <row r="604" spans="2:2">
      <c r="B604" s="8"/>
    </row>
    <row r="605" spans="2:2">
      <c r="B605" s="8"/>
    </row>
    <row r="606" spans="2:2">
      <c r="B606" s="8"/>
    </row>
    <row r="607" spans="2:2">
      <c r="B607" s="8"/>
    </row>
    <row r="608" spans="2:2">
      <c r="B608" s="8"/>
    </row>
    <row r="609" spans="2:2">
      <c r="B609" s="8"/>
    </row>
    <row r="610" spans="2:2">
      <c r="B610" s="8"/>
    </row>
    <row r="611" spans="2:2">
      <c r="B611" s="8"/>
    </row>
    <row r="612" spans="2:2">
      <c r="B612" s="8"/>
    </row>
    <row r="613" spans="2:2">
      <c r="B613" s="8"/>
    </row>
    <row r="614" spans="2:2">
      <c r="B614" s="8"/>
    </row>
    <row r="615" spans="2:2">
      <c r="B615" s="8"/>
    </row>
    <row r="616" spans="2:2">
      <c r="B616" s="8"/>
    </row>
    <row r="617" spans="2:2">
      <c r="B617" s="8"/>
    </row>
    <row r="618" spans="2:2">
      <c r="B618" s="8"/>
    </row>
    <row r="619" spans="2:2">
      <c r="B619" s="8"/>
    </row>
    <row r="620" spans="2:2">
      <c r="B620" s="8"/>
    </row>
    <row r="621" spans="2:2">
      <c r="B621" s="8"/>
    </row>
    <row r="622" spans="2:2">
      <c r="B622" s="8"/>
    </row>
    <row r="623" spans="2:2">
      <c r="B623" s="8"/>
    </row>
    <row r="624" spans="2:2">
      <c r="B624" s="8"/>
    </row>
    <row r="625" spans="2:2">
      <c r="B625" s="8"/>
    </row>
    <row r="626" spans="2:2">
      <c r="B626" s="8"/>
    </row>
    <row r="627" spans="2:2">
      <c r="B627" s="8"/>
    </row>
    <row r="628" spans="2:2">
      <c r="B628" s="8"/>
    </row>
    <row r="629" spans="2:2">
      <c r="B629" s="8"/>
    </row>
    <row r="630" spans="2:2">
      <c r="B630" s="8"/>
    </row>
    <row r="631" spans="2:2">
      <c r="B631" s="8"/>
    </row>
    <row r="632" spans="2:2">
      <c r="B632" s="8"/>
    </row>
    <row r="633" spans="2:2">
      <c r="B633" s="8"/>
    </row>
    <row r="634" spans="2:2">
      <c r="B634" s="8"/>
    </row>
    <row r="635" spans="2:2">
      <c r="B635" s="8"/>
    </row>
    <row r="636" spans="2:2">
      <c r="B636" s="8"/>
    </row>
    <row r="637" spans="2:2">
      <c r="B637" s="8"/>
    </row>
    <row r="638" spans="2:2">
      <c r="B638" s="8"/>
    </row>
    <row r="639" spans="2:2">
      <c r="B639" s="8"/>
    </row>
    <row r="640" spans="2:2">
      <c r="B640" s="8"/>
    </row>
    <row r="641" spans="2:2">
      <c r="B641" s="8"/>
    </row>
    <row r="642" spans="2:2">
      <c r="B642" s="8"/>
    </row>
    <row r="643" spans="2:2">
      <c r="B643" s="8"/>
    </row>
    <row r="644" spans="2:2">
      <c r="B644" s="8"/>
    </row>
    <row r="645" spans="2:2">
      <c r="B645" s="8"/>
    </row>
    <row r="646" spans="2:2">
      <c r="B646" s="8"/>
    </row>
    <row r="647" spans="2:2">
      <c r="B647" s="8"/>
    </row>
    <row r="648" spans="2:2">
      <c r="B648" s="8"/>
    </row>
    <row r="649" spans="2:2">
      <c r="B649" s="8"/>
    </row>
    <row r="650" spans="2:2">
      <c r="B650" s="8"/>
    </row>
    <row r="651" spans="2:2">
      <c r="B651" s="8"/>
    </row>
    <row r="652" spans="2:2">
      <c r="B652" s="8"/>
    </row>
    <row r="653" spans="2:2">
      <c r="B653" s="8"/>
    </row>
    <row r="654" spans="2:2">
      <c r="B654" s="8"/>
    </row>
    <row r="655" spans="2:2">
      <c r="B655" s="8"/>
    </row>
    <row r="656" spans="2:2">
      <c r="B656" s="8"/>
    </row>
    <row r="657" spans="2:2">
      <c r="B657" s="8"/>
    </row>
    <row r="658" spans="2:2">
      <c r="B658" s="8"/>
    </row>
    <row r="659" spans="2:2">
      <c r="B659" s="8"/>
    </row>
    <row r="660" spans="2:2">
      <c r="B660" s="8"/>
    </row>
    <row r="661" spans="2:2">
      <c r="B661" s="8"/>
    </row>
    <row r="662" spans="2:2">
      <c r="B662" s="8"/>
    </row>
    <row r="663" spans="2:2">
      <c r="B663" s="8"/>
    </row>
    <row r="664" spans="2:2">
      <c r="B664" s="8"/>
    </row>
    <row r="665" spans="2:2">
      <c r="B665" s="8"/>
    </row>
    <row r="666" spans="2:2">
      <c r="B666" s="8"/>
    </row>
    <row r="667" spans="2:2">
      <c r="B667" s="8"/>
    </row>
    <row r="668" spans="2:2">
      <c r="B668" s="8"/>
    </row>
    <row r="669" spans="2:2">
      <c r="B669" s="8"/>
    </row>
    <row r="670" spans="2:2">
      <c r="B670" s="8"/>
    </row>
    <row r="671" spans="2:2">
      <c r="B671" s="8"/>
    </row>
    <row r="672" spans="2:2">
      <c r="B672" s="8"/>
    </row>
    <row r="673" spans="2:2">
      <c r="B673" s="8"/>
    </row>
    <row r="674" spans="2:2">
      <c r="B674" s="8"/>
    </row>
    <row r="675" spans="2:2">
      <c r="B675" s="8"/>
    </row>
    <row r="676" spans="2:2">
      <c r="B676" s="8"/>
    </row>
    <row r="677" spans="2:2">
      <c r="B677" s="8"/>
    </row>
    <row r="678" spans="2:2">
      <c r="B678" s="8"/>
    </row>
    <row r="679" spans="2:2">
      <c r="B679" s="8"/>
    </row>
    <row r="680" spans="2:2">
      <c r="B680" s="8"/>
    </row>
    <row r="681" spans="2:2">
      <c r="B681" s="8"/>
    </row>
    <row r="682" spans="2:2">
      <c r="B682" s="8"/>
    </row>
    <row r="683" spans="2:2">
      <c r="B683" s="8"/>
    </row>
    <row r="684" spans="2:2">
      <c r="B684" s="8"/>
    </row>
    <row r="685" spans="2:2">
      <c r="B685" s="8"/>
    </row>
    <row r="686" spans="2:2">
      <c r="B686" s="8"/>
    </row>
    <row r="687" spans="2:2">
      <c r="B687" s="8"/>
    </row>
    <row r="688" spans="2:2">
      <c r="B688" s="8"/>
    </row>
    <row r="689" spans="2:2">
      <c r="B689" s="8"/>
    </row>
    <row r="690" spans="2:2">
      <c r="B690" s="8"/>
    </row>
    <row r="691" spans="2:2">
      <c r="B691" s="8"/>
    </row>
    <row r="692" spans="2:2">
      <c r="B692" s="8"/>
    </row>
    <row r="693" spans="2:2">
      <c r="B693" s="8"/>
    </row>
    <row r="694" spans="2:2">
      <c r="B694" s="8"/>
    </row>
    <row r="695" spans="2:2">
      <c r="B695" s="8"/>
    </row>
    <row r="696" spans="2:2">
      <c r="B696" s="8"/>
    </row>
    <row r="697" spans="2:2">
      <c r="B697" s="8"/>
    </row>
    <row r="698" spans="2:2">
      <c r="B698" s="8"/>
    </row>
    <row r="699" spans="2:2">
      <c r="B699" s="8"/>
    </row>
    <row r="700" spans="2:2">
      <c r="B700" s="8"/>
    </row>
    <row r="701" spans="2:2">
      <c r="B701" s="8"/>
    </row>
    <row r="702" spans="2:2">
      <c r="B702" s="8"/>
    </row>
    <row r="703" spans="2:2">
      <c r="B703" s="8"/>
    </row>
    <row r="704" spans="2:2">
      <c r="B704" s="8"/>
    </row>
    <row r="705" spans="2:2">
      <c r="B705" s="8"/>
    </row>
    <row r="706" spans="2:2">
      <c r="B706" s="8"/>
    </row>
    <row r="707" spans="2:2">
      <c r="B707" s="8"/>
    </row>
    <row r="708" spans="2:2">
      <c r="B708" s="8"/>
    </row>
    <row r="709" spans="2:2">
      <c r="B709" s="8"/>
    </row>
    <row r="710" spans="2:2">
      <c r="B710" s="8"/>
    </row>
    <row r="711" spans="2:2">
      <c r="B711" s="8"/>
    </row>
    <row r="712" spans="2:2">
      <c r="B712" s="8"/>
    </row>
    <row r="713" spans="2:2">
      <c r="B713" s="8"/>
    </row>
    <row r="714" spans="2:2">
      <c r="B714" s="8"/>
    </row>
    <row r="715" spans="2:2">
      <c r="B715" s="8"/>
    </row>
    <row r="716" spans="2:2">
      <c r="B716" s="8"/>
    </row>
    <row r="717" spans="2:2">
      <c r="B717" s="8"/>
    </row>
    <row r="718" spans="2:2">
      <c r="B718" s="8"/>
    </row>
    <row r="719" spans="2:2">
      <c r="B719" s="8"/>
    </row>
    <row r="720" spans="2:2">
      <c r="B720" s="8"/>
    </row>
    <row r="721" spans="2:2">
      <c r="B721" s="8"/>
    </row>
    <row r="722" spans="2:2">
      <c r="B722" s="8"/>
    </row>
    <row r="723" spans="2:2">
      <c r="B723" s="8"/>
    </row>
    <row r="724" spans="2:2">
      <c r="B724" s="8"/>
    </row>
    <row r="725" spans="2:2">
      <c r="B725" s="8"/>
    </row>
    <row r="726" spans="2:2">
      <c r="B726" s="8"/>
    </row>
    <row r="727" spans="2:2">
      <c r="B727" s="8"/>
    </row>
    <row r="728" spans="2:2">
      <c r="B728" s="8"/>
    </row>
    <row r="729" spans="2:2">
      <c r="B729" s="8"/>
    </row>
    <row r="730" spans="2:2">
      <c r="B730" s="8"/>
    </row>
    <row r="731" spans="2:2">
      <c r="B731" s="8"/>
    </row>
    <row r="732" spans="2:2">
      <c r="B732" s="8"/>
    </row>
    <row r="733" spans="2:2">
      <c r="B733" s="8"/>
    </row>
    <row r="734" spans="2:2">
      <c r="B734" s="8"/>
    </row>
    <row r="735" spans="2:2">
      <c r="B735" s="8"/>
    </row>
    <row r="736" spans="2:2">
      <c r="B736" s="8"/>
    </row>
    <row r="737" spans="2:2">
      <c r="B737" s="8"/>
    </row>
    <row r="738" spans="2:2">
      <c r="B738" s="8"/>
    </row>
    <row r="739" spans="2:2">
      <c r="B739" s="8"/>
    </row>
    <row r="740" spans="2:2">
      <c r="B740" s="8"/>
    </row>
    <row r="741" spans="2:2">
      <c r="B741" s="8"/>
    </row>
    <row r="742" spans="2:2">
      <c r="B742" s="8"/>
    </row>
    <row r="743" spans="2:2">
      <c r="B743" s="8"/>
    </row>
    <row r="744" spans="2:2">
      <c r="B744" s="8"/>
    </row>
    <row r="745" spans="2:2">
      <c r="B745" s="8"/>
    </row>
    <row r="746" spans="2:2">
      <c r="B746" s="8"/>
    </row>
    <row r="747" spans="2:2">
      <c r="B747" s="8"/>
    </row>
    <row r="748" spans="2:2">
      <c r="B748" s="8"/>
    </row>
    <row r="749" spans="2:2">
      <c r="B749" s="8"/>
    </row>
    <row r="750" spans="2:2">
      <c r="B750" s="8"/>
    </row>
    <row r="751" spans="2:2">
      <c r="B751" s="8"/>
    </row>
    <row r="752" spans="2:2">
      <c r="B752" s="8"/>
    </row>
    <row r="753" spans="2:2">
      <c r="B753" s="8"/>
    </row>
    <row r="754" spans="2:2">
      <c r="B754" s="8"/>
    </row>
    <row r="755" spans="2:2">
      <c r="B755" s="8"/>
    </row>
    <row r="756" spans="2:2">
      <c r="B756" s="8"/>
    </row>
    <row r="757" spans="2:2">
      <c r="B757" s="8"/>
    </row>
    <row r="758" spans="2:2">
      <c r="B758" s="8"/>
    </row>
    <row r="759" spans="2:2">
      <c r="B759" s="8"/>
    </row>
    <row r="760" spans="2:2">
      <c r="B760" s="8"/>
    </row>
    <row r="761" spans="2:2">
      <c r="B761" s="8"/>
    </row>
    <row r="762" spans="2:2">
      <c r="B762" s="8"/>
    </row>
    <row r="763" spans="2:2">
      <c r="B763" s="8"/>
    </row>
    <row r="764" spans="2:2">
      <c r="B764" s="8"/>
    </row>
    <row r="765" spans="2:2">
      <c r="B765" s="8"/>
    </row>
    <row r="766" spans="2:2">
      <c r="B766" s="8"/>
    </row>
    <row r="767" spans="2:2">
      <c r="B767" s="8"/>
    </row>
    <row r="768" spans="2:2">
      <c r="B768" s="8"/>
    </row>
    <row r="769" spans="2:2">
      <c r="B769" s="8"/>
    </row>
    <row r="770" spans="2:2">
      <c r="B770" s="8"/>
    </row>
    <row r="771" spans="2:2">
      <c r="B771" s="8"/>
    </row>
    <row r="772" spans="2:2">
      <c r="B772" s="8"/>
    </row>
    <row r="773" spans="2:2">
      <c r="B773" s="8"/>
    </row>
    <row r="774" spans="2:2">
      <c r="B774" s="8"/>
    </row>
    <row r="775" spans="2:2">
      <c r="B775" s="8"/>
    </row>
    <row r="776" spans="2:2">
      <c r="B776" s="8"/>
    </row>
    <row r="777" spans="2:2">
      <c r="B777" s="8"/>
    </row>
    <row r="778" spans="2:2">
      <c r="B778" s="8"/>
    </row>
    <row r="779" spans="2:2">
      <c r="B779" s="8"/>
    </row>
    <row r="780" spans="2:2">
      <c r="B780" s="8"/>
    </row>
    <row r="781" spans="2:2">
      <c r="B781" s="8"/>
    </row>
    <row r="782" spans="2:2">
      <c r="B782" s="8"/>
    </row>
    <row r="783" spans="2:2">
      <c r="B783" s="8"/>
    </row>
    <row r="784" spans="2:2">
      <c r="B784" s="8"/>
    </row>
    <row r="785" spans="2:2">
      <c r="B785" s="8"/>
    </row>
    <row r="786" spans="2:2">
      <c r="B786" s="8"/>
    </row>
    <row r="787" spans="2:2">
      <c r="B787" s="8"/>
    </row>
    <row r="788" spans="2:2">
      <c r="B788" s="8"/>
    </row>
    <row r="789" spans="2:2">
      <c r="B789" s="8"/>
    </row>
    <row r="790" spans="2:2">
      <c r="B790" s="8"/>
    </row>
    <row r="791" spans="2:2">
      <c r="B791" s="8"/>
    </row>
    <row r="792" spans="2:2">
      <c r="B792" s="8"/>
    </row>
    <row r="793" spans="2:2">
      <c r="B793" s="8"/>
    </row>
    <row r="794" spans="2:2">
      <c r="B794" s="8"/>
    </row>
    <row r="795" spans="2:2">
      <c r="B795" s="8"/>
    </row>
    <row r="796" spans="2:2">
      <c r="B796" s="8"/>
    </row>
    <row r="797" spans="2:2">
      <c r="B797" s="8"/>
    </row>
    <row r="798" spans="2:2">
      <c r="B798" s="8"/>
    </row>
    <row r="799" spans="2:2">
      <c r="B799" s="8"/>
    </row>
    <row r="800" spans="2:2">
      <c r="B800" s="8"/>
    </row>
    <row r="801" spans="2:2">
      <c r="B801" s="8"/>
    </row>
    <row r="802" spans="2:2">
      <c r="B802" s="8"/>
    </row>
    <row r="803" spans="2:2">
      <c r="B803" s="8"/>
    </row>
    <row r="804" spans="2:2">
      <c r="B804" s="8"/>
    </row>
    <row r="805" spans="2:2">
      <c r="B805" s="8"/>
    </row>
    <row r="806" spans="2:2">
      <c r="B806" s="8"/>
    </row>
    <row r="807" spans="2:2">
      <c r="B807" s="8"/>
    </row>
    <row r="808" spans="2:2">
      <c r="B808" s="8"/>
    </row>
    <row r="809" spans="2:2">
      <c r="B809" s="8"/>
    </row>
    <row r="810" spans="2:2">
      <c r="B810" s="8"/>
    </row>
    <row r="811" spans="2:2">
      <c r="B811" s="8"/>
    </row>
    <row r="812" spans="2:2">
      <c r="B812" s="8"/>
    </row>
    <row r="813" spans="2:2">
      <c r="B813" s="8"/>
    </row>
    <row r="814" spans="2:2">
      <c r="B814" s="8"/>
    </row>
    <row r="815" spans="2:2">
      <c r="B815" s="8"/>
    </row>
    <row r="816" spans="2:2">
      <c r="B816" s="8"/>
    </row>
    <row r="817" spans="2:2">
      <c r="B817" s="8"/>
    </row>
    <row r="818" spans="2:2">
      <c r="B818" s="8"/>
    </row>
    <row r="819" spans="2:2">
      <c r="B819" s="8"/>
    </row>
    <row r="820" spans="2:2">
      <c r="B820" s="8"/>
    </row>
    <row r="821" spans="2:2">
      <c r="B821" s="8"/>
    </row>
    <row r="822" spans="2:2">
      <c r="B822" s="8"/>
    </row>
    <row r="823" spans="2:2">
      <c r="B823" s="8"/>
    </row>
    <row r="824" spans="2:2">
      <c r="B824" s="8"/>
    </row>
    <row r="825" spans="2:2">
      <c r="B825" s="8"/>
    </row>
    <row r="826" spans="2:2">
      <c r="B826" s="8"/>
    </row>
    <row r="827" spans="2:2">
      <c r="B827" s="8"/>
    </row>
    <row r="828" spans="2:2">
      <c r="B828" s="8"/>
    </row>
    <row r="829" spans="2:2">
      <c r="B829" s="8"/>
    </row>
    <row r="830" spans="2:2">
      <c r="B830" s="8"/>
    </row>
    <row r="831" spans="2:2">
      <c r="B831" s="8"/>
    </row>
    <row r="832" spans="2:2">
      <c r="B832" s="8"/>
    </row>
    <row r="833" spans="2:2">
      <c r="B833" s="8"/>
    </row>
    <row r="834" spans="2:2">
      <c r="B834" s="8"/>
    </row>
    <row r="835" spans="2:2">
      <c r="B835" s="8"/>
    </row>
    <row r="836" spans="2:2">
      <c r="B836" s="8"/>
    </row>
    <row r="837" spans="2:2">
      <c r="B837" s="8"/>
    </row>
    <row r="838" spans="2:2">
      <c r="B838" s="8"/>
    </row>
    <row r="839" spans="2:2">
      <c r="B839" s="8"/>
    </row>
    <row r="840" spans="2:2">
      <c r="B840" s="8"/>
    </row>
    <row r="841" spans="2:2">
      <c r="B841" s="8"/>
    </row>
    <row r="842" spans="2:2">
      <c r="B842" s="8"/>
    </row>
    <row r="843" spans="2:2">
      <c r="B843" s="8"/>
    </row>
    <row r="844" spans="2:2">
      <c r="B844" s="8"/>
    </row>
    <row r="845" spans="2:2">
      <c r="B845" s="8"/>
    </row>
    <row r="846" spans="2:2">
      <c r="B846" s="8"/>
    </row>
    <row r="847" spans="2:2">
      <c r="B847" s="8"/>
    </row>
    <row r="848" spans="2:2">
      <c r="B848" s="8"/>
    </row>
    <row r="849" spans="2:2">
      <c r="B849" s="8"/>
    </row>
    <row r="850" spans="2:2">
      <c r="B850" s="8"/>
    </row>
    <row r="851" spans="2:2">
      <c r="B851" s="8"/>
    </row>
    <row r="852" spans="2:2">
      <c r="B852" s="8"/>
    </row>
    <row r="853" spans="2:2">
      <c r="B853" s="8"/>
    </row>
    <row r="854" spans="2:2">
      <c r="B854" s="8"/>
    </row>
    <row r="855" spans="2:2">
      <c r="B855" s="8"/>
    </row>
    <row r="856" spans="2:2">
      <c r="B856" s="8"/>
    </row>
    <row r="857" spans="2:2">
      <c r="B857" s="8"/>
    </row>
    <row r="858" spans="2:2">
      <c r="B858" s="8"/>
    </row>
    <row r="859" spans="2:2">
      <c r="B859" s="8"/>
    </row>
    <row r="860" spans="2:2">
      <c r="B860" s="8"/>
    </row>
    <row r="861" spans="2:2">
      <c r="B861" s="8"/>
    </row>
    <row r="862" spans="2:2">
      <c r="B862" s="8"/>
    </row>
    <row r="863" spans="2:2">
      <c r="B863" s="8"/>
    </row>
    <row r="864" spans="2:2">
      <c r="B864" s="8"/>
    </row>
    <row r="865" spans="2:2">
      <c r="B865" s="8"/>
    </row>
    <row r="866" spans="2:2">
      <c r="B866" s="8"/>
    </row>
    <row r="867" spans="2:2">
      <c r="B867" s="8"/>
    </row>
    <row r="868" spans="2:2">
      <c r="B868" s="8"/>
    </row>
    <row r="869" spans="2:2">
      <c r="B869" s="8"/>
    </row>
    <row r="870" spans="2:2">
      <c r="B870" s="8"/>
    </row>
    <row r="871" spans="2:2">
      <c r="B871" s="8"/>
    </row>
    <row r="872" spans="2:2">
      <c r="B872" s="8"/>
    </row>
    <row r="873" spans="2:2">
      <c r="B873" s="8"/>
    </row>
    <row r="874" spans="2:2">
      <c r="B874" s="8"/>
    </row>
    <row r="875" spans="2:2">
      <c r="B875" s="8"/>
    </row>
    <row r="876" spans="2:2">
      <c r="B876" s="8"/>
    </row>
    <row r="877" spans="2:2">
      <c r="B877" s="8"/>
    </row>
    <row r="878" spans="2:2">
      <c r="B878" s="8"/>
    </row>
    <row r="879" spans="2:2">
      <c r="B879" s="8"/>
    </row>
    <row r="880" spans="2:2">
      <c r="B880" s="8"/>
    </row>
    <row r="881" spans="2:2">
      <c r="B881" s="8"/>
    </row>
    <row r="882" spans="2:2">
      <c r="B882" s="8"/>
    </row>
    <row r="883" spans="2:2">
      <c r="B883" s="8"/>
    </row>
    <row r="884" spans="2:2">
      <c r="B884" s="8"/>
    </row>
    <row r="885" spans="2:2">
      <c r="B885" s="8"/>
    </row>
    <row r="886" spans="2:2">
      <c r="B886" s="8"/>
    </row>
    <row r="887" spans="2:2">
      <c r="B887" s="8"/>
    </row>
    <row r="888" spans="2:2">
      <c r="B888" s="8"/>
    </row>
    <row r="889" spans="2:2">
      <c r="B889" s="8"/>
    </row>
    <row r="890" spans="2:2">
      <c r="B890" s="8"/>
    </row>
    <row r="891" spans="2:2">
      <c r="B891" s="8"/>
    </row>
    <row r="892" spans="2:2">
      <c r="B892" s="8"/>
    </row>
    <row r="893" spans="2:2">
      <c r="B893" s="8"/>
    </row>
    <row r="894" spans="2:2">
      <c r="B894" s="8"/>
    </row>
    <row r="895" spans="2:2">
      <c r="B895" s="8"/>
    </row>
    <row r="896" spans="2:2">
      <c r="B896" s="8"/>
    </row>
    <row r="897" spans="2:2">
      <c r="B897" s="8"/>
    </row>
    <row r="898" spans="2:2">
      <c r="B898" s="8"/>
    </row>
    <row r="899" spans="2:2">
      <c r="B899" s="8"/>
    </row>
    <row r="900" spans="2:2">
      <c r="B900" s="8"/>
    </row>
    <row r="901" spans="2:2">
      <c r="B901" s="8"/>
    </row>
    <row r="902" spans="2:2">
      <c r="B902" s="8"/>
    </row>
    <row r="903" spans="2:2">
      <c r="B903" s="8"/>
    </row>
    <row r="904" spans="2:2">
      <c r="B904" s="8"/>
    </row>
    <row r="905" spans="2:2">
      <c r="B905" s="8"/>
    </row>
    <row r="906" spans="2:2">
      <c r="B906" s="8"/>
    </row>
    <row r="907" spans="2:2">
      <c r="B907" s="8"/>
    </row>
    <row r="908" spans="2:2">
      <c r="B908" s="8"/>
    </row>
    <row r="909" spans="2:2">
      <c r="B909" s="8"/>
    </row>
    <row r="910" spans="2:2">
      <c r="B910" s="8"/>
    </row>
    <row r="911" spans="2:2">
      <c r="B911" s="8"/>
    </row>
    <row r="912" spans="2:2">
      <c r="B912" s="8"/>
    </row>
    <row r="913" spans="2:2">
      <c r="B913" s="8"/>
    </row>
    <row r="914" spans="2:2">
      <c r="B914" s="8"/>
    </row>
  </sheetData>
  <mergeCells count="3">
    <mergeCell ref="A3:J3"/>
    <mergeCell ref="A2:J2"/>
    <mergeCell ref="A1:J1"/>
  </mergeCells>
  <printOptions horizontalCentered="1"/>
  <pageMargins left="0.25" right="0.1" top="0.5" bottom="0.4" header="0.23622047244094499" footer="0.15748031496063"/>
  <pageSetup paperSize="9" scale="88" orientation="portrait" r:id="rId1"/>
  <headerFooter alignWithMargins="0">
    <oddHeader>&amp;CWOOD WORK DATA</oddHeader>
    <oddFooter>Page &amp;P of &amp;N</oddFooter>
  </headerFooter>
  <rowBreaks count="1" manualBreakCount="1">
    <brk id="122" max="16383" man="1"/>
  </rowBreak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IW303"/>
  <sheetViews>
    <sheetView zoomScale="107" zoomScaleNormal="107" workbookViewId="0">
      <pane ySplit="3" topLeftCell="A4" activePane="bottomLeft" state="frozen"/>
      <selection pane="bottomLeft" activeCell="S19" sqref="S19"/>
    </sheetView>
  </sheetViews>
  <sheetFormatPr defaultColWidth="7.88671875" defaultRowHeight="14.4"/>
  <cols>
    <col min="1" max="1" width="4.6640625" style="540" customWidth="1"/>
    <col min="2" max="2" width="8.5546875" style="555" customWidth="1"/>
    <col min="3" max="3" width="10.5546875" style="555" customWidth="1"/>
    <col min="4" max="4" width="4.6640625" style="540" customWidth="1"/>
    <col min="5" max="5" width="8.5546875" style="555" customWidth="1"/>
    <col min="6" max="6" width="10.5546875" style="536" customWidth="1"/>
    <col min="7" max="7" width="4.6640625" style="540" customWidth="1"/>
    <col min="8" max="8" width="8.5546875" style="555" customWidth="1"/>
    <col min="9" max="9" width="10.5546875" style="555" customWidth="1"/>
    <col min="10" max="10" width="4.6640625" style="540" customWidth="1"/>
    <col min="11" max="12" width="8.5546875" style="555" customWidth="1"/>
    <col min="13" max="256" width="7.88671875" style="536"/>
  </cols>
  <sheetData>
    <row r="1" spans="1:257" ht="24.7" customHeight="1">
      <c r="A1" s="2822" t="s">
        <v>3571</v>
      </c>
      <c r="B1" s="2823"/>
      <c r="C1" s="2823"/>
      <c r="D1" s="2823"/>
      <c r="E1" s="2823"/>
      <c r="F1" s="2823"/>
      <c r="G1" s="2823"/>
      <c r="H1" s="2823"/>
      <c r="I1" s="2823"/>
      <c r="J1" s="2823"/>
      <c r="K1" s="2823"/>
      <c r="L1" s="535"/>
    </row>
    <row r="2" spans="1:257" s="538" customFormat="1" ht="34.5" customHeight="1">
      <c r="A2" s="2824" t="s">
        <v>487</v>
      </c>
      <c r="B2" s="2824"/>
      <c r="C2" s="2153"/>
      <c r="D2" s="2824" t="s">
        <v>488</v>
      </c>
      <c r="E2" s="2824"/>
      <c r="F2" s="2153"/>
      <c r="G2" s="2824" t="s">
        <v>489</v>
      </c>
      <c r="H2" s="2824"/>
      <c r="I2" s="2153"/>
      <c r="J2" s="2824" t="s">
        <v>491</v>
      </c>
      <c r="K2" s="2824"/>
      <c r="L2" s="537"/>
    </row>
    <row r="3" spans="1:257">
      <c r="A3" s="2154" t="s">
        <v>490</v>
      </c>
      <c r="B3" s="2154" t="s">
        <v>1479</v>
      </c>
      <c r="C3" s="2155"/>
      <c r="D3" s="2154" t="s">
        <v>490</v>
      </c>
      <c r="E3" s="2154" t="s">
        <v>1479</v>
      </c>
      <c r="F3" s="2155"/>
      <c r="G3" s="2154" t="s">
        <v>490</v>
      </c>
      <c r="H3" s="2154" t="s">
        <v>1479</v>
      </c>
      <c r="I3" s="2155"/>
      <c r="J3" s="2154" t="s">
        <v>490</v>
      </c>
      <c r="K3" s="2154" t="s">
        <v>1479</v>
      </c>
      <c r="L3" s="540"/>
    </row>
    <row r="4" spans="1:257" ht="20.2" customHeight="1">
      <c r="A4" s="539">
        <v>1</v>
      </c>
      <c r="B4" s="541">
        <v>43.3</v>
      </c>
      <c r="C4" s="1008"/>
      <c r="D4" s="539">
        <v>1</v>
      </c>
      <c r="E4" s="542">
        <v>44.9</v>
      </c>
      <c r="F4" s="1008"/>
      <c r="G4" s="539">
        <v>1</v>
      </c>
      <c r="H4" s="542">
        <v>63.6</v>
      </c>
      <c r="I4" s="1008"/>
      <c r="J4" s="539">
        <v>1</v>
      </c>
      <c r="K4" s="543">
        <v>72.099999999999994</v>
      </c>
      <c r="L4" s="544"/>
      <c r="IW4" s="536"/>
    </row>
    <row r="5" spans="1:257" ht="20.2" customHeight="1">
      <c r="A5" s="539">
        <f>A4+1</f>
        <v>2</v>
      </c>
      <c r="B5" s="545">
        <v>60.3</v>
      </c>
      <c r="C5" s="1008"/>
      <c r="D5" s="539">
        <f t="shared" ref="D5:D68" si="0">D4+1</f>
        <v>2</v>
      </c>
      <c r="E5" s="546">
        <v>62.9</v>
      </c>
      <c r="F5" s="1008"/>
      <c r="G5" s="539">
        <f>G4+1</f>
        <v>2</v>
      </c>
      <c r="H5" s="546">
        <v>89.1</v>
      </c>
      <c r="I5" s="1008"/>
      <c r="J5" s="539">
        <f>J4+1</f>
        <v>2</v>
      </c>
      <c r="K5" s="546">
        <v>101</v>
      </c>
      <c r="L5" s="547"/>
    </row>
    <row r="6" spans="1:257" ht="20.2" customHeight="1">
      <c r="A6" s="539">
        <f>A5+1</f>
        <v>3</v>
      </c>
      <c r="B6" s="548">
        <v>83.8</v>
      </c>
      <c r="C6" s="1008"/>
      <c r="D6" s="539">
        <f t="shared" si="0"/>
        <v>3</v>
      </c>
      <c r="E6" s="549">
        <v>83.8</v>
      </c>
      <c r="F6" s="1008"/>
      <c r="G6" s="539">
        <f t="shared" ref="G6:G69" si="1">G5+1</f>
        <v>3</v>
      </c>
      <c r="H6" s="549">
        <v>123.2</v>
      </c>
      <c r="I6" s="1008"/>
      <c r="J6" s="539">
        <f t="shared" ref="J6:J69" si="2">J5+1</f>
        <v>3</v>
      </c>
      <c r="K6" s="549">
        <v>134.6</v>
      </c>
      <c r="L6" s="547"/>
    </row>
    <row r="7" spans="1:257" ht="20.2" customHeight="1">
      <c r="A7" s="539">
        <f>A6+1</f>
        <v>4</v>
      </c>
      <c r="B7" s="550">
        <v>101.7</v>
      </c>
      <c r="C7" s="1008"/>
      <c r="D7" s="539">
        <f t="shared" si="0"/>
        <v>4</v>
      </c>
      <c r="E7" s="551">
        <v>101.8</v>
      </c>
      <c r="F7" s="1008"/>
      <c r="G7" s="539">
        <f t="shared" si="1"/>
        <v>4</v>
      </c>
      <c r="H7" s="551">
        <v>149.6</v>
      </c>
      <c r="I7" s="1008"/>
      <c r="J7" s="539">
        <f t="shared" si="2"/>
        <v>4</v>
      </c>
      <c r="K7" s="551">
        <v>163.5</v>
      </c>
      <c r="L7" s="547"/>
    </row>
    <row r="8" spans="1:257" ht="20.2" customHeight="1">
      <c r="A8" s="539">
        <f>A7+1</f>
        <v>5</v>
      </c>
      <c r="B8" s="552">
        <v>119.7</v>
      </c>
      <c r="C8" s="1008"/>
      <c r="D8" s="539">
        <f t="shared" si="0"/>
        <v>5</v>
      </c>
      <c r="E8" s="553">
        <v>119.7</v>
      </c>
      <c r="F8" s="1008"/>
      <c r="G8" s="539">
        <f t="shared" si="1"/>
        <v>5</v>
      </c>
      <c r="H8" s="553">
        <v>176.1</v>
      </c>
      <c r="I8" s="1008"/>
      <c r="J8" s="539">
        <f t="shared" si="2"/>
        <v>5</v>
      </c>
      <c r="K8" s="553">
        <v>192.3</v>
      </c>
      <c r="L8" s="547"/>
    </row>
    <row r="9" spans="1:257" ht="20.2" customHeight="1">
      <c r="A9" s="539">
        <f>A8+1</f>
        <v>6</v>
      </c>
      <c r="B9" s="542">
        <f>B8+18</f>
        <v>137.69999999999999</v>
      </c>
      <c r="C9" s="1008"/>
      <c r="D9" s="539">
        <f t="shared" si="0"/>
        <v>6</v>
      </c>
      <c r="E9" s="542">
        <f>E8+18</f>
        <v>137.69999999999999</v>
      </c>
      <c r="F9" s="1008"/>
      <c r="G9" s="539">
        <f t="shared" si="1"/>
        <v>6</v>
      </c>
      <c r="H9" s="542">
        <f>H8+26.4</f>
        <v>202.5</v>
      </c>
      <c r="I9" s="1008"/>
      <c r="J9" s="539">
        <f t="shared" si="2"/>
        <v>6</v>
      </c>
      <c r="K9" s="554">
        <f>K8+28.8</f>
        <v>221.10000000000002</v>
      </c>
      <c r="L9" s="547"/>
    </row>
    <row r="10" spans="1:257" ht="20.2" customHeight="1">
      <c r="A10" s="539">
        <f t="shared" ref="A10:A33" si="3">A9+1</f>
        <v>7</v>
      </c>
      <c r="B10" s="542">
        <f>B9+18</f>
        <v>155.69999999999999</v>
      </c>
      <c r="C10" s="1008"/>
      <c r="D10" s="539">
        <f t="shared" si="0"/>
        <v>7</v>
      </c>
      <c r="E10" s="542">
        <f>E9+18</f>
        <v>155.69999999999999</v>
      </c>
      <c r="F10" s="1008"/>
      <c r="G10" s="539">
        <f t="shared" si="1"/>
        <v>7</v>
      </c>
      <c r="H10" s="542">
        <f t="shared" ref="H10:H33" si="4">H9+26.4</f>
        <v>228.9</v>
      </c>
      <c r="I10" s="1008"/>
      <c r="J10" s="539">
        <f t="shared" si="2"/>
        <v>7</v>
      </c>
      <c r="K10" s="554">
        <f t="shared" ref="K10:K33" si="5">K9+28.8</f>
        <v>249.90000000000003</v>
      </c>
      <c r="L10" s="547"/>
    </row>
    <row r="11" spans="1:257" ht="20.2" customHeight="1">
      <c r="A11" s="539">
        <f t="shared" si="3"/>
        <v>8</v>
      </c>
      <c r="B11" s="542">
        <f t="shared" ref="B11:B33" si="6">B10+18</f>
        <v>173.7</v>
      </c>
      <c r="C11" s="1008"/>
      <c r="D11" s="539">
        <f t="shared" si="0"/>
        <v>8</v>
      </c>
      <c r="E11" s="542">
        <f t="shared" ref="E11:E33" si="7">E10+18</f>
        <v>173.7</v>
      </c>
      <c r="F11" s="1008"/>
      <c r="G11" s="539">
        <f t="shared" si="1"/>
        <v>8</v>
      </c>
      <c r="H11" s="542">
        <f t="shared" si="4"/>
        <v>255.3</v>
      </c>
      <c r="I11" s="1008"/>
      <c r="J11" s="539">
        <f t="shared" si="2"/>
        <v>8</v>
      </c>
      <c r="K11" s="554">
        <f t="shared" si="5"/>
        <v>278.70000000000005</v>
      </c>
      <c r="L11" s="547"/>
    </row>
    <row r="12" spans="1:257" ht="20.2" customHeight="1">
      <c r="A12" s="539">
        <f t="shared" si="3"/>
        <v>9</v>
      </c>
      <c r="B12" s="542">
        <f t="shared" si="6"/>
        <v>191.7</v>
      </c>
      <c r="C12" s="1008"/>
      <c r="D12" s="539">
        <f t="shared" si="0"/>
        <v>9</v>
      </c>
      <c r="E12" s="542">
        <f t="shared" si="7"/>
        <v>191.7</v>
      </c>
      <c r="F12" s="1008"/>
      <c r="G12" s="539">
        <f t="shared" si="1"/>
        <v>9</v>
      </c>
      <c r="H12" s="542">
        <f t="shared" si="4"/>
        <v>281.7</v>
      </c>
      <c r="I12" s="1008"/>
      <c r="J12" s="539">
        <f t="shared" si="2"/>
        <v>9</v>
      </c>
      <c r="K12" s="554">
        <f t="shared" si="5"/>
        <v>307.50000000000006</v>
      </c>
      <c r="L12" s="547"/>
    </row>
    <row r="13" spans="1:257" ht="20.2" customHeight="1">
      <c r="A13" s="539">
        <f t="shared" si="3"/>
        <v>10</v>
      </c>
      <c r="B13" s="542">
        <f t="shared" si="6"/>
        <v>209.7</v>
      </c>
      <c r="C13" s="1008"/>
      <c r="D13" s="539">
        <f t="shared" si="0"/>
        <v>10</v>
      </c>
      <c r="E13" s="542">
        <f t="shared" si="7"/>
        <v>209.7</v>
      </c>
      <c r="F13" s="1008"/>
      <c r="G13" s="539">
        <f t="shared" si="1"/>
        <v>10</v>
      </c>
      <c r="H13" s="542">
        <f t="shared" si="4"/>
        <v>308.09999999999997</v>
      </c>
      <c r="I13" s="1008"/>
      <c r="J13" s="539">
        <f t="shared" si="2"/>
        <v>10</v>
      </c>
      <c r="K13" s="554">
        <f t="shared" si="5"/>
        <v>336.30000000000007</v>
      </c>
      <c r="L13" s="547"/>
    </row>
    <row r="14" spans="1:257" ht="20.2" customHeight="1">
      <c r="A14" s="539">
        <f t="shared" si="3"/>
        <v>11</v>
      </c>
      <c r="B14" s="542">
        <f t="shared" si="6"/>
        <v>227.7</v>
      </c>
      <c r="C14" s="1008"/>
      <c r="D14" s="539">
        <f t="shared" si="0"/>
        <v>11</v>
      </c>
      <c r="E14" s="542">
        <f t="shared" si="7"/>
        <v>227.7</v>
      </c>
      <c r="F14" s="1008"/>
      <c r="G14" s="539">
        <f t="shared" si="1"/>
        <v>11</v>
      </c>
      <c r="H14" s="542">
        <f t="shared" si="4"/>
        <v>334.49999999999994</v>
      </c>
      <c r="I14" s="1008"/>
      <c r="J14" s="539">
        <f t="shared" si="2"/>
        <v>11</v>
      </c>
      <c r="K14" s="554">
        <f t="shared" si="5"/>
        <v>365.10000000000008</v>
      </c>
      <c r="L14" s="547"/>
    </row>
    <row r="15" spans="1:257" ht="20.2" customHeight="1">
      <c r="A15" s="539">
        <f t="shared" si="3"/>
        <v>12</v>
      </c>
      <c r="B15" s="542">
        <f t="shared" si="6"/>
        <v>245.7</v>
      </c>
      <c r="C15" s="1008"/>
      <c r="D15" s="539">
        <f t="shared" si="0"/>
        <v>12</v>
      </c>
      <c r="E15" s="542">
        <f t="shared" si="7"/>
        <v>245.7</v>
      </c>
      <c r="F15" s="1008"/>
      <c r="G15" s="539">
        <f t="shared" si="1"/>
        <v>12</v>
      </c>
      <c r="H15" s="542">
        <f t="shared" si="4"/>
        <v>360.89999999999992</v>
      </c>
      <c r="I15" s="1008"/>
      <c r="J15" s="539">
        <f t="shared" si="2"/>
        <v>12</v>
      </c>
      <c r="K15" s="554">
        <f t="shared" si="5"/>
        <v>393.90000000000009</v>
      </c>
      <c r="L15" s="547"/>
    </row>
    <row r="16" spans="1:257" ht="20.2" customHeight="1">
      <c r="A16" s="539">
        <f t="shared" si="3"/>
        <v>13</v>
      </c>
      <c r="B16" s="542">
        <f t="shared" si="6"/>
        <v>263.7</v>
      </c>
      <c r="C16" s="1008"/>
      <c r="D16" s="539">
        <f t="shared" si="0"/>
        <v>13</v>
      </c>
      <c r="E16" s="542">
        <f t="shared" si="7"/>
        <v>263.7</v>
      </c>
      <c r="F16" s="1008"/>
      <c r="G16" s="539">
        <f t="shared" si="1"/>
        <v>13</v>
      </c>
      <c r="H16" s="542">
        <f t="shared" si="4"/>
        <v>387.2999999999999</v>
      </c>
      <c r="I16" s="1008"/>
      <c r="J16" s="539">
        <f t="shared" si="2"/>
        <v>13</v>
      </c>
      <c r="K16" s="554">
        <f t="shared" si="5"/>
        <v>422.7000000000001</v>
      </c>
      <c r="L16" s="547"/>
    </row>
    <row r="17" spans="1:12" ht="20.2" customHeight="1">
      <c r="A17" s="539">
        <f t="shared" si="3"/>
        <v>14</v>
      </c>
      <c r="B17" s="542">
        <f t="shared" si="6"/>
        <v>281.7</v>
      </c>
      <c r="C17" s="1008"/>
      <c r="D17" s="539">
        <f t="shared" si="0"/>
        <v>14</v>
      </c>
      <c r="E17" s="542">
        <f t="shared" si="7"/>
        <v>281.7</v>
      </c>
      <c r="F17" s="1008"/>
      <c r="G17" s="539">
        <f t="shared" si="1"/>
        <v>14</v>
      </c>
      <c r="H17" s="542">
        <f t="shared" si="4"/>
        <v>413.69999999999987</v>
      </c>
      <c r="I17" s="1008"/>
      <c r="J17" s="539">
        <f t="shared" si="2"/>
        <v>14</v>
      </c>
      <c r="K17" s="554">
        <f t="shared" si="5"/>
        <v>451.50000000000011</v>
      </c>
      <c r="L17" s="547"/>
    </row>
    <row r="18" spans="1:12" ht="20.2" customHeight="1">
      <c r="A18" s="539">
        <f t="shared" si="3"/>
        <v>15</v>
      </c>
      <c r="B18" s="542">
        <f t="shared" si="6"/>
        <v>299.7</v>
      </c>
      <c r="C18" s="1008"/>
      <c r="D18" s="539">
        <f t="shared" si="0"/>
        <v>15</v>
      </c>
      <c r="E18" s="542">
        <f t="shared" si="7"/>
        <v>299.7</v>
      </c>
      <c r="F18" s="1008"/>
      <c r="G18" s="539">
        <f t="shared" si="1"/>
        <v>15</v>
      </c>
      <c r="H18" s="542">
        <f t="shared" si="4"/>
        <v>440.09999999999985</v>
      </c>
      <c r="I18" s="1008"/>
      <c r="J18" s="539">
        <f t="shared" si="2"/>
        <v>15</v>
      </c>
      <c r="K18" s="554">
        <f t="shared" si="5"/>
        <v>480.30000000000013</v>
      </c>
      <c r="L18" s="547"/>
    </row>
    <row r="19" spans="1:12" ht="20.2" customHeight="1">
      <c r="A19" s="539">
        <f t="shared" si="3"/>
        <v>16</v>
      </c>
      <c r="B19" s="542">
        <f t="shared" si="6"/>
        <v>317.7</v>
      </c>
      <c r="C19" s="1008"/>
      <c r="D19" s="539">
        <f t="shared" si="0"/>
        <v>16</v>
      </c>
      <c r="E19" s="542">
        <f t="shared" si="7"/>
        <v>317.7</v>
      </c>
      <c r="F19" s="1008"/>
      <c r="G19" s="539">
        <f t="shared" si="1"/>
        <v>16</v>
      </c>
      <c r="H19" s="542">
        <f t="shared" si="4"/>
        <v>466.49999999999983</v>
      </c>
      <c r="I19" s="1008"/>
      <c r="J19" s="539">
        <f t="shared" si="2"/>
        <v>16</v>
      </c>
      <c r="K19" s="554">
        <f t="shared" si="5"/>
        <v>509.10000000000014</v>
      </c>
      <c r="L19" s="547"/>
    </row>
    <row r="20" spans="1:12" ht="20.2" customHeight="1">
      <c r="A20" s="539">
        <f t="shared" si="3"/>
        <v>17</v>
      </c>
      <c r="B20" s="542">
        <f t="shared" si="6"/>
        <v>335.7</v>
      </c>
      <c r="C20" s="1008"/>
      <c r="D20" s="539">
        <f t="shared" si="0"/>
        <v>17</v>
      </c>
      <c r="E20" s="542">
        <f t="shared" si="7"/>
        <v>335.7</v>
      </c>
      <c r="F20" s="1008"/>
      <c r="G20" s="539">
        <f t="shared" si="1"/>
        <v>17</v>
      </c>
      <c r="H20" s="542">
        <f t="shared" si="4"/>
        <v>492.89999999999981</v>
      </c>
      <c r="I20" s="1008"/>
      <c r="J20" s="539">
        <f t="shared" si="2"/>
        <v>17</v>
      </c>
      <c r="K20" s="554">
        <f t="shared" si="5"/>
        <v>537.90000000000009</v>
      </c>
      <c r="L20" s="547"/>
    </row>
    <row r="21" spans="1:12" ht="20.2" customHeight="1">
      <c r="A21" s="539">
        <f t="shared" si="3"/>
        <v>18</v>
      </c>
      <c r="B21" s="542">
        <f t="shared" si="6"/>
        <v>353.7</v>
      </c>
      <c r="C21" s="1008"/>
      <c r="D21" s="539">
        <f t="shared" si="0"/>
        <v>18</v>
      </c>
      <c r="E21" s="542">
        <f t="shared" si="7"/>
        <v>353.7</v>
      </c>
      <c r="F21" s="1008"/>
      <c r="G21" s="539">
        <f t="shared" si="1"/>
        <v>18</v>
      </c>
      <c r="H21" s="542">
        <f t="shared" si="4"/>
        <v>519.29999999999984</v>
      </c>
      <c r="I21" s="1008"/>
      <c r="J21" s="539">
        <f t="shared" si="2"/>
        <v>18</v>
      </c>
      <c r="K21" s="554">
        <f t="shared" si="5"/>
        <v>566.70000000000005</v>
      </c>
      <c r="L21" s="547"/>
    </row>
    <row r="22" spans="1:12" ht="20.2" customHeight="1">
      <c r="A22" s="539">
        <f t="shared" si="3"/>
        <v>19</v>
      </c>
      <c r="B22" s="542">
        <f t="shared" si="6"/>
        <v>371.7</v>
      </c>
      <c r="C22" s="1008"/>
      <c r="D22" s="539">
        <f t="shared" si="0"/>
        <v>19</v>
      </c>
      <c r="E22" s="542">
        <f t="shared" si="7"/>
        <v>371.7</v>
      </c>
      <c r="F22" s="1008"/>
      <c r="G22" s="539">
        <f t="shared" si="1"/>
        <v>19</v>
      </c>
      <c r="H22" s="542">
        <f t="shared" si="4"/>
        <v>545.69999999999982</v>
      </c>
      <c r="I22" s="1008"/>
      <c r="J22" s="539">
        <f t="shared" si="2"/>
        <v>19</v>
      </c>
      <c r="K22" s="554">
        <f t="shared" si="5"/>
        <v>595.5</v>
      </c>
      <c r="L22" s="547"/>
    </row>
    <row r="23" spans="1:12" ht="20.2" customHeight="1">
      <c r="A23" s="539">
        <f t="shared" si="3"/>
        <v>20</v>
      </c>
      <c r="B23" s="542">
        <f t="shared" si="6"/>
        <v>389.7</v>
      </c>
      <c r="C23" s="1008"/>
      <c r="D23" s="539">
        <f t="shared" si="0"/>
        <v>20</v>
      </c>
      <c r="E23" s="542">
        <f t="shared" si="7"/>
        <v>389.7</v>
      </c>
      <c r="F23" s="1008"/>
      <c r="G23" s="539">
        <f t="shared" si="1"/>
        <v>20</v>
      </c>
      <c r="H23" s="542">
        <f t="shared" si="4"/>
        <v>572.0999999999998</v>
      </c>
      <c r="I23" s="1008"/>
      <c r="J23" s="539">
        <f t="shared" si="2"/>
        <v>20</v>
      </c>
      <c r="K23" s="554">
        <f t="shared" si="5"/>
        <v>624.29999999999995</v>
      </c>
      <c r="L23" s="547"/>
    </row>
    <row r="24" spans="1:12" ht="20.2" customHeight="1">
      <c r="A24" s="539">
        <f t="shared" si="3"/>
        <v>21</v>
      </c>
      <c r="B24" s="542">
        <f t="shared" si="6"/>
        <v>407.7</v>
      </c>
      <c r="C24" s="1008"/>
      <c r="D24" s="539">
        <f t="shared" si="0"/>
        <v>21</v>
      </c>
      <c r="E24" s="542">
        <f t="shared" si="7"/>
        <v>407.7</v>
      </c>
      <c r="F24" s="1008"/>
      <c r="G24" s="539">
        <f t="shared" si="1"/>
        <v>21</v>
      </c>
      <c r="H24" s="542">
        <f t="shared" si="4"/>
        <v>598.49999999999977</v>
      </c>
      <c r="I24" s="1008"/>
      <c r="J24" s="539">
        <f t="shared" si="2"/>
        <v>21</v>
      </c>
      <c r="K24" s="554">
        <f t="shared" si="5"/>
        <v>653.09999999999991</v>
      </c>
      <c r="L24" s="547"/>
    </row>
    <row r="25" spans="1:12" ht="20.2" customHeight="1">
      <c r="A25" s="539">
        <f t="shared" si="3"/>
        <v>22</v>
      </c>
      <c r="B25" s="542">
        <f t="shared" si="6"/>
        <v>425.7</v>
      </c>
      <c r="C25" s="1008"/>
      <c r="D25" s="539">
        <f t="shared" si="0"/>
        <v>22</v>
      </c>
      <c r="E25" s="542">
        <f t="shared" si="7"/>
        <v>425.7</v>
      </c>
      <c r="F25" s="1008"/>
      <c r="G25" s="539">
        <f t="shared" si="1"/>
        <v>22</v>
      </c>
      <c r="H25" s="542">
        <f t="shared" si="4"/>
        <v>624.89999999999975</v>
      </c>
      <c r="I25" s="1008"/>
      <c r="J25" s="539">
        <f t="shared" si="2"/>
        <v>22</v>
      </c>
      <c r="K25" s="554">
        <f t="shared" si="5"/>
        <v>681.89999999999986</v>
      </c>
      <c r="L25" s="547"/>
    </row>
    <row r="26" spans="1:12" ht="20.2" customHeight="1">
      <c r="A26" s="539">
        <f t="shared" si="3"/>
        <v>23</v>
      </c>
      <c r="B26" s="542">
        <f t="shared" si="6"/>
        <v>443.7</v>
      </c>
      <c r="C26" s="1008"/>
      <c r="D26" s="539">
        <f t="shared" si="0"/>
        <v>23</v>
      </c>
      <c r="E26" s="542">
        <f t="shared" si="7"/>
        <v>443.7</v>
      </c>
      <c r="F26" s="1008"/>
      <c r="G26" s="539">
        <f t="shared" si="1"/>
        <v>23</v>
      </c>
      <c r="H26" s="542">
        <f t="shared" si="4"/>
        <v>651.29999999999973</v>
      </c>
      <c r="I26" s="1008"/>
      <c r="J26" s="539">
        <f t="shared" si="2"/>
        <v>23</v>
      </c>
      <c r="K26" s="554">
        <f t="shared" si="5"/>
        <v>710.69999999999982</v>
      </c>
      <c r="L26" s="547"/>
    </row>
    <row r="27" spans="1:12" ht="20.2" customHeight="1">
      <c r="A27" s="539">
        <f t="shared" si="3"/>
        <v>24</v>
      </c>
      <c r="B27" s="542">
        <f t="shared" si="6"/>
        <v>461.7</v>
      </c>
      <c r="C27" s="1008"/>
      <c r="D27" s="539">
        <f t="shared" si="0"/>
        <v>24</v>
      </c>
      <c r="E27" s="542">
        <f t="shared" si="7"/>
        <v>461.7</v>
      </c>
      <c r="F27" s="1008"/>
      <c r="G27" s="539">
        <f t="shared" si="1"/>
        <v>24</v>
      </c>
      <c r="H27" s="542">
        <f t="shared" si="4"/>
        <v>677.6999999999997</v>
      </c>
      <c r="I27" s="1008"/>
      <c r="J27" s="539">
        <f t="shared" si="2"/>
        <v>24</v>
      </c>
      <c r="K27" s="554">
        <f t="shared" si="5"/>
        <v>739.49999999999977</v>
      </c>
      <c r="L27" s="547"/>
    </row>
    <row r="28" spans="1:12" ht="20.2" customHeight="1">
      <c r="A28" s="539">
        <f t="shared" si="3"/>
        <v>25</v>
      </c>
      <c r="B28" s="542">
        <f t="shared" si="6"/>
        <v>479.7</v>
      </c>
      <c r="C28" s="1008"/>
      <c r="D28" s="539">
        <f t="shared" si="0"/>
        <v>25</v>
      </c>
      <c r="E28" s="542">
        <f t="shared" si="7"/>
        <v>479.7</v>
      </c>
      <c r="F28" s="1008"/>
      <c r="G28" s="539">
        <f t="shared" si="1"/>
        <v>25</v>
      </c>
      <c r="H28" s="542">
        <f t="shared" si="4"/>
        <v>704.09999999999968</v>
      </c>
      <c r="I28" s="1008"/>
      <c r="J28" s="539">
        <f t="shared" si="2"/>
        <v>25</v>
      </c>
      <c r="K28" s="554">
        <f t="shared" si="5"/>
        <v>768.29999999999973</v>
      </c>
      <c r="L28" s="547"/>
    </row>
    <row r="29" spans="1:12" ht="20.2" customHeight="1">
      <c r="A29" s="539">
        <f t="shared" si="3"/>
        <v>26</v>
      </c>
      <c r="B29" s="542">
        <f t="shared" si="6"/>
        <v>497.7</v>
      </c>
      <c r="C29" s="1008"/>
      <c r="D29" s="539">
        <f t="shared" si="0"/>
        <v>26</v>
      </c>
      <c r="E29" s="542">
        <f t="shared" si="7"/>
        <v>497.7</v>
      </c>
      <c r="F29" s="1008"/>
      <c r="G29" s="539">
        <f t="shared" si="1"/>
        <v>26</v>
      </c>
      <c r="H29" s="542">
        <f t="shared" si="4"/>
        <v>730.49999999999966</v>
      </c>
      <c r="I29" s="1008"/>
      <c r="J29" s="539">
        <f t="shared" si="2"/>
        <v>26</v>
      </c>
      <c r="K29" s="554">
        <f t="shared" si="5"/>
        <v>797.09999999999968</v>
      </c>
      <c r="L29" s="547"/>
    </row>
    <row r="30" spans="1:12" ht="20.2" customHeight="1">
      <c r="A30" s="539">
        <f t="shared" si="3"/>
        <v>27</v>
      </c>
      <c r="B30" s="542">
        <f t="shared" si="6"/>
        <v>515.70000000000005</v>
      </c>
      <c r="C30" s="1008"/>
      <c r="D30" s="539">
        <f t="shared" si="0"/>
        <v>27</v>
      </c>
      <c r="E30" s="542">
        <f t="shared" si="7"/>
        <v>515.70000000000005</v>
      </c>
      <c r="F30" s="1008"/>
      <c r="G30" s="539">
        <f t="shared" si="1"/>
        <v>27</v>
      </c>
      <c r="H30" s="542">
        <f t="shared" si="4"/>
        <v>756.89999999999964</v>
      </c>
      <c r="I30" s="1008"/>
      <c r="J30" s="539">
        <f t="shared" si="2"/>
        <v>27</v>
      </c>
      <c r="K30" s="554">
        <f t="shared" si="5"/>
        <v>825.89999999999964</v>
      </c>
      <c r="L30" s="547"/>
    </row>
    <row r="31" spans="1:12" ht="20.2" customHeight="1">
      <c r="A31" s="539">
        <f t="shared" si="3"/>
        <v>28</v>
      </c>
      <c r="B31" s="542">
        <f t="shared" si="6"/>
        <v>533.70000000000005</v>
      </c>
      <c r="C31" s="1008"/>
      <c r="D31" s="539">
        <f t="shared" si="0"/>
        <v>28</v>
      </c>
      <c r="E31" s="542">
        <f t="shared" si="7"/>
        <v>533.70000000000005</v>
      </c>
      <c r="F31" s="1008"/>
      <c r="G31" s="539">
        <f t="shared" si="1"/>
        <v>28</v>
      </c>
      <c r="H31" s="542">
        <f t="shared" si="4"/>
        <v>783.29999999999961</v>
      </c>
      <c r="I31" s="1008"/>
      <c r="J31" s="539">
        <f t="shared" si="2"/>
        <v>28</v>
      </c>
      <c r="K31" s="554">
        <f t="shared" si="5"/>
        <v>854.69999999999959</v>
      </c>
      <c r="L31" s="547"/>
    </row>
    <row r="32" spans="1:12" ht="20.2" customHeight="1">
      <c r="A32" s="539">
        <f t="shared" si="3"/>
        <v>29</v>
      </c>
      <c r="B32" s="542">
        <f t="shared" si="6"/>
        <v>551.70000000000005</v>
      </c>
      <c r="C32" s="1008"/>
      <c r="D32" s="539">
        <f t="shared" si="0"/>
        <v>29</v>
      </c>
      <c r="E32" s="542">
        <f t="shared" si="7"/>
        <v>551.70000000000005</v>
      </c>
      <c r="F32" s="1008"/>
      <c r="G32" s="539">
        <f t="shared" si="1"/>
        <v>29</v>
      </c>
      <c r="H32" s="542">
        <f t="shared" si="4"/>
        <v>809.69999999999959</v>
      </c>
      <c r="I32" s="1008"/>
      <c r="J32" s="539">
        <f t="shared" si="2"/>
        <v>29</v>
      </c>
      <c r="K32" s="554">
        <f t="shared" si="5"/>
        <v>883.49999999999955</v>
      </c>
      <c r="L32" s="547"/>
    </row>
    <row r="33" spans="1:12" ht="20.2" customHeight="1">
      <c r="A33" s="539">
        <f t="shared" si="3"/>
        <v>30</v>
      </c>
      <c r="B33" s="542">
        <f t="shared" si="6"/>
        <v>569.70000000000005</v>
      </c>
      <c r="C33" s="1008"/>
      <c r="D33" s="539">
        <f t="shared" si="0"/>
        <v>30</v>
      </c>
      <c r="E33" s="542">
        <f t="shared" si="7"/>
        <v>569.70000000000005</v>
      </c>
      <c r="F33" s="1008"/>
      <c r="G33" s="539">
        <f t="shared" si="1"/>
        <v>30</v>
      </c>
      <c r="H33" s="542">
        <f t="shared" si="4"/>
        <v>836.09999999999957</v>
      </c>
      <c r="I33" s="1008"/>
      <c r="J33" s="539">
        <f t="shared" si="2"/>
        <v>30</v>
      </c>
      <c r="K33" s="554">
        <f t="shared" si="5"/>
        <v>912.2999999999995</v>
      </c>
      <c r="L33" s="547"/>
    </row>
    <row r="34" spans="1:12" ht="20.2" customHeight="1">
      <c r="A34" s="539">
        <f>A33+1</f>
        <v>31</v>
      </c>
      <c r="B34" s="549">
        <f>B33+15</f>
        <v>584.70000000000005</v>
      </c>
      <c r="C34" s="1008"/>
      <c r="D34" s="539">
        <f t="shared" si="0"/>
        <v>31</v>
      </c>
      <c r="E34" s="549">
        <f>E33+15</f>
        <v>584.70000000000005</v>
      </c>
      <c r="F34" s="1008"/>
      <c r="G34" s="539">
        <f t="shared" si="1"/>
        <v>31</v>
      </c>
      <c r="H34" s="549">
        <f>H33+22</f>
        <v>858.09999999999957</v>
      </c>
      <c r="I34" s="1008"/>
      <c r="J34" s="539">
        <f t="shared" si="2"/>
        <v>31</v>
      </c>
      <c r="K34" s="549">
        <f>K33+24</f>
        <v>936.2999999999995</v>
      </c>
      <c r="L34" s="547"/>
    </row>
    <row r="35" spans="1:12" ht="20.2" customHeight="1">
      <c r="A35" s="539">
        <f t="shared" ref="A35:A98" si="8">A34+1</f>
        <v>32</v>
      </c>
      <c r="B35" s="549">
        <f t="shared" ref="B35:B98" si="9">B34+15</f>
        <v>599.70000000000005</v>
      </c>
      <c r="C35" s="1008"/>
      <c r="D35" s="539">
        <f t="shared" si="0"/>
        <v>32</v>
      </c>
      <c r="E35" s="549">
        <f>E34+15</f>
        <v>599.70000000000005</v>
      </c>
      <c r="F35" s="1008"/>
      <c r="G35" s="539">
        <f t="shared" si="1"/>
        <v>32</v>
      </c>
      <c r="H35" s="549">
        <f t="shared" ref="H35:H98" si="10">H34+22</f>
        <v>880.09999999999957</v>
      </c>
      <c r="I35" s="1008"/>
      <c r="J35" s="539">
        <f t="shared" si="2"/>
        <v>32</v>
      </c>
      <c r="K35" s="549">
        <f t="shared" ref="K35:K98" si="11">K34+24</f>
        <v>960.2999999999995</v>
      </c>
      <c r="L35" s="547"/>
    </row>
    <row r="36" spans="1:12" ht="20.2" customHeight="1">
      <c r="A36" s="539">
        <f t="shared" si="8"/>
        <v>33</v>
      </c>
      <c r="B36" s="549">
        <f t="shared" si="9"/>
        <v>614.70000000000005</v>
      </c>
      <c r="C36" s="1008"/>
      <c r="D36" s="539">
        <f t="shared" si="0"/>
        <v>33</v>
      </c>
      <c r="E36" s="549">
        <f>E35+15</f>
        <v>614.70000000000005</v>
      </c>
      <c r="F36" s="1008"/>
      <c r="G36" s="539">
        <f t="shared" si="1"/>
        <v>33</v>
      </c>
      <c r="H36" s="549">
        <f t="shared" si="10"/>
        <v>902.09999999999957</v>
      </c>
      <c r="I36" s="1008"/>
      <c r="J36" s="539">
        <f t="shared" si="2"/>
        <v>33</v>
      </c>
      <c r="K36" s="549">
        <f t="shared" si="11"/>
        <v>984.2999999999995</v>
      </c>
      <c r="L36" s="547"/>
    </row>
    <row r="37" spans="1:12" ht="20.2" customHeight="1">
      <c r="A37" s="539">
        <f t="shared" si="8"/>
        <v>34</v>
      </c>
      <c r="B37" s="549">
        <f t="shared" si="9"/>
        <v>629.70000000000005</v>
      </c>
      <c r="C37" s="1008"/>
      <c r="D37" s="539">
        <f t="shared" si="0"/>
        <v>34</v>
      </c>
      <c r="E37" s="549">
        <f>E36+15</f>
        <v>629.70000000000005</v>
      </c>
      <c r="F37" s="1008"/>
      <c r="G37" s="539">
        <f t="shared" si="1"/>
        <v>34</v>
      </c>
      <c r="H37" s="549">
        <f t="shared" si="10"/>
        <v>924.09999999999957</v>
      </c>
      <c r="I37" s="1008"/>
      <c r="J37" s="539">
        <f t="shared" si="2"/>
        <v>34</v>
      </c>
      <c r="K37" s="549">
        <f t="shared" si="11"/>
        <v>1008.2999999999995</v>
      </c>
      <c r="L37" s="547"/>
    </row>
    <row r="38" spans="1:12" ht="20.2" customHeight="1">
      <c r="A38" s="539">
        <f t="shared" si="8"/>
        <v>35</v>
      </c>
      <c r="B38" s="549">
        <f t="shared" si="9"/>
        <v>644.70000000000005</v>
      </c>
      <c r="C38" s="1008"/>
      <c r="D38" s="539">
        <f t="shared" si="0"/>
        <v>35</v>
      </c>
      <c r="E38" s="549">
        <f t="shared" ref="E38:E101" si="12">E37+15</f>
        <v>644.70000000000005</v>
      </c>
      <c r="F38" s="1008"/>
      <c r="G38" s="539">
        <f t="shared" si="1"/>
        <v>35</v>
      </c>
      <c r="H38" s="549">
        <f t="shared" si="10"/>
        <v>946.09999999999957</v>
      </c>
      <c r="I38" s="1008"/>
      <c r="J38" s="539">
        <f t="shared" si="2"/>
        <v>35</v>
      </c>
      <c r="K38" s="549">
        <f t="shared" si="11"/>
        <v>1032.2999999999995</v>
      </c>
      <c r="L38" s="547"/>
    </row>
    <row r="39" spans="1:12" ht="20.2" customHeight="1">
      <c r="A39" s="539">
        <f t="shared" si="8"/>
        <v>36</v>
      </c>
      <c r="B39" s="549">
        <f t="shared" si="9"/>
        <v>659.7</v>
      </c>
      <c r="C39" s="1008"/>
      <c r="D39" s="539">
        <f t="shared" si="0"/>
        <v>36</v>
      </c>
      <c r="E39" s="549">
        <f t="shared" si="12"/>
        <v>659.7</v>
      </c>
      <c r="F39" s="1008"/>
      <c r="G39" s="539">
        <f t="shared" si="1"/>
        <v>36</v>
      </c>
      <c r="H39" s="549">
        <f t="shared" si="10"/>
        <v>968.09999999999957</v>
      </c>
      <c r="I39" s="1008"/>
      <c r="J39" s="539">
        <f t="shared" si="2"/>
        <v>36</v>
      </c>
      <c r="K39" s="549">
        <f t="shared" si="11"/>
        <v>1056.2999999999995</v>
      </c>
      <c r="L39" s="547"/>
    </row>
    <row r="40" spans="1:12" ht="20.2" customHeight="1">
      <c r="A40" s="539">
        <f t="shared" si="8"/>
        <v>37</v>
      </c>
      <c r="B40" s="549">
        <f t="shared" si="9"/>
        <v>674.7</v>
      </c>
      <c r="C40" s="1008"/>
      <c r="D40" s="539">
        <f t="shared" si="0"/>
        <v>37</v>
      </c>
      <c r="E40" s="549">
        <f t="shared" si="12"/>
        <v>674.7</v>
      </c>
      <c r="F40" s="1008"/>
      <c r="G40" s="539">
        <f t="shared" si="1"/>
        <v>37</v>
      </c>
      <c r="H40" s="549">
        <f t="shared" si="10"/>
        <v>990.09999999999957</v>
      </c>
      <c r="I40" s="1008"/>
      <c r="J40" s="539">
        <f t="shared" si="2"/>
        <v>37</v>
      </c>
      <c r="K40" s="549">
        <f t="shared" si="11"/>
        <v>1080.2999999999995</v>
      </c>
      <c r="L40" s="547"/>
    </row>
    <row r="41" spans="1:12" ht="20.2" customHeight="1">
      <c r="A41" s="539">
        <f t="shared" si="8"/>
        <v>38</v>
      </c>
      <c r="B41" s="549">
        <f t="shared" si="9"/>
        <v>689.7</v>
      </c>
      <c r="C41" s="1008"/>
      <c r="D41" s="539">
        <f t="shared" si="0"/>
        <v>38</v>
      </c>
      <c r="E41" s="549">
        <f t="shared" si="12"/>
        <v>689.7</v>
      </c>
      <c r="F41" s="1008"/>
      <c r="G41" s="539">
        <f t="shared" si="1"/>
        <v>38</v>
      </c>
      <c r="H41" s="549">
        <f t="shared" si="10"/>
        <v>1012.0999999999996</v>
      </c>
      <c r="I41" s="1008"/>
      <c r="J41" s="539">
        <f t="shared" si="2"/>
        <v>38</v>
      </c>
      <c r="K41" s="549">
        <f t="shared" si="11"/>
        <v>1104.2999999999995</v>
      </c>
      <c r="L41" s="547"/>
    </row>
    <row r="42" spans="1:12" ht="20.2" customHeight="1">
      <c r="A42" s="539">
        <f t="shared" si="8"/>
        <v>39</v>
      </c>
      <c r="B42" s="549">
        <f t="shared" si="9"/>
        <v>704.7</v>
      </c>
      <c r="C42" s="1008"/>
      <c r="D42" s="539">
        <f t="shared" si="0"/>
        <v>39</v>
      </c>
      <c r="E42" s="549">
        <f t="shared" si="12"/>
        <v>704.7</v>
      </c>
      <c r="F42" s="1008"/>
      <c r="G42" s="539">
        <f t="shared" si="1"/>
        <v>39</v>
      </c>
      <c r="H42" s="549">
        <f t="shared" si="10"/>
        <v>1034.0999999999995</v>
      </c>
      <c r="I42" s="1008"/>
      <c r="J42" s="539">
        <f t="shared" si="2"/>
        <v>39</v>
      </c>
      <c r="K42" s="549">
        <f t="shared" si="11"/>
        <v>1128.2999999999995</v>
      </c>
      <c r="L42" s="547"/>
    </row>
    <row r="43" spans="1:12" ht="20.2" customHeight="1">
      <c r="A43" s="539">
        <f t="shared" si="8"/>
        <v>40</v>
      </c>
      <c r="B43" s="549">
        <f t="shared" si="9"/>
        <v>719.7</v>
      </c>
      <c r="C43" s="1008"/>
      <c r="D43" s="539">
        <f t="shared" si="0"/>
        <v>40</v>
      </c>
      <c r="E43" s="549">
        <f t="shared" si="12"/>
        <v>719.7</v>
      </c>
      <c r="F43" s="1008"/>
      <c r="G43" s="539">
        <f t="shared" si="1"/>
        <v>40</v>
      </c>
      <c r="H43" s="549">
        <f t="shared" si="10"/>
        <v>1056.0999999999995</v>
      </c>
      <c r="I43" s="1008"/>
      <c r="J43" s="539">
        <f t="shared" si="2"/>
        <v>40</v>
      </c>
      <c r="K43" s="549">
        <f t="shared" si="11"/>
        <v>1152.2999999999995</v>
      </c>
      <c r="L43" s="547"/>
    </row>
    <row r="44" spans="1:12" ht="20.2" customHeight="1">
      <c r="A44" s="539">
        <f t="shared" si="8"/>
        <v>41</v>
      </c>
      <c r="B44" s="549">
        <f t="shared" si="9"/>
        <v>734.7</v>
      </c>
      <c r="C44" s="1008"/>
      <c r="D44" s="539">
        <f t="shared" si="0"/>
        <v>41</v>
      </c>
      <c r="E44" s="549">
        <f t="shared" si="12"/>
        <v>734.7</v>
      </c>
      <c r="F44" s="1008"/>
      <c r="G44" s="539">
        <f t="shared" si="1"/>
        <v>41</v>
      </c>
      <c r="H44" s="549">
        <f t="shared" si="10"/>
        <v>1078.0999999999995</v>
      </c>
      <c r="I44" s="1008"/>
      <c r="J44" s="539">
        <f t="shared" si="2"/>
        <v>41</v>
      </c>
      <c r="K44" s="549">
        <f t="shared" si="11"/>
        <v>1176.2999999999995</v>
      </c>
      <c r="L44" s="547"/>
    </row>
    <row r="45" spans="1:12" ht="20.2" customHeight="1">
      <c r="A45" s="539">
        <f t="shared" si="8"/>
        <v>42</v>
      </c>
      <c r="B45" s="549">
        <f t="shared" si="9"/>
        <v>749.7</v>
      </c>
      <c r="C45" s="1008"/>
      <c r="D45" s="539">
        <f t="shared" si="0"/>
        <v>42</v>
      </c>
      <c r="E45" s="549">
        <f t="shared" si="12"/>
        <v>749.7</v>
      </c>
      <c r="F45" s="1008"/>
      <c r="G45" s="539">
        <f t="shared" si="1"/>
        <v>42</v>
      </c>
      <c r="H45" s="549">
        <f t="shared" si="10"/>
        <v>1100.0999999999995</v>
      </c>
      <c r="I45" s="1008"/>
      <c r="J45" s="539">
        <f t="shared" si="2"/>
        <v>42</v>
      </c>
      <c r="K45" s="549">
        <f t="shared" si="11"/>
        <v>1200.2999999999995</v>
      </c>
      <c r="L45" s="547"/>
    </row>
    <row r="46" spans="1:12" ht="20.2" customHeight="1">
      <c r="A46" s="539">
        <f t="shared" si="8"/>
        <v>43</v>
      </c>
      <c r="B46" s="549">
        <f t="shared" si="9"/>
        <v>764.7</v>
      </c>
      <c r="C46" s="1008"/>
      <c r="D46" s="539">
        <f t="shared" si="0"/>
        <v>43</v>
      </c>
      <c r="E46" s="549">
        <f t="shared" si="12"/>
        <v>764.7</v>
      </c>
      <c r="F46" s="1008"/>
      <c r="G46" s="539">
        <f t="shared" si="1"/>
        <v>43</v>
      </c>
      <c r="H46" s="549">
        <f t="shared" si="10"/>
        <v>1122.0999999999995</v>
      </c>
      <c r="I46" s="1008"/>
      <c r="J46" s="539">
        <f t="shared" si="2"/>
        <v>43</v>
      </c>
      <c r="K46" s="549">
        <f t="shared" si="11"/>
        <v>1224.2999999999995</v>
      </c>
      <c r="L46" s="547"/>
    </row>
    <row r="47" spans="1:12" ht="20.2" customHeight="1">
      <c r="A47" s="539">
        <f t="shared" si="8"/>
        <v>44</v>
      </c>
      <c r="B47" s="549">
        <f t="shared" si="9"/>
        <v>779.7</v>
      </c>
      <c r="C47" s="1008"/>
      <c r="D47" s="539">
        <f t="shared" si="0"/>
        <v>44</v>
      </c>
      <c r="E47" s="549">
        <f t="shared" si="12"/>
        <v>779.7</v>
      </c>
      <c r="F47" s="1008"/>
      <c r="G47" s="539">
        <f t="shared" si="1"/>
        <v>44</v>
      </c>
      <c r="H47" s="549">
        <f t="shared" si="10"/>
        <v>1144.0999999999995</v>
      </c>
      <c r="I47" s="1008"/>
      <c r="J47" s="539">
        <f t="shared" si="2"/>
        <v>44</v>
      </c>
      <c r="K47" s="549">
        <f t="shared" si="11"/>
        <v>1248.2999999999995</v>
      </c>
      <c r="L47" s="547"/>
    </row>
    <row r="48" spans="1:12" ht="20.2" customHeight="1">
      <c r="A48" s="539">
        <f t="shared" si="8"/>
        <v>45</v>
      </c>
      <c r="B48" s="549">
        <f t="shared" si="9"/>
        <v>794.7</v>
      </c>
      <c r="C48" s="1008"/>
      <c r="D48" s="539">
        <f t="shared" si="0"/>
        <v>45</v>
      </c>
      <c r="E48" s="549">
        <f t="shared" si="12"/>
        <v>794.7</v>
      </c>
      <c r="F48" s="1008"/>
      <c r="G48" s="539">
        <f t="shared" si="1"/>
        <v>45</v>
      </c>
      <c r="H48" s="549">
        <f t="shared" si="10"/>
        <v>1166.0999999999995</v>
      </c>
      <c r="I48" s="1008"/>
      <c r="J48" s="539">
        <f t="shared" si="2"/>
        <v>45</v>
      </c>
      <c r="K48" s="549">
        <f t="shared" si="11"/>
        <v>1272.2999999999995</v>
      </c>
      <c r="L48" s="547"/>
    </row>
    <row r="49" spans="1:12" ht="20.2" customHeight="1">
      <c r="A49" s="539">
        <f t="shared" si="8"/>
        <v>46</v>
      </c>
      <c r="B49" s="549">
        <f t="shared" si="9"/>
        <v>809.7</v>
      </c>
      <c r="C49" s="1008"/>
      <c r="D49" s="539">
        <f t="shared" si="0"/>
        <v>46</v>
      </c>
      <c r="E49" s="549">
        <f t="shared" si="12"/>
        <v>809.7</v>
      </c>
      <c r="F49" s="1008"/>
      <c r="G49" s="539">
        <f t="shared" si="1"/>
        <v>46</v>
      </c>
      <c r="H49" s="549">
        <f t="shared" si="10"/>
        <v>1188.0999999999995</v>
      </c>
      <c r="I49" s="1008"/>
      <c r="J49" s="539">
        <f t="shared" si="2"/>
        <v>46</v>
      </c>
      <c r="K49" s="549">
        <f t="shared" si="11"/>
        <v>1296.2999999999995</v>
      </c>
      <c r="L49" s="547"/>
    </row>
    <row r="50" spans="1:12" ht="20.2" customHeight="1">
      <c r="A50" s="539">
        <f t="shared" si="8"/>
        <v>47</v>
      </c>
      <c r="B50" s="549">
        <f t="shared" si="9"/>
        <v>824.7</v>
      </c>
      <c r="C50" s="1008"/>
      <c r="D50" s="539">
        <f t="shared" si="0"/>
        <v>47</v>
      </c>
      <c r="E50" s="549">
        <f t="shared" si="12"/>
        <v>824.7</v>
      </c>
      <c r="F50" s="1008"/>
      <c r="G50" s="539">
        <f t="shared" si="1"/>
        <v>47</v>
      </c>
      <c r="H50" s="549">
        <f t="shared" si="10"/>
        <v>1210.0999999999995</v>
      </c>
      <c r="I50" s="1008"/>
      <c r="J50" s="539">
        <f t="shared" si="2"/>
        <v>47</v>
      </c>
      <c r="K50" s="549">
        <f t="shared" si="11"/>
        <v>1320.2999999999995</v>
      </c>
      <c r="L50" s="547"/>
    </row>
    <row r="51" spans="1:12" ht="20.2" customHeight="1">
      <c r="A51" s="539">
        <f t="shared" si="8"/>
        <v>48</v>
      </c>
      <c r="B51" s="549">
        <f t="shared" si="9"/>
        <v>839.7</v>
      </c>
      <c r="C51" s="1008"/>
      <c r="D51" s="539">
        <f t="shared" si="0"/>
        <v>48</v>
      </c>
      <c r="E51" s="549">
        <f t="shared" si="12"/>
        <v>839.7</v>
      </c>
      <c r="F51" s="1008"/>
      <c r="G51" s="539">
        <f t="shared" si="1"/>
        <v>48</v>
      </c>
      <c r="H51" s="549">
        <f t="shared" si="10"/>
        <v>1232.0999999999995</v>
      </c>
      <c r="I51" s="1008"/>
      <c r="J51" s="539">
        <f t="shared" si="2"/>
        <v>48</v>
      </c>
      <c r="K51" s="549">
        <f t="shared" si="11"/>
        <v>1344.2999999999995</v>
      </c>
      <c r="L51" s="547"/>
    </row>
    <row r="52" spans="1:12" ht="20.2" customHeight="1">
      <c r="A52" s="539">
        <f t="shared" si="8"/>
        <v>49</v>
      </c>
      <c r="B52" s="549">
        <f t="shared" si="9"/>
        <v>854.7</v>
      </c>
      <c r="C52" s="1008"/>
      <c r="D52" s="539">
        <f t="shared" si="0"/>
        <v>49</v>
      </c>
      <c r="E52" s="549">
        <f t="shared" si="12"/>
        <v>854.7</v>
      </c>
      <c r="F52" s="1008"/>
      <c r="G52" s="539">
        <f t="shared" si="1"/>
        <v>49</v>
      </c>
      <c r="H52" s="549">
        <f t="shared" si="10"/>
        <v>1254.0999999999995</v>
      </c>
      <c r="I52" s="1008"/>
      <c r="J52" s="539">
        <f t="shared" si="2"/>
        <v>49</v>
      </c>
      <c r="K52" s="549">
        <f t="shared" si="11"/>
        <v>1368.2999999999995</v>
      </c>
      <c r="L52" s="547"/>
    </row>
    <row r="53" spans="1:12" ht="20.2" customHeight="1">
      <c r="A53" s="539">
        <f t="shared" si="8"/>
        <v>50</v>
      </c>
      <c r="B53" s="549">
        <f t="shared" si="9"/>
        <v>869.7</v>
      </c>
      <c r="C53" s="1008"/>
      <c r="D53" s="539">
        <f t="shared" si="0"/>
        <v>50</v>
      </c>
      <c r="E53" s="549">
        <f t="shared" si="12"/>
        <v>869.7</v>
      </c>
      <c r="F53" s="1008"/>
      <c r="G53" s="539">
        <f t="shared" si="1"/>
        <v>50</v>
      </c>
      <c r="H53" s="549">
        <f t="shared" si="10"/>
        <v>1276.0999999999995</v>
      </c>
      <c r="I53" s="1008"/>
      <c r="J53" s="539">
        <f t="shared" si="2"/>
        <v>50</v>
      </c>
      <c r="K53" s="549">
        <f t="shared" si="11"/>
        <v>1392.2999999999995</v>
      </c>
      <c r="L53" s="547"/>
    </row>
    <row r="54" spans="1:12" ht="20.2" customHeight="1">
      <c r="A54" s="539">
        <f t="shared" si="8"/>
        <v>51</v>
      </c>
      <c r="B54" s="549">
        <f t="shared" si="9"/>
        <v>884.7</v>
      </c>
      <c r="C54" s="1008"/>
      <c r="D54" s="539">
        <f t="shared" si="0"/>
        <v>51</v>
      </c>
      <c r="E54" s="549">
        <f t="shared" si="12"/>
        <v>884.7</v>
      </c>
      <c r="F54" s="1008"/>
      <c r="G54" s="539">
        <f t="shared" si="1"/>
        <v>51</v>
      </c>
      <c r="H54" s="549">
        <f t="shared" si="10"/>
        <v>1298.0999999999995</v>
      </c>
      <c r="I54" s="1008"/>
      <c r="J54" s="539">
        <f t="shared" si="2"/>
        <v>51</v>
      </c>
      <c r="K54" s="549">
        <f t="shared" si="11"/>
        <v>1416.2999999999995</v>
      </c>
      <c r="L54" s="547"/>
    </row>
    <row r="55" spans="1:12" ht="20.2" customHeight="1">
      <c r="A55" s="539">
        <f t="shared" si="8"/>
        <v>52</v>
      </c>
      <c r="B55" s="549">
        <f t="shared" si="9"/>
        <v>899.7</v>
      </c>
      <c r="C55" s="1008"/>
      <c r="D55" s="539">
        <f t="shared" si="0"/>
        <v>52</v>
      </c>
      <c r="E55" s="549">
        <f t="shared" si="12"/>
        <v>899.7</v>
      </c>
      <c r="F55" s="1008"/>
      <c r="G55" s="539">
        <f t="shared" si="1"/>
        <v>52</v>
      </c>
      <c r="H55" s="549">
        <f t="shared" si="10"/>
        <v>1320.0999999999995</v>
      </c>
      <c r="I55" s="1008"/>
      <c r="J55" s="539">
        <f t="shared" si="2"/>
        <v>52</v>
      </c>
      <c r="K55" s="549">
        <f t="shared" si="11"/>
        <v>1440.2999999999995</v>
      </c>
      <c r="L55" s="547"/>
    </row>
    <row r="56" spans="1:12" ht="20.2" customHeight="1">
      <c r="A56" s="539">
        <f t="shared" si="8"/>
        <v>53</v>
      </c>
      <c r="B56" s="549">
        <f t="shared" si="9"/>
        <v>914.7</v>
      </c>
      <c r="C56" s="1008"/>
      <c r="D56" s="539">
        <f t="shared" si="0"/>
        <v>53</v>
      </c>
      <c r="E56" s="549">
        <f t="shared" si="12"/>
        <v>914.7</v>
      </c>
      <c r="F56" s="1008"/>
      <c r="G56" s="539">
        <f t="shared" si="1"/>
        <v>53</v>
      </c>
      <c r="H56" s="549">
        <f t="shared" si="10"/>
        <v>1342.0999999999995</v>
      </c>
      <c r="I56" s="1008"/>
      <c r="J56" s="539">
        <f t="shared" si="2"/>
        <v>53</v>
      </c>
      <c r="K56" s="549">
        <f t="shared" si="11"/>
        <v>1464.2999999999995</v>
      </c>
      <c r="L56" s="547"/>
    </row>
    <row r="57" spans="1:12" ht="20.2" customHeight="1">
      <c r="A57" s="539">
        <f t="shared" si="8"/>
        <v>54</v>
      </c>
      <c r="B57" s="549">
        <f t="shared" si="9"/>
        <v>929.7</v>
      </c>
      <c r="C57" s="1008"/>
      <c r="D57" s="539">
        <f t="shared" si="0"/>
        <v>54</v>
      </c>
      <c r="E57" s="549">
        <f t="shared" si="12"/>
        <v>929.7</v>
      </c>
      <c r="F57" s="1008"/>
      <c r="G57" s="539">
        <f t="shared" si="1"/>
        <v>54</v>
      </c>
      <c r="H57" s="549">
        <f t="shared" si="10"/>
        <v>1364.0999999999995</v>
      </c>
      <c r="I57" s="1008"/>
      <c r="J57" s="539">
        <f t="shared" si="2"/>
        <v>54</v>
      </c>
      <c r="K57" s="549">
        <f t="shared" si="11"/>
        <v>1488.2999999999995</v>
      </c>
      <c r="L57" s="547"/>
    </row>
    <row r="58" spans="1:12" ht="20.2" customHeight="1">
      <c r="A58" s="539">
        <f t="shared" si="8"/>
        <v>55</v>
      </c>
      <c r="B58" s="549">
        <f t="shared" si="9"/>
        <v>944.7</v>
      </c>
      <c r="C58" s="1008"/>
      <c r="D58" s="539">
        <f t="shared" si="0"/>
        <v>55</v>
      </c>
      <c r="E58" s="549">
        <f t="shared" si="12"/>
        <v>944.7</v>
      </c>
      <c r="F58" s="1008"/>
      <c r="G58" s="539">
        <f t="shared" si="1"/>
        <v>55</v>
      </c>
      <c r="H58" s="549">
        <f t="shared" si="10"/>
        <v>1386.0999999999995</v>
      </c>
      <c r="I58" s="1008"/>
      <c r="J58" s="539">
        <f t="shared" si="2"/>
        <v>55</v>
      </c>
      <c r="K58" s="549">
        <f t="shared" si="11"/>
        <v>1512.2999999999995</v>
      </c>
      <c r="L58" s="547"/>
    </row>
    <row r="59" spans="1:12" ht="20.2" customHeight="1">
      <c r="A59" s="539">
        <f t="shared" si="8"/>
        <v>56</v>
      </c>
      <c r="B59" s="549">
        <f t="shared" si="9"/>
        <v>959.7</v>
      </c>
      <c r="C59" s="1008"/>
      <c r="D59" s="539">
        <f t="shared" si="0"/>
        <v>56</v>
      </c>
      <c r="E59" s="549">
        <f t="shared" si="12"/>
        <v>959.7</v>
      </c>
      <c r="F59" s="1008"/>
      <c r="G59" s="539">
        <f t="shared" si="1"/>
        <v>56</v>
      </c>
      <c r="H59" s="549">
        <f t="shared" si="10"/>
        <v>1408.0999999999995</v>
      </c>
      <c r="I59" s="1008"/>
      <c r="J59" s="539">
        <f t="shared" si="2"/>
        <v>56</v>
      </c>
      <c r="K59" s="549">
        <f t="shared" si="11"/>
        <v>1536.2999999999995</v>
      </c>
      <c r="L59" s="547"/>
    </row>
    <row r="60" spans="1:12" ht="20.2" customHeight="1">
      <c r="A60" s="539">
        <f t="shared" si="8"/>
        <v>57</v>
      </c>
      <c r="B60" s="549">
        <f t="shared" si="9"/>
        <v>974.7</v>
      </c>
      <c r="C60" s="1008"/>
      <c r="D60" s="539">
        <f t="shared" si="0"/>
        <v>57</v>
      </c>
      <c r="E60" s="549">
        <f t="shared" si="12"/>
        <v>974.7</v>
      </c>
      <c r="F60" s="1008"/>
      <c r="G60" s="539">
        <f t="shared" si="1"/>
        <v>57</v>
      </c>
      <c r="H60" s="549">
        <f t="shared" si="10"/>
        <v>1430.0999999999995</v>
      </c>
      <c r="I60" s="1008"/>
      <c r="J60" s="539">
        <f t="shared" si="2"/>
        <v>57</v>
      </c>
      <c r="K60" s="549">
        <f t="shared" si="11"/>
        <v>1560.2999999999995</v>
      </c>
      <c r="L60" s="547"/>
    </row>
    <row r="61" spans="1:12" ht="20.2" customHeight="1">
      <c r="A61" s="539">
        <f t="shared" si="8"/>
        <v>58</v>
      </c>
      <c r="B61" s="549">
        <f t="shared" si="9"/>
        <v>989.7</v>
      </c>
      <c r="C61" s="1008"/>
      <c r="D61" s="539">
        <f t="shared" si="0"/>
        <v>58</v>
      </c>
      <c r="E61" s="549">
        <f t="shared" si="12"/>
        <v>989.7</v>
      </c>
      <c r="F61" s="1008"/>
      <c r="G61" s="539">
        <f t="shared" si="1"/>
        <v>58</v>
      </c>
      <c r="H61" s="549">
        <f t="shared" si="10"/>
        <v>1452.0999999999995</v>
      </c>
      <c r="I61" s="1008"/>
      <c r="J61" s="539">
        <f t="shared" si="2"/>
        <v>58</v>
      </c>
      <c r="K61" s="549">
        <f t="shared" si="11"/>
        <v>1584.2999999999995</v>
      </c>
      <c r="L61" s="547"/>
    </row>
    <row r="62" spans="1:12" ht="20.2" customHeight="1">
      <c r="A62" s="539">
        <f t="shared" si="8"/>
        <v>59</v>
      </c>
      <c r="B62" s="549">
        <f t="shared" si="9"/>
        <v>1004.7</v>
      </c>
      <c r="C62" s="1008"/>
      <c r="D62" s="539">
        <f t="shared" si="0"/>
        <v>59</v>
      </c>
      <c r="E62" s="549">
        <f t="shared" si="12"/>
        <v>1004.7</v>
      </c>
      <c r="F62" s="1008"/>
      <c r="G62" s="539">
        <f t="shared" si="1"/>
        <v>59</v>
      </c>
      <c r="H62" s="549">
        <f t="shared" si="10"/>
        <v>1474.0999999999995</v>
      </c>
      <c r="I62" s="1008"/>
      <c r="J62" s="539">
        <f t="shared" si="2"/>
        <v>59</v>
      </c>
      <c r="K62" s="549">
        <f t="shared" si="11"/>
        <v>1608.2999999999995</v>
      </c>
      <c r="L62" s="547"/>
    </row>
    <row r="63" spans="1:12" ht="20.2" customHeight="1">
      <c r="A63" s="539">
        <f t="shared" si="8"/>
        <v>60</v>
      </c>
      <c r="B63" s="549">
        <f t="shared" si="9"/>
        <v>1019.7</v>
      </c>
      <c r="C63" s="1008"/>
      <c r="D63" s="539">
        <f t="shared" si="0"/>
        <v>60</v>
      </c>
      <c r="E63" s="549">
        <f t="shared" si="12"/>
        <v>1019.7</v>
      </c>
      <c r="F63" s="1008"/>
      <c r="G63" s="539">
        <f t="shared" si="1"/>
        <v>60</v>
      </c>
      <c r="H63" s="549">
        <f t="shared" si="10"/>
        <v>1496.0999999999995</v>
      </c>
      <c r="I63" s="1008"/>
      <c r="J63" s="539">
        <f t="shared" si="2"/>
        <v>60</v>
      </c>
      <c r="K63" s="549">
        <f t="shared" si="11"/>
        <v>1632.2999999999995</v>
      </c>
      <c r="L63" s="547"/>
    </row>
    <row r="64" spans="1:12" ht="20.2" customHeight="1">
      <c r="A64" s="539">
        <f t="shared" si="8"/>
        <v>61</v>
      </c>
      <c r="B64" s="549">
        <f t="shared" si="9"/>
        <v>1034.7</v>
      </c>
      <c r="C64" s="1008"/>
      <c r="D64" s="539">
        <f t="shared" si="0"/>
        <v>61</v>
      </c>
      <c r="E64" s="549">
        <f t="shared" si="12"/>
        <v>1034.7</v>
      </c>
      <c r="F64" s="1008"/>
      <c r="G64" s="539">
        <f t="shared" si="1"/>
        <v>61</v>
      </c>
      <c r="H64" s="549">
        <f t="shared" si="10"/>
        <v>1518.0999999999995</v>
      </c>
      <c r="I64" s="1008"/>
      <c r="J64" s="539">
        <f t="shared" si="2"/>
        <v>61</v>
      </c>
      <c r="K64" s="549">
        <f t="shared" si="11"/>
        <v>1656.2999999999995</v>
      </c>
      <c r="L64" s="547"/>
    </row>
    <row r="65" spans="1:12" ht="20.2" customHeight="1">
      <c r="A65" s="539">
        <f t="shared" si="8"/>
        <v>62</v>
      </c>
      <c r="B65" s="549">
        <f t="shared" si="9"/>
        <v>1049.7</v>
      </c>
      <c r="C65" s="1008"/>
      <c r="D65" s="539">
        <f t="shared" si="0"/>
        <v>62</v>
      </c>
      <c r="E65" s="549">
        <f t="shared" si="12"/>
        <v>1049.7</v>
      </c>
      <c r="F65" s="1008"/>
      <c r="G65" s="539">
        <f t="shared" si="1"/>
        <v>62</v>
      </c>
      <c r="H65" s="549">
        <f t="shared" si="10"/>
        <v>1540.0999999999995</v>
      </c>
      <c r="I65" s="1008"/>
      <c r="J65" s="539">
        <f t="shared" si="2"/>
        <v>62</v>
      </c>
      <c r="K65" s="549">
        <f t="shared" si="11"/>
        <v>1680.2999999999995</v>
      </c>
      <c r="L65" s="547"/>
    </row>
    <row r="66" spans="1:12" ht="20.2" customHeight="1">
      <c r="A66" s="539">
        <f t="shared" si="8"/>
        <v>63</v>
      </c>
      <c r="B66" s="549">
        <f t="shared" si="9"/>
        <v>1064.7</v>
      </c>
      <c r="C66" s="1008"/>
      <c r="D66" s="539">
        <f t="shared" si="0"/>
        <v>63</v>
      </c>
      <c r="E66" s="549">
        <f t="shared" si="12"/>
        <v>1064.7</v>
      </c>
      <c r="F66" s="1008"/>
      <c r="G66" s="539">
        <f t="shared" si="1"/>
        <v>63</v>
      </c>
      <c r="H66" s="549">
        <f t="shared" si="10"/>
        <v>1562.0999999999995</v>
      </c>
      <c r="I66" s="1008"/>
      <c r="J66" s="539">
        <f t="shared" si="2"/>
        <v>63</v>
      </c>
      <c r="K66" s="549">
        <f t="shared" si="11"/>
        <v>1704.2999999999995</v>
      </c>
      <c r="L66" s="547"/>
    </row>
    <row r="67" spans="1:12" ht="20.2" customHeight="1">
      <c r="A67" s="539">
        <f t="shared" si="8"/>
        <v>64</v>
      </c>
      <c r="B67" s="549">
        <f t="shared" si="9"/>
        <v>1079.7</v>
      </c>
      <c r="C67" s="1008"/>
      <c r="D67" s="539">
        <f t="shared" si="0"/>
        <v>64</v>
      </c>
      <c r="E67" s="549">
        <f t="shared" si="12"/>
        <v>1079.7</v>
      </c>
      <c r="F67" s="1008"/>
      <c r="G67" s="539">
        <f t="shared" si="1"/>
        <v>64</v>
      </c>
      <c r="H67" s="549">
        <f t="shared" si="10"/>
        <v>1584.0999999999995</v>
      </c>
      <c r="I67" s="1008"/>
      <c r="J67" s="539">
        <f t="shared" si="2"/>
        <v>64</v>
      </c>
      <c r="K67" s="549">
        <f t="shared" si="11"/>
        <v>1728.2999999999995</v>
      </c>
      <c r="L67" s="547"/>
    </row>
    <row r="68" spans="1:12" ht="20.2" customHeight="1">
      <c r="A68" s="539">
        <f t="shared" si="8"/>
        <v>65</v>
      </c>
      <c r="B68" s="549">
        <f t="shared" si="9"/>
        <v>1094.7</v>
      </c>
      <c r="C68" s="1008"/>
      <c r="D68" s="539">
        <f t="shared" si="0"/>
        <v>65</v>
      </c>
      <c r="E68" s="549">
        <f t="shared" si="12"/>
        <v>1094.7</v>
      </c>
      <c r="F68" s="1008"/>
      <c r="G68" s="539">
        <f t="shared" si="1"/>
        <v>65</v>
      </c>
      <c r="H68" s="549">
        <f t="shared" si="10"/>
        <v>1606.0999999999995</v>
      </c>
      <c r="I68" s="1008"/>
      <c r="J68" s="539">
        <f t="shared" si="2"/>
        <v>65</v>
      </c>
      <c r="K68" s="549">
        <f t="shared" si="11"/>
        <v>1752.2999999999995</v>
      </c>
      <c r="L68" s="547"/>
    </row>
    <row r="69" spans="1:12" ht="20.2" customHeight="1">
      <c r="A69" s="539">
        <f t="shared" si="8"/>
        <v>66</v>
      </c>
      <c r="B69" s="549">
        <f t="shared" si="9"/>
        <v>1109.7</v>
      </c>
      <c r="C69" s="1008"/>
      <c r="D69" s="539">
        <f t="shared" ref="D69:D132" si="13">D68+1</f>
        <v>66</v>
      </c>
      <c r="E69" s="549">
        <f t="shared" si="12"/>
        <v>1109.7</v>
      </c>
      <c r="F69" s="1008"/>
      <c r="G69" s="539">
        <f t="shared" si="1"/>
        <v>66</v>
      </c>
      <c r="H69" s="549">
        <f t="shared" si="10"/>
        <v>1628.0999999999995</v>
      </c>
      <c r="I69" s="1008"/>
      <c r="J69" s="539">
        <f t="shared" si="2"/>
        <v>66</v>
      </c>
      <c r="K69" s="549">
        <f t="shared" si="11"/>
        <v>1776.2999999999995</v>
      </c>
      <c r="L69" s="547"/>
    </row>
    <row r="70" spans="1:12" ht="20.2" customHeight="1">
      <c r="A70" s="539">
        <f t="shared" si="8"/>
        <v>67</v>
      </c>
      <c r="B70" s="549">
        <f t="shared" si="9"/>
        <v>1124.7</v>
      </c>
      <c r="C70" s="1008"/>
      <c r="D70" s="539">
        <f t="shared" si="13"/>
        <v>67</v>
      </c>
      <c r="E70" s="549">
        <f t="shared" si="12"/>
        <v>1124.7</v>
      </c>
      <c r="F70" s="1008"/>
      <c r="G70" s="539">
        <f t="shared" ref="G70:G133" si="14">G69+1</f>
        <v>67</v>
      </c>
      <c r="H70" s="549">
        <f t="shared" si="10"/>
        <v>1650.0999999999995</v>
      </c>
      <c r="I70" s="1008"/>
      <c r="J70" s="539">
        <f t="shared" ref="J70:J133" si="15">J69+1</f>
        <v>67</v>
      </c>
      <c r="K70" s="549">
        <f t="shared" si="11"/>
        <v>1800.2999999999995</v>
      </c>
      <c r="L70" s="547"/>
    </row>
    <row r="71" spans="1:12" ht="20.2" customHeight="1">
      <c r="A71" s="539">
        <f t="shared" si="8"/>
        <v>68</v>
      </c>
      <c r="B71" s="549">
        <f t="shared" si="9"/>
        <v>1139.7</v>
      </c>
      <c r="C71" s="1008"/>
      <c r="D71" s="539">
        <f t="shared" si="13"/>
        <v>68</v>
      </c>
      <c r="E71" s="549">
        <f t="shared" si="12"/>
        <v>1139.7</v>
      </c>
      <c r="F71" s="1008"/>
      <c r="G71" s="539">
        <f t="shared" si="14"/>
        <v>68</v>
      </c>
      <c r="H71" s="549">
        <f t="shared" si="10"/>
        <v>1672.0999999999995</v>
      </c>
      <c r="I71" s="1008"/>
      <c r="J71" s="539">
        <f t="shared" si="15"/>
        <v>68</v>
      </c>
      <c r="K71" s="549">
        <f t="shared" si="11"/>
        <v>1824.2999999999995</v>
      </c>
      <c r="L71" s="547"/>
    </row>
    <row r="72" spans="1:12" ht="20.2" customHeight="1">
      <c r="A72" s="539">
        <f t="shared" si="8"/>
        <v>69</v>
      </c>
      <c r="B72" s="549">
        <f t="shared" si="9"/>
        <v>1154.7</v>
      </c>
      <c r="C72" s="1008"/>
      <c r="D72" s="539">
        <f t="shared" si="13"/>
        <v>69</v>
      </c>
      <c r="E72" s="549">
        <f t="shared" si="12"/>
        <v>1154.7</v>
      </c>
      <c r="F72" s="1008"/>
      <c r="G72" s="539">
        <f t="shared" si="14"/>
        <v>69</v>
      </c>
      <c r="H72" s="549">
        <f t="shared" si="10"/>
        <v>1694.0999999999995</v>
      </c>
      <c r="I72" s="1008"/>
      <c r="J72" s="539">
        <f t="shared" si="15"/>
        <v>69</v>
      </c>
      <c r="K72" s="549">
        <f t="shared" si="11"/>
        <v>1848.2999999999995</v>
      </c>
      <c r="L72" s="547"/>
    </row>
    <row r="73" spans="1:12" ht="20.2" customHeight="1">
      <c r="A73" s="539">
        <f t="shared" si="8"/>
        <v>70</v>
      </c>
      <c r="B73" s="549">
        <f t="shared" si="9"/>
        <v>1169.7</v>
      </c>
      <c r="C73" s="1008"/>
      <c r="D73" s="539">
        <f t="shared" si="13"/>
        <v>70</v>
      </c>
      <c r="E73" s="549">
        <f t="shared" si="12"/>
        <v>1169.7</v>
      </c>
      <c r="F73" s="1008"/>
      <c r="G73" s="539">
        <f t="shared" si="14"/>
        <v>70</v>
      </c>
      <c r="H73" s="549">
        <f t="shared" si="10"/>
        <v>1716.0999999999995</v>
      </c>
      <c r="I73" s="1008"/>
      <c r="J73" s="539">
        <f t="shared" si="15"/>
        <v>70</v>
      </c>
      <c r="K73" s="549">
        <f t="shared" si="11"/>
        <v>1872.2999999999995</v>
      </c>
      <c r="L73" s="547"/>
    </row>
    <row r="74" spans="1:12" ht="20.2" customHeight="1">
      <c r="A74" s="539">
        <f t="shared" si="8"/>
        <v>71</v>
      </c>
      <c r="B74" s="549">
        <f t="shared" si="9"/>
        <v>1184.7</v>
      </c>
      <c r="C74" s="1008"/>
      <c r="D74" s="539">
        <f t="shared" si="13"/>
        <v>71</v>
      </c>
      <c r="E74" s="549">
        <f t="shared" si="12"/>
        <v>1184.7</v>
      </c>
      <c r="F74" s="1008"/>
      <c r="G74" s="539">
        <f t="shared" si="14"/>
        <v>71</v>
      </c>
      <c r="H74" s="549">
        <f t="shared" si="10"/>
        <v>1738.0999999999995</v>
      </c>
      <c r="I74" s="1008"/>
      <c r="J74" s="539">
        <f t="shared" si="15"/>
        <v>71</v>
      </c>
      <c r="K74" s="549">
        <f t="shared" si="11"/>
        <v>1896.2999999999995</v>
      </c>
      <c r="L74" s="547"/>
    </row>
    <row r="75" spans="1:12" ht="20.2" customHeight="1">
      <c r="A75" s="539">
        <f t="shared" si="8"/>
        <v>72</v>
      </c>
      <c r="B75" s="549">
        <f t="shared" si="9"/>
        <v>1199.7</v>
      </c>
      <c r="C75" s="1008"/>
      <c r="D75" s="539">
        <f t="shared" si="13"/>
        <v>72</v>
      </c>
      <c r="E75" s="549">
        <f t="shared" si="12"/>
        <v>1199.7</v>
      </c>
      <c r="F75" s="1008"/>
      <c r="G75" s="539">
        <f t="shared" si="14"/>
        <v>72</v>
      </c>
      <c r="H75" s="549">
        <f t="shared" si="10"/>
        <v>1760.0999999999995</v>
      </c>
      <c r="I75" s="1008"/>
      <c r="J75" s="539">
        <f t="shared" si="15"/>
        <v>72</v>
      </c>
      <c r="K75" s="549">
        <f t="shared" si="11"/>
        <v>1920.2999999999995</v>
      </c>
      <c r="L75" s="547"/>
    </row>
    <row r="76" spans="1:12" ht="20.2" customHeight="1">
      <c r="A76" s="539">
        <f t="shared" si="8"/>
        <v>73</v>
      </c>
      <c r="B76" s="549">
        <f t="shared" si="9"/>
        <v>1214.7</v>
      </c>
      <c r="C76" s="1008"/>
      <c r="D76" s="539">
        <f t="shared" si="13"/>
        <v>73</v>
      </c>
      <c r="E76" s="549">
        <f t="shared" si="12"/>
        <v>1214.7</v>
      </c>
      <c r="F76" s="1008"/>
      <c r="G76" s="539">
        <f t="shared" si="14"/>
        <v>73</v>
      </c>
      <c r="H76" s="549">
        <f t="shared" si="10"/>
        <v>1782.0999999999995</v>
      </c>
      <c r="I76" s="1008"/>
      <c r="J76" s="539">
        <f t="shared" si="15"/>
        <v>73</v>
      </c>
      <c r="K76" s="549">
        <f t="shared" si="11"/>
        <v>1944.2999999999995</v>
      </c>
      <c r="L76" s="547"/>
    </row>
    <row r="77" spans="1:12" ht="20.2" customHeight="1">
      <c r="A77" s="539">
        <f t="shared" si="8"/>
        <v>74</v>
      </c>
      <c r="B77" s="549">
        <f t="shared" si="9"/>
        <v>1229.7</v>
      </c>
      <c r="C77" s="1008"/>
      <c r="D77" s="539">
        <f t="shared" si="13"/>
        <v>74</v>
      </c>
      <c r="E77" s="549">
        <f t="shared" si="12"/>
        <v>1229.7</v>
      </c>
      <c r="F77" s="1008"/>
      <c r="G77" s="539">
        <f t="shared" si="14"/>
        <v>74</v>
      </c>
      <c r="H77" s="549">
        <f t="shared" si="10"/>
        <v>1804.0999999999995</v>
      </c>
      <c r="I77" s="1008"/>
      <c r="J77" s="539">
        <f t="shared" si="15"/>
        <v>74</v>
      </c>
      <c r="K77" s="549">
        <f t="shared" si="11"/>
        <v>1968.2999999999995</v>
      </c>
      <c r="L77" s="547"/>
    </row>
    <row r="78" spans="1:12" ht="20.2" customHeight="1">
      <c r="A78" s="539">
        <f t="shared" si="8"/>
        <v>75</v>
      </c>
      <c r="B78" s="549">
        <f t="shared" si="9"/>
        <v>1244.7</v>
      </c>
      <c r="C78" s="1008"/>
      <c r="D78" s="539">
        <f t="shared" si="13"/>
        <v>75</v>
      </c>
      <c r="E78" s="549">
        <f t="shared" si="12"/>
        <v>1244.7</v>
      </c>
      <c r="F78" s="1008"/>
      <c r="G78" s="539">
        <f t="shared" si="14"/>
        <v>75</v>
      </c>
      <c r="H78" s="549">
        <f t="shared" si="10"/>
        <v>1826.0999999999995</v>
      </c>
      <c r="I78" s="1008"/>
      <c r="J78" s="539">
        <f t="shared" si="15"/>
        <v>75</v>
      </c>
      <c r="K78" s="549">
        <f t="shared" si="11"/>
        <v>1992.2999999999995</v>
      </c>
      <c r="L78" s="547"/>
    </row>
    <row r="79" spans="1:12" ht="20.2" customHeight="1">
      <c r="A79" s="539">
        <f t="shared" si="8"/>
        <v>76</v>
      </c>
      <c r="B79" s="549">
        <f t="shared" si="9"/>
        <v>1259.7</v>
      </c>
      <c r="C79" s="1008"/>
      <c r="D79" s="539">
        <f t="shared" si="13"/>
        <v>76</v>
      </c>
      <c r="E79" s="549">
        <f t="shared" si="12"/>
        <v>1259.7</v>
      </c>
      <c r="F79" s="1008"/>
      <c r="G79" s="539">
        <f t="shared" si="14"/>
        <v>76</v>
      </c>
      <c r="H79" s="549">
        <f t="shared" si="10"/>
        <v>1848.0999999999995</v>
      </c>
      <c r="I79" s="1008"/>
      <c r="J79" s="539">
        <f t="shared" si="15"/>
        <v>76</v>
      </c>
      <c r="K79" s="549">
        <f t="shared" si="11"/>
        <v>2016.2999999999995</v>
      </c>
      <c r="L79" s="547"/>
    </row>
    <row r="80" spans="1:12" ht="20.2" customHeight="1">
      <c r="A80" s="539">
        <f t="shared" si="8"/>
        <v>77</v>
      </c>
      <c r="B80" s="549">
        <f t="shared" si="9"/>
        <v>1274.7</v>
      </c>
      <c r="C80" s="1008"/>
      <c r="D80" s="539">
        <f t="shared" si="13"/>
        <v>77</v>
      </c>
      <c r="E80" s="549">
        <f t="shared" si="12"/>
        <v>1274.7</v>
      </c>
      <c r="F80" s="1008"/>
      <c r="G80" s="539">
        <f t="shared" si="14"/>
        <v>77</v>
      </c>
      <c r="H80" s="549">
        <f t="shared" si="10"/>
        <v>1870.0999999999995</v>
      </c>
      <c r="I80" s="1008"/>
      <c r="J80" s="539">
        <f t="shared" si="15"/>
        <v>77</v>
      </c>
      <c r="K80" s="549">
        <f t="shared" si="11"/>
        <v>2040.2999999999995</v>
      </c>
      <c r="L80" s="547"/>
    </row>
    <row r="81" spans="1:12" ht="20.2" customHeight="1">
      <c r="A81" s="539">
        <f t="shared" si="8"/>
        <v>78</v>
      </c>
      <c r="B81" s="549">
        <f t="shared" si="9"/>
        <v>1289.7</v>
      </c>
      <c r="C81" s="1008"/>
      <c r="D81" s="539">
        <f t="shared" si="13"/>
        <v>78</v>
      </c>
      <c r="E81" s="549">
        <f t="shared" si="12"/>
        <v>1289.7</v>
      </c>
      <c r="F81" s="1008"/>
      <c r="G81" s="539">
        <f t="shared" si="14"/>
        <v>78</v>
      </c>
      <c r="H81" s="549">
        <f t="shared" si="10"/>
        <v>1892.0999999999995</v>
      </c>
      <c r="I81" s="1008"/>
      <c r="J81" s="539">
        <f t="shared" si="15"/>
        <v>78</v>
      </c>
      <c r="K81" s="549">
        <f t="shared" si="11"/>
        <v>2064.2999999999993</v>
      </c>
      <c r="L81" s="547"/>
    </row>
    <row r="82" spans="1:12" ht="20.2" customHeight="1">
      <c r="A82" s="539">
        <f t="shared" si="8"/>
        <v>79</v>
      </c>
      <c r="B82" s="549">
        <f t="shared" si="9"/>
        <v>1304.7</v>
      </c>
      <c r="C82" s="1008"/>
      <c r="D82" s="539">
        <f t="shared" si="13"/>
        <v>79</v>
      </c>
      <c r="E82" s="549">
        <f t="shared" si="12"/>
        <v>1304.7</v>
      </c>
      <c r="F82" s="1008"/>
      <c r="G82" s="539">
        <f t="shared" si="14"/>
        <v>79</v>
      </c>
      <c r="H82" s="549">
        <f t="shared" si="10"/>
        <v>1914.0999999999995</v>
      </c>
      <c r="I82" s="1008"/>
      <c r="J82" s="539">
        <f t="shared" si="15"/>
        <v>79</v>
      </c>
      <c r="K82" s="549">
        <f t="shared" si="11"/>
        <v>2088.2999999999993</v>
      </c>
      <c r="L82" s="547"/>
    </row>
    <row r="83" spans="1:12" ht="20.2" customHeight="1">
      <c r="A83" s="539">
        <f t="shared" si="8"/>
        <v>80</v>
      </c>
      <c r="B83" s="549">
        <f t="shared" si="9"/>
        <v>1319.7</v>
      </c>
      <c r="C83" s="1008"/>
      <c r="D83" s="539">
        <f t="shared" si="13"/>
        <v>80</v>
      </c>
      <c r="E83" s="549">
        <f t="shared" si="12"/>
        <v>1319.7</v>
      </c>
      <c r="F83" s="1008"/>
      <c r="G83" s="539">
        <f t="shared" si="14"/>
        <v>80</v>
      </c>
      <c r="H83" s="549">
        <f t="shared" si="10"/>
        <v>1936.0999999999995</v>
      </c>
      <c r="I83" s="1008"/>
      <c r="J83" s="539">
        <f t="shared" si="15"/>
        <v>80</v>
      </c>
      <c r="K83" s="549">
        <f t="shared" si="11"/>
        <v>2112.2999999999993</v>
      </c>
      <c r="L83" s="547"/>
    </row>
    <row r="84" spans="1:12" ht="20.2" customHeight="1">
      <c r="A84" s="539">
        <f t="shared" si="8"/>
        <v>81</v>
      </c>
      <c r="B84" s="549">
        <f t="shared" si="9"/>
        <v>1334.7</v>
      </c>
      <c r="C84" s="1008"/>
      <c r="D84" s="539">
        <f t="shared" si="13"/>
        <v>81</v>
      </c>
      <c r="E84" s="549">
        <f t="shared" si="12"/>
        <v>1334.7</v>
      </c>
      <c r="F84" s="1008"/>
      <c r="G84" s="539">
        <f t="shared" si="14"/>
        <v>81</v>
      </c>
      <c r="H84" s="549">
        <f t="shared" si="10"/>
        <v>1958.0999999999995</v>
      </c>
      <c r="I84" s="1008"/>
      <c r="J84" s="539">
        <f t="shared" si="15"/>
        <v>81</v>
      </c>
      <c r="K84" s="549">
        <f t="shared" si="11"/>
        <v>2136.2999999999993</v>
      </c>
      <c r="L84" s="547"/>
    </row>
    <row r="85" spans="1:12" ht="20.2" customHeight="1">
      <c r="A85" s="539">
        <f t="shared" si="8"/>
        <v>82</v>
      </c>
      <c r="B85" s="549">
        <f t="shared" si="9"/>
        <v>1349.7</v>
      </c>
      <c r="C85" s="1008"/>
      <c r="D85" s="539">
        <f t="shared" si="13"/>
        <v>82</v>
      </c>
      <c r="E85" s="549">
        <f t="shared" si="12"/>
        <v>1349.7</v>
      </c>
      <c r="F85" s="1008"/>
      <c r="G85" s="539">
        <f t="shared" si="14"/>
        <v>82</v>
      </c>
      <c r="H85" s="549">
        <f t="shared" si="10"/>
        <v>1980.0999999999995</v>
      </c>
      <c r="I85" s="1008"/>
      <c r="J85" s="539">
        <f t="shared" si="15"/>
        <v>82</v>
      </c>
      <c r="K85" s="549">
        <f t="shared" si="11"/>
        <v>2160.2999999999993</v>
      </c>
      <c r="L85" s="547"/>
    </row>
    <row r="86" spans="1:12" ht="20.2" customHeight="1">
      <c r="A86" s="539">
        <f t="shared" si="8"/>
        <v>83</v>
      </c>
      <c r="B86" s="549">
        <f t="shared" si="9"/>
        <v>1364.7</v>
      </c>
      <c r="C86" s="1008"/>
      <c r="D86" s="539">
        <f t="shared" si="13"/>
        <v>83</v>
      </c>
      <c r="E86" s="549">
        <f t="shared" si="12"/>
        <v>1364.7</v>
      </c>
      <c r="F86" s="1008"/>
      <c r="G86" s="539">
        <f t="shared" si="14"/>
        <v>83</v>
      </c>
      <c r="H86" s="549">
        <f t="shared" si="10"/>
        <v>2002.0999999999995</v>
      </c>
      <c r="I86" s="1008"/>
      <c r="J86" s="539">
        <f t="shared" si="15"/>
        <v>83</v>
      </c>
      <c r="K86" s="549">
        <f t="shared" si="11"/>
        <v>2184.2999999999993</v>
      </c>
      <c r="L86" s="547"/>
    </row>
    <row r="87" spans="1:12" ht="20.2" customHeight="1">
      <c r="A87" s="539">
        <f t="shared" si="8"/>
        <v>84</v>
      </c>
      <c r="B87" s="549">
        <f t="shared" si="9"/>
        <v>1379.7</v>
      </c>
      <c r="C87" s="1008"/>
      <c r="D87" s="539">
        <f t="shared" si="13"/>
        <v>84</v>
      </c>
      <c r="E87" s="549">
        <f t="shared" si="12"/>
        <v>1379.7</v>
      </c>
      <c r="F87" s="1008"/>
      <c r="G87" s="539">
        <f t="shared" si="14"/>
        <v>84</v>
      </c>
      <c r="H87" s="549">
        <f t="shared" si="10"/>
        <v>2024.0999999999995</v>
      </c>
      <c r="I87" s="1008"/>
      <c r="J87" s="539">
        <f t="shared" si="15"/>
        <v>84</v>
      </c>
      <c r="K87" s="549">
        <f t="shared" si="11"/>
        <v>2208.2999999999993</v>
      </c>
      <c r="L87" s="547"/>
    </row>
    <row r="88" spans="1:12" ht="20.2" customHeight="1">
      <c r="A88" s="539">
        <f t="shared" si="8"/>
        <v>85</v>
      </c>
      <c r="B88" s="549">
        <f t="shared" si="9"/>
        <v>1394.7</v>
      </c>
      <c r="C88" s="1008"/>
      <c r="D88" s="539">
        <f t="shared" si="13"/>
        <v>85</v>
      </c>
      <c r="E88" s="549">
        <f t="shared" si="12"/>
        <v>1394.7</v>
      </c>
      <c r="F88" s="1008"/>
      <c r="G88" s="539">
        <f t="shared" si="14"/>
        <v>85</v>
      </c>
      <c r="H88" s="549">
        <f t="shared" si="10"/>
        <v>2046.0999999999995</v>
      </c>
      <c r="I88" s="1008"/>
      <c r="J88" s="539">
        <f t="shared" si="15"/>
        <v>85</v>
      </c>
      <c r="K88" s="549">
        <f t="shared" si="11"/>
        <v>2232.2999999999993</v>
      </c>
      <c r="L88" s="547"/>
    </row>
    <row r="89" spans="1:12" ht="20.2" customHeight="1">
      <c r="A89" s="539">
        <f t="shared" si="8"/>
        <v>86</v>
      </c>
      <c r="B89" s="549">
        <f t="shared" si="9"/>
        <v>1409.7</v>
      </c>
      <c r="C89" s="1008"/>
      <c r="D89" s="539">
        <f t="shared" si="13"/>
        <v>86</v>
      </c>
      <c r="E89" s="549">
        <f t="shared" si="12"/>
        <v>1409.7</v>
      </c>
      <c r="F89" s="1008"/>
      <c r="G89" s="539">
        <f t="shared" si="14"/>
        <v>86</v>
      </c>
      <c r="H89" s="549">
        <f t="shared" si="10"/>
        <v>2068.0999999999995</v>
      </c>
      <c r="I89" s="1008"/>
      <c r="J89" s="539">
        <f t="shared" si="15"/>
        <v>86</v>
      </c>
      <c r="K89" s="549">
        <f t="shared" si="11"/>
        <v>2256.2999999999993</v>
      </c>
      <c r="L89" s="547"/>
    </row>
    <row r="90" spans="1:12" ht="20.2" customHeight="1">
      <c r="A90" s="539">
        <f t="shared" si="8"/>
        <v>87</v>
      </c>
      <c r="B90" s="549">
        <f t="shared" si="9"/>
        <v>1424.7</v>
      </c>
      <c r="C90" s="1008"/>
      <c r="D90" s="539">
        <f t="shared" si="13"/>
        <v>87</v>
      </c>
      <c r="E90" s="549">
        <f t="shared" si="12"/>
        <v>1424.7</v>
      </c>
      <c r="F90" s="1008"/>
      <c r="G90" s="539">
        <f t="shared" si="14"/>
        <v>87</v>
      </c>
      <c r="H90" s="549">
        <f t="shared" si="10"/>
        <v>2090.0999999999995</v>
      </c>
      <c r="I90" s="1008"/>
      <c r="J90" s="539">
        <f t="shared" si="15"/>
        <v>87</v>
      </c>
      <c r="K90" s="549">
        <f t="shared" si="11"/>
        <v>2280.2999999999993</v>
      </c>
      <c r="L90" s="547"/>
    </row>
    <row r="91" spans="1:12" ht="20.2" customHeight="1">
      <c r="A91" s="539">
        <f t="shared" si="8"/>
        <v>88</v>
      </c>
      <c r="B91" s="549">
        <f t="shared" si="9"/>
        <v>1439.7</v>
      </c>
      <c r="C91" s="1008"/>
      <c r="D91" s="539">
        <f t="shared" si="13"/>
        <v>88</v>
      </c>
      <c r="E91" s="549">
        <f t="shared" si="12"/>
        <v>1439.7</v>
      </c>
      <c r="F91" s="1008"/>
      <c r="G91" s="539">
        <f t="shared" si="14"/>
        <v>88</v>
      </c>
      <c r="H91" s="549">
        <f t="shared" si="10"/>
        <v>2112.0999999999995</v>
      </c>
      <c r="I91" s="1008"/>
      <c r="J91" s="539">
        <f t="shared" si="15"/>
        <v>88</v>
      </c>
      <c r="K91" s="549">
        <f t="shared" si="11"/>
        <v>2304.2999999999993</v>
      </c>
      <c r="L91" s="547"/>
    </row>
    <row r="92" spans="1:12" ht="20.2" customHeight="1">
      <c r="A92" s="539">
        <f t="shared" si="8"/>
        <v>89</v>
      </c>
      <c r="B92" s="549">
        <f t="shared" si="9"/>
        <v>1454.7</v>
      </c>
      <c r="C92" s="1008"/>
      <c r="D92" s="539">
        <f t="shared" si="13"/>
        <v>89</v>
      </c>
      <c r="E92" s="549">
        <f t="shared" si="12"/>
        <v>1454.7</v>
      </c>
      <c r="F92" s="1008"/>
      <c r="G92" s="539">
        <f t="shared" si="14"/>
        <v>89</v>
      </c>
      <c r="H92" s="549">
        <f t="shared" si="10"/>
        <v>2134.0999999999995</v>
      </c>
      <c r="I92" s="1008"/>
      <c r="J92" s="539">
        <f t="shared" si="15"/>
        <v>89</v>
      </c>
      <c r="K92" s="549">
        <f t="shared" si="11"/>
        <v>2328.2999999999993</v>
      </c>
      <c r="L92" s="547"/>
    </row>
    <row r="93" spans="1:12" ht="20.2" customHeight="1">
      <c r="A93" s="539">
        <f t="shared" si="8"/>
        <v>90</v>
      </c>
      <c r="B93" s="549">
        <f t="shared" si="9"/>
        <v>1469.7</v>
      </c>
      <c r="C93" s="1008"/>
      <c r="D93" s="539">
        <f t="shared" si="13"/>
        <v>90</v>
      </c>
      <c r="E93" s="549">
        <f t="shared" si="12"/>
        <v>1469.7</v>
      </c>
      <c r="F93" s="1008"/>
      <c r="G93" s="539">
        <f t="shared" si="14"/>
        <v>90</v>
      </c>
      <c r="H93" s="549">
        <f t="shared" si="10"/>
        <v>2156.0999999999995</v>
      </c>
      <c r="I93" s="1008"/>
      <c r="J93" s="539">
        <f t="shared" si="15"/>
        <v>90</v>
      </c>
      <c r="K93" s="549">
        <f t="shared" si="11"/>
        <v>2352.2999999999993</v>
      </c>
      <c r="L93" s="547"/>
    </row>
    <row r="94" spans="1:12" ht="20.2" customHeight="1">
      <c r="A94" s="539">
        <f t="shared" si="8"/>
        <v>91</v>
      </c>
      <c r="B94" s="549">
        <f t="shared" si="9"/>
        <v>1484.7</v>
      </c>
      <c r="C94" s="1008"/>
      <c r="D94" s="539">
        <f t="shared" si="13"/>
        <v>91</v>
      </c>
      <c r="E94" s="549">
        <f t="shared" si="12"/>
        <v>1484.7</v>
      </c>
      <c r="F94" s="1008"/>
      <c r="G94" s="539">
        <f t="shared" si="14"/>
        <v>91</v>
      </c>
      <c r="H94" s="549">
        <f t="shared" si="10"/>
        <v>2178.0999999999995</v>
      </c>
      <c r="I94" s="1008"/>
      <c r="J94" s="539">
        <f t="shared" si="15"/>
        <v>91</v>
      </c>
      <c r="K94" s="549">
        <f t="shared" si="11"/>
        <v>2376.2999999999993</v>
      </c>
      <c r="L94" s="547"/>
    </row>
    <row r="95" spans="1:12" ht="20.2" customHeight="1">
      <c r="A95" s="539">
        <f t="shared" si="8"/>
        <v>92</v>
      </c>
      <c r="B95" s="549">
        <f t="shared" si="9"/>
        <v>1499.7</v>
      </c>
      <c r="C95" s="1008"/>
      <c r="D95" s="539">
        <f t="shared" si="13"/>
        <v>92</v>
      </c>
      <c r="E95" s="549">
        <f t="shared" si="12"/>
        <v>1499.7</v>
      </c>
      <c r="F95" s="1008"/>
      <c r="G95" s="539">
        <f t="shared" si="14"/>
        <v>92</v>
      </c>
      <c r="H95" s="549">
        <f t="shared" si="10"/>
        <v>2200.0999999999995</v>
      </c>
      <c r="I95" s="1008"/>
      <c r="J95" s="539">
        <f t="shared" si="15"/>
        <v>92</v>
      </c>
      <c r="K95" s="549">
        <f t="shared" si="11"/>
        <v>2400.2999999999993</v>
      </c>
      <c r="L95" s="547"/>
    </row>
    <row r="96" spans="1:12" ht="20.2" customHeight="1">
      <c r="A96" s="539">
        <f t="shared" si="8"/>
        <v>93</v>
      </c>
      <c r="B96" s="549">
        <f t="shared" si="9"/>
        <v>1514.7</v>
      </c>
      <c r="C96" s="1008"/>
      <c r="D96" s="539">
        <f t="shared" si="13"/>
        <v>93</v>
      </c>
      <c r="E96" s="549">
        <f t="shared" si="12"/>
        <v>1514.7</v>
      </c>
      <c r="F96" s="1008"/>
      <c r="G96" s="539">
        <f t="shared" si="14"/>
        <v>93</v>
      </c>
      <c r="H96" s="549">
        <f t="shared" si="10"/>
        <v>2222.0999999999995</v>
      </c>
      <c r="I96" s="1008"/>
      <c r="J96" s="539">
        <f t="shared" si="15"/>
        <v>93</v>
      </c>
      <c r="K96" s="549">
        <f t="shared" si="11"/>
        <v>2424.2999999999993</v>
      </c>
      <c r="L96" s="547"/>
    </row>
    <row r="97" spans="1:12" ht="20.2" customHeight="1">
      <c r="A97" s="539">
        <f t="shared" si="8"/>
        <v>94</v>
      </c>
      <c r="B97" s="549">
        <f t="shared" si="9"/>
        <v>1529.7</v>
      </c>
      <c r="C97" s="1008"/>
      <c r="D97" s="539">
        <f t="shared" si="13"/>
        <v>94</v>
      </c>
      <c r="E97" s="549">
        <f t="shared" si="12"/>
        <v>1529.7</v>
      </c>
      <c r="F97" s="1008"/>
      <c r="G97" s="539">
        <f t="shared" si="14"/>
        <v>94</v>
      </c>
      <c r="H97" s="549">
        <f t="shared" si="10"/>
        <v>2244.0999999999995</v>
      </c>
      <c r="I97" s="1008"/>
      <c r="J97" s="539">
        <f t="shared" si="15"/>
        <v>94</v>
      </c>
      <c r="K97" s="549">
        <f t="shared" si="11"/>
        <v>2448.2999999999993</v>
      </c>
      <c r="L97" s="547"/>
    </row>
    <row r="98" spans="1:12" ht="20.2" customHeight="1">
      <c r="A98" s="539">
        <f t="shared" si="8"/>
        <v>95</v>
      </c>
      <c r="B98" s="549">
        <f t="shared" si="9"/>
        <v>1544.7</v>
      </c>
      <c r="C98" s="1008"/>
      <c r="D98" s="539">
        <f t="shared" si="13"/>
        <v>95</v>
      </c>
      <c r="E98" s="549">
        <f t="shared" si="12"/>
        <v>1544.7</v>
      </c>
      <c r="F98" s="1008"/>
      <c r="G98" s="539">
        <f t="shared" si="14"/>
        <v>95</v>
      </c>
      <c r="H98" s="549">
        <f t="shared" si="10"/>
        <v>2266.0999999999995</v>
      </c>
      <c r="I98" s="1008"/>
      <c r="J98" s="539">
        <f t="shared" si="15"/>
        <v>95</v>
      </c>
      <c r="K98" s="549">
        <f t="shared" si="11"/>
        <v>2472.2999999999993</v>
      </c>
      <c r="L98" s="547"/>
    </row>
    <row r="99" spans="1:12" ht="20.2" customHeight="1">
      <c r="A99" s="539">
        <f t="shared" ref="A99:A162" si="16">A98+1</f>
        <v>96</v>
      </c>
      <c r="B99" s="549">
        <f t="shared" ref="B99:B162" si="17">B98+15</f>
        <v>1559.7</v>
      </c>
      <c r="C99" s="1008"/>
      <c r="D99" s="539">
        <f t="shared" si="13"/>
        <v>96</v>
      </c>
      <c r="E99" s="549">
        <f t="shared" si="12"/>
        <v>1559.7</v>
      </c>
      <c r="F99" s="1008"/>
      <c r="G99" s="539">
        <f t="shared" si="14"/>
        <v>96</v>
      </c>
      <c r="H99" s="549">
        <f t="shared" ref="H99:H162" si="18">H98+22</f>
        <v>2288.0999999999995</v>
      </c>
      <c r="I99" s="1008"/>
      <c r="J99" s="539">
        <f t="shared" si="15"/>
        <v>96</v>
      </c>
      <c r="K99" s="549">
        <f t="shared" ref="K99:K162" si="19">K98+24</f>
        <v>2496.2999999999993</v>
      </c>
      <c r="L99" s="547"/>
    </row>
    <row r="100" spans="1:12" ht="20.2" customHeight="1">
      <c r="A100" s="539">
        <f t="shared" si="16"/>
        <v>97</v>
      </c>
      <c r="B100" s="549">
        <f t="shared" si="17"/>
        <v>1574.7</v>
      </c>
      <c r="C100" s="1008"/>
      <c r="D100" s="539">
        <f t="shared" si="13"/>
        <v>97</v>
      </c>
      <c r="E100" s="549">
        <f t="shared" si="12"/>
        <v>1574.7</v>
      </c>
      <c r="F100" s="1008"/>
      <c r="G100" s="539">
        <f t="shared" si="14"/>
        <v>97</v>
      </c>
      <c r="H100" s="549">
        <f t="shared" si="18"/>
        <v>2310.0999999999995</v>
      </c>
      <c r="I100" s="1008"/>
      <c r="J100" s="539">
        <f t="shared" si="15"/>
        <v>97</v>
      </c>
      <c r="K100" s="549">
        <f t="shared" si="19"/>
        <v>2520.2999999999993</v>
      </c>
      <c r="L100" s="547"/>
    </row>
    <row r="101" spans="1:12" ht="20.2" customHeight="1">
      <c r="A101" s="539">
        <f t="shared" si="16"/>
        <v>98</v>
      </c>
      <c r="B101" s="549">
        <f t="shared" si="17"/>
        <v>1589.7</v>
      </c>
      <c r="C101" s="1008"/>
      <c r="D101" s="539">
        <f t="shared" si="13"/>
        <v>98</v>
      </c>
      <c r="E101" s="549">
        <f t="shared" si="12"/>
        <v>1589.7</v>
      </c>
      <c r="F101" s="1008"/>
      <c r="G101" s="539">
        <f t="shared" si="14"/>
        <v>98</v>
      </c>
      <c r="H101" s="549">
        <f t="shared" si="18"/>
        <v>2332.0999999999995</v>
      </c>
      <c r="I101" s="1008"/>
      <c r="J101" s="539">
        <f t="shared" si="15"/>
        <v>98</v>
      </c>
      <c r="K101" s="549">
        <f t="shared" si="19"/>
        <v>2544.2999999999993</v>
      </c>
      <c r="L101" s="547"/>
    </row>
    <row r="102" spans="1:12" ht="20.2" customHeight="1">
      <c r="A102" s="539">
        <f t="shared" si="16"/>
        <v>99</v>
      </c>
      <c r="B102" s="549">
        <f t="shared" si="17"/>
        <v>1604.7</v>
      </c>
      <c r="C102" s="1008"/>
      <c r="D102" s="539">
        <f t="shared" si="13"/>
        <v>99</v>
      </c>
      <c r="E102" s="549">
        <f t="shared" ref="E102:E165" si="20">E101+15</f>
        <v>1604.7</v>
      </c>
      <c r="F102" s="1008"/>
      <c r="G102" s="539">
        <f t="shared" si="14"/>
        <v>99</v>
      </c>
      <c r="H102" s="549">
        <f t="shared" si="18"/>
        <v>2354.0999999999995</v>
      </c>
      <c r="I102" s="1008"/>
      <c r="J102" s="539">
        <f t="shared" si="15"/>
        <v>99</v>
      </c>
      <c r="K102" s="549">
        <f t="shared" si="19"/>
        <v>2568.2999999999993</v>
      </c>
      <c r="L102" s="547"/>
    </row>
    <row r="103" spans="1:12" ht="20.2" customHeight="1">
      <c r="A103" s="539">
        <f t="shared" si="16"/>
        <v>100</v>
      </c>
      <c r="B103" s="549">
        <f t="shared" si="17"/>
        <v>1619.7</v>
      </c>
      <c r="C103" s="1008"/>
      <c r="D103" s="539">
        <f t="shared" si="13"/>
        <v>100</v>
      </c>
      <c r="E103" s="549">
        <f t="shared" si="20"/>
        <v>1619.7</v>
      </c>
      <c r="F103" s="1008"/>
      <c r="G103" s="539">
        <f t="shared" si="14"/>
        <v>100</v>
      </c>
      <c r="H103" s="549">
        <f t="shared" si="18"/>
        <v>2376.0999999999995</v>
      </c>
      <c r="I103" s="1008"/>
      <c r="J103" s="539">
        <f t="shared" si="15"/>
        <v>100</v>
      </c>
      <c r="K103" s="549">
        <f t="shared" si="19"/>
        <v>2592.2999999999993</v>
      </c>
      <c r="L103" s="547"/>
    </row>
    <row r="104" spans="1:12" ht="20.2" customHeight="1">
      <c r="A104" s="539">
        <f t="shared" si="16"/>
        <v>101</v>
      </c>
      <c r="B104" s="549">
        <f t="shared" si="17"/>
        <v>1634.7</v>
      </c>
      <c r="C104" s="1008"/>
      <c r="D104" s="539">
        <f t="shared" si="13"/>
        <v>101</v>
      </c>
      <c r="E104" s="549">
        <f t="shared" si="20"/>
        <v>1634.7</v>
      </c>
      <c r="F104" s="1008"/>
      <c r="G104" s="539">
        <f t="shared" si="14"/>
        <v>101</v>
      </c>
      <c r="H104" s="549">
        <f t="shared" si="18"/>
        <v>2398.0999999999995</v>
      </c>
      <c r="I104" s="1008"/>
      <c r="J104" s="539">
        <f t="shared" si="15"/>
        <v>101</v>
      </c>
      <c r="K104" s="549">
        <f t="shared" si="19"/>
        <v>2616.2999999999993</v>
      </c>
      <c r="L104" s="547"/>
    </row>
    <row r="105" spans="1:12" ht="20.2" customHeight="1">
      <c r="A105" s="539">
        <f t="shared" si="16"/>
        <v>102</v>
      </c>
      <c r="B105" s="549">
        <f t="shared" si="17"/>
        <v>1649.7</v>
      </c>
      <c r="C105" s="1008"/>
      <c r="D105" s="539">
        <f t="shared" si="13"/>
        <v>102</v>
      </c>
      <c r="E105" s="549">
        <f t="shared" si="20"/>
        <v>1649.7</v>
      </c>
      <c r="F105" s="1008"/>
      <c r="G105" s="539">
        <f t="shared" si="14"/>
        <v>102</v>
      </c>
      <c r="H105" s="549">
        <f t="shared" si="18"/>
        <v>2420.0999999999995</v>
      </c>
      <c r="I105" s="1008"/>
      <c r="J105" s="539">
        <f t="shared" si="15"/>
        <v>102</v>
      </c>
      <c r="K105" s="549">
        <f t="shared" si="19"/>
        <v>2640.2999999999993</v>
      </c>
      <c r="L105" s="547"/>
    </row>
    <row r="106" spans="1:12" ht="20.2" customHeight="1">
      <c r="A106" s="539">
        <f t="shared" si="16"/>
        <v>103</v>
      </c>
      <c r="B106" s="549">
        <f t="shared" si="17"/>
        <v>1664.7</v>
      </c>
      <c r="C106" s="1008"/>
      <c r="D106" s="539">
        <f t="shared" si="13"/>
        <v>103</v>
      </c>
      <c r="E106" s="549">
        <f t="shared" si="20"/>
        <v>1664.7</v>
      </c>
      <c r="F106" s="1008"/>
      <c r="G106" s="539">
        <f t="shared" si="14"/>
        <v>103</v>
      </c>
      <c r="H106" s="549">
        <f t="shared" si="18"/>
        <v>2442.0999999999995</v>
      </c>
      <c r="I106" s="1008"/>
      <c r="J106" s="539">
        <f t="shared" si="15"/>
        <v>103</v>
      </c>
      <c r="K106" s="549">
        <f t="shared" si="19"/>
        <v>2664.2999999999993</v>
      </c>
      <c r="L106" s="547"/>
    </row>
    <row r="107" spans="1:12" ht="20.2" customHeight="1">
      <c r="A107" s="539">
        <f t="shared" si="16"/>
        <v>104</v>
      </c>
      <c r="B107" s="549">
        <f t="shared" si="17"/>
        <v>1679.7</v>
      </c>
      <c r="C107" s="1008"/>
      <c r="D107" s="539">
        <f t="shared" si="13"/>
        <v>104</v>
      </c>
      <c r="E107" s="549">
        <f t="shared" si="20"/>
        <v>1679.7</v>
      </c>
      <c r="F107" s="1008"/>
      <c r="G107" s="539">
        <f t="shared" si="14"/>
        <v>104</v>
      </c>
      <c r="H107" s="549">
        <f t="shared" si="18"/>
        <v>2464.0999999999995</v>
      </c>
      <c r="I107" s="1008"/>
      <c r="J107" s="539">
        <f t="shared" si="15"/>
        <v>104</v>
      </c>
      <c r="K107" s="549">
        <f t="shared" si="19"/>
        <v>2688.2999999999993</v>
      </c>
      <c r="L107" s="547"/>
    </row>
    <row r="108" spans="1:12" ht="20.2" customHeight="1">
      <c r="A108" s="539">
        <f t="shared" si="16"/>
        <v>105</v>
      </c>
      <c r="B108" s="549">
        <f t="shared" si="17"/>
        <v>1694.7</v>
      </c>
      <c r="C108" s="1008"/>
      <c r="D108" s="539">
        <f t="shared" si="13"/>
        <v>105</v>
      </c>
      <c r="E108" s="549">
        <f t="shared" si="20"/>
        <v>1694.7</v>
      </c>
      <c r="F108" s="1008"/>
      <c r="G108" s="539">
        <f t="shared" si="14"/>
        <v>105</v>
      </c>
      <c r="H108" s="549">
        <f t="shared" si="18"/>
        <v>2486.0999999999995</v>
      </c>
      <c r="I108" s="1008"/>
      <c r="J108" s="539">
        <f t="shared" si="15"/>
        <v>105</v>
      </c>
      <c r="K108" s="549">
        <f t="shared" si="19"/>
        <v>2712.2999999999993</v>
      </c>
      <c r="L108" s="547"/>
    </row>
    <row r="109" spans="1:12" ht="20.2" customHeight="1">
      <c r="A109" s="539">
        <f t="shared" si="16"/>
        <v>106</v>
      </c>
      <c r="B109" s="549">
        <f t="shared" si="17"/>
        <v>1709.7</v>
      </c>
      <c r="C109" s="1008"/>
      <c r="D109" s="539">
        <f t="shared" si="13"/>
        <v>106</v>
      </c>
      <c r="E109" s="549">
        <f t="shared" si="20"/>
        <v>1709.7</v>
      </c>
      <c r="F109" s="1008"/>
      <c r="G109" s="539">
        <f t="shared" si="14"/>
        <v>106</v>
      </c>
      <c r="H109" s="549">
        <f t="shared" si="18"/>
        <v>2508.0999999999995</v>
      </c>
      <c r="I109" s="1008"/>
      <c r="J109" s="539">
        <f t="shared" si="15"/>
        <v>106</v>
      </c>
      <c r="K109" s="549">
        <f t="shared" si="19"/>
        <v>2736.2999999999993</v>
      </c>
      <c r="L109" s="547"/>
    </row>
    <row r="110" spans="1:12" ht="20.2" customHeight="1">
      <c r="A110" s="539">
        <f t="shared" si="16"/>
        <v>107</v>
      </c>
      <c r="B110" s="549">
        <f t="shared" si="17"/>
        <v>1724.7</v>
      </c>
      <c r="C110" s="1008"/>
      <c r="D110" s="539">
        <f t="shared" si="13"/>
        <v>107</v>
      </c>
      <c r="E110" s="549">
        <f t="shared" si="20"/>
        <v>1724.7</v>
      </c>
      <c r="F110" s="1008"/>
      <c r="G110" s="539">
        <f t="shared" si="14"/>
        <v>107</v>
      </c>
      <c r="H110" s="549">
        <f t="shared" si="18"/>
        <v>2530.0999999999995</v>
      </c>
      <c r="I110" s="1008"/>
      <c r="J110" s="539">
        <f t="shared" si="15"/>
        <v>107</v>
      </c>
      <c r="K110" s="549">
        <f t="shared" si="19"/>
        <v>2760.2999999999993</v>
      </c>
      <c r="L110" s="547"/>
    </row>
    <row r="111" spans="1:12" ht="20.2" customHeight="1">
      <c r="A111" s="539">
        <f t="shared" si="16"/>
        <v>108</v>
      </c>
      <c r="B111" s="549">
        <f t="shared" si="17"/>
        <v>1739.7</v>
      </c>
      <c r="C111" s="1008"/>
      <c r="D111" s="539">
        <f t="shared" si="13"/>
        <v>108</v>
      </c>
      <c r="E111" s="549">
        <f t="shared" si="20"/>
        <v>1739.7</v>
      </c>
      <c r="F111" s="1008"/>
      <c r="G111" s="539">
        <f t="shared" si="14"/>
        <v>108</v>
      </c>
      <c r="H111" s="549">
        <f t="shared" si="18"/>
        <v>2552.0999999999995</v>
      </c>
      <c r="I111" s="1008"/>
      <c r="J111" s="539">
        <f t="shared" si="15"/>
        <v>108</v>
      </c>
      <c r="K111" s="549">
        <f t="shared" si="19"/>
        <v>2784.2999999999993</v>
      </c>
      <c r="L111" s="547"/>
    </row>
    <row r="112" spans="1:12" ht="20.2" customHeight="1">
      <c r="A112" s="539">
        <f t="shared" si="16"/>
        <v>109</v>
      </c>
      <c r="B112" s="549">
        <f t="shared" si="17"/>
        <v>1754.7</v>
      </c>
      <c r="C112" s="1008"/>
      <c r="D112" s="539">
        <f t="shared" si="13"/>
        <v>109</v>
      </c>
      <c r="E112" s="549">
        <f t="shared" si="20"/>
        <v>1754.7</v>
      </c>
      <c r="F112" s="1008"/>
      <c r="G112" s="539">
        <f t="shared" si="14"/>
        <v>109</v>
      </c>
      <c r="H112" s="549">
        <f t="shared" si="18"/>
        <v>2574.0999999999995</v>
      </c>
      <c r="I112" s="1008"/>
      <c r="J112" s="539">
        <f t="shared" si="15"/>
        <v>109</v>
      </c>
      <c r="K112" s="549">
        <f t="shared" si="19"/>
        <v>2808.2999999999993</v>
      </c>
      <c r="L112" s="547"/>
    </row>
    <row r="113" spans="1:12" ht="20.2" customHeight="1">
      <c r="A113" s="539">
        <f t="shared" si="16"/>
        <v>110</v>
      </c>
      <c r="B113" s="549">
        <f t="shared" si="17"/>
        <v>1769.7</v>
      </c>
      <c r="C113" s="1008"/>
      <c r="D113" s="539">
        <f t="shared" si="13"/>
        <v>110</v>
      </c>
      <c r="E113" s="549">
        <f t="shared" si="20"/>
        <v>1769.7</v>
      </c>
      <c r="F113" s="1008"/>
      <c r="G113" s="539">
        <f t="shared" si="14"/>
        <v>110</v>
      </c>
      <c r="H113" s="549">
        <f t="shared" si="18"/>
        <v>2596.0999999999995</v>
      </c>
      <c r="I113" s="1008"/>
      <c r="J113" s="539">
        <f t="shared" si="15"/>
        <v>110</v>
      </c>
      <c r="K113" s="549">
        <f t="shared" si="19"/>
        <v>2832.2999999999993</v>
      </c>
      <c r="L113" s="547"/>
    </row>
    <row r="114" spans="1:12" ht="20.2" customHeight="1">
      <c r="A114" s="539">
        <f t="shared" si="16"/>
        <v>111</v>
      </c>
      <c r="B114" s="549">
        <f t="shared" si="17"/>
        <v>1784.7</v>
      </c>
      <c r="C114" s="1008"/>
      <c r="D114" s="539">
        <f t="shared" si="13"/>
        <v>111</v>
      </c>
      <c r="E114" s="549">
        <f t="shared" si="20"/>
        <v>1784.7</v>
      </c>
      <c r="F114" s="1008"/>
      <c r="G114" s="539">
        <f t="shared" si="14"/>
        <v>111</v>
      </c>
      <c r="H114" s="549">
        <f t="shared" si="18"/>
        <v>2618.0999999999995</v>
      </c>
      <c r="I114" s="1008"/>
      <c r="J114" s="539">
        <f t="shared" si="15"/>
        <v>111</v>
      </c>
      <c r="K114" s="549">
        <f t="shared" si="19"/>
        <v>2856.2999999999993</v>
      </c>
      <c r="L114" s="547"/>
    </row>
    <row r="115" spans="1:12" ht="20.2" customHeight="1">
      <c r="A115" s="539">
        <f t="shared" si="16"/>
        <v>112</v>
      </c>
      <c r="B115" s="549">
        <f t="shared" si="17"/>
        <v>1799.7</v>
      </c>
      <c r="C115" s="1008"/>
      <c r="D115" s="539">
        <f t="shared" si="13"/>
        <v>112</v>
      </c>
      <c r="E115" s="549">
        <f t="shared" si="20"/>
        <v>1799.7</v>
      </c>
      <c r="F115" s="1008"/>
      <c r="G115" s="539">
        <f t="shared" si="14"/>
        <v>112</v>
      </c>
      <c r="H115" s="549">
        <f t="shared" si="18"/>
        <v>2640.0999999999995</v>
      </c>
      <c r="I115" s="1008"/>
      <c r="J115" s="539">
        <f t="shared" si="15"/>
        <v>112</v>
      </c>
      <c r="K115" s="549">
        <f t="shared" si="19"/>
        <v>2880.2999999999993</v>
      </c>
      <c r="L115" s="547"/>
    </row>
    <row r="116" spans="1:12" ht="20.2" customHeight="1">
      <c r="A116" s="539">
        <f t="shared" si="16"/>
        <v>113</v>
      </c>
      <c r="B116" s="549">
        <f t="shared" si="17"/>
        <v>1814.7</v>
      </c>
      <c r="C116" s="1008"/>
      <c r="D116" s="539">
        <f t="shared" si="13"/>
        <v>113</v>
      </c>
      <c r="E116" s="549">
        <f t="shared" si="20"/>
        <v>1814.7</v>
      </c>
      <c r="F116" s="1008"/>
      <c r="G116" s="539">
        <f t="shared" si="14"/>
        <v>113</v>
      </c>
      <c r="H116" s="549">
        <f t="shared" si="18"/>
        <v>2662.0999999999995</v>
      </c>
      <c r="I116" s="1008"/>
      <c r="J116" s="539">
        <f t="shared" si="15"/>
        <v>113</v>
      </c>
      <c r="K116" s="549">
        <f t="shared" si="19"/>
        <v>2904.2999999999993</v>
      </c>
      <c r="L116" s="547"/>
    </row>
    <row r="117" spans="1:12" ht="20.2" customHeight="1">
      <c r="A117" s="539">
        <f t="shared" si="16"/>
        <v>114</v>
      </c>
      <c r="B117" s="549">
        <f t="shared" si="17"/>
        <v>1829.7</v>
      </c>
      <c r="C117" s="1008"/>
      <c r="D117" s="539">
        <f t="shared" si="13"/>
        <v>114</v>
      </c>
      <c r="E117" s="549">
        <f t="shared" si="20"/>
        <v>1829.7</v>
      </c>
      <c r="F117" s="1008"/>
      <c r="G117" s="539">
        <f t="shared" si="14"/>
        <v>114</v>
      </c>
      <c r="H117" s="549">
        <f t="shared" si="18"/>
        <v>2684.0999999999995</v>
      </c>
      <c r="I117" s="1008"/>
      <c r="J117" s="539">
        <f t="shared" si="15"/>
        <v>114</v>
      </c>
      <c r="K117" s="549">
        <f t="shared" si="19"/>
        <v>2928.2999999999993</v>
      </c>
      <c r="L117" s="547"/>
    </row>
    <row r="118" spans="1:12" ht="20.2" customHeight="1">
      <c r="A118" s="539">
        <f t="shared" si="16"/>
        <v>115</v>
      </c>
      <c r="B118" s="549">
        <f t="shared" si="17"/>
        <v>1844.7</v>
      </c>
      <c r="C118" s="1008"/>
      <c r="D118" s="539">
        <f t="shared" si="13"/>
        <v>115</v>
      </c>
      <c r="E118" s="549">
        <f t="shared" si="20"/>
        <v>1844.7</v>
      </c>
      <c r="F118" s="1008"/>
      <c r="G118" s="539">
        <f t="shared" si="14"/>
        <v>115</v>
      </c>
      <c r="H118" s="549">
        <f t="shared" si="18"/>
        <v>2706.0999999999995</v>
      </c>
      <c r="I118" s="1008"/>
      <c r="J118" s="539">
        <f t="shared" si="15"/>
        <v>115</v>
      </c>
      <c r="K118" s="549">
        <f t="shared" si="19"/>
        <v>2952.2999999999993</v>
      </c>
      <c r="L118" s="547"/>
    </row>
    <row r="119" spans="1:12" ht="20.2" customHeight="1">
      <c r="A119" s="539">
        <f t="shared" si="16"/>
        <v>116</v>
      </c>
      <c r="B119" s="549">
        <f t="shared" si="17"/>
        <v>1859.7</v>
      </c>
      <c r="C119" s="1008"/>
      <c r="D119" s="539">
        <f t="shared" si="13"/>
        <v>116</v>
      </c>
      <c r="E119" s="549">
        <f t="shared" si="20"/>
        <v>1859.7</v>
      </c>
      <c r="F119" s="1008"/>
      <c r="G119" s="539">
        <f t="shared" si="14"/>
        <v>116</v>
      </c>
      <c r="H119" s="549">
        <f t="shared" si="18"/>
        <v>2728.0999999999995</v>
      </c>
      <c r="I119" s="1008"/>
      <c r="J119" s="539">
        <f t="shared" si="15"/>
        <v>116</v>
      </c>
      <c r="K119" s="549">
        <f t="shared" si="19"/>
        <v>2976.2999999999993</v>
      </c>
      <c r="L119" s="547"/>
    </row>
    <row r="120" spans="1:12" ht="20.2" customHeight="1">
      <c r="A120" s="539">
        <f t="shared" si="16"/>
        <v>117</v>
      </c>
      <c r="B120" s="549">
        <f t="shared" si="17"/>
        <v>1874.7</v>
      </c>
      <c r="C120" s="1008"/>
      <c r="D120" s="539">
        <f t="shared" si="13"/>
        <v>117</v>
      </c>
      <c r="E120" s="549">
        <f t="shared" si="20"/>
        <v>1874.7</v>
      </c>
      <c r="F120" s="1008"/>
      <c r="G120" s="539">
        <f t="shared" si="14"/>
        <v>117</v>
      </c>
      <c r="H120" s="549">
        <f t="shared" si="18"/>
        <v>2750.0999999999995</v>
      </c>
      <c r="I120" s="1008"/>
      <c r="J120" s="539">
        <f t="shared" si="15"/>
        <v>117</v>
      </c>
      <c r="K120" s="549">
        <f t="shared" si="19"/>
        <v>3000.2999999999993</v>
      </c>
      <c r="L120" s="547"/>
    </row>
    <row r="121" spans="1:12" ht="20.2" customHeight="1">
      <c r="A121" s="539">
        <f t="shared" si="16"/>
        <v>118</v>
      </c>
      <c r="B121" s="549">
        <f t="shared" si="17"/>
        <v>1889.7</v>
      </c>
      <c r="C121" s="1008"/>
      <c r="D121" s="539">
        <f t="shared" si="13"/>
        <v>118</v>
      </c>
      <c r="E121" s="549">
        <f t="shared" si="20"/>
        <v>1889.7</v>
      </c>
      <c r="F121" s="1008"/>
      <c r="G121" s="539">
        <f t="shared" si="14"/>
        <v>118</v>
      </c>
      <c r="H121" s="549">
        <f t="shared" si="18"/>
        <v>2772.0999999999995</v>
      </c>
      <c r="I121" s="1008"/>
      <c r="J121" s="539">
        <f t="shared" si="15"/>
        <v>118</v>
      </c>
      <c r="K121" s="549">
        <f t="shared" si="19"/>
        <v>3024.2999999999993</v>
      </c>
      <c r="L121" s="547"/>
    </row>
    <row r="122" spans="1:12" ht="20.2" customHeight="1">
      <c r="A122" s="539">
        <f t="shared" si="16"/>
        <v>119</v>
      </c>
      <c r="B122" s="549">
        <f t="shared" si="17"/>
        <v>1904.7</v>
      </c>
      <c r="C122" s="1008"/>
      <c r="D122" s="539">
        <f t="shared" si="13"/>
        <v>119</v>
      </c>
      <c r="E122" s="549">
        <f t="shared" si="20"/>
        <v>1904.7</v>
      </c>
      <c r="F122" s="1008"/>
      <c r="G122" s="539">
        <f t="shared" si="14"/>
        <v>119</v>
      </c>
      <c r="H122" s="549">
        <f t="shared" si="18"/>
        <v>2794.0999999999995</v>
      </c>
      <c r="I122" s="1008"/>
      <c r="J122" s="539">
        <f t="shared" si="15"/>
        <v>119</v>
      </c>
      <c r="K122" s="549">
        <f t="shared" si="19"/>
        <v>3048.2999999999993</v>
      </c>
      <c r="L122" s="547"/>
    </row>
    <row r="123" spans="1:12" ht="20.2" customHeight="1">
      <c r="A123" s="539">
        <f t="shared" si="16"/>
        <v>120</v>
      </c>
      <c r="B123" s="549">
        <f t="shared" si="17"/>
        <v>1919.7</v>
      </c>
      <c r="C123" s="1008"/>
      <c r="D123" s="539">
        <f t="shared" si="13"/>
        <v>120</v>
      </c>
      <c r="E123" s="549">
        <f t="shared" si="20"/>
        <v>1919.7</v>
      </c>
      <c r="F123" s="1008"/>
      <c r="G123" s="539">
        <f t="shared" si="14"/>
        <v>120</v>
      </c>
      <c r="H123" s="549">
        <f t="shared" si="18"/>
        <v>2816.0999999999995</v>
      </c>
      <c r="I123" s="1008"/>
      <c r="J123" s="539">
        <f t="shared" si="15"/>
        <v>120</v>
      </c>
      <c r="K123" s="549">
        <f t="shared" si="19"/>
        <v>3072.2999999999993</v>
      </c>
      <c r="L123" s="547"/>
    </row>
    <row r="124" spans="1:12" ht="20.2" customHeight="1">
      <c r="A124" s="539">
        <f t="shared" si="16"/>
        <v>121</v>
      </c>
      <c r="B124" s="549">
        <f t="shared" si="17"/>
        <v>1934.7</v>
      </c>
      <c r="C124" s="1008"/>
      <c r="D124" s="539">
        <f t="shared" si="13"/>
        <v>121</v>
      </c>
      <c r="E124" s="549">
        <f t="shared" si="20"/>
        <v>1934.7</v>
      </c>
      <c r="F124" s="1008"/>
      <c r="G124" s="539">
        <f t="shared" si="14"/>
        <v>121</v>
      </c>
      <c r="H124" s="549">
        <f t="shared" si="18"/>
        <v>2838.0999999999995</v>
      </c>
      <c r="I124" s="1008"/>
      <c r="J124" s="539">
        <f t="shared" si="15"/>
        <v>121</v>
      </c>
      <c r="K124" s="549">
        <f t="shared" si="19"/>
        <v>3096.2999999999993</v>
      </c>
      <c r="L124" s="547"/>
    </row>
    <row r="125" spans="1:12" ht="20.2" customHeight="1">
      <c r="A125" s="539">
        <f t="shared" si="16"/>
        <v>122</v>
      </c>
      <c r="B125" s="549">
        <f t="shared" si="17"/>
        <v>1949.7</v>
      </c>
      <c r="C125" s="1008"/>
      <c r="D125" s="539">
        <f t="shared" si="13"/>
        <v>122</v>
      </c>
      <c r="E125" s="549">
        <f t="shared" si="20"/>
        <v>1949.7</v>
      </c>
      <c r="F125" s="1008"/>
      <c r="G125" s="539">
        <f t="shared" si="14"/>
        <v>122</v>
      </c>
      <c r="H125" s="549">
        <f t="shared" si="18"/>
        <v>2860.0999999999995</v>
      </c>
      <c r="I125" s="1008"/>
      <c r="J125" s="539">
        <f t="shared" si="15"/>
        <v>122</v>
      </c>
      <c r="K125" s="549">
        <f t="shared" si="19"/>
        <v>3120.2999999999993</v>
      </c>
      <c r="L125" s="547"/>
    </row>
    <row r="126" spans="1:12" ht="20.2" customHeight="1">
      <c r="A126" s="539">
        <f t="shared" si="16"/>
        <v>123</v>
      </c>
      <c r="B126" s="549">
        <f t="shared" si="17"/>
        <v>1964.7</v>
      </c>
      <c r="C126" s="1008"/>
      <c r="D126" s="539">
        <f t="shared" si="13"/>
        <v>123</v>
      </c>
      <c r="E126" s="549">
        <f t="shared" si="20"/>
        <v>1964.7</v>
      </c>
      <c r="F126" s="1008"/>
      <c r="G126" s="539">
        <f t="shared" si="14"/>
        <v>123</v>
      </c>
      <c r="H126" s="549">
        <f t="shared" si="18"/>
        <v>2882.0999999999995</v>
      </c>
      <c r="I126" s="1008"/>
      <c r="J126" s="539">
        <f t="shared" si="15"/>
        <v>123</v>
      </c>
      <c r="K126" s="549">
        <f t="shared" si="19"/>
        <v>3144.2999999999993</v>
      </c>
      <c r="L126" s="547"/>
    </row>
    <row r="127" spans="1:12" ht="20.2" customHeight="1">
      <c r="A127" s="539">
        <f t="shared" si="16"/>
        <v>124</v>
      </c>
      <c r="B127" s="549">
        <f t="shared" si="17"/>
        <v>1979.7</v>
      </c>
      <c r="C127" s="1008"/>
      <c r="D127" s="539">
        <f t="shared" si="13"/>
        <v>124</v>
      </c>
      <c r="E127" s="549">
        <f t="shared" si="20"/>
        <v>1979.7</v>
      </c>
      <c r="F127" s="1008"/>
      <c r="G127" s="539">
        <f t="shared" si="14"/>
        <v>124</v>
      </c>
      <c r="H127" s="549">
        <f t="shared" si="18"/>
        <v>2904.0999999999995</v>
      </c>
      <c r="I127" s="1008"/>
      <c r="J127" s="539">
        <f t="shared" si="15"/>
        <v>124</v>
      </c>
      <c r="K127" s="549">
        <f t="shared" si="19"/>
        <v>3168.2999999999993</v>
      </c>
      <c r="L127" s="547"/>
    </row>
    <row r="128" spans="1:12" ht="20.2" customHeight="1">
      <c r="A128" s="539">
        <f t="shared" si="16"/>
        <v>125</v>
      </c>
      <c r="B128" s="549">
        <f t="shared" si="17"/>
        <v>1994.7</v>
      </c>
      <c r="C128" s="1008"/>
      <c r="D128" s="539">
        <f t="shared" si="13"/>
        <v>125</v>
      </c>
      <c r="E128" s="549">
        <f t="shared" si="20"/>
        <v>1994.7</v>
      </c>
      <c r="F128" s="1008"/>
      <c r="G128" s="539">
        <f t="shared" si="14"/>
        <v>125</v>
      </c>
      <c r="H128" s="549">
        <f t="shared" si="18"/>
        <v>2926.0999999999995</v>
      </c>
      <c r="I128" s="1008"/>
      <c r="J128" s="539">
        <f t="shared" si="15"/>
        <v>125</v>
      </c>
      <c r="K128" s="549">
        <f t="shared" si="19"/>
        <v>3192.2999999999993</v>
      </c>
      <c r="L128" s="547"/>
    </row>
    <row r="129" spans="1:12" ht="20.2" customHeight="1">
      <c r="A129" s="539">
        <f t="shared" si="16"/>
        <v>126</v>
      </c>
      <c r="B129" s="549">
        <f t="shared" si="17"/>
        <v>2009.7</v>
      </c>
      <c r="C129" s="1008"/>
      <c r="D129" s="539">
        <f t="shared" si="13"/>
        <v>126</v>
      </c>
      <c r="E129" s="549">
        <f t="shared" si="20"/>
        <v>2009.7</v>
      </c>
      <c r="F129" s="1008"/>
      <c r="G129" s="539">
        <f t="shared" si="14"/>
        <v>126</v>
      </c>
      <c r="H129" s="549">
        <f t="shared" si="18"/>
        <v>2948.0999999999995</v>
      </c>
      <c r="I129" s="1008"/>
      <c r="J129" s="539">
        <f t="shared" si="15"/>
        <v>126</v>
      </c>
      <c r="K129" s="549">
        <f t="shared" si="19"/>
        <v>3216.2999999999993</v>
      </c>
      <c r="L129" s="547"/>
    </row>
    <row r="130" spans="1:12" ht="20.2" customHeight="1">
      <c r="A130" s="539">
        <f t="shared" si="16"/>
        <v>127</v>
      </c>
      <c r="B130" s="549">
        <f t="shared" si="17"/>
        <v>2024.7</v>
      </c>
      <c r="C130" s="1008"/>
      <c r="D130" s="539">
        <f t="shared" si="13"/>
        <v>127</v>
      </c>
      <c r="E130" s="549">
        <f t="shared" si="20"/>
        <v>2024.7</v>
      </c>
      <c r="F130" s="1008"/>
      <c r="G130" s="539">
        <f t="shared" si="14"/>
        <v>127</v>
      </c>
      <c r="H130" s="549">
        <f t="shared" si="18"/>
        <v>2970.0999999999995</v>
      </c>
      <c r="I130" s="1008"/>
      <c r="J130" s="539">
        <f t="shared" si="15"/>
        <v>127</v>
      </c>
      <c r="K130" s="549">
        <f t="shared" si="19"/>
        <v>3240.2999999999993</v>
      </c>
      <c r="L130" s="547"/>
    </row>
    <row r="131" spans="1:12" ht="20.2" customHeight="1">
      <c r="A131" s="539">
        <f t="shared" si="16"/>
        <v>128</v>
      </c>
      <c r="B131" s="549">
        <f t="shared" si="17"/>
        <v>2039.7</v>
      </c>
      <c r="C131" s="1008"/>
      <c r="D131" s="539">
        <f t="shared" si="13"/>
        <v>128</v>
      </c>
      <c r="E131" s="549">
        <f t="shared" si="20"/>
        <v>2039.7</v>
      </c>
      <c r="F131" s="1008"/>
      <c r="G131" s="539">
        <f t="shared" si="14"/>
        <v>128</v>
      </c>
      <c r="H131" s="549">
        <f t="shared" si="18"/>
        <v>2992.0999999999995</v>
      </c>
      <c r="I131" s="1008"/>
      <c r="J131" s="539">
        <f t="shared" si="15"/>
        <v>128</v>
      </c>
      <c r="K131" s="549">
        <f t="shared" si="19"/>
        <v>3264.2999999999993</v>
      </c>
      <c r="L131" s="547"/>
    </row>
    <row r="132" spans="1:12" ht="20.2" customHeight="1">
      <c r="A132" s="539">
        <f t="shared" si="16"/>
        <v>129</v>
      </c>
      <c r="B132" s="549">
        <f t="shared" si="17"/>
        <v>2054.6999999999998</v>
      </c>
      <c r="C132" s="1008"/>
      <c r="D132" s="539">
        <f t="shared" si="13"/>
        <v>129</v>
      </c>
      <c r="E132" s="549">
        <f t="shared" si="20"/>
        <v>2054.6999999999998</v>
      </c>
      <c r="F132" s="1008"/>
      <c r="G132" s="539">
        <f t="shared" si="14"/>
        <v>129</v>
      </c>
      <c r="H132" s="549">
        <f t="shared" si="18"/>
        <v>3014.0999999999995</v>
      </c>
      <c r="I132" s="1008"/>
      <c r="J132" s="539">
        <f t="shared" si="15"/>
        <v>129</v>
      </c>
      <c r="K132" s="549">
        <f t="shared" si="19"/>
        <v>3288.2999999999993</v>
      </c>
      <c r="L132" s="547"/>
    </row>
    <row r="133" spans="1:12" ht="20.2" customHeight="1">
      <c r="A133" s="539">
        <f t="shared" si="16"/>
        <v>130</v>
      </c>
      <c r="B133" s="549">
        <f t="shared" si="17"/>
        <v>2069.6999999999998</v>
      </c>
      <c r="C133" s="1008"/>
      <c r="D133" s="539">
        <f t="shared" ref="D133:D196" si="21">D132+1</f>
        <v>130</v>
      </c>
      <c r="E133" s="549">
        <f t="shared" si="20"/>
        <v>2069.6999999999998</v>
      </c>
      <c r="F133" s="1008"/>
      <c r="G133" s="539">
        <f t="shared" si="14"/>
        <v>130</v>
      </c>
      <c r="H133" s="549">
        <f t="shared" si="18"/>
        <v>3036.0999999999995</v>
      </c>
      <c r="I133" s="1008"/>
      <c r="J133" s="539">
        <f t="shared" si="15"/>
        <v>130</v>
      </c>
      <c r="K133" s="549">
        <f t="shared" si="19"/>
        <v>3312.2999999999993</v>
      </c>
      <c r="L133" s="547"/>
    </row>
    <row r="134" spans="1:12" ht="20.2" customHeight="1">
      <c r="A134" s="539">
        <f t="shared" si="16"/>
        <v>131</v>
      </c>
      <c r="B134" s="549">
        <f t="shared" si="17"/>
        <v>2084.6999999999998</v>
      </c>
      <c r="C134" s="1008"/>
      <c r="D134" s="539">
        <f t="shared" si="21"/>
        <v>131</v>
      </c>
      <c r="E134" s="549">
        <f t="shared" si="20"/>
        <v>2084.6999999999998</v>
      </c>
      <c r="F134" s="1008"/>
      <c r="G134" s="539">
        <f t="shared" ref="G134:G197" si="22">G133+1</f>
        <v>131</v>
      </c>
      <c r="H134" s="549">
        <f t="shared" si="18"/>
        <v>3058.0999999999995</v>
      </c>
      <c r="I134" s="1008"/>
      <c r="J134" s="539">
        <f t="shared" ref="J134:J197" si="23">J133+1</f>
        <v>131</v>
      </c>
      <c r="K134" s="549">
        <f t="shared" si="19"/>
        <v>3336.2999999999993</v>
      </c>
      <c r="L134" s="547"/>
    </row>
    <row r="135" spans="1:12" ht="20.2" customHeight="1">
      <c r="A135" s="539">
        <f t="shared" si="16"/>
        <v>132</v>
      </c>
      <c r="B135" s="549">
        <f t="shared" si="17"/>
        <v>2099.6999999999998</v>
      </c>
      <c r="C135" s="1008"/>
      <c r="D135" s="539">
        <f t="shared" si="21"/>
        <v>132</v>
      </c>
      <c r="E135" s="549">
        <f t="shared" si="20"/>
        <v>2099.6999999999998</v>
      </c>
      <c r="F135" s="1008"/>
      <c r="G135" s="539">
        <f t="shared" si="22"/>
        <v>132</v>
      </c>
      <c r="H135" s="549">
        <f t="shared" si="18"/>
        <v>3080.0999999999995</v>
      </c>
      <c r="I135" s="1008"/>
      <c r="J135" s="539">
        <f t="shared" si="23"/>
        <v>132</v>
      </c>
      <c r="K135" s="549">
        <f t="shared" si="19"/>
        <v>3360.2999999999993</v>
      </c>
      <c r="L135" s="547"/>
    </row>
    <row r="136" spans="1:12" ht="20.2" customHeight="1">
      <c r="A136" s="539">
        <f t="shared" si="16"/>
        <v>133</v>
      </c>
      <c r="B136" s="549">
        <f t="shared" si="17"/>
        <v>2114.6999999999998</v>
      </c>
      <c r="C136" s="1008"/>
      <c r="D136" s="539">
        <f t="shared" si="21"/>
        <v>133</v>
      </c>
      <c r="E136" s="549">
        <f t="shared" si="20"/>
        <v>2114.6999999999998</v>
      </c>
      <c r="F136" s="1008"/>
      <c r="G136" s="539">
        <f t="shared" si="22"/>
        <v>133</v>
      </c>
      <c r="H136" s="549">
        <f t="shared" si="18"/>
        <v>3102.0999999999995</v>
      </c>
      <c r="I136" s="1008"/>
      <c r="J136" s="539">
        <f t="shared" si="23"/>
        <v>133</v>
      </c>
      <c r="K136" s="549">
        <f t="shared" si="19"/>
        <v>3384.2999999999993</v>
      </c>
      <c r="L136" s="547"/>
    </row>
    <row r="137" spans="1:12" ht="20.2" customHeight="1">
      <c r="A137" s="539">
        <f t="shared" si="16"/>
        <v>134</v>
      </c>
      <c r="B137" s="549">
        <f t="shared" si="17"/>
        <v>2129.6999999999998</v>
      </c>
      <c r="C137" s="1008"/>
      <c r="D137" s="539">
        <f t="shared" si="21"/>
        <v>134</v>
      </c>
      <c r="E137" s="549">
        <f t="shared" si="20"/>
        <v>2129.6999999999998</v>
      </c>
      <c r="F137" s="1008"/>
      <c r="G137" s="539">
        <f t="shared" si="22"/>
        <v>134</v>
      </c>
      <c r="H137" s="549">
        <f t="shared" si="18"/>
        <v>3124.0999999999995</v>
      </c>
      <c r="I137" s="1008"/>
      <c r="J137" s="539">
        <f t="shared" si="23"/>
        <v>134</v>
      </c>
      <c r="K137" s="549">
        <f t="shared" si="19"/>
        <v>3408.2999999999993</v>
      </c>
      <c r="L137" s="547"/>
    </row>
    <row r="138" spans="1:12" ht="20.2" customHeight="1">
      <c r="A138" s="539">
        <f t="shared" si="16"/>
        <v>135</v>
      </c>
      <c r="B138" s="549">
        <f t="shared" si="17"/>
        <v>2144.6999999999998</v>
      </c>
      <c r="C138" s="1008"/>
      <c r="D138" s="539">
        <f t="shared" si="21"/>
        <v>135</v>
      </c>
      <c r="E138" s="549">
        <f t="shared" si="20"/>
        <v>2144.6999999999998</v>
      </c>
      <c r="F138" s="1008"/>
      <c r="G138" s="539">
        <f t="shared" si="22"/>
        <v>135</v>
      </c>
      <c r="H138" s="549">
        <f t="shared" si="18"/>
        <v>3146.0999999999995</v>
      </c>
      <c r="I138" s="1008"/>
      <c r="J138" s="539">
        <f t="shared" si="23"/>
        <v>135</v>
      </c>
      <c r="K138" s="549">
        <f t="shared" si="19"/>
        <v>3432.2999999999993</v>
      </c>
      <c r="L138" s="547"/>
    </row>
    <row r="139" spans="1:12" ht="20.2" customHeight="1">
      <c r="A139" s="539">
        <f t="shared" si="16"/>
        <v>136</v>
      </c>
      <c r="B139" s="549">
        <f t="shared" si="17"/>
        <v>2159.6999999999998</v>
      </c>
      <c r="C139" s="1008"/>
      <c r="D139" s="539">
        <f t="shared" si="21"/>
        <v>136</v>
      </c>
      <c r="E139" s="549">
        <f t="shared" si="20"/>
        <v>2159.6999999999998</v>
      </c>
      <c r="F139" s="1008"/>
      <c r="G139" s="539">
        <f t="shared" si="22"/>
        <v>136</v>
      </c>
      <c r="H139" s="549">
        <f t="shared" si="18"/>
        <v>3168.0999999999995</v>
      </c>
      <c r="I139" s="1008"/>
      <c r="J139" s="539">
        <f t="shared" si="23"/>
        <v>136</v>
      </c>
      <c r="K139" s="549">
        <f t="shared" si="19"/>
        <v>3456.2999999999993</v>
      </c>
      <c r="L139" s="547"/>
    </row>
    <row r="140" spans="1:12" ht="20.2" customHeight="1">
      <c r="A140" s="539">
        <f t="shared" si="16"/>
        <v>137</v>
      </c>
      <c r="B140" s="549">
        <f t="shared" si="17"/>
        <v>2174.6999999999998</v>
      </c>
      <c r="C140" s="1008"/>
      <c r="D140" s="539">
        <f t="shared" si="21"/>
        <v>137</v>
      </c>
      <c r="E140" s="549">
        <f t="shared" si="20"/>
        <v>2174.6999999999998</v>
      </c>
      <c r="F140" s="1008"/>
      <c r="G140" s="539">
        <f t="shared" si="22"/>
        <v>137</v>
      </c>
      <c r="H140" s="549">
        <f t="shared" si="18"/>
        <v>3190.0999999999995</v>
      </c>
      <c r="I140" s="1008"/>
      <c r="J140" s="539">
        <f t="shared" si="23"/>
        <v>137</v>
      </c>
      <c r="K140" s="549">
        <f t="shared" si="19"/>
        <v>3480.2999999999993</v>
      </c>
      <c r="L140" s="547"/>
    </row>
    <row r="141" spans="1:12" ht="20.2" customHeight="1">
      <c r="A141" s="539">
        <f t="shared" si="16"/>
        <v>138</v>
      </c>
      <c r="B141" s="549">
        <f t="shared" si="17"/>
        <v>2189.6999999999998</v>
      </c>
      <c r="C141" s="1008"/>
      <c r="D141" s="539">
        <f t="shared" si="21"/>
        <v>138</v>
      </c>
      <c r="E141" s="549">
        <f t="shared" si="20"/>
        <v>2189.6999999999998</v>
      </c>
      <c r="F141" s="1008"/>
      <c r="G141" s="539">
        <f t="shared" si="22"/>
        <v>138</v>
      </c>
      <c r="H141" s="549">
        <f t="shared" si="18"/>
        <v>3212.0999999999995</v>
      </c>
      <c r="I141" s="1008"/>
      <c r="J141" s="539">
        <f t="shared" si="23"/>
        <v>138</v>
      </c>
      <c r="K141" s="549">
        <f t="shared" si="19"/>
        <v>3504.2999999999993</v>
      </c>
      <c r="L141" s="547"/>
    </row>
    <row r="142" spans="1:12" ht="20.2" customHeight="1">
      <c r="A142" s="539">
        <f t="shared" si="16"/>
        <v>139</v>
      </c>
      <c r="B142" s="549">
        <f t="shared" si="17"/>
        <v>2204.6999999999998</v>
      </c>
      <c r="C142" s="1008"/>
      <c r="D142" s="539">
        <f t="shared" si="21"/>
        <v>139</v>
      </c>
      <c r="E142" s="549">
        <f t="shared" si="20"/>
        <v>2204.6999999999998</v>
      </c>
      <c r="F142" s="1008"/>
      <c r="G142" s="539">
        <f t="shared" si="22"/>
        <v>139</v>
      </c>
      <c r="H142" s="549">
        <f t="shared" si="18"/>
        <v>3234.0999999999995</v>
      </c>
      <c r="I142" s="1008"/>
      <c r="J142" s="539">
        <f t="shared" si="23"/>
        <v>139</v>
      </c>
      <c r="K142" s="549">
        <f t="shared" si="19"/>
        <v>3528.2999999999993</v>
      </c>
      <c r="L142" s="547"/>
    </row>
    <row r="143" spans="1:12" ht="20.2" customHeight="1">
      <c r="A143" s="539">
        <f t="shared" si="16"/>
        <v>140</v>
      </c>
      <c r="B143" s="549">
        <f t="shared" si="17"/>
        <v>2219.6999999999998</v>
      </c>
      <c r="C143" s="1008"/>
      <c r="D143" s="539">
        <f t="shared" si="21"/>
        <v>140</v>
      </c>
      <c r="E143" s="549">
        <f t="shared" si="20"/>
        <v>2219.6999999999998</v>
      </c>
      <c r="F143" s="1008"/>
      <c r="G143" s="539">
        <f t="shared" si="22"/>
        <v>140</v>
      </c>
      <c r="H143" s="549">
        <f t="shared" si="18"/>
        <v>3256.0999999999995</v>
      </c>
      <c r="I143" s="1008"/>
      <c r="J143" s="539">
        <f t="shared" si="23"/>
        <v>140</v>
      </c>
      <c r="K143" s="549">
        <f t="shared" si="19"/>
        <v>3552.2999999999993</v>
      </c>
      <c r="L143" s="547"/>
    </row>
    <row r="144" spans="1:12" ht="20.2" customHeight="1">
      <c r="A144" s="539">
        <f t="shared" si="16"/>
        <v>141</v>
      </c>
      <c r="B144" s="549">
        <f t="shared" si="17"/>
        <v>2234.6999999999998</v>
      </c>
      <c r="C144" s="1008"/>
      <c r="D144" s="539">
        <f t="shared" si="21"/>
        <v>141</v>
      </c>
      <c r="E144" s="549">
        <f t="shared" si="20"/>
        <v>2234.6999999999998</v>
      </c>
      <c r="F144" s="1008"/>
      <c r="G144" s="539">
        <f t="shared" si="22"/>
        <v>141</v>
      </c>
      <c r="H144" s="549">
        <f t="shared" si="18"/>
        <v>3278.0999999999995</v>
      </c>
      <c r="I144" s="1008"/>
      <c r="J144" s="539">
        <f t="shared" si="23"/>
        <v>141</v>
      </c>
      <c r="K144" s="549">
        <f t="shared" si="19"/>
        <v>3576.2999999999993</v>
      </c>
      <c r="L144" s="547"/>
    </row>
    <row r="145" spans="1:12" ht="20.2" customHeight="1">
      <c r="A145" s="539">
        <f t="shared" si="16"/>
        <v>142</v>
      </c>
      <c r="B145" s="549">
        <f t="shared" si="17"/>
        <v>2249.6999999999998</v>
      </c>
      <c r="C145" s="1008"/>
      <c r="D145" s="539">
        <f t="shared" si="21"/>
        <v>142</v>
      </c>
      <c r="E145" s="549">
        <f t="shared" si="20"/>
        <v>2249.6999999999998</v>
      </c>
      <c r="F145" s="1008"/>
      <c r="G145" s="539">
        <f t="shared" si="22"/>
        <v>142</v>
      </c>
      <c r="H145" s="549">
        <f t="shared" si="18"/>
        <v>3300.0999999999995</v>
      </c>
      <c r="I145" s="1008"/>
      <c r="J145" s="539">
        <f t="shared" si="23"/>
        <v>142</v>
      </c>
      <c r="K145" s="549">
        <f t="shared" si="19"/>
        <v>3600.2999999999993</v>
      </c>
      <c r="L145" s="547"/>
    </row>
    <row r="146" spans="1:12" ht="20.2" customHeight="1">
      <c r="A146" s="539">
        <f t="shared" si="16"/>
        <v>143</v>
      </c>
      <c r="B146" s="549">
        <f t="shared" si="17"/>
        <v>2264.6999999999998</v>
      </c>
      <c r="C146" s="1008"/>
      <c r="D146" s="539">
        <f t="shared" si="21"/>
        <v>143</v>
      </c>
      <c r="E146" s="549">
        <f t="shared" si="20"/>
        <v>2264.6999999999998</v>
      </c>
      <c r="F146" s="1008"/>
      <c r="G146" s="539">
        <f t="shared" si="22"/>
        <v>143</v>
      </c>
      <c r="H146" s="549">
        <f t="shared" si="18"/>
        <v>3322.0999999999995</v>
      </c>
      <c r="I146" s="1008"/>
      <c r="J146" s="539">
        <f t="shared" si="23"/>
        <v>143</v>
      </c>
      <c r="K146" s="549">
        <f t="shared" si="19"/>
        <v>3624.2999999999993</v>
      </c>
      <c r="L146" s="547"/>
    </row>
    <row r="147" spans="1:12" ht="20.2" customHeight="1">
      <c r="A147" s="539">
        <f t="shared" si="16"/>
        <v>144</v>
      </c>
      <c r="B147" s="549">
        <f t="shared" si="17"/>
        <v>2279.6999999999998</v>
      </c>
      <c r="C147" s="1008"/>
      <c r="D147" s="539">
        <f t="shared" si="21"/>
        <v>144</v>
      </c>
      <c r="E147" s="549">
        <f t="shared" si="20"/>
        <v>2279.6999999999998</v>
      </c>
      <c r="F147" s="1008"/>
      <c r="G147" s="539">
        <f t="shared" si="22"/>
        <v>144</v>
      </c>
      <c r="H147" s="549">
        <f t="shared" si="18"/>
        <v>3344.0999999999995</v>
      </c>
      <c r="I147" s="1008"/>
      <c r="J147" s="539">
        <f t="shared" si="23"/>
        <v>144</v>
      </c>
      <c r="K147" s="549">
        <f t="shared" si="19"/>
        <v>3648.2999999999993</v>
      </c>
      <c r="L147" s="547"/>
    </row>
    <row r="148" spans="1:12" ht="20.2" customHeight="1">
      <c r="A148" s="539">
        <f t="shared" si="16"/>
        <v>145</v>
      </c>
      <c r="B148" s="549">
        <f t="shared" si="17"/>
        <v>2294.6999999999998</v>
      </c>
      <c r="C148" s="1008"/>
      <c r="D148" s="539">
        <f t="shared" si="21"/>
        <v>145</v>
      </c>
      <c r="E148" s="549">
        <f t="shared" si="20"/>
        <v>2294.6999999999998</v>
      </c>
      <c r="F148" s="1008"/>
      <c r="G148" s="539">
        <f t="shared" si="22"/>
        <v>145</v>
      </c>
      <c r="H148" s="549">
        <f t="shared" si="18"/>
        <v>3366.0999999999995</v>
      </c>
      <c r="I148" s="1008"/>
      <c r="J148" s="539">
        <f t="shared" si="23"/>
        <v>145</v>
      </c>
      <c r="K148" s="549">
        <f t="shared" si="19"/>
        <v>3672.2999999999993</v>
      </c>
      <c r="L148" s="547"/>
    </row>
    <row r="149" spans="1:12" ht="20.2" customHeight="1">
      <c r="A149" s="539">
        <f t="shared" si="16"/>
        <v>146</v>
      </c>
      <c r="B149" s="549">
        <f t="shared" si="17"/>
        <v>2309.6999999999998</v>
      </c>
      <c r="C149" s="1008"/>
      <c r="D149" s="539">
        <f t="shared" si="21"/>
        <v>146</v>
      </c>
      <c r="E149" s="549">
        <f t="shared" si="20"/>
        <v>2309.6999999999998</v>
      </c>
      <c r="F149" s="1008"/>
      <c r="G149" s="539">
        <f t="shared" si="22"/>
        <v>146</v>
      </c>
      <c r="H149" s="549">
        <f t="shared" si="18"/>
        <v>3388.0999999999995</v>
      </c>
      <c r="I149" s="1008"/>
      <c r="J149" s="539">
        <f t="shared" si="23"/>
        <v>146</v>
      </c>
      <c r="K149" s="549">
        <f t="shared" si="19"/>
        <v>3696.2999999999993</v>
      </c>
      <c r="L149" s="547"/>
    </row>
    <row r="150" spans="1:12" ht="20.2" customHeight="1">
      <c r="A150" s="539">
        <f t="shared" si="16"/>
        <v>147</v>
      </c>
      <c r="B150" s="549">
        <f t="shared" si="17"/>
        <v>2324.6999999999998</v>
      </c>
      <c r="C150" s="1008"/>
      <c r="D150" s="539">
        <f t="shared" si="21"/>
        <v>147</v>
      </c>
      <c r="E150" s="549">
        <f t="shared" si="20"/>
        <v>2324.6999999999998</v>
      </c>
      <c r="F150" s="1008"/>
      <c r="G150" s="539">
        <f t="shared" si="22"/>
        <v>147</v>
      </c>
      <c r="H150" s="549">
        <f t="shared" si="18"/>
        <v>3410.0999999999995</v>
      </c>
      <c r="I150" s="1008"/>
      <c r="J150" s="539">
        <f t="shared" si="23"/>
        <v>147</v>
      </c>
      <c r="K150" s="549">
        <f t="shared" si="19"/>
        <v>3720.2999999999993</v>
      </c>
      <c r="L150" s="547"/>
    </row>
    <row r="151" spans="1:12" ht="20.2" customHeight="1">
      <c r="A151" s="539">
        <f t="shared" si="16"/>
        <v>148</v>
      </c>
      <c r="B151" s="549">
        <f t="shared" si="17"/>
        <v>2339.6999999999998</v>
      </c>
      <c r="C151" s="1008"/>
      <c r="D151" s="539">
        <f t="shared" si="21"/>
        <v>148</v>
      </c>
      <c r="E151" s="549">
        <f t="shared" si="20"/>
        <v>2339.6999999999998</v>
      </c>
      <c r="F151" s="1008"/>
      <c r="G151" s="539">
        <f t="shared" si="22"/>
        <v>148</v>
      </c>
      <c r="H151" s="549">
        <f t="shared" si="18"/>
        <v>3432.0999999999995</v>
      </c>
      <c r="I151" s="1008"/>
      <c r="J151" s="539">
        <f t="shared" si="23"/>
        <v>148</v>
      </c>
      <c r="K151" s="549">
        <f t="shared" si="19"/>
        <v>3744.2999999999993</v>
      </c>
      <c r="L151" s="547"/>
    </row>
    <row r="152" spans="1:12" ht="20.2" customHeight="1">
      <c r="A152" s="539">
        <f t="shared" si="16"/>
        <v>149</v>
      </c>
      <c r="B152" s="549">
        <f t="shared" si="17"/>
        <v>2354.6999999999998</v>
      </c>
      <c r="C152" s="1008"/>
      <c r="D152" s="539">
        <f t="shared" si="21"/>
        <v>149</v>
      </c>
      <c r="E152" s="549">
        <f t="shared" si="20"/>
        <v>2354.6999999999998</v>
      </c>
      <c r="F152" s="1008"/>
      <c r="G152" s="539">
        <f t="shared" si="22"/>
        <v>149</v>
      </c>
      <c r="H152" s="549">
        <f t="shared" si="18"/>
        <v>3454.0999999999995</v>
      </c>
      <c r="I152" s="1008"/>
      <c r="J152" s="539">
        <f t="shared" si="23"/>
        <v>149</v>
      </c>
      <c r="K152" s="549">
        <f t="shared" si="19"/>
        <v>3768.2999999999993</v>
      </c>
      <c r="L152" s="547"/>
    </row>
    <row r="153" spans="1:12" ht="20.2" customHeight="1">
      <c r="A153" s="539">
        <f t="shared" si="16"/>
        <v>150</v>
      </c>
      <c r="B153" s="549">
        <f t="shared" si="17"/>
        <v>2369.6999999999998</v>
      </c>
      <c r="C153" s="1008"/>
      <c r="D153" s="539">
        <f t="shared" si="21"/>
        <v>150</v>
      </c>
      <c r="E153" s="549">
        <f t="shared" si="20"/>
        <v>2369.6999999999998</v>
      </c>
      <c r="F153" s="1008"/>
      <c r="G153" s="539">
        <f t="shared" si="22"/>
        <v>150</v>
      </c>
      <c r="H153" s="549">
        <f t="shared" si="18"/>
        <v>3476.0999999999995</v>
      </c>
      <c r="I153" s="1008"/>
      <c r="J153" s="539">
        <f t="shared" si="23"/>
        <v>150</v>
      </c>
      <c r="K153" s="549">
        <f t="shared" si="19"/>
        <v>3792.2999999999993</v>
      </c>
      <c r="L153" s="547"/>
    </row>
    <row r="154" spans="1:12" ht="20.2" customHeight="1">
      <c r="A154" s="539">
        <f t="shared" si="16"/>
        <v>151</v>
      </c>
      <c r="B154" s="549">
        <f t="shared" si="17"/>
        <v>2384.6999999999998</v>
      </c>
      <c r="C154" s="1008"/>
      <c r="D154" s="539">
        <f t="shared" si="21"/>
        <v>151</v>
      </c>
      <c r="E154" s="549">
        <f t="shared" si="20"/>
        <v>2384.6999999999998</v>
      </c>
      <c r="F154" s="1008"/>
      <c r="G154" s="539">
        <f t="shared" si="22"/>
        <v>151</v>
      </c>
      <c r="H154" s="549">
        <f t="shared" si="18"/>
        <v>3498.0999999999995</v>
      </c>
      <c r="I154" s="1008"/>
      <c r="J154" s="539">
        <f t="shared" si="23"/>
        <v>151</v>
      </c>
      <c r="K154" s="549">
        <f t="shared" si="19"/>
        <v>3816.2999999999993</v>
      </c>
      <c r="L154" s="547"/>
    </row>
    <row r="155" spans="1:12" ht="20.2" customHeight="1">
      <c r="A155" s="539">
        <f t="shared" si="16"/>
        <v>152</v>
      </c>
      <c r="B155" s="549">
        <f t="shared" si="17"/>
        <v>2399.6999999999998</v>
      </c>
      <c r="C155" s="1008"/>
      <c r="D155" s="539">
        <f t="shared" si="21"/>
        <v>152</v>
      </c>
      <c r="E155" s="549">
        <f t="shared" si="20"/>
        <v>2399.6999999999998</v>
      </c>
      <c r="F155" s="1008"/>
      <c r="G155" s="539">
        <f t="shared" si="22"/>
        <v>152</v>
      </c>
      <c r="H155" s="549">
        <f t="shared" si="18"/>
        <v>3520.0999999999995</v>
      </c>
      <c r="I155" s="1008"/>
      <c r="J155" s="539">
        <f t="shared" si="23"/>
        <v>152</v>
      </c>
      <c r="K155" s="549">
        <f t="shared" si="19"/>
        <v>3840.2999999999993</v>
      </c>
      <c r="L155" s="547"/>
    </row>
    <row r="156" spans="1:12" ht="20.2" customHeight="1">
      <c r="A156" s="539">
        <f t="shared" si="16"/>
        <v>153</v>
      </c>
      <c r="B156" s="549">
        <f t="shared" si="17"/>
        <v>2414.6999999999998</v>
      </c>
      <c r="C156" s="1008"/>
      <c r="D156" s="539">
        <f t="shared" si="21"/>
        <v>153</v>
      </c>
      <c r="E156" s="549">
        <f t="shared" si="20"/>
        <v>2414.6999999999998</v>
      </c>
      <c r="F156" s="1008"/>
      <c r="G156" s="539">
        <f t="shared" si="22"/>
        <v>153</v>
      </c>
      <c r="H156" s="549">
        <f t="shared" si="18"/>
        <v>3542.0999999999995</v>
      </c>
      <c r="I156" s="1008"/>
      <c r="J156" s="539">
        <f t="shared" si="23"/>
        <v>153</v>
      </c>
      <c r="K156" s="549">
        <f t="shared" si="19"/>
        <v>3864.2999999999993</v>
      </c>
      <c r="L156" s="547"/>
    </row>
    <row r="157" spans="1:12" ht="20.2" customHeight="1">
      <c r="A157" s="539">
        <f t="shared" si="16"/>
        <v>154</v>
      </c>
      <c r="B157" s="549">
        <f t="shared" si="17"/>
        <v>2429.6999999999998</v>
      </c>
      <c r="C157" s="1008"/>
      <c r="D157" s="539">
        <f t="shared" si="21"/>
        <v>154</v>
      </c>
      <c r="E157" s="549">
        <f t="shared" si="20"/>
        <v>2429.6999999999998</v>
      </c>
      <c r="F157" s="1008"/>
      <c r="G157" s="539">
        <f t="shared" si="22"/>
        <v>154</v>
      </c>
      <c r="H157" s="549">
        <f t="shared" si="18"/>
        <v>3564.0999999999995</v>
      </c>
      <c r="I157" s="1008"/>
      <c r="J157" s="539">
        <f t="shared" si="23"/>
        <v>154</v>
      </c>
      <c r="K157" s="549">
        <f t="shared" si="19"/>
        <v>3888.2999999999993</v>
      </c>
      <c r="L157" s="547"/>
    </row>
    <row r="158" spans="1:12" ht="20.2" customHeight="1">
      <c r="A158" s="539">
        <f t="shared" si="16"/>
        <v>155</v>
      </c>
      <c r="B158" s="549">
        <f t="shared" si="17"/>
        <v>2444.6999999999998</v>
      </c>
      <c r="C158" s="1008"/>
      <c r="D158" s="539">
        <f t="shared" si="21"/>
        <v>155</v>
      </c>
      <c r="E158" s="549">
        <f t="shared" si="20"/>
        <v>2444.6999999999998</v>
      </c>
      <c r="F158" s="1008"/>
      <c r="G158" s="539">
        <f t="shared" si="22"/>
        <v>155</v>
      </c>
      <c r="H158" s="549">
        <f t="shared" si="18"/>
        <v>3586.0999999999995</v>
      </c>
      <c r="I158" s="1008"/>
      <c r="J158" s="539">
        <f t="shared" si="23"/>
        <v>155</v>
      </c>
      <c r="K158" s="549">
        <f t="shared" si="19"/>
        <v>3912.2999999999993</v>
      </c>
      <c r="L158" s="547"/>
    </row>
    <row r="159" spans="1:12" ht="20.2" customHeight="1">
      <c r="A159" s="539">
        <f t="shared" si="16"/>
        <v>156</v>
      </c>
      <c r="B159" s="549">
        <f t="shared" si="17"/>
        <v>2459.6999999999998</v>
      </c>
      <c r="C159" s="1008"/>
      <c r="D159" s="539">
        <f t="shared" si="21"/>
        <v>156</v>
      </c>
      <c r="E159" s="549">
        <f t="shared" si="20"/>
        <v>2459.6999999999998</v>
      </c>
      <c r="F159" s="1008"/>
      <c r="G159" s="539">
        <f t="shared" si="22"/>
        <v>156</v>
      </c>
      <c r="H159" s="549">
        <f t="shared" si="18"/>
        <v>3608.0999999999995</v>
      </c>
      <c r="I159" s="1008"/>
      <c r="J159" s="539">
        <f t="shared" si="23"/>
        <v>156</v>
      </c>
      <c r="K159" s="549">
        <f t="shared" si="19"/>
        <v>3936.2999999999993</v>
      </c>
      <c r="L159" s="547"/>
    </row>
    <row r="160" spans="1:12" ht="20.2" customHeight="1">
      <c r="A160" s="539">
        <f t="shared" si="16"/>
        <v>157</v>
      </c>
      <c r="B160" s="549">
        <f t="shared" si="17"/>
        <v>2474.6999999999998</v>
      </c>
      <c r="C160" s="1008"/>
      <c r="D160" s="539">
        <f t="shared" si="21"/>
        <v>157</v>
      </c>
      <c r="E160" s="549">
        <f t="shared" si="20"/>
        <v>2474.6999999999998</v>
      </c>
      <c r="F160" s="1008"/>
      <c r="G160" s="539">
        <f t="shared" si="22"/>
        <v>157</v>
      </c>
      <c r="H160" s="549">
        <f t="shared" si="18"/>
        <v>3630.0999999999995</v>
      </c>
      <c r="I160" s="1008"/>
      <c r="J160" s="539">
        <f t="shared" si="23"/>
        <v>157</v>
      </c>
      <c r="K160" s="549">
        <f t="shared" si="19"/>
        <v>3960.2999999999993</v>
      </c>
      <c r="L160" s="547"/>
    </row>
    <row r="161" spans="1:12" ht="20.2" customHeight="1">
      <c r="A161" s="539">
        <f t="shared" si="16"/>
        <v>158</v>
      </c>
      <c r="B161" s="549">
        <f t="shared" si="17"/>
        <v>2489.6999999999998</v>
      </c>
      <c r="C161" s="1008"/>
      <c r="D161" s="539">
        <f t="shared" si="21"/>
        <v>158</v>
      </c>
      <c r="E161" s="549">
        <f t="shared" si="20"/>
        <v>2489.6999999999998</v>
      </c>
      <c r="F161" s="1008"/>
      <c r="G161" s="539">
        <f t="shared" si="22"/>
        <v>158</v>
      </c>
      <c r="H161" s="549">
        <f t="shared" si="18"/>
        <v>3652.0999999999995</v>
      </c>
      <c r="I161" s="1008"/>
      <c r="J161" s="539">
        <f t="shared" si="23"/>
        <v>158</v>
      </c>
      <c r="K161" s="549">
        <f t="shared" si="19"/>
        <v>3984.2999999999993</v>
      </c>
      <c r="L161" s="547"/>
    </row>
    <row r="162" spans="1:12" ht="20.2" customHeight="1">
      <c r="A162" s="539">
        <f t="shared" si="16"/>
        <v>159</v>
      </c>
      <c r="B162" s="549">
        <f t="shared" si="17"/>
        <v>2504.6999999999998</v>
      </c>
      <c r="C162" s="1008"/>
      <c r="D162" s="539">
        <f t="shared" si="21"/>
        <v>159</v>
      </c>
      <c r="E162" s="549">
        <f t="shared" si="20"/>
        <v>2504.6999999999998</v>
      </c>
      <c r="F162" s="1008"/>
      <c r="G162" s="539">
        <f t="shared" si="22"/>
        <v>159</v>
      </c>
      <c r="H162" s="549">
        <f t="shared" si="18"/>
        <v>3674.0999999999995</v>
      </c>
      <c r="I162" s="1008"/>
      <c r="J162" s="539">
        <f t="shared" si="23"/>
        <v>159</v>
      </c>
      <c r="K162" s="549">
        <f t="shared" si="19"/>
        <v>4008.2999999999993</v>
      </c>
      <c r="L162" s="547"/>
    </row>
    <row r="163" spans="1:12" ht="20.2" customHeight="1">
      <c r="A163" s="539">
        <f t="shared" ref="A163:A226" si="24">A162+1</f>
        <v>160</v>
      </c>
      <c r="B163" s="549">
        <f t="shared" ref="B163:B226" si="25">B162+15</f>
        <v>2519.6999999999998</v>
      </c>
      <c r="C163" s="1008"/>
      <c r="D163" s="539">
        <f t="shared" si="21"/>
        <v>160</v>
      </c>
      <c r="E163" s="549">
        <f t="shared" si="20"/>
        <v>2519.6999999999998</v>
      </c>
      <c r="F163" s="1008"/>
      <c r="G163" s="539">
        <f t="shared" si="22"/>
        <v>160</v>
      </c>
      <c r="H163" s="549">
        <f t="shared" ref="H163:H226" si="26">H162+22</f>
        <v>3696.0999999999995</v>
      </c>
      <c r="I163" s="1008"/>
      <c r="J163" s="539">
        <f t="shared" si="23"/>
        <v>160</v>
      </c>
      <c r="K163" s="549">
        <f t="shared" ref="K163:K226" si="27">K162+24</f>
        <v>4032.2999999999993</v>
      </c>
      <c r="L163" s="547"/>
    </row>
    <row r="164" spans="1:12" ht="20.2" customHeight="1">
      <c r="A164" s="539">
        <f t="shared" si="24"/>
        <v>161</v>
      </c>
      <c r="B164" s="549">
        <f t="shared" si="25"/>
        <v>2534.6999999999998</v>
      </c>
      <c r="C164" s="1008"/>
      <c r="D164" s="539">
        <f t="shared" si="21"/>
        <v>161</v>
      </c>
      <c r="E164" s="549">
        <f t="shared" si="20"/>
        <v>2534.6999999999998</v>
      </c>
      <c r="F164" s="1008"/>
      <c r="G164" s="539">
        <f t="shared" si="22"/>
        <v>161</v>
      </c>
      <c r="H164" s="549">
        <f t="shared" si="26"/>
        <v>3718.0999999999995</v>
      </c>
      <c r="I164" s="1008"/>
      <c r="J164" s="539">
        <f t="shared" si="23"/>
        <v>161</v>
      </c>
      <c r="K164" s="549">
        <f t="shared" si="27"/>
        <v>4056.2999999999993</v>
      </c>
      <c r="L164" s="547"/>
    </row>
    <row r="165" spans="1:12" ht="20.2" customHeight="1">
      <c r="A165" s="539">
        <f t="shared" si="24"/>
        <v>162</v>
      </c>
      <c r="B165" s="549">
        <f t="shared" si="25"/>
        <v>2549.6999999999998</v>
      </c>
      <c r="C165" s="1008"/>
      <c r="D165" s="539">
        <f t="shared" si="21"/>
        <v>162</v>
      </c>
      <c r="E165" s="549">
        <f t="shared" si="20"/>
        <v>2549.6999999999998</v>
      </c>
      <c r="F165" s="1008"/>
      <c r="G165" s="539">
        <f t="shared" si="22"/>
        <v>162</v>
      </c>
      <c r="H165" s="549">
        <f t="shared" si="26"/>
        <v>3740.0999999999995</v>
      </c>
      <c r="I165" s="1008"/>
      <c r="J165" s="539">
        <f t="shared" si="23"/>
        <v>162</v>
      </c>
      <c r="K165" s="549">
        <f t="shared" si="27"/>
        <v>4080.2999999999993</v>
      </c>
      <c r="L165" s="547"/>
    </row>
    <row r="166" spans="1:12" ht="20.2" customHeight="1">
      <c r="A166" s="539">
        <f t="shared" si="24"/>
        <v>163</v>
      </c>
      <c r="B166" s="549">
        <f t="shared" si="25"/>
        <v>2564.6999999999998</v>
      </c>
      <c r="C166" s="1008"/>
      <c r="D166" s="539">
        <f t="shared" si="21"/>
        <v>163</v>
      </c>
      <c r="E166" s="549">
        <f t="shared" ref="E166:E229" si="28">E165+15</f>
        <v>2564.6999999999998</v>
      </c>
      <c r="F166" s="1008"/>
      <c r="G166" s="539">
        <f t="shared" si="22"/>
        <v>163</v>
      </c>
      <c r="H166" s="549">
        <f t="shared" si="26"/>
        <v>3762.0999999999995</v>
      </c>
      <c r="I166" s="1008"/>
      <c r="J166" s="539">
        <f t="shared" si="23"/>
        <v>163</v>
      </c>
      <c r="K166" s="549">
        <f t="shared" si="27"/>
        <v>4104.2999999999993</v>
      </c>
      <c r="L166" s="547"/>
    </row>
    <row r="167" spans="1:12" ht="20.2" customHeight="1">
      <c r="A167" s="539">
        <f t="shared" si="24"/>
        <v>164</v>
      </c>
      <c r="B167" s="549">
        <f t="shared" si="25"/>
        <v>2579.6999999999998</v>
      </c>
      <c r="C167" s="1008"/>
      <c r="D167" s="539">
        <f t="shared" si="21"/>
        <v>164</v>
      </c>
      <c r="E167" s="549">
        <f t="shared" si="28"/>
        <v>2579.6999999999998</v>
      </c>
      <c r="F167" s="1008"/>
      <c r="G167" s="539">
        <f t="shared" si="22"/>
        <v>164</v>
      </c>
      <c r="H167" s="549">
        <f t="shared" si="26"/>
        <v>3784.0999999999995</v>
      </c>
      <c r="I167" s="1008"/>
      <c r="J167" s="539">
        <f t="shared" si="23"/>
        <v>164</v>
      </c>
      <c r="K167" s="549">
        <f t="shared" si="27"/>
        <v>4128.2999999999993</v>
      </c>
      <c r="L167" s="547"/>
    </row>
    <row r="168" spans="1:12" ht="20.2" customHeight="1">
      <c r="A168" s="539">
        <f t="shared" si="24"/>
        <v>165</v>
      </c>
      <c r="B168" s="549">
        <f t="shared" si="25"/>
        <v>2594.6999999999998</v>
      </c>
      <c r="C168" s="1008"/>
      <c r="D168" s="539">
        <f t="shared" si="21"/>
        <v>165</v>
      </c>
      <c r="E168" s="549">
        <f t="shared" si="28"/>
        <v>2594.6999999999998</v>
      </c>
      <c r="F168" s="1008"/>
      <c r="G168" s="539">
        <f t="shared" si="22"/>
        <v>165</v>
      </c>
      <c r="H168" s="549">
        <f t="shared" si="26"/>
        <v>3806.0999999999995</v>
      </c>
      <c r="I168" s="1008"/>
      <c r="J168" s="539">
        <f t="shared" si="23"/>
        <v>165</v>
      </c>
      <c r="K168" s="549">
        <f t="shared" si="27"/>
        <v>4152.2999999999993</v>
      </c>
      <c r="L168" s="547"/>
    </row>
    <row r="169" spans="1:12" ht="20.2" customHeight="1">
      <c r="A169" s="539">
        <f t="shared" si="24"/>
        <v>166</v>
      </c>
      <c r="B169" s="549">
        <f t="shared" si="25"/>
        <v>2609.6999999999998</v>
      </c>
      <c r="C169" s="1008"/>
      <c r="D169" s="539">
        <f t="shared" si="21"/>
        <v>166</v>
      </c>
      <c r="E169" s="549">
        <f t="shared" si="28"/>
        <v>2609.6999999999998</v>
      </c>
      <c r="F169" s="1008"/>
      <c r="G169" s="539">
        <f t="shared" si="22"/>
        <v>166</v>
      </c>
      <c r="H169" s="549">
        <f t="shared" si="26"/>
        <v>3828.0999999999995</v>
      </c>
      <c r="I169" s="1008"/>
      <c r="J169" s="539">
        <f t="shared" si="23"/>
        <v>166</v>
      </c>
      <c r="K169" s="549">
        <f t="shared" si="27"/>
        <v>4176.2999999999993</v>
      </c>
      <c r="L169" s="547"/>
    </row>
    <row r="170" spans="1:12" ht="20.2" customHeight="1">
      <c r="A170" s="539">
        <f t="shared" si="24"/>
        <v>167</v>
      </c>
      <c r="B170" s="549">
        <f t="shared" si="25"/>
        <v>2624.7</v>
      </c>
      <c r="C170" s="1008"/>
      <c r="D170" s="539">
        <f t="shared" si="21"/>
        <v>167</v>
      </c>
      <c r="E170" s="549">
        <f t="shared" si="28"/>
        <v>2624.7</v>
      </c>
      <c r="F170" s="1008"/>
      <c r="G170" s="539">
        <f t="shared" si="22"/>
        <v>167</v>
      </c>
      <c r="H170" s="549">
        <f t="shared" si="26"/>
        <v>3850.0999999999995</v>
      </c>
      <c r="I170" s="1008"/>
      <c r="J170" s="539">
        <f t="shared" si="23"/>
        <v>167</v>
      </c>
      <c r="K170" s="549">
        <f t="shared" si="27"/>
        <v>4200.2999999999993</v>
      </c>
      <c r="L170" s="547"/>
    </row>
    <row r="171" spans="1:12" ht="20.2" customHeight="1">
      <c r="A171" s="539">
        <f t="shared" si="24"/>
        <v>168</v>
      </c>
      <c r="B171" s="549">
        <f t="shared" si="25"/>
        <v>2639.7</v>
      </c>
      <c r="C171" s="1008"/>
      <c r="D171" s="539">
        <f t="shared" si="21"/>
        <v>168</v>
      </c>
      <c r="E171" s="549">
        <f t="shared" si="28"/>
        <v>2639.7</v>
      </c>
      <c r="F171" s="1008"/>
      <c r="G171" s="539">
        <f t="shared" si="22"/>
        <v>168</v>
      </c>
      <c r="H171" s="549">
        <f t="shared" si="26"/>
        <v>3872.0999999999995</v>
      </c>
      <c r="I171" s="1008"/>
      <c r="J171" s="539">
        <f t="shared" si="23"/>
        <v>168</v>
      </c>
      <c r="K171" s="549">
        <f t="shared" si="27"/>
        <v>4224.2999999999993</v>
      </c>
      <c r="L171" s="547"/>
    </row>
    <row r="172" spans="1:12" ht="20.2" customHeight="1">
      <c r="A172" s="539">
        <f t="shared" si="24"/>
        <v>169</v>
      </c>
      <c r="B172" s="549">
        <f t="shared" si="25"/>
        <v>2654.7</v>
      </c>
      <c r="C172" s="1008"/>
      <c r="D172" s="539">
        <f t="shared" si="21"/>
        <v>169</v>
      </c>
      <c r="E172" s="549">
        <f t="shared" si="28"/>
        <v>2654.7</v>
      </c>
      <c r="F172" s="1008"/>
      <c r="G172" s="539">
        <f t="shared" si="22"/>
        <v>169</v>
      </c>
      <c r="H172" s="549">
        <f t="shared" si="26"/>
        <v>3894.0999999999995</v>
      </c>
      <c r="I172" s="1008"/>
      <c r="J172" s="539">
        <f t="shared" si="23"/>
        <v>169</v>
      </c>
      <c r="K172" s="549">
        <f t="shared" si="27"/>
        <v>4248.2999999999993</v>
      </c>
      <c r="L172" s="547"/>
    </row>
    <row r="173" spans="1:12" ht="20.2" customHeight="1">
      <c r="A173" s="539">
        <f t="shared" si="24"/>
        <v>170</v>
      </c>
      <c r="B173" s="549">
        <f t="shared" si="25"/>
        <v>2669.7</v>
      </c>
      <c r="C173" s="1008"/>
      <c r="D173" s="539">
        <f t="shared" si="21"/>
        <v>170</v>
      </c>
      <c r="E173" s="549">
        <f t="shared" si="28"/>
        <v>2669.7</v>
      </c>
      <c r="F173" s="1008"/>
      <c r="G173" s="539">
        <f t="shared" si="22"/>
        <v>170</v>
      </c>
      <c r="H173" s="549">
        <f t="shared" si="26"/>
        <v>3916.0999999999995</v>
      </c>
      <c r="I173" s="1008"/>
      <c r="J173" s="539">
        <f t="shared" si="23"/>
        <v>170</v>
      </c>
      <c r="K173" s="549">
        <f t="shared" si="27"/>
        <v>4272.2999999999993</v>
      </c>
      <c r="L173" s="547"/>
    </row>
    <row r="174" spans="1:12" ht="20.2" customHeight="1">
      <c r="A174" s="539">
        <f t="shared" si="24"/>
        <v>171</v>
      </c>
      <c r="B174" s="549">
        <f t="shared" si="25"/>
        <v>2684.7</v>
      </c>
      <c r="C174" s="1008"/>
      <c r="D174" s="539">
        <f t="shared" si="21"/>
        <v>171</v>
      </c>
      <c r="E174" s="549">
        <f t="shared" si="28"/>
        <v>2684.7</v>
      </c>
      <c r="F174" s="1008"/>
      <c r="G174" s="539">
        <f t="shared" si="22"/>
        <v>171</v>
      </c>
      <c r="H174" s="549">
        <f t="shared" si="26"/>
        <v>3938.0999999999995</v>
      </c>
      <c r="I174" s="1008"/>
      <c r="J174" s="539">
        <f t="shared" si="23"/>
        <v>171</v>
      </c>
      <c r="K174" s="549">
        <f t="shared" si="27"/>
        <v>4296.2999999999993</v>
      </c>
      <c r="L174" s="547"/>
    </row>
    <row r="175" spans="1:12" ht="20.2" customHeight="1">
      <c r="A175" s="539">
        <f t="shared" si="24"/>
        <v>172</v>
      </c>
      <c r="B175" s="549">
        <f t="shared" si="25"/>
        <v>2699.7</v>
      </c>
      <c r="C175" s="1008"/>
      <c r="D175" s="539">
        <f t="shared" si="21"/>
        <v>172</v>
      </c>
      <c r="E175" s="549">
        <f t="shared" si="28"/>
        <v>2699.7</v>
      </c>
      <c r="F175" s="1008"/>
      <c r="G175" s="539">
        <f t="shared" si="22"/>
        <v>172</v>
      </c>
      <c r="H175" s="549">
        <f t="shared" si="26"/>
        <v>3960.0999999999995</v>
      </c>
      <c r="I175" s="1008"/>
      <c r="J175" s="539">
        <f t="shared" si="23"/>
        <v>172</v>
      </c>
      <c r="K175" s="549">
        <f t="shared" si="27"/>
        <v>4320.2999999999993</v>
      </c>
      <c r="L175" s="547"/>
    </row>
    <row r="176" spans="1:12" ht="20.2" customHeight="1">
      <c r="A176" s="539">
        <f t="shared" si="24"/>
        <v>173</v>
      </c>
      <c r="B176" s="549">
        <f t="shared" si="25"/>
        <v>2714.7</v>
      </c>
      <c r="C176" s="1008"/>
      <c r="D176" s="539">
        <f t="shared" si="21"/>
        <v>173</v>
      </c>
      <c r="E176" s="549">
        <f t="shared" si="28"/>
        <v>2714.7</v>
      </c>
      <c r="F176" s="1008"/>
      <c r="G176" s="539">
        <f t="shared" si="22"/>
        <v>173</v>
      </c>
      <c r="H176" s="549">
        <f t="shared" si="26"/>
        <v>3982.0999999999995</v>
      </c>
      <c r="I176" s="1008"/>
      <c r="J176" s="539">
        <f t="shared" si="23"/>
        <v>173</v>
      </c>
      <c r="K176" s="549">
        <f t="shared" si="27"/>
        <v>4344.2999999999993</v>
      </c>
      <c r="L176" s="547"/>
    </row>
    <row r="177" spans="1:12" ht="20.2" customHeight="1">
      <c r="A177" s="539">
        <f t="shared" si="24"/>
        <v>174</v>
      </c>
      <c r="B177" s="549">
        <f t="shared" si="25"/>
        <v>2729.7</v>
      </c>
      <c r="C177" s="1008"/>
      <c r="D177" s="539">
        <f t="shared" si="21"/>
        <v>174</v>
      </c>
      <c r="E177" s="549">
        <f t="shared" si="28"/>
        <v>2729.7</v>
      </c>
      <c r="F177" s="1008"/>
      <c r="G177" s="539">
        <f t="shared" si="22"/>
        <v>174</v>
      </c>
      <c r="H177" s="549">
        <f t="shared" si="26"/>
        <v>4004.0999999999995</v>
      </c>
      <c r="I177" s="1008"/>
      <c r="J177" s="539">
        <f t="shared" si="23"/>
        <v>174</v>
      </c>
      <c r="K177" s="549">
        <f t="shared" si="27"/>
        <v>4368.2999999999993</v>
      </c>
      <c r="L177" s="547"/>
    </row>
    <row r="178" spans="1:12" ht="20.2" customHeight="1">
      <c r="A178" s="539">
        <f t="shared" si="24"/>
        <v>175</v>
      </c>
      <c r="B178" s="549">
        <f t="shared" si="25"/>
        <v>2744.7</v>
      </c>
      <c r="C178" s="1008"/>
      <c r="D178" s="539">
        <f t="shared" si="21"/>
        <v>175</v>
      </c>
      <c r="E178" s="549">
        <f t="shared" si="28"/>
        <v>2744.7</v>
      </c>
      <c r="F178" s="1008"/>
      <c r="G178" s="539">
        <f t="shared" si="22"/>
        <v>175</v>
      </c>
      <c r="H178" s="549">
        <f t="shared" si="26"/>
        <v>4026.0999999999995</v>
      </c>
      <c r="I178" s="1008"/>
      <c r="J178" s="539">
        <f t="shared" si="23"/>
        <v>175</v>
      </c>
      <c r="K178" s="549">
        <f t="shared" si="27"/>
        <v>4392.2999999999993</v>
      </c>
      <c r="L178" s="547"/>
    </row>
    <row r="179" spans="1:12" ht="20.2" customHeight="1">
      <c r="A179" s="539">
        <f t="shared" si="24"/>
        <v>176</v>
      </c>
      <c r="B179" s="549">
        <f t="shared" si="25"/>
        <v>2759.7</v>
      </c>
      <c r="C179" s="1008"/>
      <c r="D179" s="539">
        <f t="shared" si="21"/>
        <v>176</v>
      </c>
      <c r="E179" s="549">
        <f t="shared" si="28"/>
        <v>2759.7</v>
      </c>
      <c r="F179" s="1008"/>
      <c r="G179" s="539">
        <f t="shared" si="22"/>
        <v>176</v>
      </c>
      <c r="H179" s="549">
        <f t="shared" si="26"/>
        <v>4048.0999999999995</v>
      </c>
      <c r="I179" s="1008"/>
      <c r="J179" s="539">
        <f t="shared" si="23"/>
        <v>176</v>
      </c>
      <c r="K179" s="549">
        <f t="shared" si="27"/>
        <v>4416.2999999999993</v>
      </c>
      <c r="L179" s="547"/>
    </row>
    <row r="180" spans="1:12" ht="20.2" customHeight="1">
      <c r="A180" s="539">
        <f t="shared" si="24"/>
        <v>177</v>
      </c>
      <c r="B180" s="549">
        <f t="shared" si="25"/>
        <v>2774.7</v>
      </c>
      <c r="C180" s="1008"/>
      <c r="D180" s="539">
        <f t="shared" si="21"/>
        <v>177</v>
      </c>
      <c r="E180" s="549">
        <f t="shared" si="28"/>
        <v>2774.7</v>
      </c>
      <c r="F180" s="1008"/>
      <c r="G180" s="539">
        <f t="shared" si="22"/>
        <v>177</v>
      </c>
      <c r="H180" s="549">
        <f t="shared" si="26"/>
        <v>4070.0999999999995</v>
      </c>
      <c r="I180" s="1008"/>
      <c r="J180" s="539">
        <f t="shared" si="23"/>
        <v>177</v>
      </c>
      <c r="K180" s="549">
        <f t="shared" si="27"/>
        <v>4440.2999999999993</v>
      </c>
      <c r="L180" s="547"/>
    </row>
    <row r="181" spans="1:12" ht="20.2" customHeight="1">
      <c r="A181" s="539">
        <f t="shared" si="24"/>
        <v>178</v>
      </c>
      <c r="B181" s="549">
        <f t="shared" si="25"/>
        <v>2789.7</v>
      </c>
      <c r="C181" s="1008"/>
      <c r="D181" s="539">
        <f t="shared" si="21"/>
        <v>178</v>
      </c>
      <c r="E181" s="549">
        <f t="shared" si="28"/>
        <v>2789.7</v>
      </c>
      <c r="F181" s="1008"/>
      <c r="G181" s="539">
        <f t="shared" si="22"/>
        <v>178</v>
      </c>
      <c r="H181" s="549">
        <f t="shared" si="26"/>
        <v>4092.0999999999995</v>
      </c>
      <c r="I181" s="1008"/>
      <c r="J181" s="539">
        <f t="shared" si="23"/>
        <v>178</v>
      </c>
      <c r="K181" s="549">
        <f t="shared" si="27"/>
        <v>4464.2999999999993</v>
      </c>
      <c r="L181" s="547"/>
    </row>
    <row r="182" spans="1:12" ht="20.2" customHeight="1">
      <c r="A182" s="539">
        <f t="shared" si="24"/>
        <v>179</v>
      </c>
      <c r="B182" s="549">
        <f t="shared" si="25"/>
        <v>2804.7</v>
      </c>
      <c r="C182" s="1008"/>
      <c r="D182" s="539">
        <f t="shared" si="21"/>
        <v>179</v>
      </c>
      <c r="E182" s="549">
        <f t="shared" si="28"/>
        <v>2804.7</v>
      </c>
      <c r="F182" s="1008"/>
      <c r="G182" s="539">
        <f t="shared" si="22"/>
        <v>179</v>
      </c>
      <c r="H182" s="549">
        <f t="shared" si="26"/>
        <v>4114.0999999999995</v>
      </c>
      <c r="I182" s="1008"/>
      <c r="J182" s="539">
        <f t="shared" si="23"/>
        <v>179</v>
      </c>
      <c r="K182" s="549">
        <f t="shared" si="27"/>
        <v>4488.2999999999993</v>
      </c>
      <c r="L182" s="547"/>
    </row>
    <row r="183" spans="1:12" ht="20.2" customHeight="1">
      <c r="A183" s="539">
        <f t="shared" si="24"/>
        <v>180</v>
      </c>
      <c r="B183" s="549">
        <f t="shared" si="25"/>
        <v>2819.7</v>
      </c>
      <c r="C183" s="1008"/>
      <c r="D183" s="539">
        <f t="shared" si="21"/>
        <v>180</v>
      </c>
      <c r="E183" s="549">
        <f t="shared" si="28"/>
        <v>2819.7</v>
      </c>
      <c r="F183" s="1008"/>
      <c r="G183" s="539">
        <f t="shared" si="22"/>
        <v>180</v>
      </c>
      <c r="H183" s="549">
        <f t="shared" si="26"/>
        <v>4136.0999999999995</v>
      </c>
      <c r="I183" s="1008"/>
      <c r="J183" s="539">
        <f t="shared" si="23"/>
        <v>180</v>
      </c>
      <c r="K183" s="549">
        <f t="shared" si="27"/>
        <v>4512.2999999999993</v>
      </c>
      <c r="L183" s="547"/>
    </row>
    <row r="184" spans="1:12" ht="20.2" customHeight="1">
      <c r="A184" s="539">
        <f t="shared" si="24"/>
        <v>181</v>
      </c>
      <c r="B184" s="549">
        <f t="shared" si="25"/>
        <v>2834.7</v>
      </c>
      <c r="C184" s="1008"/>
      <c r="D184" s="539">
        <f t="shared" si="21"/>
        <v>181</v>
      </c>
      <c r="E184" s="549">
        <f t="shared" si="28"/>
        <v>2834.7</v>
      </c>
      <c r="F184" s="1008"/>
      <c r="G184" s="539">
        <f t="shared" si="22"/>
        <v>181</v>
      </c>
      <c r="H184" s="549">
        <f t="shared" si="26"/>
        <v>4158.0999999999995</v>
      </c>
      <c r="I184" s="1008"/>
      <c r="J184" s="539">
        <f t="shared" si="23"/>
        <v>181</v>
      </c>
      <c r="K184" s="549">
        <f t="shared" si="27"/>
        <v>4536.2999999999993</v>
      </c>
      <c r="L184" s="547"/>
    </row>
    <row r="185" spans="1:12" ht="20.2" customHeight="1">
      <c r="A185" s="539">
        <f t="shared" si="24"/>
        <v>182</v>
      </c>
      <c r="B185" s="549">
        <f t="shared" si="25"/>
        <v>2849.7</v>
      </c>
      <c r="C185" s="1008"/>
      <c r="D185" s="539">
        <f t="shared" si="21"/>
        <v>182</v>
      </c>
      <c r="E185" s="549">
        <f t="shared" si="28"/>
        <v>2849.7</v>
      </c>
      <c r="F185" s="1008"/>
      <c r="G185" s="539">
        <f t="shared" si="22"/>
        <v>182</v>
      </c>
      <c r="H185" s="549">
        <f t="shared" si="26"/>
        <v>4180.0999999999995</v>
      </c>
      <c r="I185" s="1008"/>
      <c r="J185" s="539">
        <f t="shared" si="23"/>
        <v>182</v>
      </c>
      <c r="K185" s="549">
        <f t="shared" si="27"/>
        <v>4560.2999999999993</v>
      </c>
      <c r="L185" s="547"/>
    </row>
    <row r="186" spans="1:12" ht="20.2" customHeight="1">
      <c r="A186" s="539">
        <f t="shared" si="24"/>
        <v>183</v>
      </c>
      <c r="B186" s="549">
        <f t="shared" si="25"/>
        <v>2864.7</v>
      </c>
      <c r="C186" s="1008"/>
      <c r="D186" s="539">
        <f t="shared" si="21"/>
        <v>183</v>
      </c>
      <c r="E186" s="549">
        <f t="shared" si="28"/>
        <v>2864.7</v>
      </c>
      <c r="F186" s="1008"/>
      <c r="G186" s="539">
        <f t="shared" si="22"/>
        <v>183</v>
      </c>
      <c r="H186" s="549">
        <f t="shared" si="26"/>
        <v>4202.0999999999995</v>
      </c>
      <c r="I186" s="1008"/>
      <c r="J186" s="539">
        <f t="shared" si="23"/>
        <v>183</v>
      </c>
      <c r="K186" s="549">
        <f t="shared" si="27"/>
        <v>4584.2999999999993</v>
      </c>
      <c r="L186" s="547"/>
    </row>
    <row r="187" spans="1:12" ht="20.2" customHeight="1">
      <c r="A187" s="539">
        <f t="shared" si="24"/>
        <v>184</v>
      </c>
      <c r="B187" s="549">
        <f t="shared" si="25"/>
        <v>2879.7</v>
      </c>
      <c r="C187" s="1008"/>
      <c r="D187" s="539">
        <f t="shared" si="21"/>
        <v>184</v>
      </c>
      <c r="E187" s="549">
        <f t="shared" si="28"/>
        <v>2879.7</v>
      </c>
      <c r="F187" s="1008"/>
      <c r="G187" s="539">
        <f t="shared" si="22"/>
        <v>184</v>
      </c>
      <c r="H187" s="549">
        <f t="shared" si="26"/>
        <v>4224.0999999999995</v>
      </c>
      <c r="I187" s="1008"/>
      <c r="J187" s="539">
        <f t="shared" si="23"/>
        <v>184</v>
      </c>
      <c r="K187" s="549">
        <f t="shared" si="27"/>
        <v>4608.2999999999993</v>
      </c>
      <c r="L187" s="547"/>
    </row>
    <row r="188" spans="1:12" ht="20.2" customHeight="1">
      <c r="A188" s="539">
        <f t="shared" si="24"/>
        <v>185</v>
      </c>
      <c r="B188" s="549">
        <f t="shared" si="25"/>
        <v>2894.7</v>
      </c>
      <c r="C188" s="1008"/>
      <c r="D188" s="539">
        <f t="shared" si="21"/>
        <v>185</v>
      </c>
      <c r="E188" s="549">
        <f t="shared" si="28"/>
        <v>2894.7</v>
      </c>
      <c r="F188" s="1008"/>
      <c r="G188" s="539">
        <f t="shared" si="22"/>
        <v>185</v>
      </c>
      <c r="H188" s="549">
        <f t="shared" si="26"/>
        <v>4246.0999999999995</v>
      </c>
      <c r="I188" s="1008"/>
      <c r="J188" s="539">
        <f t="shared" si="23"/>
        <v>185</v>
      </c>
      <c r="K188" s="549">
        <f t="shared" si="27"/>
        <v>4632.2999999999993</v>
      </c>
      <c r="L188" s="547"/>
    </row>
    <row r="189" spans="1:12" ht="20.2" customHeight="1">
      <c r="A189" s="539">
        <f t="shared" si="24"/>
        <v>186</v>
      </c>
      <c r="B189" s="549">
        <f t="shared" si="25"/>
        <v>2909.7</v>
      </c>
      <c r="C189" s="1008"/>
      <c r="D189" s="539">
        <f t="shared" si="21"/>
        <v>186</v>
      </c>
      <c r="E189" s="549">
        <f t="shared" si="28"/>
        <v>2909.7</v>
      </c>
      <c r="F189" s="1008"/>
      <c r="G189" s="539">
        <f t="shared" si="22"/>
        <v>186</v>
      </c>
      <c r="H189" s="549">
        <f t="shared" si="26"/>
        <v>4268.0999999999995</v>
      </c>
      <c r="I189" s="1008"/>
      <c r="J189" s="539">
        <f t="shared" si="23"/>
        <v>186</v>
      </c>
      <c r="K189" s="549">
        <f t="shared" si="27"/>
        <v>4656.2999999999993</v>
      </c>
      <c r="L189" s="547"/>
    </row>
    <row r="190" spans="1:12" ht="20.2" customHeight="1">
      <c r="A190" s="539">
        <f t="shared" si="24"/>
        <v>187</v>
      </c>
      <c r="B190" s="549">
        <f t="shared" si="25"/>
        <v>2924.7</v>
      </c>
      <c r="C190" s="1008"/>
      <c r="D190" s="539">
        <f t="shared" si="21"/>
        <v>187</v>
      </c>
      <c r="E190" s="549">
        <f t="shared" si="28"/>
        <v>2924.7</v>
      </c>
      <c r="F190" s="1008"/>
      <c r="G190" s="539">
        <f t="shared" si="22"/>
        <v>187</v>
      </c>
      <c r="H190" s="549">
        <f t="shared" si="26"/>
        <v>4290.0999999999995</v>
      </c>
      <c r="I190" s="1008"/>
      <c r="J190" s="539">
        <f t="shared" si="23"/>
        <v>187</v>
      </c>
      <c r="K190" s="549">
        <f t="shared" si="27"/>
        <v>4680.2999999999993</v>
      </c>
      <c r="L190" s="547"/>
    </row>
    <row r="191" spans="1:12" ht="20.2" customHeight="1">
      <c r="A191" s="539">
        <f t="shared" si="24"/>
        <v>188</v>
      </c>
      <c r="B191" s="549">
        <f t="shared" si="25"/>
        <v>2939.7</v>
      </c>
      <c r="C191" s="1008"/>
      <c r="D191" s="539">
        <f t="shared" si="21"/>
        <v>188</v>
      </c>
      <c r="E191" s="549">
        <f t="shared" si="28"/>
        <v>2939.7</v>
      </c>
      <c r="F191" s="1008"/>
      <c r="G191" s="539">
        <f t="shared" si="22"/>
        <v>188</v>
      </c>
      <c r="H191" s="549">
        <f t="shared" si="26"/>
        <v>4312.0999999999995</v>
      </c>
      <c r="I191" s="1008"/>
      <c r="J191" s="539">
        <f t="shared" si="23"/>
        <v>188</v>
      </c>
      <c r="K191" s="549">
        <f t="shared" si="27"/>
        <v>4704.2999999999993</v>
      </c>
      <c r="L191" s="547"/>
    </row>
    <row r="192" spans="1:12" ht="20.2" customHeight="1">
      <c r="A192" s="539">
        <f t="shared" si="24"/>
        <v>189</v>
      </c>
      <c r="B192" s="549">
        <f t="shared" si="25"/>
        <v>2954.7</v>
      </c>
      <c r="C192" s="1008"/>
      <c r="D192" s="539">
        <f t="shared" si="21"/>
        <v>189</v>
      </c>
      <c r="E192" s="549">
        <f t="shared" si="28"/>
        <v>2954.7</v>
      </c>
      <c r="F192" s="1008"/>
      <c r="G192" s="539">
        <f t="shared" si="22"/>
        <v>189</v>
      </c>
      <c r="H192" s="549">
        <f t="shared" si="26"/>
        <v>4334.0999999999995</v>
      </c>
      <c r="I192" s="1008"/>
      <c r="J192" s="539">
        <f t="shared" si="23"/>
        <v>189</v>
      </c>
      <c r="K192" s="549">
        <f t="shared" si="27"/>
        <v>4728.2999999999993</v>
      </c>
      <c r="L192" s="547"/>
    </row>
    <row r="193" spans="1:12" ht="20.2" customHeight="1">
      <c r="A193" s="539">
        <f t="shared" si="24"/>
        <v>190</v>
      </c>
      <c r="B193" s="549">
        <f t="shared" si="25"/>
        <v>2969.7</v>
      </c>
      <c r="C193" s="1008"/>
      <c r="D193" s="539">
        <f t="shared" si="21"/>
        <v>190</v>
      </c>
      <c r="E193" s="549">
        <f t="shared" si="28"/>
        <v>2969.7</v>
      </c>
      <c r="F193" s="1008"/>
      <c r="G193" s="539">
        <f t="shared" si="22"/>
        <v>190</v>
      </c>
      <c r="H193" s="549">
        <f t="shared" si="26"/>
        <v>4356.0999999999995</v>
      </c>
      <c r="I193" s="1008"/>
      <c r="J193" s="539">
        <f t="shared" si="23"/>
        <v>190</v>
      </c>
      <c r="K193" s="549">
        <f t="shared" si="27"/>
        <v>4752.2999999999993</v>
      </c>
      <c r="L193" s="547"/>
    </row>
    <row r="194" spans="1:12" ht="20.2" customHeight="1">
      <c r="A194" s="539">
        <f t="shared" si="24"/>
        <v>191</v>
      </c>
      <c r="B194" s="549">
        <f t="shared" si="25"/>
        <v>2984.7</v>
      </c>
      <c r="C194" s="1008"/>
      <c r="D194" s="539">
        <f t="shared" si="21"/>
        <v>191</v>
      </c>
      <c r="E194" s="549">
        <f t="shared" si="28"/>
        <v>2984.7</v>
      </c>
      <c r="F194" s="1008"/>
      <c r="G194" s="539">
        <f t="shared" si="22"/>
        <v>191</v>
      </c>
      <c r="H194" s="549">
        <f t="shared" si="26"/>
        <v>4378.0999999999995</v>
      </c>
      <c r="I194" s="1008"/>
      <c r="J194" s="539">
        <f t="shared" si="23"/>
        <v>191</v>
      </c>
      <c r="K194" s="549">
        <f t="shared" si="27"/>
        <v>4776.2999999999993</v>
      </c>
      <c r="L194" s="547"/>
    </row>
    <row r="195" spans="1:12" ht="20.2" customHeight="1">
      <c r="A195" s="539">
        <f t="shared" si="24"/>
        <v>192</v>
      </c>
      <c r="B195" s="549">
        <f t="shared" si="25"/>
        <v>2999.7</v>
      </c>
      <c r="C195" s="1008"/>
      <c r="D195" s="539">
        <f t="shared" si="21"/>
        <v>192</v>
      </c>
      <c r="E195" s="549">
        <f t="shared" si="28"/>
        <v>2999.7</v>
      </c>
      <c r="F195" s="1008"/>
      <c r="G195" s="539">
        <f t="shared" si="22"/>
        <v>192</v>
      </c>
      <c r="H195" s="549">
        <f t="shared" si="26"/>
        <v>4400.0999999999995</v>
      </c>
      <c r="I195" s="1008"/>
      <c r="J195" s="539">
        <f t="shared" si="23"/>
        <v>192</v>
      </c>
      <c r="K195" s="549">
        <f t="shared" si="27"/>
        <v>4800.2999999999993</v>
      </c>
      <c r="L195" s="547"/>
    </row>
    <row r="196" spans="1:12" ht="20.2" customHeight="1">
      <c r="A196" s="539">
        <f t="shared" si="24"/>
        <v>193</v>
      </c>
      <c r="B196" s="549">
        <f t="shared" si="25"/>
        <v>3014.7</v>
      </c>
      <c r="C196" s="1008"/>
      <c r="D196" s="539">
        <f t="shared" si="21"/>
        <v>193</v>
      </c>
      <c r="E196" s="549">
        <f t="shared" si="28"/>
        <v>3014.7</v>
      </c>
      <c r="F196" s="1008"/>
      <c r="G196" s="539">
        <f t="shared" si="22"/>
        <v>193</v>
      </c>
      <c r="H196" s="549">
        <f t="shared" si="26"/>
        <v>4422.0999999999995</v>
      </c>
      <c r="I196" s="1008"/>
      <c r="J196" s="539">
        <f t="shared" si="23"/>
        <v>193</v>
      </c>
      <c r="K196" s="549">
        <f t="shared" si="27"/>
        <v>4824.2999999999993</v>
      </c>
      <c r="L196" s="547"/>
    </row>
    <row r="197" spans="1:12" ht="20.2" customHeight="1">
      <c r="A197" s="539">
        <f t="shared" si="24"/>
        <v>194</v>
      </c>
      <c r="B197" s="549">
        <f t="shared" si="25"/>
        <v>3029.7</v>
      </c>
      <c r="C197" s="1008"/>
      <c r="D197" s="539">
        <f t="shared" ref="D197:D260" si="29">D196+1</f>
        <v>194</v>
      </c>
      <c r="E197" s="549">
        <f t="shared" si="28"/>
        <v>3029.7</v>
      </c>
      <c r="F197" s="1008"/>
      <c r="G197" s="539">
        <f t="shared" si="22"/>
        <v>194</v>
      </c>
      <c r="H197" s="549">
        <f t="shared" si="26"/>
        <v>4444.0999999999995</v>
      </c>
      <c r="I197" s="1008"/>
      <c r="J197" s="539">
        <f t="shared" si="23"/>
        <v>194</v>
      </c>
      <c r="K197" s="549">
        <f t="shared" si="27"/>
        <v>4848.2999999999993</v>
      </c>
      <c r="L197" s="547"/>
    </row>
    <row r="198" spans="1:12" ht="20.2" customHeight="1">
      <c r="A198" s="539">
        <f t="shared" si="24"/>
        <v>195</v>
      </c>
      <c r="B198" s="549">
        <f t="shared" si="25"/>
        <v>3044.7</v>
      </c>
      <c r="C198" s="1008"/>
      <c r="D198" s="539">
        <f t="shared" si="29"/>
        <v>195</v>
      </c>
      <c r="E198" s="549">
        <f t="shared" si="28"/>
        <v>3044.7</v>
      </c>
      <c r="F198" s="1008"/>
      <c r="G198" s="539">
        <f t="shared" ref="G198:G261" si="30">G197+1</f>
        <v>195</v>
      </c>
      <c r="H198" s="549">
        <f t="shared" si="26"/>
        <v>4466.0999999999995</v>
      </c>
      <c r="I198" s="1008"/>
      <c r="J198" s="539">
        <f t="shared" ref="J198:J261" si="31">J197+1</f>
        <v>195</v>
      </c>
      <c r="K198" s="549">
        <f t="shared" si="27"/>
        <v>4872.2999999999993</v>
      </c>
      <c r="L198" s="547"/>
    </row>
    <row r="199" spans="1:12" ht="20.2" customHeight="1">
      <c r="A199" s="539">
        <f t="shared" si="24"/>
        <v>196</v>
      </c>
      <c r="B199" s="549">
        <f t="shared" si="25"/>
        <v>3059.7</v>
      </c>
      <c r="C199" s="1008"/>
      <c r="D199" s="539">
        <f t="shared" si="29"/>
        <v>196</v>
      </c>
      <c r="E199" s="549">
        <f t="shared" si="28"/>
        <v>3059.7</v>
      </c>
      <c r="F199" s="1008"/>
      <c r="G199" s="539">
        <f t="shared" si="30"/>
        <v>196</v>
      </c>
      <c r="H199" s="549">
        <f t="shared" si="26"/>
        <v>4488.0999999999995</v>
      </c>
      <c r="I199" s="1008"/>
      <c r="J199" s="539">
        <f t="shared" si="31"/>
        <v>196</v>
      </c>
      <c r="K199" s="549">
        <f t="shared" si="27"/>
        <v>4896.2999999999993</v>
      </c>
      <c r="L199" s="547"/>
    </row>
    <row r="200" spans="1:12" ht="20.2" customHeight="1">
      <c r="A200" s="539">
        <f t="shared" si="24"/>
        <v>197</v>
      </c>
      <c r="B200" s="549">
        <f t="shared" si="25"/>
        <v>3074.7</v>
      </c>
      <c r="C200" s="1008"/>
      <c r="D200" s="539">
        <f t="shared" si="29"/>
        <v>197</v>
      </c>
      <c r="E200" s="549">
        <f t="shared" si="28"/>
        <v>3074.7</v>
      </c>
      <c r="F200" s="1008"/>
      <c r="G200" s="539">
        <f t="shared" si="30"/>
        <v>197</v>
      </c>
      <c r="H200" s="549">
        <f t="shared" si="26"/>
        <v>4510.0999999999995</v>
      </c>
      <c r="I200" s="1008"/>
      <c r="J200" s="539">
        <f t="shared" si="31"/>
        <v>197</v>
      </c>
      <c r="K200" s="549">
        <f t="shared" si="27"/>
        <v>4920.2999999999993</v>
      </c>
      <c r="L200" s="547"/>
    </row>
    <row r="201" spans="1:12" ht="20.2" customHeight="1">
      <c r="A201" s="539">
        <f t="shared" si="24"/>
        <v>198</v>
      </c>
      <c r="B201" s="549">
        <f t="shared" si="25"/>
        <v>3089.7</v>
      </c>
      <c r="C201" s="1008"/>
      <c r="D201" s="539">
        <f t="shared" si="29"/>
        <v>198</v>
      </c>
      <c r="E201" s="549">
        <f t="shared" si="28"/>
        <v>3089.7</v>
      </c>
      <c r="F201" s="1008"/>
      <c r="G201" s="539">
        <f t="shared" si="30"/>
        <v>198</v>
      </c>
      <c r="H201" s="549">
        <f t="shared" si="26"/>
        <v>4532.0999999999995</v>
      </c>
      <c r="I201" s="1008"/>
      <c r="J201" s="539">
        <f t="shared" si="31"/>
        <v>198</v>
      </c>
      <c r="K201" s="549">
        <f t="shared" si="27"/>
        <v>4944.2999999999993</v>
      </c>
      <c r="L201" s="547"/>
    </row>
    <row r="202" spans="1:12" ht="20.2" customHeight="1">
      <c r="A202" s="539">
        <f t="shared" si="24"/>
        <v>199</v>
      </c>
      <c r="B202" s="549">
        <f t="shared" si="25"/>
        <v>3104.7</v>
      </c>
      <c r="C202" s="1008"/>
      <c r="D202" s="539">
        <f t="shared" si="29"/>
        <v>199</v>
      </c>
      <c r="E202" s="549">
        <f t="shared" si="28"/>
        <v>3104.7</v>
      </c>
      <c r="F202" s="1008"/>
      <c r="G202" s="539">
        <f t="shared" si="30"/>
        <v>199</v>
      </c>
      <c r="H202" s="549">
        <f t="shared" si="26"/>
        <v>4554.0999999999995</v>
      </c>
      <c r="I202" s="1008"/>
      <c r="J202" s="539">
        <f t="shared" si="31"/>
        <v>199</v>
      </c>
      <c r="K202" s="549">
        <f t="shared" si="27"/>
        <v>4968.2999999999993</v>
      </c>
      <c r="L202" s="547"/>
    </row>
    <row r="203" spans="1:12" ht="20.2" customHeight="1">
      <c r="A203" s="539">
        <f t="shared" si="24"/>
        <v>200</v>
      </c>
      <c r="B203" s="549">
        <f t="shared" si="25"/>
        <v>3119.7</v>
      </c>
      <c r="C203" s="1008"/>
      <c r="D203" s="539">
        <f t="shared" si="29"/>
        <v>200</v>
      </c>
      <c r="E203" s="549">
        <f t="shared" si="28"/>
        <v>3119.7</v>
      </c>
      <c r="F203" s="1008"/>
      <c r="G203" s="539">
        <f t="shared" si="30"/>
        <v>200</v>
      </c>
      <c r="H203" s="549">
        <f t="shared" si="26"/>
        <v>4576.0999999999995</v>
      </c>
      <c r="I203" s="1008"/>
      <c r="J203" s="539">
        <f t="shared" si="31"/>
        <v>200</v>
      </c>
      <c r="K203" s="549">
        <f t="shared" si="27"/>
        <v>4992.2999999999993</v>
      </c>
      <c r="L203" s="547"/>
    </row>
    <row r="204" spans="1:12" ht="20.2" customHeight="1">
      <c r="A204" s="539">
        <f t="shared" si="24"/>
        <v>201</v>
      </c>
      <c r="B204" s="549">
        <f t="shared" si="25"/>
        <v>3134.7</v>
      </c>
      <c r="C204" s="1008"/>
      <c r="D204" s="539">
        <f t="shared" si="29"/>
        <v>201</v>
      </c>
      <c r="E204" s="549">
        <f t="shared" si="28"/>
        <v>3134.7</v>
      </c>
      <c r="F204" s="1008"/>
      <c r="G204" s="539">
        <f t="shared" si="30"/>
        <v>201</v>
      </c>
      <c r="H204" s="549">
        <f t="shared" si="26"/>
        <v>4598.0999999999995</v>
      </c>
      <c r="I204" s="1008"/>
      <c r="J204" s="539">
        <f t="shared" si="31"/>
        <v>201</v>
      </c>
      <c r="K204" s="549">
        <f t="shared" si="27"/>
        <v>5016.2999999999993</v>
      </c>
      <c r="L204" s="547"/>
    </row>
    <row r="205" spans="1:12" ht="20.2" customHeight="1">
      <c r="A205" s="539">
        <f t="shared" si="24"/>
        <v>202</v>
      </c>
      <c r="B205" s="549">
        <f t="shared" si="25"/>
        <v>3149.7</v>
      </c>
      <c r="C205" s="1008"/>
      <c r="D205" s="539">
        <f t="shared" si="29"/>
        <v>202</v>
      </c>
      <c r="E205" s="549">
        <f t="shared" si="28"/>
        <v>3149.7</v>
      </c>
      <c r="F205" s="1008"/>
      <c r="G205" s="539">
        <f t="shared" si="30"/>
        <v>202</v>
      </c>
      <c r="H205" s="549">
        <f t="shared" si="26"/>
        <v>4620.0999999999995</v>
      </c>
      <c r="I205" s="1008"/>
      <c r="J205" s="539">
        <f t="shared" si="31"/>
        <v>202</v>
      </c>
      <c r="K205" s="549">
        <f t="shared" si="27"/>
        <v>5040.2999999999993</v>
      </c>
      <c r="L205" s="547"/>
    </row>
    <row r="206" spans="1:12" ht="20.2" customHeight="1">
      <c r="A206" s="539">
        <f t="shared" si="24"/>
        <v>203</v>
      </c>
      <c r="B206" s="549">
        <f t="shared" si="25"/>
        <v>3164.7</v>
      </c>
      <c r="C206" s="1008"/>
      <c r="D206" s="539">
        <f t="shared" si="29"/>
        <v>203</v>
      </c>
      <c r="E206" s="549">
        <f t="shared" si="28"/>
        <v>3164.7</v>
      </c>
      <c r="F206" s="1008"/>
      <c r="G206" s="539">
        <f t="shared" si="30"/>
        <v>203</v>
      </c>
      <c r="H206" s="549">
        <f t="shared" si="26"/>
        <v>4642.0999999999995</v>
      </c>
      <c r="I206" s="1008"/>
      <c r="J206" s="539">
        <f t="shared" si="31"/>
        <v>203</v>
      </c>
      <c r="K206" s="549">
        <f t="shared" si="27"/>
        <v>5064.2999999999993</v>
      </c>
      <c r="L206" s="547"/>
    </row>
    <row r="207" spans="1:12" ht="20.2" customHeight="1">
      <c r="A207" s="539">
        <f t="shared" si="24"/>
        <v>204</v>
      </c>
      <c r="B207" s="549">
        <f t="shared" si="25"/>
        <v>3179.7</v>
      </c>
      <c r="C207" s="1008"/>
      <c r="D207" s="539">
        <f t="shared" si="29"/>
        <v>204</v>
      </c>
      <c r="E207" s="549">
        <f t="shared" si="28"/>
        <v>3179.7</v>
      </c>
      <c r="F207" s="1008"/>
      <c r="G207" s="539">
        <f t="shared" si="30"/>
        <v>204</v>
      </c>
      <c r="H207" s="549">
        <f t="shared" si="26"/>
        <v>4664.0999999999995</v>
      </c>
      <c r="I207" s="1008"/>
      <c r="J207" s="539">
        <f t="shared" si="31"/>
        <v>204</v>
      </c>
      <c r="K207" s="549">
        <f t="shared" si="27"/>
        <v>5088.2999999999993</v>
      </c>
      <c r="L207" s="547"/>
    </row>
    <row r="208" spans="1:12" ht="20.2" customHeight="1">
      <c r="A208" s="539">
        <f t="shared" si="24"/>
        <v>205</v>
      </c>
      <c r="B208" s="549">
        <f t="shared" si="25"/>
        <v>3194.7</v>
      </c>
      <c r="C208" s="1008"/>
      <c r="D208" s="539">
        <f t="shared" si="29"/>
        <v>205</v>
      </c>
      <c r="E208" s="549">
        <f t="shared" si="28"/>
        <v>3194.7</v>
      </c>
      <c r="F208" s="1008"/>
      <c r="G208" s="539">
        <f t="shared" si="30"/>
        <v>205</v>
      </c>
      <c r="H208" s="549">
        <f t="shared" si="26"/>
        <v>4686.0999999999995</v>
      </c>
      <c r="I208" s="1008"/>
      <c r="J208" s="539">
        <f t="shared" si="31"/>
        <v>205</v>
      </c>
      <c r="K208" s="549">
        <f t="shared" si="27"/>
        <v>5112.2999999999993</v>
      </c>
      <c r="L208" s="547"/>
    </row>
    <row r="209" spans="1:12" ht="20.2" customHeight="1">
      <c r="A209" s="539">
        <f t="shared" si="24"/>
        <v>206</v>
      </c>
      <c r="B209" s="549">
        <f t="shared" si="25"/>
        <v>3209.7</v>
      </c>
      <c r="C209" s="1008"/>
      <c r="D209" s="539">
        <f t="shared" si="29"/>
        <v>206</v>
      </c>
      <c r="E209" s="549">
        <f t="shared" si="28"/>
        <v>3209.7</v>
      </c>
      <c r="F209" s="1008"/>
      <c r="G209" s="539">
        <f t="shared" si="30"/>
        <v>206</v>
      </c>
      <c r="H209" s="549">
        <f t="shared" si="26"/>
        <v>4708.0999999999995</v>
      </c>
      <c r="I209" s="1008"/>
      <c r="J209" s="539">
        <f t="shared" si="31"/>
        <v>206</v>
      </c>
      <c r="K209" s="549">
        <f t="shared" si="27"/>
        <v>5136.2999999999993</v>
      </c>
      <c r="L209" s="547"/>
    </row>
    <row r="210" spans="1:12" ht="20.2" customHeight="1">
      <c r="A210" s="539">
        <f t="shared" si="24"/>
        <v>207</v>
      </c>
      <c r="B210" s="549">
        <f t="shared" si="25"/>
        <v>3224.7</v>
      </c>
      <c r="C210" s="1008"/>
      <c r="D210" s="539">
        <f t="shared" si="29"/>
        <v>207</v>
      </c>
      <c r="E210" s="549">
        <f t="shared" si="28"/>
        <v>3224.7</v>
      </c>
      <c r="F210" s="1008"/>
      <c r="G210" s="539">
        <f t="shared" si="30"/>
        <v>207</v>
      </c>
      <c r="H210" s="549">
        <f t="shared" si="26"/>
        <v>4730.0999999999995</v>
      </c>
      <c r="I210" s="1008"/>
      <c r="J210" s="539">
        <f t="shared" si="31"/>
        <v>207</v>
      </c>
      <c r="K210" s="549">
        <f t="shared" si="27"/>
        <v>5160.2999999999993</v>
      </c>
      <c r="L210" s="547"/>
    </row>
    <row r="211" spans="1:12" ht="20.2" customHeight="1">
      <c r="A211" s="539">
        <f t="shared" si="24"/>
        <v>208</v>
      </c>
      <c r="B211" s="549">
        <f t="shared" si="25"/>
        <v>3239.7</v>
      </c>
      <c r="C211" s="1008"/>
      <c r="D211" s="539">
        <f t="shared" si="29"/>
        <v>208</v>
      </c>
      <c r="E211" s="549">
        <f t="shared" si="28"/>
        <v>3239.7</v>
      </c>
      <c r="F211" s="1008"/>
      <c r="G211" s="539">
        <f t="shared" si="30"/>
        <v>208</v>
      </c>
      <c r="H211" s="549">
        <f t="shared" si="26"/>
        <v>4752.0999999999995</v>
      </c>
      <c r="I211" s="1008"/>
      <c r="J211" s="539">
        <f t="shared" si="31"/>
        <v>208</v>
      </c>
      <c r="K211" s="549">
        <f t="shared" si="27"/>
        <v>5184.2999999999993</v>
      </c>
      <c r="L211" s="547"/>
    </row>
    <row r="212" spans="1:12" ht="20.2" customHeight="1">
      <c r="A212" s="539">
        <f t="shared" si="24"/>
        <v>209</v>
      </c>
      <c r="B212" s="549">
        <f t="shared" si="25"/>
        <v>3254.7</v>
      </c>
      <c r="C212" s="1008"/>
      <c r="D212" s="539">
        <f t="shared" si="29"/>
        <v>209</v>
      </c>
      <c r="E212" s="549">
        <f t="shared" si="28"/>
        <v>3254.7</v>
      </c>
      <c r="F212" s="1008"/>
      <c r="G212" s="539">
        <f t="shared" si="30"/>
        <v>209</v>
      </c>
      <c r="H212" s="549">
        <f t="shared" si="26"/>
        <v>4774.0999999999995</v>
      </c>
      <c r="I212" s="1008"/>
      <c r="J212" s="539">
        <f t="shared" si="31"/>
        <v>209</v>
      </c>
      <c r="K212" s="549">
        <f t="shared" si="27"/>
        <v>5208.2999999999993</v>
      </c>
      <c r="L212" s="547"/>
    </row>
    <row r="213" spans="1:12" ht="20.2" customHeight="1">
      <c r="A213" s="539">
        <f t="shared" si="24"/>
        <v>210</v>
      </c>
      <c r="B213" s="549">
        <f t="shared" si="25"/>
        <v>3269.7</v>
      </c>
      <c r="C213" s="1008"/>
      <c r="D213" s="539">
        <f t="shared" si="29"/>
        <v>210</v>
      </c>
      <c r="E213" s="549">
        <f t="shared" si="28"/>
        <v>3269.7</v>
      </c>
      <c r="F213" s="1008"/>
      <c r="G213" s="539">
        <f t="shared" si="30"/>
        <v>210</v>
      </c>
      <c r="H213" s="549">
        <f t="shared" si="26"/>
        <v>4796.0999999999995</v>
      </c>
      <c r="I213" s="1008"/>
      <c r="J213" s="539">
        <f t="shared" si="31"/>
        <v>210</v>
      </c>
      <c r="K213" s="549">
        <f t="shared" si="27"/>
        <v>5232.2999999999993</v>
      </c>
      <c r="L213" s="547"/>
    </row>
    <row r="214" spans="1:12" ht="20.2" customHeight="1">
      <c r="A214" s="539">
        <f t="shared" si="24"/>
        <v>211</v>
      </c>
      <c r="B214" s="549">
        <f t="shared" si="25"/>
        <v>3284.7</v>
      </c>
      <c r="C214" s="1008"/>
      <c r="D214" s="539">
        <f t="shared" si="29"/>
        <v>211</v>
      </c>
      <c r="E214" s="549">
        <f t="shared" si="28"/>
        <v>3284.7</v>
      </c>
      <c r="F214" s="1008"/>
      <c r="G214" s="539">
        <f t="shared" si="30"/>
        <v>211</v>
      </c>
      <c r="H214" s="549">
        <f t="shared" si="26"/>
        <v>4818.0999999999995</v>
      </c>
      <c r="I214" s="1008"/>
      <c r="J214" s="539">
        <f t="shared" si="31"/>
        <v>211</v>
      </c>
      <c r="K214" s="549">
        <f t="shared" si="27"/>
        <v>5256.2999999999993</v>
      </c>
      <c r="L214" s="547"/>
    </row>
    <row r="215" spans="1:12" ht="20.2" customHeight="1">
      <c r="A215" s="539">
        <f t="shared" si="24"/>
        <v>212</v>
      </c>
      <c r="B215" s="549">
        <f t="shared" si="25"/>
        <v>3299.7</v>
      </c>
      <c r="C215" s="1008"/>
      <c r="D215" s="539">
        <f t="shared" si="29"/>
        <v>212</v>
      </c>
      <c r="E215" s="549">
        <f t="shared" si="28"/>
        <v>3299.7</v>
      </c>
      <c r="F215" s="1008"/>
      <c r="G215" s="539">
        <f t="shared" si="30"/>
        <v>212</v>
      </c>
      <c r="H215" s="549">
        <f t="shared" si="26"/>
        <v>4840.0999999999995</v>
      </c>
      <c r="I215" s="1008"/>
      <c r="J215" s="539">
        <f t="shared" si="31"/>
        <v>212</v>
      </c>
      <c r="K215" s="549">
        <f t="shared" si="27"/>
        <v>5280.2999999999993</v>
      </c>
      <c r="L215" s="547"/>
    </row>
    <row r="216" spans="1:12" ht="20.2" customHeight="1">
      <c r="A216" s="539">
        <f t="shared" si="24"/>
        <v>213</v>
      </c>
      <c r="B216" s="549">
        <f t="shared" si="25"/>
        <v>3314.7</v>
      </c>
      <c r="C216" s="1008"/>
      <c r="D216" s="539">
        <f t="shared" si="29"/>
        <v>213</v>
      </c>
      <c r="E216" s="549">
        <f t="shared" si="28"/>
        <v>3314.7</v>
      </c>
      <c r="F216" s="1008"/>
      <c r="G216" s="539">
        <f t="shared" si="30"/>
        <v>213</v>
      </c>
      <c r="H216" s="549">
        <f t="shared" si="26"/>
        <v>4862.0999999999995</v>
      </c>
      <c r="I216" s="1008"/>
      <c r="J216" s="539">
        <f t="shared" si="31"/>
        <v>213</v>
      </c>
      <c r="K216" s="549">
        <f t="shared" si="27"/>
        <v>5304.2999999999993</v>
      </c>
      <c r="L216" s="547"/>
    </row>
    <row r="217" spans="1:12" ht="20.2" customHeight="1">
      <c r="A217" s="539">
        <f t="shared" si="24"/>
        <v>214</v>
      </c>
      <c r="B217" s="549">
        <f t="shared" si="25"/>
        <v>3329.7</v>
      </c>
      <c r="C217" s="1008"/>
      <c r="D217" s="539">
        <f t="shared" si="29"/>
        <v>214</v>
      </c>
      <c r="E217" s="549">
        <f t="shared" si="28"/>
        <v>3329.7</v>
      </c>
      <c r="F217" s="1008"/>
      <c r="G217" s="539">
        <f t="shared" si="30"/>
        <v>214</v>
      </c>
      <c r="H217" s="549">
        <f t="shared" si="26"/>
        <v>4884.0999999999995</v>
      </c>
      <c r="I217" s="1008"/>
      <c r="J217" s="539">
        <f t="shared" si="31"/>
        <v>214</v>
      </c>
      <c r="K217" s="549">
        <f t="shared" si="27"/>
        <v>5328.2999999999993</v>
      </c>
      <c r="L217" s="547"/>
    </row>
    <row r="218" spans="1:12" ht="20.2" customHeight="1">
      <c r="A218" s="539">
        <f t="shared" si="24"/>
        <v>215</v>
      </c>
      <c r="B218" s="549">
        <f t="shared" si="25"/>
        <v>3344.7</v>
      </c>
      <c r="C218" s="1008"/>
      <c r="D218" s="539">
        <f t="shared" si="29"/>
        <v>215</v>
      </c>
      <c r="E218" s="549">
        <f t="shared" si="28"/>
        <v>3344.7</v>
      </c>
      <c r="F218" s="1008"/>
      <c r="G218" s="539">
        <f t="shared" si="30"/>
        <v>215</v>
      </c>
      <c r="H218" s="549">
        <f t="shared" si="26"/>
        <v>4906.0999999999995</v>
      </c>
      <c r="I218" s="1008"/>
      <c r="J218" s="539">
        <f t="shared" si="31"/>
        <v>215</v>
      </c>
      <c r="K218" s="549">
        <f t="shared" si="27"/>
        <v>5352.2999999999993</v>
      </c>
      <c r="L218" s="547"/>
    </row>
    <row r="219" spans="1:12" ht="20.2" customHeight="1">
      <c r="A219" s="539">
        <f t="shared" si="24"/>
        <v>216</v>
      </c>
      <c r="B219" s="549">
        <f t="shared" si="25"/>
        <v>3359.7</v>
      </c>
      <c r="C219" s="1008"/>
      <c r="D219" s="539">
        <f t="shared" si="29"/>
        <v>216</v>
      </c>
      <c r="E219" s="549">
        <f t="shared" si="28"/>
        <v>3359.7</v>
      </c>
      <c r="F219" s="1008"/>
      <c r="G219" s="539">
        <f t="shared" si="30"/>
        <v>216</v>
      </c>
      <c r="H219" s="549">
        <f t="shared" si="26"/>
        <v>4928.0999999999995</v>
      </c>
      <c r="I219" s="1008"/>
      <c r="J219" s="539">
        <f t="shared" si="31"/>
        <v>216</v>
      </c>
      <c r="K219" s="549">
        <f t="shared" si="27"/>
        <v>5376.2999999999993</v>
      </c>
      <c r="L219" s="547"/>
    </row>
    <row r="220" spans="1:12" ht="20.2" customHeight="1">
      <c r="A220" s="539">
        <f t="shared" si="24"/>
        <v>217</v>
      </c>
      <c r="B220" s="549">
        <f t="shared" si="25"/>
        <v>3374.7</v>
      </c>
      <c r="C220" s="1008"/>
      <c r="D220" s="539">
        <f t="shared" si="29"/>
        <v>217</v>
      </c>
      <c r="E220" s="549">
        <f t="shared" si="28"/>
        <v>3374.7</v>
      </c>
      <c r="F220" s="1008"/>
      <c r="G220" s="539">
        <f t="shared" si="30"/>
        <v>217</v>
      </c>
      <c r="H220" s="549">
        <f t="shared" si="26"/>
        <v>4950.0999999999995</v>
      </c>
      <c r="I220" s="1008"/>
      <c r="J220" s="539">
        <f t="shared" si="31"/>
        <v>217</v>
      </c>
      <c r="K220" s="549">
        <f t="shared" si="27"/>
        <v>5400.2999999999993</v>
      </c>
      <c r="L220" s="547"/>
    </row>
    <row r="221" spans="1:12" ht="20.2" customHeight="1">
      <c r="A221" s="539">
        <f t="shared" si="24"/>
        <v>218</v>
      </c>
      <c r="B221" s="549">
        <f t="shared" si="25"/>
        <v>3389.7</v>
      </c>
      <c r="C221" s="1008"/>
      <c r="D221" s="539">
        <f t="shared" si="29"/>
        <v>218</v>
      </c>
      <c r="E221" s="549">
        <f t="shared" si="28"/>
        <v>3389.7</v>
      </c>
      <c r="F221" s="1008"/>
      <c r="G221" s="539">
        <f t="shared" si="30"/>
        <v>218</v>
      </c>
      <c r="H221" s="549">
        <f t="shared" si="26"/>
        <v>4972.0999999999995</v>
      </c>
      <c r="I221" s="1008"/>
      <c r="J221" s="539">
        <f t="shared" si="31"/>
        <v>218</v>
      </c>
      <c r="K221" s="549">
        <f t="shared" si="27"/>
        <v>5424.2999999999993</v>
      </c>
      <c r="L221" s="547"/>
    </row>
    <row r="222" spans="1:12" ht="20.2" customHeight="1">
      <c r="A222" s="539">
        <f t="shared" si="24"/>
        <v>219</v>
      </c>
      <c r="B222" s="549">
        <f t="shared" si="25"/>
        <v>3404.7</v>
      </c>
      <c r="C222" s="1008"/>
      <c r="D222" s="539">
        <f t="shared" si="29"/>
        <v>219</v>
      </c>
      <c r="E222" s="549">
        <f t="shared" si="28"/>
        <v>3404.7</v>
      </c>
      <c r="F222" s="1008"/>
      <c r="G222" s="539">
        <f t="shared" si="30"/>
        <v>219</v>
      </c>
      <c r="H222" s="549">
        <f t="shared" si="26"/>
        <v>4994.0999999999995</v>
      </c>
      <c r="I222" s="1008"/>
      <c r="J222" s="539">
        <f t="shared" si="31"/>
        <v>219</v>
      </c>
      <c r="K222" s="549">
        <f t="shared" si="27"/>
        <v>5448.2999999999993</v>
      </c>
      <c r="L222" s="547"/>
    </row>
    <row r="223" spans="1:12" ht="20.2" customHeight="1">
      <c r="A223" s="539">
        <f t="shared" si="24"/>
        <v>220</v>
      </c>
      <c r="B223" s="549">
        <f t="shared" si="25"/>
        <v>3419.7</v>
      </c>
      <c r="C223" s="1008"/>
      <c r="D223" s="539">
        <f t="shared" si="29"/>
        <v>220</v>
      </c>
      <c r="E223" s="549">
        <f t="shared" si="28"/>
        <v>3419.7</v>
      </c>
      <c r="F223" s="1008"/>
      <c r="G223" s="539">
        <f t="shared" si="30"/>
        <v>220</v>
      </c>
      <c r="H223" s="549">
        <f t="shared" si="26"/>
        <v>5016.0999999999995</v>
      </c>
      <c r="I223" s="1008"/>
      <c r="J223" s="539">
        <f t="shared" si="31"/>
        <v>220</v>
      </c>
      <c r="K223" s="549">
        <f t="shared" si="27"/>
        <v>5472.2999999999993</v>
      </c>
      <c r="L223" s="547"/>
    </row>
    <row r="224" spans="1:12" ht="20.2" customHeight="1">
      <c r="A224" s="539">
        <f t="shared" si="24"/>
        <v>221</v>
      </c>
      <c r="B224" s="549">
        <f t="shared" si="25"/>
        <v>3434.7</v>
      </c>
      <c r="C224" s="1008"/>
      <c r="D224" s="539">
        <f t="shared" si="29"/>
        <v>221</v>
      </c>
      <c r="E224" s="549">
        <f t="shared" si="28"/>
        <v>3434.7</v>
      </c>
      <c r="F224" s="1008"/>
      <c r="G224" s="539">
        <f t="shared" si="30"/>
        <v>221</v>
      </c>
      <c r="H224" s="549">
        <f t="shared" si="26"/>
        <v>5038.0999999999995</v>
      </c>
      <c r="I224" s="1008"/>
      <c r="J224" s="539">
        <f t="shared" si="31"/>
        <v>221</v>
      </c>
      <c r="K224" s="549">
        <f t="shared" si="27"/>
        <v>5496.2999999999993</v>
      </c>
      <c r="L224" s="547"/>
    </row>
    <row r="225" spans="1:12" ht="20.2" customHeight="1">
      <c r="A225" s="539">
        <f t="shared" si="24"/>
        <v>222</v>
      </c>
      <c r="B225" s="549">
        <f t="shared" si="25"/>
        <v>3449.7</v>
      </c>
      <c r="C225" s="1008"/>
      <c r="D225" s="539">
        <f t="shared" si="29"/>
        <v>222</v>
      </c>
      <c r="E225" s="549">
        <f t="shared" si="28"/>
        <v>3449.7</v>
      </c>
      <c r="F225" s="1008"/>
      <c r="G225" s="539">
        <f t="shared" si="30"/>
        <v>222</v>
      </c>
      <c r="H225" s="549">
        <f t="shared" si="26"/>
        <v>5060.0999999999995</v>
      </c>
      <c r="I225" s="1008"/>
      <c r="J225" s="539">
        <f t="shared" si="31"/>
        <v>222</v>
      </c>
      <c r="K225" s="549">
        <f t="shared" si="27"/>
        <v>5520.2999999999993</v>
      </c>
      <c r="L225" s="547"/>
    </row>
    <row r="226" spans="1:12" ht="20.2" customHeight="1">
      <c r="A226" s="539">
        <f t="shared" si="24"/>
        <v>223</v>
      </c>
      <c r="B226" s="549">
        <f t="shared" si="25"/>
        <v>3464.7</v>
      </c>
      <c r="C226" s="1008"/>
      <c r="D226" s="539">
        <f t="shared" si="29"/>
        <v>223</v>
      </c>
      <c r="E226" s="549">
        <f t="shared" si="28"/>
        <v>3464.7</v>
      </c>
      <c r="F226" s="1008"/>
      <c r="G226" s="539">
        <f t="shared" si="30"/>
        <v>223</v>
      </c>
      <c r="H226" s="549">
        <f t="shared" si="26"/>
        <v>5082.0999999999995</v>
      </c>
      <c r="I226" s="1008"/>
      <c r="J226" s="539">
        <f t="shared" si="31"/>
        <v>223</v>
      </c>
      <c r="K226" s="549">
        <f t="shared" si="27"/>
        <v>5544.2999999999993</v>
      </c>
      <c r="L226" s="547"/>
    </row>
    <row r="227" spans="1:12" ht="20.2" customHeight="1">
      <c r="A227" s="539">
        <f t="shared" ref="A227:A290" si="32">A226+1</f>
        <v>224</v>
      </c>
      <c r="B227" s="549">
        <f t="shared" ref="B227:B290" si="33">B226+15</f>
        <v>3479.7</v>
      </c>
      <c r="C227" s="1008"/>
      <c r="D227" s="539">
        <f t="shared" si="29"/>
        <v>224</v>
      </c>
      <c r="E227" s="549">
        <f t="shared" si="28"/>
        <v>3479.7</v>
      </c>
      <c r="F227" s="1008"/>
      <c r="G227" s="539">
        <f t="shared" si="30"/>
        <v>224</v>
      </c>
      <c r="H227" s="549">
        <f t="shared" ref="H227:H290" si="34">H226+22</f>
        <v>5104.0999999999995</v>
      </c>
      <c r="I227" s="1008"/>
      <c r="J227" s="539">
        <f t="shared" si="31"/>
        <v>224</v>
      </c>
      <c r="K227" s="549">
        <f t="shared" ref="K227:K290" si="35">K226+24</f>
        <v>5568.2999999999993</v>
      </c>
      <c r="L227" s="547"/>
    </row>
    <row r="228" spans="1:12" ht="20.2" customHeight="1">
      <c r="A228" s="539">
        <f t="shared" si="32"/>
        <v>225</v>
      </c>
      <c r="B228" s="549">
        <f t="shared" si="33"/>
        <v>3494.7</v>
      </c>
      <c r="C228" s="1008"/>
      <c r="D228" s="539">
        <f t="shared" si="29"/>
        <v>225</v>
      </c>
      <c r="E228" s="549">
        <f t="shared" si="28"/>
        <v>3494.7</v>
      </c>
      <c r="F228" s="1008"/>
      <c r="G228" s="539">
        <f t="shared" si="30"/>
        <v>225</v>
      </c>
      <c r="H228" s="549">
        <f t="shared" si="34"/>
        <v>5126.0999999999995</v>
      </c>
      <c r="I228" s="1008"/>
      <c r="J228" s="539">
        <f t="shared" si="31"/>
        <v>225</v>
      </c>
      <c r="K228" s="549">
        <f t="shared" si="35"/>
        <v>5592.2999999999993</v>
      </c>
      <c r="L228" s="547"/>
    </row>
    <row r="229" spans="1:12" ht="20.2" customHeight="1">
      <c r="A229" s="539">
        <f t="shared" si="32"/>
        <v>226</v>
      </c>
      <c r="B229" s="549">
        <f t="shared" si="33"/>
        <v>3509.7</v>
      </c>
      <c r="C229" s="1008"/>
      <c r="D229" s="539">
        <f t="shared" si="29"/>
        <v>226</v>
      </c>
      <c r="E229" s="549">
        <f t="shared" si="28"/>
        <v>3509.7</v>
      </c>
      <c r="F229" s="1008"/>
      <c r="G229" s="539">
        <f t="shared" si="30"/>
        <v>226</v>
      </c>
      <c r="H229" s="549">
        <f t="shared" si="34"/>
        <v>5148.0999999999995</v>
      </c>
      <c r="I229" s="1008"/>
      <c r="J229" s="539">
        <f t="shared" si="31"/>
        <v>226</v>
      </c>
      <c r="K229" s="549">
        <f t="shared" si="35"/>
        <v>5616.2999999999993</v>
      </c>
      <c r="L229" s="547"/>
    </row>
    <row r="230" spans="1:12" ht="20.2" customHeight="1">
      <c r="A230" s="539">
        <f t="shared" si="32"/>
        <v>227</v>
      </c>
      <c r="B230" s="549">
        <f t="shared" si="33"/>
        <v>3524.7</v>
      </c>
      <c r="C230" s="1008"/>
      <c r="D230" s="539">
        <f t="shared" si="29"/>
        <v>227</v>
      </c>
      <c r="E230" s="549">
        <f t="shared" ref="E230:E293" si="36">E229+15</f>
        <v>3524.7</v>
      </c>
      <c r="F230" s="1008"/>
      <c r="G230" s="539">
        <f t="shared" si="30"/>
        <v>227</v>
      </c>
      <c r="H230" s="549">
        <f t="shared" si="34"/>
        <v>5170.0999999999995</v>
      </c>
      <c r="I230" s="1008"/>
      <c r="J230" s="539">
        <f t="shared" si="31"/>
        <v>227</v>
      </c>
      <c r="K230" s="549">
        <f t="shared" si="35"/>
        <v>5640.2999999999993</v>
      </c>
      <c r="L230" s="547"/>
    </row>
    <row r="231" spans="1:12" ht="20.2" customHeight="1">
      <c r="A231" s="539">
        <f t="shared" si="32"/>
        <v>228</v>
      </c>
      <c r="B231" s="549">
        <f t="shared" si="33"/>
        <v>3539.7</v>
      </c>
      <c r="C231" s="1008"/>
      <c r="D231" s="539">
        <f t="shared" si="29"/>
        <v>228</v>
      </c>
      <c r="E231" s="549">
        <f t="shared" si="36"/>
        <v>3539.7</v>
      </c>
      <c r="F231" s="1008"/>
      <c r="G231" s="539">
        <f t="shared" si="30"/>
        <v>228</v>
      </c>
      <c r="H231" s="549">
        <f t="shared" si="34"/>
        <v>5192.0999999999995</v>
      </c>
      <c r="I231" s="1008"/>
      <c r="J231" s="539">
        <f t="shared" si="31"/>
        <v>228</v>
      </c>
      <c r="K231" s="549">
        <f t="shared" si="35"/>
        <v>5664.2999999999993</v>
      </c>
      <c r="L231" s="547"/>
    </row>
    <row r="232" spans="1:12" ht="20.2" customHeight="1">
      <c r="A232" s="539">
        <f t="shared" si="32"/>
        <v>229</v>
      </c>
      <c r="B232" s="549">
        <f t="shared" si="33"/>
        <v>3554.7</v>
      </c>
      <c r="C232" s="1008"/>
      <c r="D232" s="539">
        <f t="shared" si="29"/>
        <v>229</v>
      </c>
      <c r="E232" s="549">
        <f t="shared" si="36"/>
        <v>3554.7</v>
      </c>
      <c r="F232" s="1008"/>
      <c r="G232" s="539">
        <f t="shared" si="30"/>
        <v>229</v>
      </c>
      <c r="H232" s="549">
        <f t="shared" si="34"/>
        <v>5214.0999999999995</v>
      </c>
      <c r="I232" s="1008"/>
      <c r="J232" s="539">
        <f t="shared" si="31"/>
        <v>229</v>
      </c>
      <c r="K232" s="549">
        <f t="shared" si="35"/>
        <v>5688.2999999999993</v>
      </c>
      <c r="L232" s="547"/>
    </row>
    <row r="233" spans="1:12" ht="20.2" customHeight="1">
      <c r="A233" s="539">
        <f t="shared" si="32"/>
        <v>230</v>
      </c>
      <c r="B233" s="549">
        <f t="shared" si="33"/>
        <v>3569.7</v>
      </c>
      <c r="C233" s="1008"/>
      <c r="D233" s="539">
        <f t="shared" si="29"/>
        <v>230</v>
      </c>
      <c r="E233" s="549">
        <f t="shared" si="36"/>
        <v>3569.7</v>
      </c>
      <c r="F233" s="1008"/>
      <c r="G233" s="539">
        <f t="shared" si="30"/>
        <v>230</v>
      </c>
      <c r="H233" s="549">
        <f t="shared" si="34"/>
        <v>5236.0999999999995</v>
      </c>
      <c r="I233" s="1008"/>
      <c r="J233" s="539">
        <f t="shared" si="31"/>
        <v>230</v>
      </c>
      <c r="K233" s="549">
        <f t="shared" si="35"/>
        <v>5712.2999999999993</v>
      </c>
      <c r="L233" s="547"/>
    </row>
    <row r="234" spans="1:12" ht="20.2" customHeight="1">
      <c r="A234" s="539">
        <f t="shared" si="32"/>
        <v>231</v>
      </c>
      <c r="B234" s="549">
        <f t="shared" si="33"/>
        <v>3584.7</v>
      </c>
      <c r="C234" s="1008"/>
      <c r="D234" s="539">
        <f t="shared" si="29"/>
        <v>231</v>
      </c>
      <c r="E234" s="549">
        <f t="shared" si="36"/>
        <v>3584.7</v>
      </c>
      <c r="F234" s="1008"/>
      <c r="G234" s="539">
        <f t="shared" si="30"/>
        <v>231</v>
      </c>
      <c r="H234" s="549">
        <f t="shared" si="34"/>
        <v>5258.0999999999995</v>
      </c>
      <c r="I234" s="1008"/>
      <c r="J234" s="539">
        <f t="shared" si="31"/>
        <v>231</v>
      </c>
      <c r="K234" s="549">
        <f t="shared" si="35"/>
        <v>5736.2999999999993</v>
      </c>
      <c r="L234" s="547"/>
    </row>
    <row r="235" spans="1:12" ht="20.2" customHeight="1">
      <c r="A235" s="539">
        <f t="shared" si="32"/>
        <v>232</v>
      </c>
      <c r="B235" s="549">
        <f t="shared" si="33"/>
        <v>3599.7</v>
      </c>
      <c r="C235" s="1008"/>
      <c r="D235" s="539">
        <f t="shared" si="29"/>
        <v>232</v>
      </c>
      <c r="E235" s="549">
        <f t="shared" si="36"/>
        <v>3599.7</v>
      </c>
      <c r="F235" s="1008"/>
      <c r="G235" s="539">
        <f t="shared" si="30"/>
        <v>232</v>
      </c>
      <c r="H235" s="549">
        <f t="shared" si="34"/>
        <v>5280.0999999999995</v>
      </c>
      <c r="I235" s="1008"/>
      <c r="J235" s="539">
        <f t="shared" si="31"/>
        <v>232</v>
      </c>
      <c r="K235" s="549">
        <f t="shared" si="35"/>
        <v>5760.2999999999993</v>
      </c>
      <c r="L235" s="547"/>
    </row>
    <row r="236" spans="1:12" ht="20.2" customHeight="1">
      <c r="A236" s="539">
        <f t="shared" si="32"/>
        <v>233</v>
      </c>
      <c r="B236" s="549">
        <f t="shared" si="33"/>
        <v>3614.7</v>
      </c>
      <c r="C236" s="1008"/>
      <c r="D236" s="539">
        <f t="shared" si="29"/>
        <v>233</v>
      </c>
      <c r="E236" s="549">
        <f t="shared" si="36"/>
        <v>3614.7</v>
      </c>
      <c r="F236" s="1008"/>
      <c r="G236" s="539">
        <f t="shared" si="30"/>
        <v>233</v>
      </c>
      <c r="H236" s="549">
        <f t="shared" si="34"/>
        <v>5302.0999999999995</v>
      </c>
      <c r="I236" s="1008"/>
      <c r="J236" s="539">
        <f t="shared" si="31"/>
        <v>233</v>
      </c>
      <c r="K236" s="549">
        <f t="shared" si="35"/>
        <v>5784.2999999999993</v>
      </c>
      <c r="L236" s="547"/>
    </row>
    <row r="237" spans="1:12" ht="20.2" customHeight="1">
      <c r="A237" s="539">
        <f t="shared" si="32"/>
        <v>234</v>
      </c>
      <c r="B237" s="549">
        <f t="shared" si="33"/>
        <v>3629.7</v>
      </c>
      <c r="C237" s="1008"/>
      <c r="D237" s="539">
        <f t="shared" si="29"/>
        <v>234</v>
      </c>
      <c r="E237" s="549">
        <f t="shared" si="36"/>
        <v>3629.7</v>
      </c>
      <c r="F237" s="1008"/>
      <c r="G237" s="539">
        <f t="shared" si="30"/>
        <v>234</v>
      </c>
      <c r="H237" s="549">
        <f t="shared" si="34"/>
        <v>5324.0999999999995</v>
      </c>
      <c r="I237" s="1008"/>
      <c r="J237" s="539">
        <f t="shared" si="31"/>
        <v>234</v>
      </c>
      <c r="K237" s="549">
        <f t="shared" si="35"/>
        <v>5808.2999999999993</v>
      </c>
      <c r="L237" s="547"/>
    </row>
    <row r="238" spans="1:12" ht="20.2" customHeight="1">
      <c r="A238" s="539">
        <f t="shared" si="32"/>
        <v>235</v>
      </c>
      <c r="B238" s="549">
        <f t="shared" si="33"/>
        <v>3644.7</v>
      </c>
      <c r="C238" s="1008"/>
      <c r="D238" s="539">
        <f t="shared" si="29"/>
        <v>235</v>
      </c>
      <c r="E238" s="549">
        <f t="shared" si="36"/>
        <v>3644.7</v>
      </c>
      <c r="F238" s="1008"/>
      <c r="G238" s="539">
        <f t="shared" si="30"/>
        <v>235</v>
      </c>
      <c r="H238" s="549">
        <f t="shared" si="34"/>
        <v>5346.0999999999995</v>
      </c>
      <c r="I238" s="1008"/>
      <c r="J238" s="539">
        <f t="shared" si="31"/>
        <v>235</v>
      </c>
      <c r="K238" s="549">
        <f t="shared" si="35"/>
        <v>5832.2999999999993</v>
      </c>
      <c r="L238" s="547"/>
    </row>
    <row r="239" spans="1:12" ht="20.2" customHeight="1">
      <c r="A239" s="539">
        <f t="shared" si="32"/>
        <v>236</v>
      </c>
      <c r="B239" s="549">
        <f t="shared" si="33"/>
        <v>3659.7</v>
      </c>
      <c r="C239" s="1008"/>
      <c r="D239" s="539">
        <f t="shared" si="29"/>
        <v>236</v>
      </c>
      <c r="E239" s="549">
        <f t="shared" si="36"/>
        <v>3659.7</v>
      </c>
      <c r="F239" s="1008"/>
      <c r="G239" s="539">
        <f t="shared" si="30"/>
        <v>236</v>
      </c>
      <c r="H239" s="549">
        <f t="shared" si="34"/>
        <v>5368.0999999999995</v>
      </c>
      <c r="I239" s="1008"/>
      <c r="J239" s="539">
        <f t="shared" si="31"/>
        <v>236</v>
      </c>
      <c r="K239" s="549">
        <f t="shared" si="35"/>
        <v>5856.2999999999993</v>
      </c>
      <c r="L239" s="547"/>
    </row>
    <row r="240" spans="1:12" ht="20.2" customHeight="1">
      <c r="A240" s="539">
        <f t="shared" si="32"/>
        <v>237</v>
      </c>
      <c r="B240" s="549">
        <f t="shared" si="33"/>
        <v>3674.7</v>
      </c>
      <c r="C240" s="1008"/>
      <c r="D240" s="539">
        <f t="shared" si="29"/>
        <v>237</v>
      </c>
      <c r="E240" s="549">
        <f t="shared" si="36"/>
        <v>3674.7</v>
      </c>
      <c r="F240" s="1008"/>
      <c r="G240" s="539">
        <f t="shared" si="30"/>
        <v>237</v>
      </c>
      <c r="H240" s="549">
        <f t="shared" si="34"/>
        <v>5390.0999999999995</v>
      </c>
      <c r="I240" s="1008"/>
      <c r="J240" s="539">
        <f t="shared" si="31"/>
        <v>237</v>
      </c>
      <c r="K240" s="549">
        <f t="shared" si="35"/>
        <v>5880.2999999999993</v>
      </c>
      <c r="L240" s="547"/>
    </row>
    <row r="241" spans="1:12" ht="20.2" customHeight="1">
      <c r="A241" s="539">
        <f t="shared" si="32"/>
        <v>238</v>
      </c>
      <c r="B241" s="549">
        <f t="shared" si="33"/>
        <v>3689.7</v>
      </c>
      <c r="C241" s="1008"/>
      <c r="D241" s="539">
        <f t="shared" si="29"/>
        <v>238</v>
      </c>
      <c r="E241" s="549">
        <f t="shared" si="36"/>
        <v>3689.7</v>
      </c>
      <c r="F241" s="1008"/>
      <c r="G241" s="539">
        <f t="shared" si="30"/>
        <v>238</v>
      </c>
      <c r="H241" s="549">
        <f t="shared" si="34"/>
        <v>5412.0999999999995</v>
      </c>
      <c r="I241" s="1008"/>
      <c r="J241" s="539">
        <f t="shared" si="31"/>
        <v>238</v>
      </c>
      <c r="K241" s="549">
        <f t="shared" si="35"/>
        <v>5904.2999999999993</v>
      </c>
      <c r="L241" s="547"/>
    </row>
    <row r="242" spans="1:12" ht="20.2" customHeight="1">
      <c r="A242" s="539">
        <f t="shared" si="32"/>
        <v>239</v>
      </c>
      <c r="B242" s="549">
        <f t="shared" si="33"/>
        <v>3704.7</v>
      </c>
      <c r="C242" s="1008"/>
      <c r="D242" s="539">
        <f t="shared" si="29"/>
        <v>239</v>
      </c>
      <c r="E242" s="549">
        <f t="shared" si="36"/>
        <v>3704.7</v>
      </c>
      <c r="F242" s="1008"/>
      <c r="G242" s="539">
        <f t="shared" si="30"/>
        <v>239</v>
      </c>
      <c r="H242" s="549">
        <f t="shared" si="34"/>
        <v>5434.0999999999995</v>
      </c>
      <c r="I242" s="1008"/>
      <c r="J242" s="539">
        <f t="shared" si="31"/>
        <v>239</v>
      </c>
      <c r="K242" s="549">
        <f t="shared" si="35"/>
        <v>5928.2999999999993</v>
      </c>
      <c r="L242" s="547"/>
    </row>
    <row r="243" spans="1:12" ht="20.2" customHeight="1">
      <c r="A243" s="539">
        <f t="shared" si="32"/>
        <v>240</v>
      </c>
      <c r="B243" s="549">
        <f t="shared" si="33"/>
        <v>3719.7</v>
      </c>
      <c r="C243" s="1008"/>
      <c r="D243" s="539">
        <f t="shared" si="29"/>
        <v>240</v>
      </c>
      <c r="E243" s="549">
        <f t="shared" si="36"/>
        <v>3719.7</v>
      </c>
      <c r="F243" s="1008"/>
      <c r="G243" s="539">
        <f t="shared" si="30"/>
        <v>240</v>
      </c>
      <c r="H243" s="549">
        <f t="shared" si="34"/>
        <v>5456.0999999999995</v>
      </c>
      <c r="I243" s="1008"/>
      <c r="J243" s="539">
        <f t="shared" si="31"/>
        <v>240</v>
      </c>
      <c r="K243" s="549">
        <f t="shared" si="35"/>
        <v>5952.2999999999993</v>
      </c>
      <c r="L243" s="547"/>
    </row>
    <row r="244" spans="1:12" ht="20.2" customHeight="1">
      <c r="A244" s="539">
        <f t="shared" si="32"/>
        <v>241</v>
      </c>
      <c r="B244" s="549">
        <f t="shared" si="33"/>
        <v>3734.7</v>
      </c>
      <c r="C244" s="1008"/>
      <c r="D244" s="539">
        <f t="shared" si="29"/>
        <v>241</v>
      </c>
      <c r="E244" s="549">
        <f t="shared" si="36"/>
        <v>3734.7</v>
      </c>
      <c r="F244" s="1008"/>
      <c r="G244" s="539">
        <f t="shared" si="30"/>
        <v>241</v>
      </c>
      <c r="H244" s="549">
        <f t="shared" si="34"/>
        <v>5478.0999999999995</v>
      </c>
      <c r="I244" s="1008"/>
      <c r="J244" s="539">
        <f t="shared" si="31"/>
        <v>241</v>
      </c>
      <c r="K244" s="549">
        <f t="shared" si="35"/>
        <v>5976.2999999999993</v>
      </c>
      <c r="L244" s="547"/>
    </row>
    <row r="245" spans="1:12" ht="20.2" customHeight="1">
      <c r="A245" s="539">
        <f t="shared" si="32"/>
        <v>242</v>
      </c>
      <c r="B245" s="549">
        <f t="shared" si="33"/>
        <v>3749.7</v>
      </c>
      <c r="C245" s="1008"/>
      <c r="D245" s="539">
        <f t="shared" si="29"/>
        <v>242</v>
      </c>
      <c r="E245" s="549">
        <f t="shared" si="36"/>
        <v>3749.7</v>
      </c>
      <c r="F245" s="1008"/>
      <c r="G245" s="539">
        <f t="shared" si="30"/>
        <v>242</v>
      </c>
      <c r="H245" s="549">
        <f t="shared" si="34"/>
        <v>5500.0999999999995</v>
      </c>
      <c r="I245" s="1008"/>
      <c r="J245" s="539">
        <f t="shared" si="31"/>
        <v>242</v>
      </c>
      <c r="K245" s="549">
        <f t="shared" si="35"/>
        <v>6000.2999999999993</v>
      </c>
      <c r="L245" s="547"/>
    </row>
    <row r="246" spans="1:12" ht="20.2" customHeight="1">
      <c r="A246" s="539">
        <f t="shared" si="32"/>
        <v>243</v>
      </c>
      <c r="B246" s="549">
        <f t="shared" si="33"/>
        <v>3764.7</v>
      </c>
      <c r="C246" s="1008"/>
      <c r="D246" s="539">
        <f t="shared" si="29"/>
        <v>243</v>
      </c>
      <c r="E246" s="549">
        <f t="shared" si="36"/>
        <v>3764.7</v>
      </c>
      <c r="F246" s="1008"/>
      <c r="G246" s="539">
        <f t="shared" si="30"/>
        <v>243</v>
      </c>
      <c r="H246" s="549">
        <f t="shared" si="34"/>
        <v>5522.0999999999995</v>
      </c>
      <c r="I246" s="1008"/>
      <c r="J246" s="539">
        <f t="shared" si="31"/>
        <v>243</v>
      </c>
      <c r="K246" s="549">
        <f t="shared" si="35"/>
        <v>6024.2999999999993</v>
      </c>
      <c r="L246" s="547"/>
    </row>
    <row r="247" spans="1:12" ht="20.2" customHeight="1">
      <c r="A247" s="539">
        <f t="shared" si="32"/>
        <v>244</v>
      </c>
      <c r="B247" s="549">
        <f t="shared" si="33"/>
        <v>3779.7</v>
      </c>
      <c r="C247" s="1008"/>
      <c r="D247" s="539">
        <f t="shared" si="29"/>
        <v>244</v>
      </c>
      <c r="E247" s="549">
        <f t="shared" si="36"/>
        <v>3779.7</v>
      </c>
      <c r="F247" s="1008"/>
      <c r="G247" s="539">
        <f t="shared" si="30"/>
        <v>244</v>
      </c>
      <c r="H247" s="549">
        <f t="shared" si="34"/>
        <v>5544.0999999999995</v>
      </c>
      <c r="I247" s="1008"/>
      <c r="J247" s="539">
        <f t="shared" si="31"/>
        <v>244</v>
      </c>
      <c r="K247" s="549">
        <f t="shared" si="35"/>
        <v>6048.2999999999993</v>
      </c>
      <c r="L247" s="547"/>
    </row>
    <row r="248" spans="1:12" ht="20.2" customHeight="1">
      <c r="A248" s="539">
        <f t="shared" si="32"/>
        <v>245</v>
      </c>
      <c r="B248" s="549">
        <f t="shared" si="33"/>
        <v>3794.7</v>
      </c>
      <c r="C248" s="1008"/>
      <c r="D248" s="539">
        <f t="shared" si="29"/>
        <v>245</v>
      </c>
      <c r="E248" s="549">
        <f t="shared" si="36"/>
        <v>3794.7</v>
      </c>
      <c r="F248" s="1008"/>
      <c r="G248" s="539">
        <f t="shared" si="30"/>
        <v>245</v>
      </c>
      <c r="H248" s="549">
        <f t="shared" si="34"/>
        <v>5566.0999999999995</v>
      </c>
      <c r="I248" s="1008"/>
      <c r="J248" s="539">
        <f t="shared" si="31"/>
        <v>245</v>
      </c>
      <c r="K248" s="549">
        <f t="shared" si="35"/>
        <v>6072.2999999999993</v>
      </c>
      <c r="L248" s="547"/>
    </row>
    <row r="249" spans="1:12" ht="20.2" customHeight="1">
      <c r="A249" s="539">
        <f t="shared" si="32"/>
        <v>246</v>
      </c>
      <c r="B249" s="549">
        <f t="shared" si="33"/>
        <v>3809.7</v>
      </c>
      <c r="C249" s="1008"/>
      <c r="D249" s="539">
        <f t="shared" si="29"/>
        <v>246</v>
      </c>
      <c r="E249" s="549">
        <f t="shared" si="36"/>
        <v>3809.7</v>
      </c>
      <c r="F249" s="1008"/>
      <c r="G249" s="539">
        <f t="shared" si="30"/>
        <v>246</v>
      </c>
      <c r="H249" s="549">
        <f t="shared" si="34"/>
        <v>5588.0999999999995</v>
      </c>
      <c r="I249" s="1008"/>
      <c r="J249" s="539">
        <f t="shared" si="31"/>
        <v>246</v>
      </c>
      <c r="K249" s="549">
        <f t="shared" si="35"/>
        <v>6096.2999999999993</v>
      </c>
      <c r="L249" s="547"/>
    </row>
    <row r="250" spans="1:12" ht="20.2" customHeight="1">
      <c r="A250" s="539">
        <f t="shared" si="32"/>
        <v>247</v>
      </c>
      <c r="B250" s="549">
        <f t="shared" si="33"/>
        <v>3824.7</v>
      </c>
      <c r="C250" s="1008"/>
      <c r="D250" s="539">
        <f t="shared" si="29"/>
        <v>247</v>
      </c>
      <c r="E250" s="549">
        <f t="shared" si="36"/>
        <v>3824.7</v>
      </c>
      <c r="F250" s="1008"/>
      <c r="G250" s="539">
        <f t="shared" si="30"/>
        <v>247</v>
      </c>
      <c r="H250" s="549">
        <f t="shared" si="34"/>
        <v>5610.0999999999995</v>
      </c>
      <c r="I250" s="1008"/>
      <c r="J250" s="539">
        <f t="shared" si="31"/>
        <v>247</v>
      </c>
      <c r="K250" s="549">
        <f t="shared" si="35"/>
        <v>6120.2999999999993</v>
      </c>
      <c r="L250" s="547"/>
    </row>
    <row r="251" spans="1:12" ht="20.2" customHeight="1">
      <c r="A251" s="539">
        <f t="shared" si="32"/>
        <v>248</v>
      </c>
      <c r="B251" s="549">
        <f t="shared" si="33"/>
        <v>3839.7</v>
      </c>
      <c r="C251" s="1008"/>
      <c r="D251" s="539">
        <f t="shared" si="29"/>
        <v>248</v>
      </c>
      <c r="E251" s="549">
        <f t="shared" si="36"/>
        <v>3839.7</v>
      </c>
      <c r="F251" s="1008"/>
      <c r="G251" s="539">
        <f t="shared" si="30"/>
        <v>248</v>
      </c>
      <c r="H251" s="549">
        <f t="shared" si="34"/>
        <v>5632.0999999999995</v>
      </c>
      <c r="I251" s="1008"/>
      <c r="J251" s="539">
        <f t="shared" si="31"/>
        <v>248</v>
      </c>
      <c r="K251" s="549">
        <f t="shared" si="35"/>
        <v>6144.2999999999993</v>
      </c>
      <c r="L251" s="547"/>
    </row>
    <row r="252" spans="1:12" ht="20.2" customHeight="1">
      <c r="A252" s="539">
        <f t="shared" si="32"/>
        <v>249</v>
      </c>
      <c r="B252" s="549">
        <f t="shared" si="33"/>
        <v>3854.7</v>
      </c>
      <c r="C252" s="1008"/>
      <c r="D252" s="539">
        <f t="shared" si="29"/>
        <v>249</v>
      </c>
      <c r="E252" s="549">
        <f t="shared" si="36"/>
        <v>3854.7</v>
      </c>
      <c r="F252" s="1008"/>
      <c r="G252" s="539">
        <f t="shared" si="30"/>
        <v>249</v>
      </c>
      <c r="H252" s="549">
        <f t="shared" si="34"/>
        <v>5654.0999999999995</v>
      </c>
      <c r="I252" s="1008"/>
      <c r="J252" s="539">
        <f t="shared" si="31"/>
        <v>249</v>
      </c>
      <c r="K252" s="549">
        <f t="shared" si="35"/>
        <v>6168.2999999999993</v>
      </c>
      <c r="L252" s="547"/>
    </row>
    <row r="253" spans="1:12" ht="20.2" customHeight="1">
      <c r="A253" s="539">
        <f t="shared" si="32"/>
        <v>250</v>
      </c>
      <c r="B253" s="549">
        <f t="shared" si="33"/>
        <v>3869.7</v>
      </c>
      <c r="C253" s="1009"/>
      <c r="D253" s="539">
        <f t="shared" si="29"/>
        <v>250</v>
      </c>
      <c r="E253" s="549">
        <f t="shared" si="36"/>
        <v>3869.7</v>
      </c>
      <c r="F253" s="1009"/>
      <c r="G253" s="539">
        <f t="shared" si="30"/>
        <v>250</v>
      </c>
      <c r="H253" s="549">
        <f t="shared" si="34"/>
        <v>5676.0999999999995</v>
      </c>
      <c r="I253" s="1009"/>
      <c r="J253" s="539">
        <f t="shared" si="31"/>
        <v>250</v>
      </c>
      <c r="K253" s="549">
        <f t="shared" si="35"/>
        <v>6192.2999999999993</v>
      </c>
      <c r="L253" s="547"/>
    </row>
    <row r="254" spans="1:12">
      <c r="A254" s="539">
        <f t="shared" si="32"/>
        <v>251</v>
      </c>
      <c r="B254" s="549">
        <f t="shared" si="33"/>
        <v>3884.7</v>
      </c>
      <c r="D254" s="539">
        <f t="shared" si="29"/>
        <v>251</v>
      </c>
      <c r="E254" s="549">
        <f t="shared" si="36"/>
        <v>3884.7</v>
      </c>
      <c r="G254" s="539">
        <f t="shared" si="30"/>
        <v>251</v>
      </c>
      <c r="H254" s="549">
        <f t="shared" si="34"/>
        <v>5698.0999999999995</v>
      </c>
      <c r="I254" s="547"/>
      <c r="J254" s="539">
        <f t="shared" si="31"/>
        <v>251</v>
      </c>
      <c r="K254" s="549">
        <f t="shared" si="35"/>
        <v>6216.2999999999993</v>
      </c>
      <c r="L254" s="547"/>
    </row>
    <row r="255" spans="1:12">
      <c r="A255" s="539">
        <f t="shared" si="32"/>
        <v>252</v>
      </c>
      <c r="B255" s="549">
        <f t="shared" si="33"/>
        <v>3899.7</v>
      </c>
      <c r="D255" s="539">
        <f t="shared" si="29"/>
        <v>252</v>
      </c>
      <c r="E255" s="549">
        <f t="shared" si="36"/>
        <v>3899.7</v>
      </c>
      <c r="G255" s="539">
        <f t="shared" si="30"/>
        <v>252</v>
      </c>
      <c r="H255" s="549">
        <f t="shared" si="34"/>
        <v>5720.0999999999995</v>
      </c>
      <c r="I255" s="547"/>
      <c r="J255" s="539">
        <f t="shared" si="31"/>
        <v>252</v>
      </c>
      <c r="K255" s="549">
        <f t="shared" si="35"/>
        <v>6240.2999999999993</v>
      </c>
      <c r="L255" s="547"/>
    </row>
    <row r="256" spans="1:12">
      <c r="A256" s="539">
        <f t="shared" si="32"/>
        <v>253</v>
      </c>
      <c r="B256" s="549">
        <f t="shared" si="33"/>
        <v>3914.7</v>
      </c>
      <c r="D256" s="539">
        <f t="shared" si="29"/>
        <v>253</v>
      </c>
      <c r="E256" s="549">
        <f t="shared" si="36"/>
        <v>3914.7</v>
      </c>
      <c r="G256" s="539">
        <f t="shared" si="30"/>
        <v>253</v>
      </c>
      <c r="H256" s="549">
        <f t="shared" si="34"/>
        <v>5742.0999999999995</v>
      </c>
      <c r="I256" s="547"/>
      <c r="J256" s="539">
        <f t="shared" si="31"/>
        <v>253</v>
      </c>
      <c r="K256" s="549">
        <f t="shared" si="35"/>
        <v>6264.2999999999993</v>
      </c>
      <c r="L256" s="547"/>
    </row>
    <row r="257" spans="1:12">
      <c r="A257" s="539">
        <f t="shared" si="32"/>
        <v>254</v>
      </c>
      <c r="B257" s="549">
        <f t="shared" si="33"/>
        <v>3929.7</v>
      </c>
      <c r="D257" s="539">
        <f t="shared" si="29"/>
        <v>254</v>
      </c>
      <c r="E257" s="549">
        <f t="shared" si="36"/>
        <v>3929.7</v>
      </c>
      <c r="G257" s="539">
        <f t="shared" si="30"/>
        <v>254</v>
      </c>
      <c r="H257" s="549">
        <f t="shared" si="34"/>
        <v>5764.0999999999995</v>
      </c>
      <c r="I257" s="547"/>
      <c r="J257" s="539">
        <f t="shared" si="31"/>
        <v>254</v>
      </c>
      <c r="K257" s="549">
        <f t="shared" si="35"/>
        <v>6288.2999999999993</v>
      </c>
      <c r="L257" s="547"/>
    </row>
    <row r="258" spans="1:12">
      <c r="A258" s="539">
        <f t="shared" si="32"/>
        <v>255</v>
      </c>
      <c r="B258" s="549">
        <f t="shared" si="33"/>
        <v>3944.7</v>
      </c>
      <c r="D258" s="539">
        <f t="shared" si="29"/>
        <v>255</v>
      </c>
      <c r="E258" s="549">
        <f t="shared" si="36"/>
        <v>3944.7</v>
      </c>
      <c r="G258" s="539">
        <f t="shared" si="30"/>
        <v>255</v>
      </c>
      <c r="H258" s="549">
        <f t="shared" si="34"/>
        <v>5786.0999999999995</v>
      </c>
      <c r="I258" s="547"/>
      <c r="J258" s="539">
        <f t="shared" si="31"/>
        <v>255</v>
      </c>
      <c r="K258" s="549">
        <f t="shared" si="35"/>
        <v>6312.2999999999993</v>
      </c>
      <c r="L258" s="547"/>
    </row>
    <row r="259" spans="1:12">
      <c r="A259" s="539">
        <f t="shared" si="32"/>
        <v>256</v>
      </c>
      <c r="B259" s="549">
        <f t="shared" si="33"/>
        <v>3959.7</v>
      </c>
      <c r="D259" s="539">
        <f t="shared" si="29"/>
        <v>256</v>
      </c>
      <c r="E259" s="549">
        <f t="shared" si="36"/>
        <v>3959.7</v>
      </c>
      <c r="G259" s="539">
        <f t="shared" si="30"/>
        <v>256</v>
      </c>
      <c r="H259" s="549">
        <f t="shared" si="34"/>
        <v>5808.0999999999995</v>
      </c>
      <c r="I259" s="547"/>
      <c r="J259" s="539">
        <f t="shared" si="31"/>
        <v>256</v>
      </c>
      <c r="K259" s="549">
        <f t="shared" si="35"/>
        <v>6336.2999999999993</v>
      </c>
      <c r="L259" s="547"/>
    </row>
    <row r="260" spans="1:12">
      <c r="A260" s="539">
        <f t="shared" si="32"/>
        <v>257</v>
      </c>
      <c r="B260" s="549">
        <f t="shared" si="33"/>
        <v>3974.7</v>
      </c>
      <c r="D260" s="539">
        <f t="shared" si="29"/>
        <v>257</v>
      </c>
      <c r="E260" s="549">
        <f t="shared" si="36"/>
        <v>3974.7</v>
      </c>
      <c r="G260" s="539">
        <f t="shared" si="30"/>
        <v>257</v>
      </c>
      <c r="H260" s="549">
        <f t="shared" si="34"/>
        <v>5830.0999999999995</v>
      </c>
      <c r="I260" s="547"/>
      <c r="J260" s="539">
        <f t="shared" si="31"/>
        <v>257</v>
      </c>
      <c r="K260" s="549">
        <f t="shared" si="35"/>
        <v>6360.2999999999993</v>
      </c>
      <c r="L260" s="547"/>
    </row>
    <row r="261" spans="1:12">
      <c r="A261" s="539">
        <f t="shared" si="32"/>
        <v>258</v>
      </c>
      <c r="B261" s="549">
        <f t="shared" si="33"/>
        <v>3989.7</v>
      </c>
      <c r="D261" s="539">
        <f t="shared" ref="D261:D303" si="37">D260+1</f>
        <v>258</v>
      </c>
      <c r="E261" s="549">
        <f t="shared" si="36"/>
        <v>3989.7</v>
      </c>
      <c r="G261" s="539">
        <f t="shared" si="30"/>
        <v>258</v>
      </c>
      <c r="H261" s="549">
        <f t="shared" si="34"/>
        <v>5852.0999999999995</v>
      </c>
      <c r="I261" s="547"/>
      <c r="J261" s="539">
        <f t="shared" si="31"/>
        <v>258</v>
      </c>
      <c r="K261" s="549">
        <f t="shared" si="35"/>
        <v>6384.2999999999993</v>
      </c>
      <c r="L261" s="547"/>
    </row>
    <row r="262" spans="1:12">
      <c r="A262" s="539">
        <f t="shared" si="32"/>
        <v>259</v>
      </c>
      <c r="B262" s="549">
        <f t="shared" si="33"/>
        <v>4004.7</v>
      </c>
      <c r="D262" s="539">
        <f t="shared" si="37"/>
        <v>259</v>
      </c>
      <c r="E262" s="549">
        <f t="shared" si="36"/>
        <v>4004.7</v>
      </c>
      <c r="G262" s="539">
        <f t="shared" ref="G262:G303" si="38">G261+1</f>
        <v>259</v>
      </c>
      <c r="H262" s="549">
        <f t="shared" si="34"/>
        <v>5874.0999999999995</v>
      </c>
      <c r="I262" s="547"/>
      <c r="J262" s="539">
        <f t="shared" ref="J262:J303" si="39">J261+1</f>
        <v>259</v>
      </c>
      <c r="K262" s="549">
        <f t="shared" si="35"/>
        <v>6408.2999999999993</v>
      </c>
      <c r="L262" s="547"/>
    </row>
    <row r="263" spans="1:12">
      <c r="A263" s="539">
        <f t="shared" si="32"/>
        <v>260</v>
      </c>
      <c r="B263" s="549">
        <f t="shared" si="33"/>
        <v>4019.7</v>
      </c>
      <c r="D263" s="539">
        <f t="shared" si="37"/>
        <v>260</v>
      </c>
      <c r="E263" s="549">
        <f t="shared" si="36"/>
        <v>4019.7</v>
      </c>
      <c r="G263" s="539">
        <f t="shared" si="38"/>
        <v>260</v>
      </c>
      <c r="H263" s="549">
        <f t="shared" si="34"/>
        <v>5896.0999999999995</v>
      </c>
      <c r="I263" s="547"/>
      <c r="J263" s="539">
        <f t="shared" si="39"/>
        <v>260</v>
      </c>
      <c r="K263" s="549">
        <f t="shared" si="35"/>
        <v>6432.2999999999993</v>
      </c>
      <c r="L263" s="547"/>
    </row>
    <row r="264" spans="1:12">
      <c r="A264" s="539">
        <f t="shared" si="32"/>
        <v>261</v>
      </c>
      <c r="B264" s="549">
        <f t="shared" si="33"/>
        <v>4034.7</v>
      </c>
      <c r="D264" s="539">
        <f t="shared" si="37"/>
        <v>261</v>
      </c>
      <c r="E264" s="549">
        <f t="shared" si="36"/>
        <v>4034.7</v>
      </c>
      <c r="G264" s="539">
        <f t="shared" si="38"/>
        <v>261</v>
      </c>
      <c r="H264" s="549">
        <f t="shared" si="34"/>
        <v>5918.0999999999995</v>
      </c>
      <c r="I264" s="547"/>
      <c r="J264" s="539">
        <f t="shared" si="39"/>
        <v>261</v>
      </c>
      <c r="K264" s="549">
        <f t="shared" si="35"/>
        <v>6456.2999999999993</v>
      </c>
      <c r="L264" s="547"/>
    </row>
    <row r="265" spans="1:12">
      <c r="A265" s="539">
        <f t="shared" si="32"/>
        <v>262</v>
      </c>
      <c r="B265" s="549">
        <f t="shared" si="33"/>
        <v>4049.7</v>
      </c>
      <c r="D265" s="539">
        <f t="shared" si="37"/>
        <v>262</v>
      </c>
      <c r="E265" s="549">
        <f t="shared" si="36"/>
        <v>4049.7</v>
      </c>
      <c r="G265" s="539">
        <f t="shared" si="38"/>
        <v>262</v>
      </c>
      <c r="H265" s="549">
        <f t="shared" si="34"/>
        <v>5940.0999999999995</v>
      </c>
      <c r="I265" s="547"/>
      <c r="J265" s="539">
        <f t="shared" si="39"/>
        <v>262</v>
      </c>
      <c r="K265" s="549">
        <f t="shared" si="35"/>
        <v>6480.2999999999993</v>
      </c>
      <c r="L265" s="547"/>
    </row>
    <row r="266" spans="1:12">
      <c r="A266" s="539">
        <f t="shared" si="32"/>
        <v>263</v>
      </c>
      <c r="B266" s="549">
        <f t="shared" si="33"/>
        <v>4064.7</v>
      </c>
      <c r="D266" s="539">
        <f t="shared" si="37"/>
        <v>263</v>
      </c>
      <c r="E266" s="549">
        <f t="shared" si="36"/>
        <v>4064.7</v>
      </c>
      <c r="G266" s="539">
        <f t="shared" si="38"/>
        <v>263</v>
      </c>
      <c r="H266" s="549">
        <f t="shared" si="34"/>
        <v>5962.0999999999995</v>
      </c>
      <c r="I266" s="547"/>
      <c r="J266" s="539">
        <f t="shared" si="39"/>
        <v>263</v>
      </c>
      <c r="K266" s="549">
        <f t="shared" si="35"/>
        <v>6504.2999999999993</v>
      </c>
      <c r="L266" s="547"/>
    </row>
    <row r="267" spans="1:12">
      <c r="A267" s="539">
        <f t="shared" si="32"/>
        <v>264</v>
      </c>
      <c r="B267" s="549">
        <f t="shared" si="33"/>
        <v>4079.7</v>
      </c>
      <c r="D267" s="539">
        <f t="shared" si="37"/>
        <v>264</v>
      </c>
      <c r="E267" s="549">
        <f t="shared" si="36"/>
        <v>4079.7</v>
      </c>
      <c r="G267" s="539">
        <f t="shared" si="38"/>
        <v>264</v>
      </c>
      <c r="H267" s="549">
        <f t="shared" si="34"/>
        <v>5984.0999999999995</v>
      </c>
      <c r="I267" s="547"/>
      <c r="J267" s="539">
        <f t="shared" si="39"/>
        <v>264</v>
      </c>
      <c r="K267" s="549">
        <f t="shared" si="35"/>
        <v>6528.2999999999993</v>
      </c>
      <c r="L267" s="547"/>
    </row>
    <row r="268" spans="1:12">
      <c r="A268" s="539">
        <f t="shared" si="32"/>
        <v>265</v>
      </c>
      <c r="B268" s="549">
        <f t="shared" si="33"/>
        <v>4094.7</v>
      </c>
      <c r="D268" s="539">
        <f t="shared" si="37"/>
        <v>265</v>
      </c>
      <c r="E268" s="549">
        <f t="shared" si="36"/>
        <v>4094.7</v>
      </c>
      <c r="G268" s="539">
        <f t="shared" si="38"/>
        <v>265</v>
      </c>
      <c r="H268" s="549">
        <f t="shared" si="34"/>
        <v>6006.0999999999995</v>
      </c>
      <c r="I268" s="547"/>
      <c r="J268" s="539">
        <f t="shared" si="39"/>
        <v>265</v>
      </c>
      <c r="K268" s="549">
        <f t="shared" si="35"/>
        <v>6552.2999999999993</v>
      </c>
      <c r="L268" s="547"/>
    </row>
    <row r="269" spans="1:12">
      <c r="A269" s="539">
        <f t="shared" si="32"/>
        <v>266</v>
      </c>
      <c r="B269" s="549">
        <f t="shared" si="33"/>
        <v>4109.7</v>
      </c>
      <c r="D269" s="539">
        <f t="shared" si="37"/>
        <v>266</v>
      </c>
      <c r="E269" s="549">
        <f t="shared" si="36"/>
        <v>4109.7</v>
      </c>
      <c r="G269" s="539">
        <f t="shared" si="38"/>
        <v>266</v>
      </c>
      <c r="H269" s="549">
        <f t="shared" si="34"/>
        <v>6028.0999999999995</v>
      </c>
      <c r="I269" s="547"/>
      <c r="J269" s="539">
        <f t="shared" si="39"/>
        <v>266</v>
      </c>
      <c r="K269" s="549">
        <f t="shared" si="35"/>
        <v>6576.2999999999993</v>
      </c>
      <c r="L269" s="547"/>
    </row>
    <row r="270" spans="1:12">
      <c r="A270" s="539">
        <f t="shared" si="32"/>
        <v>267</v>
      </c>
      <c r="B270" s="549">
        <f t="shared" si="33"/>
        <v>4124.7</v>
      </c>
      <c r="D270" s="539">
        <f t="shared" si="37"/>
        <v>267</v>
      </c>
      <c r="E270" s="549">
        <f t="shared" si="36"/>
        <v>4124.7</v>
      </c>
      <c r="G270" s="539">
        <f t="shared" si="38"/>
        <v>267</v>
      </c>
      <c r="H270" s="549">
        <f t="shared" si="34"/>
        <v>6050.0999999999995</v>
      </c>
      <c r="I270" s="547"/>
      <c r="J270" s="539">
        <f t="shared" si="39"/>
        <v>267</v>
      </c>
      <c r="K270" s="549">
        <f t="shared" si="35"/>
        <v>6600.2999999999993</v>
      </c>
      <c r="L270" s="547"/>
    </row>
    <row r="271" spans="1:12">
      <c r="A271" s="539">
        <f t="shared" si="32"/>
        <v>268</v>
      </c>
      <c r="B271" s="549">
        <f t="shared" si="33"/>
        <v>4139.7</v>
      </c>
      <c r="D271" s="539">
        <f t="shared" si="37"/>
        <v>268</v>
      </c>
      <c r="E271" s="549">
        <f t="shared" si="36"/>
        <v>4139.7</v>
      </c>
      <c r="G271" s="539">
        <f t="shared" si="38"/>
        <v>268</v>
      </c>
      <c r="H271" s="549">
        <f t="shared" si="34"/>
        <v>6072.0999999999995</v>
      </c>
      <c r="I271" s="547"/>
      <c r="J271" s="539">
        <f t="shared" si="39"/>
        <v>268</v>
      </c>
      <c r="K271" s="549">
        <f t="shared" si="35"/>
        <v>6624.2999999999993</v>
      </c>
      <c r="L271" s="547"/>
    </row>
    <row r="272" spans="1:12">
      <c r="A272" s="539">
        <f t="shared" si="32"/>
        <v>269</v>
      </c>
      <c r="B272" s="549">
        <f t="shared" si="33"/>
        <v>4154.7</v>
      </c>
      <c r="D272" s="539">
        <f t="shared" si="37"/>
        <v>269</v>
      </c>
      <c r="E272" s="549">
        <f t="shared" si="36"/>
        <v>4154.7</v>
      </c>
      <c r="G272" s="539">
        <f t="shared" si="38"/>
        <v>269</v>
      </c>
      <c r="H272" s="549">
        <f t="shared" si="34"/>
        <v>6094.0999999999995</v>
      </c>
      <c r="I272" s="547"/>
      <c r="J272" s="539">
        <f t="shared" si="39"/>
        <v>269</v>
      </c>
      <c r="K272" s="549">
        <f t="shared" si="35"/>
        <v>6648.2999999999993</v>
      </c>
      <c r="L272" s="547"/>
    </row>
    <row r="273" spans="1:12">
      <c r="A273" s="539">
        <f t="shared" si="32"/>
        <v>270</v>
      </c>
      <c r="B273" s="549">
        <f t="shared" si="33"/>
        <v>4169.7</v>
      </c>
      <c r="D273" s="539">
        <f t="shared" si="37"/>
        <v>270</v>
      </c>
      <c r="E273" s="549">
        <f t="shared" si="36"/>
        <v>4169.7</v>
      </c>
      <c r="G273" s="539">
        <f t="shared" si="38"/>
        <v>270</v>
      </c>
      <c r="H273" s="549">
        <f t="shared" si="34"/>
        <v>6116.0999999999995</v>
      </c>
      <c r="I273" s="547"/>
      <c r="J273" s="539">
        <f t="shared" si="39"/>
        <v>270</v>
      </c>
      <c r="K273" s="549">
        <f t="shared" si="35"/>
        <v>6672.2999999999993</v>
      </c>
      <c r="L273" s="547"/>
    </row>
    <row r="274" spans="1:12">
      <c r="A274" s="539">
        <f t="shared" si="32"/>
        <v>271</v>
      </c>
      <c r="B274" s="549">
        <f t="shared" si="33"/>
        <v>4184.7</v>
      </c>
      <c r="D274" s="539">
        <f t="shared" si="37"/>
        <v>271</v>
      </c>
      <c r="E274" s="549">
        <f t="shared" si="36"/>
        <v>4184.7</v>
      </c>
      <c r="G274" s="539">
        <f t="shared" si="38"/>
        <v>271</v>
      </c>
      <c r="H274" s="549">
        <f t="shared" si="34"/>
        <v>6138.0999999999995</v>
      </c>
      <c r="I274" s="547"/>
      <c r="J274" s="539">
        <f t="shared" si="39"/>
        <v>271</v>
      </c>
      <c r="K274" s="549">
        <f t="shared" si="35"/>
        <v>6696.2999999999993</v>
      </c>
      <c r="L274" s="547"/>
    </row>
    <row r="275" spans="1:12">
      <c r="A275" s="539">
        <f t="shared" si="32"/>
        <v>272</v>
      </c>
      <c r="B275" s="549">
        <f t="shared" si="33"/>
        <v>4199.7</v>
      </c>
      <c r="D275" s="539">
        <f t="shared" si="37"/>
        <v>272</v>
      </c>
      <c r="E275" s="549">
        <f t="shared" si="36"/>
        <v>4199.7</v>
      </c>
      <c r="G275" s="539">
        <f t="shared" si="38"/>
        <v>272</v>
      </c>
      <c r="H275" s="549">
        <f t="shared" si="34"/>
        <v>6160.0999999999995</v>
      </c>
      <c r="I275" s="547"/>
      <c r="J275" s="539">
        <f t="shared" si="39"/>
        <v>272</v>
      </c>
      <c r="K275" s="549">
        <f t="shared" si="35"/>
        <v>6720.2999999999993</v>
      </c>
      <c r="L275" s="547"/>
    </row>
    <row r="276" spans="1:12">
      <c r="A276" s="539">
        <f t="shared" si="32"/>
        <v>273</v>
      </c>
      <c r="B276" s="549">
        <f t="shared" si="33"/>
        <v>4214.7</v>
      </c>
      <c r="D276" s="539">
        <f t="shared" si="37"/>
        <v>273</v>
      </c>
      <c r="E276" s="549">
        <f t="shared" si="36"/>
        <v>4214.7</v>
      </c>
      <c r="G276" s="539">
        <f t="shared" si="38"/>
        <v>273</v>
      </c>
      <c r="H276" s="549">
        <f t="shared" si="34"/>
        <v>6182.0999999999995</v>
      </c>
      <c r="I276" s="547"/>
      <c r="J276" s="539">
        <f t="shared" si="39"/>
        <v>273</v>
      </c>
      <c r="K276" s="549">
        <f t="shared" si="35"/>
        <v>6744.2999999999993</v>
      </c>
      <c r="L276" s="547"/>
    </row>
    <row r="277" spans="1:12">
      <c r="A277" s="539">
        <f t="shared" si="32"/>
        <v>274</v>
      </c>
      <c r="B277" s="549">
        <f t="shared" si="33"/>
        <v>4229.7</v>
      </c>
      <c r="D277" s="539">
        <f t="shared" si="37"/>
        <v>274</v>
      </c>
      <c r="E277" s="549">
        <f t="shared" si="36"/>
        <v>4229.7</v>
      </c>
      <c r="G277" s="539">
        <f t="shared" si="38"/>
        <v>274</v>
      </c>
      <c r="H277" s="549">
        <f t="shared" si="34"/>
        <v>6204.0999999999995</v>
      </c>
      <c r="I277" s="547"/>
      <c r="J277" s="539">
        <f t="shared" si="39"/>
        <v>274</v>
      </c>
      <c r="K277" s="549">
        <f t="shared" si="35"/>
        <v>6768.2999999999993</v>
      </c>
      <c r="L277" s="547"/>
    </row>
    <row r="278" spans="1:12">
      <c r="A278" s="539">
        <f t="shared" si="32"/>
        <v>275</v>
      </c>
      <c r="B278" s="549">
        <f t="shared" si="33"/>
        <v>4244.7</v>
      </c>
      <c r="D278" s="539">
        <f t="shared" si="37"/>
        <v>275</v>
      </c>
      <c r="E278" s="549">
        <f t="shared" si="36"/>
        <v>4244.7</v>
      </c>
      <c r="G278" s="539">
        <f t="shared" si="38"/>
        <v>275</v>
      </c>
      <c r="H278" s="549">
        <f t="shared" si="34"/>
        <v>6226.0999999999995</v>
      </c>
      <c r="I278" s="547"/>
      <c r="J278" s="539">
        <f t="shared" si="39"/>
        <v>275</v>
      </c>
      <c r="K278" s="549">
        <f t="shared" si="35"/>
        <v>6792.2999999999993</v>
      </c>
      <c r="L278" s="547"/>
    </row>
    <row r="279" spans="1:12">
      <c r="A279" s="539">
        <f t="shared" si="32"/>
        <v>276</v>
      </c>
      <c r="B279" s="549">
        <f t="shared" si="33"/>
        <v>4259.7</v>
      </c>
      <c r="D279" s="539">
        <f t="shared" si="37"/>
        <v>276</v>
      </c>
      <c r="E279" s="549">
        <f t="shared" si="36"/>
        <v>4259.7</v>
      </c>
      <c r="G279" s="539">
        <f t="shared" si="38"/>
        <v>276</v>
      </c>
      <c r="H279" s="549">
        <f t="shared" si="34"/>
        <v>6248.0999999999995</v>
      </c>
      <c r="I279" s="547"/>
      <c r="J279" s="539">
        <f t="shared" si="39"/>
        <v>276</v>
      </c>
      <c r="K279" s="549">
        <f t="shared" si="35"/>
        <v>6816.2999999999993</v>
      </c>
      <c r="L279" s="547"/>
    </row>
    <row r="280" spans="1:12">
      <c r="A280" s="539">
        <f t="shared" si="32"/>
        <v>277</v>
      </c>
      <c r="B280" s="549">
        <f t="shared" si="33"/>
        <v>4274.7</v>
      </c>
      <c r="D280" s="539">
        <f t="shared" si="37"/>
        <v>277</v>
      </c>
      <c r="E280" s="549">
        <f t="shared" si="36"/>
        <v>4274.7</v>
      </c>
      <c r="G280" s="539">
        <f t="shared" si="38"/>
        <v>277</v>
      </c>
      <c r="H280" s="549">
        <f t="shared" si="34"/>
        <v>6270.0999999999995</v>
      </c>
      <c r="I280" s="547"/>
      <c r="J280" s="539">
        <f t="shared" si="39"/>
        <v>277</v>
      </c>
      <c r="K280" s="549">
        <f t="shared" si="35"/>
        <v>6840.2999999999993</v>
      </c>
      <c r="L280" s="547"/>
    </row>
    <row r="281" spans="1:12">
      <c r="A281" s="539">
        <f t="shared" si="32"/>
        <v>278</v>
      </c>
      <c r="B281" s="549">
        <f t="shared" si="33"/>
        <v>4289.7</v>
      </c>
      <c r="D281" s="539">
        <f t="shared" si="37"/>
        <v>278</v>
      </c>
      <c r="E281" s="549">
        <f t="shared" si="36"/>
        <v>4289.7</v>
      </c>
      <c r="G281" s="539">
        <f t="shared" si="38"/>
        <v>278</v>
      </c>
      <c r="H281" s="549">
        <f t="shared" si="34"/>
        <v>6292.0999999999995</v>
      </c>
      <c r="I281" s="547"/>
      <c r="J281" s="539">
        <f t="shared" si="39"/>
        <v>278</v>
      </c>
      <c r="K281" s="549">
        <f t="shared" si="35"/>
        <v>6864.2999999999993</v>
      </c>
      <c r="L281" s="547"/>
    </row>
    <row r="282" spans="1:12">
      <c r="A282" s="539">
        <f t="shared" si="32"/>
        <v>279</v>
      </c>
      <c r="B282" s="549">
        <f t="shared" si="33"/>
        <v>4304.7</v>
      </c>
      <c r="D282" s="539">
        <f t="shared" si="37"/>
        <v>279</v>
      </c>
      <c r="E282" s="549">
        <f t="shared" si="36"/>
        <v>4304.7</v>
      </c>
      <c r="G282" s="539">
        <f t="shared" si="38"/>
        <v>279</v>
      </c>
      <c r="H282" s="549">
        <f t="shared" si="34"/>
        <v>6314.0999999999995</v>
      </c>
      <c r="I282" s="547"/>
      <c r="J282" s="539">
        <f t="shared" si="39"/>
        <v>279</v>
      </c>
      <c r="K282" s="549">
        <f t="shared" si="35"/>
        <v>6888.2999999999993</v>
      </c>
      <c r="L282" s="547"/>
    </row>
    <row r="283" spans="1:12">
      <c r="A283" s="539">
        <f t="shared" si="32"/>
        <v>280</v>
      </c>
      <c r="B283" s="549">
        <f t="shared" si="33"/>
        <v>4319.7</v>
      </c>
      <c r="D283" s="539">
        <f t="shared" si="37"/>
        <v>280</v>
      </c>
      <c r="E283" s="549">
        <f t="shared" si="36"/>
        <v>4319.7</v>
      </c>
      <c r="G283" s="539">
        <f t="shared" si="38"/>
        <v>280</v>
      </c>
      <c r="H283" s="549">
        <f t="shared" si="34"/>
        <v>6336.0999999999995</v>
      </c>
      <c r="I283" s="547"/>
      <c r="J283" s="539">
        <f t="shared" si="39"/>
        <v>280</v>
      </c>
      <c r="K283" s="549">
        <f t="shared" si="35"/>
        <v>6912.2999999999993</v>
      </c>
      <c r="L283" s="547"/>
    </row>
    <row r="284" spans="1:12">
      <c r="A284" s="539">
        <f t="shared" si="32"/>
        <v>281</v>
      </c>
      <c r="B284" s="549">
        <f t="shared" si="33"/>
        <v>4334.7</v>
      </c>
      <c r="D284" s="539">
        <f t="shared" si="37"/>
        <v>281</v>
      </c>
      <c r="E284" s="549">
        <f t="shared" si="36"/>
        <v>4334.7</v>
      </c>
      <c r="G284" s="539">
        <f t="shared" si="38"/>
        <v>281</v>
      </c>
      <c r="H284" s="549">
        <f t="shared" si="34"/>
        <v>6358.0999999999995</v>
      </c>
      <c r="I284" s="547"/>
      <c r="J284" s="539">
        <f t="shared" si="39"/>
        <v>281</v>
      </c>
      <c r="K284" s="549">
        <f t="shared" si="35"/>
        <v>6936.2999999999993</v>
      </c>
      <c r="L284" s="547"/>
    </row>
    <row r="285" spans="1:12">
      <c r="A285" s="539">
        <f t="shared" si="32"/>
        <v>282</v>
      </c>
      <c r="B285" s="549">
        <f t="shared" si="33"/>
        <v>4349.7</v>
      </c>
      <c r="D285" s="539">
        <f t="shared" si="37"/>
        <v>282</v>
      </c>
      <c r="E285" s="549">
        <f t="shared" si="36"/>
        <v>4349.7</v>
      </c>
      <c r="G285" s="539">
        <f t="shared" si="38"/>
        <v>282</v>
      </c>
      <c r="H285" s="549">
        <f t="shared" si="34"/>
        <v>6380.0999999999995</v>
      </c>
      <c r="I285" s="547"/>
      <c r="J285" s="539">
        <f t="shared" si="39"/>
        <v>282</v>
      </c>
      <c r="K285" s="549">
        <f t="shared" si="35"/>
        <v>6960.2999999999993</v>
      </c>
      <c r="L285" s="547"/>
    </row>
    <row r="286" spans="1:12">
      <c r="A286" s="539">
        <f t="shared" si="32"/>
        <v>283</v>
      </c>
      <c r="B286" s="549">
        <f t="shared" si="33"/>
        <v>4364.7</v>
      </c>
      <c r="D286" s="539">
        <f t="shared" si="37"/>
        <v>283</v>
      </c>
      <c r="E286" s="549">
        <f t="shared" si="36"/>
        <v>4364.7</v>
      </c>
      <c r="G286" s="539">
        <f t="shared" si="38"/>
        <v>283</v>
      </c>
      <c r="H286" s="549">
        <f t="shared" si="34"/>
        <v>6402.0999999999995</v>
      </c>
      <c r="I286" s="547"/>
      <c r="J286" s="539">
        <f t="shared" si="39"/>
        <v>283</v>
      </c>
      <c r="K286" s="549">
        <f t="shared" si="35"/>
        <v>6984.2999999999993</v>
      </c>
      <c r="L286" s="547"/>
    </row>
    <row r="287" spans="1:12">
      <c r="A287" s="539">
        <f t="shared" si="32"/>
        <v>284</v>
      </c>
      <c r="B287" s="549">
        <f t="shared" si="33"/>
        <v>4379.7</v>
      </c>
      <c r="D287" s="539">
        <f t="shared" si="37"/>
        <v>284</v>
      </c>
      <c r="E287" s="549">
        <f t="shared" si="36"/>
        <v>4379.7</v>
      </c>
      <c r="G287" s="539">
        <f t="shared" si="38"/>
        <v>284</v>
      </c>
      <c r="H287" s="549">
        <f t="shared" si="34"/>
        <v>6424.0999999999995</v>
      </c>
      <c r="I287" s="547"/>
      <c r="J287" s="539">
        <f t="shared" si="39"/>
        <v>284</v>
      </c>
      <c r="K287" s="549">
        <f t="shared" si="35"/>
        <v>7008.2999999999993</v>
      </c>
      <c r="L287" s="547"/>
    </row>
    <row r="288" spans="1:12">
      <c r="A288" s="539">
        <f t="shared" si="32"/>
        <v>285</v>
      </c>
      <c r="B288" s="549">
        <f t="shared" si="33"/>
        <v>4394.7</v>
      </c>
      <c r="D288" s="539">
        <f t="shared" si="37"/>
        <v>285</v>
      </c>
      <c r="E288" s="549">
        <f t="shared" si="36"/>
        <v>4394.7</v>
      </c>
      <c r="G288" s="539">
        <f t="shared" si="38"/>
        <v>285</v>
      </c>
      <c r="H288" s="549">
        <f t="shared" si="34"/>
        <v>6446.0999999999995</v>
      </c>
      <c r="I288" s="547"/>
      <c r="J288" s="539">
        <f t="shared" si="39"/>
        <v>285</v>
      </c>
      <c r="K288" s="549">
        <f t="shared" si="35"/>
        <v>7032.2999999999993</v>
      </c>
      <c r="L288" s="547"/>
    </row>
    <row r="289" spans="1:12">
      <c r="A289" s="539">
        <f t="shared" si="32"/>
        <v>286</v>
      </c>
      <c r="B289" s="549">
        <f t="shared" si="33"/>
        <v>4409.7</v>
      </c>
      <c r="D289" s="539">
        <f t="shared" si="37"/>
        <v>286</v>
      </c>
      <c r="E289" s="549">
        <f t="shared" si="36"/>
        <v>4409.7</v>
      </c>
      <c r="G289" s="539">
        <f t="shared" si="38"/>
        <v>286</v>
      </c>
      <c r="H289" s="549">
        <f t="shared" si="34"/>
        <v>6468.0999999999995</v>
      </c>
      <c r="I289" s="547"/>
      <c r="J289" s="539">
        <f t="shared" si="39"/>
        <v>286</v>
      </c>
      <c r="K289" s="549">
        <f t="shared" si="35"/>
        <v>7056.2999999999993</v>
      </c>
      <c r="L289" s="547"/>
    </row>
    <row r="290" spans="1:12">
      <c r="A290" s="539">
        <f t="shared" si="32"/>
        <v>287</v>
      </c>
      <c r="B290" s="549">
        <f t="shared" si="33"/>
        <v>4424.7</v>
      </c>
      <c r="D290" s="539">
        <f t="shared" si="37"/>
        <v>287</v>
      </c>
      <c r="E290" s="549">
        <f t="shared" si="36"/>
        <v>4424.7</v>
      </c>
      <c r="G290" s="539">
        <f t="shared" si="38"/>
        <v>287</v>
      </c>
      <c r="H290" s="549">
        <f t="shared" si="34"/>
        <v>6490.0999999999995</v>
      </c>
      <c r="I290" s="547"/>
      <c r="J290" s="539">
        <f t="shared" si="39"/>
        <v>287</v>
      </c>
      <c r="K290" s="549">
        <f t="shared" si="35"/>
        <v>7080.2999999999993</v>
      </c>
      <c r="L290" s="547"/>
    </row>
    <row r="291" spans="1:12">
      <c r="A291" s="539">
        <f t="shared" ref="A291:A303" si="40">A290+1</f>
        <v>288</v>
      </c>
      <c r="B291" s="549">
        <f t="shared" ref="B291:B303" si="41">B290+15</f>
        <v>4439.7</v>
      </c>
      <c r="D291" s="539">
        <f t="shared" si="37"/>
        <v>288</v>
      </c>
      <c r="E291" s="549">
        <f t="shared" si="36"/>
        <v>4439.7</v>
      </c>
      <c r="G291" s="539">
        <f t="shared" si="38"/>
        <v>288</v>
      </c>
      <c r="H291" s="549">
        <f t="shared" ref="H291:H303" si="42">H290+22</f>
        <v>6512.0999999999995</v>
      </c>
      <c r="I291" s="547"/>
      <c r="J291" s="539">
        <f t="shared" si="39"/>
        <v>288</v>
      </c>
      <c r="K291" s="549">
        <f t="shared" ref="K291:K303" si="43">K290+24</f>
        <v>7104.2999999999993</v>
      </c>
      <c r="L291" s="547"/>
    </row>
    <row r="292" spans="1:12">
      <c r="A292" s="539">
        <f t="shared" si="40"/>
        <v>289</v>
      </c>
      <c r="B292" s="549">
        <f t="shared" si="41"/>
        <v>4454.7</v>
      </c>
      <c r="D292" s="539">
        <f t="shared" si="37"/>
        <v>289</v>
      </c>
      <c r="E292" s="549">
        <f t="shared" si="36"/>
        <v>4454.7</v>
      </c>
      <c r="G292" s="539">
        <f t="shared" si="38"/>
        <v>289</v>
      </c>
      <c r="H292" s="549">
        <f t="shared" si="42"/>
        <v>6534.0999999999995</v>
      </c>
      <c r="I292" s="547"/>
      <c r="J292" s="539">
        <f t="shared" si="39"/>
        <v>289</v>
      </c>
      <c r="K292" s="549">
        <f t="shared" si="43"/>
        <v>7128.2999999999993</v>
      </c>
      <c r="L292" s="547"/>
    </row>
    <row r="293" spans="1:12">
      <c r="A293" s="539">
        <f t="shared" si="40"/>
        <v>290</v>
      </c>
      <c r="B293" s="549">
        <f t="shared" si="41"/>
        <v>4469.7</v>
      </c>
      <c r="D293" s="539">
        <f t="shared" si="37"/>
        <v>290</v>
      </c>
      <c r="E293" s="549">
        <f t="shared" si="36"/>
        <v>4469.7</v>
      </c>
      <c r="G293" s="539">
        <f t="shared" si="38"/>
        <v>290</v>
      </c>
      <c r="H293" s="549">
        <f t="shared" si="42"/>
        <v>6556.0999999999995</v>
      </c>
      <c r="I293" s="547"/>
      <c r="J293" s="539">
        <f t="shared" si="39"/>
        <v>290</v>
      </c>
      <c r="K293" s="549">
        <f t="shared" si="43"/>
        <v>7152.2999999999993</v>
      </c>
      <c r="L293" s="547"/>
    </row>
    <row r="294" spans="1:12">
      <c r="A294" s="539">
        <f t="shared" si="40"/>
        <v>291</v>
      </c>
      <c r="B294" s="549">
        <f t="shared" si="41"/>
        <v>4484.7</v>
      </c>
      <c r="D294" s="539">
        <f t="shared" si="37"/>
        <v>291</v>
      </c>
      <c r="E294" s="549">
        <f t="shared" ref="E294:E303" si="44">E293+15</f>
        <v>4484.7</v>
      </c>
      <c r="G294" s="539">
        <f t="shared" si="38"/>
        <v>291</v>
      </c>
      <c r="H294" s="549">
        <f t="shared" si="42"/>
        <v>6578.0999999999995</v>
      </c>
      <c r="I294" s="547"/>
      <c r="J294" s="539">
        <f t="shared" si="39"/>
        <v>291</v>
      </c>
      <c r="K294" s="549">
        <f t="shared" si="43"/>
        <v>7176.2999999999993</v>
      </c>
      <c r="L294" s="547"/>
    </row>
    <row r="295" spans="1:12">
      <c r="A295" s="539">
        <f t="shared" si="40"/>
        <v>292</v>
      </c>
      <c r="B295" s="549">
        <f t="shared" si="41"/>
        <v>4499.7</v>
      </c>
      <c r="D295" s="539">
        <f t="shared" si="37"/>
        <v>292</v>
      </c>
      <c r="E295" s="549">
        <f t="shared" si="44"/>
        <v>4499.7</v>
      </c>
      <c r="G295" s="539">
        <f t="shared" si="38"/>
        <v>292</v>
      </c>
      <c r="H295" s="549">
        <f t="shared" si="42"/>
        <v>6600.0999999999995</v>
      </c>
      <c r="I295" s="547"/>
      <c r="J295" s="539">
        <f t="shared" si="39"/>
        <v>292</v>
      </c>
      <c r="K295" s="549">
        <f t="shared" si="43"/>
        <v>7200.2999999999993</v>
      </c>
      <c r="L295" s="547"/>
    </row>
    <row r="296" spans="1:12">
      <c r="A296" s="539">
        <f t="shared" si="40"/>
        <v>293</v>
      </c>
      <c r="B296" s="549">
        <f t="shared" si="41"/>
        <v>4514.7</v>
      </c>
      <c r="D296" s="539">
        <f t="shared" si="37"/>
        <v>293</v>
      </c>
      <c r="E296" s="549">
        <f t="shared" si="44"/>
        <v>4514.7</v>
      </c>
      <c r="G296" s="539">
        <f t="shared" si="38"/>
        <v>293</v>
      </c>
      <c r="H296" s="549">
        <f t="shared" si="42"/>
        <v>6622.0999999999995</v>
      </c>
      <c r="I296" s="547"/>
      <c r="J296" s="539">
        <f t="shared" si="39"/>
        <v>293</v>
      </c>
      <c r="K296" s="549">
        <f t="shared" si="43"/>
        <v>7224.2999999999993</v>
      </c>
      <c r="L296" s="547"/>
    </row>
    <row r="297" spans="1:12">
      <c r="A297" s="539">
        <f t="shared" si="40"/>
        <v>294</v>
      </c>
      <c r="B297" s="549">
        <f t="shared" si="41"/>
        <v>4529.7</v>
      </c>
      <c r="D297" s="539">
        <f t="shared" si="37"/>
        <v>294</v>
      </c>
      <c r="E297" s="549">
        <f t="shared" si="44"/>
        <v>4529.7</v>
      </c>
      <c r="G297" s="539">
        <f t="shared" si="38"/>
        <v>294</v>
      </c>
      <c r="H297" s="549">
        <f t="shared" si="42"/>
        <v>6644.0999999999995</v>
      </c>
      <c r="I297" s="547"/>
      <c r="J297" s="539">
        <f t="shared" si="39"/>
        <v>294</v>
      </c>
      <c r="K297" s="549">
        <f t="shared" si="43"/>
        <v>7248.2999999999993</v>
      </c>
      <c r="L297" s="547"/>
    </row>
    <row r="298" spans="1:12">
      <c r="A298" s="539">
        <f t="shared" si="40"/>
        <v>295</v>
      </c>
      <c r="B298" s="549">
        <f t="shared" si="41"/>
        <v>4544.7</v>
      </c>
      <c r="D298" s="539">
        <f t="shared" si="37"/>
        <v>295</v>
      </c>
      <c r="E298" s="549">
        <f t="shared" si="44"/>
        <v>4544.7</v>
      </c>
      <c r="G298" s="539">
        <f t="shared" si="38"/>
        <v>295</v>
      </c>
      <c r="H298" s="549">
        <f t="shared" si="42"/>
        <v>6666.0999999999995</v>
      </c>
      <c r="I298" s="547"/>
      <c r="J298" s="539">
        <f t="shared" si="39"/>
        <v>295</v>
      </c>
      <c r="K298" s="549">
        <f t="shared" si="43"/>
        <v>7272.2999999999993</v>
      </c>
      <c r="L298" s="547"/>
    </row>
    <row r="299" spans="1:12">
      <c r="A299" s="539">
        <f t="shared" si="40"/>
        <v>296</v>
      </c>
      <c r="B299" s="549">
        <f t="shared" si="41"/>
        <v>4559.7</v>
      </c>
      <c r="D299" s="539">
        <f t="shared" si="37"/>
        <v>296</v>
      </c>
      <c r="E299" s="549">
        <f t="shared" si="44"/>
        <v>4559.7</v>
      </c>
      <c r="G299" s="539">
        <f t="shared" si="38"/>
        <v>296</v>
      </c>
      <c r="H299" s="549">
        <f t="shared" si="42"/>
        <v>6688.0999999999995</v>
      </c>
      <c r="I299" s="547"/>
      <c r="J299" s="539">
        <f t="shared" si="39"/>
        <v>296</v>
      </c>
      <c r="K299" s="549">
        <f t="shared" si="43"/>
        <v>7296.2999999999993</v>
      </c>
      <c r="L299" s="547"/>
    </row>
    <row r="300" spans="1:12">
      <c r="A300" s="539">
        <f t="shared" si="40"/>
        <v>297</v>
      </c>
      <c r="B300" s="549">
        <f t="shared" si="41"/>
        <v>4574.7</v>
      </c>
      <c r="D300" s="539">
        <f t="shared" si="37"/>
        <v>297</v>
      </c>
      <c r="E300" s="549">
        <f t="shared" si="44"/>
        <v>4574.7</v>
      </c>
      <c r="G300" s="539">
        <f t="shared" si="38"/>
        <v>297</v>
      </c>
      <c r="H300" s="549">
        <f t="shared" si="42"/>
        <v>6710.0999999999995</v>
      </c>
      <c r="I300" s="547"/>
      <c r="J300" s="539">
        <f t="shared" si="39"/>
        <v>297</v>
      </c>
      <c r="K300" s="549">
        <f t="shared" si="43"/>
        <v>7320.2999999999993</v>
      </c>
      <c r="L300" s="547"/>
    </row>
    <row r="301" spans="1:12">
      <c r="A301" s="539">
        <f t="shared" si="40"/>
        <v>298</v>
      </c>
      <c r="B301" s="549">
        <f t="shared" si="41"/>
        <v>4589.7</v>
      </c>
      <c r="D301" s="539">
        <f t="shared" si="37"/>
        <v>298</v>
      </c>
      <c r="E301" s="549">
        <f t="shared" si="44"/>
        <v>4589.7</v>
      </c>
      <c r="G301" s="539">
        <f t="shared" si="38"/>
        <v>298</v>
      </c>
      <c r="H301" s="549">
        <f t="shared" si="42"/>
        <v>6732.0999999999995</v>
      </c>
      <c r="I301" s="547"/>
      <c r="J301" s="539">
        <f t="shared" si="39"/>
        <v>298</v>
      </c>
      <c r="K301" s="549">
        <f t="shared" si="43"/>
        <v>7344.2999999999993</v>
      </c>
      <c r="L301" s="547"/>
    </row>
    <row r="302" spans="1:12">
      <c r="A302" s="539">
        <f t="shared" si="40"/>
        <v>299</v>
      </c>
      <c r="B302" s="549">
        <f t="shared" si="41"/>
        <v>4604.7</v>
      </c>
      <c r="D302" s="539">
        <f t="shared" si="37"/>
        <v>299</v>
      </c>
      <c r="E302" s="549">
        <f t="shared" si="44"/>
        <v>4604.7</v>
      </c>
      <c r="G302" s="539">
        <f t="shared" si="38"/>
        <v>299</v>
      </c>
      <c r="H302" s="549">
        <f t="shared" si="42"/>
        <v>6754.0999999999995</v>
      </c>
      <c r="I302" s="547"/>
      <c r="J302" s="539">
        <f t="shared" si="39"/>
        <v>299</v>
      </c>
      <c r="K302" s="549">
        <f t="shared" si="43"/>
        <v>7368.2999999999993</v>
      </c>
      <c r="L302" s="547"/>
    </row>
    <row r="303" spans="1:12">
      <c r="A303" s="539">
        <f t="shared" si="40"/>
        <v>300</v>
      </c>
      <c r="B303" s="549">
        <f t="shared" si="41"/>
        <v>4619.7</v>
      </c>
      <c r="D303" s="539">
        <f t="shared" si="37"/>
        <v>300</v>
      </c>
      <c r="E303" s="549">
        <f t="shared" si="44"/>
        <v>4619.7</v>
      </c>
      <c r="G303" s="539">
        <f t="shared" si="38"/>
        <v>300</v>
      </c>
      <c r="H303" s="549">
        <f t="shared" si="42"/>
        <v>6776.0999999999995</v>
      </c>
      <c r="I303" s="547"/>
      <c r="J303" s="539">
        <f t="shared" si="39"/>
        <v>300</v>
      </c>
      <c r="K303" s="549">
        <f t="shared" si="43"/>
        <v>7392.2999999999993</v>
      </c>
      <c r="L303" s="547"/>
    </row>
  </sheetData>
  <mergeCells count="5">
    <mergeCell ref="A1:K1"/>
    <mergeCell ref="J2:K2"/>
    <mergeCell ref="G2:H2"/>
    <mergeCell ref="D2:E2"/>
    <mergeCell ref="A2:B2"/>
  </mergeCells>
  <printOptions horizontalCentered="1"/>
  <pageMargins left="0.75" right="0.75" top="0.36" bottom="0.16" header="0.17" footer="0.5"/>
  <pageSetup paperSize="9" orientation="portrait" r:id="rId1"/>
  <headerFooter alignWithMargins="0">
    <oddFooter>Page &amp;P of &amp;N</oddFooter>
  </headerFooter>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
  <sheetViews>
    <sheetView workbookViewId="0"/>
  </sheetViews>
  <sheetFormatPr defaultRowHeight="12.3"/>
  <sheetData/>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Z69"/>
  <sheetViews>
    <sheetView workbookViewId="0">
      <selection activeCell="D39" sqref="D39"/>
    </sheetView>
  </sheetViews>
  <sheetFormatPr defaultRowHeight="12.3"/>
  <cols>
    <col min="4" max="4" width="10.5546875" customWidth="1"/>
    <col min="5" max="5" width="10.6640625" customWidth="1"/>
  </cols>
  <sheetData>
    <row r="1" spans="2:13">
      <c r="B1" s="1021">
        <v>44.18</v>
      </c>
      <c r="C1" s="1021">
        <v>331.24</v>
      </c>
      <c r="D1" s="1021">
        <f>+ROUND(B1*C1,0)</f>
        <v>14634</v>
      </c>
      <c r="E1" s="1021">
        <f>+B1*C1</f>
        <v>14634.183199999999</v>
      </c>
      <c r="F1" s="1021"/>
      <c r="G1" s="1021">
        <f>IF(E1&gt;D1,E1-D1,0)</f>
        <v>0.18319999999948777</v>
      </c>
      <c r="H1" s="1021">
        <f>IF(E1&lt;D1,D1-E1,0)</f>
        <v>0</v>
      </c>
    </row>
    <row r="2" spans="2:13">
      <c r="B2" s="1021">
        <v>140</v>
      </c>
      <c r="C2" s="1021">
        <v>736.53</v>
      </c>
      <c r="D2" s="1021">
        <f t="shared" ref="D2:D24" si="0">+ROUND(B2*C2,0)</f>
        <v>103114</v>
      </c>
      <c r="E2" s="1021">
        <f>+B2*C2</f>
        <v>103114.2</v>
      </c>
      <c r="G2" s="1021">
        <f t="shared" ref="G2:G26" si="1">IF(E2&gt;D2,E2-D2,0)</f>
        <v>0.19999999999708962</v>
      </c>
      <c r="H2" s="1021">
        <f t="shared" ref="H2:H26" si="2">IF(E2&lt;D2,D2-E2,0)</f>
        <v>0</v>
      </c>
      <c r="J2">
        <f>+B2*40*0.45</f>
        <v>2520</v>
      </c>
    </row>
    <row r="3" spans="2:13">
      <c r="B3" s="1021">
        <v>15</v>
      </c>
      <c r="C3" s="1021">
        <v>7158.44</v>
      </c>
      <c r="D3" s="1021">
        <f t="shared" si="0"/>
        <v>107377</v>
      </c>
      <c r="E3" s="1021">
        <f>+B3*C3</f>
        <v>107376.59999999999</v>
      </c>
      <c r="G3" s="1021">
        <f t="shared" si="1"/>
        <v>0</v>
      </c>
      <c r="H3" s="1021">
        <f t="shared" si="2"/>
        <v>0.40000000000873115</v>
      </c>
      <c r="J3">
        <f>+B3*40*0.45</f>
        <v>270</v>
      </c>
    </row>
    <row r="4" spans="2:13">
      <c r="B4" s="1021">
        <v>37.840000000000003</v>
      </c>
      <c r="C4" s="1021">
        <v>208.04</v>
      </c>
      <c r="D4" s="1021">
        <f t="shared" si="0"/>
        <v>7872</v>
      </c>
      <c r="E4" s="1021">
        <f t="shared" ref="E4:E16" si="3">+B4*C4</f>
        <v>7872.2336000000005</v>
      </c>
      <c r="G4" s="1021">
        <f>IF(E4&gt;D4,E4-D4,0)</f>
        <v>0.23360000000047876</v>
      </c>
      <c r="H4" s="1021">
        <f>IF(E4&lt;D4,D4-E4,0)</f>
        <v>0</v>
      </c>
      <c r="J4">
        <f>+B4*40*0.45</f>
        <v>681.12000000000012</v>
      </c>
    </row>
    <row r="5" spans="2:13">
      <c r="B5" s="1021"/>
      <c r="C5" s="1021">
        <v>149.64500000000001</v>
      </c>
      <c r="D5" s="1021">
        <f t="shared" si="0"/>
        <v>0</v>
      </c>
      <c r="E5" s="1021">
        <f t="shared" si="3"/>
        <v>0</v>
      </c>
      <c r="G5" s="1021">
        <f>IF(E5&gt;D5,E5-D5,0)</f>
        <v>0</v>
      </c>
      <c r="H5" s="1021">
        <f>IF(E5&lt;D5,D5-E5,0)</f>
        <v>0</v>
      </c>
      <c r="J5">
        <f>+B5*40*0.45</f>
        <v>0</v>
      </c>
    </row>
    <row r="6" spans="2:13">
      <c r="B6" s="1021"/>
      <c r="C6" s="1021">
        <v>489.80799999999999</v>
      </c>
      <c r="D6" s="1021">
        <f t="shared" si="0"/>
        <v>0</v>
      </c>
      <c r="E6" s="1021">
        <f t="shared" si="3"/>
        <v>0</v>
      </c>
      <c r="G6" s="1021">
        <f>IF(E6&gt;D6,E6-D6,0)</f>
        <v>0</v>
      </c>
      <c r="H6" s="1021">
        <f>IF(E6&lt;D6,D6-E6,0)</f>
        <v>0</v>
      </c>
      <c r="J6">
        <f>SUM(J2:J5)</f>
        <v>3471.12</v>
      </c>
    </row>
    <row r="7" spans="2:13">
      <c r="B7" s="1021"/>
      <c r="C7" s="1021">
        <v>711.98599999999999</v>
      </c>
      <c r="D7" s="1021">
        <f t="shared" si="0"/>
        <v>0</v>
      </c>
      <c r="E7" s="1021">
        <f t="shared" si="3"/>
        <v>0</v>
      </c>
      <c r="G7" s="1021">
        <f t="shared" si="1"/>
        <v>0</v>
      </c>
      <c r="H7" s="1021">
        <f t="shared" si="2"/>
        <v>0</v>
      </c>
    </row>
    <row r="8" spans="2:13" ht="12" customHeight="1">
      <c r="B8" s="1021"/>
      <c r="C8" s="1021">
        <v>787.76900000000001</v>
      </c>
      <c r="D8" s="1021">
        <f t="shared" si="0"/>
        <v>0</v>
      </c>
      <c r="E8" s="1021">
        <f t="shared" si="3"/>
        <v>0</v>
      </c>
      <c r="G8" s="1021">
        <f t="shared" si="1"/>
        <v>0</v>
      </c>
      <c r="H8" s="1021">
        <f t="shared" si="2"/>
        <v>0</v>
      </c>
    </row>
    <row r="9" spans="2:13">
      <c r="B9" s="1021"/>
      <c r="C9" s="1021">
        <v>10873.82</v>
      </c>
      <c r="D9" s="1021">
        <f t="shared" si="0"/>
        <v>0</v>
      </c>
      <c r="E9" s="1021">
        <f t="shared" si="3"/>
        <v>0</v>
      </c>
      <c r="G9" s="1021">
        <f t="shared" si="1"/>
        <v>0</v>
      </c>
      <c r="H9" s="1021">
        <f t="shared" si="2"/>
        <v>0</v>
      </c>
    </row>
    <row r="10" spans="2:13" ht="13.5" customHeight="1">
      <c r="B10" s="1021"/>
      <c r="C10" s="1021">
        <v>6197.8</v>
      </c>
      <c r="D10" s="1021">
        <f t="shared" si="0"/>
        <v>0</v>
      </c>
      <c r="E10" s="1021">
        <f t="shared" si="3"/>
        <v>0</v>
      </c>
      <c r="G10" s="1021">
        <f t="shared" si="1"/>
        <v>0</v>
      </c>
      <c r="H10" s="1021">
        <f t="shared" si="2"/>
        <v>0</v>
      </c>
    </row>
    <row r="11" spans="2:13">
      <c r="B11" s="1021"/>
      <c r="C11" s="1021">
        <v>9410.1299999999992</v>
      </c>
      <c r="D11" s="1021">
        <f t="shared" si="0"/>
        <v>0</v>
      </c>
      <c r="E11" s="1021">
        <f t="shared" si="3"/>
        <v>0</v>
      </c>
      <c r="F11" s="1021"/>
      <c r="G11" s="1021">
        <f t="shared" si="1"/>
        <v>0</v>
      </c>
      <c r="H11" s="1021">
        <f t="shared" si="2"/>
        <v>0</v>
      </c>
    </row>
    <row r="12" spans="2:13">
      <c r="B12" s="1021"/>
      <c r="C12" s="1021">
        <v>122.98</v>
      </c>
      <c r="D12" s="1021">
        <f t="shared" si="0"/>
        <v>0</v>
      </c>
      <c r="E12" s="1021">
        <f t="shared" si="3"/>
        <v>0</v>
      </c>
      <c r="G12" s="1021">
        <f t="shared" si="1"/>
        <v>0</v>
      </c>
      <c r="H12" s="1021">
        <f t="shared" si="2"/>
        <v>0</v>
      </c>
    </row>
    <row r="13" spans="2:13">
      <c r="B13" s="1021"/>
      <c r="C13" s="1021">
        <v>209.047</v>
      </c>
      <c r="D13" s="1021">
        <f t="shared" si="0"/>
        <v>0</v>
      </c>
      <c r="E13" s="1021">
        <f t="shared" si="3"/>
        <v>0</v>
      </c>
      <c r="G13" s="1021">
        <f t="shared" si="1"/>
        <v>0</v>
      </c>
      <c r="H13" s="1021">
        <f t="shared" si="2"/>
        <v>0</v>
      </c>
    </row>
    <row r="14" spans="2:13">
      <c r="B14" s="1021"/>
      <c r="C14" s="1021">
        <v>114.88</v>
      </c>
      <c r="D14" s="1021">
        <f t="shared" si="0"/>
        <v>0</v>
      </c>
      <c r="E14" s="1021">
        <f t="shared" si="3"/>
        <v>0</v>
      </c>
      <c r="G14" s="1021">
        <f t="shared" si="1"/>
        <v>0</v>
      </c>
      <c r="H14" s="1021">
        <f t="shared" si="2"/>
        <v>0</v>
      </c>
    </row>
    <row r="15" spans="2:13">
      <c r="B15" s="1021"/>
      <c r="C15" s="1021">
        <f>+ROUND(A15*B15,0)</f>
        <v>0</v>
      </c>
      <c r="D15" s="1021">
        <f t="shared" si="0"/>
        <v>0</v>
      </c>
      <c r="E15" s="1021">
        <f t="shared" si="3"/>
        <v>0</v>
      </c>
      <c r="G15" s="1021">
        <f t="shared" si="1"/>
        <v>0</v>
      </c>
      <c r="H15" s="1021">
        <f t="shared" si="2"/>
        <v>0</v>
      </c>
    </row>
    <row r="16" spans="2:13">
      <c r="B16" s="1021"/>
      <c r="C16" s="1021">
        <f>+ROUND(A16*B16,0)</f>
        <v>0</v>
      </c>
      <c r="D16" s="1021">
        <f t="shared" si="0"/>
        <v>0</v>
      </c>
      <c r="E16" s="1021">
        <f t="shared" si="3"/>
        <v>0</v>
      </c>
      <c r="F16" t="s">
        <v>2640</v>
      </c>
      <c r="G16" s="1021">
        <f t="shared" si="1"/>
        <v>0</v>
      </c>
      <c r="H16" s="1021">
        <f t="shared" si="2"/>
        <v>0</v>
      </c>
      <c r="K16">
        <f>26062-24415</f>
        <v>1647</v>
      </c>
      <c r="M16">
        <f>1647+29220+9899+1560+570+2925+2712+883+18820+12396+3276+730+2073+22715+1596</f>
        <v>111022</v>
      </c>
    </row>
    <row r="17" spans="1:16">
      <c r="B17" s="1021"/>
      <c r="C17" s="1021"/>
      <c r="D17" s="1021">
        <f t="shared" si="0"/>
        <v>0</v>
      </c>
      <c r="E17" s="1021"/>
      <c r="G17" s="1021">
        <f t="shared" si="1"/>
        <v>0</v>
      </c>
      <c r="H17" s="1021">
        <f t="shared" si="2"/>
        <v>0</v>
      </c>
      <c r="K17">
        <f>89721-60501</f>
        <v>29220</v>
      </c>
      <c r="M17">
        <f>10874+35332+31356+2629+6560+8000+4213+3960+4572+104+21+2504+751+50+96</f>
        <v>111022</v>
      </c>
    </row>
    <row r="18" spans="1:16">
      <c r="B18" s="1021"/>
      <c r="C18" s="1021"/>
      <c r="D18" s="1021">
        <f t="shared" si="0"/>
        <v>0</v>
      </c>
      <c r="E18" s="1021"/>
      <c r="G18" s="1021">
        <f t="shared" si="1"/>
        <v>0</v>
      </c>
      <c r="H18" s="1021">
        <f t="shared" si="2"/>
        <v>0</v>
      </c>
      <c r="K18">
        <f>60434-50535</f>
        <v>9899</v>
      </c>
    </row>
    <row r="19" spans="1:16">
      <c r="B19" s="1021"/>
      <c r="C19" s="1021"/>
      <c r="D19" s="1021">
        <f t="shared" si="0"/>
        <v>0</v>
      </c>
      <c r="E19" s="1021"/>
      <c r="F19" s="1021"/>
      <c r="G19" s="1021">
        <f t="shared" si="1"/>
        <v>0</v>
      </c>
      <c r="H19" s="1021">
        <f t="shared" si="2"/>
        <v>0</v>
      </c>
      <c r="K19">
        <f>53710-52150</f>
        <v>1560</v>
      </c>
    </row>
    <row r="20" spans="1:16">
      <c r="B20" s="1021"/>
      <c r="C20" s="1021"/>
      <c r="D20" s="1021">
        <f t="shared" si="0"/>
        <v>0</v>
      </c>
      <c r="E20" s="1021"/>
      <c r="F20" s="1021"/>
      <c r="G20" s="1021">
        <f t="shared" si="1"/>
        <v>0</v>
      </c>
      <c r="H20" s="1021">
        <f t="shared" si="2"/>
        <v>0</v>
      </c>
      <c r="K20">
        <f>9293-8723</f>
        <v>570</v>
      </c>
    </row>
    <row r="21" spans="1:16">
      <c r="B21" s="1021"/>
      <c r="C21" s="1021"/>
      <c r="D21" s="1021">
        <f t="shared" si="0"/>
        <v>0</v>
      </c>
      <c r="E21" s="1021"/>
      <c r="F21" s="1021"/>
      <c r="G21" s="1021">
        <f t="shared" si="1"/>
        <v>0</v>
      </c>
      <c r="H21" s="1021">
        <f t="shared" si="2"/>
        <v>0</v>
      </c>
      <c r="K21">
        <f>35056-32131</f>
        <v>2925</v>
      </c>
    </row>
    <row r="22" spans="1:16">
      <c r="B22" s="1021"/>
      <c r="C22" s="1021"/>
      <c r="D22" s="1021">
        <f t="shared" si="0"/>
        <v>0</v>
      </c>
      <c r="E22" s="1021"/>
      <c r="F22" s="1021"/>
      <c r="G22" s="1021"/>
      <c r="H22" s="1021"/>
      <c r="K22">
        <f>44214-41502</f>
        <v>2712</v>
      </c>
    </row>
    <row r="23" spans="1:16" ht="14.1">
      <c r="B23" s="1021"/>
      <c r="C23" s="1021"/>
      <c r="D23" s="1021">
        <f t="shared" si="0"/>
        <v>0</v>
      </c>
      <c r="E23" s="1021"/>
      <c r="G23" s="1131">
        <f t="shared" si="1"/>
        <v>0</v>
      </c>
      <c r="H23" s="1131">
        <f t="shared" si="2"/>
        <v>0</v>
      </c>
      <c r="K23">
        <f>3364-2481</f>
        <v>883</v>
      </c>
    </row>
    <row r="24" spans="1:16" ht="14.1">
      <c r="B24" s="1021"/>
      <c r="C24" s="1021"/>
      <c r="D24" s="1021">
        <f t="shared" si="0"/>
        <v>0</v>
      </c>
      <c r="E24" s="1021"/>
      <c r="G24" s="1131">
        <f t="shared" si="1"/>
        <v>0</v>
      </c>
      <c r="H24" s="1131">
        <f t="shared" si="2"/>
        <v>0</v>
      </c>
      <c r="K24">
        <f>10874-21748</f>
        <v>-10874</v>
      </c>
    </row>
    <row r="25" spans="1:16" ht="14.1">
      <c r="B25" s="1021"/>
      <c r="C25" s="1021"/>
      <c r="D25" s="1021"/>
      <c r="E25" s="1021"/>
      <c r="G25" s="1131">
        <f t="shared" si="1"/>
        <v>0</v>
      </c>
      <c r="H25" s="1131">
        <f t="shared" si="2"/>
        <v>0</v>
      </c>
      <c r="K25">
        <f>24778-21502</f>
        <v>3276</v>
      </c>
    </row>
    <row r="26" spans="1:16" ht="14.1">
      <c r="B26" s="1021"/>
      <c r="C26" s="1021"/>
      <c r="D26" s="1021"/>
      <c r="E26" s="1021"/>
      <c r="G26" s="1131">
        <f t="shared" si="1"/>
        <v>0</v>
      </c>
      <c r="H26" s="1131">
        <f t="shared" si="2"/>
        <v>0</v>
      </c>
      <c r="K26">
        <f>76286-53571</f>
        <v>22715</v>
      </c>
    </row>
    <row r="27" spans="1:16">
      <c r="A27" t="s">
        <v>674</v>
      </c>
      <c r="D27" s="1021">
        <f>SUM(D1:D26)</f>
        <v>232997</v>
      </c>
      <c r="E27" s="1021">
        <f>SUM(E1:E26)</f>
        <v>232997.21679999999</v>
      </c>
      <c r="G27" s="1021"/>
      <c r="H27" s="1021"/>
      <c r="K27">
        <f>2082-2186</f>
        <v>-104</v>
      </c>
    </row>
    <row r="28" spans="1:16">
      <c r="A28" s="1256" t="s">
        <v>2641</v>
      </c>
      <c r="D28" s="1021">
        <v>0</v>
      </c>
      <c r="E28" s="1021">
        <v>0</v>
      </c>
      <c r="G28" s="1021">
        <f>IF(E28&gt;D28,E28-D28,0)</f>
        <v>0</v>
      </c>
      <c r="H28" s="1021">
        <f>IF(E28&lt;D28,D28-E28,0)</f>
        <v>0</v>
      </c>
      <c r="K28">
        <f>416-437</f>
        <v>-21</v>
      </c>
    </row>
    <row r="29" spans="1:16">
      <c r="A29" s="1256"/>
      <c r="D29" s="358">
        <f>SUM(D27:D28)</f>
        <v>232997</v>
      </c>
      <c r="E29" s="1021">
        <f>SUM(E27:E28)</f>
        <v>232997.21679999999</v>
      </c>
      <c r="G29" s="1021"/>
      <c r="H29" s="1021"/>
      <c r="K29">
        <f>2515-5019</f>
        <v>-2504</v>
      </c>
    </row>
    <row r="30" spans="1:16" ht="43.2">
      <c r="A30" t="s">
        <v>2634</v>
      </c>
      <c r="D30">
        <f>+ROUND(D29*0.5%,0)</f>
        <v>1165</v>
      </c>
      <c r="E30" s="1021">
        <f>+E29*0.5%</f>
        <v>1164.9860839999999</v>
      </c>
      <c r="G30" s="1021">
        <f t="shared" ref="G30:G35" si="4">IF(E30&gt;D30,E30-D30,0)</f>
        <v>0</v>
      </c>
      <c r="H30" s="1021">
        <f t="shared" ref="H30:H35" si="5">IF(E30&lt;D30,D30-E30,0)</f>
        <v>1.3916000000108397E-2</v>
      </c>
      <c r="J30">
        <f>152.3*0.9*0.8</f>
        <v>109.65600000000002</v>
      </c>
      <c r="K30">
        <f>755-1506</f>
        <v>-751</v>
      </c>
      <c r="N30" s="1257" t="s">
        <v>2656</v>
      </c>
      <c r="O30" s="1258" t="s">
        <v>2665</v>
      </c>
      <c r="P30" s="1257" t="s">
        <v>2657</v>
      </c>
    </row>
    <row r="31" spans="1:16">
      <c r="A31" t="s">
        <v>2635</v>
      </c>
      <c r="D31">
        <f>+ROUND(D29*0.1%,0)</f>
        <v>233</v>
      </c>
      <c r="E31" s="1021">
        <f>+E27*0.1%</f>
        <v>232.99721679999999</v>
      </c>
      <c r="F31" s="1021"/>
      <c r="G31" s="1021">
        <f t="shared" si="4"/>
        <v>0</v>
      </c>
      <c r="H31" s="1021">
        <f t="shared" si="5"/>
        <v>2.7832000000103108E-3</v>
      </c>
      <c r="J31">
        <f>25*1.35*1.35*0.9</f>
        <v>41.006250000000001</v>
      </c>
      <c r="N31" t="s">
        <v>2658</v>
      </c>
      <c r="O31">
        <v>30</v>
      </c>
      <c r="P31">
        <f>+O31*0.8</f>
        <v>24</v>
      </c>
    </row>
    <row r="32" spans="1:16">
      <c r="A32" t="s">
        <v>2669</v>
      </c>
      <c r="D32" s="1021">
        <f>+ROUND((B1*O31+B3*O37+B4*O31),0)</f>
        <v>3659</v>
      </c>
      <c r="E32" s="1021">
        <f>+B1*O31+B3*O37+B4*O31</f>
        <v>3659.32107</v>
      </c>
      <c r="G32" s="1021">
        <f t="shared" si="4"/>
        <v>0.32106999999996333</v>
      </c>
      <c r="H32" s="1021">
        <f t="shared" si="5"/>
        <v>0</v>
      </c>
      <c r="J32">
        <f>-25*0.9*0.9*0.9</f>
        <v>-18.225000000000001</v>
      </c>
      <c r="N32" t="s">
        <v>2643</v>
      </c>
      <c r="O32">
        <v>40</v>
      </c>
    </row>
    <row r="33" spans="1:16">
      <c r="A33" t="s">
        <v>2637</v>
      </c>
      <c r="D33">
        <f>ROUND((D32*30%),0)</f>
        <v>1098</v>
      </c>
      <c r="E33" s="1021">
        <f>+E32*30%</f>
        <v>1097.796321</v>
      </c>
      <c r="G33" s="1021">
        <f t="shared" si="4"/>
        <v>0</v>
      </c>
      <c r="H33" s="1021">
        <f t="shared" si="5"/>
        <v>0.20367899999996553</v>
      </c>
      <c r="J33">
        <f>20.45*0.9*0.9</f>
        <v>16.564500000000002</v>
      </c>
      <c r="N33" t="s">
        <v>2642</v>
      </c>
      <c r="O33">
        <v>97.5</v>
      </c>
      <c r="P33">
        <f>+O33*0.8</f>
        <v>78</v>
      </c>
    </row>
    <row r="34" spans="1:16">
      <c r="A34" t="s">
        <v>2638</v>
      </c>
      <c r="D34">
        <f>ROUND((D32*2%),0)</f>
        <v>73</v>
      </c>
      <c r="E34" s="1021">
        <f>E32*2%</f>
        <v>73.1864214</v>
      </c>
      <c r="G34" s="1021">
        <f t="shared" si="4"/>
        <v>0.1864214000000004</v>
      </c>
      <c r="H34" s="1021">
        <f t="shared" si="5"/>
        <v>0</v>
      </c>
      <c r="J34">
        <f>3*1.35*1.35*0.9</f>
        <v>4.9207500000000008</v>
      </c>
      <c r="N34" t="s">
        <v>2659</v>
      </c>
      <c r="O34">
        <f>0.45*O32+0.9*O33</f>
        <v>105.75</v>
      </c>
      <c r="P34">
        <f>0.9*O33*0.8</f>
        <v>70.2</v>
      </c>
    </row>
    <row r="35" spans="1:16">
      <c r="A35" t="s">
        <v>2646</v>
      </c>
      <c r="D35" s="1021">
        <f>ROUND((B1*P31+B3*P37+B4*P31),0)</f>
        <v>2761</v>
      </c>
      <c r="E35" s="1021">
        <f>+B1*P31+B3*P37+B4*P31</f>
        <v>2761.1980560000002</v>
      </c>
      <c r="G35" s="1021">
        <f t="shared" si="4"/>
        <v>0.19805600000017876</v>
      </c>
      <c r="H35" s="1021">
        <f t="shared" si="5"/>
        <v>0</v>
      </c>
      <c r="J35">
        <f>-3*0.9*0.9*0.9</f>
        <v>-2.1870000000000003</v>
      </c>
      <c r="N35" t="s">
        <v>2660</v>
      </c>
      <c r="O35">
        <v>47.936</v>
      </c>
      <c r="P35">
        <f>512*0.078*0.8</f>
        <v>31.948800000000002</v>
      </c>
    </row>
    <row r="36" spans="1:16">
      <c r="A36" s="1256" t="s">
        <v>674</v>
      </c>
      <c r="D36" s="358">
        <f>SUM(D29:D35)</f>
        <v>241986</v>
      </c>
      <c r="E36" s="358">
        <f>SUM(E29:E35)</f>
        <v>241986.70196919999</v>
      </c>
      <c r="G36" s="1021"/>
      <c r="H36" s="1021"/>
      <c r="N36" t="s">
        <v>2663</v>
      </c>
      <c r="O36">
        <f>0.15*O32/10</f>
        <v>0.6</v>
      </c>
      <c r="P36">
        <v>0</v>
      </c>
    </row>
    <row r="37" spans="1:16">
      <c r="A37" s="1256" t="s">
        <v>2653</v>
      </c>
      <c r="D37">
        <f>+ROUND((D36*18%),0)</f>
        <v>43557</v>
      </c>
      <c r="E37" s="1021">
        <f>E36*18%</f>
        <v>43557.606354455995</v>
      </c>
      <c r="G37" s="1021">
        <f>IF(E37&gt;D37,E37-D37,0)</f>
        <v>0.60635445599473314</v>
      </c>
      <c r="H37" s="1021">
        <f>IF(E37&lt;D37,D37-E37,0)</f>
        <v>0</v>
      </c>
      <c r="N37" t="s">
        <v>2661</v>
      </c>
      <c r="O37">
        <f>0.213*105.75+0.206*105.75+0.483*47.936+0.377*0.63+(0.253*0.63)+(0.114*105.75)</f>
        <v>79.914738</v>
      </c>
      <c r="P37">
        <f>0.213*P34+0.206*P34+0.483*P35+0.114*P34</f>
        <v>52.847870400000005</v>
      </c>
    </row>
    <row r="38" spans="1:16">
      <c r="A38" s="1256" t="s">
        <v>674</v>
      </c>
      <c r="D38" s="1021">
        <f>SUM(D36:D37)</f>
        <v>285543</v>
      </c>
      <c r="E38" s="1021">
        <f>SUM(E36:E37)</f>
        <v>285544.30832365598</v>
      </c>
      <c r="G38" s="1021">
        <f>SUM(G1:G37)</f>
        <v>1.9287018559919318</v>
      </c>
      <c r="H38" s="1021">
        <f>SUM(H1:H37)</f>
        <v>0.62037820000881538</v>
      </c>
      <c r="N38" t="s">
        <v>2662</v>
      </c>
      <c r="O38">
        <f>1.1*O33+0.33*O32</f>
        <v>120.45000000000002</v>
      </c>
      <c r="P38">
        <f>1.1*O33*0.8</f>
        <v>85.800000000000011</v>
      </c>
    </row>
    <row r="39" spans="1:16">
      <c r="D39" s="1021">
        <f>+D40-D38</f>
        <v>14457</v>
      </c>
      <c r="E39" s="1021">
        <f>+E40-E38</f>
        <v>14455.691676344024</v>
      </c>
      <c r="G39" s="1021">
        <f>96+G38</f>
        <v>97.928701855991932</v>
      </c>
      <c r="H39" s="1021">
        <f>95.31+H38</f>
        <v>95.930378200008818</v>
      </c>
      <c r="N39" t="s">
        <v>2668</v>
      </c>
      <c r="O39">
        <f>0.12*O32/10</f>
        <v>0.48</v>
      </c>
    </row>
    <row r="40" spans="1:16" ht="24.6">
      <c r="B40" s="1021"/>
      <c r="C40" s="1021"/>
      <c r="D40">
        <v>300000</v>
      </c>
      <c r="E40">
        <f>+D40</f>
        <v>300000</v>
      </c>
      <c r="G40" s="1021">
        <f>+G38+G39</f>
        <v>99.857403711983864</v>
      </c>
      <c r="H40" s="1021" t="s">
        <v>1480</v>
      </c>
      <c r="N40" s="1259" t="s">
        <v>2666</v>
      </c>
      <c r="O40">
        <f>(11*13+0.12*40)/10</f>
        <v>14.780000000000001</v>
      </c>
      <c r="P40">
        <f>1.1*13*0.8</f>
        <v>11.440000000000001</v>
      </c>
    </row>
    <row r="41" spans="1:16" ht="24.6">
      <c r="B41" s="1021"/>
      <c r="C41" s="1021"/>
      <c r="D41" s="1021"/>
      <c r="G41" s="1021" t="e">
        <f>+H40-G40</f>
        <v>#VALUE!</v>
      </c>
      <c r="N41" s="1259" t="s">
        <v>2667</v>
      </c>
      <c r="O41">
        <f>(11*13+0.12*40)/10</f>
        <v>14.780000000000001</v>
      </c>
      <c r="P41">
        <f>1.1*13*0.8</f>
        <v>11.440000000000001</v>
      </c>
    </row>
    <row r="42" spans="1:16">
      <c r="B42" s="1021"/>
      <c r="C42" s="1021"/>
      <c r="D42" s="1021">
        <f>20863+1039+430+32+6</f>
        <v>22370</v>
      </c>
      <c r="E42" s="1021">
        <f>+D38-E38</f>
        <v>-1.3083236559759825</v>
      </c>
      <c r="N42" s="1259"/>
    </row>
    <row r="46" spans="1:16">
      <c r="K46">
        <f>2*60*0.3*0.45</f>
        <v>16.2</v>
      </c>
    </row>
    <row r="47" spans="1:16">
      <c r="K47" t="s">
        <v>2654</v>
      </c>
    </row>
    <row r="52" spans="15:26">
      <c r="O52">
        <f>2*1.5*0.23*0.15</f>
        <v>0.10350000000000001</v>
      </c>
    </row>
    <row r="53" spans="15:26">
      <c r="O53">
        <f>4*1.5*0.23*0.15</f>
        <v>0.20700000000000002</v>
      </c>
      <c r="T53">
        <v>1.6</v>
      </c>
      <c r="U53" t="s">
        <v>1933</v>
      </c>
      <c r="V53">
        <f>2*8.46*3.6</f>
        <v>60.912000000000006</v>
      </c>
      <c r="W53">
        <f>2*2.25*1.05*2.1</f>
        <v>9.9225000000000012</v>
      </c>
      <c r="X53">
        <f>8*5.1*0.1</f>
        <v>4.08</v>
      </c>
      <c r="Y53">
        <f>2*8*0.23*2.1</f>
        <v>7.7280000000000006</v>
      </c>
      <c r="Z53">
        <f>12*1.5</f>
        <v>18</v>
      </c>
    </row>
    <row r="54" spans="15:26">
      <c r="O54">
        <f>8*0.23*0.9</f>
        <v>1.6560000000000001</v>
      </c>
      <c r="P54">
        <f>2*8*3.3</f>
        <v>52.8</v>
      </c>
      <c r="Q54">
        <f>2*8.46*3.6</f>
        <v>60.912000000000006</v>
      </c>
      <c r="R54">
        <f>8*5.1</f>
        <v>40.799999999999997</v>
      </c>
      <c r="T54">
        <v>1.6</v>
      </c>
      <c r="U54">
        <f>2*8*3.3</f>
        <v>52.8</v>
      </c>
      <c r="V54">
        <f>2*8.46*3.5</f>
        <v>59.220000000000006</v>
      </c>
      <c r="W54">
        <f>2*2.75*0.9*0.9</f>
        <v>4.4550000000000001</v>
      </c>
      <c r="X54">
        <f>3.86*2.95*0.1</f>
        <v>1.1387</v>
      </c>
      <c r="Y54">
        <f>2.95*0.23*2.1</f>
        <v>1.4248500000000002</v>
      </c>
      <c r="Z54">
        <f>22*0.7</f>
        <v>15.399999999999999</v>
      </c>
    </row>
    <row r="55" spans="15:26">
      <c r="O55">
        <f>2.95*0.23*0.9</f>
        <v>0.61065000000000014</v>
      </c>
      <c r="P55">
        <f>2*8*3.3</f>
        <v>52.8</v>
      </c>
      <c r="Q55">
        <f>2*8.46*3.5</f>
        <v>59.220000000000006</v>
      </c>
      <c r="R55">
        <f>3.82*2.95</f>
        <v>11.269</v>
      </c>
      <c r="S55">
        <f>8.46*8.46</f>
        <v>71.571600000000018</v>
      </c>
      <c r="T55">
        <f>2*3.88*0.1</f>
        <v>0.77600000000000002</v>
      </c>
      <c r="U55">
        <f>2*3.88*3.3</f>
        <v>25.607999999999997</v>
      </c>
      <c r="W55">
        <f>2*2.75*1.2*1.2</f>
        <v>7.919999999999999</v>
      </c>
      <c r="X55">
        <f>3.8*2.55*0.1</f>
        <v>0.96899999999999997</v>
      </c>
      <c r="Y55">
        <f>3.8*0.23*2.1</f>
        <v>1.8354000000000001</v>
      </c>
      <c r="Z55">
        <f>24*1.5</f>
        <v>36</v>
      </c>
    </row>
    <row r="56" spans="15:26">
      <c r="O56">
        <f>3.88*0.23*0.9</f>
        <v>0.80315999999999999</v>
      </c>
      <c r="P56">
        <f>2*3.88*3.3</f>
        <v>25.607999999999997</v>
      </c>
      <c r="R56">
        <f>3.88*2.59</f>
        <v>10.049199999999999</v>
      </c>
      <c r="T56">
        <f>2*2.59*0.1</f>
        <v>0.51800000000000002</v>
      </c>
      <c r="U56">
        <f>2*2.59*3.3</f>
        <v>17.093999999999998</v>
      </c>
      <c r="Y56">
        <f>3.88*0.23*2.1</f>
        <v>1.8740399999999999</v>
      </c>
      <c r="Z56">
        <f>4*17*0.7</f>
        <v>47.599999999999994</v>
      </c>
    </row>
    <row r="57" spans="15:26">
      <c r="O57">
        <f>2.59*0.23*0.9</f>
        <v>0.53613</v>
      </c>
      <c r="P57">
        <f>2*2.59*3.3</f>
        <v>17.093999999999998</v>
      </c>
      <c r="T57">
        <f>1.05*0.1</f>
        <v>0.10500000000000001</v>
      </c>
      <c r="U57">
        <f>-2*1.05*2.1</f>
        <v>-4.41</v>
      </c>
      <c r="Y57">
        <f>2.59*0.23*2.1</f>
        <v>1.2509700000000001</v>
      </c>
    </row>
    <row r="58" spans="15:26">
      <c r="O58">
        <f>3.8*0.23*0.9</f>
        <v>0.78659999999999997</v>
      </c>
      <c r="P58">
        <f>-2*1.05*2.1</f>
        <v>-4.41</v>
      </c>
      <c r="U58">
        <f>-2*1.2*1.2</f>
        <v>-2.88</v>
      </c>
      <c r="Y58">
        <f>-2*1.05*0.23*2.1</f>
        <v>-1.0143000000000002</v>
      </c>
    </row>
    <row r="59" spans="15:26">
      <c r="P59">
        <f>-2*1.2*1.2</f>
        <v>-2.88</v>
      </c>
      <c r="U59">
        <f>-2*0.9*0.9</f>
        <v>-1.62</v>
      </c>
      <c r="Y59">
        <f>-2*1.2*0.23*1.2</f>
        <v>-0.66239999999999999</v>
      </c>
    </row>
    <row r="60" spans="15:26">
      <c r="P60">
        <f>-2*0.9*0.9</f>
        <v>-1.62</v>
      </c>
      <c r="U60">
        <f>8*5.1</f>
        <v>40.799999999999997</v>
      </c>
      <c r="Y60">
        <f>-2*0.9*0.23*0.9</f>
        <v>-0.37260000000000004</v>
      </c>
    </row>
    <row r="61" spans="15:26">
      <c r="U61">
        <f>3.82*2.95</f>
        <v>11.269</v>
      </c>
      <c r="Y61">
        <f>SUM(Y53:Y60)</f>
        <v>12.063960000000002</v>
      </c>
    </row>
    <row r="62" spans="15:26">
      <c r="U62">
        <f>3.88*2.59</f>
        <v>10.049199999999999</v>
      </c>
    </row>
    <row r="69" spans="20:20">
      <c r="T69">
        <f>12.06+4.37</f>
        <v>16.43</v>
      </c>
    </row>
  </sheetData>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T46"/>
  <sheetViews>
    <sheetView workbookViewId="0">
      <selection activeCell="D34" sqref="D34"/>
    </sheetView>
  </sheetViews>
  <sheetFormatPr defaultRowHeight="12.3"/>
  <cols>
    <col min="4" max="4" width="10.5546875" customWidth="1"/>
    <col min="5" max="5" width="10.6640625" customWidth="1"/>
  </cols>
  <sheetData>
    <row r="1" spans="2:20">
      <c r="B1" s="1021">
        <v>69.400000000000006</v>
      </c>
      <c r="C1" s="1021">
        <v>331.24</v>
      </c>
      <c r="D1" s="1021">
        <f t="shared" ref="D1:D7" si="0">+ROUND(B1*C1,0)</f>
        <v>22988</v>
      </c>
      <c r="E1" s="1021">
        <f t="shared" ref="E1:E7" si="1">+B1*C1</f>
        <v>22988.056000000004</v>
      </c>
      <c r="F1" s="1021"/>
      <c r="G1" s="1021">
        <f>IF(E1&gt;D1,E1-D1,0)</f>
        <v>5.6000000004132744E-2</v>
      </c>
      <c r="H1" s="1021">
        <f>IF(E1&lt;D1,D1-E1,0)</f>
        <v>0</v>
      </c>
      <c r="K1">
        <f>22988-60597</f>
        <v>-37609</v>
      </c>
    </row>
    <row r="2" spans="2:20">
      <c r="B2" s="1021">
        <v>148.08000000000001</v>
      </c>
      <c r="C2" s="1021">
        <v>779.93</v>
      </c>
      <c r="D2" s="1021">
        <f t="shared" si="0"/>
        <v>115492</v>
      </c>
      <c r="E2" s="1021">
        <f t="shared" si="1"/>
        <v>115492.0344</v>
      </c>
      <c r="G2" s="1021">
        <f t="shared" ref="G2:G25" si="2">IF(E2&gt;D2,E2-D2,0)</f>
        <v>3.4400000004097819E-2</v>
      </c>
      <c r="H2" s="1021">
        <f t="shared" ref="H2:H25" si="3">IF(E2&lt;D2,D2-E2,0)</f>
        <v>0</v>
      </c>
      <c r="K2">
        <f>115492-146237</f>
        <v>-30745</v>
      </c>
    </row>
    <row r="3" spans="2:20">
      <c r="B3" s="1021">
        <v>4</v>
      </c>
      <c r="C3" s="1021">
        <v>7645.3</v>
      </c>
      <c r="D3" s="1021">
        <f t="shared" si="0"/>
        <v>30581</v>
      </c>
      <c r="E3" s="1021">
        <f t="shared" si="1"/>
        <v>30581.200000000001</v>
      </c>
      <c r="G3" s="1021">
        <f t="shared" si="2"/>
        <v>0.2000000000007276</v>
      </c>
      <c r="H3" s="1021">
        <f t="shared" si="3"/>
        <v>0</v>
      </c>
      <c r="K3">
        <f>30581-76453</f>
        <v>-45872</v>
      </c>
    </row>
    <row r="4" spans="2:20">
      <c r="B4" s="1021">
        <v>17</v>
      </c>
      <c r="C4" s="1021">
        <v>7991.3</v>
      </c>
      <c r="D4" s="1021">
        <f t="shared" si="0"/>
        <v>135852</v>
      </c>
      <c r="E4" s="1021">
        <f t="shared" si="1"/>
        <v>135852.1</v>
      </c>
      <c r="G4" s="1021">
        <f t="shared" si="2"/>
        <v>0.10000000000582077</v>
      </c>
      <c r="H4" s="1021">
        <f t="shared" si="3"/>
        <v>0</v>
      </c>
      <c r="K4">
        <f>135852-87904</f>
        <v>47948</v>
      </c>
    </row>
    <row r="5" spans="2:20">
      <c r="B5" s="1021">
        <v>6</v>
      </c>
      <c r="C5" s="1021">
        <v>8337.2999999999993</v>
      </c>
      <c r="D5" s="1021">
        <f t="shared" si="0"/>
        <v>50024</v>
      </c>
      <c r="E5" s="1021">
        <f t="shared" si="1"/>
        <v>50023.799999999996</v>
      </c>
      <c r="G5" s="1021">
        <f t="shared" si="2"/>
        <v>0</v>
      </c>
      <c r="H5" s="1021">
        <f t="shared" si="3"/>
        <v>0.20000000000436557</v>
      </c>
      <c r="K5">
        <v>50024</v>
      </c>
    </row>
    <row r="6" spans="2:20">
      <c r="B6" s="1021">
        <v>25</v>
      </c>
      <c r="C6" s="1021">
        <v>2345</v>
      </c>
      <c r="D6" s="1021">
        <f t="shared" si="0"/>
        <v>58625</v>
      </c>
      <c r="E6" s="1021">
        <f t="shared" si="1"/>
        <v>58625</v>
      </c>
      <c r="G6" s="1021">
        <f t="shared" si="2"/>
        <v>0</v>
      </c>
      <c r="H6" s="1021">
        <f t="shared" si="3"/>
        <v>0</v>
      </c>
      <c r="K6">
        <f>76272-53494</f>
        <v>22778</v>
      </c>
    </row>
    <row r="7" spans="2:20">
      <c r="B7" s="1021">
        <v>82.8</v>
      </c>
      <c r="C7" s="1021">
        <v>208.04</v>
      </c>
      <c r="D7" s="1021">
        <f t="shared" si="0"/>
        <v>17226</v>
      </c>
      <c r="E7" s="1021">
        <f t="shared" si="1"/>
        <v>17225.712</v>
      </c>
      <c r="G7" s="1021">
        <f t="shared" si="2"/>
        <v>0</v>
      </c>
      <c r="H7" s="1021">
        <f t="shared" si="3"/>
        <v>0.28800000000046566</v>
      </c>
      <c r="K7">
        <f>2067-2137</f>
        <v>-70</v>
      </c>
    </row>
    <row r="8" spans="2:20">
      <c r="B8" s="1021"/>
      <c r="C8" s="1021"/>
      <c r="D8" s="1021"/>
      <c r="E8" s="1021"/>
      <c r="G8" s="1021">
        <f t="shared" si="2"/>
        <v>0</v>
      </c>
      <c r="H8" s="1021">
        <f t="shared" si="3"/>
        <v>0</v>
      </c>
      <c r="K8">
        <f>413-427</f>
        <v>-14</v>
      </c>
    </row>
    <row r="9" spans="2:20">
      <c r="B9" s="1021"/>
      <c r="C9" s="1021"/>
      <c r="D9" s="1021"/>
      <c r="E9" s="1021"/>
      <c r="G9" s="1021">
        <f t="shared" si="2"/>
        <v>0</v>
      </c>
      <c r="H9" s="1021">
        <f t="shared" si="3"/>
        <v>0</v>
      </c>
      <c r="K9">
        <f>3675-11938</f>
        <v>-8263</v>
      </c>
    </row>
    <row r="10" spans="2:20" ht="13.5" customHeight="1">
      <c r="B10" s="1021"/>
      <c r="C10" s="1021"/>
      <c r="D10" s="1021"/>
      <c r="E10" s="1021"/>
      <c r="G10" s="1021">
        <f t="shared" si="2"/>
        <v>0</v>
      </c>
      <c r="H10" s="1021">
        <f t="shared" si="3"/>
        <v>0</v>
      </c>
      <c r="K10">
        <f>1103-3581</f>
        <v>-2478</v>
      </c>
    </row>
    <row r="11" spans="2:20">
      <c r="B11" s="1021"/>
      <c r="C11" s="1021"/>
      <c r="D11" s="1021"/>
      <c r="E11" s="1021"/>
      <c r="F11" s="1021"/>
      <c r="G11" s="1021">
        <f t="shared" si="2"/>
        <v>0</v>
      </c>
      <c r="H11" s="1021">
        <f t="shared" si="3"/>
        <v>0</v>
      </c>
      <c r="K11">
        <f>74-239</f>
        <v>-165</v>
      </c>
    </row>
    <row r="12" spans="2:20">
      <c r="B12" s="1021"/>
      <c r="C12" s="1021"/>
      <c r="D12" s="1021"/>
      <c r="E12" s="1021"/>
      <c r="G12" s="1021">
        <f t="shared" si="2"/>
        <v>0</v>
      </c>
      <c r="H12" s="1021">
        <f t="shared" si="3"/>
        <v>0</v>
      </c>
      <c r="K12">
        <f>2940-724</f>
        <v>2216</v>
      </c>
    </row>
    <row r="13" spans="2:20">
      <c r="B13" s="1021"/>
      <c r="C13" s="1021"/>
      <c r="D13" s="1021"/>
      <c r="E13" s="1021"/>
      <c r="G13" s="1021">
        <f t="shared" si="2"/>
        <v>0</v>
      </c>
      <c r="H13" s="1021">
        <f t="shared" si="3"/>
        <v>0</v>
      </c>
      <c r="K13">
        <f>47948+50024+58522+22778+2216</f>
        <v>181488</v>
      </c>
      <c r="L13">
        <f>37610+30745+36497+45872+19772+70+14+8263+2478+165+3</f>
        <v>181489</v>
      </c>
    </row>
    <row r="14" spans="2:20">
      <c r="B14" s="1021"/>
      <c r="C14" s="1021"/>
      <c r="D14" s="1021"/>
      <c r="E14" s="1021"/>
      <c r="G14" s="1021">
        <f t="shared" si="2"/>
        <v>0</v>
      </c>
      <c r="H14" s="1021">
        <f t="shared" si="3"/>
        <v>0</v>
      </c>
    </row>
    <row r="15" spans="2:20">
      <c r="B15" s="1021"/>
      <c r="C15" s="1021"/>
      <c r="D15" s="1021"/>
      <c r="E15" s="1021"/>
      <c r="G15" s="1021">
        <f t="shared" si="2"/>
        <v>0</v>
      </c>
      <c r="H15" s="1021">
        <f t="shared" si="3"/>
        <v>0</v>
      </c>
      <c r="S15">
        <f>780*1.12</f>
        <v>873.60000000000014</v>
      </c>
    </row>
    <row r="16" spans="2:20">
      <c r="B16" s="1021"/>
      <c r="C16" s="1021"/>
      <c r="D16" s="1021"/>
      <c r="E16" s="1021"/>
      <c r="F16" t="s">
        <v>2640</v>
      </c>
      <c r="G16" s="1021">
        <f t="shared" si="2"/>
        <v>0</v>
      </c>
      <c r="H16" s="1021">
        <f t="shared" si="3"/>
        <v>0</v>
      </c>
      <c r="S16">
        <f>3.2+4.8+4.8+4.8+7.2+4.9+6.4+7.4+4.9+5+5+8.7+5+5+5+5.5+7.2+5.5+5.3+5.3+5+5+5+7.6</f>
        <v>133.5</v>
      </c>
      <c r="T16" t="s">
        <v>2655</v>
      </c>
    </row>
    <row r="17" spans="1:20">
      <c r="B17" s="1021"/>
      <c r="C17" s="1021"/>
      <c r="D17" s="1021"/>
      <c r="E17" s="1021"/>
      <c r="G17" s="1021">
        <f t="shared" si="2"/>
        <v>0</v>
      </c>
      <c r="H17" s="1021">
        <f t="shared" si="3"/>
        <v>0</v>
      </c>
      <c r="S17">
        <f>14.5+4.8+5.4+8</f>
        <v>32.700000000000003</v>
      </c>
      <c r="T17">
        <f>149*1.3*0.2</f>
        <v>38.740000000000009</v>
      </c>
    </row>
    <row r="18" spans="1:20">
      <c r="B18" s="1021"/>
      <c r="C18" s="1021"/>
      <c r="D18" s="1021"/>
      <c r="E18" s="1021"/>
      <c r="G18" s="1021">
        <f t="shared" si="2"/>
        <v>0</v>
      </c>
      <c r="H18" s="1021">
        <f t="shared" si="3"/>
        <v>0</v>
      </c>
      <c r="T18">
        <f>-133.5*0.3*0.3</f>
        <v>-12.014999999999999</v>
      </c>
    </row>
    <row r="19" spans="1:20">
      <c r="B19" s="1021"/>
      <c r="C19" s="1021"/>
      <c r="D19" s="1021"/>
      <c r="E19" s="1021"/>
      <c r="F19" s="1021"/>
      <c r="G19" s="1021">
        <f t="shared" si="2"/>
        <v>0</v>
      </c>
      <c r="H19" s="1021">
        <f t="shared" si="3"/>
        <v>0</v>
      </c>
      <c r="T19">
        <f>-24*0.9*0.9*0.2</f>
        <v>-3.8880000000000003</v>
      </c>
    </row>
    <row r="20" spans="1:20">
      <c r="B20" s="1021"/>
      <c r="C20" s="1021"/>
      <c r="D20" s="1021"/>
      <c r="E20" s="1021"/>
      <c r="F20" s="1021"/>
      <c r="G20" s="1021">
        <f t="shared" si="2"/>
        <v>0</v>
      </c>
      <c r="H20" s="1021">
        <f t="shared" si="3"/>
        <v>0</v>
      </c>
    </row>
    <row r="21" spans="1:20">
      <c r="B21" s="1021"/>
      <c r="C21" s="1021"/>
      <c r="D21" s="1021"/>
      <c r="E21" s="1021"/>
      <c r="F21" s="1021"/>
      <c r="G21" s="1021">
        <f t="shared" si="2"/>
        <v>0</v>
      </c>
      <c r="H21" s="1021">
        <f t="shared" si="3"/>
        <v>0</v>
      </c>
    </row>
    <row r="22" spans="1:20" ht="14.1">
      <c r="B22" s="1021"/>
      <c r="C22" s="1021"/>
      <c r="D22" s="1021"/>
      <c r="E22" s="1021"/>
      <c r="G22" s="1131">
        <f t="shared" si="2"/>
        <v>0</v>
      </c>
      <c r="H22" s="1131">
        <f t="shared" si="3"/>
        <v>0</v>
      </c>
      <c r="N22">
        <f>246*5000</f>
        <v>1230000</v>
      </c>
    </row>
    <row r="23" spans="1:20" ht="14.1">
      <c r="B23" s="1021"/>
      <c r="C23" s="1021"/>
      <c r="D23" s="1021"/>
      <c r="E23" s="1021"/>
      <c r="G23" s="1131">
        <f t="shared" si="2"/>
        <v>0</v>
      </c>
      <c r="H23" s="1131">
        <f t="shared" si="3"/>
        <v>0</v>
      </c>
    </row>
    <row r="24" spans="1:20" ht="14.1">
      <c r="B24" s="1021"/>
      <c r="C24" s="1021"/>
      <c r="D24" s="1021"/>
      <c r="E24" s="1021"/>
      <c r="G24" s="1131">
        <f t="shared" si="2"/>
        <v>0</v>
      </c>
      <c r="H24" s="1131">
        <f t="shared" si="3"/>
        <v>0</v>
      </c>
    </row>
    <row r="25" spans="1:20" ht="43.2">
      <c r="B25" s="1021"/>
      <c r="C25" s="1021"/>
      <c r="D25" s="1021"/>
      <c r="E25" s="1021"/>
      <c r="G25" s="1131">
        <f t="shared" si="2"/>
        <v>0</v>
      </c>
      <c r="H25" s="1131">
        <f t="shared" si="3"/>
        <v>0</v>
      </c>
      <c r="P25" s="1257" t="s">
        <v>2656</v>
      </c>
      <c r="Q25" s="1258" t="s">
        <v>2665</v>
      </c>
      <c r="R25" s="1257" t="s">
        <v>2657</v>
      </c>
    </row>
    <row r="26" spans="1:20">
      <c r="A26" t="s">
        <v>674</v>
      </c>
      <c r="D26" s="1021">
        <f>SUM(D1:D25)</f>
        <v>430788</v>
      </c>
      <c r="E26" s="1021">
        <f>SUM(E1:E25)</f>
        <v>430787.90240000002</v>
      </c>
      <c r="G26" s="1021"/>
      <c r="H26" s="1021"/>
      <c r="P26" t="s">
        <v>2658</v>
      </c>
      <c r="Q26">
        <v>30</v>
      </c>
      <c r="R26">
        <f>+Q26*0.8</f>
        <v>24</v>
      </c>
    </row>
    <row r="27" spans="1:20">
      <c r="A27" s="1256" t="s">
        <v>2641</v>
      </c>
      <c r="D27" s="1021">
        <v>0</v>
      </c>
      <c r="E27" s="1021">
        <v>0</v>
      </c>
      <c r="G27" s="1021">
        <f>IF(E27&gt;D27,E27-D27,0)</f>
        <v>0</v>
      </c>
      <c r="H27" s="1021">
        <f>IF(E27&lt;D27,D27-E27,0)</f>
        <v>0</v>
      </c>
      <c r="P27" t="s">
        <v>2643</v>
      </c>
      <c r="Q27">
        <v>40</v>
      </c>
    </row>
    <row r="28" spans="1:20">
      <c r="A28" s="1256"/>
      <c r="D28" s="358">
        <f>SUM(D26:D27)</f>
        <v>430788</v>
      </c>
      <c r="E28" s="1021">
        <f>SUM(E26:E27)</f>
        <v>430787.90240000002</v>
      </c>
      <c r="G28" s="1021"/>
      <c r="H28" s="1021"/>
      <c r="P28" t="s">
        <v>2642</v>
      </c>
      <c r="Q28">
        <v>97.5</v>
      </c>
      <c r="R28">
        <f>+Q28*0.8</f>
        <v>78</v>
      </c>
    </row>
    <row r="29" spans="1:20">
      <c r="A29" t="s">
        <v>2634</v>
      </c>
      <c r="D29">
        <f>+ROUND(D28*0.5%,0)</f>
        <v>2154</v>
      </c>
      <c r="E29" s="1021">
        <f>+E28*0.5%</f>
        <v>2153.9395119999999</v>
      </c>
      <c r="G29" s="1021">
        <f>IF(E29&gt;D29,E29-D29,0)</f>
        <v>0</v>
      </c>
      <c r="H29" s="1021">
        <f>IF(E29&lt;D29,D29-E29,0)</f>
        <v>6.0488000000077591E-2</v>
      </c>
      <c r="J29">
        <f>152.3*0.9*0.8</f>
        <v>109.65600000000002</v>
      </c>
      <c r="P29" t="s">
        <v>2659</v>
      </c>
      <c r="Q29">
        <f>0.45*Q27+0.9*Q28</f>
        <v>105.75</v>
      </c>
      <c r="R29">
        <f>0.9*Q28*0.8</f>
        <v>70.2</v>
      </c>
    </row>
    <row r="30" spans="1:20">
      <c r="A30" t="s">
        <v>2635</v>
      </c>
      <c r="D30">
        <f>+ROUND(D28*0.1%,0)</f>
        <v>431</v>
      </c>
      <c r="E30" s="1021">
        <f>+E26*0.1%</f>
        <v>430.78790240000001</v>
      </c>
      <c r="F30" s="1021"/>
      <c r="G30" s="1021">
        <f>IF(E30&gt;D30,E30-D30,0)</f>
        <v>0</v>
      </c>
      <c r="H30" s="1021">
        <f>IF(E30&lt;D30,D30-E30,0)</f>
        <v>0.21209759999999278</v>
      </c>
      <c r="J30">
        <f>25*1.35*1.35*0.9</f>
        <v>41.006250000000001</v>
      </c>
      <c r="P30" t="s">
        <v>2660</v>
      </c>
      <c r="Q30">
        <v>47.936</v>
      </c>
      <c r="R30">
        <f>512*0.078*0.8</f>
        <v>31.948800000000002</v>
      </c>
    </row>
    <row r="31" spans="1:20">
      <c r="A31" t="s">
        <v>2636</v>
      </c>
      <c r="D31" s="1021">
        <f>ROUND(E31,0)</f>
        <v>6159</v>
      </c>
      <c r="E31" s="1021">
        <f>+B1*30+B7*30+(B3+B4+B5)*59</f>
        <v>6159</v>
      </c>
      <c r="G31" s="1021">
        <f>IF(E31&gt;D31,E31-D31,0)</f>
        <v>0</v>
      </c>
      <c r="H31" s="1021">
        <f>IF(E31&lt;D31,D31-E31,0)</f>
        <v>0</v>
      </c>
      <c r="J31">
        <f>-25*0.9*0.9*0.9</f>
        <v>-18.225000000000001</v>
      </c>
      <c r="P31" t="s">
        <v>2663</v>
      </c>
      <c r="Q31">
        <f>0.15*Q27/10</f>
        <v>0.6</v>
      </c>
      <c r="R31">
        <v>0</v>
      </c>
    </row>
    <row r="32" spans="1:20">
      <c r="A32" t="s">
        <v>2637</v>
      </c>
      <c r="D32">
        <f>ROUND((D31*30%),0)</f>
        <v>1848</v>
      </c>
      <c r="E32" s="1021">
        <f>+E31*30%</f>
        <v>1847.6999999999998</v>
      </c>
      <c r="G32" s="1021">
        <f>IF(E32&gt;D32,E32-D32,0)</f>
        <v>0</v>
      </c>
      <c r="H32" s="1021">
        <f>IF(E32&lt;D32,D32-E32,0)</f>
        <v>0.3000000000001819</v>
      </c>
      <c r="J32">
        <f>20.45*0.9*0.9</f>
        <v>16.564500000000002</v>
      </c>
      <c r="P32" t="s">
        <v>2661</v>
      </c>
      <c r="Q32">
        <f>0.213*105.75+0.206*105.75+0.483*47.936+0.377*0.63+(0.253*0.63)+(0.114*105.75)</f>
        <v>79.914738</v>
      </c>
      <c r="R32">
        <f>0.213*R29+0.206*R29+0.483*R30+0.114*R29</f>
        <v>52.847870400000005</v>
      </c>
    </row>
    <row r="33" spans="1:18">
      <c r="A33" t="s">
        <v>2638</v>
      </c>
      <c r="D33">
        <f>ROUND((D31*2%),0)</f>
        <v>123</v>
      </c>
      <c r="E33" s="1021">
        <f>E31*2%</f>
        <v>123.18</v>
      </c>
      <c r="G33" s="1021">
        <f>IF(E33&gt;D33,E33-D33,0)</f>
        <v>0.18000000000000682</v>
      </c>
      <c r="H33" s="1021">
        <f>IF(E33&lt;D33,D33-E33,0)</f>
        <v>0</v>
      </c>
      <c r="J33">
        <f>3*1.35*1.35*0.9</f>
        <v>4.9207500000000008</v>
      </c>
      <c r="P33" t="s">
        <v>2662</v>
      </c>
      <c r="Q33">
        <f>1.1*Q28+0.33*Q27</f>
        <v>120.45000000000002</v>
      </c>
      <c r="R33">
        <f>1.1*Q28*0.8</f>
        <v>85.800000000000011</v>
      </c>
    </row>
    <row r="34" spans="1:18">
      <c r="A34" t="s">
        <v>2646</v>
      </c>
      <c r="D34" s="1021">
        <f>ROUND(E34,0)</f>
        <v>4927</v>
      </c>
      <c r="E34" s="1021">
        <f>+(E31-(B9*30))*0.8</f>
        <v>4927.2000000000007</v>
      </c>
      <c r="G34" s="1021"/>
      <c r="H34" s="1021"/>
      <c r="J34">
        <f>-3*0.9*0.9*0.9</f>
        <v>-2.1870000000000003</v>
      </c>
      <c r="P34" t="s">
        <v>2664</v>
      </c>
      <c r="Q34">
        <f>0.12*Q27/10</f>
        <v>0.48</v>
      </c>
    </row>
    <row r="35" spans="1:18">
      <c r="A35" s="1256" t="s">
        <v>674</v>
      </c>
      <c r="D35" s="358">
        <f>SUM(D28:D34)</f>
        <v>446430</v>
      </c>
      <c r="E35" s="358">
        <f>SUM(E28:E34)</f>
        <v>446429.70981440006</v>
      </c>
      <c r="G35" s="1021"/>
      <c r="H35" s="1021"/>
    </row>
    <row r="36" spans="1:18">
      <c r="A36" s="1256" t="s">
        <v>2653</v>
      </c>
      <c r="D36">
        <f>+ROUND((D35*12%),0)</f>
        <v>53572</v>
      </c>
      <c r="E36" s="1021">
        <f>E35*12%</f>
        <v>53571.565177728007</v>
      </c>
      <c r="G36" s="1021">
        <f>IF(E36&gt;D36,E36-D36,0)</f>
        <v>0</v>
      </c>
      <c r="H36" s="1021">
        <f>IF(E36&lt;D36,D36-E36,0)</f>
        <v>0.43482227199274348</v>
      </c>
    </row>
    <row r="37" spans="1:18">
      <c r="A37" s="1256" t="s">
        <v>674</v>
      </c>
      <c r="D37" s="1021">
        <f>SUM(D35:D36)</f>
        <v>500002</v>
      </c>
      <c r="E37" s="1021">
        <f>SUM(E35:E36)</f>
        <v>500001.27499212808</v>
      </c>
      <c r="G37" s="1021">
        <f>SUM(G1:G36)</f>
        <v>0.57040000001478575</v>
      </c>
      <c r="H37" s="1021">
        <f>SUM(H1:H36)</f>
        <v>1.495407871997827</v>
      </c>
    </row>
    <row r="38" spans="1:18">
      <c r="D38" s="1021">
        <f>+D39-D37</f>
        <v>-2</v>
      </c>
      <c r="E38" s="1021">
        <f>+E39-E37</f>
        <v>-1.2749921280774288</v>
      </c>
      <c r="G38" s="1021">
        <v>3</v>
      </c>
      <c r="H38" s="1021">
        <v>2.2999999999999998</v>
      </c>
    </row>
    <row r="39" spans="1:18">
      <c r="B39" s="1021"/>
      <c r="C39" s="1021"/>
      <c r="D39">
        <v>500000</v>
      </c>
      <c r="E39">
        <v>500000</v>
      </c>
      <c r="G39" s="1021">
        <f>+G37+G38</f>
        <v>3.5704000000147857</v>
      </c>
      <c r="H39" s="1021">
        <f>+H37+H38</f>
        <v>3.7954078719978268</v>
      </c>
    </row>
    <row r="40" spans="1:18">
      <c r="B40" s="1021"/>
      <c r="C40" s="1021"/>
      <c r="D40" s="1021"/>
      <c r="G40" s="1021">
        <f>+H39-G39</f>
        <v>0.22500787198304106</v>
      </c>
    </row>
    <row r="41" spans="1:18">
      <c r="B41" s="1021"/>
      <c r="C41" s="1021"/>
      <c r="D41" s="1021">
        <f>20863+1039+430+32+6</f>
        <v>22370</v>
      </c>
      <c r="E41" s="1021">
        <f>+D37-E37</f>
        <v>0.72500787192257121</v>
      </c>
    </row>
    <row r="45" spans="1:18">
      <c r="K45">
        <f>2*60*0.3*0.45</f>
        <v>16.2</v>
      </c>
    </row>
    <row r="46" spans="1:18">
      <c r="K46" t="s">
        <v>2654</v>
      </c>
    </row>
  </sheetData>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C10"/>
  <sheetViews>
    <sheetView workbookViewId="0">
      <selection sqref="A1:C10"/>
    </sheetView>
  </sheetViews>
  <sheetFormatPr defaultRowHeight="12.3"/>
  <cols>
    <col min="1" max="1" width="14" customWidth="1"/>
    <col min="2" max="2" width="12.33203125" customWidth="1"/>
    <col min="3" max="3" width="14.44140625" customWidth="1"/>
  </cols>
  <sheetData>
    <row r="1" spans="1:3" ht="28.8">
      <c r="A1" s="1257" t="s">
        <v>2656</v>
      </c>
      <c r="B1" s="1258" t="s">
        <v>2665</v>
      </c>
      <c r="C1" s="1257" t="s">
        <v>2657</v>
      </c>
    </row>
    <row r="2" spans="1:3">
      <c r="A2" t="s">
        <v>2658</v>
      </c>
      <c r="B2">
        <v>30</v>
      </c>
      <c r="C2">
        <f>+B2*0.8</f>
        <v>24</v>
      </c>
    </row>
    <row r="3" spans="1:3">
      <c r="A3" t="s">
        <v>2643</v>
      </c>
      <c r="B3">
        <v>40</v>
      </c>
    </row>
    <row r="4" spans="1:3">
      <c r="A4" t="s">
        <v>2642</v>
      </c>
      <c r="B4">
        <v>97.5</v>
      </c>
      <c r="C4">
        <f>+B4*0.8</f>
        <v>78</v>
      </c>
    </row>
    <row r="5" spans="1:3">
      <c r="A5" t="s">
        <v>2659</v>
      </c>
      <c r="B5">
        <f>0.45*B3+0.9*B4</f>
        <v>105.75</v>
      </c>
      <c r="C5">
        <f>0.9*B4*0.8</f>
        <v>70.2</v>
      </c>
    </row>
    <row r="6" spans="1:3">
      <c r="A6" t="s">
        <v>2660</v>
      </c>
      <c r="B6">
        <v>47.936</v>
      </c>
      <c r="C6">
        <f>512*0.078*0.8</f>
        <v>31.948800000000002</v>
      </c>
    </row>
    <row r="7" spans="1:3">
      <c r="A7" t="s">
        <v>2663</v>
      </c>
      <c r="B7">
        <f>0.15*B3/10</f>
        <v>0.6</v>
      </c>
      <c r="C7">
        <v>0</v>
      </c>
    </row>
    <row r="8" spans="1:3">
      <c r="A8" t="s">
        <v>2661</v>
      </c>
      <c r="B8">
        <f>0.213*105.75+0.206*105.75+0.483*47.936+0.377*0.63+(0.253*0.63)+(0.114*105.75)</f>
        <v>79.914738</v>
      </c>
      <c r="C8">
        <f>0.213*C5+0.206*C5+0.483*C6+0.114*C5</f>
        <v>52.847870400000005</v>
      </c>
    </row>
    <row r="9" spans="1:3">
      <c r="A9" t="s">
        <v>2662</v>
      </c>
      <c r="B9">
        <f>1.1*B4+0.33*B3</f>
        <v>120.45000000000002</v>
      </c>
      <c r="C9">
        <f>1.1*B4*0.8</f>
        <v>85.800000000000011</v>
      </c>
    </row>
    <row r="10" spans="1:3">
      <c r="A10" t="s">
        <v>2664</v>
      </c>
      <c r="B10">
        <f>0.12*B3/10</f>
        <v>0.48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54</vt:i4>
      </vt:variant>
      <vt:variant>
        <vt:lpstr>Named Ranges</vt:lpstr>
      </vt:variant>
      <vt:variant>
        <vt:i4>58</vt:i4>
      </vt:variant>
    </vt:vector>
  </HeadingPairs>
  <TitlesOfParts>
    <vt:vector size="112" baseType="lpstr">
      <vt:lpstr>SR PRO Flex 14</vt:lpstr>
      <vt:lpstr>Rythu Vedhika -14'Trep sheet(H)</vt:lpstr>
      <vt:lpstr>SR 22.00  (2)</vt:lpstr>
      <vt:lpstr>input sheet</vt:lpstr>
      <vt:lpstr>Cover2</vt:lpstr>
      <vt:lpstr>MGNREGS input sheet</vt:lpstr>
      <vt:lpstr>General Abs</vt:lpstr>
      <vt:lpstr>Specification</vt:lpstr>
      <vt:lpstr>Mbook 1st</vt:lpstr>
      <vt:lpstr>Building-Estimate</vt:lpstr>
      <vt:lpstr>Est 02.03.23</vt:lpstr>
      <vt:lpstr>SR 22.00 </vt:lpstr>
      <vt:lpstr>Rythu Vedhika -12'Trep  (M) (2)</vt:lpstr>
      <vt:lpstr>Rythu Vedhika model estimate</vt:lpstr>
      <vt:lpstr>Rythu Vedhika -12'Trep TeaK Doo</vt:lpstr>
      <vt:lpstr>Spicification Report  (2)</vt:lpstr>
      <vt:lpstr>Rythu Vedhika -12'Trep  (M)</vt:lpstr>
      <vt:lpstr>Rythu Vedhika -12' ht Proflex</vt:lpstr>
      <vt:lpstr>GP BUILDiNG</vt:lpstr>
      <vt:lpstr>sanitary est</vt:lpstr>
      <vt:lpstr>electrcal est</vt:lpstr>
      <vt:lpstr> Doors window-Country Wood </vt:lpstr>
      <vt:lpstr>Datas</vt:lpstr>
      <vt:lpstr> data-Doors window- Sal Wood </vt:lpstr>
      <vt:lpstr>data- Doors window- Teak</vt:lpstr>
      <vt:lpstr> DATA -Sanitary&amp;water supply</vt:lpstr>
      <vt:lpstr>SANITARY DATA2</vt:lpstr>
      <vt:lpstr>data-Elec </vt:lpstr>
      <vt:lpstr>Lead- Input sheet </vt:lpstr>
      <vt:lpstr>Data Truss and steel works</vt:lpstr>
      <vt:lpstr>Spicification Report </vt:lpstr>
      <vt:lpstr>Bar Bending Schedule</vt:lpstr>
      <vt:lpstr>Sheet1</vt:lpstr>
      <vt:lpstr>Modal Estimate </vt:lpstr>
      <vt:lpstr>Elec Estimate</vt:lpstr>
      <vt:lpstr>Sanitory Estimate</vt:lpstr>
      <vt:lpstr>Septic tank</vt:lpstr>
      <vt:lpstr>Bore &amp; Pumpset</vt:lpstr>
      <vt:lpstr>Furniture </vt:lpstr>
      <vt:lpstr>20 TNs Detailed Est </vt:lpstr>
      <vt:lpstr> Doors window- Country 2.0- 1.2</vt:lpstr>
      <vt:lpstr>Datas  Side wall </vt:lpstr>
      <vt:lpstr>Sheet2</vt:lpstr>
      <vt:lpstr>Flush Door  Shutter Country</vt:lpstr>
      <vt:lpstr> Doors window- Flush  Door </vt:lpstr>
      <vt:lpstr> Doors window Rythu</vt:lpstr>
      <vt:lpstr> Doors window- Country </vt:lpstr>
      <vt:lpstr> Doors window- Country  -2.0 m</vt:lpstr>
      <vt:lpstr> Doors and windows </vt:lpstr>
      <vt:lpstr>Conveyance 25-26</vt:lpstr>
      <vt:lpstr>Sheet3</vt:lpstr>
      <vt:lpstr>Sheet6</vt:lpstr>
      <vt:lpstr>Sheet6 (2)</vt:lpstr>
      <vt:lpstr>Sheet4</vt:lpstr>
      <vt:lpstr>' DATA -Sanitary&amp;water supply'!Print_Area</vt:lpstr>
      <vt:lpstr>' data-Doors window- Sal Wood '!Print_Area</vt:lpstr>
      <vt:lpstr>' Doors window- Country '!Print_Area</vt:lpstr>
      <vt:lpstr>' Doors window- Country  -2.0 m'!Print_Area</vt:lpstr>
      <vt:lpstr>' Doors window- Country 2.0- 1.2'!Print_Area</vt:lpstr>
      <vt:lpstr>' Doors window- Flush  Door '!Print_Area</vt:lpstr>
      <vt:lpstr>' Doors window Rythu'!Print_Area</vt:lpstr>
      <vt:lpstr>' Doors window-Country Wood '!Print_Area</vt:lpstr>
      <vt:lpstr>'20 TNs Detailed Est '!Print_Area</vt:lpstr>
      <vt:lpstr>'Bar Bending Schedule'!Print_Area</vt:lpstr>
      <vt:lpstr>'Bore &amp; Pumpset'!Print_Area</vt:lpstr>
      <vt:lpstr>'Building-Estimate'!Print_Area</vt:lpstr>
      <vt:lpstr>'Conveyance 25-26'!Print_Area</vt:lpstr>
      <vt:lpstr>Cover2!Print_Area</vt:lpstr>
      <vt:lpstr>'data- Doors window- Teak'!Print_Area</vt:lpstr>
      <vt:lpstr>'Data Truss and steel works'!Print_Area</vt:lpstr>
      <vt:lpstr>'data-Elec '!Print_Area</vt:lpstr>
      <vt:lpstr>Datas!Print_Area</vt:lpstr>
      <vt:lpstr>'Datas  Side wall '!Print_Area</vt:lpstr>
      <vt:lpstr>'Elec Estimate'!Print_Area</vt:lpstr>
      <vt:lpstr>'electrcal est'!Print_Area</vt:lpstr>
      <vt:lpstr>'Est 02.03.23'!Print_Area</vt:lpstr>
      <vt:lpstr>'Flush Door  Shutter Country'!Print_Area</vt:lpstr>
      <vt:lpstr>'Furniture '!Print_Area</vt:lpstr>
      <vt:lpstr>'General Abs'!Print_Area</vt:lpstr>
      <vt:lpstr>'GP BUILDiNG'!Print_Area</vt:lpstr>
      <vt:lpstr>'Lead- Input sheet '!Print_Area</vt:lpstr>
      <vt:lpstr>'Mbook 1st'!Print_Area</vt:lpstr>
      <vt:lpstr>'MGNREGS input sheet'!Print_Area</vt:lpstr>
      <vt:lpstr>'Modal Estimate '!Print_Area</vt:lpstr>
      <vt:lpstr>'Rythu Vedhika -12'' ht Proflex'!Print_Area</vt:lpstr>
      <vt:lpstr>'Rythu Vedhika -12''Trep  (M)'!Print_Area</vt:lpstr>
      <vt:lpstr>'Rythu Vedhika -12''Trep  (M) (2)'!Print_Area</vt:lpstr>
      <vt:lpstr>'Rythu Vedhika -12''Trep TeaK Doo'!Print_Area</vt:lpstr>
      <vt:lpstr>'Rythu Vedhika -14''Trep sheet(H)'!Print_Area</vt:lpstr>
      <vt:lpstr>'Rythu Vedhika model estimate'!Print_Area</vt:lpstr>
      <vt:lpstr>'sanitary est'!Print_Area</vt:lpstr>
      <vt:lpstr>'Sanitory Estimate'!Print_Area</vt:lpstr>
      <vt:lpstr>'Septic tank'!Print_Area</vt:lpstr>
      <vt:lpstr>Specification!Print_Area</vt:lpstr>
      <vt:lpstr>'Spicification Report '!Print_Area</vt:lpstr>
      <vt:lpstr>'Spicification Report  (2)'!Print_Area</vt:lpstr>
      <vt:lpstr>'SR 22.00 '!Print_Area</vt:lpstr>
      <vt:lpstr>'SR 22.00  (2)'!Print_Area</vt:lpstr>
      <vt:lpstr>'SR PRO Flex 14'!Print_Area</vt:lpstr>
      <vt:lpstr>' data-Doors window- Sal Wood '!Print_Titles</vt:lpstr>
      <vt:lpstr>' Doors and windows '!Print_Titles</vt:lpstr>
      <vt:lpstr>' Doors window- Country '!Print_Titles</vt:lpstr>
      <vt:lpstr>' Doors window- Country  -2.0 m'!Print_Titles</vt:lpstr>
      <vt:lpstr>' Doors window- Country 2.0- 1.2'!Print_Titles</vt:lpstr>
      <vt:lpstr>' Doors window- Flush  Door '!Print_Titles</vt:lpstr>
      <vt:lpstr>' Doors window Rythu'!Print_Titles</vt:lpstr>
      <vt:lpstr>' Doors window-Country Wood '!Print_Titles</vt:lpstr>
      <vt:lpstr>'data- Doors window- Teak'!Print_Titles</vt:lpstr>
      <vt:lpstr>Datas!Print_Titles</vt:lpstr>
      <vt:lpstr>'Datas  Side wall '!Print_Titles</vt:lpstr>
      <vt:lpstr>'Est 02.03.23'!Print_Titles</vt:lpstr>
      <vt:lpstr>'Flush Door  Shutter Country'!Print_Titles</vt:lpstr>
    </vt:vector>
  </TitlesOfParts>
  <Company>Acer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jagath chandra</cp:lastModifiedBy>
  <cp:lastPrinted>2025-03-10T08:16:50Z</cp:lastPrinted>
  <dcterms:created xsi:type="dcterms:W3CDTF">2010-06-08T07:01:25Z</dcterms:created>
  <dcterms:modified xsi:type="dcterms:W3CDTF">2025-07-29T10:29:03Z</dcterms:modified>
</cp:coreProperties>
</file>